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hd.ad.syr.edu\02\7159f3\Documents\Desktop\"/>
    </mc:Choice>
  </mc:AlternateContent>
  <bookViews>
    <workbookView xWindow="0" yWindow="0" windowWidth="20490" windowHeight="7620" firstSheet="2" activeTab="2"/>
  </bookViews>
  <sheets>
    <sheet name="raw_data" sheetId="1" r:id="rId1"/>
    <sheet name="data with dummy variabes " sheetId="3" r:id="rId2"/>
    <sheet name="Updated Dummy" sheetId="7" r:id="rId3"/>
    <sheet name="dummy_variable_codebook" sheetId="4" r:id="rId4"/>
    <sheet name="Data Definitions" sheetId="2" r:id="rId5"/>
    <sheet name="_PalUtilTempWorksheet" sheetId="5" state="hidden" r:id="rId6"/>
    <sheet name="_STDS_DG21B2E28" sheetId="12" state="hidden" r:id="rId7"/>
    <sheet name="_STDS_DG39A1B953" sheetId="13" state="hidden" r:id="rId8"/>
  </sheets>
  <definedNames>
    <definedName name="_xlnm._FilterDatabase" localSheetId="1" hidden="1">'data with dummy variabes '!$A$1:$AI$1471</definedName>
    <definedName name="ST_Age">'data with dummy variabes '!$B$2:$B$1471</definedName>
    <definedName name="ST_Age_1">'Updated Dummy'!$A$2:$A$1471</definedName>
    <definedName name="ST_Attrition">'data with dummy variabes '!$C$2:$C$1471</definedName>
    <definedName name="ST_Attrition_2">'Updated Dummy'!$B$2:$B$1471</definedName>
    <definedName name="ST_BusinessTravel">'data with dummy variabes '!$D$2:$D$1471</definedName>
    <definedName name="ST_BusinessTravel_3">'Updated Dummy'!$C$2:$C$1471</definedName>
    <definedName name="ST_BusinessTravelTravelFrequently">'Updated Dummy'!$E$2:$E$1471</definedName>
    <definedName name="ST_BusinessTravelTravelRarely">'Updated Dummy'!$D$2:$D$1471</definedName>
    <definedName name="ST_DailyRate">'data with dummy variabes '!$E$2:$E$1471</definedName>
    <definedName name="ST_DailyRate_6">'Updated Dummy'!$F$2:$F$1471</definedName>
    <definedName name="ST_Department">'data with dummy variabes '!$F$2:$F$1471</definedName>
    <definedName name="ST_Department_7">'Updated Dummy'!$G$2:$G$1471</definedName>
    <definedName name="ST_DepartmentRD">'Updated Dummy'!$I$2:$I$1471</definedName>
    <definedName name="ST_DepartmentSales">'Updated Dummy'!$H$2:$H$1471</definedName>
    <definedName name="ST_DistanceFromHome">'data with dummy variabes '!$G$2:$G$1471</definedName>
    <definedName name="ST_DistanceFromHome_10">'Updated Dummy'!$J$2:$J$1471</definedName>
    <definedName name="ST_Education">'data with dummy variabes '!$H$2:$H$1471</definedName>
    <definedName name="ST_Education_11">'Updated Dummy'!$K$2:$K$1471</definedName>
    <definedName name="ST_EducationField">'data with dummy variabes '!$I$2:$I$1471</definedName>
    <definedName name="ST_EducationField_12">'Updated Dummy'!$L$2:$L$1471</definedName>
    <definedName name="ST_EducationFieldHR">'Updated Dummy'!$N$2:$N$1471</definedName>
    <definedName name="ST_EducationFieldLifeSciences">'Updated Dummy'!$M$2:$M$1471</definedName>
    <definedName name="ST_EducationFieldMarketing">'Updated Dummy'!$P$2:$P$1471</definedName>
    <definedName name="ST_EducationFieldMedical">'Updated Dummy'!$O$2:$O$1471</definedName>
    <definedName name="ST_EducationFieldTechnical">'Updated Dummy'!$Q$2:$Q$1471</definedName>
    <definedName name="ST_EmployeeCount">'data with dummy variabes '!$J$2:$J$1471</definedName>
    <definedName name="ST_EmployeeCount_18">'Updated Dummy'!$R$2:$R$1471</definedName>
    <definedName name="ST_EmployeeNumber">'data with dummy variabes '!$K$2:$K$1471</definedName>
    <definedName name="ST_EmployeeNumber_19">'Updated Dummy'!$S$2:$S$1471</definedName>
    <definedName name="ST_EnvironmentSatisfaction">'data with dummy variabes '!$L$2:$L$1471</definedName>
    <definedName name="ST_EnvironmentSatisfaction_20">'Updated Dummy'!$T$2:$T$1471</definedName>
    <definedName name="ST_Gender">'data with dummy variabes '!$M$2:$M$1471</definedName>
    <definedName name="ST_Gender_21">'Updated Dummy'!$U$2:$U$1471</definedName>
    <definedName name="ST_HourlyRate">'data with dummy variabes '!$N$2:$N$1471</definedName>
    <definedName name="ST_HourlyRate_22">'Updated Dummy'!$V$2:$V$1471</definedName>
    <definedName name="ST_ID">'data with dummy variabes '!$A$2:$A$1471</definedName>
    <definedName name="ST_JobInvolvement">'data with dummy variabes '!$O$2:$O$1471</definedName>
    <definedName name="ST_JobInvolvement_23">'Updated Dummy'!$W$2:$W$1471</definedName>
    <definedName name="ST_JobLevel">'data with dummy variabes '!$P$2:$P$1471</definedName>
    <definedName name="ST_JobLevel_24">'Updated Dummy'!$X$2:$X$1471</definedName>
    <definedName name="ST_JoblevelMonthlyincome">'Updated Dummy'!$BB$2:$BB$1471</definedName>
    <definedName name="ST_JobResearchDirector">'Updated Dummy'!$AG$2:$AG$1471</definedName>
    <definedName name="ST_JobRole">'data with dummy variabes '!$Q$2:$Q$1471</definedName>
    <definedName name="ST_JobRole_25">'Updated Dummy'!$Y$2:$Y$1471</definedName>
    <definedName name="ST_JobRoleHealthcareRep">'Updated Dummy'!$AD$2:$AD$1471</definedName>
    <definedName name="ST_JobRoleLabTechnician">'Updated Dummy'!$AB$2:$AB$1471</definedName>
    <definedName name="ST_JobRoleManager">'Updated Dummy'!$AE$2:$AE$1471</definedName>
    <definedName name="ST_JobRoleManufacturingDirector">'Updated Dummy'!$AC$2:$AC$1471</definedName>
    <definedName name="ST_JobRoleResearchScientist">'Updated Dummy'!$AA$2:$AA$1471</definedName>
    <definedName name="ST_JobRoleSalesExec">'Updated Dummy'!$Z$2:$Z$1471</definedName>
    <definedName name="ST_JobRoleSalesRep">'Updated Dummy'!$AF$2:$AF$1471</definedName>
    <definedName name="ST_JobSatisfaction">'data with dummy variabes '!$R$2:$R$1471</definedName>
    <definedName name="ST_JobSatisfaction_34">'Updated Dummy'!$AH$2:$AH$1471</definedName>
    <definedName name="ST_MaritalStatus">'data with dummy variabes '!$S$2:$S$1471</definedName>
    <definedName name="ST_MaritalStatus_35">'Updated Dummy'!$AI$2:$AI$1471</definedName>
    <definedName name="ST_MaritalStatusMarried">'Updated Dummy'!$AK$2:$AK$1471</definedName>
    <definedName name="ST_MaritalStatusSingle">'Updated Dummy'!$AJ$2:$AJ$1471</definedName>
    <definedName name="ST_MonthlyIncome">'data with dummy variabes '!$T$2:$T$1471</definedName>
    <definedName name="ST_MonthlyIncome_38">'Updated Dummy'!$AL$2:$AL$1471</definedName>
    <definedName name="ST_MonthlyRate">'data with dummy variabes '!$U$2:$U$1471</definedName>
    <definedName name="ST_MonthlyRate_39">'Updated Dummy'!$AM$2:$AM$1471</definedName>
    <definedName name="ST_NumCompaniesWorked">'data with dummy variabes '!$V$2:$V$1471</definedName>
    <definedName name="ST_NumCompaniesWorked_40">'Updated Dummy'!$AN$2:$AN$1471</definedName>
    <definedName name="ST_OverTime">'data with dummy variabes '!$W$2:$W$1471</definedName>
    <definedName name="ST_OverTime_41">'Updated Dummy'!$AO$2:$AO$1471</definedName>
    <definedName name="ST_PercentSalaryHike">'data with dummy variabes '!$X$2:$X$1471</definedName>
    <definedName name="ST_PercentSalaryHike_42">'Updated Dummy'!$AP$2:$AP$1471</definedName>
    <definedName name="ST_PerformanceRating">'data with dummy variabes '!$Y$2:$Y$1471</definedName>
    <definedName name="ST_PerformanceRating_43">'Updated Dummy'!$AQ$2:$AQ$1471</definedName>
    <definedName name="ST_RelationshipSatisfaction">'data with dummy variabes '!$Z$2:$Z$1471</definedName>
    <definedName name="ST_RelationshipSatisfaction_44">'Updated Dummy'!$AR$2:$AR$1471</definedName>
    <definedName name="ST_StandardHours">'data with dummy variabes '!$AA$2:$AA$1471</definedName>
    <definedName name="ST_StandardHours_45">'Updated Dummy'!$AS$2:$AS$1471</definedName>
    <definedName name="ST_StockOptionLevel">'data with dummy variabes '!$AB$2:$AB$1471</definedName>
    <definedName name="ST_StockOptionLevel_46">'Updated Dummy'!$AT$2:$AT$1471</definedName>
    <definedName name="ST_TotalWorkingYears">'data with dummy variabes '!$AC$2:$AC$1471</definedName>
    <definedName name="ST_TotalWorkingYears_47">'Updated Dummy'!$AU$2:$AU$1471</definedName>
    <definedName name="ST_TrainingTimesLastYear">'data with dummy variabes '!$AD$2:$AD$1471</definedName>
    <definedName name="ST_TrainingTimesLastYear_48">'Updated Dummy'!$AV$2:$AV$1471</definedName>
    <definedName name="ST_WorkLifeBalance">'data with dummy variabes '!$AE$2:$AE$1471</definedName>
    <definedName name="ST_WorkLifeBalance_49">'Updated Dummy'!$AW$2:$AW$1471</definedName>
    <definedName name="ST_YearsAtCompany">'data with dummy variabes '!$AF$2:$AF$1471</definedName>
    <definedName name="ST_YearsAtCompany_50">'Updated Dummy'!$AX$2:$AX$1471</definedName>
    <definedName name="ST_YearsInCurrentRole">'data with dummy variabes '!$AG$2:$AG$1471</definedName>
    <definedName name="ST_YearsInCurrentRole_51">'Updated Dummy'!$AY$2:$AY$1471</definedName>
    <definedName name="ST_YearsSinceLastPromotion">'data with dummy variabes '!$AH$2:$AH$1471</definedName>
    <definedName name="ST_YearsSinceLastPromotion_52">'Updated Dummy'!$AZ$2:$AZ$1471</definedName>
    <definedName name="ST_YearsWithCurrManager">'data with dummy variabes '!$AI$2:$AI$1471</definedName>
    <definedName name="ST_YearsWithCurrManager_53">'Updated Dummy'!$BA$2:$BA$1471</definedName>
    <definedName name="STWBD_StatToolsCorrAndCovar_CorrelationTable" hidden="1">"TRUE"</definedName>
    <definedName name="STWBD_StatToolsCorrAndCovar_CovarianceTable" hidden="1">"TRUE"</definedName>
    <definedName name="STWBD_StatToolsCorrAndCovar_HasDefaultInfo" hidden="1">"TRUE"</definedName>
    <definedName name="STWBD_StatToolsCorrAndCovar_RankOrderCorrelationTable" hidden="1">"FALSE"</definedName>
    <definedName name="STWBD_StatToolsCorrAndCovar_TableStructure" hidden="1">" 2"</definedName>
    <definedName name="STWBD_StatToolsCorrAndCovar_VariableList" hidden="1">5</definedName>
    <definedName name="STWBD_StatToolsCorrAndCovar_VariableList_1" hidden="1">"U_x0001_VG13BB7763572EA2E_x0001_"</definedName>
    <definedName name="STWBD_StatToolsCorrAndCovar_VariableList_2" hidden="1">"U_x0001_VG296F69FA27B08F64_x0001_"</definedName>
    <definedName name="STWBD_StatToolsCorrAndCovar_VariableList_3" hidden="1">"U_x0001_VG24A9A70714065C4B_x0001_"</definedName>
    <definedName name="STWBD_StatToolsCorrAndCovar_VariableList_4" hidden="1">"U_x0001_VG19B248C32D89E15F_x0001_"</definedName>
    <definedName name="STWBD_StatToolsCorrAndCovar_VariableList_5" hidden="1">"U_x0001_VG20D203551A4D615F_x0001_"</definedName>
    <definedName name="STWBD_StatToolsCorrAndCovar_VarSelectorDefaultDataSet" hidden="1">"DG21B2E28"</definedName>
    <definedName name="STWBD_StatToolsLogistic_HasDefaultInfo" hidden="1">"TRUE"</definedName>
    <definedName name="STWBD_StatToolsLogistic_IncludeClassificationResults" hidden="1">"FALSE"</definedName>
    <definedName name="STWBD_StatToolsLogistic_IncludeClassificationSummary" hidden="1">"TRUE"</definedName>
    <definedName name="STWBD_StatToolsLogistic_IncludePrediction" hidden="1">"FALSE"</definedName>
    <definedName name="STWBD_StatToolsLogistic_LogisticRegressionType" hidden="1">" 0"</definedName>
    <definedName name="STWBD_StatToolsLogistic_VariableDependent" hidden="1">"U_x0001_VG24B316691F7612B5_x0001_"</definedName>
    <definedName name="STWBD_StatToolsLogistic_VariableListIndependent" hidden="1">19</definedName>
    <definedName name="STWBD_StatToolsLogistic_VariableListIndependent_1" hidden="1">"U_x0001_VG35064406D553900_x0001_"</definedName>
    <definedName name="STWBD_StatToolsLogistic_VariableListIndependent_10" hidden="1">"U_x0001_VG32F2228A29B3C817_x0001_"</definedName>
    <definedName name="STWBD_StatToolsLogistic_VariableListIndependent_11" hidden="1">"U_x0001_VG13DFBD245E006DF_x0001_"</definedName>
    <definedName name="STWBD_StatToolsLogistic_VariableListIndependent_12" hidden="1">"U_x0001_VG175769033EE5673_x0001_"</definedName>
    <definedName name="STWBD_StatToolsLogistic_VariableListIndependent_13" hidden="1">"U_x0001_VG320F80A3137FF3A6_x0001_"</definedName>
    <definedName name="STWBD_StatToolsLogistic_VariableListIndependent_14" hidden="1">"U_x0001_VG22D241821835B36_x0001_"</definedName>
    <definedName name="STWBD_StatToolsLogistic_VariableListIndependent_15" hidden="1">"U_x0001_VG15D8F619262CD598_x0001_"</definedName>
    <definedName name="STWBD_StatToolsLogistic_VariableListIndependent_16" hidden="1">"U_x0001_VGB15DBE9E923B85_x0001_"</definedName>
    <definedName name="STWBD_StatToolsLogistic_VariableListIndependent_17" hidden="1">"U_x0001_VG19B248C32D89E15F_x0001_"</definedName>
    <definedName name="STWBD_StatToolsLogistic_VariableListIndependent_18" hidden="1">"U_x0001_VG20D203551A4D615F_x0001_"</definedName>
    <definedName name="STWBD_StatToolsLogistic_VariableListIndependent_19" hidden="1">"U_x0001_VG56F7177127C8D17_x0001_"</definedName>
    <definedName name="STWBD_StatToolsLogistic_VariableListIndependent_2" hidden="1">"U_x0001_VG113DD1D32E0E574A_x0001_"</definedName>
    <definedName name="STWBD_StatToolsLogistic_VariableListIndependent_3" hidden="1">"U_x0001_VG22BFAD022C47CA7E_x0001_"</definedName>
    <definedName name="STWBD_StatToolsLogistic_VariableListIndependent_4" hidden="1">"U_x0001_VG23E449D8D901A39_x0001_"</definedName>
    <definedName name="STWBD_StatToolsLogistic_VariableListIndependent_5" hidden="1">"U_x0001_VG1FEDFAA21F838BA1_x0001_"</definedName>
    <definedName name="STWBD_StatToolsLogistic_VariableListIndependent_6" hidden="1">"U_x0001_VG24A9A70714065C4B_x0001_"</definedName>
    <definedName name="STWBD_StatToolsLogistic_VariableListIndependent_7" hidden="1">"U_x0001_VG27A930FFA088FB0_x0001_"</definedName>
    <definedName name="STWBD_StatToolsLogistic_VariableListIndependent_8" hidden="1">"U_x0001_VG38B896EA159E79B0_x0001_"</definedName>
    <definedName name="STWBD_StatToolsLogistic_VariableListIndependent_9" hidden="1">"U_x0001_VG3242383429547911_x0001_"</definedName>
    <definedName name="STWBD_StatToolsLogistic_VarSelectorDefaultDataSet" hidden="1">"DG21B2E28"</definedName>
  </definedNames>
  <calcPr calcId="162913"/>
</workbook>
</file>

<file path=xl/calcChain.xml><?xml version="1.0" encoding="utf-8"?>
<calcChain xmlns="http://schemas.openxmlformats.org/spreadsheetml/2006/main">
  <c r="B9" i="13" l="1"/>
  <c r="B9" i="12"/>
  <c r="ES7" i="7"/>
  <c r="EJ7" i="7"/>
  <c r="DR7" i="7"/>
  <c r="DI7" i="7"/>
  <c r="BB3" i="7"/>
  <c r="BB4" i="7"/>
  <c r="BB5" i="7"/>
  <c r="BB6" i="7"/>
  <c r="BB7" i="7"/>
  <c r="BB8" i="7"/>
  <c r="BB9" i="7"/>
  <c r="BB10" i="7"/>
  <c r="BB11" i="7"/>
  <c r="BB12" i="7"/>
  <c r="BB13" i="7"/>
  <c r="BB14" i="7"/>
  <c r="BB15" i="7"/>
  <c r="BB16" i="7"/>
  <c r="BB17" i="7"/>
  <c r="BB18" i="7"/>
  <c r="BB19" i="7"/>
  <c r="BB20" i="7"/>
  <c r="BB21" i="7"/>
  <c r="BB22" i="7"/>
  <c r="BB23" i="7"/>
  <c r="BB24" i="7"/>
  <c r="BB25" i="7"/>
  <c r="BB26" i="7"/>
  <c r="BB27" i="7"/>
  <c r="BB28" i="7"/>
  <c r="BB29" i="7"/>
  <c r="BB30" i="7"/>
  <c r="BB31" i="7"/>
  <c r="BB32" i="7"/>
  <c r="BB33" i="7"/>
  <c r="BB34" i="7"/>
  <c r="BB35" i="7"/>
  <c r="BB36" i="7"/>
  <c r="BB37" i="7"/>
  <c r="BB38" i="7"/>
  <c r="BB39" i="7"/>
  <c r="BB40" i="7"/>
  <c r="BB41" i="7"/>
  <c r="BB42" i="7"/>
  <c r="BB43" i="7"/>
  <c r="BB44" i="7"/>
  <c r="BB45" i="7"/>
  <c r="BB46" i="7"/>
  <c r="BB47" i="7"/>
  <c r="BB48" i="7"/>
  <c r="BB49" i="7"/>
  <c r="BB50" i="7"/>
  <c r="BB51" i="7"/>
  <c r="BB52" i="7"/>
  <c r="BB53" i="7"/>
  <c r="BB54" i="7"/>
  <c r="BB55" i="7"/>
  <c r="BB56" i="7"/>
  <c r="BB57" i="7"/>
  <c r="BB58" i="7"/>
  <c r="BB59" i="7"/>
  <c r="BB60" i="7"/>
  <c r="BB61" i="7"/>
  <c r="BB62" i="7"/>
  <c r="BB63" i="7"/>
  <c r="BB64" i="7"/>
  <c r="BB65" i="7"/>
  <c r="BB66" i="7"/>
  <c r="BB67" i="7"/>
  <c r="BB68" i="7"/>
  <c r="BB69" i="7"/>
  <c r="BB70" i="7"/>
  <c r="BB71" i="7"/>
  <c r="BB72" i="7"/>
  <c r="BB73" i="7"/>
  <c r="BB74" i="7"/>
  <c r="BB75" i="7"/>
  <c r="BB76" i="7"/>
  <c r="BB77" i="7"/>
  <c r="BB78" i="7"/>
  <c r="BB79" i="7"/>
  <c r="BB80" i="7"/>
  <c r="BB81" i="7"/>
  <c r="BB82" i="7"/>
  <c r="BB83" i="7"/>
  <c r="BB84" i="7"/>
  <c r="BB85" i="7"/>
  <c r="BB86" i="7"/>
  <c r="BB87" i="7"/>
  <c r="BB88" i="7"/>
  <c r="BB89" i="7"/>
  <c r="BB90" i="7"/>
  <c r="BB91" i="7"/>
  <c r="BB92" i="7"/>
  <c r="BB93" i="7"/>
  <c r="BB94" i="7"/>
  <c r="BB95" i="7"/>
  <c r="BB96" i="7"/>
  <c r="BB97" i="7"/>
  <c r="BB98" i="7"/>
  <c r="BB99" i="7"/>
  <c r="BB100" i="7"/>
  <c r="BB101" i="7"/>
  <c r="BB102" i="7"/>
  <c r="BB103" i="7"/>
  <c r="BB104" i="7"/>
  <c r="BB105" i="7"/>
  <c r="BB106" i="7"/>
  <c r="BB107" i="7"/>
  <c r="BB108" i="7"/>
  <c r="BB109" i="7"/>
  <c r="BB110" i="7"/>
  <c r="BB111" i="7"/>
  <c r="BB112" i="7"/>
  <c r="BB113" i="7"/>
  <c r="BB114" i="7"/>
  <c r="BB115" i="7"/>
  <c r="BB116" i="7"/>
  <c r="BB117" i="7"/>
  <c r="BB118" i="7"/>
  <c r="BB119" i="7"/>
  <c r="BB120" i="7"/>
  <c r="BB121" i="7"/>
  <c r="BB122" i="7"/>
  <c r="BB123" i="7"/>
  <c r="BB124" i="7"/>
  <c r="BB125" i="7"/>
  <c r="BB126" i="7"/>
  <c r="BB127" i="7"/>
  <c r="BB128" i="7"/>
  <c r="BB129" i="7"/>
  <c r="BB130" i="7"/>
  <c r="BB131" i="7"/>
  <c r="BB132" i="7"/>
  <c r="BB133" i="7"/>
  <c r="BB134" i="7"/>
  <c r="BB135" i="7"/>
  <c r="BB136" i="7"/>
  <c r="BB137" i="7"/>
  <c r="BB138" i="7"/>
  <c r="BB139" i="7"/>
  <c r="BB140" i="7"/>
  <c r="BB141" i="7"/>
  <c r="BB142" i="7"/>
  <c r="BB143" i="7"/>
  <c r="BB144" i="7"/>
  <c r="BB145" i="7"/>
  <c r="BB146" i="7"/>
  <c r="BB147" i="7"/>
  <c r="BB148" i="7"/>
  <c r="BB149" i="7"/>
  <c r="BB150" i="7"/>
  <c r="BB151" i="7"/>
  <c r="BB152" i="7"/>
  <c r="BB153" i="7"/>
  <c r="BB154" i="7"/>
  <c r="BB155" i="7"/>
  <c r="BB156" i="7"/>
  <c r="BB157" i="7"/>
  <c r="BB158" i="7"/>
  <c r="BB159" i="7"/>
  <c r="BB160" i="7"/>
  <c r="BB161" i="7"/>
  <c r="BB162" i="7"/>
  <c r="BB163" i="7"/>
  <c r="BB164" i="7"/>
  <c r="BB165" i="7"/>
  <c r="BB166" i="7"/>
  <c r="BB167" i="7"/>
  <c r="BB168" i="7"/>
  <c r="BB169" i="7"/>
  <c r="BB170" i="7"/>
  <c r="BB171" i="7"/>
  <c r="BB172" i="7"/>
  <c r="B172" i="12" s="1"/>
  <c r="BB173" i="7"/>
  <c r="BB174" i="7"/>
  <c r="BB175" i="7"/>
  <c r="BB176" i="7"/>
  <c r="BB177" i="7"/>
  <c r="BB178" i="7"/>
  <c r="BB179" i="7"/>
  <c r="BB180" i="7"/>
  <c r="BB181" i="7"/>
  <c r="BB182" i="7"/>
  <c r="BB183" i="7"/>
  <c r="BB184" i="7"/>
  <c r="BB185" i="7"/>
  <c r="BB186" i="7"/>
  <c r="BB187" i="7"/>
  <c r="BB188" i="7"/>
  <c r="BB189" i="7"/>
  <c r="BB190" i="7"/>
  <c r="BB191" i="7"/>
  <c r="BB192" i="7"/>
  <c r="BB193" i="7"/>
  <c r="BB194" i="7"/>
  <c r="BB195" i="7"/>
  <c r="BB196" i="7"/>
  <c r="BB197" i="7"/>
  <c r="BB198" i="7"/>
  <c r="BB199" i="7"/>
  <c r="BB200" i="7"/>
  <c r="BB201" i="7"/>
  <c r="BB202" i="7"/>
  <c r="BB203" i="7"/>
  <c r="BB204" i="7"/>
  <c r="BB205" i="7"/>
  <c r="BB206" i="7"/>
  <c r="BB207" i="7"/>
  <c r="BB208" i="7"/>
  <c r="BB209" i="7"/>
  <c r="BB210" i="7"/>
  <c r="BB211" i="7"/>
  <c r="BB212" i="7"/>
  <c r="BB213" i="7"/>
  <c r="BB214" i="7"/>
  <c r="BB215" i="7"/>
  <c r="BB216" i="7"/>
  <c r="BB217" i="7"/>
  <c r="BB218" i="7"/>
  <c r="BB219" i="7"/>
  <c r="BB220" i="7"/>
  <c r="BB221" i="7"/>
  <c r="BB222" i="7"/>
  <c r="BB223" i="7"/>
  <c r="BB224" i="7"/>
  <c r="BB225" i="7"/>
  <c r="BB226" i="7"/>
  <c r="BB227" i="7"/>
  <c r="BB228" i="7"/>
  <c r="BB229" i="7"/>
  <c r="BB230" i="7"/>
  <c r="BB231" i="7"/>
  <c r="BB232" i="7"/>
  <c r="BB233" i="7"/>
  <c r="BB234" i="7"/>
  <c r="BB235" i="7"/>
  <c r="BB236" i="7"/>
  <c r="BB237" i="7"/>
  <c r="BB238" i="7"/>
  <c r="BB239" i="7"/>
  <c r="BB240" i="7"/>
  <c r="BB241" i="7"/>
  <c r="BB242" i="7"/>
  <c r="BB243" i="7"/>
  <c r="BB244" i="7"/>
  <c r="BB245" i="7"/>
  <c r="BB246" i="7"/>
  <c r="BB247" i="7"/>
  <c r="BB248" i="7"/>
  <c r="BB249" i="7"/>
  <c r="BB250" i="7"/>
  <c r="BB251" i="7"/>
  <c r="BB252" i="7"/>
  <c r="BB253" i="7"/>
  <c r="BB254" i="7"/>
  <c r="BB255" i="7"/>
  <c r="BB256" i="7"/>
  <c r="BB257" i="7"/>
  <c r="BB258" i="7"/>
  <c r="BB259" i="7"/>
  <c r="BB260" i="7"/>
  <c r="BB261" i="7"/>
  <c r="BB262" i="7"/>
  <c r="BB263" i="7"/>
  <c r="BB264" i="7"/>
  <c r="BB265" i="7"/>
  <c r="BB266" i="7"/>
  <c r="BB267" i="7"/>
  <c r="BB268" i="7"/>
  <c r="BB269" i="7"/>
  <c r="BB270" i="7"/>
  <c r="BB271" i="7"/>
  <c r="BB272" i="7"/>
  <c r="BB273" i="7"/>
  <c r="BB274" i="7"/>
  <c r="BB275" i="7"/>
  <c r="BB276" i="7"/>
  <c r="BB277" i="7"/>
  <c r="BB278" i="7"/>
  <c r="BB279" i="7"/>
  <c r="BB280" i="7"/>
  <c r="BB281" i="7"/>
  <c r="BB282" i="7"/>
  <c r="BB283" i="7"/>
  <c r="BB284" i="7"/>
  <c r="BB285" i="7"/>
  <c r="BB286" i="7"/>
  <c r="BB287" i="7"/>
  <c r="BB288" i="7"/>
  <c r="BB289" i="7"/>
  <c r="BB290" i="7"/>
  <c r="BB291" i="7"/>
  <c r="BB292" i="7"/>
  <c r="BB293" i="7"/>
  <c r="BB294" i="7"/>
  <c r="BB295" i="7"/>
  <c r="BB296" i="7"/>
  <c r="BB297" i="7"/>
  <c r="BB298" i="7"/>
  <c r="BB299" i="7"/>
  <c r="BB300" i="7"/>
  <c r="BB301" i="7"/>
  <c r="BB302" i="7"/>
  <c r="BB303" i="7"/>
  <c r="BB304" i="7"/>
  <c r="BB305" i="7"/>
  <c r="BB306" i="7"/>
  <c r="BB307" i="7"/>
  <c r="BB308" i="7"/>
  <c r="BB309" i="7"/>
  <c r="BB310" i="7"/>
  <c r="BB311" i="7"/>
  <c r="BB312" i="7"/>
  <c r="BB313" i="7"/>
  <c r="BB314" i="7"/>
  <c r="BB315" i="7"/>
  <c r="BB316" i="7"/>
  <c r="BB317" i="7"/>
  <c r="BB318" i="7"/>
  <c r="BB319" i="7"/>
  <c r="BB320" i="7"/>
  <c r="BB321" i="7"/>
  <c r="BB322" i="7"/>
  <c r="BB323" i="7"/>
  <c r="BB324" i="7"/>
  <c r="BB325" i="7"/>
  <c r="BB326" i="7"/>
  <c r="BB327" i="7"/>
  <c r="BB328" i="7"/>
  <c r="BB329" i="7"/>
  <c r="BB330" i="7"/>
  <c r="BB331" i="7"/>
  <c r="BB332" i="7"/>
  <c r="BB333" i="7"/>
  <c r="BB334" i="7"/>
  <c r="BB335" i="7"/>
  <c r="BB336" i="7"/>
  <c r="BB337" i="7"/>
  <c r="BB338" i="7"/>
  <c r="BB339" i="7"/>
  <c r="BB340" i="7"/>
  <c r="BB341" i="7"/>
  <c r="BB342" i="7"/>
  <c r="BB343" i="7"/>
  <c r="BB344" i="7"/>
  <c r="BB345" i="7"/>
  <c r="BB346" i="7"/>
  <c r="BB347" i="7"/>
  <c r="BB348" i="7"/>
  <c r="BB349" i="7"/>
  <c r="BB350" i="7"/>
  <c r="BB351" i="7"/>
  <c r="BB352" i="7"/>
  <c r="BB353" i="7"/>
  <c r="BB354" i="7"/>
  <c r="BB355" i="7"/>
  <c r="BB356" i="7"/>
  <c r="BB357" i="7"/>
  <c r="BB358" i="7"/>
  <c r="BB359" i="7"/>
  <c r="BB360" i="7"/>
  <c r="BB361" i="7"/>
  <c r="BB362" i="7"/>
  <c r="BB363" i="7"/>
  <c r="BB364" i="7"/>
  <c r="BB365" i="7"/>
  <c r="BB366" i="7"/>
  <c r="BB367" i="7"/>
  <c r="BB368" i="7"/>
  <c r="BB369" i="7"/>
  <c r="BB370" i="7"/>
  <c r="BB371" i="7"/>
  <c r="BB372" i="7"/>
  <c r="BB373" i="7"/>
  <c r="BB374" i="7"/>
  <c r="BB375" i="7"/>
  <c r="BB376" i="7"/>
  <c r="BB377" i="7"/>
  <c r="BB378" i="7"/>
  <c r="BB379" i="7"/>
  <c r="BB380" i="7"/>
  <c r="BB381" i="7"/>
  <c r="BB382" i="7"/>
  <c r="BB383" i="7"/>
  <c r="BB384" i="7"/>
  <c r="BB385" i="7"/>
  <c r="BB386" i="7"/>
  <c r="BB387" i="7"/>
  <c r="BB388" i="7"/>
  <c r="BB389" i="7"/>
  <c r="BB390" i="7"/>
  <c r="BB391" i="7"/>
  <c r="BB392" i="7"/>
  <c r="BB393" i="7"/>
  <c r="BB394" i="7"/>
  <c r="BB395" i="7"/>
  <c r="BB396" i="7"/>
  <c r="BB397" i="7"/>
  <c r="BB398" i="7"/>
  <c r="BB399" i="7"/>
  <c r="BB400" i="7"/>
  <c r="BB401" i="7"/>
  <c r="BB402" i="7"/>
  <c r="BB403" i="7"/>
  <c r="BB404" i="7"/>
  <c r="BB405" i="7"/>
  <c r="BB406" i="7"/>
  <c r="BB407" i="7"/>
  <c r="BB408" i="7"/>
  <c r="BB409" i="7"/>
  <c r="BB410" i="7"/>
  <c r="BB411" i="7"/>
  <c r="BB412" i="7"/>
  <c r="BB413" i="7"/>
  <c r="BB414" i="7"/>
  <c r="BB415" i="7"/>
  <c r="BB416" i="7"/>
  <c r="BB417" i="7"/>
  <c r="BB418" i="7"/>
  <c r="BB419" i="7"/>
  <c r="BB420" i="7"/>
  <c r="BB421" i="7"/>
  <c r="BB422" i="7"/>
  <c r="BB423" i="7"/>
  <c r="BB424" i="7"/>
  <c r="BB425" i="7"/>
  <c r="BB426" i="7"/>
  <c r="BB427" i="7"/>
  <c r="BB428" i="7"/>
  <c r="BB429" i="7"/>
  <c r="BB430" i="7"/>
  <c r="BB431" i="7"/>
  <c r="BB432" i="7"/>
  <c r="BB433" i="7"/>
  <c r="BB434" i="7"/>
  <c r="BB435" i="7"/>
  <c r="BB436" i="7"/>
  <c r="BB437" i="7"/>
  <c r="BB438" i="7"/>
  <c r="BB439" i="7"/>
  <c r="BB440" i="7"/>
  <c r="BB441" i="7"/>
  <c r="BB442" i="7"/>
  <c r="BB443" i="7"/>
  <c r="BB444" i="7"/>
  <c r="BB445" i="7"/>
  <c r="BB446" i="7"/>
  <c r="BB447" i="7"/>
  <c r="BB448" i="7"/>
  <c r="BB449" i="7"/>
  <c r="BB450" i="7"/>
  <c r="BB451" i="7"/>
  <c r="BB452" i="7"/>
  <c r="BB453" i="7"/>
  <c r="BB454" i="7"/>
  <c r="BB455" i="7"/>
  <c r="BB456" i="7"/>
  <c r="BB457" i="7"/>
  <c r="BB458" i="7"/>
  <c r="BB459" i="7"/>
  <c r="BB460" i="7"/>
  <c r="BB461" i="7"/>
  <c r="BB462" i="7"/>
  <c r="BB463" i="7"/>
  <c r="BB464" i="7"/>
  <c r="BB465" i="7"/>
  <c r="BB466" i="7"/>
  <c r="BB467" i="7"/>
  <c r="BB468" i="7"/>
  <c r="BB469" i="7"/>
  <c r="BB470" i="7"/>
  <c r="BB471" i="7"/>
  <c r="BB472" i="7"/>
  <c r="BB473" i="7"/>
  <c r="BB474" i="7"/>
  <c r="BB475" i="7"/>
  <c r="BB476" i="7"/>
  <c r="BB477" i="7"/>
  <c r="BB478" i="7"/>
  <c r="BB479" i="7"/>
  <c r="BB480" i="7"/>
  <c r="BB481" i="7"/>
  <c r="BB482" i="7"/>
  <c r="BB483" i="7"/>
  <c r="BB484" i="7"/>
  <c r="BB485" i="7"/>
  <c r="BB486" i="7"/>
  <c r="BB487" i="7"/>
  <c r="BB488" i="7"/>
  <c r="BB489" i="7"/>
  <c r="BB490" i="7"/>
  <c r="BB491" i="7"/>
  <c r="BB492" i="7"/>
  <c r="BB493" i="7"/>
  <c r="BB494" i="7"/>
  <c r="BB495" i="7"/>
  <c r="BB496" i="7"/>
  <c r="BB497" i="7"/>
  <c r="BB498" i="7"/>
  <c r="BB499" i="7"/>
  <c r="BB500" i="7"/>
  <c r="BB501" i="7"/>
  <c r="BB502" i="7"/>
  <c r="BB503" i="7"/>
  <c r="BB504" i="7"/>
  <c r="BB505" i="7"/>
  <c r="BB506" i="7"/>
  <c r="BB507" i="7"/>
  <c r="BB508" i="7"/>
  <c r="BB509" i="7"/>
  <c r="BB510" i="7"/>
  <c r="BB511" i="7"/>
  <c r="BB512" i="7"/>
  <c r="BB513" i="7"/>
  <c r="BB514" i="7"/>
  <c r="BB515" i="7"/>
  <c r="BB516" i="7"/>
  <c r="BB517" i="7"/>
  <c r="BB518" i="7"/>
  <c r="BB519" i="7"/>
  <c r="BB520" i="7"/>
  <c r="BB521" i="7"/>
  <c r="BB522" i="7"/>
  <c r="BB523" i="7"/>
  <c r="BB524" i="7"/>
  <c r="BB525" i="7"/>
  <c r="BB526" i="7"/>
  <c r="BB527" i="7"/>
  <c r="BB528" i="7"/>
  <c r="BB529" i="7"/>
  <c r="BB530" i="7"/>
  <c r="BB531" i="7"/>
  <c r="BB532" i="7"/>
  <c r="BB533" i="7"/>
  <c r="BB534" i="7"/>
  <c r="BB535" i="7"/>
  <c r="BB536" i="7"/>
  <c r="BB537" i="7"/>
  <c r="BB538" i="7"/>
  <c r="BB539" i="7"/>
  <c r="BB540" i="7"/>
  <c r="BB541" i="7"/>
  <c r="BB542" i="7"/>
  <c r="BB543" i="7"/>
  <c r="BB544" i="7"/>
  <c r="BB545" i="7"/>
  <c r="BB546" i="7"/>
  <c r="BB547" i="7"/>
  <c r="BB548" i="7"/>
  <c r="BB549" i="7"/>
  <c r="BB550" i="7"/>
  <c r="BB551" i="7"/>
  <c r="BB552" i="7"/>
  <c r="BB553" i="7"/>
  <c r="BB554" i="7"/>
  <c r="BB555" i="7"/>
  <c r="BB556" i="7"/>
  <c r="BB557" i="7"/>
  <c r="BB558" i="7"/>
  <c r="BB559" i="7"/>
  <c r="BB560" i="7"/>
  <c r="BB561" i="7"/>
  <c r="BB562" i="7"/>
  <c r="BB563" i="7"/>
  <c r="BB564" i="7"/>
  <c r="BB565" i="7"/>
  <c r="BB566" i="7"/>
  <c r="BB567" i="7"/>
  <c r="BB568" i="7"/>
  <c r="BB569" i="7"/>
  <c r="BB570" i="7"/>
  <c r="BB571" i="7"/>
  <c r="BB572" i="7"/>
  <c r="BB573" i="7"/>
  <c r="BB574" i="7"/>
  <c r="BB575" i="7"/>
  <c r="BB576" i="7"/>
  <c r="BB577" i="7"/>
  <c r="BB578" i="7"/>
  <c r="BB579" i="7"/>
  <c r="BB580" i="7"/>
  <c r="BB581" i="7"/>
  <c r="BB582" i="7"/>
  <c r="BB583" i="7"/>
  <c r="BB584" i="7"/>
  <c r="BB585" i="7"/>
  <c r="BB586" i="7"/>
  <c r="BB587" i="7"/>
  <c r="BB588" i="7"/>
  <c r="BB589" i="7"/>
  <c r="BB590" i="7"/>
  <c r="BB591" i="7"/>
  <c r="BB592" i="7"/>
  <c r="BB593" i="7"/>
  <c r="BB594" i="7"/>
  <c r="BB595" i="7"/>
  <c r="BB596" i="7"/>
  <c r="BB597" i="7"/>
  <c r="BB598" i="7"/>
  <c r="BB599" i="7"/>
  <c r="BB600" i="7"/>
  <c r="BB601" i="7"/>
  <c r="BB602" i="7"/>
  <c r="BB603" i="7"/>
  <c r="BB604" i="7"/>
  <c r="BB605" i="7"/>
  <c r="BB606" i="7"/>
  <c r="BB607" i="7"/>
  <c r="BB608" i="7"/>
  <c r="BB609" i="7"/>
  <c r="BB610" i="7"/>
  <c r="BB611" i="7"/>
  <c r="BB612" i="7"/>
  <c r="BB613" i="7"/>
  <c r="BB614" i="7"/>
  <c r="BB615" i="7"/>
  <c r="BB616" i="7"/>
  <c r="BB617" i="7"/>
  <c r="BB618" i="7"/>
  <c r="BB619" i="7"/>
  <c r="BB620" i="7"/>
  <c r="BB621" i="7"/>
  <c r="BB622" i="7"/>
  <c r="BB623" i="7"/>
  <c r="BB624" i="7"/>
  <c r="BB625" i="7"/>
  <c r="BB626" i="7"/>
  <c r="BB627" i="7"/>
  <c r="BB628" i="7"/>
  <c r="BB629" i="7"/>
  <c r="BB630" i="7"/>
  <c r="BB631" i="7"/>
  <c r="BB632" i="7"/>
  <c r="BB633" i="7"/>
  <c r="BB634" i="7"/>
  <c r="BB635" i="7"/>
  <c r="BB636" i="7"/>
  <c r="BB637" i="7"/>
  <c r="BB638" i="7"/>
  <c r="BB639" i="7"/>
  <c r="BB640" i="7"/>
  <c r="BB641" i="7"/>
  <c r="BB642" i="7"/>
  <c r="BB643" i="7"/>
  <c r="BB644" i="7"/>
  <c r="BB645" i="7"/>
  <c r="BB646" i="7"/>
  <c r="BB647" i="7"/>
  <c r="BB648" i="7"/>
  <c r="BB649" i="7"/>
  <c r="BB650" i="7"/>
  <c r="BB651" i="7"/>
  <c r="BB652" i="7"/>
  <c r="BB653" i="7"/>
  <c r="BB654" i="7"/>
  <c r="BB655" i="7"/>
  <c r="BB656" i="7"/>
  <c r="BB657" i="7"/>
  <c r="BB658" i="7"/>
  <c r="BB659" i="7"/>
  <c r="BB660" i="7"/>
  <c r="BB661" i="7"/>
  <c r="BB662" i="7"/>
  <c r="BB663" i="7"/>
  <c r="BB664" i="7"/>
  <c r="BB665" i="7"/>
  <c r="BB666" i="7"/>
  <c r="BB667" i="7"/>
  <c r="BB668" i="7"/>
  <c r="BB669" i="7"/>
  <c r="BB670" i="7"/>
  <c r="BB671" i="7"/>
  <c r="BB672" i="7"/>
  <c r="BB673" i="7"/>
  <c r="BB674" i="7"/>
  <c r="BB675" i="7"/>
  <c r="BB676" i="7"/>
  <c r="BB677" i="7"/>
  <c r="BB678" i="7"/>
  <c r="BB679" i="7"/>
  <c r="BB680" i="7"/>
  <c r="BB681" i="7"/>
  <c r="BB682" i="7"/>
  <c r="BB683" i="7"/>
  <c r="BB684" i="7"/>
  <c r="BB685" i="7"/>
  <c r="BB686" i="7"/>
  <c r="BB687" i="7"/>
  <c r="BB688" i="7"/>
  <c r="BB689" i="7"/>
  <c r="BB690" i="7"/>
  <c r="BB691" i="7"/>
  <c r="BB692" i="7"/>
  <c r="BB693" i="7"/>
  <c r="BB694" i="7"/>
  <c r="BB695" i="7"/>
  <c r="BB696" i="7"/>
  <c r="BB697" i="7"/>
  <c r="BB698" i="7"/>
  <c r="BB699" i="7"/>
  <c r="BB700" i="7"/>
  <c r="BB701" i="7"/>
  <c r="BB702" i="7"/>
  <c r="BB703" i="7"/>
  <c r="BB704" i="7"/>
  <c r="BB705" i="7"/>
  <c r="BB706" i="7"/>
  <c r="BB707" i="7"/>
  <c r="BB708" i="7"/>
  <c r="BB709" i="7"/>
  <c r="BB710" i="7"/>
  <c r="BB711" i="7"/>
  <c r="BB712" i="7"/>
  <c r="BB713" i="7"/>
  <c r="BB714" i="7"/>
  <c r="BB715" i="7"/>
  <c r="BB716" i="7"/>
  <c r="BB717" i="7"/>
  <c r="BB718" i="7"/>
  <c r="BB719" i="7"/>
  <c r="BB720" i="7"/>
  <c r="BB721" i="7"/>
  <c r="BB722" i="7"/>
  <c r="BB723" i="7"/>
  <c r="BB724" i="7"/>
  <c r="BB725" i="7"/>
  <c r="BB726" i="7"/>
  <c r="BB727" i="7"/>
  <c r="BB728" i="7"/>
  <c r="BB729" i="7"/>
  <c r="BB730" i="7"/>
  <c r="BB731" i="7"/>
  <c r="BB732" i="7"/>
  <c r="BB733" i="7"/>
  <c r="BB734" i="7"/>
  <c r="BB735" i="7"/>
  <c r="BB736" i="7"/>
  <c r="BB737" i="7"/>
  <c r="BB738" i="7"/>
  <c r="BB739" i="7"/>
  <c r="BB740" i="7"/>
  <c r="BB741" i="7"/>
  <c r="BB742" i="7"/>
  <c r="BB743" i="7"/>
  <c r="BB744" i="7"/>
  <c r="BB745" i="7"/>
  <c r="BB746" i="7"/>
  <c r="BB747" i="7"/>
  <c r="BB748" i="7"/>
  <c r="BB749" i="7"/>
  <c r="BB750" i="7"/>
  <c r="BB751" i="7"/>
  <c r="BB752" i="7"/>
  <c r="BB753" i="7"/>
  <c r="BB754" i="7"/>
  <c r="BB755" i="7"/>
  <c r="BB756" i="7"/>
  <c r="BB757" i="7"/>
  <c r="BB758" i="7"/>
  <c r="BB759" i="7"/>
  <c r="BB760" i="7"/>
  <c r="BB761" i="7"/>
  <c r="BB762" i="7"/>
  <c r="BB763" i="7"/>
  <c r="BB764" i="7"/>
  <c r="BB765" i="7"/>
  <c r="BB766" i="7"/>
  <c r="BB767" i="7"/>
  <c r="BB768" i="7"/>
  <c r="BB769" i="7"/>
  <c r="BB770" i="7"/>
  <c r="BB771" i="7"/>
  <c r="BB772" i="7"/>
  <c r="BB773" i="7"/>
  <c r="BB774" i="7"/>
  <c r="BB775" i="7"/>
  <c r="BB776" i="7"/>
  <c r="BB777" i="7"/>
  <c r="BB778" i="7"/>
  <c r="BB779" i="7"/>
  <c r="BB780" i="7"/>
  <c r="BB781" i="7"/>
  <c r="BB782" i="7"/>
  <c r="BB783" i="7"/>
  <c r="BB784" i="7"/>
  <c r="BB785" i="7"/>
  <c r="BB786" i="7"/>
  <c r="BB787" i="7"/>
  <c r="BB788" i="7"/>
  <c r="BB789" i="7"/>
  <c r="BB790" i="7"/>
  <c r="BB791" i="7"/>
  <c r="BB792" i="7"/>
  <c r="BB793" i="7"/>
  <c r="BB794" i="7"/>
  <c r="BB795" i="7"/>
  <c r="BB796" i="7"/>
  <c r="BB797" i="7"/>
  <c r="BB798" i="7"/>
  <c r="BB799" i="7"/>
  <c r="BB800" i="7"/>
  <c r="BB801" i="7"/>
  <c r="BB802" i="7"/>
  <c r="BB803" i="7"/>
  <c r="BB804" i="7"/>
  <c r="BB805" i="7"/>
  <c r="BB806" i="7"/>
  <c r="BB807" i="7"/>
  <c r="BB808" i="7"/>
  <c r="BB809" i="7"/>
  <c r="BB810" i="7"/>
  <c r="BB811" i="7"/>
  <c r="BB812" i="7"/>
  <c r="BB813" i="7"/>
  <c r="BB814" i="7"/>
  <c r="BB815" i="7"/>
  <c r="BB816" i="7"/>
  <c r="BB817" i="7"/>
  <c r="BB818" i="7"/>
  <c r="BB819" i="7"/>
  <c r="BB820" i="7"/>
  <c r="BB821" i="7"/>
  <c r="BB822" i="7"/>
  <c r="BB823" i="7"/>
  <c r="BB824" i="7"/>
  <c r="BB825" i="7"/>
  <c r="BB826" i="7"/>
  <c r="BB827" i="7"/>
  <c r="BB828" i="7"/>
  <c r="BB829" i="7"/>
  <c r="BB830" i="7"/>
  <c r="BB831" i="7"/>
  <c r="BB832" i="7"/>
  <c r="BB833" i="7"/>
  <c r="BB834" i="7"/>
  <c r="BB835" i="7"/>
  <c r="BB836" i="7"/>
  <c r="BB837" i="7"/>
  <c r="BB838" i="7"/>
  <c r="BB839" i="7"/>
  <c r="BB840" i="7"/>
  <c r="BB841" i="7"/>
  <c r="BB842" i="7"/>
  <c r="BB843" i="7"/>
  <c r="BB844" i="7"/>
  <c r="BB845" i="7"/>
  <c r="BB846" i="7"/>
  <c r="BB847" i="7"/>
  <c r="BB848" i="7"/>
  <c r="BB849" i="7"/>
  <c r="BB850" i="7"/>
  <c r="BB851" i="7"/>
  <c r="BB852" i="7"/>
  <c r="BB853" i="7"/>
  <c r="BB854" i="7"/>
  <c r="BB855" i="7"/>
  <c r="BB856" i="7"/>
  <c r="BB857" i="7"/>
  <c r="BB858" i="7"/>
  <c r="BB859" i="7"/>
  <c r="BB860" i="7"/>
  <c r="BB861" i="7"/>
  <c r="BB862" i="7"/>
  <c r="BB863" i="7"/>
  <c r="BB864" i="7"/>
  <c r="BB865" i="7"/>
  <c r="BB866" i="7"/>
  <c r="BB867" i="7"/>
  <c r="BB868" i="7"/>
  <c r="BB869" i="7"/>
  <c r="BB870" i="7"/>
  <c r="BB871" i="7"/>
  <c r="BB872" i="7"/>
  <c r="BB873" i="7"/>
  <c r="BB874" i="7"/>
  <c r="BB875" i="7"/>
  <c r="BB876" i="7"/>
  <c r="BB877" i="7"/>
  <c r="BB878" i="7"/>
  <c r="BB879" i="7"/>
  <c r="BB880" i="7"/>
  <c r="BB881" i="7"/>
  <c r="BB882" i="7"/>
  <c r="BB883" i="7"/>
  <c r="BB884" i="7"/>
  <c r="BB885" i="7"/>
  <c r="BB886" i="7"/>
  <c r="BB887" i="7"/>
  <c r="BB888" i="7"/>
  <c r="BB889" i="7"/>
  <c r="BB890" i="7"/>
  <c r="BB891" i="7"/>
  <c r="BB892" i="7"/>
  <c r="BB893" i="7"/>
  <c r="BB894" i="7"/>
  <c r="BB895" i="7"/>
  <c r="BB896" i="7"/>
  <c r="BB897" i="7"/>
  <c r="BB898" i="7"/>
  <c r="BB899" i="7"/>
  <c r="BB900" i="7"/>
  <c r="BB901" i="7"/>
  <c r="BB902" i="7"/>
  <c r="BB903" i="7"/>
  <c r="BB904" i="7"/>
  <c r="BB905" i="7"/>
  <c r="BB906" i="7"/>
  <c r="BB907" i="7"/>
  <c r="BB908" i="7"/>
  <c r="BB909" i="7"/>
  <c r="BB910" i="7"/>
  <c r="BB911" i="7"/>
  <c r="BB912" i="7"/>
  <c r="BB913" i="7"/>
  <c r="BB914" i="7"/>
  <c r="BB915" i="7"/>
  <c r="BB916" i="7"/>
  <c r="BB917" i="7"/>
  <c r="BB918" i="7"/>
  <c r="BB919" i="7"/>
  <c r="BB920" i="7"/>
  <c r="BB921" i="7"/>
  <c r="BB922" i="7"/>
  <c r="BB923" i="7"/>
  <c r="BB924" i="7"/>
  <c r="BB925" i="7"/>
  <c r="BB926" i="7"/>
  <c r="BB927" i="7"/>
  <c r="BB928" i="7"/>
  <c r="BB929" i="7"/>
  <c r="BB930" i="7"/>
  <c r="BB931" i="7"/>
  <c r="BB932" i="7"/>
  <c r="BB933" i="7"/>
  <c r="BB934" i="7"/>
  <c r="BB935" i="7"/>
  <c r="BB936" i="7"/>
  <c r="BB937" i="7"/>
  <c r="BB938" i="7"/>
  <c r="BB939" i="7"/>
  <c r="BB940" i="7"/>
  <c r="BB941" i="7"/>
  <c r="BB942" i="7"/>
  <c r="BB943" i="7"/>
  <c r="BB944" i="7"/>
  <c r="BB945" i="7"/>
  <c r="BB946" i="7"/>
  <c r="BB947" i="7"/>
  <c r="BB948" i="7"/>
  <c r="BB949" i="7"/>
  <c r="BB950" i="7"/>
  <c r="BB951" i="7"/>
  <c r="BB952" i="7"/>
  <c r="BB953" i="7"/>
  <c r="BB954" i="7"/>
  <c r="BB955" i="7"/>
  <c r="BB956" i="7"/>
  <c r="BB957" i="7"/>
  <c r="BB958" i="7"/>
  <c r="BB959" i="7"/>
  <c r="BB960" i="7"/>
  <c r="BB961" i="7"/>
  <c r="BB962" i="7"/>
  <c r="BB963" i="7"/>
  <c r="BB964" i="7"/>
  <c r="BB965" i="7"/>
  <c r="BB966" i="7"/>
  <c r="BB967" i="7"/>
  <c r="BB968" i="7"/>
  <c r="BB969" i="7"/>
  <c r="BB970" i="7"/>
  <c r="BB971" i="7"/>
  <c r="BB972" i="7"/>
  <c r="BB973" i="7"/>
  <c r="BB974" i="7"/>
  <c r="BB975" i="7"/>
  <c r="BB976" i="7"/>
  <c r="BB977" i="7"/>
  <c r="BB978" i="7"/>
  <c r="BB979" i="7"/>
  <c r="BB980" i="7"/>
  <c r="BB981" i="7"/>
  <c r="BB982" i="7"/>
  <c r="BB983" i="7"/>
  <c r="BB984" i="7"/>
  <c r="BB985" i="7"/>
  <c r="BB986" i="7"/>
  <c r="BB987" i="7"/>
  <c r="BB988" i="7"/>
  <c r="BB989" i="7"/>
  <c r="BB990" i="7"/>
  <c r="BB991" i="7"/>
  <c r="BB992" i="7"/>
  <c r="BB993" i="7"/>
  <c r="BB994" i="7"/>
  <c r="BB995" i="7"/>
  <c r="BB996" i="7"/>
  <c r="BB997" i="7"/>
  <c r="BB998" i="7"/>
  <c r="BB999" i="7"/>
  <c r="BB1000" i="7"/>
  <c r="BB1001" i="7"/>
  <c r="BB1002" i="7"/>
  <c r="BB1003" i="7"/>
  <c r="BB1004" i="7"/>
  <c r="BB1005" i="7"/>
  <c r="BB1006" i="7"/>
  <c r="BB1007" i="7"/>
  <c r="BB1008" i="7"/>
  <c r="BB1009" i="7"/>
  <c r="BB1010" i="7"/>
  <c r="BB1011" i="7"/>
  <c r="BB1012" i="7"/>
  <c r="BB1013" i="7"/>
  <c r="BB1014" i="7"/>
  <c r="BB1015" i="7"/>
  <c r="BB1016" i="7"/>
  <c r="BB1017" i="7"/>
  <c r="BB1018" i="7"/>
  <c r="BB1019" i="7"/>
  <c r="BB1020" i="7"/>
  <c r="BB1021" i="7"/>
  <c r="BB1022" i="7"/>
  <c r="BB1023" i="7"/>
  <c r="BB1024" i="7"/>
  <c r="BB1025" i="7"/>
  <c r="BB1026" i="7"/>
  <c r="BB1027" i="7"/>
  <c r="BB1028" i="7"/>
  <c r="BB1029" i="7"/>
  <c r="BB1030" i="7"/>
  <c r="BB1031" i="7"/>
  <c r="BB1032" i="7"/>
  <c r="BB1033" i="7"/>
  <c r="BB1034" i="7"/>
  <c r="BB1035" i="7"/>
  <c r="BB1036" i="7"/>
  <c r="BB1037" i="7"/>
  <c r="BB1038" i="7"/>
  <c r="BB1039" i="7"/>
  <c r="BB1040" i="7"/>
  <c r="BB1041" i="7"/>
  <c r="BB1042" i="7"/>
  <c r="BB1043" i="7"/>
  <c r="BB1044" i="7"/>
  <c r="BB1045" i="7"/>
  <c r="BB1046" i="7"/>
  <c r="BB1047" i="7"/>
  <c r="BB1048" i="7"/>
  <c r="BB1049" i="7"/>
  <c r="BB1050" i="7"/>
  <c r="BB1051" i="7"/>
  <c r="BB1052" i="7"/>
  <c r="BB1053" i="7"/>
  <c r="BB1054" i="7"/>
  <c r="BB1055" i="7"/>
  <c r="BB1056" i="7"/>
  <c r="BB1057" i="7"/>
  <c r="BB1058" i="7"/>
  <c r="BB1059" i="7"/>
  <c r="BB1060" i="7"/>
  <c r="BB1061" i="7"/>
  <c r="BB1062" i="7"/>
  <c r="BB1063" i="7"/>
  <c r="BB1064" i="7"/>
  <c r="BB1065" i="7"/>
  <c r="BB1066" i="7"/>
  <c r="BB1067" i="7"/>
  <c r="BB1068" i="7"/>
  <c r="BB1069" i="7"/>
  <c r="BB1070" i="7"/>
  <c r="BB1071" i="7"/>
  <c r="BB1072" i="7"/>
  <c r="BB1073" i="7"/>
  <c r="BB1074" i="7"/>
  <c r="BB1075" i="7"/>
  <c r="BB1076" i="7"/>
  <c r="BB1077" i="7"/>
  <c r="BB1078" i="7"/>
  <c r="BB1079" i="7"/>
  <c r="BB1080" i="7"/>
  <c r="BB1081" i="7"/>
  <c r="BB1082" i="7"/>
  <c r="BB1083" i="7"/>
  <c r="BB1084" i="7"/>
  <c r="BB1085" i="7"/>
  <c r="BB1086" i="7"/>
  <c r="BB1087" i="7"/>
  <c r="BB1088" i="7"/>
  <c r="BB1089" i="7"/>
  <c r="BB1090" i="7"/>
  <c r="BB1091" i="7"/>
  <c r="BB1092" i="7"/>
  <c r="BB1093" i="7"/>
  <c r="BB1094" i="7"/>
  <c r="BB1095" i="7"/>
  <c r="BB1096" i="7"/>
  <c r="BB1097" i="7"/>
  <c r="BB1098" i="7"/>
  <c r="BB1099" i="7"/>
  <c r="BB1100" i="7"/>
  <c r="BB1101" i="7"/>
  <c r="BB1102" i="7"/>
  <c r="BB1103" i="7"/>
  <c r="BB1104" i="7"/>
  <c r="BB1105" i="7"/>
  <c r="BB1106" i="7"/>
  <c r="BB1107" i="7"/>
  <c r="BB1108" i="7"/>
  <c r="BB1109" i="7"/>
  <c r="BB1110" i="7"/>
  <c r="BB1111" i="7"/>
  <c r="BB1112" i="7"/>
  <c r="BB1113" i="7"/>
  <c r="BB1114" i="7"/>
  <c r="BB1115" i="7"/>
  <c r="BB1116" i="7"/>
  <c r="BB1117" i="7"/>
  <c r="BB1118" i="7"/>
  <c r="BB1119" i="7"/>
  <c r="BB1120" i="7"/>
  <c r="BB1121" i="7"/>
  <c r="BB1122" i="7"/>
  <c r="BB1123" i="7"/>
  <c r="BB1124" i="7"/>
  <c r="BB1125" i="7"/>
  <c r="BB1126" i="7"/>
  <c r="BB1127" i="7"/>
  <c r="BB1128" i="7"/>
  <c r="BB1129" i="7"/>
  <c r="BB1130" i="7"/>
  <c r="BB1131" i="7"/>
  <c r="BB1132" i="7"/>
  <c r="BB1133" i="7"/>
  <c r="BB1134" i="7"/>
  <c r="BB1135" i="7"/>
  <c r="BB1136" i="7"/>
  <c r="BB1137" i="7"/>
  <c r="BB1138" i="7"/>
  <c r="BB1139" i="7"/>
  <c r="BB1140" i="7"/>
  <c r="BB1141" i="7"/>
  <c r="BB1142" i="7"/>
  <c r="BB1143" i="7"/>
  <c r="BB1144" i="7"/>
  <c r="BB1145" i="7"/>
  <c r="BB1146" i="7"/>
  <c r="BB1147" i="7"/>
  <c r="BB1148" i="7"/>
  <c r="BB1149" i="7"/>
  <c r="BB1150" i="7"/>
  <c r="BB1151" i="7"/>
  <c r="BB1152" i="7"/>
  <c r="BB1153" i="7"/>
  <c r="BB1154" i="7"/>
  <c r="BB1155" i="7"/>
  <c r="BB1156" i="7"/>
  <c r="BB1157" i="7"/>
  <c r="BB1158" i="7"/>
  <c r="BB1159" i="7"/>
  <c r="BB1160" i="7"/>
  <c r="BB1161" i="7"/>
  <c r="BB1162" i="7"/>
  <c r="BB1163" i="7"/>
  <c r="BB1164" i="7"/>
  <c r="BB1165" i="7"/>
  <c r="BB1166" i="7"/>
  <c r="BB1167" i="7"/>
  <c r="BB1168" i="7"/>
  <c r="BB1169" i="7"/>
  <c r="BB1170" i="7"/>
  <c r="BB1171" i="7"/>
  <c r="BB1172" i="7"/>
  <c r="BB1173" i="7"/>
  <c r="BB1174" i="7"/>
  <c r="BB1175" i="7"/>
  <c r="BB1176" i="7"/>
  <c r="BB1177" i="7"/>
  <c r="BB1178" i="7"/>
  <c r="BB1179" i="7"/>
  <c r="BB1180" i="7"/>
  <c r="BB1181" i="7"/>
  <c r="BB1182" i="7"/>
  <c r="BB1183" i="7"/>
  <c r="BB1184" i="7"/>
  <c r="BB1185" i="7"/>
  <c r="BB1186" i="7"/>
  <c r="BB1187" i="7"/>
  <c r="BB1188" i="7"/>
  <c r="BB1189" i="7"/>
  <c r="BB1190" i="7"/>
  <c r="BB1191" i="7"/>
  <c r="BB1192" i="7"/>
  <c r="BB1193" i="7"/>
  <c r="BB1194" i="7"/>
  <c r="BB1195" i="7"/>
  <c r="BB1196" i="7"/>
  <c r="BB1197" i="7"/>
  <c r="BB1198" i="7"/>
  <c r="BB1199" i="7"/>
  <c r="BB1200" i="7"/>
  <c r="BB1201" i="7"/>
  <c r="BB1202" i="7"/>
  <c r="BB1203" i="7"/>
  <c r="BB1204" i="7"/>
  <c r="BB1205" i="7"/>
  <c r="BB1206" i="7"/>
  <c r="BB1207" i="7"/>
  <c r="BB1208" i="7"/>
  <c r="BB1209" i="7"/>
  <c r="BB1210" i="7"/>
  <c r="BB1211" i="7"/>
  <c r="BB1212" i="7"/>
  <c r="BB1213" i="7"/>
  <c r="BB1214" i="7"/>
  <c r="BB1215" i="7"/>
  <c r="BB1216" i="7"/>
  <c r="BB1217" i="7"/>
  <c r="BB1218" i="7"/>
  <c r="BB1219" i="7"/>
  <c r="BB1220" i="7"/>
  <c r="BB1221" i="7"/>
  <c r="BB1222" i="7"/>
  <c r="BB1223" i="7"/>
  <c r="BB1224" i="7"/>
  <c r="BB1225" i="7"/>
  <c r="BB1226" i="7"/>
  <c r="BB1227" i="7"/>
  <c r="BB1228" i="7"/>
  <c r="BB1229" i="7"/>
  <c r="BB1230" i="7"/>
  <c r="BB1231" i="7"/>
  <c r="BB1232" i="7"/>
  <c r="BB1233" i="7"/>
  <c r="BB1234" i="7"/>
  <c r="BB1235" i="7"/>
  <c r="BB1236" i="7"/>
  <c r="BB1237" i="7"/>
  <c r="BB1238" i="7"/>
  <c r="BB1239" i="7"/>
  <c r="BB1240" i="7"/>
  <c r="BB1241" i="7"/>
  <c r="BB1242" i="7"/>
  <c r="BB1243" i="7"/>
  <c r="BB1244" i="7"/>
  <c r="BB1245" i="7"/>
  <c r="BB1246" i="7"/>
  <c r="BB1247" i="7"/>
  <c r="BB1248" i="7"/>
  <c r="BB1249" i="7"/>
  <c r="BB1250" i="7"/>
  <c r="BB1251" i="7"/>
  <c r="BB1252" i="7"/>
  <c r="BB1253" i="7"/>
  <c r="BB1254" i="7"/>
  <c r="BB1255" i="7"/>
  <c r="BB1256" i="7"/>
  <c r="BB1257" i="7"/>
  <c r="BB1258" i="7"/>
  <c r="BB1259" i="7"/>
  <c r="BB1260" i="7"/>
  <c r="BB1261" i="7"/>
  <c r="BB1262" i="7"/>
  <c r="BB1263" i="7"/>
  <c r="BB1264" i="7"/>
  <c r="BB1265" i="7"/>
  <c r="BB1266" i="7"/>
  <c r="BB1267" i="7"/>
  <c r="BB1268" i="7"/>
  <c r="BB1269" i="7"/>
  <c r="BB1270" i="7"/>
  <c r="BB1271" i="7"/>
  <c r="BB1272" i="7"/>
  <c r="BB1273" i="7"/>
  <c r="BB1274" i="7"/>
  <c r="BB1275" i="7"/>
  <c r="BB1276" i="7"/>
  <c r="BB1277" i="7"/>
  <c r="BB1278" i="7"/>
  <c r="BB1279" i="7"/>
  <c r="BB1280" i="7"/>
  <c r="BB1281" i="7"/>
  <c r="BB1282" i="7"/>
  <c r="BB1283" i="7"/>
  <c r="BB1284" i="7"/>
  <c r="BB1285" i="7"/>
  <c r="BB1286" i="7"/>
  <c r="BB1287" i="7"/>
  <c r="BB1288" i="7"/>
  <c r="BB1289" i="7"/>
  <c r="BB1290" i="7"/>
  <c r="BB1291" i="7"/>
  <c r="BB1292" i="7"/>
  <c r="BB1293" i="7"/>
  <c r="BB1294" i="7"/>
  <c r="BB1295" i="7"/>
  <c r="BB1296" i="7"/>
  <c r="BB1297" i="7"/>
  <c r="BB1298" i="7"/>
  <c r="BB1299" i="7"/>
  <c r="BB1300" i="7"/>
  <c r="BB1301" i="7"/>
  <c r="BB1302" i="7"/>
  <c r="BB1303" i="7"/>
  <c r="BB1304" i="7"/>
  <c r="BB1305" i="7"/>
  <c r="BB1306" i="7"/>
  <c r="BB1307" i="7"/>
  <c r="BB1308" i="7"/>
  <c r="BB1309" i="7"/>
  <c r="BB1310" i="7"/>
  <c r="BB1311" i="7"/>
  <c r="BB1312" i="7"/>
  <c r="BB1313" i="7"/>
  <c r="BB1314" i="7"/>
  <c r="BB1315" i="7"/>
  <c r="BB1316" i="7"/>
  <c r="BB1317" i="7"/>
  <c r="BB1318" i="7"/>
  <c r="BB1319" i="7"/>
  <c r="BB1320" i="7"/>
  <c r="BB1321" i="7"/>
  <c r="BB1322" i="7"/>
  <c r="BB1323" i="7"/>
  <c r="BB1324" i="7"/>
  <c r="BB1325" i="7"/>
  <c r="BB1326" i="7"/>
  <c r="BB1327" i="7"/>
  <c r="BB1328" i="7"/>
  <c r="BB1329" i="7"/>
  <c r="BB1330" i="7"/>
  <c r="BB1331" i="7"/>
  <c r="BB1332" i="7"/>
  <c r="BB1333" i="7"/>
  <c r="BB1334" i="7"/>
  <c r="BB1335" i="7"/>
  <c r="BB1336" i="7"/>
  <c r="BB1337" i="7"/>
  <c r="BB1338" i="7"/>
  <c r="BB1339" i="7"/>
  <c r="BB1340" i="7"/>
  <c r="BB1341" i="7"/>
  <c r="BB1342" i="7"/>
  <c r="BB1343" i="7"/>
  <c r="BB1344" i="7"/>
  <c r="BB1345" i="7"/>
  <c r="BB1346" i="7"/>
  <c r="BB1347" i="7"/>
  <c r="BB1348" i="7"/>
  <c r="BB1349" i="7"/>
  <c r="BB1350" i="7"/>
  <c r="BB1351" i="7"/>
  <c r="BB1352" i="7"/>
  <c r="BB1353" i="7"/>
  <c r="BB1354" i="7"/>
  <c r="BB1355" i="7"/>
  <c r="BB1356" i="7"/>
  <c r="BB1357" i="7"/>
  <c r="BB1358" i="7"/>
  <c r="BB1359" i="7"/>
  <c r="BB1360" i="7"/>
  <c r="BB1361" i="7"/>
  <c r="BB1362" i="7"/>
  <c r="BB1363" i="7"/>
  <c r="BB1364" i="7"/>
  <c r="BB1365" i="7"/>
  <c r="BB1366" i="7"/>
  <c r="BB1367" i="7"/>
  <c r="BB1368" i="7"/>
  <c r="BB1369" i="7"/>
  <c r="BB1370" i="7"/>
  <c r="BB1371" i="7"/>
  <c r="BB1372" i="7"/>
  <c r="BB1373" i="7"/>
  <c r="BB1374" i="7"/>
  <c r="BB1375" i="7"/>
  <c r="BB1376" i="7"/>
  <c r="BB1377" i="7"/>
  <c r="BB1378" i="7"/>
  <c r="BB1379" i="7"/>
  <c r="BB1380" i="7"/>
  <c r="BB1381" i="7"/>
  <c r="BB1382" i="7"/>
  <c r="BB1383" i="7"/>
  <c r="BB1384" i="7"/>
  <c r="BB1385" i="7"/>
  <c r="BB1386" i="7"/>
  <c r="BB1387" i="7"/>
  <c r="BB1388" i="7"/>
  <c r="BB1389" i="7"/>
  <c r="BB1390" i="7"/>
  <c r="BB1391" i="7"/>
  <c r="BB1392" i="7"/>
  <c r="BB1393" i="7"/>
  <c r="BB1394" i="7"/>
  <c r="BB1395" i="7"/>
  <c r="BB1396" i="7"/>
  <c r="BB1397" i="7"/>
  <c r="BB1398" i="7"/>
  <c r="BB1399" i="7"/>
  <c r="BB1400" i="7"/>
  <c r="BB1401" i="7"/>
  <c r="BB1402" i="7"/>
  <c r="BB1403" i="7"/>
  <c r="BB1404" i="7"/>
  <c r="BB1405" i="7"/>
  <c r="BB1406" i="7"/>
  <c r="BB1407" i="7"/>
  <c r="BB1408" i="7"/>
  <c r="BB1409" i="7"/>
  <c r="BB1410" i="7"/>
  <c r="BB1411" i="7"/>
  <c r="BB1412" i="7"/>
  <c r="BB1413" i="7"/>
  <c r="BB1414" i="7"/>
  <c r="BB1415" i="7"/>
  <c r="BB1416" i="7"/>
  <c r="BB1417" i="7"/>
  <c r="BB1418" i="7"/>
  <c r="BB1419" i="7"/>
  <c r="BB1420" i="7"/>
  <c r="BB1421" i="7"/>
  <c r="BB1422" i="7"/>
  <c r="BB1423" i="7"/>
  <c r="BB1424" i="7"/>
  <c r="BB1425" i="7"/>
  <c r="BB1426" i="7"/>
  <c r="BB1427" i="7"/>
  <c r="BB1428" i="7"/>
  <c r="BB1429" i="7"/>
  <c r="BB1430" i="7"/>
  <c r="BB1431" i="7"/>
  <c r="BB1432" i="7"/>
  <c r="BB1433" i="7"/>
  <c r="BB1434" i="7"/>
  <c r="BB1435" i="7"/>
  <c r="BB1436" i="7"/>
  <c r="BB1437" i="7"/>
  <c r="BB1438" i="7"/>
  <c r="BB1439" i="7"/>
  <c r="BB1440" i="7"/>
  <c r="BB1441" i="7"/>
  <c r="BB1442" i="7"/>
  <c r="BB1443" i="7"/>
  <c r="BB1444" i="7"/>
  <c r="BB1445" i="7"/>
  <c r="BB1446" i="7"/>
  <c r="BB1447" i="7"/>
  <c r="BB1448" i="7"/>
  <c r="BB1449" i="7"/>
  <c r="BB1450" i="7"/>
  <c r="BB1451" i="7"/>
  <c r="BB1452" i="7"/>
  <c r="BB1453" i="7"/>
  <c r="BB1454" i="7"/>
  <c r="BB1455" i="7"/>
  <c r="BB1456" i="7"/>
  <c r="BB1457" i="7"/>
  <c r="BB1458" i="7"/>
  <c r="BB1459" i="7"/>
  <c r="BB1460" i="7"/>
  <c r="BB1461" i="7"/>
  <c r="BB1462" i="7"/>
  <c r="BB1463" i="7"/>
  <c r="BB1464" i="7"/>
  <c r="BB1465" i="7"/>
  <c r="BB1466" i="7"/>
  <c r="BB1467" i="7"/>
  <c r="BB1468" i="7"/>
  <c r="BB1469" i="7"/>
  <c r="BB1470" i="7"/>
  <c r="BB1471" i="7"/>
  <c r="BB2" i="7"/>
  <c r="B115" i="13"/>
  <c r="B112" i="13"/>
  <c r="B109" i="13"/>
  <c r="B106" i="13"/>
  <c r="B103" i="13"/>
  <c r="B100" i="13"/>
  <c r="B97" i="13"/>
  <c r="B94" i="13"/>
  <c r="B91" i="13"/>
  <c r="B88" i="13"/>
  <c r="B85" i="13"/>
  <c r="B82" i="13"/>
  <c r="B79" i="13"/>
  <c r="B76" i="13"/>
  <c r="B73" i="13"/>
  <c r="B70" i="13"/>
  <c r="B67" i="13"/>
  <c r="B64" i="13"/>
  <c r="B61" i="13"/>
  <c r="B58" i="13"/>
  <c r="B55" i="13"/>
  <c r="B52" i="13"/>
  <c r="B49" i="13"/>
  <c r="B46" i="13"/>
  <c r="B43" i="13"/>
  <c r="B40" i="13"/>
  <c r="B37" i="13"/>
  <c r="B34" i="13"/>
  <c r="B31" i="13"/>
  <c r="B28" i="13"/>
  <c r="B25" i="13"/>
  <c r="B22" i="13"/>
  <c r="B19" i="13"/>
  <c r="B16" i="13"/>
  <c r="B13" i="13"/>
  <c r="B7" i="13"/>
  <c r="B3" i="13"/>
  <c r="B169" i="12"/>
  <c r="B166" i="12"/>
  <c r="B163" i="12"/>
  <c r="B160" i="12"/>
  <c r="B157" i="12"/>
  <c r="B154" i="12"/>
  <c r="B151" i="12"/>
  <c r="B148" i="12"/>
  <c r="B145" i="12"/>
  <c r="B142" i="12"/>
  <c r="B139" i="12"/>
  <c r="B136" i="12"/>
  <c r="B133" i="12"/>
  <c r="B130" i="12"/>
  <c r="B127" i="12"/>
  <c r="B124" i="12"/>
  <c r="B115" i="12"/>
  <c r="B112" i="12"/>
  <c r="B85" i="12"/>
  <c r="B82" i="12"/>
  <c r="B79" i="12"/>
  <c r="B76" i="12"/>
  <c r="B73" i="12"/>
  <c r="B70" i="12"/>
  <c r="B67" i="12"/>
  <c r="B64" i="12"/>
  <c r="B46" i="12"/>
  <c r="B43" i="12"/>
  <c r="B40" i="12"/>
  <c r="B31" i="12"/>
  <c r="B28" i="12"/>
  <c r="B19" i="12"/>
  <c r="B16" i="12"/>
  <c r="B13" i="12"/>
  <c r="B7" i="12"/>
  <c r="B3" i="12"/>
  <c r="B9" i="5"/>
  <c r="GI15" i="7"/>
  <c r="GG15" i="7"/>
  <c r="GG13" i="7"/>
  <c r="GH15" i="7"/>
  <c r="GH14" i="7"/>
  <c r="GG14" i="7"/>
  <c r="GH7" i="7"/>
  <c r="GG7" i="7"/>
  <c r="GG6" i="7"/>
  <c r="FB3" i="7"/>
  <c r="GB59" i="7"/>
  <c r="FF58" i="7"/>
  <c r="FG57" i="7"/>
  <c r="FG56" i="7"/>
  <c r="FF55" i="7"/>
  <c r="FJ50" i="7"/>
  <c r="FG41" i="7"/>
  <c r="FV28" i="7"/>
  <c r="FV27" i="7"/>
  <c r="FS25" i="7"/>
  <c r="FF11" i="7"/>
  <c r="FB11" i="7"/>
  <c r="FY57" i="7"/>
  <c r="FF23" i="7"/>
  <c r="FH20" i="7"/>
  <c r="FS55" i="7"/>
  <c r="FG20" i="7"/>
  <c r="GA59" i="7"/>
  <c r="FB59" i="7"/>
  <c r="FF57" i="7"/>
  <c r="FF56" i="7"/>
  <c r="FB54" i="7"/>
  <c r="FI50" i="7"/>
  <c r="FF41" i="7"/>
  <c r="FB38" i="7"/>
  <c r="FB7" i="7"/>
  <c r="FG10" i="7"/>
  <c r="FZ59" i="7"/>
  <c r="FH50" i="7"/>
  <c r="FS29" i="7"/>
  <c r="FS26" i="7"/>
  <c r="FJ23" i="7"/>
  <c r="FH10" i="7"/>
  <c r="FX58" i="7"/>
  <c r="FY56" i="7"/>
  <c r="FI29" i="7"/>
  <c r="FI26" i="7"/>
  <c r="FG9" i="7"/>
  <c r="FI27" i="7"/>
  <c r="FB24" i="7"/>
  <c r="FF9" i="7"/>
  <c r="FH28" i="7"/>
  <c r="FS50" i="7"/>
  <c r="FG28" i="7"/>
  <c r="FB20" i="7"/>
  <c r="FI53" i="7"/>
  <c r="FY59" i="7"/>
  <c r="GA58" i="7"/>
  <c r="FB58" i="7"/>
  <c r="FB55" i="7"/>
  <c r="FV53" i="7"/>
  <c r="FG50" i="7"/>
  <c r="FF37" i="7"/>
  <c r="FS28" i="7"/>
  <c r="FS27" i="7"/>
  <c r="FI23" i="7"/>
  <c r="FB23" i="7"/>
  <c r="FJ26" i="7"/>
  <c r="FG25" i="7"/>
  <c r="FF20" i="7"/>
  <c r="FI28" i="7"/>
  <c r="FG29" i="7"/>
  <c r="FB34" i="7"/>
  <c r="FF26" i="7"/>
  <c r="FX59" i="7"/>
  <c r="FZ58" i="7"/>
  <c r="FB57" i="7"/>
  <c r="FB56" i="7"/>
  <c r="FF50" i="7"/>
  <c r="FB41" i="7"/>
  <c r="FH23" i="7"/>
  <c r="FW59" i="7"/>
  <c r="FY58" i="7"/>
  <c r="FZ57" i="7"/>
  <c r="FW54" i="7"/>
  <c r="FG23" i="7"/>
  <c r="FV59" i="7"/>
  <c r="FX55" i="7"/>
  <c r="FV54" i="7"/>
  <c r="FS53" i="7"/>
  <c r="FI40" i="7"/>
  <c r="FB37" i="7"/>
  <c r="FJ24" i="7"/>
  <c r="FJ25" i="7"/>
  <c r="FI25" i="7"/>
  <c r="FB10" i="7"/>
  <c r="FS58" i="7"/>
  <c r="FJ29" i="7"/>
  <c r="FS56" i="7"/>
  <c r="FB40" i="7"/>
  <c r="FJ27" i="7"/>
  <c r="FH29" i="7"/>
  <c r="FF25" i="7"/>
  <c r="FH39" i="7"/>
  <c r="FH27" i="7"/>
  <c r="FJ53" i="7"/>
  <c r="FG39" i="7"/>
  <c r="FG27" i="7"/>
  <c r="FW58" i="7"/>
  <c r="FX57" i="7"/>
  <c r="FX56" i="7"/>
  <c r="FW55" i="7"/>
  <c r="FB50" i="7"/>
  <c r="FH40" i="7"/>
  <c r="FI24" i="7"/>
  <c r="FF10" i="7"/>
  <c r="FV58" i="7"/>
  <c r="FW57" i="7"/>
  <c r="FW56" i="7"/>
  <c r="FV55" i="7"/>
  <c r="FG40" i="7"/>
  <c r="FH24" i="7"/>
  <c r="FJ20" i="7"/>
  <c r="FS59" i="7"/>
  <c r="FV57" i="7"/>
  <c r="FV56" i="7"/>
  <c r="FS54" i="7"/>
  <c r="FF40" i="7"/>
  <c r="FG24" i="7"/>
  <c r="FI20" i="7"/>
  <c r="FF24" i="7"/>
  <c r="FH25" i="7"/>
  <c r="FS57" i="7"/>
  <c r="FJ28" i="7"/>
  <c r="FH26" i="7"/>
  <c r="FG26" i="7"/>
  <c r="FF29" i="7"/>
  <c r="FW29" i="7"/>
  <c r="FW26" i="7"/>
  <c r="FW25" i="7"/>
  <c r="FI11" i="7"/>
  <c r="FI55" i="7"/>
  <c r="FF8" i="7"/>
  <c r="FG58" i="7"/>
  <c r="FG38" i="7"/>
  <c r="FH54" i="7"/>
  <c r="FJ59" i="7"/>
  <c r="FJ56" i="7"/>
  <c r="FB53" i="7"/>
  <c r="FV29" i="7"/>
  <c r="FV26" i="7"/>
  <c r="FV25" i="7"/>
  <c r="FJ55" i="7"/>
  <c r="FI41" i="7"/>
  <c r="FH11" i="7"/>
  <c r="FB8" i="7"/>
  <c r="FF27" i="7"/>
  <c r="FI59" i="7"/>
  <c r="FI56" i="7"/>
  <c r="FB29" i="7"/>
  <c r="FF59" i="7"/>
  <c r="FZ28" i="7"/>
  <c r="FJ41" i="7"/>
  <c r="FH41" i="7"/>
  <c r="FW28" i="7"/>
  <c r="FG11" i="7"/>
  <c r="FJ58" i="7"/>
  <c r="FF28" i="7"/>
  <c r="FB9" i="7"/>
  <c r="FG55" i="7"/>
  <c r="FJ54" i="7"/>
  <c r="FF38" i="7"/>
  <c r="FX27" i="7"/>
  <c r="FH59" i="7"/>
  <c r="FH56" i="7"/>
  <c r="FG59" i="7"/>
  <c r="FB26" i="7"/>
  <c r="FY28" i="7"/>
  <c r="FX28" i="7"/>
  <c r="FH55" i="7"/>
  <c r="FF39" i="7"/>
  <c r="FB25" i="7"/>
  <c r="FI58" i="7"/>
  <c r="FV24" i="7"/>
  <c r="FB39" i="7"/>
  <c r="FB28" i="7"/>
  <c r="FI54" i="7"/>
  <c r="FS24" i="7"/>
  <c r="FJ57" i="7"/>
  <c r="FI57" i="7"/>
  <c r="FS23" i="7"/>
  <c r="FH57" i="7"/>
  <c r="FH53" i="7"/>
  <c r="GA29" i="7"/>
  <c r="FG53" i="7"/>
  <c r="FZ29" i="7"/>
  <c r="FB27" i="7"/>
  <c r="FF53" i="7"/>
  <c r="FY29" i="7"/>
  <c r="FX29" i="7"/>
  <c r="FX26" i="7"/>
  <c r="FH58" i="7"/>
  <c r="FY27" i="7"/>
  <c r="FG54" i="7"/>
  <c r="FW27" i="7"/>
  <c r="FF54" i="7"/>
  <c r="BD93" i="7"/>
  <c r="BD90" i="7"/>
  <c r="BD36" i="7"/>
  <c r="BD19" i="7"/>
  <c r="BD4" i="7"/>
  <c r="BD47" i="7"/>
  <c r="BD20" i="7"/>
  <c r="BD67" i="7"/>
  <c r="BD84" i="7"/>
  <c r="BD70" i="7"/>
  <c r="BD39" i="7"/>
  <c r="BD88" i="7"/>
  <c r="BD42" i="7"/>
  <c r="BD37" i="7"/>
  <c r="BD30" i="7"/>
  <c r="BD11" i="7"/>
  <c r="BD87" i="7"/>
  <c r="BD83" i="7"/>
  <c r="BD82" i="7"/>
  <c r="BD86" i="7"/>
  <c r="BD68" i="7"/>
  <c r="BD56" i="7"/>
  <c r="BD66" i="7"/>
  <c r="BD92" i="7"/>
  <c r="BD52" i="7"/>
  <c r="BD33" i="7"/>
  <c r="BD94" i="7"/>
  <c r="BD91" i="7"/>
  <c r="BD89" i="7"/>
  <c r="BD95" i="7"/>
  <c r="BD34" i="7"/>
  <c r="BD41" i="7"/>
  <c r="BD35" i="7"/>
  <c r="BD79" i="7"/>
  <c r="BD48" i="7"/>
  <c r="BD59" i="7"/>
  <c r="BD17" i="7"/>
  <c r="BD44" i="7"/>
  <c r="BD7" i="7"/>
  <c r="BD45" i="7"/>
  <c r="BD46" i="7"/>
  <c r="BD40" i="7"/>
  <c r="BD10" i="7"/>
  <c r="BD60" i="7"/>
  <c r="BD38" i="7"/>
  <c r="BD69" i="7"/>
  <c r="BD53" i="7"/>
  <c r="BD97" i="7"/>
  <c r="BD43" i="7"/>
  <c r="BD96" i="7"/>
  <c r="BD85" i="7"/>
  <c r="BD21" i="7"/>
  <c r="BD18" i="7"/>
  <c r="AK3" i="7" l="1"/>
  <c r="AK4" i="7"/>
  <c r="AK5" i="7"/>
  <c r="AK6" i="7"/>
  <c r="AK7" i="7"/>
  <c r="AK8" i="7"/>
  <c r="AK9" i="7"/>
  <c r="AK10" i="7"/>
  <c r="AK11" i="7"/>
  <c r="AK12" i="7"/>
  <c r="AK13" i="7"/>
  <c r="AK14" i="7"/>
  <c r="AK15" i="7"/>
  <c r="AK16" i="7"/>
  <c r="AK17" i="7"/>
  <c r="AK18" i="7"/>
  <c r="AK19" i="7"/>
  <c r="AK20" i="7"/>
  <c r="AK21" i="7"/>
  <c r="AK22" i="7"/>
  <c r="AK23" i="7"/>
  <c r="AK24" i="7"/>
  <c r="AK25" i="7"/>
  <c r="AK26" i="7"/>
  <c r="AK27" i="7"/>
  <c r="AK28" i="7"/>
  <c r="AK29" i="7"/>
  <c r="AK30" i="7"/>
  <c r="AK31" i="7"/>
  <c r="AK32" i="7"/>
  <c r="AK33" i="7"/>
  <c r="AK34" i="7"/>
  <c r="AK35" i="7"/>
  <c r="AK36" i="7"/>
  <c r="AK37" i="7"/>
  <c r="AK38" i="7"/>
  <c r="AK39" i="7"/>
  <c r="AK40" i="7"/>
  <c r="AK41" i="7"/>
  <c r="AK42" i="7"/>
  <c r="AK43" i="7"/>
  <c r="AK44" i="7"/>
  <c r="AK45" i="7"/>
  <c r="AK46" i="7"/>
  <c r="AK47" i="7"/>
  <c r="AK48" i="7"/>
  <c r="AK49" i="7"/>
  <c r="AK50" i="7"/>
  <c r="AK51" i="7"/>
  <c r="AK52" i="7"/>
  <c r="AK53" i="7"/>
  <c r="AK54" i="7"/>
  <c r="AK55" i="7"/>
  <c r="AK56" i="7"/>
  <c r="AK57" i="7"/>
  <c r="AK58" i="7"/>
  <c r="AK59" i="7"/>
  <c r="AK60" i="7"/>
  <c r="AK61" i="7"/>
  <c r="AK62" i="7"/>
  <c r="AK63" i="7"/>
  <c r="AK64" i="7"/>
  <c r="AK65" i="7"/>
  <c r="AK66" i="7"/>
  <c r="AK67" i="7"/>
  <c r="AK68" i="7"/>
  <c r="AK69" i="7"/>
  <c r="AK70" i="7"/>
  <c r="AK71" i="7"/>
  <c r="AK72" i="7"/>
  <c r="AK73" i="7"/>
  <c r="AK74" i="7"/>
  <c r="AK75" i="7"/>
  <c r="AK76" i="7"/>
  <c r="AK77" i="7"/>
  <c r="AK78" i="7"/>
  <c r="AK79" i="7"/>
  <c r="AK80" i="7"/>
  <c r="AK81" i="7"/>
  <c r="AK82" i="7"/>
  <c r="AK83" i="7"/>
  <c r="AK84" i="7"/>
  <c r="AK85" i="7"/>
  <c r="AK86" i="7"/>
  <c r="AK87" i="7"/>
  <c r="AK88" i="7"/>
  <c r="AK89" i="7"/>
  <c r="AK90" i="7"/>
  <c r="AK91" i="7"/>
  <c r="AK92" i="7"/>
  <c r="AK93" i="7"/>
  <c r="AK94" i="7"/>
  <c r="AK95" i="7"/>
  <c r="AK96" i="7"/>
  <c r="AK97" i="7"/>
  <c r="AK98" i="7"/>
  <c r="AK99" i="7"/>
  <c r="AK100" i="7"/>
  <c r="AK101" i="7"/>
  <c r="AK102" i="7"/>
  <c r="AK103" i="7"/>
  <c r="AK104" i="7"/>
  <c r="AK105" i="7"/>
  <c r="AK106" i="7"/>
  <c r="AK107" i="7"/>
  <c r="AK108" i="7"/>
  <c r="AK109" i="7"/>
  <c r="AK110" i="7"/>
  <c r="AK111" i="7"/>
  <c r="AK112" i="7"/>
  <c r="AK113" i="7"/>
  <c r="AK114" i="7"/>
  <c r="AK115" i="7"/>
  <c r="AK116" i="7"/>
  <c r="AK117" i="7"/>
  <c r="AK118" i="7"/>
  <c r="AK119" i="7"/>
  <c r="AK120" i="7"/>
  <c r="AK121" i="7"/>
  <c r="B121" i="12" s="1"/>
  <c r="AK122" i="7"/>
  <c r="AK123" i="7"/>
  <c r="AK124" i="7"/>
  <c r="AK125" i="7"/>
  <c r="AK126" i="7"/>
  <c r="AK127" i="7"/>
  <c r="AK128" i="7"/>
  <c r="AK129" i="7"/>
  <c r="AK130" i="7"/>
  <c r="AK131" i="7"/>
  <c r="AK132" i="7"/>
  <c r="AK133" i="7"/>
  <c r="AK134" i="7"/>
  <c r="AK135" i="7"/>
  <c r="AK136" i="7"/>
  <c r="AK137" i="7"/>
  <c r="AK138" i="7"/>
  <c r="AK139" i="7"/>
  <c r="AK140" i="7"/>
  <c r="AK141" i="7"/>
  <c r="AK142" i="7"/>
  <c r="AK143" i="7"/>
  <c r="AK144" i="7"/>
  <c r="AK145" i="7"/>
  <c r="AK146" i="7"/>
  <c r="AK147" i="7"/>
  <c r="AK148" i="7"/>
  <c r="AK149" i="7"/>
  <c r="AK150" i="7"/>
  <c r="AK151" i="7"/>
  <c r="AK152" i="7"/>
  <c r="AK153" i="7"/>
  <c r="AK154" i="7"/>
  <c r="AK155" i="7"/>
  <c r="AK156" i="7"/>
  <c r="AK157" i="7"/>
  <c r="AK158" i="7"/>
  <c r="AK159" i="7"/>
  <c r="AK160" i="7"/>
  <c r="AK161" i="7"/>
  <c r="AK162" i="7"/>
  <c r="AK163" i="7"/>
  <c r="AK164" i="7"/>
  <c r="AK165" i="7"/>
  <c r="AK166" i="7"/>
  <c r="AK167" i="7"/>
  <c r="AK168" i="7"/>
  <c r="AK169" i="7"/>
  <c r="AK170" i="7"/>
  <c r="AK171" i="7"/>
  <c r="AK172" i="7"/>
  <c r="AK173" i="7"/>
  <c r="AK174" i="7"/>
  <c r="AK175" i="7"/>
  <c r="AK176" i="7"/>
  <c r="AK177" i="7"/>
  <c r="AK178" i="7"/>
  <c r="AK179" i="7"/>
  <c r="AK180" i="7"/>
  <c r="AK181" i="7"/>
  <c r="AK182" i="7"/>
  <c r="AK183" i="7"/>
  <c r="AK184" i="7"/>
  <c r="AK185" i="7"/>
  <c r="AK186" i="7"/>
  <c r="AK187" i="7"/>
  <c r="AK188" i="7"/>
  <c r="AK189" i="7"/>
  <c r="AK190" i="7"/>
  <c r="AK191" i="7"/>
  <c r="AK192" i="7"/>
  <c r="AK193" i="7"/>
  <c r="AK194" i="7"/>
  <c r="AK195" i="7"/>
  <c r="AK196" i="7"/>
  <c r="AK197" i="7"/>
  <c r="AK198" i="7"/>
  <c r="AK199" i="7"/>
  <c r="AK200" i="7"/>
  <c r="AK201" i="7"/>
  <c r="AK202" i="7"/>
  <c r="AK203" i="7"/>
  <c r="AK204" i="7"/>
  <c r="AK205" i="7"/>
  <c r="AK206" i="7"/>
  <c r="AK207" i="7"/>
  <c r="AK208" i="7"/>
  <c r="AK209" i="7"/>
  <c r="AK210" i="7"/>
  <c r="AK211" i="7"/>
  <c r="AK212" i="7"/>
  <c r="AK213" i="7"/>
  <c r="AK214" i="7"/>
  <c r="AK215" i="7"/>
  <c r="AK216" i="7"/>
  <c r="AK217" i="7"/>
  <c r="AK218" i="7"/>
  <c r="AK219" i="7"/>
  <c r="AK220" i="7"/>
  <c r="AK221" i="7"/>
  <c r="AK222" i="7"/>
  <c r="AK223" i="7"/>
  <c r="AK224" i="7"/>
  <c r="AK225" i="7"/>
  <c r="AK226" i="7"/>
  <c r="AK227" i="7"/>
  <c r="AK228" i="7"/>
  <c r="AK229" i="7"/>
  <c r="AK230" i="7"/>
  <c r="AK231" i="7"/>
  <c r="AK232" i="7"/>
  <c r="AK233" i="7"/>
  <c r="AK234" i="7"/>
  <c r="AK235" i="7"/>
  <c r="AK236" i="7"/>
  <c r="AK237" i="7"/>
  <c r="AK238" i="7"/>
  <c r="AK239" i="7"/>
  <c r="AK240" i="7"/>
  <c r="AK241" i="7"/>
  <c r="AK242" i="7"/>
  <c r="AK243" i="7"/>
  <c r="AK244" i="7"/>
  <c r="AK245" i="7"/>
  <c r="AK246" i="7"/>
  <c r="AK247" i="7"/>
  <c r="AK248" i="7"/>
  <c r="AK249" i="7"/>
  <c r="AK250" i="7"/>
  <c r="AK251" i="7"/>
  <c r="AK252" i="7"/>
  <c r="AK253" i="7"/>
  <c r="AK254" i="7"/>
  <c r="AK255" i="7"/>
  <c r="AK256" i="7"/>
  <c r="AK257" i="7"/>
  <c r="AK258" i="7"/>
  <c r="AK259" i="7"/>
  <c r="AK260" i="7"/>
  <c r="AK261" i="7"/>
  <c r="AK262" i="7"/>
  <c r="AK263" i="7"/>
  <c r="AK264" i="7"/>
  <c r="AK265" i="7"/>
  <c r="AK266" i="7"/>
  <c r="AK267" i="7"/>
  <c r="AK268" i="7"/>
  <c r="AK269" i="7"/>
  <c r="AK270" i="7"/>
  <c r="AK271" i="7"/>
  <c r="AK272" i="7"/>
  <c r="AK273" i="7"/>
  <c r="AK274" i="7"/>
  <c r="AK275" i="7"/>
  <c r="AK276" i="7"/>
  <c r="AK277" i="7"/>
  <c r="AK278" i="7"/>
  <c r="AK279" i="7"/>
  <c r="AK280" i="7"/>
  <c r="AK281" i="7"/>
  <c r="AK282" i="7"/>
  <c r="AK283" i="7"/>
  <c r="AK284" i="7"/>
  <c r="AK285" i="7"/>
  <c r="AK286" i="7"/>
  <c r="AK287" i="7"/>
  <c r="AK288" i="7"/>
  <c r="AK289" i="7"/>
  <c r="AK290" i="7"/>
  <c r="AK291" i="7"/>
  <c r="AK292" i="7"/>
  <c r="AK293" i="7"/>
  <c r="AK294" i="7"/>
  <c r="AK295" i="7"/>
  <c r="AK296" i="7"/>
  <c r="AK297" i="7"/>
  <c r="AK298" i="7"/>
  <c r="AK299" i="7"/>
  <c r="AK300" i="7"/>
  <c r="AK301" i="7"/>
  <c r="AK302" i="7"/>
  <c r="AK303" i="7"/>
  <c r="AK304" i="7"/>
  <c r="AK305" i="7"/>
  <c r="AK306" i="7"/>
  <c r="AK307" i="7"/>
  <c r="AK308" i="7"/>
  <c r="AK309" i="7"/>
  <c r="AK310" i="7"/>
  <c r="AK311" i="7"/>
  <c r="AK312" i="7"/>
  <c r="AK313" i="7"/>
  <c r="AK314" i="7"/>
  <c r="AK315" i="7"/>
  <c r="AK316" i="7"/>
  <c r="AK317" i="7"/>
  <c r="AK318" i="7"/>
  <c r="AK319" i="7"/>
  <c r="AK320" i="7"/>
  <c r="AK321" i="7"/>
  <c r="AK322" i="7"/>
  <c r="AK323" i="7"/>
  <c r="AK324" i="7"/>
  <c r="AK325" i="7"/>
  <c r="AK326" i="7"/>
  <c r="AK327" i="7"/>
  <c r="AK328" i="7"/>
  <c r="AK329" i="7"/>
  <c r="AK330" i="7"/>
  <c r="AK331" i="7"/>
  <c r="AK332" i="7"/>
  <c r="AK333" i="7"/>
  <c r="AK334" i="7"/>
  <c r="AK335" i="7"/>
  <c r="AK336" i="7"/>
  <c r="AK337" i="7"/>
  <c r="AK338" i="7"/>
  <c r="AK339" i="7"/>
  <c r="AK340" i="7"/>
  <c r="AK341" i="7"/>
  <c r="AK342" i="7"/>
  <c r="AK343" i="7"/>
  <c r="AK344" i="7"/>
  <c r="AK345" i="7"/>
  <c r="AK346" i="7"/>
  <c r="AK347" i="7"/>
  <c r="AK348" i="7"/>
  <c r="AK349" i="7"/>
  <c r="AK350" i="7"/>
  <c r="AK351" i="7"/>
  <c r="AK352" i="7"/>
  <c r="AK353" i="7"/>
  <c r="AK354" i="7"/>
  <c r="AK355" i="7"/>
  <c r="AK356" i="7"/>
  <c r="AK357" i="7"/>
  <c r="AK358" i="7"/>
  <c r="AK359" i="7"/>
  <c r="AK360" i="7"/>
  <c r="AK361" i="7"/>
  <c r="AK362" i="7"/>
  <c r="AK363" i="7"/>
  <c r="AK364" i="7"/>
  <c r="AK365" i="7"/>
  <c r="AK366" i="7"/>
  <c r="AK367" i="7"/>
  <c r="AK368" i="7"/>
  <c r="AK369" i="7"/>
  <c r="AK370" i="7"/>
  <c r="AK371" i="7"/>
  <c r="AK372" i="7"/>
  <c r="AK373" i="7"/>
  <c r="AK374" i="7"/>
  <c r="AK375" i="7"/>
  <c r="AK376" i="7"/>
  <c r="AK377" i="7"/>
  <c r="AK378" i="7"/>
  <c r="AK379" i="7"/>
  <c r="AK380" i="7"/>
  <c r="AK381" i="7"/>
  <c r="AK382" i="7"/>
  <c r="AK383" i="7"/>
  <c r="AK384" i="7"/>
  <c r="AK385" i="7"/>
  <c r="AK386" i="7"/>
  <c r="AK387" i="7"/>
  <c r="AK388" i="7"/>
  <c r="AK389" i="7"/>
  <c r="AK390" i="7"/>
  <c r="AK391" i="7"/>
  <c r="AK392" i="7"/>
  <c r="AK393" i="7"/>
  <c r="AK394" i="7"/>
  <c r="AK395" i="7"/>
  <c r="AK396" i="7"/>
  <c r="AK397" i="7"/>
  <c r="AK398" i="7"/>
  <c r="AK399" i="7"/>
  <c r="AK400" i="7"/>
  <c r="AK401" i="7"/>
  <c r="AK402" i="7"/>
  <c r="AK403" i="7"/>
  <c r="AK404" i="7"/>
  <c r="AK405" i="7"/>
  <c r="AK406" i="7"/>
  <c r="AK407" i="7"/>
  <c r="AK408" i="7"/>
  <c r="AK409" i="7"/>
  <c r="AK410" i="7"/>
  <c r="AK411" i="7"/>
  <c r="AK412" i="7"/>
  <c r="AK413" i="7"/>
  <c r="AK414" i="7"/>
  <c r="AK415" i="7"/>
  <c r="AK416" i="7"/>
  <c r="AK417" i="7"/>
  <c r="AK418" i="7"/>
  <c r="AK419" i="7"/>
  <c r="AK420" i="7"/>
  <c r="AK421" i="7"/>
  <c r="AK422" i="7"/>
  <c r="AK423" i="7"/>
  <c r="AK424" i="7"/>
  <c r="AK425" i="7"/>
  <c r="AK426" i="7"/>
  <c r="AK427" i="7"/>
  <c r="AK428" i="7"/>
  <c r="AK429" i="7"/>
  <c r="AK430" i="7"/>
  <c r="AK431" i="7"/>
  <c r="AK432" i="7"/>
  <c r="AK433" i="7"/>
  <c r="AK434" i="7"/>
  <c r="AK435" i="7"/>
  <c r="AK436" i="7"/>
  <c r="AK437" i="7"/>
  <c r="AK438" i="7"/>
  <c r="AK439" i="7"/>
  <c r="AK440" i="7"/>
  <c r="AK441" i="7"/>
  <c r="AK442" i="7"/>
  <c r="AK443" i="7"/>
  <c r="AK444" i="7"/>
  <c r="AK445" i="7"/>
  <c r="AK446" i="7"/>
  <c r="AK447" i="7"/>
  <c r="AK448" i="7"/>
  <c r="AK449" i="7"/>
  <c r="AK450" i="7"/>
  <c r="AK451" i="7"/>
  <c r="AK452" i="7"/>
  <c r="AK453" i="7"/>
  <c r="AK454" i="7"/>
  <c r="AK455" i="7"/>
  <c r="AK456" i="7"/>
  <c r="AK457" i="7"/>
  <c r="AK458" i="7"/>
  <c r="AK459" i="7"/>
  <c r="AK460" i="7"/>
  <c r="AK461" i="7"/>
  <c r="AK462" i="7"/>
  <c r="AK463" i="7"/>
  <c r="AK464" i="7"/>
  <c r="AK465" i="7"/>
  <c r="AK466" i="7"/>
  <c r="AK467" i="7"/>
  <c r="AK468" i="7"/>
  <c r="AK469" i="7"/>
  <c r="AK470" i="7"/>
  <c r="AK471" i="7"/>
  <c r="AK472" i="7"/>
  <c r="AK473" i="7"/>
  <c r="AK474" i="7"/>
  <c r="AK475" i="7"/>
  <c r="AK476" i="7"/>
  <c r="AK477" i="7"/>
  <c r="AK478" i="7"/>
  <c r="AK479" i="7"/>
  <c r="AK480" i="7"/>
  <c r="AK481" i="7"/>
  <c r="AK482" i="7"/>
  <c r="AK483" i="7"/>
  <c r="AK484" i="7"/>
  <c r="AK485" i="7"/>
  <c r="AK486" i="7"/>
  <c r="AK487" i="7"/>
  <c r="AK488" i="7"/>
  <c r="AK489" i="7"/>
  <c r="AK490" i="7"/>
  <c r="AK491" i="7"/>
  <c r="AK492" i="7"/>
  <c r="AK493" i="7"/>
  <c r="AK494" i="7"/>
  <c r="AK495" i="7"/>
  <c r="AK496" i="7"/>
  <c r="AK497" i="7"/>
  <c r="AK498" i="7"/>
  <c r="AK499" i="7"/>
  <c r="AK500" i="7"/>
  <c r="AK501" i="7"/>
  <c r="AK502" i="7"/>
  <c r="AK503" i="7"/>
  <c r="AK504" i="7"/>
  <c r="AK505" i="7"/>
  <c r="AK506" i="7"/>
  <c r="AK507" i="7"/>
  <c r="AK508" i="7"/>
  <c r="AK509" i="7"/>
  <c r="AK510" i="7"/>
  <c r="AK511" i="7"/>
  <c r="AK512" i="7"/>
  <c r="AK513" i="7"/>
  <c r="AK514" i="7"/>
  <c r="AK515" i="7"/>
  <c r="AK516" i="7"/>
  <c r="AK517" i="7"/>
  <c r="AK518" i="7"/>
  <c r="AK519" i="7"/>
  <c r="AK520" i="7"/>
  <c r="AK521" i="7"/>
  <c r="AK522" i="7"/>
  <c r="AK523" i="7"/>
  <c r="AK524" i="7"/>
  <c r="AK525" i="7"/>
  <c r="AK526" i="7"/>
  <c r="AK527" i="7"/>
  <c r="AK528" i="7"/>
  <c r="AK529" i="7"/>
  <c r="AK530" i="7"/>
  <c r="AK531" i="7"/>
  <c r="AK532" i="7"/>
  <c r="AK533" i="7"/>
  <c r="AK534" i="7"/>
  <c r="AK535" i="7"/>
  <c r="AK536" i="7"/>
  <c r="AK537" i="7"/>
  <c r="AK538" i="7"/>
  <c r="AK539" i="7"/>
  <c r="AK540" i="7"/>
  <c r="AK541" i="7"/>
  <c r="AK542" i="7"/>
  <c r="AK543" i="7"/>
  <c r="AK544" i="7"/>
  <c r="AK545" i="7"/>
  <c r="AK546" i="7"/>
  <c r="AK547" i="7"/>
  <c r="AK548" i="7"/>
  <c r="AK549" i="7"/>
  <c r="AK550" i="7"/>
  <c r="AK551" i="7"/>
  <c r="AK552" i="7"/>
  <c r="AK553" i="7"/>
  <c r="AK554" i="7"/>
  <c r="AK555" i="7"/>
  <c r="AK556" i="7"/>
  <c r="AK557" i="7"/>
  <c r="AK558" i="7"/>
  <c r="AK559" i="7"/>
  <c r="AK560" i="7"/>
  <c r="AK561" i="7"/>
  <c r="AK562" i="7"/>
  <c r="AK563" i="7"/>
  <c r="AK564" i="7"/>
  <c r="AK565" i="7"/>
  <c r="AK566" i="7"/>
  <c r="AK567" i="7"/>
  <c r="AK568" i="7"/>
  <c r="AK569" i="7"/>
  <c r="AK570" i="7"/>
  <c r="AK571" i="7"/>
  <c r="AK572" i="7"/>
  <c r="AK573" i="7"/>
  <c r="AK574" i="7"/>
  <c r="AK575" i="7"/>
  <c r="AK576" i="7"/>
  <c r="AK577" i="7"/>
  <c r="AK578" i="7"/>
  <c r="AK579" i="7"/>
  <c r="AK580" i="7"/>
  <c r="AK581" i="7"/>
  <c r="AK582" i="7"/>
  <c r="AK583" i="7"/>
  <c r="AK584" i="7"/>
  <c r="AK585" i="7"/>
  <c r="AK586" i="7"/>
  <c r="AK587" i="7"/>
  <c r="AK588" i="7"/>
  <c r="AK589" i="7"/>
  <c r="AK590" i="7"/>
  <c r="AK591" i="7"/>
  <c r="AK592" i="7"/>
  <c r="AK593" i="7"/>
  <c r="AK594" i="7"/>
  <c r="AK595" i="7"/>
  <c r="AK596" i="7"/>
  <c r="AK597" i="7"/>
  <c r="AK598" i="7"/>
  <c r="AK599" i="7"/>
  <c r="AK600" i="7"/>
  <c r="AK601" i="7"/>
  <c r="AK602" i="7"/>
  <c r="AK603" i="7"/>
  <c r="AK604" i="7"/>
  <c r="AK605" i="7"/>
  <c r="AK606" i="7"/>
  <c r="AK607" i="7"/>
  <c r="AK608" i="7"/>
  <c r="AK609" i="7"/>
  <c r="AK610" i="7"/>
  <c r="AK611" i="7"/>
  <c r="AK612" i="7"/>
  <c r="AK613" i="7"/>
  <c r="AK614" i="7"/>
  <c r="AK615" i="7"/>
  <c r="AK616" i="7"/>
  <c r="AK617" i="7"/>
  <c r="AK618" i="7"/>
  <c r="AK619" i="7"/>
  <c r="AK620" i="7"/>
  <c r="AK621" i="7"/>
  <c r="AK622" i="7"/>
  <c r="AK623" i="7"/>
  <c r="AK624" i="7"/>
  <c r="AK625" i="7"/>
  <c r="AK626" i="7"/>
  <c r="AK627" i="7"/>
  <c r="AK628" i="7"/>
  <c r="AK629" i="7"/>
  <c r="AK630" i="7"/>
  <c r="AK631" i="7"/>
  <c r="AK632" i="7"/>
  <c r="AK633" i="7"/>
  <c r="AK634" i="7"/>
  <c r="AK635" i="7"/>
  <c r="AK636" i="7"/>
  <c r="AK637" i="7"/>
  <c r="AK638" i="7"/>
  <c r="AK639" i="7"/>
  <c r="AK640" i="7"/>
  <c r="AK641" i="7"/>
  <c r="AK642" i="7"/>
  <c r="AK643" i="7"/>
  <c r="AK644" i="7"/>
  <c r="AK645" i="7"/>
  <c r="AK646" i="7"/>
  <c r="AK647" i="7"/>
  <c r="AK648" i="7"/>
  <c r="AK649" i="7"/>
  <c r="AK650" i="7"/>
  <c r="AK651" i="7"/>
  <c r="AK652" i="7"/>
  <c r="AK653" i="7"/>
  <c r="AK654" i="7"/>
  <c r="AK655" i="7"/>
  <c r="AK656" i="7"/>
  <c r="AK657" i="7"/>
  <c r="AK658" i="7"/>
  <c r="AK659" i="7"/>
  <c r="AK660" i="7"/>
  <c r="AK661" i="7"/>
  <c r="AK662" i="7"/>
  <c r="AK663" i="7"/>
  <c r="AK664" i="7"/>
  <c r="AK665" i="7"/>
  <c r="AK666" i="7"/>
  <c r="AK667" i="7"/>
  <c r="AK668" i="7"/>
  <c r="AK669" i="7"/>
  <c r="AK670" i="7"/>
  <c r="AK671" i="7"/>
  <c r="AK672" i="7"/>
  <c r="AK673" i="7"/>
  <c r="AK674" i="7"/>
  <c r="AK675" i="7"/>
  <c r="AK676" i="7"/>
  <c r="AK677" i="7"/>
  <c r="AK678" i="7"/>
  <c r="AK679" i="7"/>
  <c r="AK680" i="7"/>
  <c r="AK681" i="7"/>
  <c r="AK682" i="7"/>
  <c r="AK683" i="7"/>
  <c r="AK684" i="7"/>
  <c r="AK685" i="7"/>
  <c r="AK686" i="7"/>
  <c r="AK687" i="7"/>
  <c r="AK688" i="7"/>
  <c r="AK689" i="7"/>
  <c r="AK690" i="7"/>
  <c r="AK691" i="7"/>
  <c r="AK692" i="7"/>
  <c r="AK693" i="7"/>
  <c r="AK694" i="7"/>
  <c r="AK695" i="7"/>
  <c r="AK696" i="7"/>
  <c r="AK697" i="7"/>
  <c r="AK698" i="7"/>
  <c r="AK699" i="7"/>
  <c r="AK700" i="7"/>
  <c r="AK701" i="7"/>
  <c r="AK702" i="7"/>
  <c r="AK703" i="7"/>
  <c r="AK704" i="7"/>
  <c r="AK705" i="7"/>
  <c r="AK706" i="7"/>
  <c r="AK707" i="7"/>
  <c r="AK708" i="7"/>
  <c r="AK709" i="7"/>
  <c r="AK710" i="7"/>
  <c r="AK711" i="7"/>
  <c r="AK712" i="7"/>
  <c r="AK713" i="7"/>
  <c r="AK714" i="7"/>
  <c r="AK715" i="7"/>
  <c r="AK716" i="7"/>
  <c r="AK717" i="7"/>
  <c r="AK718" i="7"/>
  <c r="AK719" i="7"/>
  <c r="AK720" i="7"/>
  <c r="AK721" i="7"/>
  <c r="AK722" i="7"/>
  <c r="AK723" i="7"/>
  <c r="AK724" i="7"/>
  <c r="AK725" i="7"/>
  <c r="AK726" i="7"/>
  <c r="AK727" i="7"/>
  <c r="AK728" i="7"/>
  <c r="AK729" i="7"/>
  <c r="AK730" i="7"/>
  <c r="AK731" i="7"/>
  <c r="AK732" i="7"/>
  <c r="AK733" i="7"/>
  <c r="AK734" i="7"/>
  <c r="AK735" i="7"/>
  <c r="AK736" i="7"/>
  <c r="AK737" i="7"/>
  <c r="AK738" i="7"/>
  <c r="AK739" i="7"/>
  <c r="AK740" i="7"/>
  <c r="AK741" i="7"/>
  <c r="AK742" i="7"/>
  <c r="AK743" i="7"/>
  <c r="AK744" i="7"/>
  <c r="AK745" i="7"/>
  <c r="AK746" i="7"/>
  <c r="AK747" i="7"/>
  <c r="AK748" i="7"/>
  <c r="AK749" i="7"/>
  <c r="AK750" i="7"/>
  <c r="AK751" i="7"/>
  <c r="AK752" i="7"/>
  <c r="AK753" i="7"/>
  <c r="AK754" i="7"/>
  <c r="AK755" i="7"/>
  <c r="AK756" i="7"/>
  <c r="AK757" i="7"/>
  <c r="AK758" i="7"/>
  <c r="AK759" i="7"/>
  <c r="AK760" i="7"/>
  <c r="AK761" i="7"/>
  <c r="AK762" i="7"/>
  <c r="AK763" i="7"/>
  <c r="AK764" i="7"/>
  <c r="AK765" i="7"/>
  <c r="AK766" i="7"/>
  <c r="AK767" i="7"/>
  <c r="AK768" i="7"/>
  <c r="AK769" i="7"/>
  <c r="AK770" i="7"/>
  <c r="AK771" i="7"/>
  <c r="AK772" i="7"/>
  <c r="AK773" i="7"/>
  <c r="AK774" i="7"/>
  <c r="AK775" i="7"/>
  <c r="AK776" i="7"/>
  <c r="AK777" i="7"/>
  <c r="AK778" i="7"/>
  <c r="AK779" i="7"/>
  <c r="AK780" i="7"/>
  <c r="AK781" i="7"/>
  <c r="AK782" i="7"/>
  <c r="AK783" i="7"/>
  <c r="AK784" i="7"/>
  <c r="AK785" i="7"/>
  <c r="AK786" i="7"/>
  <c r="AK787" i="7"/>
  <c r="AK788" i="7"/>
  <c r="AK789" i="7"/>
  <c r="AK790" i="7"/>
  <c r="AK791" i="7"/>
  <c r="AK792" i="7"/>
  <c r="AK793" i="7"/>
  <c r="AK794" i="7"/>
  <c r="AK795" i="7"/>
  <c r="AK796" i="7"/>
  <c r="AK797" i="7"/>
  <c r="AK798" i="7"/>
  <c r="AK799" i="7"/>
  <c r="AK800" i="7"/>
  <c r="AK801" i="7"/>
  <c r="AK802" i="7"/>
  <c r="AK803" i="7"/>
  <c r="AK804" i="7"/>
  <c r="AK805" i="7"/>
  <c r="AK806" i="7"/>
  <c r="AK807" i="7"/>
  <c r="AK808" i="7"/>
  <c r="AK809" i="7"/>
  <c r="AK810" i="7"/>
  <c r="AK811" i="7"/>
  <c r="AK812" i="7"/>
  <c r="AK813" i="7"/>
  <c r="AK814" i="7"/>
  <c r="AK815" i="7"/>
  <c r="AK816" i="7"/>
  <c r="AK817" i="7"/>
  <c r="AK818" i="7"/>
  <c r="AK819" i="7"/>
  <c r="AK820" i="7"/>
  <c r="AK821" i="7"/>
  <c r="AK822" i="7"/>
  <c r="AK823" i="7"/>
  <c r="AK824" i="7"/>
  <c r="AK825" i="7"/>
  <c r="AK826" i="7"/>
  <c r="AK827" i="7"/>
  <c r="AK828" i="7"/>
  <c r="AK829" i="7"/>
  <c r="AK830" i="7"/>
  <c r="AK831" i="7"/>
  <c r="AK832" i="7"/>
  <c r="AK833" i="7"/>
  <c r="AK834" i="7"/>
  <c r="AK835" i="7"/>
  <c r="AK836" i="7"/>
  <c r="AK837" i="7"/>
  <c r="AK838" i="7"/>
  <c r="AK839" i="7"/>
  <c r="AK840" i="7"/>
  <c r="AK841" i="7"/>
  <c r="AK842" i="7"/>
  <c r="AK843" i="7"/>
  <c r="AK844" i="7"/>
  <c r="AK845" i="7"/>
  <c r="AK846" i="7"/>
  <c r="AK847" i="7"/>
  <c r="AK848" i="7"/>
  <c r="AK849" i="7"/>
  <c r="AK850" i="7"/>
  <c r="AK851" i="7"/>
  <c r="AK852" i="7"/>
  <c r="AK853" i="7"/>
  <c r="AK854" i="7"/>
  <c r="AK855" i="7"/>
  <c r="AK856" i="7"/>
  <c r="AK857" i="7"/>
  <c r="AK858" i="7"/>
  <c r="AK859" i="7"/>
  <c r="AK860" i="7"/>
  <c r="AK861" i="7"/>
  <c r="AK862" i="7"/>
  <c r="AK863" i="7"/>
  <c r="AK864" i="7"/>
  <c r="AK865" i="7"/>
  <c r="AK866" i="7"/>
  <c r="AK867" i="7"/>
  <c r="AK868" i="7"/>
  <c r="AK869" i="7"/>
  <c r="AK870" i="7"/>
  <c r="AK871" i="7"/>
  <c r="AK872" i="7"/>
  <c r="AK873" i="7"/>
  <c r="AK874" i="7"/>
  <c r="AK875" i="7"/>
  <c r="AK876" i="7"/>
  <c r="AK877" i="7"/>
  <c r="AK878" i="7"/>
  <c r="AK879" i="7"/>
  <c r="AK880" i="7"/>
  <c r="AK881" i="7"/>
  <c r="AK882" i="7"/>
  <c r="AK883" i="7"/>
  <c r="AK884" i="7"/>
  <c r="AK885" i="7"/>
  <c r="AK886" i="7"/>
  <c r="AK887" i="7"/>
  <c r="AK888" i="7"/>
  <c r="AK889" i="7"/>
  <c r="AK890" i="7"/>
  <c r="AK891" i="7"/>
  <c r="AK892" i="7"/>
  <c r="AK893" i="7"/>
  <c r="AK894" i="7"/>
  <c r="AK895" i="7"/>
  <c r="AK896" i="7"/>
  <c r="AK897" i="7"/>
  <c r="AK898" i="7"/>
  <c r="AK899" i="7"/>
  <c r="AK900" i="7"/>
  <c r="AK901" i="7"/>
  <c r="AK902" i="7"/>
  <c r="AK903" i="7"/>
  <c r="AK904" i="7"/>
  <c r="AK905" i="7"/>
  <c r="AK906" i="7"/>
  <c r="AK907" i="7"/>
  <c r="AK908" i="7"/>
  <c r="AK909" i="7"/>
  <c r="AK910" i="7"/>
  <c r="AK911" i="7"/>
  <c r="AK912" i="7"/>
  <c r="AK913" i="7"/>
  <c r="AK914" i="7"/>
  <c r="AK915" i="7"/>
  <c r="AK916" i="7"/>
  <c r="AK917" i="7"/>
  <c r="AK918" i="7"/>
  <c r="AK919" i="7"/>
  <c r="AK920" i="7"/>
  <c r="AK921" i="7"/>
  <c r="AK922" i="7"/>
  <c r="AK923" i="7"/>
  <c r="AK924" i="7"/>
  <c r="AK925" i="7"/>
  <c r="AK926" i="7"/>
  <c r="AK927" i="7"/>
  <c r="AK928" i="7"/>
  <c r="AK929" i="7"/>
  <c r="AK930" i="7"/>
  <c r="AK931" i="7"/>
  <c r="AK932" i="7"/>
  <c r="AK933" i="7"/>
  <c r="AK934" i="7"/>
  <c r="AK935" i="7"/>
  <c r="AK936" i="7"/>
  <c r="AK937" i="7"/>
  <c r="AK938" i="7"/>
  <c r="AK939" i="7"/>
  <c r="AK940" i="7"/>
  <c r="AK941" i="7"/>
  <c r="AK942" i="7"/>
  <c r="AK943" i="7"/>
  <c r="AK944" i="7"/>
  <c r="AK945" i="7"/>
  <c r="AK946" i="7"/>
  <c r="AK947" i="7"/>
  <c r="AK948" i="7"/>
  <c r="AK949" i="7"/>
  <c r="AK950" i="7"/>
  <c r="AK951" i="7"/>
  <c r="AK952" i="7"/>
  <c r="AK953" i="7"/>
  <c r="AK954" i="7"/>
  <c r="AK955" i="7"/>
  <c r="AK956" i="7"/>
  <c r="AK957" i="7"/>
  <c r="AK958" i="7"/>
  <c r="AK959" i="7"/>
  <c r="AK960" i="7"/>
  <c r="AK961" i="7"/>
  <c r="AK962" i="7"/>
  <c r="AK963" i="7"/>
  <c r="AK964" i="7"/>
  <c r="AK965" i="7"/>
  <c r="AK966" i="7"/>
  <c r="AK967" i="7"/>
  <c r="AK968" i="7"/>
  <c r="AK969" i="7"/>
  <c r="AK970" i="7"/>
  <c r="AK971" i="7"/>
  <c r="AK972" i="7"/>
  <c r="AK973" i="7"/>
  <c r="AK974" i="7"/>
  <c r="AK975" i="7"/>
  <c r="AK976" i="7"/>
  <c r="AK977" i="7"/>
  <c r="AK978" i="7"/>
  <c r="AK979" i="7"/>
  <c r="AK980" i="7"/>
  <c r="AK981" i="7"/>
  <c r="AK982" i="7"/>
  <c r="AK983" i="7"/>
  <c r="AK984" i="7"/>
  <c r="AK985" i="7"/>
  <c r="AK986" i="7"/>
  <c r="AK987" i="7"/>
  <c r="AK988" i="7"/>
  <c r="AK989" i="7"/>
  <c r="AK990" i="7"/>
  <c r="AK991" i="7"/>
  <c r="AK992" i="7"/>
  <c r="AK993" i="7"/>
  <c r="AK994" i="7"/>
  <c r="AK995" i="7"/>
  <c r="AK996" i="7"/>
  <c r="AK997" i="7"/>
  <c r="AK998" i="7"/>
  <c r="AK999" i="7"/>
  <c r="AK1000" i="7"/>
  <c r="AK1001" i="7"/>
  <c r="AK1002" i="7"/>
  <c r="AK1003" i="7"/>
  <c r="AK1004" i="7"/>
  <c r="AK1005" i="7"/>
  <c r="AK1006" i="7"/>
  <c r="AK1007" i="7"/>
  <c r="AK1008" i="7"/>
  <c r="AK1009" i="7"/>
  <c r="AK1010" i="7"/>
  <c r="AK1011" i="7"/>
  <c r="AK1012" i="7"/>
  <c r="AK1013" i="7"/>
  <c r="AK1014" i="7"/>
  <c r="AK1015" i="7"/>
  <c r="AK1016" i="7"/>
  <c r="AK1017" i="7"/>
  <c r="AK1018" i="7"/>
  <c r="AK1019" i="7"/>
  <c r="AK1020" i="7"/>
  <c r="AK1021" i="7"/>
  <c r="AK1022" i="7"/>
  <c r="AK1023" i="7"/>
  <c r="AK1024" i="7"/>
  <c r="AK1025" i="7"/>
  <c r="AK1026" i="7"/>
  <c r="AK1027" i="7"/>
  <c r="AK1028" i="7"/>
  <c r="AK1029" i="7"/>
  <c r="AK1030" i="7"/>
  <c r="AK1031" i="7"/>
  <c r="AK1032" i="7"/>
  <c r="AK1033" i="7"/>
  <c r="AK1034" i="7"/>
  <c r="AK1035" i="7"/>
  <c r="AK1036" i="7"/>
  <c r="AK1037" i="7"/>
  <c r="AK1038" i="7"/>
  <c r="AK1039" i="7"/>
  <c r="AK1040" i="7"/>
  <c r="AK1041" i="7"/>
  <c r="AK1042" i="7"/>
  <c r="AK1043" i="7"/>
  <c r="AK1044" i="7"/>
  <c r="AK1045" i="7"/>
  <c r="AK1046" i="7"/>
  <c r="AK1047" i="7"/>
  <c r="AK1048" i="7"/>
  <c r="AK1049" i="7"/>
  <c r="AK1050" i="7"/>
  <c r="AK1051" i="7"/>
  <c r="AK1052" i="7"/>
  <c r="AK1053" i="7"/>
  <c r="AK1054" i="7"/>
  <c r="AK1055" i="7"/>
  <c r="AK1056" i="7"/>
  <c r="AK1057" i="7"/>
  <c r="AK1058" i="7"/>
  <c r="AK1059" i="7"/>
  <c r="AK1060" i="7"/>
  <c r="AK1061" i="7"/>
  <c r="AK1062" i="7"/>
  <c r="AK1063" i="7"/>
  <c r="AK1064" i="7"/>
  <c r="AK1065" i="7"/>
  <c r="AK1066" i="7"/>
  <c r="AK1067" i="7"/>
  <c r="AK1068" i="7"/>
  <c r="AK1069" i="7"/>
  <c r="AK1070" i="7"/>
  <c r="AK1071" i="7"/>
  <c r="AK1072" i="7"/>
  <c r="AK1073" i="7"/>
  <c r="AK1074" i="7"/>
  <c r="AK1075" i="7"/>
  <c r="AK1076" i="7"/>
  <c r="AK1077" i="7"/>
  <c r="AK1078" i="7"/>
  <c r="AK1079" i="7"/>
  <c r="AK1080" i="7"/>
  <c r="AK1081" i="7"/>
  <c r="AK1082" i="7"/>
  <c r="AK1083" i="7"/>
  <c r="AK1084" i="7"/>
  <c r="AK1085" i="7"/>
  <c r="AK1086" i="7"/>
  <c r="AK1087" i="7"/>
  <c r="AK1088" i="7"/>
  <c r="AK1089" i="7"/>
  <c r="AK1090" i="7"/>
  <c r="AK1091" i="7"/>
  <c r="AK1092" i="7"/>
  <c r="AK1093" i="7"/>
  <c r="AK1094" i="7"/>
  <c r="AK1095" i="7"/>
  <c r="AK1096" i="7"/>
  <c r="AK1097" i="7"/>
  <c r="AK1098" i="7"/>
  <c r="AK1099" i="7"/>
  <c r="AK1100" i="7"/>
  <c r="AK1101" i="7"/>
  <c r="AK1102" i="7"/>
  <c r="AK1103" i="7"/>
  <c r="AK1104" i="7"/>
  <c r="AK1105" i="7"/>
  <c r="AK1106" i="7"/>
  <c r="AK1107" i="7"/>
  <c r="AK1108" i="7"/>
  <c r="AK1109" i="7"/>
  <c r="AK1110" i="7"/>
  <c r="AK1111" i="7"/>
  <c r="AK1112" i="7"/>
  <c r="AK1113" i="7"/>
  <c r="AK1114" i="7"/>
  <c r="AK1115" i="7"/>
  <c r="AK1116" i="7"/>
  <c r="AK1117" i="7"/>
  <c r="AK1118" i="7"/>
  <c r="AK1119" i="7"/>
  <c r="AK1120" i="7"/>
  <c r="AK1121" i="7"/>
  <c r="AK1122" i="7"/>
  <c r="AK1123" i="7"/>
  <c r="AK1124" i="7"/>
  <c r="AK1125" i="7"/>
  <c r="AK1126" i="7"/>
  <c r="AK1127" i="7"/>
  <c r="AK1128" i="7"/>
  <c r="AK1129" i="7"/>
  <c r="AK1130" i="7"/>
  <c r="AK1131" i="7"/>
  <c r="AK1132" i="7"/>
  <c r="AK1133" i="7"/>
  <c r="AK1134" i="7"/>
  <c r="AK1135" i="7"/>
  <c r="AK1136" i="7"/>
  <c r="AK1137" i="7"/>
  <c r="AK1138" i="7"/>
  <c r="AK1139" i="7"/>
  <c r="AK1140" i="7"/>
  <c r="AK1141" i="7"/>
  <c r="AK1142" i="7"/>
  <c r="AK1143" i="7"/>
  <c r="AK1144" i="7"/>
  <c r="AK1145" i="7"/>
  <c r="AK1146" i="7"/>
  <c r="AK1147" i="7"/>
  <c r="AK1148" i="7"/>
  <c r="AK1149" i="7"/>
  <c r="AK1150" i="7"/>
  <c r="AK1151" i="7"/>
  <c r="AK1152" i="7"/>
  <c r="AK1153" i="7"/>
  <c r="AK1154" i="7"/>
  <c r="AK1155" i="7"/>
  <c r="AK1156" i="7"/>
  <c r="AK1157" i="7"/>
  <c r="AK1158" i="7"/>
  <c r="AK1159" i="7"/>
  <c r="AK1160" i="7"/>
  <c r="AK1161" i="7"/>
  <c r="AK1162" i="7"/>
  <c r="AK1163" i="7"/>
  <c r="AK1164" i="7"/>
  <c r="AK1165" i="7"/>
  <c r="AK1166" i="7"/>
  <c r="AK1167" i="7"/>
  <c r="AK1168" i="7"/>
  <c r="AK1169" i="7"/>
  <c r="AK1170" i="7"/>
  <c r="AK1171" i="7"/>
  <c r="AK1172" i="7"/>
  <c r="AK1173" i="7"/>
  <c r="AK1174" i="7"/>
  <c r="AK1175" i="7"/>
  <c r="AK1176" i="7"/>
  <c r="AK1177" i="7"/>
  <c r="AK1178" i="7"/>
  <c r="AK1179" i="7"/>
  <c r="AK1180" i="7"/>
  <c r="AK1181" i="7"/>
  <c r="AK1182" i="7"/>
  <c r="AK1183" i="7"/>
  <c r="AK1184" i="7"/>
  <c r="AK1185" i="7"/>
  <c r="AK1186" i="7"/>
  <c r="AK1187" i="7"/>
  <c r="AK1188" i="7"/>
  <c r="AK1189" i="7"/>
  <c r="AK1190" i="7"/>
  <c r="AK1191" i="7"/>
  <c r="AK1192" i="7"/>
  <c r="AK1193" i="7"/>
  <c r="AK1194" i="7"/>
  <c r="AK1195" i="7"/>
  <c r="AK1196" i="7"/>
  <c r="AK1197" i="7"/>
  <c r="AK1198" i="7"/>
  <c r="AK1199" i="7"/>
  <c r="AK1200" i="7"/>
  <c r="AK1201" i="7"/>
  <c r="AK1202" i="7"/>
  <c r="AK1203" i="7"/>
  <c r="AK1204" i="7"/>
  <c r="AK1205" i="7"/>
  <c r="AK1206" i="7"/>
  <c r="AK1207" i="7"/>
  <c r="AK1208" i="7"/>
  <c r="AK1209" i="7"/>
  <c r="AK1210" i="7"/>
  <c r="AK1211" i="7"/>
  <c r="AK1212" i="7"/>
  <c r="AK1213" i="7"/>
  <c r="AK1214" i="7"/>
  <c r="AK1215" i="7"/>
  <c r="AK1216" i="7"/>
  <c r="AK1217" i="7"/>
  <c r="AK1218" i="7"/>
  <c r="AK1219" i="7"/>
  <c r="AK1220" i="7"/>
  <c r="AK1221" i="7"/>
  <c r="AK1222" i="7"/>
  <c r="AK1223" i="7"/>
  <c r="AK1224" i="7"/>
  <c r="AK1225" i="7"/>
  <c r="AK1226" i="7"/>
  <c r="AK1227" i="7"/>
  <c r="AK1228" i="7"/>
  <c r="AK1229" i="7"/>
  <c r="AK1230" i="7"/>
  <c r="AK1231" i="7"/>
  <c r="AK1232" i="7"/>
  <c r="AK1233" i="7"/>
  <c r="AK1234" i="7"/>
  <c r="AK1235" i="7"/>
  <c r="AK1236" i="7"/>
  <c r="AK1237" i="7"/>
  <c r="AK1238" i="7"/>
  <c r="AK1239" i="7"/>
  <c r="AK1240" i="7"/>
  <c r="AK1241" i="7"/>
  <c r="AK1242" i="7"/>
  <c r="AK1243" i="7"/>
  <c r="AK1244" i="7"/>
  <c r="AK1245" i="7"/>
  <c r="AK1246" i="7"/>
  <c r="AK1247" i="7"/>
  <c r="AK1248" i="7"/>
  <c r="AK1249" i="7"/>
  <c r="AK1250" i="7"/>
  <c r="AK1251" i="7"/>
  <c r="AK1252" i="7"/>
  <c r="AK1253" i="7"/>
  <c r="AK1254" i="7"/>
  <c r="AK1255" i="7"/>
  <c r="AK1256" i="7"/>
  <c r="AK1257" i="7"/>
  <c r="AK1258" i="7"/>
  <c r="AK1259" i="7"/>
  <c r="AK1260" i="7"/>
  <c r="AK1261" i="7"/>
  <c r="AK1262" i="7"/>
  <c r="AK1263" i="7"/>
  <c r="AK1264" i="7"/>
  <c r="AK1265" i="7"/>
  <c r="AK1266" i="7"/>
  <c r="AK1267" i="7"/>
  <c r="AK1268" i="7"/>
  <c r="AK1269" i="7"/>
  <c r="AK1270" i="7"/>
  <c r="AK1271" i="7"/>
  <c r="AK1272" i="7"/>
  <c r="AK1273" i="7"/>
  <c r="AK1274" i="7"/>
  <c r="AK1275" i="7"/>
  <c r="AK1276" i="7"/>
  <c r="AK1277" i="7"/>
  <c r="AK1278" i="7"/>
  <c r="AK1279" i="7"/>
  <c r="AK1280" i="7"/>
  <c r="AK1281" i="7"/>
  <c r="AK1282" i="7"/>
  <c r="AK1283" i="7"/>
  <c r="AK1284" i="7"/>
  <c r="AK1285" i="7"/>
  <c r="AK1286" i="7"/>
  <c r="AK1287" i="7"/>
  <c r="AK1288" i="7"/>
  <c r="AK1289" i="7"/>
  <c r="AK1290" i="7"/>
  <c r="AK1291" i="7"/>
  <c r="AK1292" i="7"/>
  <c r="AK1293" i="7"/>
  <c r="AK1294" i="7"/>
  <c r="AK1295" i="7"/>
  <c r="AK1296" i="7"/>
  <c r="AK1297" i="7"/>
  <c r="AK1298" i="7"/>
  <c r="AK1299" i="7"/>
  <c r="AK1300" i="7"/>
  <c r="AK1301" i="7"/>
  <c r="AK1302" i="7"/>
  <c r="AK1303" i="7"/>
  <c r="AK1304" i="7"/>
  <c r="AK1305" i="7"/>
  <c r="AK1306" i="7"/>
  <c r="AK1307" i="7"/>
  <c r="AK1308" i="7"/>
  <c r="AK1309" i="7"/>
  <c r="AK1310" i="7"/>
  <c r="AK1311" i="7"/>
  <c r="AK1312" i="7"/>
  <c r="AK1313" i="7"/>
  <c r="AK1314" i="7"/>
  <c r="AK1315" i="7"/>
  <c r="AK1316" i="7"/>
  <c r="AK1317" i="7"/>
  <c r="AK1318" i="7"/>
  <c r="AK1319" i="7"/>
  <c r="AK1320" i="7"/>
  <c r="AK1321" i="7"/>
  <c r="AK1322" i="7"/>
  <c r="AK1323" i="7"/>
  <c r="AK1324" i="7"/>
  <c r="AK1325" i="7"/>
  <c r="AK1326" i="7"/>
  <c r="AK1327" i="7"/>
  <c r="AK1328" i="7"/>
  <c r="AK1329" i="7"/>
  <c r="AK1330" i="7"/>
  <c r="AK1331" i="7"/>
  <c r="AK1332" i="7"/>
  <c r="AK1333" i="7"/>
  <c r="AK1334" i="7"/>
  <c r="AK1335" i="7"/>
  <c r="AK1336" i="7"/>
  <c r="AK1337" i="7"/>
  <c r="AK1338" i="7"/>
  <c r="AK1339" i="7"/>
  <c r="AK1340" i="7"/>
  <c r="AK1341" i="7"/>
  <c r="AK1342" i="7"/>
  <c r="AK1343" i="7"/>
  <c r="AK1344" i="7"/>
  <c r="AK1345" i="7"/>
  <c r="AK1346" i="7"/>
  <c r="AK1347" i="7"/>
  <c r="AK1348" i="7"/>
  <c r="AK1349" i="7"/>
  <c r="AK1350" i="7"/>
  <c r="AK1351" i="7"/>
  <c r="AK1352" i="7"/>
  <c r="AK1353" i="7"/>
  <c r="AK1354" i="7"/>
  <c r="AK1355" i="7"/>
  <c r="AK1356" i="7"/>
  <c r="AK1357" i="7"/>
  <c r="AK1358" i="7"/>
  <c r="AK1359" i="7"/>
  <c r="AK1360" i="7"/>
  <c r="AK1361" i="7"/>
  <c r="AK1362" i="7"/>
  <c r="AK1363" i="7"/>
  <c r="AK1364" i="7"/>
  <c r="AK1365" i="7"/>
  <c r="AK1366" i="7"/>
  <c r="AK1367" i="7"/>
  <c r="AK1368" i="7"/>
  <c r="AK1369" i="7"/>
  <c r="AK1370" i="7"/>
  <c r="AK1371" i="7"/>
  <c r="AK1372" i="7"/>
  <c r="AK1373" i="7"/>
  <c r="AK1374" i="7"/>
  <c r="AK1375" i="7"/>
  <c r="AK1376" i="7"/>
  <c r="AK1377" i="7"/>
  <c r="AK1378" i="7"/>
  <c r="AK1379" i="7"/>
  <c r="AK1380" i="7"/>
  <c r="AK1381" i="7"/>
  <c r="AK1382" i="7"/>
  <c r="AK1383" i="7"/>
  <c r="AK1384" i="7"/>
  <c r="AK1385" i="7"/>
  <c r="AK1386" i="7"/>
  <c r="AK1387" i="7"/>
  <c r="AK1388" i="7"/>
  <c r="AK1389" i="7"/>
  <c r="AK1390" i="7"/>
  <c r="AK1391" i="7"/>
  <c r="AK1392" i="7"/>
  <c r="AK1393" i="7"/>
  <c r="AK1394" i="7"/>
  <c r="AK1395" i="7"/>
  <c r="AK1396" i="7"/>
  <c r="AK1397" i="7"/>
  <c r="AK1398" i="7"/>
  <c r="AK1399" i="7"/>
  <c r="AK1400" i="7"/>
  <c r="AK1401" i="7"/>
  <c r="AK1402" i="7"/>
  <c r="AK1403" i="7"/>
  <c r="AK1404" i="7"/>
  <c r="AK1405" i="7"/>
  <c r="AK1406" i="7"/>
  <c r="AK1407" i="7"/>
  <c r="AK1408" i="7"/>
  <c r="AK1409" i="7"/>
  <c r="AK1410" i="7"/>
  <c r="AK1411" i="7"/>
  <c r="AK1412" i="7"/>
  <c r="AK1413" i="7"/>
  <c r="AK1414" i="7"/>
  <c r="AK1415" i="7"/>
  <c r="AK1416" i="7"/>
  <c r="AK1417" i="7"/>
  <c r="AK1418" i="7"/>
  <c r="AK1419" i="7"/>
  <c r="AK1420" i="7"/>
  <c r="AK1421" i="7"/>
  <c r="AK1422" i="7"/>
  <c r="AK1423" i="7"/>
  <c r="AK1424" i="7"/>
  <c r="AK1425" i="7"/>
  <c r="AK1426" i="7"/>
  <c r="AK1427" i="7"/>
  <c r="AK1428" i="7"/>
  <c r="AK1429" i="7"/>
  <c r="AK1430" i="7"/>
  <c r="AK1431" i="7"/>
  <c r="AK1432" i="7"/>
  <c r="AK1433" i="7"/>
  <c r="AK1434" i="7"/>
  <c r="AK1435" i="7"/>
  <c r="AK1436" i="7"/>
  <c r="AK1437" i="7"/>
  <c r="AK1438" i="7"/>
  <c r="AK1439" i="7"/>
  <c r="AK1440" i="7"/>
  <c r="AK1441" i="7"/>
  <c r="AK1442" i="7"/>
  <c r="AK1443" i="7"/>
  <c r="AK1444" i="7"/>
  <c r="AK1445" i="7"/>
  <c r="AK1446" i="7"/>
  <c r="AK1447" i="7"/>
  <c r="AK1448" i="7"/>
  <c r="AK1449" i="7"/>
  <c r="AK1450" i="7"/>
  <c r="AK1451" i="7"/>
  <c r="AK1452" i="7"/>
  <c r="AK1453" i="7"/>
  <c r="AK1454" i="7"/>
  <c r="AK1455" i="7"/>
  <c r="AK1456" i="7"/>
  <c r="AK1457" i="7"/>
  <c r="AK1458" i="7"/>
  <c r="AK1459" i="7"/>
  <c r="AK1460" i="7"/>
  <c r="AK1461" i="7"/>
  <c r="AK1462" i="7"/>
  <c r="AK1463" i="7"/>
  <c r="AK1464" i="7"/>
  <c r="AK1465" i="7"/>
  <c r="AK1466" i="7"/>
  <c r="AK1467" i="7"/>
  <c r="AK1468" i="7"/>
  <c r="AK1469" i="7"/>
  <c r="AK1470" i="7"/>
  <c r="AK1471" i="7"/>
  <c r="AK2" i="7"/>
  <c r="AJ3" i="7"/>
  <c r="AJ4" i="7"/>
  <c r="AJ5" i="7"/>
  <c r="AJ6" i="7"/>
  <c r="AJ7" i="7"/>
  <c r="AJ8" i="7"/>
  <c r="AJ9" i="7"/>
  <c r="AJ10" i="7"/>
  <c r="AJ11" i="7"/>
  <c r="AJ12" i="7"/>
  <c r="AJ13" i="7"/>
  <c r="AJ14" i="7"/>
  <c r="AJ15" i="7"/>
  <c r="AJ16" i="7"/>
  <c r="AJ17" i="7"/>
  <c r="AJ18" i="7"/>
  <c r="AJ19" i="7"/>
  <c r="AJ20" i="7"/>
  <c r="AJ21" i="7"/>
  <c r="AJ22" i="7"/>
  <c r="AJ23" i="7"/>
  <c r="AJ24" i="7"/>
  <c r="AJ25" i="7"/>
  <c r="AJ26" i="7"/>
  <c r="AJ27" i="7"/>
  <c r="AJ28" i="7"/>
  <c r="AJ29" i="7"/>
  <c r="AJ30" i="7"/>
  <c r="AJ31" i="7"/>
  <c r="AJ32" i="7"/>
  <c r="AJ33" i="7"/>
  <c r="AJ34" i="7"/>
  <c r="AJ35" i="7"/>
  <c r="AJ36" i="7"/>
  <c r="AJ37" i="7"/>
  <c r="AJ38" i="7"/>
  <c r="AJ39" i="7"/>
  <c r="AJ40" i="7"/>
  <c r="AJ41" i="7"/>
  <c r="AJ42" i="7"/>
  <c r="AJ43" i="7"/>
  <c r="AJ44" i="7"/>
  <c r="AJ45" i="7"/>
  <c r="AJ46" i="7"/>
  <c r="AJ47" i="7"/>
  <c r="AJ48" i="7"/>
  <c r="AJ49" i="7"/>
  <c r="AJ50" i="7"/>
  <c r="AJ51" i="7"/>
  <c r="AJ52" i="7"/>
  <c r="AJ53" i="7"/>
  <c r="AJ54" i="7"/>
  <c r="AJ55" i="7"/>
  <c r="AJ56" i="7"/>
  <c r="AJ57" i="7"/>
  <c r="AJ58" i="7"/>
  <c r="AJ59" i="7"/>
  <c r="AJ60" i="7"/>
  <c r="AJ61" i="7"/>
  <c r="AJ62" i="7"/>
  <c r="AJ63" i="7"/>
  <c r="AJ64" i="7"/>
  <c r="AJ65" i="7"/>
  <c r="AJ66" i="7"/>
  <c r="AJ67" i="7"/>
  <c r="AJ68" i="7"/>
  <c r="AJ69" i="7"/>
  <c r="AJ70" i="7"/>
  <c r="AJ71" i="7"/>
  <c r="AJ72" i="7"/>
  <c r="AJ73" i="7"/>
  <c r="AJ74" i="7"/>
  <c r="AJ75" i="7"/>
  <c r="AJ76" i="7"/>
  <c r="AJ77" i="7"/>
  <c r="AJ78" i="7"/>
  <c r="AJ79" i="7"/>
  <c r="AJ80" i="7"/>
  <c r="AJ81" i="7"/>
  <c r="AJ82" i="7"/>
  <c r="AJ83" i="7"/>
  <c r="AJ84" i="7"/>
  <c r="AJ85" i="7"/>
  <c r="AJ86" i="7"/>
  <c r="AJ87" i="7"/>
  <c r="AJ88" i="7"/>
  <c r="AJ89" i="7"/>
  <c r="AJ90" i="7"/>
  <c r="AJ91" i="7"/>
  <c r="AJ92" i="7"/>
  <c r="AJ93" i="7"/>
  <c r="AJ94" i="7"/>
  <c r="AJ95" i="7"/>
  <c r="AJ96" i="7"/>
  <c r="AJ97" i="7"/>
  <c r="AJ98" i="7"/>
  <c r="AJ99" i="7"/>
  <c r="AJ100" i="7"/>
  <c r="AJ101" i="7"/>
  <c r="AJ102" i="7"/>
  <c r="AJ103" i="7"/>
  <c r="AJ104" i="7"/>
  <c r="AJ105" i="7"/>
  <c r="AJ106" i="7"/>
  <c r="AJ107" i="7"/>
  <c r="AJ108" i="7"/>
  <c r="AJ109" i="7"/>
  <c r="AJ110" i="7"/>
  <c r="AJ111" i="7"/>
  <c r="AJ112" i="7"/>
  <c r="AJ113" i="7"/>
  <c r="AJ114" i="7"/>
  <c r="AJ115" i="7"/>
  <c r="AJ116" i="7"/>
  <c r="AJ117" i="7"/>
  <c r="AJ118" i="7"/>
  <c r="B118" i="12" s="1"/>
  <c r="AJ119" i="7"/>
  <c r="AJ120" i="7"/>
  <c r="AJ121" i="7"/>
  <c r="AJ122" i="7"/>
  <c r="AJ123" i="7"/>
  <c r="AJ124" i="7"/>
  <c r="AJ125" i="7"/>
  <c r="AJ126" i="7"/>
  <c r="AJ127" i="7"/>
  <c r="AJ128" i="7"/>
  <c r="AJ129" i="7"/>
  <c r="AJ130" i="7"/>
  <c r="AJ131" i="7"/>
  <c r="AJ132" i="7"/>
  <c r="AJ133" i="7"/>
  <c r="AJ134" i="7"/>
  <c r="AJ135" i="7"/>
  <c r="AJ136" i="7"/>
  <c r="AJ137" i="7"/>
  <c r="AJ138" i="7"/>
  <c r="AJ139" i="7"/>
  <c r="AJ140" i="7"/>
  <c r="AJ141" i="7"/>
  <c r="AJ142" i="7"/>
  <c r="AJ143" i="7"/>
  <c r="AJ144" i="7"/>
  <c r="AJ145" i="7"/>
  <c r="AJ146" i="7"/>
  <c r="AJ147" i="7"/>
  <c r="AJ148" i="7"/>
  <c r="AJ149" i="7"/>
  <c r="AJ150" i="7"/>
  <c r="AJ151" i="7"/>
  <c r="AJ152" i="7"/>
  <c r="AJ153" i="7"/>
  <c r="AJ154" i="7"/>
  <c r="AJ155" i="7"/>
  <c r="AJ156" i="7"/>
  <c r="AJ157" i="7"/>
  <c r="AJ158" i="7"/>
  <c r="AJ159" i="7"/>
  <c r="AJ160" i="7"/>
  <c r="AJ161" i="7"/>
  <c r="AJ162" i="7"/>
  <c r="AJ163" i="7"/>
  <c r="AJ164" i="7"/>
  <c r="AJ165" i="7"/>
  <c r="AJ166" i="7"/>
  <c r="AJ167" i="7"/>
  <c r="AJ168" i="7"/>
  <c r="AJ169" i="7"/>
  <c r="AJ170" i="7"/>
  <c r="AJ171" i="7"/>
  <c r="AJ172" i="7"/>
  <c r="AJ173" i="7"/>
  <c r="AJ174" i="7"/>
  <c r="AJ175" i="7"/>
  <c r="AJ176" i="7"/>
  <c r="AJ177" i="7"/>
  <c r="AJ178" i="7"/>
  <c r="AJ179" i="7"/>
  <c r="AJ180" i="7"/>
  <c r="AJ181" i="7"/>
  <c r="AJ182" i="7"/>
  <c r="AJ183" i="7"/>
  <c r="AJ184" i="7"/>
  <c r="AJ185" i="7"/>
  <c r="AJ186" i="7"/>
  <c r="AJ187" i="7"/>
  <c r="AJ188" i="7"/>
  <c r="AJ189" i="7"/>
  <c r="AJ190" i="7"/>
  <c r="AJ191" i="7"/>
  <c r="AJ192" i="7"/>
  <c r="AJ193" i="7"/>
  <c r="AJ194" i="7"/>
  <c r="AJ195" i="7"/>
  <c r="AJ196" i="7"/>
  <c r="AJ197" i="7"/>
  <c r="AJ198" i="7"/>
  <c r="AJ199" i="7"/>
  <c r="AJ200" i="7"/>
  <c r="AJ201" i="7"/>
  <c r="AJ202" i="7"/>
  <c r="AJ203" i="7"/>
  <c r="AJ204" i="7"/>
  <c r="AJ205" i="7"/>
  <c r="AJ206" i="7"/>
  <c r="AJ207" i="7"/>
  <c r="AJ208" i="7"/>
  <c r="AJ209" i="7"/>
  <c r="AJ210" i="7"/>
  <c r="AJ211" i="7"/>
  <c r="AJ212" i="7"/>
  <c r="AJ213" i="7"/>
  <c r="AJ214" i="7"/>
  <c r="AJ215" i="7"/>
  <c r="AJ216" i="7"/>
  <c r="AJ217" i="7"/>
  <c r="AJ218" i="7"/>
  <c r="AJ219" i="7"/>
  <c r="AJ220" i="7"/>
  <c r="AJ221" i="7"/>
  <c r="AJ222" i="7"/>
  <c r="AJ223" i="7"/>
  <c r="AJ224" i="7"/>
  <c r="AJ225" i="7"/>
  <c r="AJ226" i="7"/>
  <c r="AJ227" i="7"/>
  <c r="AJ228" i="7"/>
  <c r="AJ229" i="7"/>
  <c r="AJ230" i="7"/>
  <c r="AJ231" i="7"/>
  <c r="AJ232" i="7"/>
  <c r="AJ233" i="7"/>
  <c r="AJ234" i="7"/>
  <c r="AJ235" i="7"/>
  <c r="AJ236" i="7"/>
  <c r="AJ237" i="7"/>
  <c r="AJ238" i="7"/>
  <c r="AJ239" i="7"/>
  <c r="AJ240" i="7"/>
  <c r="AJ241" i="7"/>
  <c r="AJ242" i="7"/>
  <c r="AJ243" i="7"/>
  <c r="AJ244" i="7"/>
  <c r="AJ245" i="7"/>
  <c r="AJ246" i="7"/>
  <c r="AJ247" i="7"/>
  <c r="AJ248" i="7"/>
  <c r="AJ249" i="7"/>
  <c r="AJ250" i="7"/>
  <c r="AJ251" i="7"/>
  <c r="AJ252" i="7"/>
  <c r="AJ253" i="7"/>
  <c r="AJ254" i="7"/>
  <c r="AJ255" i="7"/>
  <c r="AJ256" i="7"/>
  <c r="AJ257" i="7"/>
  <c r="AJ258" i="7"/>
  <c r="AJ259" i="7"/>
  <c r="AJ260" i="7"/>
  <c r="AJ261" i="7"/>
  <c r="AJ262" i="7"/>
  <c r="AJ263" i="7"/>
  <c r="AJ264" i="7"/>
  <c r="AJ265" i="7"/>
  <c r="AJ266" i="7"/>
  <c r="AJ267" i="7"/>
  <c r="AJ268" i="7"/>
  <c r="AJ269" i="7"/>
  <c r="AJ270" i="7"/>
  <c r="AJ271" i="7"/>
  <c r="AJ272" i="7"/>
  <c r="AJ273" i="7"/>
  <c r="AJ274" i="7"/>
  <c r="AJ275" i="7"/>
  <c r="AJ276" i="7"/>
  <c r="AJ277" i="7"/>
  <c r="AJ278" i="7"/>
  <c r="AJ279" i="7"/>
  <c r="AJ280" i="7"/>
  <c r="AJ281" i="7"/>
  <c r="AJ282" i="7"/>
  <c r="AJ283" i="7"/>
  <c r="AJ284" i="7"/>
  <c r="AJ285" i="7"/>
  <c r="AJ286" i="7"/>
  <c r="AJ287" i="7"/>
  <c r="AJ288" i="7"/>
  <c r="AJ289" i="7"/>
  <c r="AJ290" i="7"/>
  <c r="AJ291" i="7"/>
  <c r="AJ292" i="7"/>
  <c r="AJ293" i="7"/>
  <c r="AJ294" i="7"/>
  <c r="AJ295" i="7"/>
  <c r="AJ296" i="7"/>
  <c r="AJ297" i="7"/>
  <c r="AJ298" i="7"/>
  <c r="AJ299" i="7"/>
  <c r="AJ300" i="7"/>
  <c r="AJ301" i="7"/>
  <c r="AJ302" i="7"/>
  <c r="AJ303" i="7"/>
  <c r="AJ304" i="7"/>
  <c r="AJ305" i="7"/>
  <c r="AJ306" i="7"/>
  <c r="AJ307" i="7"/>
  <c r="AJ308" i="7"/>
  <c r="AJ309" i="7"/>
  <c r="AJ310" i="7"/>
  <c r="AJ311" i="7"/>
  <c r="AJ312" i="7"/>
  <c r="AJ313" i="7"/>
  <c r="AJ314" i="7"/>
  <c r="AJ315" i="7"/>
  <c r="AJ316" i="7"/>
  <c r="AJ317" i="7"/>
  <c r="AJ318" i="7"/>
  <c r="AJ319" i="7"/>
  <c r="AJ320" i="7"/>
  <c r="AJ321" i="7"/>
  <c r="AJ322" i="7"/>
  <c r="AJ323" i="7"/>
  <c r="AJ324" i="7"/>
  <c r="AJ325" i="7"/>
  <c r="AJ326" i="7"/>
  <c r="AJ327" i="7"/>
  <c r="AJ328" i="7"/>
  <c r="AJ329" i="7"/>
  <c r="AJ330" i="7"/>
  <c r="AJ331" i="7"/>
  <c r="AJ332" i="7"/>
  <c r="AJ333" i="7"/>
  <c r="AJ334" i="7"/>
  <c r="AJ335" i="7"/>
  <c r="AJ336" i="7"/>
  <c r="AJ337" i="7"/>
  <c r="AJ338" i="7"/>
  <c r="AJ339" i="7"/>
  <c r="AJ340" i="7"/>
  <c r="AJ341" i="7"/>
  <c r="AJ342" i="7"/>
  <c r="AJ343" i="7"/>
  <c r="AJ344" i="7"/>
  <c r="AJ345" i="7"/>
  <c r="AJ346" i="7"/>
  <c r="AJ347" i="7"/>
  <c r="AJ348" i="7"/>
  <c r="AJ349" i="7"/>
  <c r="AJ350" i="7"/>
  <c r="AJ351" i="7"/>
  <c r="AJ352" i="7"/>
  <c r="AJ353" i="7"/>
  <c r="AJ354" i="7"/>
  <c r="AJ355" i="7"/>
  <c r="AJ356" i="7"/>
  <c r="AJ357" i="7"/>
  <c r="AJ358" i="7"/>
  <c r="AJ359" i="7"/>
  <c r="AJ360" i="7"/>
  <c r="AJ361" i="7"/>
  <c r="AJ362" i="7"/>
  <c r="AJ363" i="7"/>
  <c r="AJ364" i="7"/>
  <c r="AJ365" i="7"/>
  <c r="AJ366" i="7"/>
  <c r="AJ367" i="7"/>
  <c r="AJ368" i="7"/>
  <c r="AJ369" i="7"/>
  <c r="AJ370" i="7"/>
  <c r="AJ371" i="7"/>
  <c r="AJ372" i="7"/>
  <c r="AJ373" i="7"/>
  <c r="AJ374" i="7"/>
  <c r="AJ375" i="7"/>
  <c r="AJ376" i="7"/>
  <c r="AJ377" i="7"/>
  <c r="AJ378" i="7"/>
  <c r="AJ379" i="7"/>
  <c r="AJ380" i="7"/>
  <c r="AJ381" i="7"/>
  <c r="AJ382" i="7"/>
  <c r="AJ383" i="7"/>
  <c r="AJ384" i="7"/>
  <c r="AJ385" i="7"/>
  <c r="AJ386" i="7"/>
  <c r="AJ387" i="7"/>
  <c r="AJ388" i="7"/>
  <c r="AJ389" i="7"/>
  <c r="AJ390" i="7"/>
  <c r="AJ391" i="7"/>
  <c r="AJ392" i="7"/>
  <c r="AJ393" i="7"/>
  <c r="AJ394" i="7"/>
  <c r="AJ395" i="7"/>
  <c r="AJ396" i="7"/>
  <c r="AJ397" i="7"/>
  <c r="AJ398" i="7"/>
  <c r="AJ399" i="7"/>
  <c r="AJ400" i="7"/>
  <c r="AJ401" i="7"/>
  <c r="AJ402" i="7"/>
  <c r="AJ403" i="7"/>
  <c r="AJ404" i="7"/>
  <c r="AJ405" i="7"/>
  <c r="AJ406" i="7"/>
  <c r="AJ407" i="7"/>
  <c r="AJ408" i="7"/>
  <c r="AJ409" i="7"/>
  <c r="AJ410" i="7"/>
  <c r="AJ411" i="7"/>
  <c r="AJ412" i="7"/>
  <c r="AJ413" i="7"/>
  <c r="AJ414" i="7"/>
  <c r="AJ415" i="7"/>
  <c r="AJ416" i="7"/>
  <c r="AJ417" i="7"/>
  <c r="AJ418" i="7"/>
  <c r="AJ419" i="7"/>
  <c r="AJ420" i="7"/>
  <c r="AJ421" i="7"/>
  <c r="AJ422" i="7"/>
  <c r="AJ423" i="7"/>
  <c r="AJ424" i="7"/>
  <c r="AJ425" i="7"/>
  <c r="AJ426" i="7"/>
  <c r="AJ427" i="7"/>
  <c r="AJ428" i="7"/>
  <c r="AJ429" i="7"/>
  <c r="AJ430" i="7"/>
  <c r="AJ431" i="7"/>
  <c r="AJ432" i="7"/>
  <c r="AJ433" i="7"/>
  <c r="AJ434" i="7"/>
  <c r="AJ435" i="7"/>
  <c r="AJ436" i="7"/>
  <c r="AJ437" i="7"/>
  <c r="AJ438" i="7"/>
  <c r="AJ439" i="7"/>
  <c r="AJ440" i="7"/>
  <c r="AJ441" i="7"/>
  <c r="AJ442" i="7"/>
  <c r="AJ443" i="7"/>
  <c r="AJ444" i="7"/>
  <c r="AJ445" i="7"/>
  <c r="AJ446" i="7"/>
  <c r="AJ447" i="7"/>
  <c r="AJ448" i="7"/>
  <c r="AJ449" i="7"/>
  <c r="AJ450" i="7"/>
  <c r="AJ451" i="7"/>
  <c r="AJ452" i="7"/>
  <c r="AJ453" i="7"/>
  <c r="AJ454" i="7"/>
  <c r="AJ455" i="7"/>
  <c r="AJ456" i="7"/>
  <c r="AJ457" i="7"/>
  <c r="AJ458" i="7"/>
  <c r="AJ459" i="7"/>
  <c r="AJ460" i="7"/>
  <c r="AJ461" i="7"/>
  <c r="AJ462" i="7"/>
  <c r="AJ463" i="7"/>
  <c r="AJ464" i="7"/>
  <c r="AJ465" i="7"/>
  <c r="AJ466" i="7"/>
  <c r="AJ467" i="7"/>
  <c r="AJ468" i="7"/>
  <c r="AJ469" i="7"/>
  <c r="AJ470" i="7"/>
  <c r="AJ471" i="7"/>
  <c r="AJ472" i="7"/>
  <c r="AJ473" i="7"/>
  <c r="AJ474" i="7"/>
  <c r="AJ475" i="7"/>
  <c r="AJ476" i="7"/>
  <c r="AJ477" i="7"/>
  <c r="AJ478" i="7"/>
  <c r="AJ479" i="7"/>
  <c r="AJ480" i="7"/>
  <c r="AJ481" i="7"/>
  <c r="AJ482" i="7"/>
  <c r="AJ483" i="7"/>
  <c r="AJ484" i="7"/>
  <c r="AJ485" i="7"/>
  <c r="AJ486" i="7"/>
  <c r="AJ487" i="7"/>
  <c r="AJ488" i="7"/>
  <c r="AJ489" i="7"/>
  <c r="AJ490" i="7"/>
  <c r="AJ491" i="7"/>
  <c r="AJ492" i="7"/>
  <c r="AJ493" i="7"/>
  <c r="AJ494" i="7"/>
  <c r="AJ495" i="7"/>
  <c r="AJ496" i="7"/>
  <c r="AJ497" i="7"/>
  <c r="AJ498" i="7"/>
  <c r="AJ499" i="7"/>
  <c r="AJ500" i="7"/>
  <c r="AJ501" i="7"/>
  <c r="AJ502" i="7"/>
  <c r="AJ503" i="7"/>
  <c r="AJ504" i="7"/>
  <c r="AJ505" i="7"/>
  <c r="AJ506" i="7"/>
  <c r="AJ507" i="7"/>
  <c r="AJ508" i="7"/>
  <c r="AJ509" i="7"/>
  <c r="AJ510" i="7"/>
  <c r="AJ511" i="7"/>
  <c r="AJ512" i="7"/>
  <c r="AJ513" i="7"/>
  <c r="AJ514" i="7"/>
  <c r="AJ515" i="7"/>
  <c r="AJ516" i="7"/>
  <c r="AJ517" i="7"/>
  <c r="AJ518" i="7"/>
  <c r="AJ519" i="7"/>
  <c r="AJ520" i="7"/>
  <c r="AJ521" i="7"/>
  <c r="AJ522" i="7"/>
  <c r="AJ523" i="7"/>
  <c r="AJ524" i="7"/>
  <c r="AJ525" i="7"/>
  <c r="AJ526" i="7"/>
  <c r="AJ527" i="7"/>
  <c r="AJ528" i="7"/>
  <c r="AJ529" i="7"/>
  <c r="AJ530" i="7"/>
  <c r="AJ531" i="7"/>
  <c r="AJ532" i="7"/>
  <c r="AJ533" i="7"/>
  <c r="AJ534" i="7"/>
  <c r="AJ535" i="7"/>
  <c r="AJ536" i="7"/>
  <c r="AJ537" i="7"/>
  <c r="AJ538" i="7"/>
  <c r="AJ539" i="7"/>
  <c r="AJ540" i="7"/>
  <c r="AJ541" i="7"/>
  <c r="AJ542" i="7"/>
  <c r="AJ543" i="7"/>
  <c r="AJ544" i="7"/>
  <c r="AJ545" i="7"/>
  <c r="AJ546" i="7"/>
  <c r="AJ547" i="7"/>
  <c r="AJ548" i="7"/>
  <c r="AJ549" i="7"/>
  <c r="AJ550" i="7"/>
  <c r="AJ551" i="7"/>
  <c r="AJ552" i="7"/>
  <c r="AJ553" i="7"/>
  <c r="AJ554" i="7"/>
  <c r="AJ555" i="7"/>
  <c r="AJ556" i="7"/>
  <c r="AJ557" i="7"/>
  <c r="AJ558" i="7"/>
  <c r="AJ559" i="7"/>
  <c r="AJ560" i="7"/>
  <c r="AJ561" i="7"/>
  <c r="AJ562" i="7"/>
  <c r="AJ563" i="7"/>
  <c r="AJ564" i="7"/>
  <c r="AJ565" i="7"/>
  <c r="AJ566" i="7"/>
  <c r="AJ567" i="7"/>
  <c r="AJ568" i="7"/>
  <c r="AJ569" i="7"/>
  <c r="AJ570" i="7"/>
  <c r="AJ571" i="7"/>
  <c r="AJ572" i="7"/>
  <c r="AJ573" i="7"/>
  <c r="AJ574" i="7"/>
  <c r="AJ575" i="7"/>
  <c r="AJ576" i="7"/>
  <c r="AJ577" i="7"/>
  <c r="AJ578" i="7"/>
  <c r="AJ579" i="7"/>
  <c r="AJ580" i="7"/>
  <c r="AJ581" i="7"/>
  <c r="AJ582" i="7"/>
  <c r="AJ583" i="7"/>
  <c r="AJ584" i="7"/>
  <c r="AJ585" i="7"/>
  <c r="AJ586" i="7"/>
  <c r="AJ587" i="7"/>
  <c r="AJ588" i="7"/>
  <c r="AJ589" i="7"/>
  <c r="AJ590" i="7"/>
  <c r="AJ591" i="7"/>
  <c r="AJ592" i="7"/>
  <c r="AJ593" i="7"/>
  <c r="AJ594" i="7"/>
  <c r="AJ595" i="7"/>
  <c r="AJ596" i="7"/>
  <c r="AJ597" i="7"/>
  <c r="AJ598" i="7"/>
  <c r="AJ599" i="7"/>
  <c r="AJ600" i="7"/>
  <c r="AJ601" i="7"/>
  <c r="AJ602" i="7"/>
  <c r="AJ603" i="7"/>
  <c r="AJ604" i="7"/>
  <c r="AJ605" i="7"/>
  <c r="AJ606" i="7"/>
  <c r="AJ607" i="7"/>
  <c r="AJ608" i="7"/>
  <c r="AJ609" i="7"/>
  <c r="AJ610" i="7"/>
  <c r="AJ611" i="7"/>
  <c r="AJ612" i="7"/>
  <c r="AJ613" i="7"/>
  <c r="AJ614" i="7"/>
  <c r="AJ615" i="7"/>
  <c r="AJ616" i="7"/>
  <c r="AJ617" i="7"/>
  <c r="AJ618" i="7"/>
  <c r="AJ619" i="7"/>
  <c r="AJ620" i="7"/>
  <c r="AJ621" i="7"/>
  <c r="AJ622" i="7"/>
  <c r="AJ623" i="7"/>
  <c r="AJ624" i="7"/>
  <c r="AJ625" i="7"/>
  <c r="AJ626" i="7"/>
  <c r="AJ627" i="7"/>
  <c r="AJ628" i="7"/>
  <c r="AJ629" i="7"/>
  <c r="AJ630" i="7"/>
  <c r="AJ631" i="7"/>
  <c r="AJ632" i="7"/>
  <c r="AJ633" i="7"/>
  <c r="AJ634" i="7"/>
  <c r="AJ635" i="7"/>
  <c r="AJ636" i="7"/>
  <c r="AJ637" i="7"/>
  <c r="AJ638" i="7"/>
  <c r="AJ639" i="7"/>
  <c r="AJ640" i="7"/>
  <c r="AJ641" i="7"/>
  <c r="AJ642" i="7"/>
  <c r="AJ643" i="7"/>
  <c r="AJ644" i="7"/>
  <c r="AJ645" i="7"/>
  <c r="AJ646" i="7"/>
  <c r="AJ647" i="7"/>
  <c r="AJ648" i="7"/>
  <c r="AJ649" i="7"/>
  <c r="AJ650" i="7"/>
  <c r="AJ651" i="7"/>
  <c r="AJ652" i="7"/>
  <c r="AJ653" i="7"/>
  <c r="AJ654" i="7"/>
  <c r="AJ655" i="7"/>
  <c r="AJ656" i="7"/>
  <c r="AJ657" i="7"/>
  <c r="AJ658" i="7"/>
  <c r="AJ659" i="7"/>
  <c r="AJ660" i="7"/>
  <c r="AJ661" i="7"/>
  <c r="AJ662" i="7"/>
  <c r="AJ663" i="7"/>
  <c r="AJ664" i="7"/>
  <c r="AJ665" i="7"/>
  <c r="AJ666" i="7"/>
  <c r="AJ667" i="7"/>
  <c r="AJ668" i="7"/>
  <c r="AJ669" i="7"/>
  <c r="AJ670" i="7"/>
  <c r="AJ671" i="7"/>
  <c r="AJ672" i="7"/>
  <c r="AJ673" i="7"/>
  <c r="AJ674" i="7"/>
  <c r="AJ675" i="7"/>
  <c r="AJ676" i="7"/>
  <c r="AJ677" i="7"/>
  <c r="AJ678" i="7"/>
  <c r="AJ679" i="7"/>
  <c r="AJ680" i="7"/>
  <c r="AJ681" i="7"/>
  <c r="AJ682" i="7"/>
  <c r="AJ683" i="7"/>
  <c r="AJ684" i="7"/>
  <c r="AJ685" i="7"/>
  <c r="AJ686" i="7"/>
  <c r="AJ687" i="7"/>
  <c r="AJ688" i="7"/>
  <c r="AJ689" i="7"/>
  <c r="AJ690" i="7"/>
  <c r="AJ691" i="7"/>
  <c r="AJ692" i="7"/>
  <c r="AJ693" i="7"/>
  <c r="AJ694" i="7"/>
  <c r="AJ695" i="7"/>
  <c r="AJ696" i="7"/>
  <c r="AJ697" i="7"/>
  <c r="AJ698" i="7"/>
  <c r="AJ699" i="7"/>
  <c r="AJ700" i="7"/>
  <c r="AJ701" i="7"/>
  <c r="AJ702" i="7"/>
  <c r="AJ703" i="7"/>
  <c r="AJ704" i="7"/>
  <c r="AJ705" i="7"/>
  <c r="AJ706" i="7"/>
  <c r="AJ707" i="7"/>
  <c r="AJ708" i="7"/>
  <c r="AJ709" i="7"/>
  <c r="AJ710" i="7"/>
  <c r="AJ711" i="7"/>
  <c r="AJ712" i="7"/>
  <c r="AJ713" i="7"/>
  <c r="AJ714" i="7"/>
  <c r="AJ715" i="7"/>
  <c r="AJ716" i="7"/>
  <c r="AJ717" i="7"/>
  <c r="AJ718" i="7"/>
  <c r="AJ719" i="7"/>
  <c r="AJ720" i="7"/>
  <c r="AJ721" i="7"/>
  <c r="AJ722" i="7"/>
  <c r="AJ723" i="7"/>
  <c r="AJ724" i="7"/>
  <c r="AJ725" i="7"/>
  <c r="AJ726" i="7"/>
  <c r="AJ727" i="7"/>
  <c r="AJ728" i="7"/>
  <c r="AJ729" i="7"/>
  <c r="AJ730" i="7"/>
  <c r="AJ731" i="7"/>
  <c r="AJ732" i="7"/>
  <c r="AJ733" i="7"/>
  <c r="AJ734" i="7"/>
  <c r="AJ735" i="7"/>
  <c r="AJ736" i="7"/>
  <c r="AJ737" i="7"/>
  <c r="AJ738" i="7"/>
  <c r="AJ739" i="7"/>
  <c r="AJ740" i="7"/>
  <c r="AJ741" i="7"/>
  <c r="AJ742" i="7"/>
  <c r="AJ743" i="7"/>
  <c r="AJ744" i="7"/>
  <c r="AJ745" i="7"/>
  <c r="AJ746" i="7"/>
  <c r="AJ747" i="7"/>
  <c r="AJ748" i="7"/>
  <c r="AJ749" i="7"/>
  <c r="AJ750" i="7"/>
  <c r="AJ751" i="7"/>
  <c r="AJ752" i="7"/>
  <c r="AJ753" i="7"/>
  <c r="AJ754" i="7"/>
  <c r="AJ755" i="7"/>
  <c r="AJ756" i="7"/>
  <c r="AJ757" i="7"/>
  <c r="AJ758" i="7"/>
  <c r="AJ759" i="7"/>
  <c r="AJ760" i="7"/>
  <c r="AJ761" i="7"/>
  <c r="AJ762" i="7"/>
  <c r="AJ763" i="7"/>
  <c r="AJ764" i="7"/>
  <c r="AJ765" i="7"/>
  <c r="AJ766" i="7"/>
  <c r="AJ767" i="7"/>
  <c r="AJ768" i="7"/>
  <c r="AJ769" i="7"/>
  <c r="AJ770" i="7"/>
  <c r="AJ771" i="7"/>
  <c r="AJ772" i="7"/>
  <c r="AJ773" i="7"/>
  <c r="AJ774" i="7"/>
  <c r="AJ775" i="7"/>
  <c r="AJ776" i="7"/>
  <c r="AJ777" i="7"/>
  <c r="AJ778" i="7"/>
  <c r="AJ779" i="7"/>
  <c r="AJ780" i="7"/>
  <c r="AJ781" i="7"/>
  <c r="AJ782" i="7"/>
  <c r="AJ783" i="7"/>
  <c r="AJ784" i="7"/>
  <c r="AJ785" i="7"/>
  <c r="AJ786" i="7"/>
  <c r="AJ787" i="7"/>
  <c r="AJ788" i="7"/>
  <c r="AJ789" i="7"/>
  <c r="AJ790" i="7"/>
  <c r="AJ791" i="7"/>
  <c r="AJ792" i="7"/>
  <c r="AJ793" i="7"/>
  <c r="AJ794" i="7"/>
  <c r="AJ795" i="7"/>
  <c r="AJ796" i="7"/>
  <c r="AJ797" i="7"/>
  <c r="AJ798" i="7"/>
  <c r="AJ799" i="7"/>
  <c r="AJ800" i="7"/>
  <c r="AJ801" i="7"/>
  <c r="AJ802" i="7"/>
  <c r="AJ803" i="7"/>
  <c r="AJ804" i="7"/>
  <c r="AJ805" i="7"/>
  <c r="AJ806" i="7"/>
  <c r="AJ807" i="7"/>
  <c r="AJ808" i="7"/>
  <c r="AJ809" i="7"/>
  <c r="AJ810" i="7"/>
  <c r="AJ811" i="7"/>
  <c r="AJ812" i="7"/>
  <c r="AJ813" i="7"/>
  <c r="AJ814" i="7"/>
  <c r="AJ815" i="7"/>
  <c r="AJ816" i="7"/>
  <c r="AJ817" i="7"/>
  <c r="AJ818" i="7"/>
  <c r="AJ819" i="7"/>
  <c r="AJ820" i="7"/>
  <c r="AJ821" i="7"/>
  <c r="AJ822" i="7"/>
  <c r="AJ823" i="7"/>
  <c r="AJ824" i="7"/>
  <c r="AJ825" i="7"/>
  <c r="AJ826" i="7"/>
  <c r="AJ827" i="7"/>
  <c r="AJ828" i="7"/>
  <c r="AJ829" i="7"/>
  <c r="AJ830" i="7"/>
  <c r="AJ831" i="7"/>
  <c r="AJ832" i="7"/>
  <c r="AJ833" i="7"/>
  <c r="AJ834" i="7"/>
  <c r="AJ835" i="7"/>
  <c r="AJ836" i="7"/>
  <c r="AJ837" i="7"/>
  <c r="AJ838" i="7"/>
  <c r="AJ839" i="7"/>
  <c r="AJ840" i="7"/>
  <c r="AJ841" i="7"/>
  <c r="AJ842" i="7"/>
  <c r="AJ843" i="7"/>
  <c r="AJ844" i="7"/>
  <c r="AJ845" i="7"/>
  <c r="AJ846" i="7"/>
  <c r="AJ847" i="7"/>
  <c r="AJ848" i="7"/>
  <c r="AJ849" i="7"/>
  <c r="AJ850" i="7"/>
  <c r="AJ851" i="7"/>
  <c r="AJ852" i="7"/>
  <c r="AJ853" i="7"/>
  <c r="AJ854" i="7"/>
  <c r="AJ855" i="7"/>
  <c r="AJ856" i="7"/>
  <c r="AJ857" i="7"/>
  <c r="AJ858" i="7"/>
  <c r="AJ859" i="7"/>
  <c r="AJ860" i="7"/>
  <c r="AJ861" i="7"/>
  <c r="AJ862" i="7"/>
  <c r="AJ863" i="7"/>
  <c r="AJ864" i="7"/>
  <c r="AJ865" i="7"/>
  <c r="AJ866" i="7"/>
  <c r="AJ867" i="7"/>
  <c r="AJ868" i="7"/>
  <c r="AJ869" i="7"/>
  <c r="AJ870" i="7"/>
  <c r="AJ871" i="7"/>
  <c r="AJ872" i="7"/>
  <c r="AJ873" i="7"/>
  <c r="AJ874" i="7"/>
  <c r="AJ875" i="7"/>
  <c r="AJ876" i="7"/>
  <c r="AJ877" i="7"/>
  <c r="AJ878" i="7"/>
  <c r="AJ879" i="7"/>
  <c r="AJ880" i="7"/>
  <c r="AJ881" i="7"/>
  <c r="AJ882" i="7"/>
  <c r="AJ883" i="7"/>
  <c r="AJ884" i="7"/>
  <c r="AJ885" i="7"/>
  <c r="AJ886" i="7"/>
  <c r="AJ887" i="7"/>
  <c r="AJ888" i="7"/>
  <c r="AJ889" i="7"/>
  <c r="AJ890" i="7"/>
  <c r="AJ891" i="7"/>
  <c r="AJ892" i="7"/>
  <c r="AJ893" i="7"/>
  <c r="AJ894" i="7"/>
  <c r="AJ895" i="7"/>
  <c r="AJ896" i="7"/>
  <c r="AJ897" i="7"/>
  <c r="AJ898" i="7"/>
  <c r="AJ899" i="7"/>
  <c r="AJ900" i="7"/>
  <c r="AJ901" i="7"/>
  <c r="AJ902" i="7"/>
  <c r="AJ903" i="7"/>
  <c r="AJ904" i="7"/>
  <c r="AJ905" i="7"/>
  <c r="AJ906" i="7"/>
  <c r="AJ907" i="7"/>
  <c r="AJ908" i="7"/>
  <c r="AJ909" i="7"/>
  <c r="AJ910" i="7"/>
  <c r="AJ911" i="7"/>
  <c r="AJ912" i="7"/>
  <c r="AJ913" i="7"/>
  <c r="AJ914" i="7"/>
  <c r="AJ915" i="7"/>
  <c r="AJ916" i="7"/>
  <c r="AJ917" i="7"/>
  <c r="AJ918" i="7"/>
  <c r="AJ919" i="7"/>
  <c r="AJ920" i="7"/>
  <c r="AJ921" i="7"/>
  <c r="AJ922" i="7"/>
  <c r="AJ923" i="7"/>
  <c r="AJ924" i="7"/>
  <c r="AJ925" i="7"/>
  <c r="AJ926" i="7"/>
  <c r="AJ927" i="7"/>
  <c r="AJ928" i="7"/>
  <c r="AJ929" i="7"/>
  <c r="AJ930" i="7"/>
  <c r="AJ931" i="7"/>
  <c r="AJ932" i="7"/>
  <c r="AJ933" i="7"/>
  <c r="AJ934" i="7"/>
  <c r="AJ935" i="7"/>
  <c r="AJ936" i="7"/>
  <c r="AJ937" i="7"/>
  <c r="AJ938" i="7"/>
  <c r="AJ939" i="7"/>
  <c r="AJ940" i="7"/>
  <c r="AJ941" i="7"/>
  <c r="AJ942" i="7"/>
  <c r="AJ943" i="7"/>
  <c r="AJ944" i="7"/>
  <c r="AJ945" i="7"/>
  <c r="AJ946" i="7"/>
  <c r="AJ947" i="7"/>
  <c r="AJ948" i="7"/>
  <c r="AJ949" i="7"/>
  <c r="AJ950" i="7"/>
  <c r="AJ951" i="7"/>
  <c r="AJ952" i="7"/>
  <c r="AJ953" i="7"/>
  <c r="AJ954" i="7"/>
  <c r="AJ955" i="7"/>
  <c r="AJ956" i="7"/>
  <c r="AJ957" i="7"/>
  <c r="AJ958" i="7"/>
  <c r="AJ959" i="7"/>
  <c r="AJ960" i="7"/>
  <c r="AJ961" i="7"/>
  <c r="AJ962" i="7"/>
  <c r="AJ963" i="7"/>
  <c r="AJ964" i="7"/>
  <c r="AJ965" i="7"/>
  <c r="AJ966" i="7"/>
  <c r="AJ967" i="7"/>
  <c r="AJ968" i="7"/>
  <c r="AJ969" i="7"/>
  <c r="AJ970" i="7"/>
  <c r="AJ971" i="7"/>
  <c r="AJ972" i="7"/>
  <c r="AJ973" i="7"/>
  <c r="AJ974" i="7"/>
  <c r="AJ975" i="7"/>
  <c r="AJ976" i="7"/>
  <c r="AJ977" i="7"/>
  <c r="AJ978" i="7"/>
  <c r="AJ979" i="7"/>
  <c r="AJ980" i="7"/>
  <c r="AJ981" i="7"/>
  <c r="AJ982" i="7"/>
  <c r="AJ983" i="7"/>
  <c r="AJ984" i="7"/>
  <c r="AJ985" i="7"/>
  <c r="AJ986" i="7"/>
  <c r="AJ987" i="7"/>
  <c r="AJ988" i="7"/>
  <c r="AJ989" i="7"/>
  <c r="AJ990" i="7"/>
  <c r="AJ991" i="7"/>
  <c r="AJ992" i="7"/>
  <c r="AJ993" i="7"/>
  <c r="AJ994" i="7"/>
  <c r="AJ995" i="7"/>
  <c r="AJ996" i="7"/>
  <c r="AJ997" i="7"/>
  <c r="AJ998" i="7"/>
  <c r="AJ999" i="7"/>
  <c r="AJ1000" i="7"/>
  <c r="AJ1001" i="7"/>
  <c r="AJ1002" i="7"/>
  <c r="AJ1003" i="7"/>
  <c r="AJ1004" i="7"/>
  <c r="AJ1005" i="7"/>
  <c r="AJ1006" i="7"/>
  <c r="AJ1007" i="7"/>
  <c r="AJ1008" i="7"/>
  <c r="AJ1009" i="7"/>
  <c r="AJ1010" i="7"/>
  <c r="AJ1011" i="7"/>
  <c r="AJ1012" i="7"/>
  <c r="AJ1013" i="7"/>
  <c r="AJ1014" i="7"/>
  <c r="AJ1015" i="7"/>
  <c r="AJ1016" i="7"/>
  <c r="AJ1017" i="7"/>
  <c r="AJ1018" i="7"/>
  <c r="AJ1019" i="7"/>
  <c r="AJ1020" i="7"/>
  <c r="AJ1021" i="7"/>
  <c r="AJ1022" i="7"/>
  <c r="AJ1023" i="7"/>
  <c r="AJ1024" i="7"/>
  <c r="AJ1025" i="7"/>
  <c r="AJ1026" i="7"/>
  <c r="AJ1027" i="7"/>
  <c r="AJ1028" i="7"/>
  <c r="AJ1029" i="7"/>
  <c r="AJ1030" i="7"/>
  <c r="AJ1031" i="7"/>
  <c r="AJ1032" i="7"/>
  <c r="AJ1033" i="7"/>
  <c r="AJ1034" i="7"/>
  <c r="AJ1035" i="7"/>
  <c r="AJ1036" i="7"/>
  <c r="AJ1037" i="7"/>
  <c r="AJ1038" i="7"/>
  <c r="AJ1039" i="7"/>
  <c r="AJ1040" i="7"/>
  <c r="AJ1041" i="7"/>
  <c r="AJ1042" i="7"/>
  <c r="AJ1043" i="7"/>
  <c r="AJ1044" i="7"/>
  <c r="AJ1045" i="7"/>
  <c r="AJ1046" i="7"/>
  <c r="AJ1047" i="7"/>
  <c r="AJ1048" i="7"/>
  <c r="AJ1049" i="7"/>
  <c r="AJ1050" i="7"/>
  <c r="AJ1051" i="7"/>
  <c r="AJ1052" i="7"/>
  <c r="AJ1053" i="7"/>
  <c r="AJ1054" i="7"/>
  <c r="AJ1055" i="7"/>
  <c r="AJ1056" i="7"/>
  <c r="AJ1057" i="7"/>
  <c r="AJ1058" i="7"/>
  <c r="AJ1059" i="7"/>
  <c r="AJ1060" i="7"/>
  <c r="AJ1061" i="7"/>
  <c r="AJ1062" i="7"/>
  <c r="AJ1063" i="7"/>
  <c r="AJ1064" i="7"/>
  <c r="AJ1065" i="7"/>
  <c r="AJ1066" i="7"/>
  <c r="AJ1067" i="7"/>
  <c r="AJ1068" i="7"/>
  <c r="AJ1069" i="7"/>
  <c r="AJ1070" i="7"/>
  <c r="AJ1071" i="7"/>
  <c r="AJ1072" i="7"/>
  <c r="AJ1073" i="7"/>
  <c r="AJ1074" i="7"/>
  <c r="AJ1075" i="7"/>
  <c r="AJ1076" i="7"/>
  <c r="AJ1077" i="7"/>
  <c r="AJ1078" i="7"/>
  <c r="AJ1079" i="7"/>
  <c r="AJ1080" i="7"/>
  <c r="AJ1081" i="7"/>
  <c r="AJ1082" i="7"/>
  <c r="AJ1083" i="7"/>
  <c r="AJ1084" i="7"/>
  <c r="AJ1085" i="7"/>
  <c r="AJ1086" i="7"/>
  <c r="AJ1087" i="7"/>
  <c r="AJ1088" i="7"/>
  <c r="AJ1089" i="7"/>
  <c r="AJ1090" i="7"/>
  <c r="AJ1091" i="7"/>
  <c r="AJ1092" i="7"/>
  <c r="AJ1093" i="7"/>
  <c r="AJ1094" i="7"/>
  <c r="AJ1095" i="7"/>
  <c r="AJ1096" i="7"/>
  <c r="AJ1097" i="7"/>
  <c r="AJ1098" i="7"/>
  <c r="AJ1099" i="7"/>
  <c r="AJ1100" i="7"/>
  <c r="AJ1101" i="7"/>
  <c r="AJ1102" i="7"/>
  <c r="AJ1103" i="7"/>
  <c r="AJ1104" i="7"/>
  <c r="AJ1105" i="7"/>
  <c r="AJ1106" i="7"/>
  <c r="AJ1107" i="7"/>
  <c r="AJ1108" i="7"/>
  <c r="AJ1109" i="7"/>
  <c r="AJ1110" i="7"/>
  <c r="AJ1111" i="7"/>
  <c r="AJ1112" i="7"/>
  <c r="AJ1113" i="7"/>
  <c r="AJ1114" i="7"/>
  <c r="AJ1115" i="7"/>
  <c r="AJ1116" i="7"/>
  <c r="AJ1117" i="7"/>
  <c r="AJ1118" i="7"/>
  <c r="AJ1119" i="7"/>
  <c r="AJ1120" i="7"/>
  <c r="AJ1121" i="7"/>
  <c r="AJ1122" i="7"/>
  <c r="AJ1123" i="7"/>
  <c r="AJ1124" i="7"/>
  <c r="AJ1125" i="7"/>
  <c r="AJ1126" i="7"/>
  <c r="AJ1127" i="7"/>
  <c r="AJ1128" i="7"/>
  <c r="AJ1129" i="7"/>
  <c r="AJ1130" i="7"/>
  <c r="AJ1131" i="7"/>
  <c r="AJ1132" i="7"/>
  <c r="AJ1133" i="7"/>
  <c r="AJ1134" i="7"/>
  <c r="AJ1135" i="7"/>
  <c r="AJ1136" i="7"/>
  <c r="AJ1137" i="7"/>
  <c r="AJ1138" i="7"/>
  <c r="AJ1139" i="7"/>
  <c r="AJ1140" i="7"/>
  <c r="AJ1141" i="7"/>
  <c r="AJ1142" i="7"/>
  <c r="AJ1143" i="7"/>
  <c r="AJ1144" i="7"/>
  <c r="AJ1145" i="7"/>
  <c r="AJ1146" i="7"/>
  <c r="AJ1147" i="7"/>
  <c r="AJ1148" i="7"/>
  <c r="AJ1149" i="7"/>
  <c r="AJ1150" i="7"/>
  <c r="AJ1151" i="7"/>
  <c r="AJ1152" i="7"/>
  <c r="AJ1153" i="7"/>
  <c r="AJ1154" i="7"/>
  <c r="AJ1155" i="7"/>
  <c r="AJ1156" i="7"/>
  <c r="AJ1157" i="7"/>
  <c r="AJ1158" i="7"/>
  <c r="AJ1159" i="7"/>
  <c r="AJ1160" i="7"/>
  <c r="AJ1161" i="7"/>
  <c r="AJ1162" i="7"/>
  <c r="AJ1163" i="7"/>
  <c r="AJ1164" i="7"/>
  <c r="AJ1165" i="7"/>
  <c r="AJ1166" i="7"/>
  <c r="AJ1167" i="7"/>
  <c r="AJ1168" i="7"/>
  <c r="AJ1169" i="7"/>
  <c r="AJ1170" i="7"/>
  <c r="AJ1171" i="7"/>
  <c r="AJ1172" i="7"/>
  <c r="AJ1173" i="7"/>
  <c r="AJ1174" i="7"/>
  <c r="AJ1175" i="7"/>
  <c r="AJ1176" i="7"/>
  <c r="AJ1177" i="7"/>
  <c r="AJ1178" i="7"/>
  <c r="AJ1179" i="7"/>
  <c r="AJ1180" i="7"/>
  <c r="AJ1181" i="7"/>
  <c r="AJ1182" i="7"/>
  <c r="AJ1183" i="7"/>
  <c r="AJ1184" i="7"/>
  <c r="AJ1185" i="7"/>
  <c r="AJ1186" i="7"/>
  <c r="AJ1187" i="7"/>
  <c r="AJ1188" i="7"/>
  <c r="AJ1189" i="7"/>
  <c r="AJ1190" i="7"/>
  <c r="AJ1191" i="7"/>
  <c r="AJ1192" i="7"/>
  <c r="AJ1193" i="7"/>
  <c r="AJ1194" i="7"/>
  <c r="AJ1195" i="7"/>
  <c r="AJ1196" i="7"/>
  <c r="AJ1197" i="7"/>
  <c r="AJ1198" i="7"/>
  <c r="AJ1199" i="7"/>
  <c r="AJ1200" i="7"/>
  <c r="AJ1201" i="7"/>
  <c r="AJ1202" i="7"/>
  <c r="AJ1203" i="7"/>
  <c r="AJ1204" i="7"/>
  <c r="AJ1205" i="7"/>
  <c r="AJ1206" i="7"/>
  <c r="AJ1207" i="7"/>
  <c r="AJ1208" i="7"/>
  <c r="AJ1209" i="7"/>
  <c r="AJ1210" i="7"/>
  <c r="AJ1211" i="7"/>
  <c r="AJ1212" i="7"/>
  <c r="AJ1213" i="7"/>
  <c r="AJ1214" i="7"/>
  <c r="AJ1215" i="7"/>
  <c r="AJ1216" i="7"/>
  <c r="AJ1217" i="7"/>
  <c r="AJ1218" i="7"/>
  <c r="AJ1219" i="7"/>
  <c r="AJ1220" i="7"/>
  <c r="AJ1221" i="7"/>
  <c r="AJ1222" i="7"/>
  <c r="AJ1223" i="7"/>
  <c r="AJ1224" i="7"/>
  <c r="AJ1225" i="7"/>
  <c r="AJ1226" i="7"/>
  <c r="AJ1227" i="7"/>
  <c r="AJ1228" i="7"/>
  <c r="AJ1229" i="7"/>
  <c r="AJ1230" i="7"/>
  <c r="AJ1231" i="7"/>
  <c r="AJ1232" i="7"/>
  <c r="AJ1233" i="7"/>
  <c r="AJ1234" i="7"/>
  <c r="AJ1235" i="7"/>
  <c r="AJ1236" i="7"/>
  <c r="AJ1237" i="7"/>
  <c r="AJ1238" i="7"/>
  <c r="AJ1239" i="7"/>
  <c r="AJ1240" i="7"/>
  <c r="AJ1241" i="7"/>
  <c r="AJ1242" i="7"/>
  <c r="AJ1243" i="7"/>
  <c r="AJ1244" i="7"/>
  <c r="AJ1245" i="7"/>
  <c r="AJ1246" i="7"/>
  <c r="AJ1247" i="7"/>
  <c r="AJ1248" i="7"/>
  <c r="AJ1249" i="7"/>
  <c r="AJ1250" i="7"/>
  <c r="AJ1251" i="7"/>
  <c r="AJ1252" i="7"/>
  <c r="AJ1253" i="7"/>
  <c r="AJ1254" i="7"/>
  <c r="AJ1255" i="7"/>
  <c r="AJ1256" i="7"/>
  <c r="AJ1257" i="7"/>
  <c r="AJ1258" i="7"/>
  <c r="AJ1259" i="7"/>
  <c r="AJ1260" i="7"/>
  <c r="AJ1261" i="7"/>
  <c r="AJ1262" i="7"/>
  <c r="AJ1263" i="7"/>
  <c r="AJ1264" i="7"/>
  <c r="AJ1265" i="7"/>
  <c r="AJ1266" i="7"/>
  <c r="AJ1267" i="7"/>
  <c r="AJ1268" i="7"/>
  <c r="AJ1269" i="7"/>
  <c r="AJ1270" i="7"/>
  <c r="AJ1271" i="7"/>
  <c r="AJ1272" i="7"/>
  <c r="AJ1273" i="7"/>
  <c r="AJ1274" i="7"/>
  <c r="AJ1275" i="7"/>
  <c r="AJ1276" i="7"/>
  <c r="AJ1277" i="7"/>
  <c r="AJ1278" i="7"/>
  <c r="AJ1279" i="7"/>
  <c r="AJ1280" i="7"/>
  <c r="AJ1281" i="7"/>
  <c r="AJ1282" i="7"/>
  <c r="AJ1283" i="7"/>
  <c r="AJ1284" i="7"/>
  <c r="AJ1285" i="7"/>
  <c r="AJ1286" i="7"/>
  <c r="AJ1287" i="7"/>
  <c r="AJ1288" i="7"/>
  <c r="AJ1289" i="7"/>
  <c r="AJ1290" i="7"/>
  <c r="AJ1291" i="7"/>
  <c r="AJ1292" i="7"/>
  <c r="AJ1293" i="7"/>
  <c r="AJ1294" i="7"/>
  <c r="AJ1295" i="7"/>
  <c r="AJ1296" i="7"/>
  <c r="AJ1297" i="7"/>
  <c r="AJ1298" i="7"/>
  <c r="AJ1299" i="7"/>
  <c r="AJ1300" i="7"/>
  <c r="AJ1301" i="7"/>
  <c r="AJ1302" i="7"/>
  <c r="AJ1303" i="7"/>
  <c r="AJ1304" i="7"/>
  <c r="AJ1305" i="7"/>
  <c r="AJ1306" i="7"/>
  <c r="AJ1307" i="7"/>
  <c r="AJ1308" i="7"/>
  <c r="AJ1309" i="7"/>
  <c r="AJ1310" i="7"/>
  <c r="AJ1311" i="7"/>
  <c r="AJ1312" i="7"/>
  <c r="AJ1313" i="7"/>
  <c r="AJ1314" i="7"/>
  <c r="AJ1315" i="7"/>
  <c r="AJ1316" i="7"/>
  <c r="AJ1317" i="7"/>
  <c r="AJ1318" i="7"/>
  <c r="AJ1319" i="7"/>
  <c r="AJ1320" i="7"/>
  <c r="AJ1321" i="7"/>
  <c r="AJ1322" i="7"/>
  <c r="AJ1323" i="7"/>
  <c r="AJ1324" i="7"/>
  <c r="AJ1325" i="7"/>
  <c r="AJ1326" i="7"/>
  <c r="AJ1327" i="7"/>
  <c r="AJ1328" i="7"/>
  <c r="AJ1329" i="7"/>
  <c r="AJ1330" i="7"/>
  <c r="AJ1331" i="7"/>
  <c r="AJ1332" i="7"/>
  <c r="AJ1333" i="7"/>
  <c r="AJ1334" i="7"/>
  <c r="AJ1335" i="7"/>
  <c r="AJ1336" i="7"/>
  <c r="AJ1337" i="7"/>
  <c r="AJ1338" i="7"/>
  <c r="AJ1339" i="7"/>
  <c r="AJ1340" i="7"/>
  <c r="AJ1341" i="7"/>
  <c r="AJ1342" i="7"/>
  <c r="AJ1343" i="7"/>
  <c r="AJ1344" i="7"/>
  <c r="AJ1345" i="7"/>
  <c r="AJ1346" i="7"/>
  <c r="AJ1347" i="7"/>
  <c r="AJ1348" i="7"/>
  <c r="AJ1349" i="7"/>
  <c r="AJ1350" i="7"/>
  <c r="AJ1351" i="7"/>
  <c r="AJ1352" i="7"/>
  <c r="AJ1353" i="7"/>
  <c r="AJ1354" i="7"/>
  <c r="AJ1355" i="7"/>
  <c r="AJ1356" i="7"/>
  <c r="AJ1357" i="7"/>
  <c r="AJ1358" i="7"/>
  <c r="AJ1359" i="7"/>
  <c r="AJ1360" i="7"/>
  <c r="AJ1361" i="7"/>
  <c r="AJ1362" i="7"/>
  <c r="AJ1363" i="7"/>
  <c r="AJ1364" i="7"/>
  <c r="AJ1365" i="7"/>
  <c r="AJ1366" i="7"/>
  <c r="AJ1367" i="7"/>
  <c r="AJ1368" i="7"/>
  <c r="AJ1369" i="7"/>
  <c r="AJ1370" i="7"/>
  <c r="AJ1371" i="7"/>
  <c r="AJ1372" i="7"/>
  <c r="AJ1373" i="7"/>
  <c r="AJ1374" i="7"/>
  <c r="AJ1375" i="7"/>
  <c r="AJ1376" i="7"/>
  <c r="AJ1377" i="7"/>
  <c r="AJ1378" i="7"/>
  <c r="AJ1379" i="7"/>
  <c r="AJ1380" i="7"/>
  <c r="AJ1381" i="7"/>
  <c r="AJ1382" i="7"/>
  <c r="AJ1383" i="7"/>
  <c r="AJ1384" i="7"/>
  <c r="AJ1385" i="7"/>
  <c r="AJ1386" i="7"/>
  <c r="AJ1387" i="7"/>
  <c r="AJ1388" i="7"/>
  <c r="AJ1389" i="7"/>
  <c r="AJ1390" i="7"/>
  <c r="AJ1391" i="7"/>
  <c r="AJ1392" i="7"/>
  <c r="AJ1393" i="7"/>
  <c r="AJ1394" i="7"/>
  <c r="AJ1395" i="7"/>
  <c r="AJ1396" i="7"/>
  <c r="AJ1397" i="7"/>
  <c r="AJ1398" i="7"/>
  <c r="AJ1399" i="7"/>
  <c r="AJ1400" i="7"/>
  <c r="AJ1401" i="7"/>
  <c r="AJ1402" i="7"/>
  <c r="AJ1403" i="7"/>
  <c r="AJ1404" i="7"/>
  <c r="AJ1405" i="7"/>
  <c r="AJ1406" i="7"/>
  <c r="AJ1407" i="7"/>
  <c r="AJ1408" i="7"/>
  <c r="AJ1409" i="7"/>
  <c r="AJ1410" i="7"/>
  <c r="AJ1411" i="7"/>
  <c r="AJ1412" i="7"/>
  <c r="AJ1413" i="7"/>
  <c r="AJ1414" i="7"/>
  <c r="AJ1415" i="7"/>
  <c r="AJ1416" i="7"/>
  <c r="AJ1417" i="7"/>
  <c r="AJ1418" i="7"/>
  <c r="AJ1419" i="7"/>
  <c r="AJ1420" i="7"/>
  <c r="AJ1421" i="7"/>
  <c r="AJ1422" i="7"/>
  <c r="AJ1423" i="7"/>
  <c r="AJ1424" i="7"/>
  <c r="AJ1425" i="7"/>
  <c r="AJ1426" i="7"/>
  <c r="AJ1427" i="7"/>
  <c r="AJ1428" i="7"/>
  <c r="AJ1429" i="7"/>
  <c r="AJ1430" i="7"/>
  <c r="AJ1431" i="7"/>
  <c r="AJ1432" i="7"/>
  <c r="AJ1433" i="7"/>
  <c r="AJ1434" i="7"/>
  <c r="AJ1435" i="7"/>
  <c r="AJ1436" i="7"/>
  <c r="AJ1437" i="7"/>
  <c r="AJ1438" i="7"/>
  <c r="AJ1439" i="7"/>
  <c r="AJ1440" i="7"/>
  <c r="AJ1441" i="7"/>
  <c r="AJ1442" i="7"/>
  <c r="AJ1443" i="7"/>
  <c r="AJ1444" i="7"/>
  <c r="AJ1445" i="7"/>
  <c r="AJ1446" i="7"/>
  <c r="AJ1447" i="7"/>
  <c r="AJ1448" i="7"/>
  <c r="AJ1449" i="7"/>
  <c r="AJ1450" i="7"/>
  <c r="AJ1451" i="7"/>
  <c r="AJ1452" i="7"/>
  <c r="AJ1453" i="7"/>
  <c r="AJ1454" i="7"/>
  <c r="AJ1455" i="7"/>
  <c r="AJ1456" i="7"/>
  <c r="AJ1457" i="7"/>
  <c r="AJ1458" i="7"/>
  <c r="AJ1459" i="7"/>
  <c r="AJ1460" i="7"/>
  <c r="AJ1461" i="7"/>
  <c r="AJ1462" i="7"/>
  <c r="AJ1463" i="7"/>
  <c r="AJ1464" i="7"/>
  <c r="AJ1465" i="7"/>
  <c r="AJ1466" i="7"/>
  <c r="AJ1467" i="7"/>
  <c r="AJ1468" i="7"/>
  <c r="AJ1469" i="7"/>
  <c r="AJ1470" i="7"/>
  <c r="AJ1471" i="7"/>
  <c r="AJ2" i="7"/>
  <c r="AG3" i="7"/>
  <c r="AG4" i="7"/>
  <c r="AG5" i="7"/>
  <c r="AG6" i="7"/>
  <c r="AG7" i="7"/>
  <c r="AG8" i="7"/>
  <c r="AG9" i="7"/>
  <c r="AG10" i="7"/>
  <c r="AG11" i="7"/>
  <c r="AG12" i="7"/>
  <c r="AG13" i="7"/>
  <c r="AG14" i="7"/>
  <c r="AG15" i="7"/>
  <c r="AG16" i="7"/>
  <c r="AG17" i="7"/>
  <c r="AG18" i="7"/>
  <c r="AG19" i="7"/>
  <c r="AG20" i="7"/>
  <c r="AG21" i="7"/>
  <c r="AG22" i="7"/>
  <c r="AG23" i="7"/>
  <c r="AG24" i="7"/>
  <c r="AG25" i="7"/>
  <c r="AG26" i="7"/>
  <c r="AG27" i="7"/>
  <c r="AG28" i="7"/>
  <c r="AG29" i="7"/>
  <c r="AG30" i="7"/>
  <c r="AG31" i="7"/>
  <c r="AG32" i="7"/>
  <c r="AG33" i="7"/>
  <c r="AG34" i="7"/>
  <c r="AG35" i="7"/>
  <c r="AG36" i="7"/>
  <c r="AG37" i="7"/>
  <c r="AG38" i="7"/>
  <c r="AG39" i="7"/>
  <c r="AG40" i="7"/>
  <c r="AG41" i="7"/>
  <c r="AG42" i="7"/>
  <c r="AG43" i="7"/>
  <c r="AG44" i="7"/>
  <c r="AG45" i="7"/>
  <c r="AG46" i="7"/>
  <c r="AG47" i="7"/>
  <c r="AG48" i="7"/>
  <c r="AG49" i="7"/>
  <c r="AG50" i="7"/>
  <c r="AG51" i="7"/>
  <c r="AG52" i="7"/>
  <c r="AG53" i="7"/>
  <c r="AG54" i="7"/>
  <c r="AG55" i="7"/>
  <c r="AG56" i="7"/>
  <c r="AG57" i="7"/>
  <c r="AG58" i="7"/>
  <c r="AG59" i="7"/>
  <c r="AG60" i="7"/>
  <c r="AG61" i="7"/>
  <c r="AG62" i="7"/>
  <c r="AG63" i="7"/>
  <c r="AG64" i="7"/>
  <c r="AG65" i="7"/>
  <c r="AG66" i="7"/>
  <c r="AG67" i="7"/>
  <c r="AG68" i="7"/>
  <c r="AG69" i="7"/>
  <c r="AG70" i="7"/>
  <c r="AG71" i="7"/>
  <c r="AG72" i="7"/>
  <c r="AG73" i="7"/>
  <c r="AG74" i="7"/>
  <c r="AG75" i="7"/>
  <c r="AG76" i="7"/>
  <c r="AG77" i="7"/>
  <c r="AG78" i="7"/>
  <c r="AG79" i="7"/>
  <c r="AG80" i="7"/>
  <c r="AG81" i="7"/>
  <c r="AG82" i="7"/>
  <c r="AG83" i="7"/>
  <c r="AG84" i="7"/>
  <c r="AG85" i="7"/>
  <c r="AG86" i="7"/>
  <c r="AG87" i="7"/>
  <c r="AG88" i="7"/>
  <c r="AG89" i="7"/>
  <c r="AG90" i="7"/>
  <c r="AG91" i="7"/>
  <c r="AG92" i="7"/>
  <c r="AG93" i="7"/>
  <c r="AG94" i="7"/>
  <c r="AG95" i="7"/>
  <c r="AG96" i="7"/>
  <c r="AG97" i="7"/>
  <c r="AG98" i="7"/>
  <c r="AG99" i="7"/>
  <c r="AG100" i="7"/>
  <c r="AG101" i="7"/>
  <c r="AG102" i="7"/>
  <c r="AG103" i="7"/>
  <c r="AG104" i="7"/>
  <c r="AG105" i="7"/>
  <c r="AG106" i="7"/>
  <c r="AG107" i="7"/>
  <c r="AG108" i="7"/>
  <c r="AG109" i="7"/>
  <c r="B109" i="12" s="1"/>
  <c r="AG110" i="7"/>
  <c r="AG111" i="7"/>
  <c r="AG112" i="7"/>
  <c r="AG113" i="7"/>
  <c r="AG114" i="7"/>
  <c r="AG115" i="7"/>
  <c r="AG116" i="7"/>
  <c r="AG117" i="7"/>
  <c r="AG118" i="7"/>
  <c r="AG119" i="7"/>
  <c r="AG120" i="7"/>
  <c r="AG121" i="7"/>
  <c r="AG122" i="7"/>
  <c r="AG123" i="7"/>
  <c r="AG124" i="7"/>
  <c r="AG125" i="7"/>
  <c r="AG126" i="7"/>
  <c r="AG127" i="7"/>
  <c r="AG128" i="7"/>
  <c r="AG129" i="7"/>
  <c r="AG130" i="7"/>
  <c r="AG131" i="7"/>
  <c r="AG132" i="7"/>
  <c r="AG133" i="7"/>
  <c r="AG134" i="7"/>
  <c r="AG135" i="7"/>
  <c r="AG136" i="7"/>
  <c r="AG137" i="7"/>
  <c r="AG138" i="7"/>
  <c r="AG139" i="7"/>
  <c r="AG140" i="7"/>
  <c r="AG141" i="7"/>
  <c r="AG142" i="7"/>
  <c r="AG143" i="7"/>
  <c r="AG144" i="7"/>
  <c r="AG145" i="7"/>
  <c r="AG146" i="7"/>
  <c r="AG147" i="7"/>
  <c r="AG148" i="7"/>
  <c r="AG149" i="7"/>
  <c r="AG150" i="7"/>
  <c r="AG151" i="7"/>
  <c r="AG152" i="7"/>
  <c r="AG153" i="7"/>
  <c r="AG154" i="7"/>
  <c r="AG155" i="7"/>
  <c r="AG156" i="7"/>
  <c r="AG157" i="7"/>
  <c r="AG158" i="7"/>
  <c r="AG159" i="7"/>
  <c r="AG160" i="7"/>
  <c r="AG161" i="7"/>
  <c r="AG162" i="7"/>
  <c r="AG163" i="7"/>
  <c r="AG164" i="7"/>
  <c r="AG165" i="7"/>
  <c r="AG166" i="7"/>
  <c r="AG167" i="7"/>
  <c r="AG168" i="7"/>
  <c r="AG169" i="7"/>
  <c r="AG170" i="7"/>
  <c r="AG171" i="7"/>
  <c r="AG172" i="7"/>
  <c r="AG173" i="7"/>
  <c r="AG174" i="7"/>
  <c r="AG175" i="7"/>
  <c r="AG176" i="7"/>
  <c r="AG177" i="7"/>
  <c r="AG178" i="7"/>
  <c r="AG179" i="7"/>
  <c r="AG180" i="7"/>
  <c r="AG181" i="7"/>
  <c r="AG182" i="7"/>
  <c r="AG183" i="7"/>
  <c r="AG184" i="7"/>
  <c r="AG185" i="7"/>
  <c r="AG186" i="7"/>
  <c r="AG187" i="7"/>
  <c r="AG188" i="7"/>
  <c r="AG189" i="7"/>
  <c r="AG190" i="7"/>
  <c r="AG191" i="7"/>
  <c r="AG192" i="7"/>
  <c r="AG193" i="7"/>
  <c r="AG194" i="7"/>
  <c r="AG195" i="7"/>
  <c r="AG196" i="7"/>
  <c r="AG197" i="7"/>
  <c r="AG198" i="7"/>
  <c r="AG199" i="7"/>
  <c r="AG200" i="7"/>
  <c r="AG201" i="7"/>
  <c r="AG202" i="7"/>
  <c r="AG203" i="7"/>
  <c r="AG204" i="7"/>
  <c r="AG205" i="7"/>
  <c r="AG206" i="7"/>
  <c r="AG207" i="7"/>
  <c r="AG208" i="7"/>
  <c r="AG209" i="7"/>
  <c r="AG210" i="7"/>
  <c r="AG211" i="7"/>
  <c r="AG212" i="7"/>
  <c r="AG213" i="7"/>
  <c r="AG214" i="7"/>
  <c r="AG215" i="7"/>
  <c r="AG216" i="7"/>
  <c r="AG217" i="7"/>
  <c r="AG218" i="7"/>
  <c r="AG219" i="7"/>
  <c r="AG220" i="7"/>
  <c r="AG221" i="7"/>
  <c r="AG222" i="7"/>
  <c r="AG223" i="7"/>
  <c r="AG224" i="7"/>
  <c r="AG225" i="7"/>
  <c r="AG226" i="7"/>
  <c r="AG227" i="7"/>
  <c r="AG228" i="7"/>
  <c r="AG229" i="7"/>
  <c r="AG230" i="7"/>
  <c r="AG231" i="7"/>
  <c r="AG232" i="7"/>
  <c r="AG233" i="7"/>
  <c r="AG234" i="7"/>
  <c r="AG235" i="7"/>
  <c r="AG236" i="7"/>
  <c r="AG237" i="7"/>
  <c r="AG238" i="7"/>
  <c r="AG239" i="7"/>
  <c r="AG240" i="7"/>
  <c r="AG241" i="7"/>
  <c r="AG242" i="7"/>
  <c r="AG243" i="7"/>
  <c r="AG244" i="7"/>
  <c r="AG245" i="7"/>
  <c r="AG246" i="7"/>
  <c r="AG247" i="7"/>
  <c r="AG248" i="7"/>
  <c r="AG249" i="7"/>
  <c r="AG250" i="7"/>
  <c r="AG251" i="7"/>
  <c r="AG252" i="7"/>
  <c r="AG253" i="7"/>
  <c r="AG254" i="7"/>
  <c r="AG255" i="7"/>
  <c r="AG256" i="7"/>
  <c r="AG257" i="7"/>
  <c r="AG258" i="7"/>
  <c r="AG259" i="7"/>
  <c r="AG260" i="7"/>
  <c r="AG261" i="7"/>
  <c r="AG262" i="7"/>
  <c r="AG263" i="7"/>
  <c r="AG264" i="7"/>
  <c r="AG265" i="7"/>
  <c r="AG266" i="7"/>
  <c r="AG267" i="7"/>
  <c r="AG268" i="7"/>
  <c r="AG269" i="7"/>
  <c r="AG270" i="7"/>
  <c r="AG271" i="7"/>
  <c r="AG272" i="7"/>
  <c r="AG273" i="7"/>
  <c r="AG274" i="7"/>
  <c r="AG275" i="7"/>
  <c r="AG276" i="7"/>
  <c r="AG277" i="7"/>
  <c r="AG278" i="7"/>
  <c r="AG279" i="7"/>
  <c r="AG280" i="7"/>
  <c r="AG281" i="7"/>
  <c r="AG282" i="7"/>
  <c r="AG283" i="7"/>
  <c r="AG284" i="7"/>
  <c r="AG285" i="7"/>
  <c r="AG286" i="7"/>
  <c r="AG287" i="7"/>
  <c r="AG288" i="7"/>
  <c r="AG289" i="7"/>
  <c r="AG290" i="7"/>
  <c r="AG291" i="7"/>
  <c r="AG292" i="7"/>
  <c r="AG293" i="7"/>
  <c r="AG294" i="7"/>
  <c r="AG295" i="7"/>
  <c r="AG296" i="7"/>
  <c r="AG297" i="7"/>
  <c r="AG298" i="7"/>
  <c r="AG299" i="7"/>
  <c r="AG300" i="7"/>
  <c r="AG301" i="7"/>
  <c r="AG302" i="7"/>
  <c r="AG303" i="7"/>
  <c r="AG304" i="7"/>
  <c r="AG305" i="7"/>
  <c r="AG306" i="7"/>
  <c r="AG307" i="7"/>
  <c r="AG308" i="7"/>
  <c r="AG309" i="7"/>
  <c r="AG310" i="7"/>
  <c r="AG311" i="7"/>
  <c r="AG312" i="7"/>
  <c r="AG313" i="7"/>
  <c r="AG314" i="7"/>
  <c r="AG315" i="7"/>
  <c r="AG316" i="7"/>
  <c r="AG317" i="7"/>
  <c r="AG318" i="7"/>
  <c r="AG319" i="7"/>
  <c r="AG320" i="7"/>
  <c r="AG321" i="7"/>
  <c r="AG322" i="7"/>
  <c r="AG323" i="7"/>
  <c r="AG324" i="7"/>
  <c r="AG325" i="7"/>
  <c r="AG326" i="7"/>
  <c r="AG327" i="7"/>
  <c r="AG328" i="7"/>
  <c r="AG329" i="7"/>
  <c r="AG330" i="7"/>
  <c r="AG331" i="7"/>
  <c r="AG332" i="7"/>
  <c r="AG333" i="7"/>
  <c r="AG334" i="7"/>
  <c r="AG335" i="7"/>
  <c r="AG336" i="7"/>
  <c r="AG337" i="7"/>
  <c r="AG338" i="7"/>
  <c r="AG339" i="7"/>
  <c r="AG340" i="7"/>
  <c r="AG341" i="7"/>
  <c r="AG342" i="7"/>
  <c r="AG343" i="7"/>
  <c r="AG344" i="7"/>
  <c r="AG345" i="7"/>
  <c r="AG346" i="7"/>
  <c r="AG347" i="7"/>
  <c r="AG348" i="7"/>
  <c r="AG349" i="7"/>
  <c r="AG350" i="7"/>
  <c r="AG351" i="7"/>
  <c r="AG352" i="7"/>
  <c r="AG353" i="7"/>
  <c r="AG354" i="7"/>
  <c r="AG355" i="7"/>
  <c r="AG356" i="7"/>
  <c r="AG357" i="7"/>
  <c r="AG358" i="7"/>
  <c r="AG359" i="7"/>
  <c r="AG360" i="7"/>
  <c r="AG361" i="7"/>
  <c r="AG362" i="7"/>
  <c r="AG363" i="7"/>
  <c r="AG364" i="7"/>
  <c r="AG365" i="7"/>
  <c r="AG366" i="7"/>
  <c r="AG367" i="7"/>
  <c r="AG368" i="7"/>
  <c r="AG369" i="7"/>
  <c r="AG370" i="7"/>
  <c r="AG371" i="7"/>
  <c r="AG372" i="7"/>
  <c r="AG373" i="7"/>
  <c r="AG374" i="7"/>
  <c r="AG375" i="7"/>
  <c r="AG376" i="7"/>
  <c r="AG377" i="7"/>
  <c r="AG378" i="7"/>
  <c r="AG379" i="7"/>
  <c r="AG380" i="7"/>
  <c r="AG381" i="7"/>
  <c r="AG382" i="7"/>
  <c r="AG383" i="7"/>
  <c r="AG384" i="7"/>
  <c r="AG385" i="7"/>
  <c r="AG386" i="7"/>
  <c r="AG387" i="7"/>
  <c r="AG388" i="7"/>
  <c r="AG389" i="7"/>
  <c r="AG390" i="7"/>
  <c r="AG391" i="7"/>
  <c r="AG392" i="7"/>
  <c r="AG393" i="7"/>
  <c r="AG394" i="7"/>
  <c r="AG395" i="7"/>
  <c r="AG396" i="7"/>
  <c r="AG397" i="7"/>
  <c r="AG398" i="7"/>
  <c r="AG399" i="7"/>
  <c r="AG400" i="7"/>
  <c r="AG401" i="7"/>
  <c r="AG402" i="7"/>
  <c r="AG403" i="7"/>
  <c r="AG404" i="7"/>
  <c r="AG405" i="7"/>
  <c r="AG406" i="7"/>
  <c r="AG407" i="7"/>
  <c r="AG408" i="7"/>
  <c r="AG409" i="7"/>
  <c r="AG410" i="7"/>
  <c r="AG411" i="7"/>
  <c r="AG412" i="7"/>
  <c r="AG413" i="7"/>
  <c r="AG414" i="7"/>
  <c r="AG415" i="7"/>
  <c r="AG416" i="7"/>
  <c r="AG417" i="7"/>
  <c r="AG418" i="7"/>
  <c r="AG419" i="7"/>
  <c r="AG420" i="7"/>
  <c r="AG421" i="7"/>
  <c r="AG422" i="7"/>
  <c r="AG423" i="7"/>
  <c r="AG424" i="7"/>
  <c r="AG425" i="7"/>
  <c r="AG426" i="7"/>
  <c r="AG427" i="7"/>
  <c r="AG428" i="7"/>
  <c r="AG429" i="7"/>
  <c r="AG430" i="7"/>
  <c r="AG431" i="7"/>
  <c r="AG432" i="7"/>
  <c r="AG433" i="7"/>
  <c r="AG434" i="7"/>
  <c r="AG435" i="7"/>
  <c r="AG436" i="7"/>
  <c r="AG437" i="7"/>
  <c r="AG438" i="7"/>
  <c r="AG439" i="7"/>
  <c r="AG440" i="7"/>
  <c r="AG441" i="7"/>
  <c r="AG442" i="7"/>
  <c r="AG443" i="7"/>
  <c r="AG444" i="7"/>
  <c r="AG445" i="7"/>
  <c r="AG446" i="7"/>
  <c r="AG447" i="7"/>
  <c r="AG448" i="7"/>
  <c r="AG449" i="7"/>
  <c r="AG450" i="7"/>
  <c r="AG451" i="7"/>
  <c r="AG452" i="7"/>
  <c r="AG453" i="7"/>
  <c r="AG454" i="7"/>
  <c r="AG455" i="7"/>
  <c r="AG456" i="7"/>
  <c r="AG457" i="7"/>
  <c r="AG458" i="7"/>
  <c r="AG459" i="7"/>
  <c r="AG460" i="7"/>
  <c r="AG461" i="7"/>
  <c r="AG462" i="7"/>
  <c r="AG463" i="7"/>
  <c r="AG464" i="7"/>
  <c r="AG465" i="7"/>
  <c r="AG466" i="7"/>
  <c r="AG467" i="7"/>
  <c r="AG468" i="7"/>
  <c r="AG469" i="7"/>
  <c r="AG470" i="7"/>
  <c r="AG471" i="7"/>
  <c r="AG472" i="7"/>
  <c r="AG473" i="7"/>
  <c r="AG474" i="7"/>
  <c r="AG475" i="7"/>
  <c r="AG476" i="7"/>
  <c r="AG477" i="7"/>
  <c r="AG478" i="7"/>
  <c r="AG479" i="7"/>
  <c r="AG480" i="7"/>
  <c r="AG481" i="7"/>
  <c r="AG482" i="7"/>
  <c r="AG483" i="7"/>
  <c r="AG484" i="7"/>
  <c r="AG485" i="7"/>
  <c r="AG486" i="7"/>
  <c r="AG487" i="7"/>
  <c r="AG488" i="7"/>
  <c r="AG489" i="7"/>
  <c r="AG490" i="7"/>
  <c r="AG491" i="7"/>
  <c r="AG492" i="7"/>
  <c r="AG493" i="7"/>
  <c r="AG494" i="7"/>
  <c r="AG495" i="7"/>
  <c r="AG496" i="7"/>
  <c r="AG497" i="7"/>
  <c r="AG498" i="7"/>
  <c r="AG499" i="7"/>
  <c r="AG500" i="7"/>
  <c r="AG501" i="7"/>
  <c r="AG502" i="7"/>
  <c r="AG503" i="7"/>
  <c r="AG504" i="7"/>
  <c r="AG505" i="7"/>
  <c r="AG506" i="7"/>
  <c r="AG507" i="7"/>
  <c r="AG508" i="7"/>
  <c r="AG509" i="7"/>
  <c r="AG510" i="7"/>
  <c r="AG511" i="7"/>
  <c r="AG512" i="7"/>
  <c r="AG513" i="7"/>
  <c r="AG514" i="7"/>
  <c r="AG515" i="7"/>
  <c r="AG516" i="7"/>
  <c r="AG517" i="7"/>
  <c r="AG518" i="7"/>
  <c r="AG519" i="7"/>
  <c r="AG520" i="7"/>
  <c r="AG521" i="7"/>
  <c r="AG522" i="7"/>
  <c r="AG523" i="7"/>
  <c r="AG524" i="7"/>
  <c r="AG525" i="7"/>
  <c r="AG526" i="7"/>
  <c r="AG527" i="7"/>
  <c r="AG528" i="7"/>
  <c r="AG529" i="7"/>
  <c r="AG530" i="7"/>
  <c r="AG531" i="7"/>
  <c r="AG532" i="7"/>
  <c r="AG533" i="7"/>
  <c r="AG534" i="7"/>
  <c r="AG535" i="7"/>
  <c r="AG536" i="7"/>
  <c r="AG537" i="7"/>
  <c r="AG538" i="7"/>
  <c r="AG539" i="7"/>
  <c r="AG540" i="7"/>
  <c r="AG541" i="7"/>
  <c r="AG542" i="7"/>
  <c r="AG543" i="7"/>
  <c r="AG544" i="7"/>
  <c r="AG545" i="7"/>
  <c r="AG546" i="7"/>
  <c r="AG547" i="7"/>
  <c r="AG548" i="7"/>
  <c r="AG549" i="7"/>
  <c r="AG550" i="7"/>
  <c r="AG551" i="7"/>
  <c r="AG552" i="7"/>
  <c r="AG553" i="7"/>
  <c r="AG554" i="7"/>
  <c r="AG555" i="7"/>
  <c r="AG556" i="7"/>
  <c r="AG557" i="7"/>
  <c r="AG558" i="7"/>
  <c r="AG559" i="7"/>
  <c r="AG560" i="7"/>
  <c r="AG561" i="7"/>
  <c r="AG562" i="7"/>
  <c r="AG563" i="7"/>
  <c r="AG564" i="7"/>
  <c r="AG565" i="7"/>
  <c r="AG566" i="7"/>
  <c r="AG567" i="7"/>
  <c r="AG568" i="7"/>
  <c r="AG569" i="7"/>
  <c r="AG570" i="7"/>
  <c r="AG571" i="7"/>
  <c r="AG572" i="7"/>
  <c r="AG573" i="7"/>
  <c r="AG574" i="7"/>
  <c r="AG575" i="7"/>
  <c r="AG576" i="7"/>
  <c r="AG577" i="7"/>
  <c r="AG578" i="7"/>
  <c r="AG579" i="7"/>
  <c r="AG580" i="7"/>
  <c r="AG581" i="7"/>
  <c r="AG582" i="7"/>
  <c r="AG583" i="7"/>
  <c r="AG584" i="7"/>
  <c r="AG585" i="7"/>
  <c r="AG586" i="7"/>
  <c r="AG587" i="7"/>
  <c r="AG588" i="7"/>
  <c r="AG589" i="7"/>
  <c r="AG590" i="7"/>
  <c r="AG591" i="7"/>
  <c r="AG592" i="7"/>
  <c r="AG593" i="7"/>
  <c r="AG594" i="7"/>
  <c r="AG595" i="7"/>
  <c r="AG596" i="7"/>
  <c r="AG597" i="7"/>
  <c r="AG598" i="7"/>
  <c r="AG599" i="7"/>
  <c r="AG600" i="7"/>
  <c r="AG601" i="7"/>
  <c r="AG602" i="7"/>
  <c r="AG603" i="7"/>
  <c r="AG604" i="7"/>
  <c r="AG605" i="7"/>
  <c r="AG606" i="7"/>
  <c r="AG607" i="7"/>
  <c r="AG608" i="7"/>
  <c r="AG609" i="7"/>
  <c r="AG610" i="7"/>
  <c r="AG611" i="7"/>
  <c r="AG612" i="7"/>
  <c r="AG613" i="7"/>
  <c r="AG614" i="7"/>
  <c r="AG615" i="7"/>
  <c r="AG616" i="7"/>
  <c r="AG617" i="7"/>
  <c r="AG618" i="7"/>
  <c r="AG619" i="7"/>
  <c r="AG620" i="7"/>
  <c r="AG621" i="7"/>
  <c r="AG622" i="7"/>
  <c r="AG623" i="7"/>
  <c r="AG624" i="7"/>
  <c r="AG625" i="7"/>
  <c r="AG626" i="7"/>
  <c r="AG627" i="7"/>
  <c r="AG628" i="7"/>
  <c r="AG629" i="7"/>
  <c r="AG630" i="7"/>
  <c r="AG631" i="7"/>
  <c r="AG632" i="7"/>
  <c r="AG633" i="7"/>
  <c r="AG634" i="7"/>
  <c r="AG635" i="7"/>
  <c r="AG636" i="7"/>
  <c r="AG637" i="7"/>
  <c r="AG638" i="7"/>
  <c r="AG639" i="7"/>
  <c r="AG640" i="7"/>
  <c r="AG641" i="7"/>
  <c r="AG642" i="7"/>
  <c r="AG643" i="7"/>
  <c r="AG644" i="7"/>
  <c r="AG645" i="7"/>
  <c r="AG646" i="7"/>
  <c r="AG647" i="7"/>
  <c r="AG648" i="7"/>
  <c r="AG649" i="7"/>
  <c r="AG650" i="7"/>
  <c r="AG651" i="7"/>
  <c r="AG652" i="7"/>
  <c r="AG653" i="7"/>
  <c r="AG654" i="7"/>
  <c r="AG655" i="7"/>
  <c r="AG656" i="7"/>
  <c r="AG657" i="7"/>
  <c r="AG658" i="7"/>
  <c r="AG659" i="7"/>
  <c r="AG660" i="7"/>
  <c r="AG661" i="7"/>
  <c r="AG662" i="7"/>
  <c r="AG663" i="7"/>
  <c r="AG664" i="7"/>
  <c r="AG665" i="7"/>
  <c r="AG666" i="7"/>
  <c r="AG667" i="7"/>
  <c r="AG668" i="7"/>
  <c r="AG669" i="7"/>
  <c r="AG670" i="7"/>
  <c r="AG671" i="7"/>
  <c r="AG672" i="7"/>
  <c r="AG673" i="7"/>
  <c r="AG674" i="7"/>
  <c r="AG675" i="7"/>
  <c r="AG676" i="7"/>
  <c r="AG677" i="7"/>
  <c r="AG678" i="7"/>
  <c r="AG679" i="7"/>
  <c r="AG680" i="7"/>
  <c r="AG681" i="7"/>
  <c r="AG682" i="7"/>
  <c r="AG683" i="7"/>
  <c r="AG684" i="7"/>
  <c r="AG685" i="7"/>
  <c r="AG686" i="7"/>
  <c r="AG687" i="7"/>
  <c r="AG688" i="7"/>
  <c r="AG689" i="7"/>
  <c r="AG690" i="7"/>
  <c r="AG691" i="7"/>
  <c r="AG692" i="7"/>
  <c r="AG693" i="7"/>
  <c r="AG694" i="7"/>
  <c r="AG695" i="7"/>
  <c r="AG696" i="7"/>
  <c r="AG697" i="7"/>
  <c r="AG698" i="7"/>
  <c r="AG699" i="7"/>
  <c r="AG700" i="7"/>
  <c r="AG701" i="7"/>
  <c r="AG702" i="7"/>
  <c r="AG703" i="7"/>
  <c r="AG704" i="7"/>
  <c r="AG705" i="7"/>
  <c r="AG706" i="7"/>
  <c r="AG707" i="7"/>
  <c r="AG708" i="7"/>
  <c r="AG709" i="7"/>
  <c r="AG710" i="7"/>
  <c r="AG711" i="7"/>
  <c r="AG712" i="7"/>
  <c r="AG713" i="7"/>
  <c r="AG714" i="7"/>
  <c r="AG715" i="7"/>
  <c r="AG716" i="7"/>
  <c r="AG717" i="7"/>
  <c r="AG718" i="7"/>
  <c r="AG719" i="7"/>
  <c r="AG720" i="7"/>
  <c r="AG721" i="7"/>
  <c r="AG722" i="7"/>
  <c r="AG723" i="7"/>
  <c r="AG724" i="7"/>
  <c r="AG725" i="7"/>
  <c r="AG726" i="7"/>
  <c r="AG727" i="7"/>
  <c r="AG728" i="7"/>
  <c r="AG729" i="7"/>
  <c r="AG730" i="7"/>
  <c r="AG731" i="7"/>
  <c r="AG732" i="7"/>
  <c r="AG733" i="7"/>
  <c r="AG734" i="7"/>
  <c r="AG735" i="7"/>
  <c r="AG736" i="7"/>
  <c r="AG737" i="7"/>
  <c r="AG738" i="7"/>
  <c r="AG739" i="7"/>
  <c r="AG740" i="7"/>
  <c r="AG741" i="7"/>
  <c r="AG742" i="7"/>
  <c r="AG743" i="7"/>
  <c r="AG744" i="7"/>
  <c r="AG745" i="7"/>
  <c r="AG746" i="7"/>
  <c r="AG747" i="7"/>
  <c r="AG748" i="7"/>
  <c r="AG749" i="7"/>
  <c r="AG750" i="7"/>
  <c r="AG751" i="7"/>
  <c r="AG752" i="7"/>
  <c r="AG753" i="7"/>
  <c r="AG754" i="7"/>
  <c r="AG755" i="7"/>
  <c r="AG756" i="7"/>
  <c r="AG757" i="7"/>
  <c r="AG758" i="7"/>
  <c r="AG759" i="7"/>
  <c r="AG760" i="7"/>
  <c r="AG761" i="7"/>
  <c r="AG762" i="7"/>
  <c r="AG763" i="7"/>
  <c r="AG764" i="7"/>
  <c r="AG765" i="7"/>
  <c r="AG766" i="7"/>
  <c r="AG767" i="7"/>
  <c r="AG768" i="7"/>
  <c r="AG769" i="7"/>
  <c r="AG770" i="7"/>
  <c r="AG771" i="7"/>
  <c r="AG772" i="7"/>
  <c r="AG773" i="7"/>
  <c r="AG774" i="7"/>
  <c r="AG775" i="7"/>
  <c r="AG776" i="7"/>
  <c r="AG777" i="7"/>
  <c r="AG778" i="7"/>
  <c r="AG779" i="7"/>
  <c r="AG780" i="7"/>
  <c r="AG781" i="7"/>
  <c r="AG782" i="7"/>
  <c r="AG783" i="7"/>
  <c r="AG784" i="7"/>
  <c r="AG785" i="7"/>
  <c r="AG786" i="7"/>
  <c r="AG787" i="7"/>
  <c r="AG788" i="7"/>
  <c r="AG789" i="7"/>
  <c r="AG790" i="7"/>
  <c r="AG791" i="7"/>
  <c r="AG792" i="7"/>
  <c r="AG793" i="7"/>
  <c r="AG794" i="7"/>
  <c r="AG795" i="7"/>
  <c r="AG796" i="7"/>
  <c r="AG797" i="7"/>
  <c r="AG798" i="7"/>
  <c r="AG799" i="7"/>
  <c r="AG800" i="7"/>
  <c r="AG801" i="7"/>
  <c r="AG802" i="7"/>
  <c r="AG803" i="7"/>
  <c r="AG804" i="7"/>
  <c r="AG805" i="7"/>
  <c r="AG806" i="7"/>
  <c r="AG807" i="7"/>
  <c r="AG808" i="7"/>
  <c r="AG809" i="7"/>
  <c r="AG810" i="7"/>
  <c r="AG811" i="7"/>
  <c r="AG812" i="7"/>
  <c r="AG813" i="7"/>
  <c r="AG814" i="7"/>
  <c r="AG815" i="7"/>
  <c r="AG816" i="7"/>
  <c r="AG817" i="7"/>
  <c r="AG818" i="7"/>
  <c r="AG819" i="7"/>
  <c r="AG820" i="7"/>
  <c r="AG821" i="7"/>
  <c r="AG822" i="7"/>
  <c r="AG823" i="7"/>
  <c r="AG824" i="7"/>
  <c r="AG825" i="7"/>
  <c r="AG826" i="7"/>
  <c r="AG827" i="7"/>
  <c r="AG828" i="7"/>
  <c r="AG829" i="7"/>
  <c r="AG830" i="7"/>
  <c r="AG831" i="7"/>
  <c r="AG832" i="7"/>
  <c r="AG833" i="7"/>
  <c r="AG834" i="7"/>
  <c r="AG835" i="7"/>
  <c r="AG836" i="7"/>
  <c r="AG837" i="7"/>
  <c r="AG838" i="7"/>
  <c r="AG839" i="7"/>
  <c r="AG840" i="7"/>
  <c r="AG841" i="7"/>
  <c r="AG842" i="7"/>
  <c r="AG843" i="7"/>
  <c r="AG844" i="7"/>
  <c r="AG845" i="7"/>
  <c r="AG846" i="7"/>
  <c r="AG847" i="7"/>
  <c r="AG848" i="7"/>
  <c r="AG849" i="7"/>
  <c r="AG850" i="7"/>
  <c r="AG851" i="7"/>
  <c r="AG852" i="7"/>
  <c r="AG853" i="7"/>
  <c r="AG854" i="7"/>
  <c r="AG855" i="7"/>
  <c r="AG856" i="7"/>
  <c r="AG857" i="7"/>
  <c r="AG858" i="7"/>
  <c r="AG859" i="7"/>
  <c r="AG860" i="7"/>
  <c r="AG861" i="7"/>
  <c r="AG862" i="7"/>
  <c r="AG863" i="7"/>
  <c r="AG864" i="7"/>
  <c r="AG865" i="7"/>
  <c r="AG866" i="7"/>
  <c r="AG867" i="7"/>
  <c r="AG868" i="7"/>
  <c r="AG869" i="7"/>
  <c r="AG870" i="7"/>
  <c r="AG871" i="7"/>
  <c r="AG872" i="7"/>
  <c r="AG873" i="7"/>
  <c r="AG874" i="7"/>
  <c r="AG875" i="7"/>
  <c r="AG876" i="7"/>
  <c r="AG877" i="7"/>
  <c r="AG878" i="7"/>
  <c r="AG879" i="7"/>
  <c r="AG880" i="7"/>
  <c r="AG881" i="7"/>
  <c r="AG882" i="7"/>
  <c r="AG883" i="7"/>
  <c r="AG884" i="7"/>
  <c r="AG885" i="7"/>
  <c r="AG886" i="7"/>
  <c r="AG887" i="7"/>
  <c r="AG888" i="7"/>
  <c r="AG889" i="7"/>
  <c r="AG890" i="7"/>
  <c r="AG891" i="7"/>
  <c r="AG892" i="7"/>
  <c r="AG893" i="7"/>
  <c r="AG894" i="7"/>
  <c r="AG895" i="7"/>
  <c r="AG896" i="7"/>
  <c r="AG897" i="7"/>
  <c r="AG898" i="7"/>
  <c r="AG899" i="7"/>
  <c r="AG900" i="7"/>
  <c r="AG901" i="7"/>
  <c r="AG902" i="7"/>
  <c r="AG903" i="7"/>
  <c r="AG904" i="7"/>
  <c r="AG905" i="7"/>
  <c r="AG906" i="7"/>
  <c r="AG907" i="7"/>
  <c r="AG908" i="7"/>
  <c r="AG909" i="7"/>
  <c r="AG910" i="7"/>
  <c r="AG911" i="7"/>
  <c r="AG912" i="7"/>
  <c r="AG913" i="7"/>
  <c r="AG914" i="7"/>
  <c r="AG915" i="7"/>
  <c r="AG916" i="7"/>
  <c r="AG917" i="7"/>
  <c r="AG918" i="7"/>
  <c r="AG919" i="7"/>
  <c r="AG920" i="7"/>
  <c r="AG921" i="7"/>
  <c r="AG922" i="7"/>
  <c r="AG923" i="7"/>
  <c r="AG924" i="7"/>
  <c r="AG925" i="7"/>
  <c r="AG926" i="7"/>
  <c r="AG927" i="7"/>
  <c r="AG928" i="7"/>
  <c r="AG929" i="7"/>
  <c r="AG930" i="7"/>
  <c r="AG931" i="7"/>
  <c r="AG932" i="7"/>
  <c r="AG933" i="7"/>
  <c r="AG934" i="7"/>
  <c r="AG935" i="7"/>
  <c r="AG936" i="7"/>
  <c r="AG937" i="7"/>
  <c r="AG938" i="7"/>
  <c r="AG939" i="7"/>
  <c r="AG940" i="7"/>
  <c r="AG941" i="7"/>
  <c r="AG942" i="7"/>
  <c r="AG943" i="7"/>
  <c r="AG944" i="7"/>
  <c r="AG945" i="7"/>
  <c r="AG946" i="7"/>
  <c r="AG947" i="7"/>
  <c r="AG948" i="7"/>
  <c r="AG949" i="7"/>
  <c r="AG950" i="7"/>
  <c r="AG951" i="7"/>
  <c r="AG952" i="7"/>
  <c r="AG953" i="7"/>
  <c r="AG954" i="7"/>
  <c r="AG955" i="7"/>
  <c r="AG956" i="7"/>
  <c r="AG957" i="7"/>
  <c r="AG958" i="7"/>
  <c r="AG959" i="7"/>
  <c r="AG960" i="7"/>
  <c r="AG961" i="7"/>
  <c r="AG962" i="7"/>
  <c r="AG963" i="7"/>
  <c r="AG964" i="7"/>
  <c r="AG965" i="7"/>
  <c r="AG966" i="7"/>
  <c r="AG967" i="7"/>
  <c r="AG968" i="7"/>
  <c r="AG969" i="7"/>
  <c r="AG970" i="7"/>
  <c r="AG971" i="7"/>
  <c r="AG972" i="7"/>
  <c r="AG973" i="7"/>
  <c r="AG974" i="7"/>
  <c r="AG975" i="7"/>
  <c r="AG976" i="7"/>
  <c r="AG977" i="7"/>
  <c r="AG978" i="7"/>
  <c r="AG979" i="7"/>
  <c r="AG980" i="7"/>
  <c r="AG981" i="7"/>
  <c r="AG982" i="7"/>
  <c r="AG983" i="7"/>
  <c r="AG984" i="7"/>
  <c r="AG985" i="7"/>
  <c r="AG986" i="7"/>
  <c r="AG987" i="7"/>
  <c r="AG988" i="7"/>
  <c r="AG989" i="7"/>
  <c r="AG990" i="7"/>
  <c r="AG991" i="7"/>
  <c r="AG992" i="7"/>
  <c r="AG993" i="7"/>
  <c r="AG994" i="7"/>
  <c r="AG995" i="7"/>
  <c r="AG996" i="7"/>
  <c r="AG997" i="7"/>
  <c r="AG998" i="7"/>
  <c r="AG999" i="7"/>
  <c r="AG1000" i="7"/>
  <c r="AG1001" i="7"/>
  <c r="AG1002" i="7"/>
  <c r="AG1003" i="7"/>
  <c r="AG1004" i="7"/>
  <c r="AG1005" i="7"/>
  <c r="AG1006" i="7"/>
  <c r="AG1007" i="7"/>
  <c r="AG1008" i="7"/>
  <c r="AG1009" i="7"/>
  <c r="AG1010" i="7"/>
  <c r="AG1011" i="7"/>
  <c r="AG1012" i="7"/>
  <c r="AG1013" i="7"/>
  <c r="AG1014" i="7"/>
  <c r="AG1015" i="7"/>
  <c r="AG1016" i="7"/>
  <c r="AG1017" i="7"/>
  <c r="AG1018" i="7"/>
  <c r="AG1019" i="7"/>
  <c r="AG1020" i="7"/>
  <c r="AG1021" i="7"/>
  <c r="AG1022" i="7"/>
  <c r="AG1023" i="7"/>
  <c r="AG1024" i="7"/>
  <c r="AG1025" i="7"/>
  <c r="AG1026" i="7"/>
  <c r="AG1027" i="7"/>
  <c r="AG1028" i="7"/>
  <c r="AG1029" i="7"/>
  <c r="AG1030" i="7"/>
  <c r="AG1031" i="7"/>
  <c r="AG1032" i="7"/>
  <c r="AG1033" i="7"/>
  <c r="AG1034" i="7"/>
  <c r="AG1035" i="7"/>
  <c r="AG1036" i="7"/>
  <c r="AG1037" i="7"/>
  <c r="AG1038" i="7"/>
  <c r="AG1039" i="7"/>
  <c r="AG1040" i="7"/>
  <c r="AG1041" i="7"/>
  <c r="AG1042" i="7"/>
  <c r="AG1043" i="7"/>
  <c r="AG1044" i="7"/>
  <c r="AG1045" i="7"/>
  <c r="AG1046" i="7"/>
  <c r="AG1047" i="7"/>
  <c r="AG1048" i="7"/>
  <c r="AG1049" i="7"/>
  <c r="AG1050" i="7"/>
  <c r="AG1051" i="7"/>
  <c r="AG1052" i="7"/>
  <c r="AG1053" i="7"/>
  <c r="AG1054" i="7"/>
  <c r="AG1055" i="7"/>
  <c r="AG1056" i="7"/>
  <c r="AG1057" i="7"/>
  <c r="AG1058" i="7"/>
  <c r="AG1059" i="7"/>
  <c r="AG1060" i="7"/>
  <c r="AG1061" i="7"/>
  <c r="AG1062" i="7"/>
  <c r="AG1063" i="7"/>
  <c r="AG1064" i="7"/>
  <c r="AG1065" i="7"/>
  <c r="AG1066" i="7"/>
  <c r="AG1067" i="7"/>
  <c r="AG1068" i="7"/>
  <c r="AG1069" i="7"/>
  <c r="AG1070" i="7"/>
  <c r="AG1071" i="7"/>
  <c r="AG1072" i="7"/>
  <c r="AG1073" i="7"/>
  <c r="AG1074" i="7"/>
  <c r="AG1075" i="7"/>
  <c r="AG1076" i="7"/>
  <c r="AG1077" i="7"/>
  <c r="AG1078" i="7"/>
  <c r="AG1079" i="7"/>
  <c r="AG1080" i="7"/>
  <c r="AG1081" i="7"/>
  <c r="AG1082" i="7"/>
  <c r="AG1083" i="7"/>
  <c r="AG1084" i="7"/>
  <c r="AG1085" i="7"/>
  <c r="AG1086" i="7"/>
  <c r="AG1087" i="7"/>
  <c r="AG1088" i="7"/>
  <c r="AG1089" i="7"/>
  <c r="AG1090" i="7"/>
  <c r="AG1091" i="7"/>
  <c r="AG1092" i="7"/>
  <c r="AG1093" i="7"/>
  <c r="AG1094" i="7"/>
  <c r="AG1095" i="7"/>
  <c r="AG1096" i="7"/>
  <c r="AG1097" i="7"/>
  <c r="AG1098" i="7"/>
  <c r="AG1099" i="7"/>
  <c r="AG1100" i="7"/>
  <c r="AG1101" i="7"/>
  <c r="AG1102" i="7"/>
  <c r="AG1103" i="7"/>
  <c r="AG1104" i="7"/>
  <c r="AG1105" i="7"/>
  <c r="AG1106" i="7"/>
  <c r="AG1107" i="7"/>
  <c r="AG1108" i="7"/>
  <c r="AG1109" i="7"/>
  <c r="AG1110" i="7"/>
  <c r="AG1111" i="7"/>
  <c r="AG1112" i="7"/>
  <c r="AG1113" i="7"/>
  <c r="AG1114" i="7"/>
  <c r="AG1115" i="7"/>
  <c r="AG1116" i="7"/>
  <c r="AG1117" i="7"/>
  <c r="AG1118" i="7"/>
  <c r="AG1119" i="7"/>
  <c r="AG1120" i="7"/>
  <c r="AG1121" i="7"/>
  <c r="AG1122" i="7"/>
  <c r="AG1123" i="7"/>
  <c r="AG1124" i="7"/>
  <c r="AG1125" i="7"/>
  <c r="AG1126" i="7"/>
  <c r="AG1127" i="7"/>
  <c r="AG1128" i="7"/>
  <c r="AG1129" i="7"/>
  <c r="AG1130" i="7"/>
  <c r="AG1131" i="7"/>
  <c r="AG1132" i="7"/>
  <c r="AG1133" i="7"/>
  <c r="AG1134" i="7"/>
  <c r="AG1135" i="7"/>
  <c r="AG1136" i="7"/>
  <c r="AG1137" i="7"/>
  <c r="AG1138" i="7"/>
  <c r="AG1139" i="7"/>
  <c r="AG1140" i="7"/>
  <c r="AG1141" i="7"/>
  <c r="AG1142" i="7"/>
  <c r="AG1143" i="7"/>
  <c r="AG1144" i="7"/>
  <c r="AG1145" i="7"/>
  <c r="AG1146" i="7"/>
  <c r="AG1147" i="7"/>
  <c r="AG1148" i="7"/>
  <c r="AG1149" i="7"/>
  <c r="AG1150" i="7"/>
  <c r="AG1151" i="7"/>
  <c r="AG1152" i="7"/>
  <c r="AG1153" i="7"/>
  <c r="AG1154" i="7"/>
  <c r="AG1155" i="7"/>
  <c r="AG1156" i="7"/>
  <c r="AG1157" i="7"/>
  <c r="AG1158" i="7"/>
  <c r="AG1159" i="7"/>
  <c r="AG1160" i="7"/>
  <c r="AG1161" i="7"/>
  <c r="AG1162" i="7"/>
  <c r="AG1163" i="7"/>
  <c r="AG1164" i="7"/>
  <c r="AG1165" i="7"/>
  <c r="AG1166" i="7"/>
  <c r="AG1167" i="7"/>
  <c r="AG1168" i="7"/>
  <c r="AG1169" i="7"/>
  <c r="AG1170" i="7"/>
  <c r="AG1171" i="7"/>
  <c r="AG1172" i="7"/>
  <c r="AG1173" i="7"/>
  <c r="AG1174" i="7"/>
  <c r="AG1175" i="7"/>
  <c r="AG1176" i="7"/>
  <c r="AG1177" i="7"/>
  <c r="AG1178" i="7"/>
  <c r="AG1179" i="7"/>
  <c r="AG1180" i="7"/>
  <c r="AG1181" i="7"/>
  <c r="AG1182" i="7"/>
  <c r="AG1183" i="7"/>
  <c r="AG1184" i="7"/>
  <c r="AG1185" i="7"/>
  <c r="AG1186" i="7"/>
  <c r="AG1187" i="7"/>
  <c r="AG1188" i="7"/>
  <c r="AG1189" i="7"/>
  <c r="AG1190" i="7"/>
  <c r="AG1191" i="7"/>
  <c r="AG1192" i="7"/>
  <c r="AG1193" i="7"/>
  <c r="AG1194" i="7"/>
  <c r="AG1195" i="7"/>
  <c r="AG1196" i="7"/>
  <c r="AG1197" i="7"/>
  <c r="AG1198" i="7"/>
  <c r="AG1199" i="7"/>
  <c r="AG1200" i="7"/>
  <c r="AG1201" i="7"/>
  <c r="AG1202" i="7"/>
  <c r="AG1203" i="7"/>
  <c r="AG1204" i="7"/>
  <c r="AG1205" i="7"/>
  <c r="AG1206" i="7"/>
  <c r="AG1207" i="7"/>
  <c r="AG1208" i="7"/>
  <c r="AG1209" i="7"/>
  <c r="AG1210" i="7"/>
  <c r="AG1211" i="7"/>
  <c r="AG1212" i="7"/>
  <c r="AG1213" i="7"/>
  <c r="AG1214" i="7"/>
  <c r="AG1215" i="7"/>
  <c r="AG1216" i="7"/>
  <c r="AG1217" i="7"/>
  <c r="AG1218" i="7"/>
  <c r="AG1219" i="7"/>
  <c r="AG1220" i="7"/>
  <c r="AG1221" i="7"/>
  <c r="AG1222" i="7"/>
  <c r="AG1223" i="7"/>
  <c r="AG1224" i="7"/>
  <c r="AG1225" i="7"/>
  <c r="AG1226" i="7"/>
  <c r="AG1227" i="7"/>
  <c r="AG1228" i="7"/>
  <c r="AG1229" i="7"/>
  <c r="AG1230" i="7"/>
  <c r="AG1231" i="7"/>
  <c r="AG1232" i="7"/>
  <c r="AG1233" i="7"/>
  <c r="AG1234" i="7"/>
  <c r="AG1235" i="7"/>
  <c r="AG1236" i="7"/>
  <c r="AG1237" i="7"/>
  <c r="AG1238" i="7"/>
  <c r="AG1239" i="7"/>
  <c r="AG1240" i="7"/>
  <c r="AG1241" i="7"/>
  <c r="AG1242" i="7"/>
  <c r="AG1243" i="7"/>
  <c r="AG1244" i="7"/>
  <c r="AG1245" i="7"/>
  <c r="AG1246" i="7"/>
  <c r="AG1247" i="7"/>
  <c r="AG1248" i="7"/>
  <c r="AG1249" i="7"/>
  <c r="AG1250" i="7"/>
  <c r="AG1251" i="7"/>
  <c r="AG1252" i="7"/>
  <c r="AG1253" i="7"/>
  <c r="AG1254" i="7"/>
  <c r="AG1255" i="7"/>
  <c r="AG1256" i="7"/>
  <c r="AG1257" i="7"/>
  <c r="AG1258" i="7"/>
  <c r="AG1259" i="7"/>
  <c r="AG1260" i="7"/>
  <c r="AG1261" i="7"/>
  <c r="AG1262" i="7"/>
  <c r="AG1263" i="7"/>
  <c r="AG1264" i="7"/>
  <c r="AG1265" i="7"/>
  <c r="AG1266" i="7"/>
  <c r="AG1267" i="7"/>
  <c r="AG1268" i="7"/>
  <c r="AG1269" i="7"/>
  <c r="AG1270" i="7"/>
  <c r="AG1271" i="7"/>
  <c r="AG1272" i="7"/>
  <c r="AG1273" i="7"/>
  <c r="AG1274" i="7"/>
  <c r="AG1275" i="7"/>
  <c r="AG1276" i="7"/>
  <c r="AG1277" i="7"/>
  <c r="AG1278" i="7"/>
  <c r="AG1279" i="7"/>
  <c r="AG1280" i="7"/>
  <c r="AG1281" i="7"/>
  <c r="AG1282" i="7"/>
  <c r="AG1283" i="7"/>
  <c r="AG1284" i="7"/>
  <c r="AG1285" i="7"/>
  <c r="AG1286" i="7"/>
  <c r="AG1287" i="7"/>
  <c r="AG1288" i="7"/>
  <c r="AG1289" i="7"/>
  <c r="AG1290" i="7"/>
  <c r="AG1291" i="7"/>
  <c r="AG1292" i="7"/>
  <c r="AG1293" i="7"/>
  <c r="AG1294" i="7"/>
  <c r="AG1295" i="7"/>
  <c r="AG1296" i="7"/>
  <c r="AG1297" i="7"/>
  <c r="AG1298" i="7"/>
  <c r="AG1299" i="7"/>
  <c r="AG1300" i="7"/>
  <c r="AG1301" i="7"/>
  <c r="AG1302" i="7"/>
  <c r="AG1303" i="7"/>
  <c r="AG1304" i="7"/>
  <c r="AG1305" i="7"/>
  <c r="AG1306" i="7"/>
  <c r="AG1307" i="7"/>
  <c r="AG1308" i="7"/>
  <c r="AG1309" i="7"/>
  <c r="AG1310" i="7"/>
  <c r="AG1311" i="7"/>
  <c r="AG1312" i="7"/>
  <c r="AG1313" i="7"/>
  <c r="AG1314" i="7"/>
  <c r="AG1315" i="7"/>
  <c r="AG1316" i="7"/>
  <c r="AG1317" i="7"/>
  <c r="AG1318" i="7"/>
  <c r="AG1319" i="7"/>
  <c r="AG1320" i="7"/>
  <c r="AG1321" i="7"/>
  <c r="AG1322" i="7"/>
  <c r="AG1323" i="7"/>
  <c r="AG1324" i="7"/>
  <c r="AG1325" i="7"/>
  <c r="AG1326" i="7"/>
  <c r="AG1327" i="7"/>
  <c r="AG1328" i="7"/>
  <c r="AG1329" i="7"/>
  <c r="AG1330" i="7"/>
  <c r="AG1331" i="7"/>
  <c r="AG1332" i="7"/>
  <c r="AG1333" i="7"/>
  <c r="AG1334" i="7"/>
  <c r="AG1335" i="7"/>
  <c r="AG1336" i="7"/>
  <c r="AG1337" i="7"/>
  <c r="AG1338" i="7"/>
  <c r="AG1339" i="7"/>
  <c r="AG1340" i="7"/>
  <c r="AG1341" i="7"/>
  <c r="AG1342" i="7"/>
  <c r="AG1343" i="7"/>
  <c r="AG1344" i="7"/>
  <c r="AG1345" i="7"/>
  <c r="AG1346" i="7"/>
  <c r="AG1347" i="7"/>
  <c r="AG1348" i="7"/>
  <c r="AG1349" i="7"/>
  <c r="AG1350" i="7"/>
  <c r="AG1351" i="7"/>
  <c r="AG1352" i="7"/>
  <c r="AG1353" i="7"/>
  <c r="AG1354" i="7"/>
  <c r="AG1355" i="7"/>
  <c r="AG1356" i="7"/>
  <c r="AG1357" i="7"/>
  <c r="AG1358" i="7"/>
  <c r="AG1359" i="7"/>
  <c r="AG1360" i="7"/>
  <c r="AG1361" i="7"/>
  <c r="AG1362" i="7"/>
  <c r="AG1363" i="7"/>
  <c r="AG1364" i="7"/>
  <c r="AG1365" i="7"/>
  <c r="AG1366" i="7"/>
  <c r="AG1367" i="7"/>
  <c r="AG1368" i="7"/>
  <c r="AG1369" i="7"/>
  <c r="AG1370" i="7"/>
  <c r="AG1371" i="7"/>
  <c r="AG1372" i="7"/>
  <c r="AG1373" i="7"/>
  <c r="AG1374" i="7"/>
  <c r="AG1375" i="7"/>
  <c r="AG1376" i="7"/>
  <c r="AG1377" i="7"/>
  <c r="AG1378" i="7"/>
  <c r="AG1379" i="7"/>
  <c r="AG1380" i="7"/>
  <c r="AG1381" i="7"/>
  <c r="AG1382" i="7"/>
  <c r="AG1383" i="7"/>
  <c r="AG1384" i="7"/>
  <c r="AG1385" i="7"/>
  <c r="AG1386" i="7"/>
  <c r="AG1387" i="7"/>
  <c r="AG1388" i="7"/>
  <c r="AG1389" i="7"/>
  <c r="AG1390" i="7"/>
  <c r="AG1391" i="7"/>
  <c r="AG1392" i="7"/>
  <c r="AG1393" i="7"/>
  <c r="AG1394" i="7"/>
  <c r="AG1395" i="7"/>
  <c r="AG1396" i="7"/>
  <c r="AG1397" i="7"/>
  <c r="AG1398" i="7"/>
  <c r="AG1399" i="7"/>
  <c r="AG1400" i="7"/>
  <c r="AG1401" i="7"/>
  <c r="AG1402" i="7"/>
  <c r="AG1403" i="7"/>
  <c r="AG1404" i="7"/>
  <c r="AG1405" i="7"/>
  <c r="AG1406" i="7"/>
  <c r="AG1407" i="7"/>
  <c r="AG1408" i="7"/>
  <c r="AG1409" i="7"/>
  <c r="AG1410" i="7"/>
  <c r="AG1411" i="7"/>
  <c r="AG1412" i="7"/>
  <c r="AG1413" i="7"/>
  <c r="AG1414" i="7"/>
  <c r="AG1415" i="7"/>
  <c r="AG1416" i="7"/>
  <c r="AG1417" i="7"/>
  <c r="AG1418" i="7"/>
  <c r="AG1419" i="7"/>
  <c r="AG1420" i="7"/>
  <c r="AG1421" i="7"/>
  <c r="AG1422" i="7"/>
  <c r="AG1423" i="7"/>
  <c r="AG1424" i="7"/>
  <c r="AG1425" i="7"/>
  <c r="AG1426" i="7"/>
  <c r="AG1427" i="7"/>
  <c r="AG1428" i="7"/>
  <c r="AG1429" i="7"/>
  <c r="AG1430" i="7"/>
  <c r="AG1431" i="7"/>
  <c r="AG1432" i="7"/>
  <c r="AG1433" i="7"/>
  <c r="AG1434" i="7"/>
  <c r="AG1435" i="7"/>
  <c r="AG1436" i="7"/>
  <c r="AG1437" i="7"/>
  <c r="AG1438" i="7"/>
  <c r="AG1439" i="7"/>
  <c r="AG1440" i="7"/>
  <c r="AG1441" i="7"/>
  <c r="AG1442" i="7"/>
  <c r="AG1443" i="7"/>
  <c r="AG1444" i="7"/>
  <c r="AG1445" i="7"/>
  <c r="AG1446" i="7"/>
  <c r="AG1447" i="7"/>
  <c r="AG1448" i="7"/>
  <c r="AG1449" i="7"/>
  <c r="AG1450" i="7"/>
  <c r="AG1451" i="7"/>
  <c r="AG1452" i="7"/>
  <c r="AG1453" i="7"/>
  <c r="AG1454" i="7"/>
  <c r="AG1455" i="7"/>
  <c r="AG1456" i="7"/>
  <c r="AG1457" i="7"/>
  <c r="AG1458" i="7"/>
  <c r="AG1459" i="7"/>
  <c r="AG1460" i="7"/>
  <c r="AG1461" i="7"/>
  <c r="AG1462" i="7"/>
  <c r="AG1463" i="7"/>
  <c r="AG1464" i="7"/>
  <c r="AG1465" i="7"/>
  <c r="AG1466" i="7"/>
  <c r="AG1467" i="7"/>
  <c r="AG1468" i="7"/>
  <c r="AG1469" i="7"/>
  <c r="AG1470" i="7"/>
  <c r="AG1471" i="7"/>
  <c r="AG2" i="7"/>
  <c r="AF3" i="7"/>
  <c r="AF4" i="7"/>
  <c r="AF5" i="7"/>
  <c r="AF6" i="7"/>
  <c r="AF7" i="7"/>
  <c r="AF8" i="7"/>
  <c r="AF9" i="7"/>
  <c r="AF10" i="7"/>
  <c r="AF11" i="7"/>
  <c r="AF12" i="7"/>
  <c r="AF13" i="7"/>
  <c r="AF14" i="7"/>
  <c r="AF15" i="7"/>
  <c r="AF16" i="7"/>
  <c r="AF17" i="7"/>
  <c r="AF18" i="7"/>
  <c r="AF19" i="7"/>
  <c r="AF20" i="7"/>
  <c r="AF21" i="7"/>
  <c r="AF22" i="7"/>
  <c r="AF23" i="7"/>
  <c r="AF24" i="7"/>
  <c r="AF25" i="7"/>
  <c r="AF26" i="7"/>
  <c r="AF27" i="7"/>
  <c r="AF28" i="7"/>
  <c r="AF29" i="7"/>
  <c r="AF30" i="7"/>
  <c r="AF31" i="7"/>
  <c r="AF32" i="7"/>
  <c r="AF33" i="7"/>
  <c r="AF34" i="7"/>
  <c r="AF35" i="7"/>
  <c r="AF36" i="7"/>
  <c r="AF37" i="7"/>
  <c r="AF38" i="7"/>
  <c r="AF39" i="7"/>
  <c r="AF40" i="7"/>
  <c r="AF41" i="7"/>
  <c r="AF42" i="7"/>
  <c r="AF43" i="7"/>
  <c r="AF44" i="7"/>
  <c r="AF45" i="7"/>
  <c r="AF46" i="7"/>
  <c r="AF47" i="7"/>
  <c r="AF48" i="7"/>
  <c r="AF49" i="7"/>
  <c r="AF50" i="7"/>
  <c r="AF51" i="7"/>
  <c r="AF52" i="7"/>
  <c r="AF53" i="7"/>
  <c r="AF54" i="7"/>
  <c r="AF55" i="7"/>
  <c r="AF56" i="7"/>
  <c r="AF57" i="7"/>
  <c r="AF58" i="7"/>
  <c r="AF59" i="7"/>
  <c r="AF60" i="7"/>
  <c r="AF61" i="7"/>
  <c r="AF62" i="7"/>
  <c r="AF63" i="7"/>
  <c r="AF64" i="7"/>
  <c r="AF65" i="7"/>
  <c r="AF66" i="7"/>
  <c r="AF67" i="7"/>
  <c r="AF68" i="7"/>
  <c r="AF69" i="7"/>
  <c r="AF70" i="7"/>
  <c r="AF71" i="7"/>
  <c r="AF72" i="7"/>
  <c r="AF73" i="7"/>
  <c r="AF74" i="7"/>
  <c r="AF75" i="7"/>
  <c r="AF76" i="7"/>
  <c r="AF77" i="7"/>
  <c r="AF78" i="7"/>
  <c r="AF79" i="7"/>
  <c r="AF80" i="7"/>
  <c r="AF81" i="7"/>
  <c r="AF82" i="7"/>
  <c r="AF83" i="7"/>
  <c r="AF84" i="7"/>
  <c r="AF85" i="7"/>
  <c r="AF86" i="7"/>
  <c r="AF87" i="7"/>
  <c r="AF88" i="7"/>
  <c r="AF89" i="7"/>
  <c r="AF90" i="7"/>
  <c r="AF91" i="7"/>
  <c r="AF92" i="7"/>
  <c r="AF93" i="7"/>
  <c r="AF94" i="7"/>
  <c r="AF95" i="7"/>
  <c r="AF96" i="7"/>
  <c r="AF97" i="7"/>
  <c r="AF98" i="7"/>
  <c r="AF99" i="7"/>
  <c r="AF100" i="7"/>
  <c r="AF101" i="7"/>
  <c r="AF102" i="7"/>
  <c r="AF103" i="7"/>
  <c r="AF104" i="7"/>
  <c r="AF105" i="7"/>
  <c r="AF106" i="7"/>
  <c r="B106" i="12" s="1"/>
  <c r="AF107" i="7"/>
  <c r="AF108" i="7"/>
  <c r="AF109" i="7"/>
  <c r="AF110" i="7"/>
  <c r="AF111" i="7"/>
  <c r="AF112" i="7"/>
  <c r="AF113" i="7"/>
  <c r="AF114" i="7"/>
  <c r="AF115" i="7"/>
  <c r="AF116" i="7"/>
  <c r="AF117" i="7"/>
  <c r="AF118" i="7"/>
  <c r="AF119" i="7"/>
  <c r="AF120" i="7"/>
  <c r="AF121" i="7"/>
  <c r="AF122" i="7"/>
  <c r="AF123" i="7"/>
  <c r="AF124" i="7"/>
  <c r="AF125" i="7"/>
  <c r="AF126" i="7"/>
  <c r="AF127" i="7"/>
  <c r="AF128" i="7"/>
  <c r="AF129" i="7"/>
  <c r="AF130" i="7"/>
  <c r="AF131" i="7"/>
  <c r="AF132" i="7"/>
  <c r="AF133" i="7"/>
  <c r="AF134" i="7"/>
  <c r="AF135" i="7"/>
  <c r="AF136" i="7"/>
  <c r="AF137" i="7"/>
  <c r="AF138" i="7"/>
  <c r="AF139" i="7"/>
  <c r="AF140" i="7"/>
  <c r="AF141" i="7"/>
  <c r="AF142" i="7"/>
  <c r="AF143" i="7"/>
  <c r="AF144" i="7"/>
  <c r="AF145" i="7"/>
  <c r="AF146" i="7"/>
  <c r="AF147" i="7"/>
  <c r="AF148" i="7"/>
  <c r="AF149" i="7"/>
  <c r="AF150" i="7"/>
  <c r="AF151" i="7"/>
  <c r="AF152" i="7"/>
  <c r="AF153" i="7"/>
  <c r="AF154" i="7"/>
  <c r="AF155" i="7"/>
  <c r="AF156" i="7"/>
  <c r="AF157" i="7"/>
  <c r="AF158" i="7"/>
  <c r="AF159" i="7"/>
  <c r="AF160" i="7"/>
  <c r="AF161" i="7"/>
  <c r="AF162" i="7"/>
  <c r="AF163" i="7"/>
  <c r="AF164" i="7"/>
  <c r="AF165" i="7"/>
  <c r="AF166" i="7"/>
  <c r="AF167" i="7"/>
  <c r="AF168" i="7"/>
  <c r="AF169" i="7"/>
  <c r="AF170" i="7"/>
  <c r="AF171" i="7"/>
  <c r="AF172" i="7"/>
  <c r="AF173" i="7"/>
  <c r="AF174" i="7"/>
  <c r="AF175" i="7"/>
  <c r="AF176" i="7"/>
  <c r="AF177" i="7"/>
  <c r="AF178" i="7"/>
  <c r="AF179" i="7"/>
  <c r="AF180" i="7"/>
  <c r="AF181" i="7"/>
  <c r="AF182" i="7"/>
  <c r="AF183" i="7"/>
  <c r="AF184" i="7"/>
  <c r="AF185" i="7"/>
  <c r="AF186" i="7"/>
  <c r="AF187" i="7"/>
  <c r="AF188" i="7"/>
  <c r="AF189" i="7"/>
  <c r="AF190" i="7"/>
  <c r="AF191" i="7"/>
  <c r="AF192" i="7"/>
  <c r="AF193" i="7"/>
  <c r="AF194" i="7"/>
  <c r="AF195" i="7"/>
  <c r="AF196" i="7"/>
  <c r="AF197" i="7"/>
  <c r="AF198" i="7"/>
  <c r="AF199" i="7"/>
  <c r="AF200" i="7"/>
  <c r="AF201" i="7"/>
  <c r="AF202" i="7"/>
  <c r="AF203" i="7"/>
  <c r="AF204" i="7"/>
  <c r="AF205" i="7"/>
  <c r="AF206" i="7"/>
  <c r="AF207" i="7"/>
  <c r="AF208" i="7"/>
  <c r="AF209" i="7"/>
  <c r="AF210" i="7"/>
  <c r="AF211" i="7"/>
  <c r="AF212" i="7"/>
  <c r="AF213" i="7"/>
  <c r="AF214" i="7"/>
  <c r="AF215" i="7"/>
  <c r="AF216" i="7"/>
  <c r="AF217" i="7"/>
  <c r="AF218" i="7"/>
  <c r="AF219" i="7"/>
  <c r="AF220" i="7"/>
  <c r="AF221" i="7"/>
  <c r="AF222" i="7"/>
  <c r="AF223" i="7"/>
  <c r="AF224" i="7"/>
  <c r="AF225" i="7"/>
  <c r="AF226" i="7"/>
  <c r="AF227" i="7"/>
  <c r="AF228" i="7"/>
  <c r="AF229" i="7"/>
  <c r="AF230" i="7"/>
  <c r="AF231" i="7"/>
  <c r="AF232" i="7"/>
  <c r="AF233" i="7"/>
  <c r="AF234" i="7"/>
  <c r="AF235" i="7"/>
  <c r="AF236" i="7"/>
  <c r="AF237" i="7"/>
  <c r="AF238" i="7"/>
  <c r="AF239" i="7"/>
  <c r="AF240" i="7"/>
  <c r="AF241" i="7"/>
  <c r="AF242" i="7"/>
  <c r="AF243" i="7"/>
  <c r="AF244" i="7"/>
  <c r="AF245" i="7"/>
  <c r="AF246" i="7"/>
  <c r="AF247" i="7"/>
  <c r="AF248" i="7"/>
  <c r="AF249" i="7"/>
  <c r="AF250" i="7"/>
  <c r="AF251" i="7"/>
  <c r="AF252" i="7"/>
  <c r="AF253" i="7"/>
  <c r="AF254" i="7"/>
  <c r="AF255" i="7"/>
  <c r="AF256" i="7"/>
  <c r="AF257" i="7"/>
  <c r="AF258" i="7"/>
  <c r="AF259" i="7"/>
  <c r="AF260" i="7"/>
  <c r="AF261" i="7"/>
  <c r="AF262" i="7"/>
  <c r="AF263" i="7"/>
  <c r="AF264" i="7"/>
  <c r="AF265" i="7"/>
  <c r="AF266" i="7"/>
  <c r="AF267" i="7"/>
  <c r="AF268" i="7"/>
  <c r="AF269" i="7"/>
  <c r="AF270" i="7"/>
  <c r="AF271" i="7"/>
  <c r="AF272" i="7"/>
  <c r="AF273" i="7"/>
  <c r="AF274" i="7"/>
  <c r="AF275" i="7"/>
  <c r="AF276" i="7"/>
  <c r="AF277" i="7"/>
  <c r="AF278" i="7"/>
  <c r="AF279" i="7"/>
  <c r="AF280" i="7"/>
  <c r="AF281" i="7"/>
  <c r="AF282" i="7"/>
  <c r="AF283" i="7"/>
  <c r="AF284" i="7"/>
  <c r="AF285" i="7"/>
  <c r="AF286" i="7"/>
  <c r="AF287" i="7"/>
  <c r="AF288" i="7"/>
  <c r="AF289" i="7"/>
  <c r="AF290" i="7"/>
  <c r="AF291" i="7"/>
  <c r="AF292" i="7"/>
  <c r="AF293" i="7"/>
  <c r="AF294" i="7"/>
  <c r="AF295" i="7"/>
  <c r="AF296" i="7"/>
  <c r="AF297" i="7"/>
  <c r="AF298" i="7"/>
  <c r="AF299" i="7"/>
  <c r="AF300" i="7"/>
  <c r="AF301" i="7"/>
  <c r="AF302" i="7"/>
  <c r="AF303" i="7"/>
  <c r="AF304" i="7"/>
  <c r="AF305" i="7"/>
  <c r="AF306" i="7"/>
  <c r="AF307" i="7"/>
  <c r="AF308" i="7"/>
  <c r="AF309" i="7"/>
  <c r="AF310" i="7"/>
  <c r="AF311" i="7"/>
  <c r="AF312" i="7"/>
  <c r="AF313" i="7"/>
  <c r="AF314" i="7"/>
  <c r="AF315" i="7"/>
  <c r="AF316" i="7"/>
  <c r="AF317" i="7"/>
  <c r="AF318" i="7"/>
  <c r="AF319" i="7"/>
  <c r="AF320" i="7"/>
  <c r="AF321" i="7"/>
  <c r="AF322" i="7"/>
  <c r="AF323" i="7"/>
  <c r="AF324" i="7"/>
  <c r="AF325" i="7"/>
  <c r="AF326" i="7"/>
  <c r="AF327" i="7"/>
  <c r="AF328" i="7"/>
  <c r="AF329" i="7"/>
  <c r="AF330" i="7"/>
  <c r="AF331" i="7"/>
  <c r="AF332" i="7"/>
  <c r="AF333" i="7"/>
  <c r="AF334" i="7"/>
  <c r="AF335" i="7"/>
  <c r="AF336" i="7"/>
  <c r="AF337" i="7"/>
  <c r="AF338" i="7"/>
  <c r="AF339" i="7"/>
  <c r="AF340" i="7"/>
  <c r="AF341" i="7"/>
  <c r="AF342" i="7"/>
  <c r="AF343" i="7"/>
  <c r="AF344" i="7"/>
  <c r="AF345" i="7"/>
  <c r="AF346" i="7"/>
  <c r="AF347" i="7"/>
  <c r="AF348" i="7"/>
  <c r="AF349" i="7"/>
  <c r="AF350" i="7"/>
  <c r="AF351" i="7"/>
  <c r="AF352" i="7"/>
  <c r="AF353" i="7"/>
  <c r="AF354" i="7"/>
  <c r="AF355" i="7"/>
  <c r="AF356" i="7"/>
  <c r="AF357" i="7"/>
  <c r="AF358" i="7"/>
  <c r="AF359" i="7"/>
  <c r="AF360" i="7"/>
  <c r="AF361" i="7"/>
  <c r="AF362" i="7"/>
  <c r="AF363" i="7"/>
  <c r="AF364" i="7"/>
  <c r="AF365" i="7"/>
  <c r="AF366" i="7"/>
  <c r="AF367" i="7"/>
  <c r="AF368" i="7"/>
  <c r="AF369" i="7"/>
  <c r="AF370" i="7"/>
  <c r="AF371" i="7"/>
  <c r="AF372" i="7"/>
  <c r="AF373" i="7"/>
  <c r="AF374" i="7"/>
  <c r="AF375" i="7"/>
  <c r="AF376" i="7"/>
  <c r="AF377" i="7"/>
  <c r="AF378" i="7"/>
  <c r="AF379" i="7"/>
  <c r="AF380" i="7"/>
  <c r="AF381" i="7"/>
  <c r="AF382" i="7"/>
  <c r="AF383" i="7"/>
  <c r="AF384" i="7"/>
  <c r="AF385" i="7"/>
  <c r="AF386" i="7"/>
  <c r="AF387" i="7"/>
  <c r="AF388" i="7"/>
  <c r="AF389" i="7"/>
  <c r="AF390" i="7"/>
  <c r="AF391" i="7"/>
  <c r="AF392" i="7"/>
  <c r="AF393" i="7"/>
  <c r="AF394" i="7"/>
  <c r="AF395" i="7"/>
  <c r="AF396" i="7"/>
  <c r="AF397" i="7"/>
  <c r="AF398" i="7"/>
  <c r="AF399" i="7"/>
  <c r="AF400" i="7"/>
  <c r="AF401" i="7"/>
  <c r="AF402" i="7"/>
  <c r="AF403" i="7"/>
  <c r="AF404" i="7"/>
  <c r="AF405" i="7"/>
  <c r="AF406" i="7"/>
  <c r="AF407" i="7"/>
  <c r="AF408" i="7"/>
  <c r="AF409" i="7"/>
  <c r="AF410" i="7"/>
  <c r="AF411" i="7"/>
  <c r="AF412" i="7"/>
  <c r="AF413" i="7"/>
  <c r="AF414" i="7"/>
  <c r="AF415" i="7"/>
  <c r="AF416" i="7"/>
  <c r="AF417" i="7"/>
  <c r="AF418" i="7"/>
  <c r="AF419" i="7"/>
  <c r="AF420" i="7"/>
  <c r="AF421" i="7"/>
  <c r="AF422" i="7"/>
  <c r="AF423" i="7"/>
  <c r="AF424" i="7"/>
  <c r="AF425" i="7"/>
  <c r="AF426" i="7"/>
  <c r="AF427" i="7"/>
  <c r="AF428" i="7"/>
  <c r="AF429" i="7"/>
  <c r="AF430" i="7"/>
  <c r="AF431" i="7"/>
  <c r="AF432" i="7"/>
  <c r="AF433" i="7"/>
  <c r="AF434" i="7"/>
  <c r="AF435" i="7"/>
  <c r="AF436" i="7"/>
  <c r="AF437" i="7"/>
  <c r="AF438" i="7"/>
  <c r="AF439" i="7"/>
  <c r="AF440" i="7"/>
  <c r="AF441" i="7"/>
  <c r="AF442" i="7"/>
  <c r="AF443" i="7"/>
  <c r="AF444" i="7"/>
  <c r="AF445" i="7"/>
  <c r="AF446" i="7"/>
  <c r="AF447" i="7"/>
  <c r="AF448" i="7"/>
  <c r="AF449" i="7"/>
  <c r="AF450" i="7"/>
  <c r="AF451" i="7"/>
  <c r="AF452" i="7"/>
  <c r="AF453" i="7"/>
  <c r="AF454" i="7"/>
  <c r="AF455" i="7"/>
  <c r="AF456" i="7"/>
  <c r="AF457" i="7"/>
  <c r="AF458" i="7"/>
  <c r="AF459" i="7"/>
  <c r="AF460" i="7"/>
  <c r="AF461" i="7"/>
  <c r="AF462" i="7"/>
  <c r="AF463" i="7"/>
  <c r="AF464" i="7"/>
  <c r="AF465" i="7"/>
  <c r="AF466" i="7"/>
  <c r="AF467" i="7"/>
  <c r="AF468" i="7"/>
  <c r="AF469" i="7"/>
  <c r="AF470" i="7"/>
  <c r="AF471" i="7"/>
  <c r="AF472" i="7"/>
  <c r="AF473" i="7"/>
  <c r="AF474" i="7"/>
  <c r="AF475" i="7"/>
  <c r="AF476" i="7"/>
  <c r="AF477" i="7"/>
  <c r="AF478" i="7"/>
  <c r="AF479" i="7"/>
  <c r="AF480" i="7"/>
  <c r="AF481" i="7"/>
  <c r="AF482" i="7"/>
  <c r="AF483" i="7"/>
  <c r="AF484" i="7"/>
  <c r="AF485" i="7"/>
  <c r="AF486" i="7"/>
  <c r="AF487" i="7"/>
  <c r="AF488" i="7"/>
  <c r="AF489" i="7"/>
  <c r="AF490" i="7"/>
  <c r="AF491" i="7"/>
  <c r="AF492" i="7"/>
  <c r="AF493" i="7"/>
  <c r="AF494" i="7"/>
  <c r="AF495" i="7"/>
  <c r="AF496" i="7"/>
  <c r="AF497" i="7"/>
  <c r="AF498" i="7"/>
  <c r="AF499" i="7"/>
  <c r="AF500" i="7"/>
  <c r="AF501" i="7"/>
  <c r="AF502" i="7"/>
  <c r="AF503" i="7"/>
  <c r="AF504" i="7"/>
  <c r="AF505" i="7"/>
  <c r="AF506" i="7"/>
  <c r="AF507" i="7"/>
  <c r="AF508" i="7"/>
  <c r="AF509" i="7"/>
  <c r="AF510" i="7"/>
  <c r="AF511" i="7"/>
  <c r="AF512" i="7"/>
  <c r="AF513" i="7"/>
  <c r="AF514" i="7"/>
  <c r="AF515" i="7"/>
  <c r="AF516" i="7"/>
  <c r="AF517" i="7"/>
  <c r="AF518" i="7"/>
  <c r="AF519" i="7"/>
  <c r="AF520" i="7"/>
  <c r="AF521" i="7"/>
  <c r="AF522" i="7"/>
  <c r="AF523" i="7"/>
  <c r="AF524" i="7"/>
  <c r="AF525" i="7"/>
  <c r="AF526" i="7"/>
  <c r="AF527" i="7"/>
  <c r="AF528" i="7"/>
  <c r="AF529" i="7"/>
  <c r="AF530" i="7"/>
  <c r="AF531" i="7"/>
  <c r="AF532" i="7"/>
  <c r="AF533" i="7"/>
  <c r="AF534" i="7"/>
  <c r="AF535" i="7"/>
  <c r="AF536" i="7"/>
  <c r="AF537" i="7"/>
  <c r="AF538" i="7"/>
  <c r="AF539" i="7"/>
  <c r="AF540" i="7"/>
  <c r="AF541" i="7"/>
  <c r="AF542" i="7"/>
  <c r="AF543" i="7"/>
  <c r="AF544" i="7"/>
  <c r="AF545" i="7"/>
  <c r="AF546" i="7"/>
  <c r="AF547" i="7"/>
  <c r="AF548" i="7"/>
  <c r="AF549" i="7"/>
  <c r="AF550" i="7"/>
  <c r="AF551" i="7"/>
  <c r="AF552" i="7"/>
  <c r="AF553" i="7"/>
  <c r="AF554" i="7"/>
  <c r="AF555" i="7"/>
  <c r="AF556" i="7"/>
  <c r="AF557" i="7"/>
  <c r="AF558" i="7"/>
  <c r="AF559" i="7"/>
  <c r="AF560" i="7"/>
  <c r="AF561" i="7"/>
  <c r="AF562" i="7"/>
  <c r="AF563" i="7"/>
  <c r="AF564" i="7"/>
  <c r="AF565" i="7"/>
  <c r="AF566" i="7"/>
  <c r="AF567" i="7"/>
  <c r="AF568" i="7"/>
  <c r="AF569" i="7"/>
  <c r="AF570" i="7"/>
  <c r="AF571" i="7"/>
  <c r="AF572" i="7"/>
  <c r="AF573" i="7"/>
  <c r="AF574" i="7"/>
  <c r="AF575" i="7"/>
  <c r="AF576" i="7"/>
  <c r="AF577" i="7"/>
  <c r="AF578" i="7"/>
  <c r="AF579" i="7"/>
  <c r="AF580" i="7"/>
  <c r="AF581" i="7"/>
  <c r="AF582" i="7"/>
  <c r="AF583" i="7"/>
  <c r="AF584" i="7"/>
  <c r="AF585" i="7"/>
  <c r="AF586" i="7"/>
  <c r="AF587" i="7"/>
  <c r="AF588" i="7"/>
  <c r="AF589" i="7"/>
  <c r="AF590" i="7"/>
  <c r="AF591" i="7"/>
  <c r="AF592" i="7"/>
  <c r="AF593" i="7"/>
  <c r="AF594" i="7"/>
  <c r="AF595" i="7"/>
  <c r="AF596" i="7"/>
  <c r="AF597" i="7"/>
  <c r="AF598" i="7"/>
  <c r="AF599" i="7"/>
  <c r="AF600" i="7"/>
  <c r="AF601" i="7"/>
  <c r="AF602" i="7"/>
  <c r="AF603" i="7"/>
  <c r="AF604" i="7"/>
  <c r="AF605" i="7"/>
  <c r="AF606" i="7"/>
  <c r="AF607" i="7"/>
  <c r="AF608" i="7"/>
  <c r="AF609" i="7"/>
  <c r="AF610" i="7"/>
  <c r="AF611" i="7"/>
  <c r="AF612" i="7"/>
  <c r="AF613" i="7"/>
  <c r="AF614" i="7"/>
  <c r="AF615" i="7"/>
  <c r="AF616" i="7"/>
  <c r="AF617" i="7"/>
  <c r="AF618" i="7"/>
  <c r="AF619" i="7"/>
  <c r="AF620" i="7"/>
  <c r="AF621" i="7"/>
  <c r="AF622" i="7"/>
  <c r="AF623" i="7"/>
  <c r="AF624" i="7"/>
  <c r="AF625" i="7"/>
  <c r="AF626" i="7"/>
  <c r="AF627" i="7"/>
  <c r="AF628" i="7"/>
  <c r="AF629" i="7"/>
  <c r="AF630" i="7"/>
  <c r="AF631" i="7"/>
  <c r="AF632" i="7"/>
  <c r="AF633" i="7"/>
  <c r="AF634" i="7"/>
  <c r="AF635" i="7"/>
  <c r="AF636" i="7"/>
  <c r="AF637" i="7"/>
  <c r="AF638" i="7"/>
  <c r="AF639" i="7"/>
  <c r="AF640" i="7"/>
  <c r="AF641" i="7"/>
  <c r="AF642" i="7"/>
  <c r="AF643" i="7"/>
  <c r="AF644" i="7"/>
  <c r="AF645" i="7"/>
  <c r="AF646" i="7"/>
  <c r="AF647" i="7"/>
  <c r="AF648" i="7"/>
  <c r="AF649" i="7"/>
  <c r="AF650" i="7"/>
  <c r="AF651" i="7"/>
  <c r="AF652" i="7"/>
  <c r="AF653" i="7"/>
  <c r="AF654" i="7"/>
  <c r="AF655" i="7"/>
  <c r="AF656" i="7"/>
  <c r="AF657" i="7"/>
  <c r="AF658" i="7"/>
  <c r="AF659" i="7"/>
  <c r="AF660" i="7"/>
  <c r="AF661" i="7"/>
  <c r="AF662" i="7"/>
  <c r="AF663" i="7"/>
  <c r="AF664" i="7"/>
  <c r="AF665" i="7"/>
  <c r="AF666" i="7"/>
  <c r="AF667" i="7"/>
  <c r="AF668" i="7"/>
  <c r="AF669" i="7"/>
  <c r="AF670" i="7"/>
  <c r="AF671" i="7"/>
  <c r="AF672" i="7"/>
  <c r="AF673" i="7"/>
  <c r="AF674" i="7"/>
  <c r="AF675" i="7"/>
  <c r="AF676" i="7"/>
  <c r="AF677" i="7"/>
  <c r="AF678" i="7"/>
  <c r="AF679" i="7"/>
  <c r="AF680" i="7"/>
  <c r="AF681" i="7"/>
  <c r="AF682" i="7"/>
  <c r="AF683" i="7"/>
  <c r="AF684" i="7"/>
  <c r="AF685" i="7"/>
  <c r="AF686" i="7"/>
  <c r="AF687" i="7"/>
  <c r="AF688" i="7"/>
  <c r="AF689" i="7"/>
  <c r="AF690" i="7"/>
  <c r="AF691" i="7"/>
  <c r="AF692" i="7"/>
  <c r="AF693" i="7"/>
  <c r="AF694" i="7"/>
  <c r="AF695" i="7"/>
  <c r="AF696" i="7"/>
  <c r="AF697" i="7"/>
  <c r="AF698" i="7"/>
  <c r="AF699" i="7"/>
  <c r="AF700" i="7"/>
  <c r="AF701" i="7"/>
  <c r="AF702" i="7"/>
  <c r="AF703" i="7"/>
  <c r="AF704" i="7"/>
  <c r="AF705" i="7"/>
  <c r="AF706" i="7"/>
  <c r="AF707" i="7"/>
  <c r="AF708" i="7"/>
  <c r="AF709" i="7"/>
  <c r="AF710" i="7"/>
  <c r="AF711" i="7"/>
  <c r="AF712" i="7"/>
  <c r="AF713" i="7"/>
  <c r="AF714" i="7"/>
  <c r="AF715" i="7"/>
  <c r="AF716" i="7"/>
  <c r="AF717" i="7"/>
  <c r="AF718" i="7"/>
  <c r="AF719" i="7"/>
  <c r="AF720" i="7"/>
  <c r="AF721" i="7"/>
  <c r="AF722" i="7"/>
  <c r="AF723" i="7"/>
  <c r="AF724" i="7"/>
  <c r="AF725" i="7"/>
  <c r="AF726" i="7"/>
  <c r="AF727" i="7"/>
  <c r="AF728" i="7"/>
  <c r="AF729" i="7"/>
  <c r="AF730" i="7"/>
  <c r="AF731" i="7"/>
  <c r="AF732" i="7"/>
  <c r="AF733" i="7"/>
  <c r="AF734" i="7"/>
  <c r="AF735" i="7"/>
  <c r="AF736" i="7"/>
  <c r="AF737" i="7"/>
  <c r="AF738" i="7"/>
  <c r="AF739" i="7"/>
  <c r="AF740" i="7"/>
  <c r="AF741" i="7"/>
  <c r="AF742" i="7"/>
  <c r="AF743" i="7"/>
  <c r="AF744" i="7"/>
  <c r="AF745" i="7"/>
  <c r="AF746" i="7"/>
  <c r="AF747" i="7"/>
  <c r="AF748" i="7"/>
  <c r="AF749" i="7"/>
  <c r="AF750" i="7"/>
  <c r="AF751" i="7"/>
  <c r="AF752" i="7"/>
  <c r="AF753" i="7"/>
  <c r="AF754" i="7"/>
  <c r="AF755" i="7"/>
  <c r="AF756" i="7"/>
  <c r="AF757" i="7"/>
  <c r="AF758" i="7"/>
  <c r="AF759" i="7"/>
  <c r="AF760" i="7"/>
  <c r="AF761" i="7"/>
  <c r="AF762" i="7"/>
  <c r="AF763" i="7"/>
  <c r="AF764" i="7"/>
  <c r="AF765" i="7"/>
  <c r="AF766" i="7"/>
  <c r="AF767" i="7"/>
  <c r="AF768" i="7"/>
  <c r="AF769" i="7"/>
  <c r="AF770" i="7"/>
  <c r="AF771" i="7"/>
  <c r="AF772" i="7"/>
  <c r="AF773" i="7"/>
  <c r="AF774" i="7"/>
  <c r="AF775" i="7"/>
  <c r="AF776" i="7"/>
  <c r="AF777" i="7"/>
  <c r="AF778" i="7"/>
  <c r="AF779" i="7"/>
  <c r="AF780" i="7"/>
  <c r="AF781" i="7"/>
  <c r="AF782" i="7"/>
  <c r="AF783" i="7"/>
  <c r="AF784" i="7"/>
  <c r="AF785" i="7"/>
  <c r="AF786" i="7"/>
  <c r="AF787" i="7"/>
  <c r="AF788" i="7"/>
  <c r="AF789" i="7"/>
  <c r="AF790" i="7"/>
  <c r="AF791" i="7"/>
  <c r="AF792" i="7"/>
  <c r="AF793" i="7"/>
  <c r="AF794" i="7"/>
  <c r="AF795" i="7"/>
  <c r="AF796" i="7"/>
  <c r="AF797" i="7"/>
  <c r="AF798" i="7"/>
  <c r="AF799" i="7"/>
  <c r="AF800" i="7"/>
  <c r="AF801" i="7"/>
  <c r="AF802" i="7"/>
  <c r="AF803" i="7"/>
  <c r="AF804" i="7"/>
  <c r="AF805" i="7"/>
  <c r="AF806" i="7"/>
  <c r="AF807" i="7"/>
  <c r="AF808" i="7"/>
  <c r="AF809" i="7"/>
  <c r="AF810" i="7"/>
  <c r="AF811" i="7"/>
  <c r="AF812" i="7"/>
  <c r="AF813" i="7"/>
  <c r="AF814" i="7"/>
  <c r="AF815" i="7"/>
  <c r="AF816" i="7"/>
  <c r="AF817" i="7"/>
  <c r="AF818" i="7"/>
  <c r="AF819" i="7"/>
  <c r="AF820" i="7"/>
  <c r="AF821" i="7"/>
  <c r="AF822" i="7"/>
  <c r="AF823" i="7"/>
  <c r="AF824" i="7"/>
  <c r="AF825" i="7"/>
  <c r="AF826" i="7"/>
  <c r="AF827" i="7"/>
  <c r="AF828" i="7"/>
  <c r="AF829" i="7"/>
  <c r="AF830" i="7"/>
  <c r="AF831" i="7"/>
  <c r="AF832" i="7"/>
  <c r="AF833" i="7"/>
  <c r="AF834" i="7"/>
  <c r="AF835" i="7"/>
  <c r="AF836" i="7"/>
  <c r="AF837" i="7"/>
  <c r="AF838" i="7"/>
  <c r="AF839" i="7"/>
  <c r="AF840" i="7"/>
  <c r="AF841" i="7"/>
  <c r="AF842" i="7"/>
  <c r="AF843" i="7"/>
  <c r="AF844" i="7"/>
  <c r="AF845" i="7"/>
  <c r="AF846" i="7"/>
  <c r="AF847" i="7"/>
  <c r="AF848" i="7"/>
  <c r="AF849" i="7"/>
  <c r="AF850" i="7"/>
  <c r="AF851" i="7"/>
  <c r="AF852" i="7"/>
  <c r="AF853" i="7"/>
  <c r="AF854" i="7"/>
  <c r="AF855" i="7"/>
  <c r="AF856" i="7"/>
  <c r="AF857" i="7"/>
  <c r="AF858" i="7"/>
  <c r="AF859" i="7"/>
  <c r="AF860" i="7"/>
  <c r="AF861" i="7"/>
  <c r="AF862" i="7"/>
  <c r="AF863" i="7"/>
  <c r="AF864" i="7"/>
  <c r="AF865" i="7"/>
  <c r="AF866" i="7"/>
  <c r="AF867" i="7"/>
  <c r="AF868" i="7"/>
  <c r="AF869" i="7"/>
  <c r="AF870" i="7"/>
  <c r="AF871" i="7"/>
  <c r="AF872" i="7"/>
  <c r="AF873" i="7"/>
  <c r="AF874" i="7"/>
  <c r="AF875" i="7"/>
  <c r="AF876" i="7"/>
  <c r="AF877" i="7"/>
  <c r="AF878" i="7"/>
  <c r="AF879" i="7"/>
  <c r="AF880" i="7"/>
  <c r="AF881" i="7"/>
  <c r="AF882" i="7"/>
  <c r="AF883" i="7"/>
  <c r="AF884" i="7"/>
  <c r="AF885" i="7"/>
  <c r="AF886" i="7"/>
  <c r="AF887" i="7"/>
  <c r="AF888" i="7"/>
  <c r="AF889" i="7"/>
  <c r="AF890" i="7"/>
  <c r="AF891" i="7"/>
  <c r="AF892" i="7"/>
  <c r="AF893" i="7"/>
  <c r="AF894" i="7"/>
  <c r="AF895" i="7"/>
  <c r="AF896" i="7"/>
  <c r="AF897" i="7"/>
  <c r="AF898" i="7"/>
  <c r="AF899" i="7"/>
  <c r="AF900" i="7"/>
  <c r="AF901" i="7"/>
  <c r="AF902" i="7"/>
  <c r="AF903" i="7"/>
  <c r="AF904" i="7"/>
  <c r="AF905" i="7"/>
  <c r="AF906" i="7"/>
  <c r="AF907" i="7"/>
  <c r="AF908" i="7"/>
  <c r="AF909" i="7"/>
  <c r="AF910" i="7"/>
  <c r="AF911" i="7"/>
  <c r="AF912" i="7"/>
  <c r="AF913" i="7"/>
  <c r="AF914" i="7"/>
  <c r="AF915" i="7"/>
  <c r="AF916" i="7"/>
  <c r="AF917" i="7"/>
  <c r="AF918" i="7"/>
  <c r="AF919" i="7"/>
  <c r="AF920" i="7"/>
  <c r="AF921" i="7"/>
  <c r="AF922" i="7"/>
  <c r="AF923" i="7"/>
  <c r="AF924" i="7"/>
  <c r="AF925" i="7"/>
  <c r="AF926" i="7"/>
  <c r="AF927" i="7"/>
  <c r="AF928" i="7"/>
  <c r="AF929" i="7"/>
  <c r="AF930" i="7"/>
  <c r="AF931" i="7"/>
  <c r="AF932" i="7"/>
  <c r="AF933" i="7"/>
  <c r="AF934" i="7"/>
  <c r="AF935" i="7"/>
  <c r="AF936" i="7"/>
  <c r="AF937" i="7"/>
  <c r="AF938" i="7"/>
  <c r="AF939" i="7"/>
  <c r="AF940" i="7"/>
  <c r="AF941" i="7"/>
  <c r="AF942" i="7"/>
  <c r="AF943" i="7"/>
  <c r="AF944" i="7"/>
  <c r="AF945" i="7"/>
  <c r="AF946" i="7"/>
  <c r="AF947" i="7"/>
  <c r="AF948" i="7"/>
  <c r="AF949" i="7"/>
  <c r="AF950" i="7"/>
  <c r="AF951" i="7"/>
  <c r="AF952" i="7"/>
  <c r="AF953" i="7"/>
  <c r="AF954" i="7"/>
  <c r="AF955" i="7"/>
  <c r="AF956" i="7"/>
  <c r="AF957" i="7"/>
  <c r="AF958" i="7"/>
  <c r="AF959" i="7"/>
  <c r="AF960" i="7"/>
  <c r="AF961" i="7"/>
  <c r="AF962" i="7"/>
  <c r="AF963" i="7"/>
  <c r="AF964" i="7"/>
  <c r="AF965" i="7"/>
  <c r="AF966" i="7"/>
  <c r="AF967" i="7"/>
  <c r="AF968" i="7"/>
  <c r="AF969" i="7"/>
  <c r="AF970" i="7"/>
  <c r="AF971" i="7"/>
  <c r="AF972" i="7"/>
  <c r="AF973" i="7"/>
  <c r="AF974" i="7"/>
  <c r="AF975" i="7"/>
  <c r="AF976" i="7"/>
  <c r="AF977" i="7"/>
  <c r="AF978" i="7"/>
  <c r="AF979" i="7"/>
  <c r="AF980" i="7"/>
  <c r="AF981" i="7"/>
  <c r="AF982" i="7"/>
  <c r="AF983" i="7"/>
  <c r="AF984" i="7"/>
  <c r="AF985" i="7"/>
  <c r="AF986" i="7"/>
  <c r="AF987" i="7"/>
  <c r="AF988" i="7"/>
  <c r="AF989" i="7"/>
  <c r="AF990" i="7"/>
  <c r="AF991" i="7"/>
  <c r="AF992" i="7"/>
  <c r="AF993" i="7"/>
  <c r="AF994" i="7"/>
  <c r="AF995" i="7"/>
  <c r="AF996" i="7"/>
  <c r="AF997" i="7"/>
  <c r="AF998" i="7"/>
  <c r="AF999" i="7"/>
  <c r="AF1000" i="7"/>
  <c r="AF1001" i="7"/>
  <c r="AF1002" i="7"/>
  <c r="AF1003" i="7"/>
  <c r="AF1004" i="7"/>
  <c r="AF1005" i="7"/>
  <c r="AF1006" i="7"/>
  <c r="AF1007" i="7"/>
  <c r="AF1008" i="7"/>
  <c r="AF1009" i="7"/>
  <c r="AF1010" i="7"/>
  <c r="AF1011" i="7"/>
  <c r="AF1012" i="7"/>
  <c r="AF1013" i="7"/>
  <c r="AF1014" i="7"/>
  <c r="AF1015" i="7"/>
  <c r="AF1016" i="7"/>
  <c r="AF1017" i="7"/>
  <c r="AF1018" i="7"/>
  <c r="AF1019" i="7"/>
  <c r="AF1020" i="7"/>
  <c r="AF1021" i="7"/>
  <c r="AF1022" i="7"/>
  <c r="AF1023" i="7"/>
  <c r="AF1024" i="7"/>
  <c r="AF1025" i="7"/>
  <c r="AF1026" i="7"/>
  <c r="AF1027" i="7"/>
  <c r="AF1028" i="7"/>
  <c r="AF1029" i="7"/>
  <c r="AF1030" i="7"/>
  <c r="AF1031" i="7"/>
  <c r="AF1032" i="7"/>
  <c r="AF1033" i="7"/>
  <c r="AF1034" i="7"/>
  <c r="AF1035" i="7"/>
  <c r="AF1036" i="7"/>
  <c r="AF1037" i="7"/>
  <c r="AF1038" i="7"/>
  <c r="AF1039" i="7"/>
  <c r="AF1040" i="7"/>
  <c r="AF1041" i="7"/>
  <c r="AF1042" i="7"/>
  <c r="AF1043" i="7"/>
  <c r="AF1044" i="7"/>
  <c r="AF1045" i="7"/>
  <c r="AF1046" i="7"/>
  <c r="AF1047" i="7"/>
  <c r="AF1048" i="7"/>
  <c r="AF1049" i="7"/>
  <c r="AF1050" i="7"/>
  <c r="AF1051" i="7"/>
  <c r="AF1052" i="7"/>
  <c r="AF1053" i="7"/>
  <c r="AF1054" i="7"/>
  <c r="AF1055" i="7"/>
  <c r="AF1056" i="7"/>
  <c r="AF1057" i="7"/>
  <c r="AF1058" i="7"/>
  <c r="AF1059" i="7"/>
  <c r="AF1060" i="7"/>
  <c r="AF1061" i="7"/>
  <c r="AF1062" i="7"/>
  <c r="AF1063" i="7"/>
  <c r="AF1064" i="7"/>
  <c r="AF1065" i="7"/>
  <c r="AF1066" i="7"/>
  <c r="AF1067" i="7"/>
  <c r="AF1068" i="7"/>
  <c r="AF1069" i="7"/>
  <c r="AF1070" i="7"/>
  <c r="AF1071" i="7"/>
  <c r="AF1072" i="7"/>
  <c r="AF1073" i="7"/>
  <c r="AF1074" i="7"/>
  <c r="AF1075" i="7"/>
  <c r="AF1076" i="7"/>
  <c r="AF1077" i="7"/>
  <c r="AF1078" i="7"/>
  <c r="AF1079" i="7"/>
  <c r="AF1080" i="7"/>
  <c r="AF1081" i="7"/>
  <c r="AF1082" i="7"/>
  <c r="AF1083" i="7"/>
  <c r="AF1084" i="7"/>
  <c r="AF1085" i="7"/>
  <c r="AF1086" i="7"/>
  <c r="AF1087" i="7"/>
  <c r="AF1088" i="7"/>
  <c r="AF1089" i="7"/>
  <c r="AF1090" i="7"/>
  <c r="AF1091" i="7"/>
  <c r="AF1092" i="7"/>
  <c r="AF1093" i="7"/>
  <c r="AF1094" i="7"/>
  <c r="AF1095" i="7"/>
  <c r="AF1096" i="7"/>
  <c r="AF1097" i="7"/>
  <c r="AF1098" i="7"/>
  <c r="AF1099" i="7"/>
  <c r="AF1100" i="7"/>
  <c r="AF1101" i="7"/>
  <c r="AF1102" i="7"/>
  <c r="AF1103" i="7"/>
  <c r="AF1104" i="7"/>
  <c r="AF1105" i="7"/>
  <c r="AF1106" i="7"/>
  <c r="AF1107" i="7"/>
  <c r="AF1108" i="7"/>
  <c r="AF1109" i="7"/>
  <c r="AF1110" i="7"/>
  <c r="AF1111" i="7"/>
  <c r="AF1112" i="7"/>
  <c r="AF1113" i="7"/>
  <c r="AF1114" i="7"/>
  <c r="AF1115" i="7"/>
  <c r="AF1116" i="7"/>
  <c r="AF1117" i="7"/>
  <c r="AF1118" i="7"/>
  <c r="AF1119" i="7"/>
  <c r="AF1120" i="7"/>
  <c r="AF1121" i="7"/>
  <c r="AF1122" i="7"/>
  <c r="AF1123" i="7"/>
  <c r="AF1124" i="7"/>
  <c r="AF1125" i="7"/>
  <c r="AF1126" i="7"/>
  <c r="AF1127" i="7"/>
  <c r="AF1128" i="7"/>
  <c r="AF1129" i="7"/>
  <c r="AF1130" i="7"/>
  <c r="AF1131" i="7"/>
  <c r="AF1132" i="7"/>
  <c r="AF1133" i="7"/>
  <c r="AF1134" i="7"/>
  <c r="AF1135" i="7"/>
  <c r="AF1136" i="7"/>
  <c r="AF1137" i="7"/>
  <c r="AF1138" i="7"/>
  <c r="AF1139" i="7"/>
  <c r="AF1140" i="7"/>
  <c r="AF1141" i="7"/>
  <c r="AF1142" i="7"/>
  <c r="AF1143" i="7"/>
  <c r="AF1144" i="7"/>
  <c r="AF1145" i="7"/>
  <c r="AF1146" i="7"/>
  <c r="AF1147" i="7"/>
  <c r="AF1148" i="7"/>
  <c r="AF1149" i="7"/>
  <c r="AF1150" i="7"/>
  <c r="AF1151" i="7"/>
  <c r="AF1152" i="7"/>
  <c r="AF1153" i="7"/>
  <c r="AF1154" i="7"/>
  <c r="AF1155" i="7"/>
  <c r="AF1156" i="7"/>
  <c r="AF1157" i="7"/>
  <c r="AF1158" i="7"/>
  <c r="AF1159" i="7"/>
  <c r="AF1160" i="7"/>
  <c r="AF1161" i="7"/>
  <c r="AF1162" i="7"/>
  <c r="AF1163" i="7"/>
  <c r="AF1164" i="7"/>
  <c r="AF1165" i="7"/>
  <c r="AF1166" i="7"/>
  <c r="AF1167" i="7"/>
  <c r="AF1168" i="7"/>
  <c r="AF1169" i="7"/>
  <c r="AF1170" i="7"/>
  <c r="AF1171" i="7"/>
  <c r="AF1172" i="7"/>
  <c r="AF1173" i="7"/>
  <c r="AF1174" i="7"/>
  <c r="AF1175" i="7"/>
  <c r="AF1176" i="7"/>
  <c r="AF1177" i="7"/>
  <c r="AF1178" i="7"/>
  <c r="AF1179" i="7"/>
  <c r="AF1180" i="7"/>
  <c r="AF1181" i="7"/>
  <c r="AF1182" i="7"/>
  <c r="AF1183" i="7"/>
  <c r="AF1184" i="7"/>
  <c r="AF1185" i="7"/>
  <c r="AF1186" i="7"/>
  <c r="AF1187" i="7"/>
  <c r="AF1188" i="7"/>
  <c r="AF1189" i="7"/>
  <c r="AF1190" i="7"/>
  <c r="AF1191" i="7"/>
  <c r="AF1192" i="7"/>
  <c r="AF1193" i="7"/>
  <c r="AF1194" i="7"/>
  <c r="AF1195" i="7"/>
  <c r="AF1196" i="7"/>
  <c r="AF1197" i="7"/>
  <c r="AF1198" i="7"/>
  <c r="AF1199" i="7"/>
  <c r="AF1200" i="7"/>
  <c r="AF1201" i="7"/>
  <c r="AF1202" i="7"/>
  <c r="AF1203" i="7"/>
  <c r="AF1204" i="7"/>
  <c r="AF1205" i="7"/>
  <c r="AF1206" i="7"/>
  <c r="AF1207" i="7"/>
  <c r="AF1208" i="7"/>
  <c r="AF1209" i="7"/>
  <c r="AF1210" i="7"/>
  <c r="AF1211" i="7"/>
  <c r="AF1212" i="7"/>
  <c r="AF1213" i="7"/>
  <c r="AF1214" i="7"/>
  <c r="AF1215" i="7"/>
  <c r="AF1216" i="7"/>
  <c r="AF1217" i="7"/>
  <c r="AF1218" i="7"/>
  <c r="AF1219" i="7"/>
  <c r="AF1220" i="7"/>
  <c r="AF1221" i="7"/>
  <c r="AF1222" i="7"/>
  <c r="AF1223" i="7"/>
  <c r="AF1224" i="7"/>
  <c r="AF1225" i="7"/>
  <c r="AF1226" i="7"/>
  <c r="AF1227" i="7"/>
  <c r="AF1228" i="7"/>
  <c r="AF1229" i="7"/>
  <c r="AF1230" i="7"/>
  <c r="AF1231" i="7"/>
  <c r="AF1232" i="7"/>
  <c r="AF1233" i="7"/>
  <c r="AF1234" i="7"/>
  <c r="AF1235" i="7"/>
  <c r="AF1236" i="7"/>
  <c r="AF1237" i="7"/>
  <c r="AF1238" i="7"/>
  <c r="AF1239" i="7"/>
  <c r="AF1240" i="7"/>
  <c r="AF1241" i="7"/>
  <c r="AF1242" i="7"/>
  <c r="AF1243" i="7"/>
  <c r="AF1244" i="7"/>
  <c r="AF1245" i="7"/>
  <c r="AF1246" i="7"/>
  <c r="AF1247" i="7"/>
  <c r="AF1248" i="7"/>
  <c r="AF1249" i="7"/>
  <c r="AF1250" i="7"/>
  <c r="AF1251" i="7"/>
  <c r="AF1252" i="7"/>
  <c r="AF1253" i="7"/>
  <c r="AF1254" i="7"/>
  <c r="AF1255" i="7"/>
  <c r="AF1256" i="7"/>
  <c r="AF1257" i="7"/>
  <c r="AF1258" i="7"/>
  <c r="AF1259" i="7"/>
  <c r="AF1260" i="7"/>
  <c r="AF1261" i="7"/>
  <c r="AF1262" i="7"/>
  <c r="AF1263" i="7"/>
  <c r="AF1264" i="7"/>
  <c r="AF1265" i="7"/>
  <c r="AF1266" i="7"/>
  <c r="AF1267" i="7"/>
  <c r="AF1268" i="7"/>
  <c r="AF1269" i="7"/>
  <c r="AF1270" i="7"/>
  <c r="AF1271" i="7"/>
  <c r="AF1272" i="7"/>
  <c r="AF1273" i="7"/>
  <c r="AF1274" i="7"/>
  <c r="AF1275" i="7"/>
  <c r="AF1276" i="7"/>
  <c r="AF1277" i="7"/>
  <c r="AF1278" i="7"/>
  <c r="AF1279" i="7"/>
  <c r="AF1280" i="7"/>
  <c r="AF1281" i="7"/>
  <c r="AF1282" i="7"/>
  <c r="AF1283" i="7"/>
  <c r="AF1284" i="7"/>
  <c r="AF1285" i="7"/>
  <c r="AF1286" i="7"/>
  <c r="AF1287" i="7"/>
  <c r="AF1288" i="7"/>
  <c r="AF1289" i="7"/>
  <c r="AF1290" i="7"/>
  <c r="AF1291" i="7"/>
  <c r="AF1292" i="7"/>
  <c r="AF1293" i="7"/>
  <c r="AF1294" i="7"/>
  <c r="AF1295" i="7"/>
  <c r="AF1296" i="7"/>
  <c r="AF1297" i="7"/>
  <c r="AF1298" i="7"/>
  <c r="AF1299" i="7"/>
  <c r="AF1300" i="7"/>
  <c r="AF1301" i="7"/>
  <c r="AF1302" i="7"/>
  <c r="AF1303" i="7"/>
  <c r="AF1304" i="7"/>
  <c r="AF1305" i="7"/>
  <c r="AF1306" i="7"/>
  <c r="AF1307" i="7"/>
  <c r="AF1308" i="7"/>
  <c r="AF1309" i="7"/>
  <c r="AF1310" i="7"/>
  <c r="AF1311" i="7"/>
  <c r="AF1312" i="7"/>
  <c r="AF1313" i="7"/>
  <c r="AF1314" i="7"/>
  <c r="AF1315" i="7"/>
  <c r="AF1316" i="7"/>
  <c r="AF1317" i="7"/>
  <c r="AF1318" i="7"/>
  <c r="AF1319" i="7"/>
  <c r="AF1320" i="7"/>
  <c r="AF1321" i="7"/>
  <c r="AF1322" i="7"/>
  <c r="AF1323" i="7"/>
  <c r="AF1324" i="7"/>
  <c r="AF1325" i="7"/>
  <c r="AF1326" i="7"/>
  <c r="AF1327" i="7"/>
  <c r="AF1328" i="7"/>
  <c r="AF1329" i="7"/>
  <c r="AF1330" i="7"/>
  <c r="AF1331" i="7"/>
  <c r="AF1332" i="7"/>
  <c r="AF1333" i="7"/>
  <c r="AF1334" i="7"/>
  <c r="AF1335" i="7"/>
  <c r="AF1336" i="7"/>
  <c r="AF1337" i="7"/>
  <c r="AF1338" i="7"/>
  <c r="AF1339" i="7"/>
  <c r="AF1340" i="7"/>
  <c r="AF1341" i="7"/>
  <c r="AF1342" i="7"/>
  <c r="AF1343" i="7"/>
  <c r="AF1344" i="7"/>
  <c r="AF1345" i="7"/>
  <c r="AF1346" i="7"/>
  <c r="AF1347" i="7"/>
  <c r="AF1348" i="7"/>
  <c r="AF1349" i="7"/>
  <c r="AF1350" i="7"/>
  <c r="AF1351" i="7"/>
  <c r="AF1352" i="7"/>
  <c r="AF1353" i="7"/>
  <c r="AF1354" i="7"/>
  <c r="AF1355" i="7"/>
  <c r="AF1356" i="7"/>
  <c r="AF1357" i="7"/>
  <c r="AF1358" i="7"/>
  <c r="AF1359" i="7"/>
  <c r="AF1360" i="7"/>
  <c r="AF1361" i="7"/>
  <c r="AF1362" i="7"/>
  <c r="AF1363" i="7"/>
  <c r="AF1364" i="7"/>
  <c r="AF1365" i="7"/>
  <c r="AF1366" i="7"/>
  <c r="AF1367" i="7"/>
  <c r="AF1368" i="7"/>
  <c r="AF1369" i="7"/>
  <c r="AF1370" i="7"/>
  <c r="AF1371" i="7"/>
  <c r="AF1372" i="7"/>
  <c r="AF1373" i="7"/>
  <c r="AF1374" i="7"/>
  <c r="AF1375" i="7"/>
  <c r="AF1376" i="7"/>
  <c r="AF1377" i="7"/>
  <c r="AF1378" i="7"/>
  <c r="AF1379" i="7"/>
  <c r="AF1380" i="7"/>
  <c r="AF1381" i="7"/>
  <c r="AF1382" i="7"/>
  <c r="AF1383" i="7"/>
  <c r="AF1384" i="7"/>
  <c r="AF1385" i="7"/>
  <c r="AF1386" i="7"/>
  <c r="AF1387" i="7"/>
  <c r="AF1388" i="7"/>
  <c r="AF1389" i="7"/>
  <c r="AF1390" i="7"/>
  <c r="AF1391" i="7"/>
  <c r="AF1392" i="7"/>
  <c r="AF1393" i="7"/>
  <c r="AF1394" i="7"/>
  <c r="AF1395" i="7"/>
  <c r="AF1396" i="7"/>
  <c r="AF1397" i="7"/>
  <c r="AF1398" i="7"/>
  <c r="AF1399" i="7"/>
  <c r="AF1400" i="7"/>
  <c r="AF1401" i="7"/>
  <c r="AF1402" i="7"/>
  <c r="AF1403" i="7"/>
  <c r="AF1404" i="7"/>
  <c r="AF1405" i="7"/>
  <c r="AF1406" i="7"/>
  <c r="AF1407" i="7"/>
  <c r="AF1408" i="7"/>
  <c r="AF1409" i="7"/>
  <c r="AF1410" i="7"/>
  <c r="AF1411" i="7"/>
  <c r="AF1412" i="7"/>
  <c r="AF1413" i="7"/>
  <c r="AF1414" i="7"/>
  <c r="AF1415" i="7"/>
  <c r="AF1416" i="7"/>
  <c r="AF1417" i="7"/>
  <c r="AF1418" i="7"/>
  <c r="AF1419" i="7"/>
  <c r="AF1420" i="7"/>
  <c r="AF1421" i="7"/>
  <c r="AF1422" i="7"/>
  <c r="AF1423" i="7"/>
  <c r="AF1424" i="7"/>
  <c r="AF1425" i="7"/>
  <c r="AF1426" i="7"/>
  <c r="AF1427" i="7"/>
  <c r="AF1428" i="7"/>
  <c r="AF1429" i="7"/>
  <c r="AF1430" i="7"/>
  <c r="AF1431" i="7"/>
  <c r="AF1432" i="7"/>
  <c r="AF1433" i="7"/>
  <c r="AF1434" i="7"/>
  <c r="AF1435" i="7"/>
  <c r="AF1436" i="7"/>
  <c r="AF1437" i="7"/>
  <c r="AF1438" i="7"/>
  <c r="AF1439" i="7"/>
  <c r="AF1440" i="7"/>
  <c r="AF1441" i="7"/>
  <c r="AF1442" i="7"/>
  <c r="AF1443" i="7"/>
  <c r="AF1444" i="7"/>
  <c r="AF1445" i="7"/>
  <c r="AF1446" i="7"/>
  <c r="AF1447" i="7"/>
  <c r="AF1448" i="7"/>
  <c r="AF1449" i="7"/>
  <c r="AF1450" i="7"/>
  <c r="AF1451" i="7"/>
  <c r="AF1452" i="7"/>
  <c r="AF1453" i="7"/>
  <c r="AF1454" i="7"/>
  <c r="AF1455" i="7"/>
  <c r="AF1456" i="7"/>
  <c r="AF1457" i="7"/>
  <c r="AF1458" i="7"/>
  <c r="AF1459" i="7"/>
  <c r="AF1460" i="7"/>
  <c r="AF1461" i="7"/>
  <c r="AF1462" i="7"/>
  <c r="AF1463" i="7"/>
  <c r="AF1464" i="7"/>
  <c r="AF1465" i="7"/>
  <c r="AF1466" i="7"/>
  <c r="AF1467" i="7"/>
  <c r="AF1468" i="7"/>
  <c r="AF1469" i="7"/>
  <c r="AF1470" i="7"/>
  <c r="AF1471" i="7"/>
  <c r="AF2" i="7"/>
  <c r="AE3" i="7"/>
  <c r="AE4" i="7"/>
  <c r="AE5" i="7"/>
  <c r="AE6" i="7"/>
  <c r="AE7" i="7"/>
  <c r="AE8" i="7"/>
  <c r="AE9" i="7"/>
  <c r="AE10" i="7"/>
  <c r="AE11" i="7"/>
  <c r="AE12" i="7"/>
  <c r="AE13" i="7"/>
  <c r="AE14" i="7"/>
  <c r="AE15" i="7"/>
  <c r="AE16" i="7"/>
  <c r="AE17" i="7"/>
  <c r="AE18" i="7"/>
  <c r="AE19" i="7"/>
  <c r="AE20" i="7"/>
  <c r="AE21" i="7"/>
  <c r="AE22" i="7"/>
  <c r="AE23" i="7"/>
  <c r="AE24" i="7"/>
  <c r="AE25" i="7"/>
  <c r="AE26" i="7"/>
  <c r="AE27" i="7"/>
  <c r="AE28" i="7"/>
  <c r="AE29" i="7"/>
  <c r="AE30" i="7"/>
  <c r="AE31" i="7"/>
  <c r="AE32" i="7"/>
  <c r="AE33" i="7"/>
  <c r="AE34" i="7"/>
  <c r="AE35" i="7"/>
  <c r="AE36" i="7"/>
  <c r="AE37" i="7"/>
  <c r="AE38" i="7"/>
  <c r="AE39" i="7"/>
  <c r="AE40" i="7"/>
  <c r="AE41" i="7"/>
  <c r="AE42" i="7"/>
  <c r="AE43" i="7"/>
  <c r="AE44" i="7"/>
  <c r="AE45" i="7"/>
  <c r="AE46" i="7"/>
  <c r="AE47" i="7"/>
  <c r="AE48" i="7"/>
  <c r="AE49" i="7"/>
  <c r="AE50" i="7"/>
  <c r="AE51" i="7"/>
  <c r="AE52" i="7"/>
  <c r="AE53" i="7"/>
  <c r="AE54" i="7"/>
  <c r="AE55" i="7"/>
  <c r="AE56" i="7"/>
  <c r="AE57" i="7"/>
  <c r="AE58" i="7"/>
  <c r="AE59" i="7"/>
  <c r="AE60" i="7"/>
  <c r="AE61" i="7"/>
  <c r="AE62" i="7"/>
  <c r="AE63" i="7"/>
  <c r="AE64" i="7"/>
  <c r="AE65" i="7"/>
  <c r="AE66" i="7"/>
  <c r="AE67" i="7"/>
  <c r="AE68" i="7"/>
  <c r="AE69" i="7"/>
  <c r="AE70" i="7"/>
  <c r="AE71" i="7"/>
  <c r="AE72" i="7"/>
  <c r="AE73" i="7"/>
  <c r="AE74" i="7"/>
  <c r="AE75" i="7"/>
  <c r="AE76" i="7"/>
  <c r="AE77" i="7"/>
  <c r="AE78" i="7"/>
  <c r="AE79" i="7"/>
  <c r="AE80" i="7"/>
  <c r="AE81" i="7"/>
  <c r="AE82" i="7"/>
  <c r="AE83" i="7"/>
  <c r="AE84" i="7"/>
  <c r="AE85" i="7"/>
  <c r="AE86" i="7"/>
  <c r="AE87" i="7"/>
  <c r="AE88" i="7"/>
  <c r="AE89" i="7"/>
  <c r="AE90" i="7"/>
  <c r="AE91" i="7"/>
  <c r="AE92" i="7"/>
  <c r="AE93" i="7"/>
  <c r="AE94" i="7"/>
  <c r="AE95" i="7"/>
  <c r="AE96" i="7"/>
  <c r="AE97" i="7"/>
  <c r="AE98" i="7"/>
  <c r="AE99" i="7"/>
  <c r="AE100" i="7"/>
  <c r="AE101" i="7"/>
  <c r="AE102" i="7"/>
  <c r="AE103" i="7"/>
  <c r="B103" i="12" s="1"/>
  <c r="AE104" i="7"/>
  <c r="AE105" i="7"/>
  <c r="AE106" i="7"/>
  <c r="AE107" i="7"/>
  <c r="AE108" i="7"/>
  <c r="AE109" i="7"/>
  <c r="AE110" i="7"/>
  <c r="AE111" i="7"/>
  <c r="AE112" i="7"/>
  <c r="AE113" i="7"/>
  <c r="AE114" i="7"/>
  <c r="AE115" i="7"/>
  <c r="AE116" i="7"/>
  <c r="AE117" i="7"/>
  <c r="AE118" i="7"/>
  <c r="AE119" i="7"/>
  <c r="AE120" i="7"/>
  <c r="AE121" i="7"/>
  <c r="AE122" i="7"/>
  <c r="AE123" i="7"/>
  <c r="AE124" i="7"/>
  <c r="AE125" i="7"/>
  <c r="AE126" i="7"/>
  <c r="AE127" i="7"/>
  <c r="AE128" i="7"/>
  <c r="AE129" i="7"/>
  <c r="AE130" i="7"/>
  <c r="AE131" i="7"/>
  <c r="AE132" i="7"/>
  <c r="AE133" i="7"/>
  <c r="AE134" i="7"/>
  <c r="AE135" i="7"/>
  <c r="AE136" i="7"/>
  <c r="AE137" i="7"/>
  <c r="AE138" i="7"/>
  <c r="AE139" i="7"/>
  <c r="AE140" i="7"/>
  <c r="AE141" i="7"/>
  <c r="AE142" i="7"/>
  <c r="AE143" i="7"/>
  <c r="AE144" i="7"/>
  <c r="AE145" i="7"/>
  <c r="AE146" i="7"/>
  <c r="AE147" i="7"/>
  <c r="AE148" i="7"/>
  <c r="AE149" i="7"/>
  <c r="AE150" i="7"/>
  <c r="AE151" i="7"/>
  <c r="AE152" i="7"/>
  <c r="AE153" i="7"/>
  <c r="AE154" i="7"/>
  <c r="AE155" i="7"/>
  <c r="AE156" i="7"/>
  <c r="AE157" i="7"/>
  <c r="AE158" i="7"/>
  <c r="AE159" i="7"/>
  <c r="AE160" i="7"/>
  <c r="AE161" i="7"/>
  <c r="AE162" i="7"/>
  <c r="AE163" i="7"/>
  <c r="AE164" i="7"/>
  <c r="AE165" i="7"/>
  <c r="AE166" i="7"/>
  <c r="AE167" i="7"/>
  <c r="AE168" i="7"/>
  <c r="AE169" i="7"/>
  <c r="AE170" i="7"/>
  <c r="AE171" i="7"/>
  <c r="AE172" i="7"/>
  <c r="AE173" i="7"/>
  <c r="AE174" i="7"/>
  <c r="AE175" i="7"/>
  <c r="AE176" i="7"/>
  <c r="AE177" i="7"/>
  <c r="AE178" i="7"/>
  <c r="AE179" i="7"/>
  <c r="AE180" i="7"/>
  <c r="AE181" i="7"/>
  <c r="AE182" i="7"/>
  <c r="AE183" i="7"/>
  <c r="AE184" i="7"/>
  <c r="AE185" i="7"/>
  <c r="AE186" i="7"/>
  <c r="AE187" i="7"/>
  <c r="AE188" i="7"/>
  <c r="AE189" i="7"/>
  <c r="AE190" i="7"/>
  <c r="AE191" i="7"/>
  <c r="AE192" i="7"/>
  <c r="AE193" i="7"/>
  <c r="AE194" i="7"/>
  <c r="AE195" i="7"/>
  <c r="AE196" i="7"/>
  <c r="AE197" i="7"/>
  <c r="AE198" i="7"/>
  <c r="AE199" i="7"/>
  <c r="AE200" i="7"/>
  <c r="AE201" i="7"/>
  <c r="AE202" i="7"/>
  <c r="AE203" i="7"/>
  <c r="AE204" i="7"/>
  <c r="AE205" i="7"/>
  <c r="AE206" i="7"/>
  <c r="AE207" i="7"/>
  <c r="AE208" i="7"/>
  <c r="AE209" i="7"/>
  <c r="AE210" i="7"/>
  <c r="AE211" i="7"/>
  <c r="AE212" i="7"/>
  <c r="AE213" i="7"/>
  <c r="AE214" i="7"/>
  <c r="AE215" i="7"/>
  <c r="AE216" i="7"/>
  <c r="AE217" i="7"/>
  <c r="AE218" i="7"/>
  <c r="AE219" i="7"/>
  <c r="AE220" i="7"/>
  <c r="AE221" i="7"/>
  <c r="AE222" i="7"/>
  <c r="AE223" i="7"/>
  <c r="AE224" i="7"/>
  <c r="AE225" i="7"/>
  <c r="AE226" i="7"/>
  <c r="AE227" i="7"/>
  <c r="AE228" i="7"/>
  <c r="AE229" i="7"/>
  <c r="AE230" i="7"/>
  <c r="AE231" i="7"/>
  <c r="AE232" i="7"/>
  <c r="AE233" i="7"/>
  <c r="AE234" i="7"/>
  <c r="AE235" i="7"/>
  <c r="AE236" i="7"/>
  <c r="AE237" i="7"/>
  <c r="AE238" i="7"/>
  <c r="AE239" i="7"/>
  <c r="AE240" i="7"/>
  <c r="AE241" i="7"/>
  <c r="AE242" i="7"/>
  <c r="AE243" i="7"/>
  <c r="AE244" i="7"/>
  <c r="AE245" i="7"/>
  <c r="AE246" i="7"/>
  <c r="AE247" i="7"/>
  <c r="AE248" i="7"/>
  <c r="AE249" i="7"/>
  <c r="AE250" i="7"/>
  <c r="AE251" i="7"/>
  <c r="AE252" i="7"/>
  <c r="AE253" i="7"/>
  <c r="AE254" i="7"/>
  <c r="AE255" i="7"/>
  <c r="AE256" i="7"/>
  <c r="AE257" i="7"/>
  <c r="AE258" i="7"/>
  <c r="AE259" i="7"/>
  <c r="AE260" i="7"/>
  <c r="AE261" i="7"/>
  <c r="AE262" i="7"/>
  <c r="AE263" i="7"/>
  <c r="AE264" i="7"/>
  <c r="AE265" i="7"/>
  <c r="AE266" i="7"/>
  <c r="AE267" i="7"/>
  <c r="AE268" i="7"/>
  <c r="AE269" i="7"/>
  <c r="AE270" i="7"/>
  <c r="AE271" i="7"/>
  <c r="AE272" i="7"/>
  <c r="AE273" i="7"/>
  <c r="AE274" i="7"/>
  <c r="AE275" i="7"/>
  <c r="AE276" i="7"/>
  <c r="AE277" i="7"/>
  <c r="AE278" i="7"/>
  <c r="AE279" i="7"/>
  <c r="AE280" i="7"/>
  <c r="AE281" i="7"/>
  <c r="AE282" i="7"/>
  <c r="AE283" i="7"/>
  <c r="AE284" i="7"/>
  <c r="AE285" i="7"/>
  <c r="AE286" i="7"/>
  <c r="AE287" i="7"/>
  <c r="AE288" i="7"/>
  <c r="AE289" i="7"/>
  <c r="AE290" i="7"/>
  <c r="AE291" i="7"/>
  <c r="AE292" i="7"/>
  <c r="AE293" i="7"/>
  <c r="AE294" i="7"/>
  <c r="AE295" i="7"/>
  <c r="AE296" i="7"/>
  <c r="AE297" i="7"/>
  <c r="AE298" i="7"/>
  <c r="AE299" i="7"/>
  <c r="AE300" i="7"/>
  <c r="AE301" i="7"/>
  <c r="AE302" i="7"/>
  <c r="AE303" i="7"/>
  <c r="AE304" i="7"/>
  <c r="AE305" i="7"/>
  <c r="AE306" i="7"/>
  <c r="AE307" i="7"/>
  <c r="AE308" i="7"/>
  <c r="AE309" i="7"/>
  <c r="AE310" i="7"/>
  <c r="AE311" i="7"/>
  <c r="AE312" i="7"/>
  <c r="AE313" i="7"/>
  <c r="AE314" i="7"/>
  <c r="AE315" i="7"/>
  <c r="AE316" i="7"/>
  <c r="AE317" i="7"/>
  <c r="AE318" i="7"/>
  <c r="AE319" i="7"/>
  <c r="AE320" i="7"/>
  <c r="AE321" i="7"/>
  <c r="AE322" i="7"/>
  <c r="AE323" i="7"/>
  <c r="AE324" i="7"/>
  <c r="AE325" i="7"/>
  <c r="AE326" i="7"/>
  <c r="AE327" i="7"/>
  <c r="AE328" i="7"/>
  <c r="AE329" i="7"/>
  <c r="AE330" i="7"/>
  <c r="AE331" i="7"/>
  <c r="AE332" i="7"/>
  <c r="AE333" i="7"/>
  <c r="AE334" i="7"/>
  <c r="AE335" i="7"/>
  <c r="AE336" i="7"/>
  <c r="AE337" i="7"/>
  <c r="AE338" i="7"/>
  <c r="AE339" i="7"/>
  <c r="AE340" i="7"/>
  <c r="AE341" i="7"/>
  <c r="AE342" i="7"/>
  <c r="AE343" i="7"/>
  <c r="AE344" i="7"/>
  <c r="AE345" i="7"/>
  <c r="AE346" i="7"/>
  <c r="AE347" i="7"/>
  <c r="AE348" i="7"/>
  <c r="AE349" i="7"/>
  <c r="AE350" i="7"/>
  <c r="AE351" i="7"/>
  <c r="AE352" i="7"/>
  <c r="AE353" i="7"/>
  <c r="AE354" i="7"/>
  <c r="AE355" i="7"/>
  <c r="AE356" i="7"/>
  <c r="AE357" i="7"/>
  <c r="AE358" i="7"/>
  <c r="AE359" i="7"/>
  <c r="AE360" i="7"/>
  <c r="AE361" i="7"/>
  <c r="AE362" i="7"/>
  <c r="AE363" i="7"/>
  <c r="AE364" i="7"/>
  <c r="AE365" i="7"/>
  <c r="AE366" i="7"/>
  <c r="AE367" i="7"/>
  <c r="AE368" i="7"/>
  <c r="AE369" i="7"/>
  <c r="AE370" i="7"/>
  <c r="AE371" i="7"/>
  <c r="AE372" i="7"/>
  <c r="AE373" i="7"/>
  <c r="AE374" i="7"/>
  <c r="AE375" i="7"/>
  <c r="AE376" i="7"/>
  <c r="AE377" i="7"/>
  <c r="AE378" i="7"/>
  <c r="AE379" i="7"/>
  <c r="AE380" i="7"/>
  <c r="AE381" i="7"/>
  <c r="AE382" i="7"/>
  <c r="AE383" i="7"/>
  <c r="AE384" i="7"/>
  <c r="AE385" i="7"/>
  <c r="AE386" i="7"/>
  <c r="AE387" i="7"/>
  <c r="AE388" i="7"/>
  <c r="AE389" i="7"/>
  <c r="AE390" i="7"/>
  <c r="AE391" i="7"/>
  <c r="AE392" i="7"/>
  <c r="AE393" i="7"/>
  <c r="AE394" i="7"/>
  <c r="AE395" i="7"/>
  <c r="AE396" i="7"/>
  <c r="AE397" i="7"/>
  <c r="AE398" i="7"/>
  <c r="AE399" i="7"/>
  <c r="AE400" i="7"/>
  <c r="AE401" i="7"/>
  <c r="AE402" i="7"/>
  <c r="AE403" i="7"/>
  <c r="AE404" i="7"/>
  <c r="AE405" i="7"/>
  <c r="AE406" i="7"/>
  <c r="AE407" i="7"/>
  <c r="AE408" i="7"/>
  <c r="AE409" i="7"/>
  <c r="AE410" i="7"/>
  <c r="AE411" i="7"/>
  <c r="AE412" i="7"/>
  <c r="AE413" i="7"/>
  <c r="AE414" i="7"/>
  <c r="AE415" i="7"/>
  <c r="AE416" i="7"/>
  <c r="AE417" i="7"/>
  <c r="AE418" i="7"/>
  <c r="AE419" i="7"/>
  <c r="AE420" i="7"/>
  <c r="AE421" i="7"/>
  <c r="AE422" i="7"/>
  <c r="AE423" i="7"/>
  <c r="AE424" i="7"/>
  <c r="AE425" i="7"/>
  <c r="AE426" i="7"/>
  <c r="AE427" i="7"/>
  <c r="AE428" i="7"/>
  <c r="AE429" i="7"/>
  <c r="AE430" i="7"/>
  <c r="AE431" i="7"/>
  <c r="AE432" i="7"/>
  <c r="AE433" i="7"/>
  <c r="AE434" i="7"/>
  <c r="AE435" i="7"/>
  <c r="AE436" i="7"/>
  <c r="AE437" i="7"/>
  <c r="AE438" i="7"/>
  <c r="AE439" i="7"/>
  <c r="AE440" i="7"/>
  <c r="AE441" i="7"/>
  <c r="AE442" i="7"/>
  <c r="AE443" i="7"/>
  <c r="AE444" i="7"/>
  <c r="AE445" i="7"/>
  <c r="AE446" i="7"/>
  <c r="AE447" i="7"/>
  <c r="AE448" i="7"/>
  <c r="AE449" i="7"/>
  <c r="AE450" i="7"/>
  <c r="AE451" i="7"/>
  <c r="AE452" i="7"/>
  <c r="AE453" i="7"/>
  <c r="AE454" i="7"/>
  <c r="AE455" i="7"/>
  <c r="AE456" i="7"/>
  <c r="AE457" i="7"/>
  <c r="AE458" i="7"/>
  <c r="AE459" i="7"/>
  <c r="AE460" i="7"/>
  <c r="AE461" i="7"/>
  <c r="AE462" i="7"/>
  <c r="AE463" i="7"/>
  <c r="AE464" i="7"/>
  <c r="AE465" i="7"/>
  <c r="AE466" i="7"/>
  <c r="AE467" i="7"/>
  <c r="AE468" i="7"/>
  <c r="AE469" i="7"/>
  <c r="AE470" i="7"/>
  <c r="AE471" i="7"/>
  <c r="AE472" i="7"/>
  <c r="AE473" i="7"/>
  <c r="AE474" i="7"/>
  <c r="AE475" i="7"/>
  <c r="AE476" i="7"/>
  <c r="AE477" i="7"/>
  <c r="AE478" i="7"/>
  <c r="AE479" i="7"/>
  <c r="AE480" i="7"/>
  <c r="AE481" i="7"/>
  <c r="AE482" i="7"/>
  <c r="AE483" i="7"/>
  <c r="AE484" i="7"/>
  <c r="AE485" i="7"/>
  <c r="AE486" i="7"/>
  <c r="AE487" i="7"/>
  <c r="AE488" i="7"/>
  <c r="AE489" i="7"/>
  <c r="AE490" i="7"/>
  <c r="AE491" i="7"/>
  <c r="AE492" i="7"/>
  <c r="AE493" i="7"/>
  <c r="AE494" i="7"/>
  <c r="AE495" i="7"/>
  <c r="AE496" i="7"/>
  <c r="AE497" i="7"/>
  <c r="AE498" i="7"/>
  <c r="AE499" i="7"/>
  <c r="AE500" i="7"/>
  <c r="AE501" i="7"/>
  <c r="AE502" i="7"/>
  <c r="AE503" i="7"/>
  <c r="AE504" i="7"/>
  <c r="AE505" i="7"/>
  <c r="AE506" i="7"/>
  <c r="AE507" i="7"/>
  <c r="AE508" i="7"/>
  <c r="AE509" i="7"/>
  <c r="AE510" i="7"/>
  <c r="AE511" i="7"/>
  <c r="AE512" i="7"/>
  <c r="AE513" i="7"/>
  <c r="AE514" i="7"/>
  <c r="AE515" i="7"/>
  <c r="AE516" i="7"/>
  <c r="AE517" i="7"/>
  <c r="AE518" i="7"/>
  <c r="AE519" i="7"/>
  <c r="AE520" i="7"/>
  <c r="AE521" i="7"/>
  <c r="AE522" i="7"/>
  <c r="AE523" i="7"/>
  <c r="AE524" i="7"/>
  <c r="AE525" i="7"/>
  <c r="AE526" i="7"/>
  <c r="AE527" i="7"/>
  <c r="AE528" i="7"/>
  <c r="AE529" i="7"/>
  <c r="AE530" i="7"/>
  <c r="AE531" i="7"/>
  <c r="AE532" i="7"/>
  <c r="AE533" i="7"/>
  <c r="AE534" i="7"/>
  <c r="AE535" i="7"/>
  <c r="AE536" i="7"/>
  <c r="AE537" i="7"/>
  <c r="AE538" i="7"/>
  <c r="AE539" i="7"/>
  <c r="AE540" i="7"/>
  <c r="AE541" i="7"/>
  <c r="AE542" i="7"/>
  <c r="AE543" i="7"/>
  <c r="AE544" i="7"/>
  <c r="AE545" i="7"/>
  <c r="AE546" i="7"/>
  <c r="AE547" i="7"/>
  <c r="AE548" i="7"/>
  <c r="AE549" i="7"/>
  <c r="AE550" i="7"/>
  <c r="AE551" i="7"/>
  <c r="AE552" i="7"/>
  <c r="AE553" i="7"/>
  <c r="AE554" i="7"/>
  <c r="AE555" i="7"/>
  <c r="AE556" i="7"/>
  <c r="AE557" i="7"/>
  <c r="AE558" i="7"/>
  <c r="AE559" i="7"/>
  <c r="AE560" i="7"/>
  <c r="AE561" i="7"/>
  <c r="AE562" i="7"/>
  <c r="AE563" i="7"/>
  <c r="AE564" i="7"/>
  <c r="AE565" i="7"/>
  <c r="AE566" i="7"/>
  <c r="AE567" i="7"/>
  <c r="AE568" i="7"/>
  <c r="AE569" i="7"/>
  <c r="AE570" i="7"/>
  <c r="AE571" i="7"/>
  <c r="AE572" i="7"/>
  <c r="AE573" i="7"/>
  <c r="AE574" i="7"/>
  <c r="AE575" i="7"/>
  <c r="AE576" i="7"/>
  <c r="AE577" i="7"/>
  <c r="AE578" i="7"/>
  <c r="AE579" i="7"/>
  <c r="AE580" i="7"/>
  <c r="AE581" i="7"/>
  <c r="AE582" i="7"/>
  <c r="AE583" i="7"/>
  <c r="AE584" i="7"/>
  <c r="AE585" i="7"/>
  <c r="AE586" i="7"/>
  <c r="AE587" i="7"/>
  <c r="AE588" i="7"/>
  <c r="AE589" i="7"/>
  <c r="AE590" i="7"/>
  <c r="AE591" i="7"/>
  <c r="AE592" i="7"/>
  <c r="AE593" i="7"/>
  <c r="AE594" i="7"/>
  <c r="AE595" i="7"/>
  <c r="AE596" i="7"/>
  <c r="AE597" i="7"/>
  <c r="AE598" i="7"/>
  <c r="AE599" i="7"/>
  <c r="AE600" i="7"/>
  <c r="AE601" i="7"/>
  <c r="AE602" i="7"/>
  <c r="AE603" i="7"/>
  <c r="AE604" i="7"/>
  <c r="AE605" i="7"/>
  <c r="AE606" i="7"/>
  <c r="AE607" i="7"/>
  <c r="AE608" i="7"/>
  <c r="AE609" i="7"/>
  <c r="AE610" i="7"/>
  <c r="AE611" i="7"/>
  <c r="AE612" i="7"/>
  <c r="AE613" i="7"/>
  <c r="AE614" i="7"/>
  <c r="AE615" i="7"/>
  <c r="AE616" i="7"/>
  <c r="AE617" i="7"/>
  <c r="AE618" i="7"/>
  <c r="AE619" i="7"/>
  <c r="AE620" i="7"/>
  <c r="AE621" i="7"/>
  <c r="AE622" i="7"/>
  <c r="AE623" i="7"/>
  <c r="AE624" i="7"/>
  <c r="AE625" i="7"/>
  <c r="AE626" i="7"/>
  <c r="AE627" i="7"/>
  <c r="AE628" i="7"/>
  <c r="AE629" i="7"/>
  <c r="AE630" i="7"/>
  <c r="AE631" i="7"/>
  <c r="AE632" i="7"/>
  <c r="AE633" i="7"/>
  <c r="AE634" i="7"/>
  <c r="AE635" i="7"/>
  <c r="AE636" i="7"/>
  <c r="AE637" i="7"/>
  <c r="AE638" i="7"/>
  <c r="AE639" i="7"/>
  <c r="AE640" i="7"/>
  <c r="AE641" i="7"/>
  <c r="AE642" i="7"/>
  <c r="AE643" i="7"/>
  <c r="AE644" i="7"/>
  <c r="AE645" i="7"/>
  <c r="AE646" i="7"/>
  <c r="AE647" i="7"/>
  <c r="AE648" i="7"/>
  <c r="AE649" i="7"/>
  <c r="AE650" i="7"/>
  <c r="AE651" i="7"/>
  <c r="AE652" i="7"/>
  <c r="AE653" i="7"/>
  <c r="AE654" i="7"/>
  <c r="AE655" i="7"/>
  <c r="AE656" i="7"/>
  <c r="AE657" i="7"/>
  <c r="AE658" i="7"/>
  <c r="AE659" i="7"/>
  <c r="AE660" i="7"/>
  <c r="AE661" i="7"/>
  <c r="AE662" i="7"/>
  <c r="AE663" i="7"/>
  <c r="AE664" i="7"/>
  <c r="AE665" i="7"/>
  <c r="AE666" i="7"/>
  <c r="AE667" i="7"/>
  <c r="AE668" i="7"/>
  <c r="AE669" i="7"/>
  <c r="AE670" i="7"/>
  <c r="AE671" i="7"/>
  <c r="AE672" i="7"/>
  <c r="AE673" i="7"/>
  <c r="AE674" i="7"/>
  <c r="AE675" i="7"/>
  <c r="AE676" i="7"/>
  <c r="AE677" i="7"/>
  <c r="AE678" i="7"/>
  <c r="AE679" i="7"/>
  <c r="AE680" i="7"/>
  <c r="AE681" i="7"/>
  <c r="AE682" i="7"/>
  <c r="AE683" i="7"/>
  <c r="AE684" i="7"/>
  <c r="AE685" i="7"/>
  <c r="AE686" i="7"/>
  <c r="AE687" i="7"/>
  <c r="AE688" i="7"/>
  <c r="AE689" i="7"/>
  <c r="AE690" i="7"/>
  <c r="AE691" i="7"/>
  <c r="AE692" i="7"/>
  <c r="AE693" i="7"/>
  <c r="AE694" i="7"/>
  <c r="AE695" i="7"/>
  <c r="AE696" i="7"/>
  <c r="AE697" i="7"/>
  <c r="AE698" i="7"/>
  <c r="AE699" i="7"/>
  <c r="AE700" i="7"/>
  <c r="AE701" i="7"/>
  <c r="AE702" i="7"/>
  <c r="AE703" i="7"/>
  <c r="AE704" i="7"/>
  <c r="AE705" i="7"/>
  <c r="AE706" i="7"/>
  <c r="AE707" i="7"/>
  <c r="AE708" i="7"/>
  <c r="AE709" i="7"/>
  <c r="AE710" i="7"/>
  <c r="AE711" i="7"/>
  <c r="AE712" i="7"/>
  <c r="AE713" i="7"/>
  <c r="AE714" i="7"/>
  <c r="AE715" i="7"/>
  <c r="AE716" i="7"/>
  <c r="AE717" i="7"/>
  <c r="AE718" i="7"/>
  <c r="AE719" i="7"/>
  <c r="AE720" i="7"/>
  <c r="AE721" i="7"/>
  <c r="AE722" i="7"/>
  <c r="AE723" i="7"/>
  <c r="AE724" i="7"/>
  <c r="AE725" i="7"/>
  <c r="AE726" i="7"/>
  <c r="AE727" i="7"/>
  <c r="AE728" i="7"/>
  <c r="AE729" i="7"/>
  <c r="AE730" i="7"/>
  <c r="AE731" i="7"/>
  <c r="AE732" i="7"/>
  <c r="AE733" i="7"/>
  <c r="AE734" i="7"/>
  <c r="AE735" i="7"/>
  <c r="AE736" i="7"/>
  <c r="AE737" i="7"/>
  <c r="AE738" i="7"/>
  <c r="AE739" i="7"/>
  <c r="AE740" i="7"/>
  <c r="AE741" i="7"/>
  <c r="AE742" i="7"/>
  <c r="AE743" i="7"/>
  <c r="AE744" i="7"/>
  <c r="AE745" i="7"/>
  <c r="AE746" i="7"/>
  <c r="AE747" i="7"/>
  <c r="AE748" i="7"/>
  <c r="AE749" i="7"/>
  <c r="AE750" i="7"/>
  <c r="AE751" i="7"/>
  <c r="AE752" i="7"/>
  <c r="AE753" i="7"/>
  <c r="AE754" i="7"/>
  <c r="AE755" i="7"/>
  <c r="AE756" i="7"/>
  <c r="AE757" i="7"/>
  <c r="AE758" i="7"/>
  <c r="AE759" i="7"/>
  <c r="AE760" i="7"/>
  <c r="AE761" i="7"/>
  <c r="AE762" i="7"/>
  <c r="AE763" i="7"/>
  <c r="AE764" i="7"/>
  <c r="AE765" i="7"/>
  <c r="AE766" i="7"/>
  <c r="AE767" i="7"/>
  <c r="AE768" i="7"/>
  <c r="AE769" i="7"/>
  <c r="AE770" i="7"/>
  <c r="AE771" i="7"/>
  <c r="AE772" i="7"/>
  <c r="AE773" i="7"/>
  <c r="AE774" i="7"/>
  <c r="AE775" i="7"/>
  <c r="AE776" i="7"/>
  <c r="AE777" i="7"/>
  <c r="AE778" i="7"/>
  <c r="AE779" i="7"/>
  <c r="AE780" i="7"/>
  <c r="AE781" i="7"/>
  <c r="AE782" i="7"/>
  <c r="AE783" i="7"/>
  <c r="AE784" i="7"/>
  <c r="AE785" i="7"/>
  <c r="AE786" i="7"/>
  <c r="AE787" i="7"/>
  <c r="AE788" i="7"/>
  <c r="AE789" i="7"/>
  <c r="AE790" i="7"/>
  <c r="AE791" i="7"/>
  <c r="AE792" i="7"/>
  <c r="AE793" i="7"/>
  <c r="AE794" i="7"/>
  <c r="AE795" i="7"/>
  <c r="AE796" i="7"/>
  <c r="AE797" i="7"/>
  <c r="AE798" i="7"/>
  <c r="AE799" i="7"/>
  <c r="AE800" i="7"/>
  <c r="AE801" i="7"/>
  <c r="AE802" i="7"/>
  <c r="AE803" i="7"/>
  <c r="AE804" i="7"/>
  <c r="AE805" i="7"/>
  <c r="AE806" i="7"/>
  <c r="AE807" i="7"/>
  <c r="AE808" i="7"/>
  <c r="AE809" i="7"/>
  <c r="AE810" i="7"/>
  <c r="AE811" i="7"/>
  <c r="AE812" i="7"/>
  <c r="AE813" i="7"/>
  <c r="AE814" i="7"/>
  <c r="AE815" i="7"/>
  <c r="AE816" i="7"/>
  <c r="AE817" i="7"/>
  <c r="AE818" i="7"/>
  <c r="AE819" i="7"/>
  <c r="AE820" i="7"/>
  <c r="AE821" i="7"/>
  <c r="AE822" i="7"/>
  <c r="AE823" i="7"/>
  <c r="AE824" i="7"/>
  <c r="AE825" i="7"/>
  <c r="AE826" i="7"/>
  <c r="AE827" i="7"/>
  <c r="AE828" i="7"/>
  <c r="AE829" i="7"/>
  <c r="AE830" i="7"/>
  <c r="AE831" i="7"/>
  <c r="AE832" i="7"/>
  <c r="AE833" i="7"/>
  <c r="AE834" i="7"/>
  <c r="AE835" i="7"/>
  <c r="AE836" i="7"/>
  <c r="AE837" i="7"/>
  <c r="AE838" i="7"/>
  <c r="AE839" i="7"/>
  <c r="AE840" i="7"/>
  <c r="AE841" i="7"/>
  <c r="AE842" i="7"/>
  <c r="AE843" i="7"/>
  <c r="AE844" i="7"/>
  <c r="AE845" i="7"/>
  <c r="AE846" i="7"/>
  <c r="AE847" i="7"/>
  <c r="AE848" i="7"/>
  <c r="AE849" i="7"/>
  <c r="AE850" i="7"/>
  <c r="AE851" i="7"/>
  <c r="AE852" i="7"/>
  <c r="AE853" i="7"/>
  <c r="AE854" i="7"/>
  <c r="AE855" i="7"/>
  <c r="AE856" i="7"/>
  <c r="AE857" i="7"/>
  <c r="AE858" i="7"/>
  <c r="AE859" i="7"/>
  <c r="AE860" i="7"/>
  <c r="AE861" i="7"/>
  <c r="AE862" i="7"/>
  <c r="AE863" i="7"/>
  <c r="AE864" i="7"/>
  <c r="AE865" i="7"/>
  <c r="AE866" i="7"/>
  <c r="AE867" i="7"/>
  <c r="AE868" i="7"/>
  <c r="AE869" i="7"/>
  <c r="AE870" i="7"/>
  <c r="AE871" i="7"/>
  <c r="AE872" i="7"/>
  <c r="AE873" i="7"/>
  <c r="AE874" i="7"/>
  <c r="AE875" i="7"/>
  <c r="AE876" i="7"/>
  <c r="AE877" i="7"/>
  <c r="AE878" i="7"/>
  <c r="AE879" i="7"/>
  <c r="AE880" i="7"/>
  <c r="AE881" i="7"/>
  <c r="AE882" i="7"/>
  <c r="AE883" i="7"/>
  <c r="AE884" i="7"/>
  <c r="AE885" i="7"/>
  <c r="AE886" i="7"/>
  <c r="AE887" i="7"/>
  <c r="AE888" i="7"/>
  <c r="AE889" i="7"/>
  <c r="AE890" i="7"/>
  <c r="AE891" i="7"/>
  <c r="AE892" i="7"/>
  <c r="AE893" i="7"/>
  <c r="AE894" i="7"/>
  <c r="AE895" i="7"/>
  <c r="AE896" i="7"/>
  <c r="AE897" i="7"/>
  <c r="AE898" i="7"/>
  <c r="AE899" i="7"/>
  <c r="AE900" i="7"/>
  <c r="AE901" i="7"/>
  <c r="AE902" i="7"/>
  <c r="AE903" i="7"/>
  <c r="AE904" i="7"/>
  <c r="AE905" i="7"/>
  <c r="AE906" i="7"/>
  <c r="AE907" i="7"/>
  <c r="AE908" i="7"/>
  <c r="AE909" i="7"/>
  <c r="AE910" i="7"/>
  <c r="AE911" i="7"/>
  <c r="AE912" i="7"/>
  <c r="AE913" i="7"/>
  <c r="AE914" i="7"/>
  <c r="AE915" i="7"/>
  <c r="AE916" i="7"/>
  <c r="AE917" i="7"/>
  <c r="AE918" i="7"/>
  <c r="AE919" i="7"/>
  <c r="AE920" i="7"/>
  <c r="AE921" i="7"/>
  <c r="AE922" i="7"/>
  <c r="AE923" i="7"/>
  <c r="AE924" i="7"/>
  <c r="AE925" i="7"/>
  <c r="AE926" i="7"/>
  <c r="AE927" i="7"/>
  <c r="AE928" i="7"/>
  <c r="AE929" i="7"/>
  <c r="AE930" i="7"/>
  <c r="AE931" i="7"/>
  <c r="AE932" i="7"/>
  <c r="AE933" i="7"/>
  <c r="AE934" i="7"/>
  <c r="AE935" i="7"/>
  <c r="AE936" i="7"/>
  <c r="AE937" i="7"/>
  <c r="AE938" i="7"/>
  <c r="AE939" i="7"/>
  <c r="AE940" i="7"/>
  <c r="AE941" i="7"/>
  <c r="AE942" i="7"/>
  <c r="AE943" i="7"/>
  <c r="AE944" i="7"/>
  <c r="AE945" i="7"/>
  <c r="AE946" i="7"/>
  <c r="AE947" i="7"/>
  <c r="AE948" i="7"/>
  <c r="AE949" i="7"/>
  <c r="AE950" i="7"/>
  <c r="AE951" i="7"/>
  <c r="AE952" i="7"/>
  <c r="AE953" i="7"/>
  <c r="AE954" i="7"/>
  <c r="AE955" i="7"/>
  <c r="AE956" i="7"/>
  <c r="AE957" i="7"/>
  <c r="AE958" i="7"/>
  <c r="AE959" i="7"/>
  <c r="AE960" i="7"/>
  <c r="AE961" i="7"/>
  <c r="AE962" i="7"/>
  <c r="AE963" i="7"/>
  <c r="AE964" i="7"/>
  <c r="AE965" i="7"/>
  <c r="AE966" i="7"/>
  <c r="AE967" i="7"/>
  <c r="AE968" i="7"/>
  <c r="AE969" i="7"/>
  <c r="AE970" i="7"/>
  <c r="AE971" i="7"/>
  <c r="AE972" i="7"/>
  <c r="AE973" i="7"/>
  <c r="AE974" i="7"/>
  <c r="AE975" i="7"/>
  <c r="AE976" i="7"/>
  <c r="AE977" i="7"/>
  <c r="AE978" i="7"/>
  <c r="AE979" i="7"/>
  <c r="AE980" i="7"/>
  <c r="AE981" i="7"/>
  <c r="AE982" i="7"/>
  <c r="AE983" i="7"/>
  <c r="AE984" i="7"/>
  <c r="AE985" i="7"/>
  <c r="AE986" i="7"/>
  <c r="AE987" i="7"/>
  <c r="AE988" i="7"/>
  <c r="AE989" i="7"/>
  <c r="AE990" i="7"/>
  <c r="AE991" i="7"/>
  <c r="AE992" i="7"/>
  <c r="AE993" i="7"/>
  <c r="AE994" i="7"/>
  <c r="AE995" i="7"/>
  <c r="AE996" i="7"/>
  <c r="AE997" i="7"/>
  <c r="AE998" i="7"/>
  <c r="AE999" i="7"/>
  <c r="AE1000" i="7"/>
  <c r="AE1001" i="7"/>
  <c r="AE1002" i="7"/>
  <c r="AE1003" i="7"/>
  <c r="AE1004" i="7"/>
  <c r="AE1005" i="7"/>
  <c r="AE1006" i="7"/>
  <c r="AE1007" i="7"/>
  <c r="AE1008" i="7"/>
  <c r="AE1009" i="7"/>
  <c r="AE1010" i="7"/>
  <c r="AE1011" i="7"/>
  <c r="AE1012" i="7"/>
  <c r="AE1013" i="7"/>
  <c r="AE1014" i="7"/>
  <c r="AE1015" i="7"/>
  <c r="AE1016" i="7"/>
  <c r="AE1017" i="7"/>
  <c r="AE1018" i="7"/>
  <c r="AE1019" i="7"/>
  <c r="AE1020" i="7"/>
  <c r="AE1021" i="7"/>
  <c r="AE1022" i="7"/>
  <c r="AE1023" i="7"/>
  <c r="AE1024" i="7"/>
  <c r="AE1025" i="7"/>
  <c r="AE1026" i="7"/>
  <c r="AE1027" i="7"/>
  <c r="AE1028" i="7"/>
  <c r="AE1029" i="7"/>
  <c r="AE1030" i="7"/>
  <c r="AE1031" i="7"/>
  <c r="AE1032" i="7"/>
  <c r="AE1033" i="7"/>
  <c r="AE1034" i="7"/>
  <c r="AE1035" i="7"/>
  <c r="AE1036" i="7"/>
  <c r="AE1037" i="7"/>
  <c r="AE1038" i="7"/>
  <c r="AE1039" i="7"/>
  <c r="AE1040" i="7"/>
  <c r="AE1041" i="7"/>
  <c r="AE1042" i="7"/>
  <c r="AE1043" i="7"/>
  <c r="AE1044" i="7"/>
  <c r="AE1045" i="7"/>
  <c r="AE1046" i="7"/>
  <c r="AE1047" i="7"/>
  <c r="AE1048" i="7"/>
  <c r="AE1049" i="7"/>
  <c r="AE1050" i="7"/>
  <c r="AE1051" i="7"/>
  <c r="AE1052" i="7"/>
  <c r="AE1053" i="7"/>
  <c r="AE1054" i="7"/>
  <c r="AE1055" i="7"/>
  <c r="AE1056" i="7"/>
  <c r="AE1057" i="7"/>
  <c r="AE1058" i="7"/>
  <c r="AE1059" i="7"/>
  <c r="AE1060" i="7"/>
  <c r="AE1061" i="7"/>
  <c r="AE1062" i="7"/>
  <c r="AE1063" i="7"/>
  <c r="AE1064" i="7"/>
  <c r="AE1065" i="7"/>
  <c r="AE1066" i="7"/>
  <c r="AE1067" i="7"/>
  <c r="AE1068" i="7"/>
  <c r="AE1069" i="7"/>
  <c r="AE1070" i="7"/>
  <c r="AE1071" i="7"/>
  <c r="AE1072" i="7"/>
  <c r="AE1073" i="7"/>
  <c r="AE1074" i="7"/>
  <c r="AE1075" i="7"/>
  <c r="AE1076" i="7"/>
  <c r="AE1077" i="7"/>
  <c r="AE1078" i="7"/>
  <c r="AE1079" i="7"/>
  <c r="AE1080" i="7"/>
  <c r="AE1081" i="7"/>
  <c r="AE1082" i="7"/>
  <c r="AE1083" i="7"/>
  <c r="AE1084" i="7"/>
  <c r="AE1085" i="7"/>
  <c r="AE1086" i="7"/>
  <c r="AE1087" i="7"/>
  <c r="AE1088" i="7"/>
  <c r="AE1089" i="7"/>
  <c r="AE1090" i="7"/>
  <c r="AE1091" i="7"/>
  <c r="AE1092" i="7"/>
  <c r="AE1093" i="7"/>
  <c r="AE1094" i="7"/>
  <c r="AE1095" i="7"/>
  <c r="AE1096" i="7"/>
  <c r="AE1097" i="7"/>
  <c r="AE1098" i="7"/>
  <c r="AE1099" i="7"/>
  <c r="AE1100" i="7"/>
  <c r="AE1101" i="7"/>
  <c r="AE1102" i="7"/>
  <c r="AE1103" i="7"/>
  <c r="AE1104" i="7"/>
  <c r="AE1105" i="7"/>
  <c r="AE1106" i="7"/>
  <c r="AE1107" i="7"/>
  <c r="AE1108" i="7"/>
  <c r="AE1109" i="7"/>
  <c r="AE1110" i="7"/>
  <c r="AE1111" i="7"/>
  <c r="AE1112" i="7"/>
  <c r="AE1113" i="7"/>
  <c r="AE1114" i="7"/>
  <c r="AE1115" i="7"/>
  <c r="AE1116" i="7"/>
  <c r="AE1117" i="7"/>
  <c r="AE1118" i="7"/>
  <c r="AE1119" i="7"/>
  <c r="AE1120" i="7"/>
  <c r="AE1121" i="7"/>
  <c r="AE1122" i="7"/>
  <c r="AE1123" i="7"/>
  <c r="AE1124" i="7"/>
  <c r="AE1125" i="7"/>
  <c r="AE1126" i="7"/>
  <c r="AE1127" i="7"/>
  <c r="AE1128" i="7"/>
  <c r="AE1129" i="7"/>
  <c r="AE1130" i="7"/>
  <c r="AE1131" i="7"/>
  <c r="AE1132" i="7"/>
  <c r="AE1133" i="7"/>
  <c r="AE1134" i="7"/>
  <c r="AE1135" i="7"/>
  <c r="AE1136" i="7"/>
  <c r="AE1137" i="7"/>
  <c r="AE1138" i="7"/>
  <c r="AE1139" i="7"/>
  <c r="AE1140" i="7"/>
  <c r="AE1141" i="7"/>
  <c r="AE1142" i="7"/>
  <c r="AE1143" i="7"/>
  <c r="AE1144" i="7"/>
  <c r="AE1145" i="7"/>
  <c r="AE1146" i="7"/>
  <c r="AE1147" i="7"/>
  <c r="AE1148" i="7"/>
  <c r="AE1149" i="7"/>
  <c r="AE1150" i="7"/>
  <c r="AE1151" i="7"/>
  <c r="AE1152" i="7"/>
  <c r="AE1153" i="7"/>
  <c r="AE1154" i="7"/>
  <c r="AE1155" i="7"/>
  <c r="AE1156" i="7"/>
  <c r="AE1157" i="7"/>
  <c r="AE1158" i="7"/>
  <c r="AE1159" i="7"/>
  <c r="AE1160" i="7"/>
  <c r="AE1161" i="7"/>
  <c r="AE1162" i="7"/>
  <c r="AE1163" i="7"/>
  <c r="AE1164" i="7"/>
  <c r="AE1165" i="7"/>
  <c r="AE1166" i="7"/>
  <c r="AE1167" i="7"/>
  <c r="AE1168" i="7"/>
  <c r="AE1169" i="7"/>
  <c r="AE1170" i="7"/>
  <c r="AE1171" i="7"/>
  <c r="AE1172" i="7"/>
  <c r="AE1173" i="7"/>
  <c r="AE1174" i="7"/>
  <c r="AE1175" i="7"/>
  <c r="AE1176" i="7"/>
  <c r="AE1177" i="7"/>
  <c r="AE1178" i="7"/>
  <c r="AE1179" i="7"/>
  <c r="AE1180" i="7"/>
  <c r="AE1181" i="7"/>
  <c r="AE1182" i="7"/>
  <c r="AE1183" i="7"/>
  <c r="AE1184" i="7"/>
  <c r="AE1185" i="7"/>
  <c r="AE1186" i="7"/>
  <c r="AE1187" i="7"/>
  <c r="AE1188" i="7"/>
  <c r="AE1189" i="7"/>
  <c r="AE1190" i="7"/>
  <c r="AE1191" i="7"/>
  <c r="AE1192" i="7"/>
  <c r="AE1193" i="7"/>
  <c r="AE1194" i="7"/>
  <c r="AE1195" i="7"/>
  <c r="AE1196" i="7"/>
  <c r="AE1197" i="7"/>
  <c r="AE1198" i="7"/>
  <c r="AE1199" i="7"/>
  <c r="AE1200" i="7"/>
  <c r="AE1201" i="7"/>
  <c r="AE1202" i="7"/>
  <c r="AE1203" i="7"/>
  <c r="AE1204" i="7"/>
  <c r="AE1205" i="7"/>
  <c r="AE1206" i="7"/>
  <c r="AE1207" i="7"/>
  <c r="AE1208" i="7"/>
  <c r="AE1209" i="7"/>
  <c r="AE1210" i="7"/>
  <c r="AE1211" i="7"/>
  <c r="AE1212" i="7"/>
  <c r="AE1213" i="7"/>
  <c r="AE1214" i="7"/>
  <c r="AE1215" i="7"/>
  <c r="AE1216" i="7"/>
  <c r="AE1217" i="7"/>
  <c r="AE1218" i="7"/>
  <c r="AE1219" i="7"/>
  <c r="AE1220" i="7"/>
  <c r="AE1221" i="7"/>
  <c r="AE1222" i="7"/>
  <c r="AE1223" i="7"/>
  <c r="AE1224" i="7"/>
  <c r="AE1225" i="7"/>
  <c r="AE1226" i="7"/>
  <c r="AE1227" i="7"/>
  <c r="AE1228" i="7"/>
  <c r="AE1229" i="7"/>
  <c r="AE1230" i="7"/>
  <c r="AE1231" i="7"/>
  <c r="AE1232" i="7"/>
  <c r="AE1233" i="7"/>
  <c r="AE1234" i="7"/>
  <c r="AE1235" i="7"/>
  <c r="AE1236" i="7"/>
  <c r="AE1237" i="7"/>
  <c r="AE1238" i="7"/>
  <c r="AE1239" i="7"/>
  <c r="AE1240" i="7"/>
  <c r="AE1241" i="7"/>
  <c r="AE1242" i="7"/>
  <c r="AE1243" i="7"/>
  <c r="AE1244" i="7"/>
  <c r="AE1245" i="7"/>
  <c r="AE1246" i="7"/>
  <c r="AE1247" i="7"/>
  <c r="AE1248" i="7"/>
  <c r="AE1249" i="7"/>
  <c r="AE1250" i="7"/>
  <c r="AE1251" i="7"/>
  <c r="AE1252" i="7"/>
  <c r="AE1253" i="7"/>
  <c r="AE1254" i="7"/>
  <c r="AE1255" i="7"/>
  <c r="AE1256" i="7"/>
  <c r="AE1257" i="7"/>
  <c r="AE1258" i="7"/>
  <c r="AE1259" i="7"/>
  <c r="AE1260" i="7"/>
  <c r="AE1261" i="7"/>
  <c r="AE1262" i="7"/>
  <c r="AE1263" i="7"/>
  <c r="AE1264" i="7"/>
  <c r="AE1265" i="7"/>
  <c r="AE1266" i="7"/>
  <c r="AE1267" i="7"/>
  <c r="AE1268" i="7"/>
  <c r="AE1269" i="7"/>
  <c r="AE1270" i="7"/>
  <c r="AE1271" i="7"/>
  <c r="AE1272" i="7"/>
  <c r="AE1273" i="7"/>
  <c r="AE1274" i="7"/>
  <c r="AE1275" i="7"/>
  <c r="AE1276" i="7"/>
  <c r="AE1277" i="7"/>
  <c r="AE1278" i="7"/>
  <c r="AE1279" i="7"/>
  <c r="AE1280" i="7"/>
  <c r="AE1281" i="7"/>
  <c r="AE1282" i="7"/>
  <c r="AE1283" i="7"/>
  <c r="AE1284" i="7"/>
  <c r="AE1285" i="7"/>
  <c r="AE1286" i="7"/>
  <c r="AE1287" i="7"/>
  <c r="AE1288" i="7"/>
  <c r="AE1289" i="7"/>
  <c r="AE1290" i="7"/>
  <c r="AE1291" i="7"/>
  <c r="AE1292" i="7"/>
  <c r="AE1293" i="7"/>
  <c r="AE1294" i="7"/>
  <c r="AE1295" i="7"/>
  <c r="AE1296" i="7"/>
  <c r="AE1297" i="7"/>
  <c r="AE1298" i="7"/>
  <c r="AE1299" i="7"/>
  <c r="AE1300" i="7"/>
  <c r="AE1301" i="7"/>
  <c r="AE1302" i="7"/>
  <c r="AE1303" i="7"/>
  <c r="AE1304" i="7"/>
  <c r="AE1305" i="7"/>
  <c r="AE1306" i="7"/>
  <c r="AE1307" i="7"/>
  <c r="AE1308" i="7"/>
  <c r="AE1309" i="7"/>
  <c r="AE1310" i="7"/>
  <c r="AE1311" i="7"/>
  <c r="AE1312" i="7"/>
  <c r="AE1313" i="7"/>
  <c r="AE1314" i="7"/>
  <c r="AE1315" i="7"/>
  <c r="AE1316" i="7"/>
  <c r="AE1317" i="7"/>
  <c r="AE1318" i="7"/>
  <c r="AE1319" i="7"/>
  <c r="AE1320" i="7"/>
  <c r="AE1321" i="7"/>
  <c r="AE1322" i="7"/>
  <c r="AE1323" i="7"/>
  <c r="AE1324" i="7"/>
  <c r="AE1325" i="7"/>
  <c r="AE1326" i="7"/>
  <c r="AE1327" i="7"/>
  <c r="AE1328" i="7"/>
  <c r="AE1329" i="7"/>
  <c r="AE1330" i="7"/>
  <c r="AE1331" i="7"/>
  <c r="AE1332" i="7"/>
  <c r="AE1333" i="7"/>
  <c r="AE1334" i="7"/>
  <c r="AE1335" i="7"/>
  <c r="AE1336" i="7"/>
  <c r="AE1337" i="7"/>
  <c r="AE1338" i="7"/>
  <c r="AE1339" i="7"/>
  <c r="AE1340" i="7"/>
  <c r="AE1341" i="7"/>
  <c r="AE1342" i="7"/>
  <c r="AE1343" i="7"/>
  <c r="AE1344" i="7"/>
  <c r="AE1345" i="7"/>
  <c r="AE1346" i="7"/>
  <c r="AE1347" i="7"/>
  <c r="AE1348" i="7"/>
  <c r="AE1349" i="7"/>
  <c r="AE1350" i="7"/>
  <c r="AE1351" i="7"/>
  <c r="AE1352" i="7"/>
  <c r="AE1353" i="7"/>
  <c r="AE1354" i="7"/>
  <c r="AE1355" i="7"/>
  <c r="AE1356" i="7"/>
  <c r="AE1357" i="7"/>
  <c r="AE1358" i="7"/>
  <c r="AE1359" i="7"/>
  <c r="AE1360" i="7"/>
  <c r="AE1361" i="7"/>
  <c r="AE1362" i="7"/>
  <c r="AE1363" i="7"/>
  <c r="AE1364" i="7"/>
  <c r="AE1365" i="7"/>
  <c r="AE1366" i="7"/>
  <c r="AE1367" i="7"/>
  <c r="AE1368" i="7"/>
  <c r="AE1369" i="7"/>
  <c r="AE1370" i="7"/>
  <c r="AE1371" i="7"/>
  <c r="AE1372" i="7"/>
  <c r="AE1373" i="7"/>
  <c r="AE1374" i="7"/>
  <c r="AE1375" i="7"/>
  <c r="AE1376" i="7"/>
  <c r="AE1377" i="7"/>
  <c r="AE1378" i="7"/>
  <c r="AE1379" i="7"/>
  <c r="AE1380" i="7"/>
  <c r="AE1381" i="7"/>
  <c r="AE1382" i="7"/>
  <c r="AE1383" i="7"/>
  <c r="AE1384" i="7"/>
  <c r="AE1385" i="7"/>
  <c r="AE1386" i="7"/>
  <c r="AE1387" i="7"/>
  <c r="AE1388" i="7"/>
  <c r="AE1389" i="7"/>
  <c r="AE1390" i="7"/>
  <c r="AE1391" i="7"/>
  <c r="AE1392" i="7"/>
  <c r="AE1393" i="7"/>
  <c r="AE1394" i="7"/>
  <c r="AE1395" i="7"/>
  <c r="AE1396" i="7"/>
  <c r="AE1397" i="7"/>
  <c r="AE1398" i="7"/>
  <c r="AE1399" i="7"/>
  <c r="AE1400" i="7"/>
  <c r="AE1401" i="7"/>
  <c r="AE1402" i="7"/>
  <c r="AE1403" i="7"/>
  <c r="AE1404" i="7"/>
  <c r="AE1405" i="7"/>
  <c r="AE1406" i="7"/>
  <c r="AE1407" i="7"/>
  <c r="AE1408" i="7"/>
  <c r="AE1409" i="7"/>
  <c r="AE1410" i="7"/>
  <c r="AE1411" i="7"/>
  <c r="AE1412" i="7"/>
  <c r="AE1413" i="7"/>
  <c r="AE1414" i="7"/>
  <c r="AE1415" i="7"/>
  <c r="AE1416" i="7"/>
  <c r="AE1417" i="7"/>
  <c r="AE1418" i="7"/>
  <c r="AE1419" i="7"/>
  <c r="AE1420" i="7"/>
  <c r="AE1421" i="7"/>
  <c r="AE1422" i="7"/>
  <c r="AE1423" i="7"/>
  <c r="AE1424" i="7"/>
  <c r="AE1425" i="7"/>
  <c r="AE1426" i="7"/>
  <c r="AE1427" i="7"/>
  <c r="AE1428" i="7"/>
  <c r="AE1429" i="7"/>
  <c r="AE1430" i="7"/>
  <c r="AE1431" i="7"/>
  <c r="AE1432" i="7"/>
  <c r="AE1433" i="7"/>
  <c r="AE1434" i="7"/>
  <c r="AE1435" i="7"/>
  <c r="AE1436" i="7"/>
  <c r="AE1437" i="7"/>
  <c r="AE1438" i="7"/>
  <c r="AE1439" i="7"/>
  <c r="AE1440" i="7"/>
  <c r="AE1441" i="7"/>
  <c r="AE1442" i="7"/>
  <c r="AE1443" i="7"/>
  <c r="AE1444" i="7"/>
  <c r="AE1445" i="7"/>
  <c r="AE1446" i="7"/>
  <c r="AE1447" i="7"/>
  <c r="AE1448" i="7"/>
  <c r="AE1449" i="7"/>
  <c r="AE1450" i="7"/>
  <c r="AE1451" i="7"/>
  <c r="AE1452" i="7"/>
  <c r="AE1453" i="7"/>
  <c r="AE1454" i="7"/>
  <c r="AE1455" i="7"/>
  <c r="AE1456" i="7"/>
  <c r="AE1457" i="7"/>
  <c r="AE1458" i="7"/>
  <c r="AE1459" i="7"/>
  <c r="AE1460" i="7"/>
  <c r="AE1461" i="7"/>
  <c r="AE1462" i="7"/>
  <c r="AE1463" i="7"/>
  <c r="AE1464" i="7"/>
  <c r="AE1465" i="7"/>
  <c r="AE1466" i="7"/>
  <c r="AE1467" i="7"/>
  <c r="AE1468" i="7"/>
  <c r="AE1469" i="7"/>
  <c r="AE1470" i="7"/>
  <c r="AE1471" i="7"/>
  <c r="AE2" i="7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B100" i="12" s="1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767" i="7"/>
  <c r="AD768" i="7"/>
  <c r="AD769" i="7"/>
  <c r="AD770" i="7"/>
  <c r="AD771" i="7"/>
  <c r="AD772" i="7"/>
  <c r="AD773" i="7"/>
  <c r="AD774" i="7"/>
  <c r="AD775" i="7"/>
  <c r="AD776" i="7"/>
  <c r="AD777" i="7"/>
  <c r="AD778" i="7"/>
  <c r="AD779" i="7"/>
  <c r="AD780" i="7"/>
  <c r="AD781" i="7"/>
  <c r="AD782" i="7"/>
  <c r="AD783" i="7"/>
  <c r="AD784" i="7"/>
  <c r="AD785" i="7"/>
  <c r="AD786" i="7"/>
  <c r="AD787" i="7"/>
  <c r="AD788" i="7"/>
  <c r="AD789" i="7"/>
  <c r="AD790" i="7"/>
  <c r="AD791" i="7"/>
  <c r="AD792" i="7"/>
  <c r="AD793" i="7"/>
  <c r="AD794" i="7"/>
  <c r="AD795" i="7"/>
  <c r="AD796" i="7"/>
  <c r="AD797" i="7"/>
  <c r="AD798" i="7"/>
  <c r="AD799" i="7"/>
  <c r="AD800" i="7"/>
  <c r="AD801" i="7"/>
  <c r="AD802" i="7"/>
  <c r="AD803" i="7"/>
  <c r="AD804" i="7"/>
  <c r="AD805" i="7"/>
  <c r="AD806" i="7"/>
  <c r="AD807" i="7"/>
  <c r="AD808" i="7"/>
  <c r="AD809" i="7"/>
  <c r="AD810" i="7"/>
  <c r="AD811" i="7"/>
  <c r="AD812" i="7"/>
  <c r="AD813" i="7"/>
  <c r="AD814" i="7"/>
  <c r="AD815" i="7"/>
  <c r="AD816" i="7"/>
  <c r="AD817" i="7"/>
  <c r="AD818" i="7"/>
  <c r="AD819" i="7"/>
  <c r="AD820" i="7"/>
  <c r="AD821" i="7"/>
  <c r="AD822" i="7"/>
  <c r="AD823" i="7"/>
  <c r="AD824" i="7"/>
  <c r="AD825" i="7"/>
  <c r="AD826" i="7"/>
  <c r="AD827" i="7"/>
  <c r="AD828" i="7"/>
  <c r="AD829" i="7"/>
  <c r="AD830" i="7"/>
  <c r="AD831" i="7"/>
  <c r="AD832" i="7"/>
  <c r="AD833" i="7"/>
  <c r="AD834" i="7"/>
  <c r="AD835" i="7"/>
  <c r="AD836" i="7"/>
  <c r="AD837" i="7"/>
  <c r="AD838" i="7"/>
  <c r="AD839" i="7"/>
  <c r="AD840" i="7"/>
  <c r="AD841" i="7"/>
  <c r="AD842" i="7"/>
  <c r="AD843" i="7"/>
  <c r="AD844" i="7"/>
  <c r="AD845" i="7"/>
  <c r="AD846" i="7"/>
  <c r="AD847" i="7"/>
  <c r="AD848" i="7"/>
  <c r="AD849" i="7"/>
  <c r="AD850" i="7"/>
  <c r="AD851" i="7"/>
  <c r="AD852" i="7"/>
  <c r="AD853" i="7"/>
  <c r="AD854" i="7"/>
  <c r="AD855" i="7"/>
  <c r="AD856" i="7"/>
  <c r="AD857" i="7"/>
  <c r="AD858" i="7"/>
  <c r="AD859" i="7"/>
  <c r="AD860" i="7"/>
  <c r="AD861" i="7"/>
  <c r="AD862" i="7"/>
  <c r="AD863" i="7"/>
  <c r="AD864" i="7"/>
  <c r="AD865" i="7"/>
  <c r="AD866" i="7"/>
  <c r="AD867" i="7"/>
  <c r="AD868" i="7"/>
  <c r="AD869" i="7"/>
  <c r="AD870" i="7"/>
  <c r="AD871" i="7"/>
  <c r="AD872" i="7"/>
  <c r="AD873" i="7"/>
  <c r="AD874" i="7"/>
  <c r="AD875" i="7"/>
  <c r="AD876" i="7"/>
  <c r="AD877" i="7"/>
  <c r="AD878" i="7"/>
  <c r="AD879" i="7"/>
  <c r="AD880" i="7"/>
  <c r="AD881" i="7"/>
  <c r="AD882" i="7"/>
  <c r="AD883" i="7"/>
  <c r="AD884" i="7"/>
  <c r="AD885" i="7"/>
  <c r="AD886" i="7"/>
  <c r="AD887" i="7"/>
  <c r="AD888" i="7"/>
  <c r="AD889" i="7"/>
  <c r="AD890" i="7"/>
  <c r="AD891" i="7"/>
  <c r="AD892" i="7"/>
  <c r="AD893" i="7"/>
  <c r="AD894" i="7"/>
  <c r="AD895" i="7"/>
  <c r="AD896" i="7"/>
  <c r="AD897" i="7"/>
  <c r="AD898" i="7"/>
  <c r="AD899" i="7"/>
  <c r="AD900" i="7"/>
  <c r="AD901" i="7"/>
  <c r="AD902" i="7"/>
  <c r="AD903" i="7"/>
  <c r="AD904" i="7"/>
  <c r="AD905" i="7"/>
  <c r="AD906" i="7"/>
  <c r="AD907" i="7"/>
  <c r="AD908" i="7"/>
  <c r="AD909" i="7"/>
  <c r="AD910" i="7"/>
  <c r="AD911" i="7"/>
  <c r="AD912" i="7"/>
  <c r="AD913" i="7"/>
  <c r="AD914" i="7"/>
  <c r="AD915" i="7"/>
  <c r="AD916" i="7"/>
  <c r="AD917" i="7"/>
  <c r="AD918" i="7"/>
  <c r="AD919" i="7"/>
  <c r="AD920" i="7"/>
  <c r="AD921" i="7"/>
  <c r="AD922" i="7"/>
  <c r="AD923" i="7"/>
  <c r="AD924" i="7"/>
  <c r="AD925" i="7"/>
  <c r="AD926" i="7"/>
  <c r="AD927" i="7"/>
  <c r="AD928" i="7"/>
  <c r="AD929" i="7"/>
  <c r="AD930" i="7"/>
  <c r="AD931" i="7"/>
  <c r="AD932" i="7"/>
  <c r="AD933" i="7"/>
  <c r="AD934" i="7"/>
  <c r="AD935" i="7"/>
  <c r="AD936" i="7"/>
  <c r="AD937" i="7"/>
  <c r="AD938" i="7"/>
  <c r="AD939" i="7"/>
  <c r="AD940" i="7"/>
  <c r="AD941" i="7"/>
  <c r="AD942" i="7"/>
  <c r="AD943" i="7"/>
  <c r="AD944" i="7"/>
  <c r="AD945" i="7"/>
  <c r="AD946" i="7"/>
  <c r="AD947" i="7"/>
  <c r="AD948" i="7"/>
  <c r="AD949" i="7"/>
  <c r="AD950" i="7"/>
  <c r="AD951" i="7"/>
  <c r="AD952" i="7"/>
  <c r="AD953" i="7"/>
  <c r="AD954" i="7"/>
  <c r="AD955" i="7"/>
  <c r="AD956" i="7"/>
  <c r="AD957" i="7"/>
  <c r="AD958" i="7"/>
  <c r="AD959" i="7"/>
  <c r="AD960" i="7"/>
  <c r="AD961" i="7"/>
  <c r="AD962" i="7"/>
  <c r="AD963" i="7"/>
  <c r="AD964" i="7"/>
  <c r="AD965" i="7"/>
  <c r="AD966" i="7"/>
  <c r="AD967" i="7"/>
  <c r="AD968" i="7"/>
  <c r="AD969" i="7"/>
  <c r="AD970" i="7"/>
  <c r="AD971" i="7"/>
  <c r="AD972" i="7"/>
  <c r="AD973" i="7"/>
  <c r="AD974" i="7"/>
  <c r="AD975" i="7"/>
  <c r="AD976" i="7"/>
  <c r="AD977" i="7"/>
  <c r="AD978" i="7"/>
  <c r="AD979" i="7"/>
  <c r="AD980" i="7"/>
  <c r="AD981" i="7"/>
  <c r="AD982" i="7"/>
  <c r="AD983" i="7"/>
  <c r="AD984" i="7"/>
  <c r="AD985" i="7"/>
  <c r="AD986" i="7"/>
  <c r="AD987" i="7"/>
  <c r="AD988" i="7"/>
  <c r="AD989" i="7"/>
  <c r="AD990" i="7"/>
  <c r="AD991" i="7"/>
  <c r="AD992" i="7"/>
  <c r="AD993" i="7"/>
  <c r="AD994" i="7"/>
  <c r="AD995" i="7"/>
  <c r="AD996" i="7"/>
  <c r="AD997" i="7"/>
  <c r="AD998" i="7"/>
  <c r="AD999" i="7"/>
  <c r="AD1000" i="7"/>
  <c r="AD1001" i="7"/>
  <c r="AD1002" i="7"/>
  <c r="AD1003" i="7"/>
  <c r="AD1004" i="7"/>
  <c r="AD1005" i="7"/>
  <c r="AD1006" i="7"/>
  <c r="AD1007" i="7"/>
  <c r="AD1008" i="7"/>
  <c r="AD1009" i="7"/>
  <c r="AD1010" i="7"/>
  <c r="AD1011" i="7"/>
  <c r="AD1012" i="7"/>
  <c r="AD1013" i="7"/>
  <c r="AD1014" i="7"/>
  <c r="AD1015" i="7"/>
  <c r="AD1016" i="7"/>
  <c r="AD1017" i="7"/>
  <c r="AD1018" i="7"/>
  <c r="AD1019" i="7"/>
  <c r="AD1020" i="7"/>
  <c r="AD1021" i="7"/>
  <c r="AD1022" i="7"/>
  <c r="AD1023" i="7"/>
  <c r="AD1024" i="7"/>
  <c r="AD1025" i="7"/>
  <c r="AD1026" i="7"/>
  <c r="AD1027" i="7"/>
  <c r="AD1028" i="7"/>
  <c r="AD1029" i="7"/>
  <c r="AD1030" i="7"/>
  <c r="AD1031" i="7"/>
  <c r="AD1032" i="7"/>
  <c r="AD1033" i="7"/>
  <c r="AD1034" i="7"/>
  <c r="AD1035" i="7"/>
  <c r="AD1036" i="7"/>
  <c r="AD1037" i="7"/>
  <c r="AD1038" i="7"/>
  <c r="AD1039" i="7"/>
  <c r="AD1040" i="7"/>
  <c r="AD1041" i="7"/>
  <c r="AD1042" i="7"/>
  <c r="AD1043" i="7"/>
  <c r="AD1044" i="7"/>
  <c r="AD1045" i="7"/>
  <c r="AD1046" i="7"/>
  <c r="AD1047" i="7"/>
  <c r="AD1048" i="7"/>
  <c r="AD1049" i="7"/>
  <c r="AD1050" i="7"/>
  <c r="AD1051" i="7"/>
  <c r="AD1052" i="7"/>
  <c r="AD1053" i="7"/>
  <c r="AD1054" i="7"/>
  <c r="AD1055" i="7"/>
  <c r="AD1056" i="7"/>
  <c r="AD1057" i="7"/>
  <c r="AD1058" i="7"/>
  <c r="AD1059" i="7"/>
  <c r="AD1060" i="7"/>
  <c r="AD1061" i="7"/>
  <c r="AD1062" i="7"/>
  <c r="AD1063" i="7"/>
  <c r="AD1064" i="7"/>
  <c r="AD1065" i="7"/>
  <c r="AD1066" i="7"/>
  <c r="AD1067" i="7"/>
  <c r="AD1068" i="7"/>
  <c r="AD1069" i="7"/>
  <c r="AD1070" i="7"/>
  <c r="AD1071" i="7"/>
  <c r="AD1072" i="7"/>
  <c r="AD1073" i="7"/>
  <c r="AD1074" i="7"/>
  <c r="AD1075" i="7"/>
  <c r="AD1076" i="7"/>
  <c r="AD1077" i="7"/>
  <c r="AD1078" i="7"/>
  <c r="AD1079" i="7"/>
  <c r="AD1080" i="7"/>
  <c r="AD1081" i="7"/>
  <c r="AD1082" i="7"/>
  <c r="AD1083" i="7"/>
  <c r="AD1084" i="7"/>
  <c r="AD1085" i="7"/>
  <c r="AD1086" i="7"/>
  <c r="AD1087" i="7"/>
  <c r="AD1088" i="7"/>
  <c r="AD1089" i="7"/>
  <c r="AD1090" i="7"/>
  <c r="AD1091" i="7"/>
  <c r="AD1092" i="7"/>
  <c r="AD1093" i="7"/>
  <c r="AD1094" i="7"/>
  <c r="AD1095" i="7"/>
  <c r="AD1096" i="7"/>
  <c r="AD1097" i="7"/>
  <c r="AD1098" i="7"/>
  <c r="AD1099" i="7"/>
  <c r="AD1100" i="7"/>
  <c r="AD1101" i="7"/>
  <c r="AD1102" i="7"/>
  <c r="AD1103" i="7"/>
  <c r="AD1104" i="7"/>
  <c r="AD1105" i="7"/>
  <c r="AD1106" i="7"/>
  <c r="AD1107" i="7"/>
  <c r="AD1108" i="7"/>
  <c r="AD1109" i="7"/>
  <c r="AD1110" i="7"/>
  <c r="AD1111" i="7"/>
  <c r="AD1112" i="7"/>
  <c r="AD1113" i="7"/>
  <c r="AD1114" i="7"/>
  <c r="AD1115" i="7"/>
  <c r="AD1116" i="7"/>
  <c r="AD1117" i="7"/>
  <c r="AD1118" i="7"/>
  <c r="AD1119" i="7"/>
  <c r="AD1120" i="7"/>
  <c r="AD1121" i="7"/>
  <c r="AD1122" i="7"/>
  <c r="AD1123" i="7"/>
  <c r="AD1124" i="7"/>
  <c r="AD1125" i="7"/>
  <c r="AD1126" i="7"/>
  <c r="AD1127" i="7"/>
  <c r="AD1128" i="7"/>
  <c r="AD1129" i="7"/>
  <c r="AD1130" i="7"/>
  <c r="AD1131" i="7"/>
  <c r="AD1132" i="7"/>
  <c r="AD1133" i="7"/>
  <c r="AD1134" i="7"/>
  <c r="AD1135" i="7"/>
  <c r="AD1136" i="7"/>
  <c r="AD1137" i="7"/>
  <c r="AD1138" i="7"/>
  <c r="AD1139" i="7"/>
  <c r="AD1140" i="7"/>
  <c r="AD1141" i="7"/>
  <c r="AD1142" i="7"/>
  <c r="AD1143" i="7"/>
  <c r="AD1144" i="7"/>
  <c r="AD1145" i="7"/>
  <c r="AD1146" i="7"/>
  <c r="AD1147" i="7"/>
  <c r="AD1148" i="7"/>
  <c r="AD1149" i="7"/>
  <c r="AD1150" i="7"/>
  <c r="AD1151" i="7"/>
  <c r="AD1152" i="7"/>
  <c r="AD1153" i="7"/>
  <c r="AD1154" i="7"/>
  <c r="AD1155" i="7"/>
  <c r="AD1156" i="7"/>
  <c r="AD1157" i="7"/>
  <c r="AD1158" i="7"/>
  <c r="AD1159" i="7"/>
  <c r="AD1160" i="7"/>
  <c r="AD1161" i="7"/>
  <c r="AD1162" i="7"/>
  <c r="AD1163" i="7"/>
  <c r="AD1164" i="7"/>
  <c r="AD1165" i="7"/>
  <c r="AD1166" i="7"/>
  <c r="AD1167" i="7"/>
  <c r="AD1168" i="7"/>
  <c r="AD1169" i="7"/>
  <c r="AD1170" i="7"/>
  <c r="AD1171" i="7"/>
  <c r="AD1172" i="7"/>
  <c r="AD1173" i="7"/>
  <c r="AD1174" i="7"/>
  <c r="AD1175" i="7"/>
  <c r="AD1176" i="7"/>
  <c r="AD1177" i="7"/>
  <c r="AD1178" i="7"/>
  <c r="AD1179" i="7"/>
  <c r="AD1180" i="7"/>
  <c r="AD1181" i="7"/>
  <c r="AD1182" i="7"/>
  <c r="AD1183" i="7"/>
  <c r="AD1184" i="7"/>
  <c r="AD1185" i="7"/>
  <c r="AD1186" i="7"/>
  <c r="AD1187" i="7"/>
  <c r="AD1188" i="7"/>
  <c r="AD1189" i="7"/>
  <c r="AD1190" i="7"/>
  <c r="AD1191" i="7"/>
  <c r="AD1192" i="7"/>
  <c r="AD1193" i="7"/>
  <c r="AD1194" i="7"/>
  <c r="AD1195" i="7"/>
  <c r="AD1196" i="7"/>
  <c r="AD1197" i="7"/>
  <c r="AD1198" i="7"/>
  <c r="AD1199" i="7"/>
  <c r="AD1200" i="7"/>
  <c r="AD1201" i="7"/>
  <c r="AD1202" i="7"/>
  <c r="AD1203" i="7"/>
  <c r="AD1204" i="7"/>
  <c r="AD1205" i="7"/>
  <c r="AD1206" i="7"/>
  <c r="AD1207" i="7"/>
  <c r="AD1208" i="7"/>
  <c r="AD1209" i="7"/>
  <c r="AD1210" i="7"/>
  <c r="AD1211" i="7"/>
  <c r="AD1212" i="7"/>
  <c r="AD1213" i="7"/>
  <c r="AD1214" i="7"/>
  <c r="AD1215" i="7"/>
  <c r="AD1216" i="7"/>
  <c r="AD1217" i="7"/>
  <c r="AD1218" i="7"/>
  <c r="AD1219" i="7"/>
  <c r="AD1220" i="7"/>
  <c r="AD1221" i="7"/>
  <c r="AD1222" i="7"/>
  <c r="AD1223" i="7"/>
  <c r="AD1224" i="7"/>
  <c r="AD1225" i="7"/>
  <c r="AD1226" i="7"/>
  <c r="AD1227" i="7"/>
  <c r="AD1228" i="7"/>
  <c r="AD1229" i="7"/>
  <c r="AD1230" i="7"/>
  <c r="AD1231" i="7"/>
  <c r="AD1232" i="7"/>
  <c r="AD1233" i="7"/>
  <c r="AD1234" i="7"/>
  <c r="AD1235" i="7"/>
  <c r="AD1236" i="7"/>
  <c r="AD1237" i="7"/>
  <c r="AD1238" i="7"/>
  <c r="AD1239" i="7"/>
  <c r="AD1240" i="7"/>
  <c r="AD1241" i="7"/>
  <c r="AD1242" i="7"/>
  <c r="AD1243" i="7"/>
  <c r="AD1244" i="7"/>
  <c r="AD1245" i="7"/>
  <c r="AD1246" i="7"/>
  <c r="AD1247" i="7"/>
  <c r="AD1248" i="7"/>
  <c r="AD1249" i="7"/>
  <c r="AD1250" i="7"/>
  <c r="AD1251" i="7"/>
  <c r="AD1252" i="7"/>
  <c r="AD1253" i="7"/>
  <c r="AD1254" i="7"/>
  <c r="AD1255" i="7"/>
  <c r="AD1256" i="7"/>
  <c r="AD1257" i="7"/>
  <c r="AD1258" i="7"/>
  <c r="AD1259" i="7"/>
  <c r="AD1260" i="7"/>
  <c r="AD1261" i="7"/>
  <c r="AD1262" i="7"/>
  <c r="AD1263" i="7"/>
  <c r="AD1264" i="7"/>
  <c r="AD1265" i="7"/>
  <c r="AD1266" i="7"/>
  <c r="AD1267" i="7"/>
  <c r="AD1268" i="7"/>
  <c r="AD1269" i="7"/>
  <c r="AD1270" i="7"/>
  <c r="AD1271" i="7"/>
  <c r="AD1272" i="7"/>
  <c r="AD1273" i="7"/>
  <c r="AD1274" i="7"/>
  <c r="AD1275" i="7"/>
  <c r="AD1276" i="7"/>
  <c r="AD1277" i="7"/>
  <c r="AD1278" i="7"/>
  <c r="AD1279" i="7"/>
  <c r="AD1280" i="7"/>
  <c r="AD1281" i="7"/>
  <c r="AD1282" i="7"/>
  <c r="AD1283" i="7"/>
  <c r="AD1284" i="7"/>
  <c r="AD1285" i="7"/>
  <c r="AD1286" i="7"/>
  <c r="AD1287" i="7"/>
  <c r="AD1288" i="7"/>
  <c r="AD1289" i="7"/>
  <c r="AD1290" i="7"/>
  <c r="AD1291" i="7"/>
  <c r="AD1292" i="7"/>
  <c r="AD1293" i="7"/>
  <c r="AD1294" i="7"/>
  <c r="AD1295" i="7"/>
  <c r="AD1296" i="7"/>
  <c r="AD1297" i="7"/>
  <c r="AD1298" i="7"/>
  <c r="AD1299" i="7"/>
  <c r="AD1300" i="7"/>
  <c r="AD1301" i="7"/>
  <c r="AD1302" i="7"/>
  <c r="AD1303" i="7"/>
  <c r="AD1304" i="7"/>
  <c r="AD1305" i="7"/>
  <c r="AD1306" i="7"/>
  <c r="AD1307" i="7"/>
  <c r="AD1308" i="7"/>
  <c r="AD1309" i="7"/>
  <c r="AD1310" i="7"/>
  <c r="AD1311" i="7"/>
  <c r="AD1312" i="7"/>
  <c r="AD1313" i="7"/>
  <c r="AD1314" i="7"/>
  <c r="AD1315" i="7"/>
  <c r="AD1316" i="7"/>
  <c r="AD1317" i="7"/>
  <c r="AD1318" i="7"/>
  <c r="AD1319" i="7"/>
  <c r="AD1320" i="7"/>
  <c r="AD1321" i="7"/>
  <c r="AD1322" i="7"/>
  <c r="AD1323" i="7"/>
  <c r="AD1324" i="7"/>
  <c r="AD1325" i="7"/>
  <c r="AD1326" i="7"/>
  <c r="AD1327" i="7"/>
  <c r="AD1328" i="7"/>
  <c r="AD1329" i="7"/>
  <c r="AD1330" i="7"/>
  <c r="AD1331" i="7"/>
  <c r="AD1332" i="7"/>
  <c r="AD1333" i="7"/>
  <c r="AD1334" i="7"/>
  <c r="AD1335" i="7"/>
  <c r="AD1336" i="7"/>
  <c r="AD1337" i="7"/>
  <c r="AD1338" i="7"/>
  <c r="AD1339" i="7"/>
  <c r="AD1340" i="7"/>
  <c r="AD1341" i="7"/>
  <c r="AD1342" i="7"/>
  <c r="AD1343" i="7"/>
  <c r="AD1344" i="7"/>
  <c r="AD1345" i="7"/>
  <c r="AD1346" i="7"/>
  <c r="AD1347" i="7"/>
  <c r="AD1348" i="7"/>
  <c r="AD1349" i="7"/>
  <c r="AD1350" i="7"/>
  <c r="AD1351" i="7"/>
  <c r="AD1352" i="7"/>
  <c r="AD1353" i="7"/>
  <c r="AD1354" i="7"/>
  <c r="AD1355" i="7"/>
  <c r="AD1356" i="7"/>
  <c r="AD1357" i="7"/>
  <c r="AD1358" i="7"/>
  <c r="AD1359" i="7"/>
  <c r="AD1360" i="7"/>
  <c r="AD1361" i="7"/>
  <c r="AD1362" i="7"/>
  <c r="AD1363" i="7"/>
  <c r="AD1364" i="7"/>
  <c r="AD1365" i="7"/>
  <c r="AD1366" i="7"/>
  <c r="AD1367" i="7"/>
  <c r="AD1368" i="7"/>
  <c r="AD1369" i="7"/>
  <c r="AD1370" i="7"/>
  <c r="AD1371" i="7"/>
  <c r="AD1372" i="7"/>
  <c r="AD1373" i="7"/>
  <c r="AD1374" i="7"/>
  <c r="AD1375" i="7"/>
  <c r="AD1376" i="7"/>
  <c r="AD1377" i="7"/>
  <c r="AD1378" i="7"/>
  <c r="AD1379" i="7"/>
  <c r="AD1380" i="7"/>
  <c r="AD1381" i="7"/>
  <c r="AD1382" i="7"/>
  <c r="AD1383" i="7"/>
  <c r="AD1384" i="7"/>
  <c r="AD1385" i="7"/>
  <c r="AD1386" i="7"/>
  <c r="AD1387" i="7"/>
  <c r="AD1388" i="7"/>
  <c r="AD1389" i="7"/>
  <c r="AD1390" i="7"/>
  <c r="AD1391" i="7"/>
  <c r="AD1392" i="7"/>
  <c r="AD1393" i="7"/>
  <c r="AD1394" i="7"/>
  <c r="AD1395" i="7"/>
  <c r="AD1396" i="7"/>
  <c r="AD1397" i="7"/>
  <c r="AD1398" i="7"/>
  <c r="AD1399" i="7"/>
  <c r="AD1400" i="7"/>
  <c r="AD1401" i="7"/>
  <c r="AD1402" i="7"/>
  <c r="AD1403" i="7"/>
  <c r="AD1404" i="7"/>
  <c r="AD1405" i="7"/>
  <c r="AD1406" i="7"/>
  <c r="AD1407" i="7"/>
  <c r="AD1408" i="7"/>
  <c r="AD1409" i="7"/>
  <c r="AD1410" i="7"/>
  <c r="AD1411" i="7"/>
  <c r="AD1412" i="7"/>
  <c r="AD1413" i="7"/>
  <c r="AD1414" i="7"/>
  <c r="AD1415" i="7"/>
  <c r="AD1416" i="7"/>
  <c r="AD1417" i="7"/>
  <c r="AD1418" i="7"/>
  <c r="AD1419" i="7"/>
  <c r="AD1420" i="7"/>
  <c r="AD1421" i="7"/>
  <c r="AD1422" i="7"/>
  <c r="AD1423" i="7"/>
  <c r="AD1424" i="7"/>
  <c r="AD1425" i="7"/>
  <c r="AD1426" i="7"/>
  <c r="AD1427" i="7"/>
  <c r="AD1428" i="7"/>
  <c r="AD1429" i="7"/>
  <c r="AD1430" i="7"/>
  <c r="AD1431" i="7"/>
  <c r="AD1432" i="7"/>
  <c r="AD1433" i="7"/>
  <c r="AD1434" i="7"/>
  <c r="AD1435" i="7"/>
  <c r="AD1436" i="7"/>
  <c r="AD1437" i="7"/>
  <c r="AD1438" i="7"/>
  <c r="AD1439" i="7"/>
  <c r="AD1440" i="7"/>
  <c r="AD1441" i="7"/>
  <c r="AD1442" i="7"/>
  <c r="AD1443" i="7"/>
  <c r="AD1444" i="7"/>
  <c r="AD1445" i="7"/>
  <c r="AD1446" i="7"/>
  <c r="AD1447" i="7"/>
  <c r="AD1448" i="7"/>
  <c r="AD1449" i="7"/>
  <c r="AD1450" i="7"/>
  <c r="AD1451" i="7"/>
  <c r="AD1452" i="7"/>
  <c r="AD1453" i="7"/>
  <c r="AD1454" i="7"/>
  <c r="AD1455" i="7"/>
  <c r="AD1456" i="7"/>
  <c r="AD1457" i="7"/>
  <c r="AD1458" i="7"/>
  <c r="AD1459" i="7"/>
  <c r="AD1460" i="7"/>
  <c r="AD1461" i="7"/>
  <c r="AD1462" i="7"/>
  <c r="AD1463" i="7"/>
  <c r="AD1464" i="7"/>
  <c r="AD1465" i="7"/>
  <c r="AD1466" i="7"/>
  <c r="AD1467" i="7"/>
  <c r="AD1468" i="7"/>
  <c r="AD1469" i="7"/>
  <c r="AD1470" i="7"/>
  <c r="AD1471" i="7"/>
  <c r="AD2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1" i="7"/>
  <c r="AC92" i="7"/>
  <c r="AC93" i="7"/>
  <c r="AC94" i="7"/>
  <c r="AC95" i="7"/>
  <c r="AC96" i="7"/>
  <c r="AC97" i="7"/>
  <c r="B97" i="12" s="1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5" i="7"/>
  <c r="AC116" i="7"/>
  <c r="AC117" i="7"/>
  <c r="AC118" i="7"/>
  <c r="AC119" i="7"/>
  <c r="AC120" i="7"/>
  <c r="AC121" i="7"/>
  <c r="AC122" i="7"/>
  <c r="AC123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1" i="7"/>
  <c r="AC142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0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78" i="7"/>
  <c r="AC179" i="7"/>
  <c r="AC180" i="7"/>
  <c r="AC181" i="7"/>
  <c r="AC182" i="7"/>
  <c r="AC183" i="7"/>
  <c r="AC184" i="7"/>
  <c r="AC185" i="7"/>
  <c r="AC186" i="7"/>
  <c r="AC187" i="7"/>
  <c r="AC188" i="7"/>
  <c r="AC189" i="7"/>
  <c r="AC190" i="7"/>
  <c r="AC191" i="7"/>
  <c r="AC192" i="7"/>
  <c r="AC193" i="7"/>
  <c r="AC194" i="7"/>
  <c r="AC195" i="7"/>
  <c r="AC196" i="7"/>
  <c r="AC197" i="7"/>
  <c r="AC198" i="7"/>
  <c r="AC199" i="7"/>
  <c r="AC200" i="7"/>
  <c r="AC201" i="7"/>
  <c r="AC202" i="7"/>
  <c r="AC203" i="7"/>
  <c r="AC204" i="7"/>
  <c r="AC205" i="7"/>
  <c r="AC206" i="7"/>
  <c r="AC207" i="7"/>
  <c r="AC208" i="7"/>
  <c r="AC209" i="7"/>
  <c r="AC210" i="7"/>
  <c r="AC211" i="7"/>
  <c r="AC212" i="7"/>
  <c r="AC213" i="7"/>
  <c r="AC214" i="7"/>
  <c r="AC215" i="7"/>
  <c r="AC216" i="7"/>
  <c r="AC217" i="7"/>
  <c r="AC218" i="7"/>
  <c r="AC219" i="7"/>
  <c r="AC220" i="7"/>
  <c r="AC221" i="7"/>
  <c r="AC222" i="7"/>
  <c r="AC223" i="7"/>
  <c r="AC224" i="7"/>
  <c r="AC225" i="7"/>
  <c r="AC226" i="7"/>
  <c r="AC227" i="7"/>
  <c r="AC228" i="7"/>
  <c r="AC229" i="7"/>
  <c r="AC230" i="7"/>
  <c r="AC231" i="7"/>
  <c r="AC232" i="7"/>
  <c r="AC233" i="7"/>
  <c r="AC234" i="7"/>
  <c r="AC235" i="7"/>
  <c r="AC236" i="7"/>
  <c r="AC237" i="7"/>
  <c r="AC238" i="7"/>
  <c r="AC239" i="7"/>
  <c r="AC240" i="7"/>
  <c r="AC241" i="7"/>
  <c r="AC242" i="7"/>
  <c r="AC243" i="7"/>
  <c r="AC244" i="7"/>
  <c r="AC245" i="7"/>
  <c r="AC246" i="7"/>
  <c r="AC247" i="7"/>
  <c r="AC248" i="7"/>
  <c r="AC249" i="7"/>
  <c r="AC250" i="7"/>
  <c r="AC251" i="7"/>
  <c r="AC252" i="7"/>
  <c r="AC253" i="7"/>
  <c r="AC254" i="7"/>
  <c r="AC255" i="7"/>
  <c r="AC256" i="7"/>
  <c r="AC257" i="7"/>
  <c r="AC258" i="7"/>
  <c r="AC259" i="7"/>
  <c r="AC260" i="7"/>
  <c r="AC261" i="7"/>
  <c r="AC262" i="7"/>
  <c r="AC263" i="7"/>
  <c r="AC264" i="7"/>
  <c r="AC265" i="7"/>
  <c r="AC266" i="7"/>
  <c r="AC267" i="7"/>
  <c r="AC268" i="7"/>
  <c r="AC269" i="7"/>
  <c r="AC270" i="7"/>
  <c r="AC271" i="7"/>
  <c r="AC272" i="7"/>
  <c r="AC273" i="7"/>
  <c r="AC274" i="7"/>
  <c r="AC275" i="7"/>
  <c r="AC276" i="7"/>
  <c r="AC277" i="7"/>
  <c r="AC278" i="7"/>
  <c r="AC279" i="7"/>
  <c r="AC280" i="7"/>
  <c r="AC281" i="7"/>
  <c r="AC282" i="7"/>
  <c r="AC283" i="7"/>
  <c r="AC284" i="7"/>
  <c r="AC285" i="7"/>
  <c r="AC286" i="7"/>
  <c r="AC287" i="7"/>
  <c r="AC288" i="7"/>
  <c r="AC289" i="7"/>
  <c r="AC290" i="7"/>
  <c r="AC291" i="7"/>
  <c r="AC292" i="7"/>
  <c r="AC293" i="7"/>
  <c r="AC294" i="7"/>
  <c r="AC295" i="7"/>
  <c r="AC296" i="7"/>
  <c r="AC297" i="7"/>
  <c r="AC298" i="7"/>
  <c r="AC299" i="7"/>
  <c r="AC300" i="7"/>
  <c r="AC301" i="7"/>
  <c r="AC302" i="7"/>
  <c r="AC303" i="7"/>
  <c r="AC304" i="7"/>
  <c r="AC305" i="7"/>
  <c r="AC306" i="7"/>
  <c r="AC307" i="7"/>
  <c r="AC308" i="7"/>
  <c r="AC309" i="7"/>
  <c r="AC310" i="7"/>
  <c r="AC311" i="7"/>
  <c r="AC312" i="7"/>
  <c r="AC313" i="7"/>
  <c r="AC314" i="7"/>
  <c r="AC315" i="7"/>
  <c r="AC316" i="7"/>
  <c r="AC317" i="7"/>
  <c r="AC318" i="7"/>
  <c r="AC319" i="7"/>
  <c r="AC320" i="7"/>
  <c r="AC321" i="7"/>
  <c r="AC322" i="7"/>
  <c r="AC323" i="7"/>
  <c r="AC324" i="7"/>
  <c r="AC325" i="7"/>
  <c r="AC326" i="7"/>
  <c r="AC327" i="7"/>
  <c r="AC328" i="7"/>
  <c r="AC329" i="7"/>
  <c r="AC330" i="7"/>
  <c r="AC331" i="7"/>
  <c r="AC332" i="7"/>
  <c r="AC333" i="7"/>
  <c r="AC334" i="7"/>
  <c r="AC335" i="7"/>
  <c r="AC336" i="7"/>
  <c r="AC337" i="7"/>
  <c r="AC338" i="7"/>
  <c r="AC339" i="7"/>
  <c r="AC340" i="7"/>
  <c r="AC341" i="7"/>
  <c r="AC342" i="7"/>
  <c r="AC343" i="7"/>
  <c r="AC344" i="7"/>
  <c r="AC345" i="7"/>
  <c r="AC346" i="7"/>
  <c r="AC347" i="7"/>
  <c r="AC348" i="7"/>
  <c r="AC349" i="7"/>
  <c r="AC350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5" i="7"/>
  <c r="AC366" i="7"/>
  <c r="AC367" i="7"/>
  <c r="AC368" i="7"/>
  <c r="AC369" i="7"/>
  <c r="AC370" i="7"/>
  <c r="AC371" i="7"/>
  <c r="AC372" i="7"/>
  <c r="AC373" i="7"/>
  <c r="AC374" i="7"/>
  <c r="AC375" i="7"/>
  <c r="AC376" i="7"/>
  <c r="AC377" i="7"/>
  <c r="AC378" i="7"/>
  <c r="AC379" i="7"/>
  <c r="AC380" i="7"/>
  <c r="AC381" i="7"/>
  <c r="AC382" i="7"/>
  <c r="AC383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1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8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7" i="7"/>
  <c r="AC448" i="7"/>
  <c r="AC449" i="7"/>
  <c r="AC450" i="7"/>
  <c r="AC451" i="7"/>
  <c r="AC452" i="7"/>
  <c r="AC453" i="7"/>
  <c r="AC454" i="7"/>
  <c r="AC455" i="7"/>
  <c r="AC456" i="7"/>
  <c r="AC457" i="7"/>
  <c r="AC458" i="7"/>
  <c r="AC459" i="7"/>
  <c r="AC460" i="7"/>
  <c r="AC461" i="7"/>
  <c r="AC462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767" i="7"/>
  <c r="AC768" i="7"/>
  <c r="AC769" i="7"/>
  <c r="AC770" i="7"/>
  <c r="AC771" i="7"/>
  <c r="AC772" i="7"/>
  <c r="AC773" i="7"/>
  <c r="AC774" i="7"/>
  <c r="AC775" i="7"/>
  <c r="AC776" i="7"/>
  <c r="AC777" i="7"/>
  <c r="AC778" i="7"/>
  <c r="AC779" i="7"/>
  <c r="AC780" i="7"/>
  <c r="AC781" i="7"/>
  <c r="AC782" i="7"/>
  <c r="AC783" i="7"/>
  <c r="AC784" i="7"/>
  <c r="AC785" i="7"/>
  <c r="AC786" i="7"/>
  <c r="AC787" i="7"/>
  <c r="AC788" i="7"/>
  <c r="AC789" i="7"/>
  <c r="AC790" i="7"/>
  <c r="AC791" i="7"/>
  <c r="AC792" i="7"/>
  <c r="AC793" i="7"/>
  <c r="AC794" i="7"/>
  <c r="AC795" i="7"/>
  <c r="AC796" i="7"/>
  <c r="AC797" i="7"/>
  <c r="AC798" i="7"/>
  <c r="AC799" i="7"/>
  <c r="AC800" i="7"/>
  <c r="AC801" i="7"/>
  <c r="AC802" i="7"/>
  <c r="AC803" i="7"/>
  <c r="AC804" i="7"/>
  <c r="AC805" i="7"/>
  <c r="AC806" i="7"/>
  <c r="AC807" i="7"/>
  <c r="AC808" i="7"/>
  <c r="AC809" i="7"/>
  <c r="AC810" i="7"/>
  <c r="AC811" i="7"/>
  <c r="AC812" i="7"/>
  <c r="AC813" i="7"/>
  <c r="AC814" i="7"/>
  <c r="AC815" i="7"/>
  <c r="AC816" i="7"/>
  <c r="AC817" i="7"/>
  <c r="AC818" i="7"/>
  <c r="AC819" i="7"/>
  <c r="AC820" i="7"/>
  <c r="AC821" i="7"/>
  <c r="AC822" i="7"/>
  <c r="AC823" i="7"/>
  <c r="AC824" i="7"/>
  <c r="AC825" i="7"/>
  <c r="AC826" i="7"/>
  <c r="AC827" i="7"/>
  <c r="AC828" i="7"/>
  <c r="AC829" i="7"/>
  <c r="AC830" i="7"/>
  <c r="AC831" i="7"/>
  <c r="AC832" i="7"/>
  <c r="AC833" i="7"/>
  <c r="AC834" i="7"/>
  <c r="AC835" i="7"/>
  <c r="AC836" i="7"/>
  <c r="AC837" i="7"/>
  <c r="AC838" i="7"/>
  <c r="AC839" i="7"/>
  <c r="AC840" i="7"/>
  <c r="AC841" i="7"/>
  <c r="AC842" i="7"/>
  <c r="AC843" i="7"/>
  <c r="AC844" i="7"/>
  <c r="AC845" i="7"/>
  <c r="AC846" i="7"/>
  <c r="AC847" i="7"/>
  <c r="AC848" i="7"/>
  <c r="AC849" i="7"/>
  <c r="AC850" i="7"/>
  <c r="AC851" i="7"/>
  <c r="AC852" i="7"/>
  <c r="AC853" i="7"/>
  <c r="AC854" i="7"/>
  <c r="AC855" i="7"/>
  <c r="AC856" i="7"/>
  <c r="AC857" i="7"/>
  <c r="AC858" i="7"/>
  <c r="AC859" i="7"/>
  <c r="AC860" i="7"/>
  <c r="AC861" i="7"/>
  <c r="AC862" i="7"/>
  <c r="AC863" i="7"/>
  <c r="AC864" i="7"/>
  <c r="AC865" i="7"/>
  <c r="AC866" i="7"/>
  <c r="AC867" i="7"/>
  <c r="AC868" i="7"/>
  <c r="AC869" i="7"/>
  <c r="AC870" i="7"/>
  <c r="AC871" i="7"/>
  <c r="AC872" i="7"/>
  <c r="AC873" i="7"/>
  <c r="AC874" i="7"/>
  <c r="AC875" i="7"/>
  <c r="AC876" i="7"/>
  <c r="AC877" i="7"/>
  <c r="AC878" i="7"/>
  <c r="AC879" i="7"/>
  <c r="AC880" i="7"/>
  <c r="AC881" i="7"/>
  <c r="AC882" i="7"/>
  <c r="AC883" i="7"/>
  <c r="AC884" i="7"/>
  <c r="AC885" i="7"/>
  <c r="AC886" i="7"/>
  <c r="AC887" i="7"/>
  <c r="AC888" i="7"/>
  <c r="AC889" i="7"/>
  <c r="AC890" i="7"/>
  <c r="AC891" i="7"/>
  <c r="AC892" i="7"/>
  <c r="AC893" i="7"/>
  <c r="AC894" i="7"/>
  <c r="AC895" i="7"/>
  <c r="AC896" i="7"/>
  <c r="AC897" i="7"/>
  <c r="AC898" i="7"/>
  <c r="AC899" i="7"/>
  <c r="AC900" i="7"/>
  <c r="AC901" i="7"/>
  <c r="AC902" i="7"/>
  <c r="AC903" i="7"/>
  <c r="AC904" i="7"/>
  <c r="AC905" i="7"/>
  <c r="AC906" i="7"/>
  <c r="AC907" i="7"/>
  <c r="AC908" i="7"/>
  <c r="AC909" i="7"/>
  <c r="AC910" i="7"/>
  <c r="AC911" i="7"/>
  <c r="AC912" i="7"/>
  <c r="AC913" i="7"/>
  <c r="AC914" i="7"/>
  <c r="AC915" i="7"/>
  <c r="AC916" i="7"/>
  <c r="AC917" i="7"/>
  <c r="AC918" i="7"/>
  <c r="AC919" i="7"/>
  <c r="AC920" i="7"/>
  <c r="AC921" i="7"/>
  <c r="AC922" i="7"/>
  <c r="AC923" i="7"/>
  <c r="AC924" i="7"/>
  <c r="AC925" i="7"/>
  <c r="AC926" i="7"/>
  <c r="AC927" i="7"/>
  <c r="AC928" i="7"/>
  <c r="AC929" i="7"/>
  <c r="AC930" i="7"/>
  <c r="AC931" i="7"/>
  <c r="AC932" i="7"/>
  <c r="AC933" i="7"/>
  <c r="AC934" i="7"/>
  <c r="AC935" i="7"/>
  <c r="AC936" i="7"/>
  <c r="AC937" i="7"/>
  <c r="AC938" i="7"/>
  <c r="AC939" i="7"/>
  <c r="AC940" i="7"/>
  <c r="AC941" i="7"/>
  <c r="AC942" i="7"/>
  <c r="AC943" i="7"/>
  <c r="AC944" i="7"/>
  <c r="AC945" i="7"/>
  <c r="AC946" i="7"/>
  <c r="AC947" i="7"/>
  <c r="AC948" i="7"/>
  <c r="AC949" i="7"/>
  <c r="AC950" i="7"/>
  <c r="AC951" i="7"/>
  <c r="AC952" i="7"/>
  <c r="AC953" i="7"/>
  <c r="AC954" i="7"/>
  <c r="AC955" i="7"/>
  <c r="AC956" i="7"/>
  <c r="AC957" i="7"/>
  <c r="AC958" i="7"/>
  <c r="AC959" i="7"/>
  <c r="AC960" i="7"/>
  <c r="AC961" i="7"/>
  <c r="AC962" i="7"/>
  <c r="AC963" i="7"/>
  <c r="AC964" i="7"/>
  <c r="AC965" i="7"/>
  <c r="AC966" i="7"/>
  <c r="AC967" i="7"/>
  <c r="AC968" i="7"/>
  <c r="AC969" i="7"/>
  <c r="AC970" i="7"/>
  <c r="AC971" i="7"/>
  <c r="AC972" i="7"/>
  <c r="AC973" i="7"/>
  <c r="AC974" i="7"/>
  <c r="AC975" i="7"/>
  <c r="AC976" i="7"/>
  <c r="AC977" i="7"/>
  <c r="AC978" i="7"/>
  <c r="AC979" i="7"/>
  <c r="AC980" i="7"/>
  <c r="AC981" i="7"/>
  <c r="AC982" i="7"/>
  <c r="AC983" i="7"/>
  <c r="AC984" i="7"/>
  <c r="AC985" i="7"/>
  <c r="AC986" i="7"/>
  <c r="AC987" i="7"/>
  <c r="AC988" i="7"/>
  <c r="AC989" i="7"/>
  <c r="AC990" i="7"/>
  <c r="AC991" i="7"/>
  <c r="AC992" i="7"/>
  <c r="AC993" i="7"/>
  <c r="AC994" i="7"/>
  <c r="AC995" i="7"/>
  <c r="AC996" i="7"/>
  <c r="AC997" i="7"/>
  <c r="AC998" i="7"/>
  <c r="AC999" i="7"/>
  <c r="AC1000" i="7"/>
  <c r="AC1001" i="7"/>
  <c r="AC1002" i="7"/>
  <c r="AC1003" i="7"/>
  <c r="AC1004" i="7"/>
  <c r="AC1005" i="7"/>
  <c r="AC1006" i="7"/>
  <c r="AC1007" i="7"/>
  <c r="AC1008" i="7"/>
  <c r="AC1009" i="7"/>
  <c r="AC1010" i="7"/>
  <c r="AC1011" i="7"/>
  <c r="AC1012" i="7"/>
  <c r="AC1013" i="7"/>
  <c r="AC1014" i="7"/>
  <c r="AC1015" i="7"/>
  <c r="AC1016" i="7"/>
  <c r="AC1017" i="7"/>
  <c r="AC1018" i="7"/>
  <c r="AC1019" i="7"/>
  <c r="AC1020" i="7"/>
  <c r="AC1021" i="7"/>
  <c r="AC1022" i="7"/>
  <c r="AC1023" i="7"/>
  <c r="AC1024" i="7"/>
  <c r="AC1025" i="7"/>
  <c r="AC1026" i="7"/>
  <c r="AC1027" i="7"/>
  <c r="AC1028" i="7"/>
  <c r="AC1029" i="7"/>
  <c r="AC1030" i="7"/>
  <c r="AC1031" i="7"/>
  <c r="AC1032" i="7"/>
  <c r="AC1033" i="7"/>
  <c r="AC1034" i="7"/>
  <c r="AC1035" i="7"/>
  <c r="AC1036" i="7"/>
  <c r="AC1037" i="7"/>
  <c r="AC1038" i="7"/>
  <c r="AC1039" i="7"/>
  <c r="AC1040" i="7"/>
  <c r="AC1041" i="7"/>
  <c r="AC1042" i="7"/>
  <c r="AC1043" i="7"/>
  <c r="AC1044" i="7"/>
  <c r="AC1045" i="7"/>
  <c r="AC1046" i="7"/>
  <c r="AC1047" i="7"/>
  <c r="AC1048" i="7"/>
  <c r="AC1049" i="7"/>
  <c r="AC1050" i="7"/>
  <c r="AC1051" i="7"/>
  <c r="AC1052" i="7"/>
  <c r="AC1053" i="7"/>
  <c r="AC1054" i="7"/>
  <c r="AC1055" i="7"/>
  <c r="AC1056" i="7"/>
  <c r="AC1057" i="7"/>
  <c r="AC1058" i="7"/>
  <c r="AC1059" i="7"/>
  <c r="AC1060" i="7"/>
  <c r="AC1061" i="7"/>
  <c r="AC1062" i="7"/>
  <c r="AC1063" i="7"/>
  <c r="AC1064" i="7"/>
  <c r="AC1065" i="7"/>
  <c r="AC1066" i="7"/>
  <c r="AC1067" i="7"/>
  <c r="AC1068" i="7"/>
  <c r="AC1069" i="7"/>
  <c r="AC1070" i="7"/>
  <c r="AC1071" i="7"/>
  <c r="AC1072" i="7"/>
  <c r="AC1073" i="7"/>
  <c r="AC1074" i="7"/>
  <c r="AC1075" i="7"/>
  <c r="AC1076" i="7"/>
  <c r="AC1077" i="7"/>
  <c r="AC1078" i="7"/>
  <c r="AC1079" i="7"/>
  <c r="AC1080" i="7"/>
  <c r="AC1081" i="7"/>
  <c r="AC1082" i="7"/>
  <c r="AC1083" i="7"/>
  <c r="AC1084" i="7"/>
  <c r="AC1085" i="7"/>
  <c r="AC1086" i="7"/>
  <c r="AC1087" i="7"/>
  <c r="AC1088" i="7"/>
  <c r="AC1089" i="7"/>
  <c r="AC1090" i="7"/>
  <c r="AC1091" i="7"/>
  <c r="AC1092" i="7"/>
  <c r="AC1093" i="7"/>
  <c r="AC1094" i="7"/>
  <c r="AC1095" i="7"/>
  <c r="AC1096" i="7"/>
  <c r="AC1097" i="7"/>
  <c r="AC1098" i="7"/>
  <c r="AC1099" i="7"/>
  <c r="AC1100" i="7"/>
  <c r="AC1101" i="7"/>
  <c r="AC1102" i="7"/>
  <c r="AC1103" i="7"/>
  <c r="AC1104" i="7"/>
  <c r="AC1105" i="7"/>
  <c r="AC1106" i="7"/>
  <c r="AC1107" i="7"/>
  <c r="AC1108" i="7"/>
  <c r="AC1109" i="7"/>
  <c r="AC1110" i="7"/>
  <c r="AC1111" i="7"/>
  <c r="AC1112" i="7"/>
  <c r="AC1113" i="7"/>
  <c r="AC1114" i="7"/>
  <c r="AC1115" i="7"/>
  <c r="AC1116" i="7"/>
  <c r="AC1117" i="7"/>
  <c r="AC1118" i="7"/>
  <c r="AC1119" i="7"/>
  <c r="AC1120" i="7"/>
  <c r="AC1121" i="7"/>
  <c r="AC1122" i="7"/>
  <c r="AC1123" i="7"/>
  <c r="AC1124" i="7"/>
  <c r="AC1125" i="7"/>
  <c r="AC1126" i="7"/>
  <c r="AC1127" i="7"/>
  <c r="AC1128" i="7"/>
  <c r="AC1129" i="7"/>
  <c r="AC1130" i="7"/>
  <c r="AC1131" i="7"/>
  <c r="AC1132" i="7"/>
  <c r="AC1133" i="7"/>
  <c r="AC1134" i="7"/>
  <c r="AC1135" i="7"/>
  <c r="AC1136" i="7"/>
  <c r="AC1137" i="7"/>
  <c r="AC1138" i="7"/>
  <c r="AC1139" i="7"/>
  <c r="AC1140" i="7"/>
  <c r="AC1141" i="7"/>
  <c r="AC1142" i="7"/>
  <c r="AC1143" i="7"/>
  <c r="AC1144" i="7"/>
  <c r="AC1145" i="7"/>
  <c r="AC1146" i="7"/>
  <c r="AC1147" i="7"/>
  <c r="AC1148" i="7"/>
  <c r="AC1149" i="7"/>
  <c r="AC1150" i="7"/>
  <c r="AC1151" i="7"/>
  <c r="AC1152" i="7"/>
  <c r="AC1153" i="7"/>
  <c r="AC1154" i="7"/>
  <c r="AC1155" i="7"/>
  <c r="AC1156" i="7"/>
  <c r="AC1157" i="7"/>
  <c r="AC1158" i="7"/>
  <c r="AC1159" i="7"/>
  <c r="AC1160" i="7"/>
  <c r="AC1161" i="7"/>
  <c r="AC1162" i="7"/>
  <c r="AC1163" i="7"/>
  <c r="AC1164" i="7"/>
  <c r="AC1165" i="7"/>
  <c r="AC1166" i="7"/>
  <c r="AC1167" i="7"/>
  <c r="AC1168" i="7"/>
  <c r="AC1169" i="7"/>
  <c r="AC1170" i="7"/>
  <c r="AC1171" i="7"/>
  <c r="AC1172" i="7"/>
  <c r="AC1173" i="7"/>
  <c r="AC1174" i="7"/>
  <c r="AC1175" i="7"/>
  <c r="AC1176" i="7"/>
  <c r="AC1177" i="7"/>
  <c r="AC1178" i="7"/>
  <c r="AC1179" i="7"/>
  <c r="AC1180" i="7"/>
  <c r="AC1181" i="7"/>
  <c r="AC1182" i="7"/>
  <c r="AC1183" i="7"/>
  <c r="AC1184" i="7"/>
  <c r="AC1185" i="7"/>
  <c r="AC1186" i="7"/>
  <c r="AC1187" i="7"/>
  <c r="AC1188" i="7"/>
  <c r="AC1189" i="7"/>
  <c r="AC1190" i="7"/>
  <c r="AC1191" i="7"/>
  <c r="AC1192" i="7"/>
  <c r="AC1193" i="7"/>
  <c r="AC1194" i="7"/>
  <c r="AC1195" i="7"/>
  <c r="AC1196" i="7"/>
  <c r="AC1197" i="7"/>
  <c r="AC1198" i="7"/>
  <c r="AC1199" i="7"/>
  <c r="AC1200" i="7"/>
  <c r="AC1201" i="7"/>
  <c r="AC1202" i="7"/>
  <c r="AC1203" i="7"/>
  <c r="AC1204" i="7"/>
  <c r="AC1205" i="7"/>
  <c r="AC1206" i="7"/>
  <c r="AC1207" i="7"/>
  <c r="AC1208" i="7"/>
  <c r="AC1209" i="7"/>
  <c r="AC1210" i="7"/>
  <c r="AC1211" i="7"/>
  <c r="AC1212" i="7"/>
  <c r="AC1213" i="7"/>
  <c r="AC1214" i="7"/>
  <c r="AC1215" i="7"/>
  <c r="AC1216" i="7"/>
  <c r="AC1217" i="7"/>
  <c r="AC1218" i="7"/>
  <c r="AC1219" i="7"/>
  <c r="AC1220" i="7"/>
  <c r="AC1221" i="7"/>
  <c r="AC1222" i="7"/>
  <c r="AC1223" i="7"/>
  <c r="AC1224" i="7"/>
  <c r="AC1225" i="7"/>
  <c r="AC1226" i="7"/>
  <c r="AC1227" i="7"/>
  <c r="AC1228" i="7"/>
  <c r="AC1229" i="7"/>
  <c r="AC1230" i="7"/>
  <c r="AC1231" i="7"/>
  <c r="AC1232" i="7"/>
  <c r="AC1233" i="7"/>
  <c r="AC1234" i="7"/>
  <c r="AC1235" i="7"/>
  <c r="AC1236" i="7"/>
  <c r="AC1237" i="7"/>
  <c r="AC1238" i="7"/>
  <c r="AC1239" i="7"/>
  <c r="AC1240" i="7"/>
  <c r="AC1241" i="7"/>
  <c r="AC1242" i="7"/>
  <c r="AC1243" i="7"/>
  <c r="AC1244" i="7"/>
  <c r="AC1245" i="7"/>
  <c r="AC1246" i="7"/>
  <c r="AC1247" i="7"/>
  <c r="AC1248" i="7"/>
  <c r="AC1249" i="7"/>
  <c r="AC1250" i="7"/>
  <c r="AC1251" i="7"/>
  <c r="AC1252" i="7"/>
  <c r="AC1253" i="7"/>
  <c r="AC1254" i="7"/>
  <c r="AC1255" i="7"/>
  <c r="AC1256" i="7"/>
  <c r="AC1257" i="7"/>
  <c r="AC1258" i="7"/>
  <c r="AC1259" i="7"/>
  <c r="AC1260" i="7"/>
  <c r="AC1261" i="7"/>
  <c r="AC1262" i="7"/>
  <c r="AC1263" i="7"/>
  <c r="AC1264" i="7"/>
  <c r="AC1265" i="7"/>
  <c r="AC1266" i="7"/>
  <c r="AC1267" i="7"/>
  <c r="AC1268" i="7"/>
  <c r="AC1269" i="7"/>
  <c r="AC1270" i="7"/>
  <c r="AC1271" i="7"/>
  <c r="AC1272" i="7"/>
  <c r="AC1273" i="7"/>
  <c r="AC1274" i="7"/>
  <c r="AC1275" i="7"/>
  <c r="AC1276" i="7"/>
  <c r="AC1277" i="7"/>
  <c r="AC1278" i="7"/>
  <c r="AC1279" i="7"/>
  <c r="AC1280" i="7"/>
  <c r="AC1281" i="7"/>
  <c r="AC1282" i="7"/>
  <c r="AC1283" i="7"/>
  <c r="AC1284" i="7"/>
  <c r="AC1285" i="7"/>
  <c r="AC1286" i="7"/>
  <c r="AC1287" i="7"/>
  <c r="AC1288" i="7"/>
  <c r="AC1289" i="7"/>
  <c r="AC1290" i="7"/>
  <c r="AC1291" i="7"/>
  <c r="AC1292" i="7"/>
  <c r="AC1293" i="7"/>
  <c r="AC1294" i="7"/>
  <c r="AC1295" i="7"/>
  <c r="AC1296" i="7"/>
  <c r="AC1297" i="7"/>
  <c r="AC1298" i="7"/>
  <c r="AC1299" i="7"/>
  <c r="AC1300" i="7"/>
  <c r="AC1301" i="7"/>
  <c r="AC1302" i="7"/>
  <c r="AC1303" i="7"/>
  <c r="AC1304" i="7"/>
  <c r="AC1305" i="7"/>
  <c r="AC1306" i="7"/>
  <c r="AC1307" i="7"/>
  <c r="AC1308" i="7"/>
  <c r="AC1309" i="7"/>
  <c r="AC1310" i="7"/>
  <c r="AC1311" i="7"/>
  <c r="AC1312" i="7"/>
  <c r="AC1313" i="7"/>
  <c r="AC1314" i="7"/>
  <c r="AC1315" i="7"/>
  <c r="AC1316" i="7"/>
  <c r="AC1317" i="7"/>
  <c r="AC1318" i="7"/>
  <c r="AC1319" i="7"/>
  <c r="AC1320" i="7"/>
  <c r="AC1321" i="7"/>
  <c r="AC1322" i="7"/>
  <c r="AC1323" i="7"/>
  <c r="AC1324" i="7"/>
  <c r="AC1325" i="7"/>
  <c r="AC1326" i="7"/>
  <c r="AC1327" i="7"/>
  <c r="AC1328" i="7"/>
  <c r="AC1329" i="7"/>
  <c r="AC1330" i="7"/>
  <c r="AC1331" i="7"/>
  <c r="AC1332" i="7"/>
  <c r="AC1333" i="7"/>
  <c r="AC1334" i="7"/>
  <c r="AC1335" i="7"/>
  <c r="AC1336" i="7"/>
  <c r="AC1337" i="7"/>
  <c r="AC1338" i="7"/>
  <c r="AC1339" i="7"/>
  <c r="AC1340" i="7"/>
  <c r="AC1341" i="7"/>
  <c r="AC1342" i="7"/>
  <c r="AC1343" i="7"/>
  <c r="AC1344" i="7"/>
  <c r="AC1345" i="7"/>
  <c r="AC1346" i="7"/>
  <c r="AC1347" i="7"/>
  <c r="AC1348" i="7"/>
  <c r="AC1349" i="7"/>
  <c r="AC1350" i="7"/>
  <c r="AC1351" i="7"/>
  <c r="AC1352" i="7"/>
  <c r="AC1353" i="7"/>
  <c r="AC1354" i="7"/>
  <c r="AC1355" i="7"/>
  <c r="AC1356" i="7"/>
  <c r="AC1357" i="7"/>
  <c r="AC1358" i="7"/>
  <c r="AC1359" i="7"/>
  <c r="AC1360" i="7"/>
  <c r="AC1361" i="7"/>
  <c r="AC1362" i="7"/>
  <c r="AC1363" i="7"/>
  <c r="AC1364" i="7"/>
  <c r="AC1365" i="7"/>
  <c r="AC1366" i="7"/>
  <c r="AC1367" i="7"/>
  <c r="AC1368" i="7"/>
  <c r="AC1369" i="7"/>
  <c r="AC1370" i="7"/>
  <c r="AC1371" i="7"/>
  <c r="AC1372" i="7"/>
  <c r="AC1373" i="7"/>
  <c r="AC1374" i="7"/>
  <c r="AC1375" i="7"/>
  <c r="AC1376" i="7"/>
  <c r="AC1377" i="7"/>
  <c r="AC1378" i="7"/>
  <c r="AC1379" i="7"/>
  <c r="AC1380" i="7"/>
  <c r="AC1381" i="7"/>
  <c r="AC1382" i="7"/>
  <c r="AC1383" i="7"/>
  <c r="AC1384" i="7"/>
  <c r="AC1385" i="7"/>
  <c r="AC1386" i="7"/>
  <c r="AC1387" i="7"/>
  <c r="AC1388" i="7"/>
  <c r="AC1389" i="7"/>
  <c r="AC1390" i="7"/>
  <c r="AC1391" i="7"/>
  <c r="AC1392" i="7"/>
  <c r="AC1393" i="7"/>
  <c r="AC1394" i="7"/>
  <c r="AC1395" i="7"/>
  <c r="AC1396" i="7"/>
  <c r="AC1397" i="7"/>
  <c r="AC1398" i="7"/>
  <c r="AC1399" i="7"/>
  <c r="AC1400" i="7"/>
  <c r="AC1401" i="7"/>
  <c r="AC1402" i="7"/>
  <c r="AC1403" i="7"/>
  <c r="AC1404" i="7"/>
  <c r="AC1405" i="7"/>
  <c r="AC1406" i="7"/>
  <c r="AC1407" i="7"/>
  <c r="AC1408" i="7"/>
  <c r="AC1409" i="7"/>
  <c r="AC1410" i="7"/>
  <c r="AC1411" i="7"/>
  <c r="AC1412" i="7"/>
  <c r="AC1413" i="7"/>
  <c r="AC1414" i="7"/>
  <c r="AC1415" i="7"/>
  <c r="AC1416" i="7"/>
  <c r="AC1417" i="7"/>
  <c r="AC1418" i="7"/>
  <c r="AC1419" i="7"/>
  <c r="AC1420" i="7"/>
  <c r="AC1421" i="7"/>
  <c r="AC1422" i="7"/>
  <c r="AC1423" i="7"/>
  <c r="AC1424" i="7"/>
  <c r="AC1425" i="7"/>
  <c r="AC1426" i="7"/>
  <c r="AC1427" i="7"/>
  <c r="AC1428" i="7"/>
  <c r="AC1429" i="7"/>
  <c r="AC1430" i="7"/>
  <c r="AC1431" i="7"/>
  <c r="AC1432" i="7"/>
  <c r="AC1433" i="7"/>
  <c r="AC1434" i="7"/>
  <c r="AC1435" i="7"/>
  <c r="AC1436" i="7"/>
  <c r="AC1437" i="7"/>
  <c r="AC1438" i="7"/>
  <c r="AC1439" i="7"/>
  <c r="AC1440" i="7"/>
  <c r="AC1441" i="7"/>
  <c r="AC1442" i="7"/>
  <c r="AC1443" i="7"/>
  <c r="AC1444" i="7"/>
  <c r="AC1445" i="7"/>
  <c r="AC1446" i="7"/>
  <c r="AC1447" i="7"/>
  <c r="AC1448" i="7"/>
  <c r="AC1449" i="7"/>
  <c r="AC1450" i="7"/>
  <c r="AC1451" i="7"/>
  <c r="AC1452" i="7"/>
  <c r="AC1453" i="7"/>
  <c r="AC1454" i="7"/>
  <c r="AC1455" i="7"/>
  <c r="AC1456" i="7"/>
  <c r="AC1457" i="7"/>
  <c r="AC1458" i="7"/>
  <c r="AC1459" i="7"/>
  <c r="AC1460" i="7"/>
  <c r="AC1461" i="7"/>
  <c r="AC1462" i="7"/>
  <c r="AC1463" i="7"/>
  <c r="AC1464" i="7"/>
  <c r="AC1465" i="7"/>
  <c r="AC1466" i="7"/>
  <c r="AC1467" i="7"/>
  <c r="AC1468" i="7"/>
  <c r="AC1469" i="7"/>
  <c r="AC1470" i="7"/>
  <c r="AC1471" i="7"/>
  <c r="AC2" i="7"/>
  <c r="AB3" i="7"/>
  <c r="AB4" i="7"/>
  <c r="AB5" i="7"/>
  <c r="AB6" i="7"/>
  <c r="AB7" i="7"/>
  <c r="AB8" i="7"/>
  <c r="AB9" i="7"/>
  <c r="AB10" i="7"/>
  <c r="AB11" i="7"/>
  <c r="AB12" i="7"/>
  <c r="AB13" i="7"/>
  <c r="AB14" i="7"/>
  <c r="AB15" i="7"/>
  <c r="AB16" i="7"/>
  <c r="AB17" i="7"/>
  <c r="AB18" i="7"/>
  <c r="AB19" i="7"/>
  <c r="AB20" i="7"/>
  <c r="AB21" i="7"/>
  <c r="AB22" i="7"/>
  <c r="AB23" i="7"/>
  <c r="AB24" i="7"/>
  <c r="AB25" i="7"/>
  <c r="AB26" i="7"/>
  <c r="AB27" i="7"/>
  <c r="AB28" i="7"/>
  <c r="AB29" i="7"/>
  <c r="AB30" i="7"/>
  <c r="AB31" i="7"/>
  <c r="AB32" i="7"/>
  <c r="AB33" i="7"/>
  <c r="AB34" i="7"/>
  <c r="AB35" i="7"/>
  <c r="AB36" i="7"/>
  <c r="AB37" i="7"/>
  <c r="AB38" i="7"/>
  <c r="AB39" i="7"/>
  <c r="AB40" i="7"/>
  <c r="AB41" i="7"/>
  <c r="AB42" i="7"/>
  <c r="AB43" i="7"/>
  <c r="AB44" i="7"/>
  <c r="AB45" i="7"/>
  <c r="AB46" i="7"/>
  <c r="AB47" i="7"/>
  <c r="AB48" i="7"/>
  <c r="AB49" i="7"/>
  <c r="AB50" i="7"/>
  <c r="AB51" i="7"/>
  <c r="AB52" i="7"/>
  <c r="AB53" i="7"/>
  <c r="AB54" i="7"/>
  <c r="AB55" i="7"/>
  <c r="AB56" i="7"/>
  <c r="AB57" i="7"/>
  <c r="AB58" i="7"/>
  <c r="AB59" i="7"/>
  <c r="AB60" i="7"/>
  <c r="AB61" i="7"/>
  <c r="AB62" i="7"/>
  <c r="AB63" i="7"/>
  <c r="AB64" i="7"/>
  <c r="AB65" i="7"/>
  <c r="AB66" i="7"/>
  <c r="AB67" i="7"/>
  <c r="AB68" i="7"/>
  <c r="AB69" i="7"/>
  <c r="AB70" i="7"/>
  <c r="AB71" i="7"/>
  <c r="AB72" i="7"/>
  <c r="AB73" i="7"/>
  <c r="AB74" i="7"/>
  <c r="AB75" i="7"/>
  <c r="AB76" i="7"/>
  <c r="AB77" i="7"/>
  <c r="AB78" i="7"/>
  <c r="AB79" i="7"/>
  <c r="AB80" i="7"/>
  <c r="AB81" i="7"/>
  <c r="AB82" i="7"/>
  <c r="AB83" i="7"/>
  <c r="AB84" i="7"/>
  <c r="AB85" i="7"/>
  <c r="AB86" i="7"/>
  <c r="AB87" i="7"/>
  <c r="AB88" i="7"/>
  <c r="AB89" i="7"/>
  <c r="AB90" i="7"/>
  <c r="AB91" i="7"/>
  <c r="AB92" i="7"/>
  <c r="AB93" i="7"/>
  <c r="AB94" i="7"/>
  <c r="B94" i="12" s="1"/>
  <c r="AB95" i="7"/>
  <c r="AB96" i="7"/>
  <c r="AB97" i="7"/>
  <c r="AB98" i="7"/>
  <c r="AB99" i="7"/>
  <c r="AB100" i="7"/>
  <c r="AB101" i="7"/>
  <c r="AB102" i="7"/>
  <c r="AB103" i="7"/>
  <c r="AB104" i="7"/>
  <c r="AB105" i="7"/>
  <c r="AB106" i="7"/>
  <c r="AB107" i="7"/>
  <c r="AB108" i="7"/>
  <c r="AB109" i="7"/>
  <c r="AB110" i="7"/>
  <c r="AB111" i="7"/>
  <c r="AB112" i="7"/>
  <c r="AB113" i="7"/>
  <c r="AB114" i="7"/>
  <c r="AB115" i="7"/>
  <c r="AB116" i="7"/>
  <c r="AB117" i="7"/>
  <c r="AB118" i="7"/>
  <c r="AB119" i="7"/>
  <c r="AB120" i="7"/>
  <c r="AB121" i="7"/>
  <c r="AB122" i="7"/>
  <c r="AB123" i="7"/>
  <c r="AB124" i="7"/>
  <c r="AB125" i="7"/>
  <c r="AB126" i="7"/>
  <c r="AB127" i="7"/>
  <c r="AB128" i="7"/>
  <c r="AB129" i="7"/>
  <c r="AB130" i="7"/>
  <c r="AB131" i="7"/>
  <c r="AB132" i="7"/>
  <c r="AB133" i="7"/>
  <c r="AB134" i="7"/>
  <c r="AB135" i="7"/>
  <c r="AB136" i="7"/>
  <c r="AB137" i="7"/>
  <c r="AB138" i="7"/>
  <c r="AB139" i="7"/>
  <c r="AB140" i="7"/>
  <c r="AB141" i="7"/>
  <c r="AB142" i="7"/>
  <c r="AB143" i="7"/>
  <c r="AB144" i="7"/>
  <c r="AB145" i="7"/>
  <c r="AB146" i="7"/>
  <c r="AB147" i="7"/>
  <c r="AB148" i="7"/>
  <c r="AB149" i="7"/>
  <c r="AB150" i="7"/>
  <c r="AB151" i="7"/>
  <c r="AB152" i="7"/>
  <c r="AB153" i="7"/>
  <c r="AB154" i="7"/>
  <c r="AB155" i="7"/>
  <c r="AB156" i="7"/>
  <c r="AB157" i="7"/>
  <c r="AB158" i="7"/>
  <c r="AB159" i="7"/>
  <c r="AB160" i="7"/>
  <c r="AB161" i="7"/>
  <c r="AB162" i="7"/>
  <c r="AB163" i="7"/>
  <c r="AB164" i="7"/>
  <c r="AB165" i="7"/>
  <c r="AB166" i="7"/>
  <c r="AB167" i="7"/>
  <c r="AB168" i="7"/>
  <c r="AB169" i="7"/>
  <c r="AB170" i="7"/>
  <c r="AB171" i="7"/>
  <c r="AB172" i="7"/>
  <c r="AB173" i="7"/>
  <c r="AB174" i="7"/>
  <c r="AB175" i="7"/>
  <c r="AB176" i="7"/>
  <c r="AB177" i="7"/>
  <c r="AB178" i="7"/>
  <c r="AB179" i="7"/>
  <c r="AB180" i="7"/>
  <c r="AB181" i="7"/>
  <c r="AB182" i="7"/>
  <c r="AB183" i="7"/>
  <c r="AB184" i="7"/>
  <c r="AB185" i="7"/>
  <c r="AB186" i="7"/>
  <c r="AB187" i="7"/>
  <c r="AB188" i="7"/>
  <c r="AB189" i="7"/>
  <c r="AB190" i="7"/>
  <c r="AB191" i="7"/>
  <c r="AB192" i="7"/>
  <c r="AB193" i="7"/>
  <c r="AB194" i="7"/>
  <c r="AB195" i="7"/>
  <c r="AB196" i="7"/>
  <c r="AB197" i="7"/>
  <c r="AB198" i="7"/>
  <c r="AB199" i="7"/>
  <c r="AB200" i="7"/>
  <c r="AB201" i="7"/>
  <c r="AB202" i="7"/>
  <c r="AB203" i="7"/>
  <c r="AB204" i="7"/>
  <c r="AB205" i="7"/>
  <c r="AB206" i="7"/>
  <c r="AB207" i="7"/>
  <c r="AB208" i="7"/>
  <c r="AB209" i="7"/>
  <c r="AB210" i="7"/>
  <c r="AB211" i="7"/>
  <c r="AB212" i="7"/>
  <c r="AB213" i="7"/>
  <c r="AB214" i="7"/>
  <c r="AB215" i="7"/>
  <c r="AB216" i="7"/>
  <c r="AB217" i="7"/>
  <c r="AB218" i="7"/>
  <c r="AB219" i="7"/>
  <c r="AB220" i="7"/>
  <c r="AB221" i="7"/>
  <c r="AB222" i="7"/>
  <c r="AB223" i="7"/>
  <c r="AB224" i="7"/>
  <c r="AB225" i="7"/>
  <c r="AB226" i="7"/>
  <c r="AB227" i="7"/>
  <c r="AB228" i="7"/>
  <c r="AB229" i="7"/>
  <c r="AB230" i="7"/>
  <c r="AB231" i="7"/>
  <c r="AB232" i="7"/>
  <c r="AB233" i="7"/>
  <c r="AB234" i="7"/>
  <c r="AB235" i="7"/>
  <c r="AB236" i="7"/>
  <c r="AB237" i="7"/>
  <c r="AB238" i="7"/>
  <c r="AB239" i="7"/>
  <c r="AB240" i="7"/>
  <c r="AB241" i="7"/>
  <c r="AB242" i="7"/>
  <c r="AB243" i="7"/>
  <c r="AB244" i="7"/>
  <c r="AB245" i="7"/>
  <c r="AB246" i="7"/>
  <c r="AB247" i="7"/>
  <c r="AB248" i="7"/>
  <c r="AB249" i="7"/>
  <c r="AB250" i="7"/>
  <c r="AB251" i="7"/>
  <c r="AB252" i="7"/>
  <c r="AB253" i="7"/>
  <c r="AB254" i="7"/>
  <c r="AB255" i="7"/>
  <c r="AB256" i="7"/>
  <c r="AB257" i="7"/>
  <c r="AB258" i="7"/>
  <c r="AB259" i="7"/>
  <c r="AB260" i="7"/>
  <c r="AB261" i="7"/>
  <c r="AB262" i="7"/>
  <c r="AB263" i="7"/>
  <c r="AB264" i="7"/>
  <c r="AB265" i="7"/>
  <c r="AB266" i="7"/>
  <c r="AB267" i="7"/>
  <c r="AB268" i="7"/>
  <c r="AB269" i="7"/>
  <c r="AB270" i="7"/>
  <c r="AB271" i="7"/>
  <c r="AB272" i="7"/>
  <c r="AB273" i="7"/>
  <c r="AB274" i="7"/>
  <c r="AB275" i="7"/>
  <c r="AB276" i="7"/>
  <c r="AB277" i="7"/>
  <c r="AB278" i="7"/>
  <c r="AB279" i="7"/>
  <c r="AB280" i="7"/>
  <c r="AB281" i="7"/>
  <c r="AB282" i="7"/>
  <c r="AB283" i="7"/>
  <c r="AB284" i="7"/>
  <c r="AB285" i="7"/>
  <c r="AB286" i="7"/>
  <c r="AB287" i="7"/>
  <c r="AB288" i="7"/>
  <c r="AB289" i="7"/>
  <c r="AB290" i="7"/>
  <c r="AB291" i="7"/>
  <c r="AB292" i="7"/>
  <c r="AB293" i="7"/>
  <c r="AB294" i="7"/>
  <c r="AB295" i="7"/>
  <c r="AB296" i="7"/>
  <c r="AB297" i="7"/>
  <c r="AB298" i="7"/>
  <c r="AB299" i="7"/>
  <c r="AB300" i="7"/>
  <c r="AB301" i="7"/>
  <c r="AB302" i="7"/>
  <c r="AB303" i="7"/>
  <c r="AB304" i="7"/>
  <c r="AB305" i="7"/>
  <c r="AB306" i="7"/>
  <c r="AB307" i="7"/>
  <c r="AB308" i="7"/>
  <c r="AB309" i="7"/>
  <c r="AB310" i="7"/>
  <c r="AB311" i="7"/>
  <c r="AB312" i="7"/>
  <c r="AB313" i="7"/>
  <c r="AB314" i="7"/>
  <c r="AB315" i="7"/>
  <c r="AB316" i="7"/>
  <c r="AB317" i="7"/>
  <c r="AB318" i="7"/>
  <c r="AB319" i="7"/>
  <c r="AB320" i="7"/>
  <c r="AB321" i="7"/>
  <c r="AB322" i="7"/>
  <c r="AB323" i="7"/>
  <c r="AB324" i="7"/>
  <c r="AB325" i="7"/>
  <c r="AB326" i="7"/>
  <c r="AB327" i="7"/>
  <c r="AB328" i="7"/>
  <c r="AB329" i="7"/>
  <c r="AB330" i="7"/>
  <c r="AB331" i="7"/>
  <c r="AB332" i="7"/>
  <c r="AB333" i="7"/>
  <c r="AB334" i="7"/>
  <c r="AB335" i="7"/>
  <c r="AB336" i="7"/>
  <c r="AB337" i="7"/>
  <c r="AB338" i="7"/>
  <c r="AB339" i="7"/>
  <c r="AB340" i="7"/>
  <c r="AB341" i="7"/>
  <c r="AB342" i="7"/>
  <c r="AB343" i="7"/>
  <c r="AB344" i="7"/>
  <c r="AB345" i="7"/>
  <c r="AB346" i="7"/>
  <c r="AB347" i="7"/>
  <c r="AB348" i="7"/>
  <c r="AB349" i="7"/>
  <c r="AB350" i="7"/>
  <c r="AB351" i="7"/>
  <c r="AB352" i="7"/>
  <c r="AB353" i="7"/>
  <c r="AB354" i="7"/>
  <c r="AB355" i="7"/>
  <c r="AB356" i="7"/>
  <c r="AB357" i="7"/>
  <c r="AB358" i="7"/>
  <c r="AB359" i="7"/>
  <c r="AB360" i="7"/>
  <c r="AB361" i="7"/>
  <c r="AB362" i="7"/>
  <c r="AB363" i="7"/>
  <c r="AB364" i="7"/>
  <c r="AB365" i="7"/>
  <c r="AB366" i="7"/>
  <c r="AB367" i="7"/>
  <c r="AB368" i="7"/>
  <c r="AB369" i="7"/>
  <c r="AB370" i="7"/>
  <c r="AB371" i="7"/>
  <c r="AB372" i="7"/>
  <c r="AB373" i="7"/>
  <c r="AB374" i="7"/>
  <c r="AB375" i="7"/>
  <c r="AB376" i="7"/>
  <c r="AB377" i="7"/>
  <c r="AB378" i="7"/>
  <c r="AB379" i="7"/>
  <c r="AB380" i="7"/>
  <c r="AB381" i="7"/>
  <c r="AB382" i="7"/>
  <c r="AB383" i="7"/>
  <c r="AB384" i="7"/>
  <c r="AB385" i="7"/>
  <c r="AB386" i="7"/>
  <c r="AB387" i="7"/>
  <c r="AB388" i="7"/>
  <c r="AB389" i="7"/>
  <c r="AB390" i="7"/>
  <c r="AB391" i="7"/>
  <c r="AB392" i="7"/>
  <c r="AB393" i="7"/>
  <c r="AB394" i="7"/>
  <c r="AB395" i="7"/>
  <c r="AB396" i="7"/>
  <c r="AB397" i="7"/>
  <c r="AB398" i="7"/>
  <c r="AB399" i="7"/>
  <c r="AB400" i="7"/>
  <c r="AB401" i="7"/>
  <c r="AB402" i="7"/>
  <c r="AB403" i="7"/>
  <c r="AB404" i="7"/>
  <c r="AB405" i="7"/>
  <c r="AB406" i="7"/>
  <c r="AB407" i="7"/>
  <c r="AB408" i="7"/>
  <c r="AB409" i="7"/>
  <c r="AB410" i="7"/>
  <c r="AB411" i="7"/>
  <c r="AB412" i="7"/>
  <c r="AB413" i="7"/>
  <c r="AB414" i="7"/>
  <c r="AB415" i="7"/>
  <c r="AB416" i="7"/>
  <c r="AB417" i="7"/>
  <c r="AB418" i="7"/>
  <c r="AB419" i="7"/>
  <c r="AB420" i="7"/>
  <c r="AB421" i="7"/>
  <c r="AB422" i="7"/>
  <c r="AB423" i="7"/>
  <c r="AB424" i="7"/>
  <c r="AB425" i="7"/>
  <c r="AB426" i="7"/>
  <c r="AB427" i="7"/>
  <c r="AB428" i="7"/>
  <c r="AB429" i="7"/>
  <c r="AB430" i="7"/>
  <c r="AB431" i="7"/>
  <c r="AB432" i="7"/>
  <c r="AB433" i="7"/>
  <c r="AB434" i="7"/>
  <c r="AB435" i="7"/>
  <c r="AB436" i="7"/>
  <c r="AB437" i="7"/>
  <c r="AB438" i="7"/>
  <c r="AB439" i="7"/>
  <c r="AB440" i="7"/>
  <c r="AB441" i="7"/>
  <c r="AB442" i="7"/>
  <c r="AB443" i="7"/>
  <c r="AB444" i="7"/>
  <c r="AB445" i="7"/>
  <c r="AB446" i="7"/>
  <c r="AB447" i="7"/>
  <c r="AB448" i="7"/>
  <c r="AB449" i="7"/>
  <c r="AB450" i="7"/>
  <c r="AB451" i="7"/>
  <c r="AB452" i="7"/>
  <c r="AB453" i="7"/>
  <c r="AB454" i="7"/>
  <c r="AB455" i="7"/>
  <c r="AB456" i="7"/>
  <c r="AB457" i="7"/>
  <c r="AB458" i="7"/>
  <c r="AB459" i="7"/>
  <c r="AB460" i="7"/>
  <c r="AB461" i="7"/>
  <c r="AB462" i="7"/>
  <c r="AB463" i="7"/>
  <c r="AB464" i="7"/>
  <c r="AB465" i="7"/>
  <c r="AB466" i="7"/>
  <c r="AB467" i="7"/>
  <c r="AB468" i="7"/>
  <c r="AB469" i="7"/>
  <c r="AB470" i="7"/>
  <c r="AB471" i="7"/>
  <c r="AB472" i="7"/>
  <c r="AB473" i="7"/>
  <c r="AB474" i="7"/>
  <c r="AB475" i="7"/>
  <c r="AB476" i="7"/>
  <c r="AB477" i="7"/>
  <c r="AB478" i="7"/>
  <c r="AB479" i="7"/>
  <c r="AB480" i="7"/>
  <c r="AB481" i="7"/>
  <c r="AB482" i="7"/>
  <c r="AB483" i="7"/>
  <c r="AB484" i="7"/>
  <c r="AB485" i="7"/>
  <c r="AB486" i="7"/>
  <c r="AB487" i="7"/>
  <c r="AB488" i="7"/>
  <c r="AB489" i="7"/>
  <c r="AB490" i="7"/>
  <c r="AB491" i="7"/>
  <c r="AB492" i="7"/>
  <c r="AB493" i="7"/>
  <c r="AB494" i="7"/>
  <c r="AB495" i="7"/>
  <c r="AB496" i="7"/>
  <c r="AB497" i="7"/>
  <c r="AB498" i="7"/>
  <c r="AB499" i="7"/>
  <c r="AB500" i="7"/>
  <c r="AB501" i="7"/>
  <c r="AB502" i="7"/>
  <c r="AB503" i="7"/>
  <c r="AB504" i="7"/>
  <c r="AB505" i="7"/>
  <c r="AB506" i="7"/>
  <c r="AB507" i="7"/>
  <c r="AB508" i="7"/>
  <c r="AB509" i="7"/>
  <c r="AB510" i="7"/>
  <c r="AB511" i="7"/>
  <c r="AB512" i="7"/>
  <c r="AB513" i="7"/>
  <c r="AB514" i="7"/>
  <c r="AB515" i="7"/>
  <c r="AB516" i="7"/>
  <c r="AB517" i="7"/>
  <c r="AB518" i="7"/>
  <c r="AB519" i="7"/>
  <c r="AB520" i="7"/>
  <c r="AB521" i="7"/>
  <c r="AB522" i="7"/>
  <c r="AB523" i="7"/>
  <c r="AB524" i="7"/>
  <c r="AB525" i="7"/>
  <c r="AB526" i="7"/>
  <c r="AB527" i="7"/>
  <c r="AB528" i="7"/>
  <c r="AB529" i="7"/>
  <c r="AB530" i="7"/>
  <c r="AB531" i="7"/>
  <c r="AB532" i="7"/>
  <c r="AB533" i="7"/>
  <c r="AB534" i="7"/>
  <c r="AB535" i="7"/>
  <c r="AB536" i="7"/>
  <c r="AB537" i="7"/>
  <c r="AB538" i="7"/>
  <c r="AB539" i="7"/>
  <c r="AB540" i="7"/>
  <c r="AB541" i="7"/>
  <c r="AB542" i="7"/>
  <c r="AB543" i="7"/>
  <c r="AB544" i="7"/>
  <c r="AB545" i="7"/>
  <c r="AB546" i="7"/>
  <c r="AB547" i="7"/>
  <c r="AB548" i="7"/>
  <c r="AB549" i="7"/>
  <c r="AB550" i="7"/>
  <c r="AB551" i="7"/>
  <c r="AB552" i="7"/>
  <c r="AB553" i="7"/>
  <c r="AB554" i="7"/>
  <c r="AB555" i="7"/>
  <c r="AB556" i="7"/>
  <c r="AB557" i="7"/>
  <c r="AB558" i="7"/>
  <c r="AB559" i="7"/>
  <c r="AB560" i="7"/>
  <c r="AB561" i="7"/>
  <c r="AB562" i="7"/>
  <c r="AB563" i="7"/>
  <c r="AB564" i="7"/>
  <c r="AB565" i="7"/>
  <c r="AB566" i="7"/>
  <c r="AB567" i="7"/>
  <c r="AB568" i="7"/>
  <c r="AB569" i="7"/>
  <c r="AB570" i="7"/>
  <c r="AB571" i="7"/>
  <c r="AB572" i="7"/>
  <c r="AB573" i="7"/>
  <c r="AB574" i="7"/>
  <c r="AB575" i="7"/>
  <c r="AB576" i="7"/>
  <c r="AB577" i="7"/>
  <c r="AB578" i="7"/>
  <c r="AB579" i="7"/>
  <c r="AB580" i="7"/>
  <c r="AB581" i="7"/>
  <c r="AB582" i="7"/>
  <c r="AB583" i="7"/>
  <c r="AB584" i="7"/>
  <c r="AB585" i="7"/>
  <c r="AB586" i="7"/>
  <c r="AB587" i="7"/>
  <c r="AB588" i="7"/>
  <c r="AB589" i="7"/>
  <c r="AB590" i="7"/>
  <c r="AB591" i="7"/>
  <c r="AB592" i="7"/>
  <c r="AB593" i="7"/>
  <c r="AB594" i="7"/>
  <c r="AB595" i="7"/>
  <c r="AB596" i="7"/>
  <c r="AB597" i="7"/>
  <c r="AB598" i="7"/>
  <c r="AB599" i="7"/>
  <c r="AB600" i="7"/>
  <c r="AB601" i="7"/>
  <c r="AB602" i="7"/>
  <c r="AB603" i="7"/>
  <c r="AB604" i="7"/>
  <c r="AB605" i="7"/>
  <c r="AB606" i="7"/>
  <c r="AB607" i="7"/>
  <c r="AB608" i="7"/>
  <c r="AB609" i="7"/>
  <c r="AB610" i="7"/>
  <c r="AB611" i="7"/>
  <c r="AB612" i="7"/>
  <c r="AB613" i="7"/>
  <c r="AB614" i="7"/>
  <c r="AB615" i="7"/>
  <c r="AB616" i="7"/>
  <c r="AB617" i="7"/>
  <c r="AB618" i="7"/>
  <c r="AB619" i="7"/>
  <c r="AB620" i="7"/>
  <c r="AB621" i="7"/>
  <c r="AB622" i="7"/>
  <c r="AB623" i="7"/>
  <c r="AB624" i="7"/>
  <c r="AB625" i="7"/>
  <c r="AB626" i="7"/>
  <c r="AB627" i="7"/>
  <c r="AB628" i="7"/>
  <c r="AB629" i="7"/>
  <c r="AB630" i="7"/>
  <c r="AB631" i="7"/>
  <c r="AB632" i="7"/>
  <c r="AB633" i="7"/>
  <c r="AB634" i="7"/>
  <c r="AB635" i="7"/>
  <c r="AB636" i="7"/>
  <c r="AB637" i="7"/>
  <c r="AB638" i="7"/>
  <c r="AB639" i="7"/>
  <c r="AB640" i="7"/>
  <c r="AB641" i="7"/>
  <c r="AB642" i="7"/>
  <c r="AB643" i="7"/>
  <c r="AB644" i="7"/>
  <c r="AB645" i="7"/>
  <c r="AB646" i="7"/>
  <c r="AB647" i="7"/>
  <c r="AB648" i="7"/>
  <c r="AB649" i="7"/>
  <c r="AB650" i="7"/>
  <c r="AB651" i="7"/>
  <c r="AB652" i="7"/>
  <c r="AB653" i="7"/>
  <c r="AB654" i="7"/>
  <c r="AB655" i="7"/>
  <c r="AB656" i="7"/>
  <c r="AB657" i="7"/>
  <c r="AB658" i="7"/>
  <c r="AB659" i="7"/>
  <c r="AB660" i="7"/>
  <c r="AB661" i="7"/>
  <c r="AB662" i="7"/>
  <c r="AB663" i="7"/>
  <c r="AB664" i="7"/>
  <c r="AB665" i="7"/>
  <c r="AB666" i="7"/>
  <c r="AB667" i="7"/>
  <c r="AB668" i="7"/>
  <c r="AB669" i="7"/>
  <c r="AB670" i="7"/>
  <c r="AB671" i="7"/>
  <c r="AB672" i="7"/>
  <c r="AB673" i="7"/>
  <c r="AB674" i="7"/>
  <c r="AB675" i="7"/>
  <c r="AB676" i="7"/>
  <c r="AB677" i="7"/>
  <c r="AB678" i="7"/>
  <c r="AB679" i="7"/>
  <c r="AB680" i="7"/>
  <c r="AB681" i="7"/>
  <c r="AB682" i="7"/>
  <c r="AB683" i="7"/>
  <c r="AB684" i="7"/>
  <c r="AB685" i="7"/>
  <c r="AB686" i="7"/>
  <c r="AB687" i="7"/>
  <c r="AB688" i="7"/>
  <c r="AB689" i="7"/>
  <c r="AB690" i="7"/>
  <c r="AB691" i="7"/>
  <c r="AB692" i="7"/>
  <c r="AB693" i="7"/>
  <c r="AB694" i="7"/>
  <c r="AB695" i="7"/>
  <c r="AB696" i="7"/>
  <c r="AB697" i="7"/>
  <c r="AB698" i="7"/>
  <c r="AB699" i="7"/>
  <c r="AB700" i="7"/>
  <c r="AB701" i="7"/>
  <c r="AB702" i="7"/>
  <c r="AB703" i="7"/>
  <c r="AB704" i="7"/>
  <c r="AB705" i="7"/>
  <c r="AB706" i="7"/>
  <c r="AB707" i="7"/>
  <c r="AB708" i="7"/>
  <c r="AB709" i="7"/>
  <c r="AB710" i="7"/>
  <c r="AB711" i="7"/>
  <c r="AB712" i="7"/>
  <c r="AB713" i="7"/>
  <c r="AB714" i="7"/>
  <c r="AB715" i="7"/>
  <c r="AB716" i="7"/>
  <c r="AB717" i="7"/>
  <c r="AB718" i="7"/>
  <c r="AB719" i="7"/>
  <c r="AB720" i="7"/>
  <c r="AB721" i="7"/>
  <c r="AB722" i="7"/>
  <c r="AB723" i="7"/>
  <c r="AB724" i="7"/>
  <c r="AB725" i="7"/>
  <c r="AB726" i="7"/>
  <c r="AB727" i="7"/>
  <c r="AB728" i="7"/>
  <c r="AB729" i="7"/>
  <c r="AB730" i="7"/>
  <c r="AB731" i="7"/>
  <c r="AB732" i="7"/>
  <c r="AB733" i="7"/>
  <c r="AB734" i="7"/>
  <c r="AB735" i="7"/>
  <c r="AB736" i="7"/>
  <c r="AB737" i="7"/>
  <c r="AB738" i="7"/>
  <c r="AB739" i="7"/>
  <c r="AB740" i="7"/>
  <c r="AB741" i="7"/>
  <c r="AB742" i="7"/>
  <c r="AB743" i="7"/>
  <c r="AB744" i="7"/>
  <c r="AB745" i="7"/>
  <c r="AB746" i="7"/>
  <c r="AB747" i="7"/>
  <c r="AB748" i="7"/>
  <c r="AB749" i="7"/>
  <c r="AB750" i="7"/>
  <c r="AB751" i="7"/>
  <c r="AB752" i="7"/>
  <c r="AB753" i="7"/>
  <c r="AB754" i="7"/>
  <c r="AB755" i="7"/>
  <c r="AB756" i="7"/>
  <c r="AB757" i="7"/>
  <c r="AB758" i="7"/>
  <c r="AB759" i="7"/>
  <c r="AB760" i="7"/>
  <c r="AB761" i="7"/>
  <c r="AB762" i="7"/>
  <c r="AB763" i="7"/>
  <c r="AB764" i="7"/>
  <c r="AB765" i="7"/>
  <c r="AB766" i="7"/>
  <c r="AB767" i="7"/>
  <c r="AB768" i="7"/>
  <c r="AB769" i="7"/>
  <c r="AB770" i="7"/>
  <c r="AB771" i="7"/>
  <c r="AB772" i="7"/>
  <c r="AB773" i="7"/>
  <c r="AB774" i="7"/>
  <c r="AB775" i="7"/>
  <c r="AB776" i="7"/>
  <c r="AB777" i="7"/>
  <c r="AB778" i="7"/>
  <c r="AB779" i="7"/>
  <c r="AB780" i="7"/>
  <c r="AB781" i="7"/>
  <c r="AB782" i="7"/>
  <c r="AB783" i="7"/>
  <c r="AB784" i="7"/>
  <c r="AB785" i="7"/>
  <c r="AB786" i="7"/>
  <c r="AB787" i="7"/>
  <c r="AB788" i="7"/>
  <c r="AB789" i="7"/>
  <c r="AB790" i="7"/>
  <c r="AB791" i="7"/>
  <c r="AB792" i="7"/>
  <c r="AB793" i="7"/>
  <c r="AB794" i="7"/>
  <c r="AB795" i="7"/>
  <c r="AB796" i="7"/>
  <c r="AB797" i="7"/>
  <c r="AB798" i="7"/>
  <c r="AB799" i="7"/>
  <c r="AB800" i="7"/>
  <c r="AB801" i="7"/>
  <c r="AB802" i="7"/>
  <c r="AB803" i="7"/>
  <c r="AB804" i="7"/>
  <c r="AB805" i="7"/>
  <c r="AB806" i="7"/>
  <c r="AB807" i="7"/>
  <c r="AB808" i="7"/>
  <c r="AB809" i="7"/>
  <c r="AB810" i="7"/>
  <c r="AB811" i="7"/>
  <c r="AB812" i="7"/>
  <c r="AB813" i="7"/>
  <c r="AB814" i="7"/>
  <c r="AB815" i="7"/>
  <c r="AB816" i="7"/>
  <c r="AB817" i="7"/>
  <c r="AB818" i="7"/>
  <c r="AB819" i="7"/>
  <c r="AB820" i="7"/>
  <c r="AB821" i="7"/>
  <c r="AB822" i="7"/>
  <c r="AB823" i="7"/>
  <c r="AB824" i="7"/>
  <c r="AB825" i="7"/>
  <c r="AB826" i="7"/>
  <c r="AB827" i="7"/>
  <c r="AB828" i="7"/>
  <c r="AB829" i="7"/>
  <c r="AB830" i="7"/>
  <c r="AB831" i="7"/>
  <c r="AB832" i="7"/>
  <c r="AB833" i="7"/>
  <c r="AB834" i="7"/>
  <c r="AB835" i="7"/>
  <c r="AB836" i="7"/>
  <c r="AB837" i="7"/>
  <c r="AB838" i="7"/>
  <c r="AB839" i="7"/>
  <c r="AB840" i="7"/>
  <c r="AB841" i="7"/>
  <c r="AB842" i="7"/>
  <c r="AB843" i="7"/>
  <c r="AB844" i="7"/>
  <c r="AB845" i="7"/>
  <c r="AB846" i="7"/>
  <c r="AB847" i="7"/>
  <c r="AB848" i="7"/>
  <c r="AB849" i="7"/>
  <c r="AB850" i="7"/>
  <c r="AB851" i="7"/>
  <c r="AB852" i="7"/>
  <c r="AB853" i="7"/>
  <c r="AB854" i="7"/>
  <c r="AB855" i="7"/>
  <c r="AB856" i="7"/>
  <c r="AB857" i="7"/>
  <c r="AB858" i="7"/>
  <c r="AB859" i="7"/>
  <c r="AB860" i="7"/>
  <c r="AB861" i="7"/>
  <c r="AB862" i="7"/>
  <c r="AB863" i="7"/>
  <c r="AB864" i="7"/>
  <c r="AB865" i="7"/>
  <c r="AB866" i="7"/>
  <c r="AB867" i="7"/>
  <c r="AB868" i="7"/>
  <c r="AB869" i="7"/>
  <c r="AB870" i="7"/>
  <c r="AB871" i="7"/>
  <c r="AB872" i="7"/>
  <c r="AB873" i="7"/>
  <c r="AB874" i="7"/>
  <c r="AB875" i="7"/>
  <c r="AB876" i="7"/>
  <c r="AB877" i="7"/>
  <c r="AB878" i="7"/>
  <c r="AB879" i="7"/>
  <c r="AB880" i="7"/>
  <c r="AB881" i="7"/>
  <c r="AB882" i="7"/>
  <c r="AB883" i="7"/>
  <c r="AB884" i="7"/>
  <c r="AB885" i="7"/>
  <c r="AB886" i="7"/>
  <c r="AB887" i="7"/>
  <c r="AB888" i="7"/>
  <c r="AB889" i="7"/>
  <c r="AB890" i="7"/>
  <c r="AB891" i="7"/>
  <c r="AB892" i="7"/>
  <c r="AB893" i="7"/>
  <c r="AB894" i="7"/>
  <c r="AB895" i="7"/>
  <c r="AB896" i="7"/>
  <c r="AB897" i="7"/>
  <c r="AB898" i="7"/>
  <c r="AB899" i="7"/>
  <c r="AB900" i="7"/>
  <c r="AB901" i="7"/>
  <c r="AB902" i="7"/>
  <c r="AB903" i="7"/>
  <c r="AB904" i="7"/>
  <c r="AB905" i="7"/>
  <c r="AB906" i="7"/>
  <c r="AB907" i="7"/>
  <c r="AB908" i="7"/>
  <c r="AB909" i="7"/>
  <c r="AB910" i="7"/>
  <c r="AB911" i="7"/>
  <c r="AB912" i="7"/>
  <c r="AB913" i="7"/>
  <c r="AB914" i="7"/>
  <c r="AB915" i="7"/>
  <c r="AB916" i="7"/>
  <c r="AB917" i="7"/>
  <c r="AB918" i="7"/>
  <c r="AB919" i="7"/>
  <c r="AB920" i="7"/>
  <c r="AB921" i="7"/>
  <c r="AB922" i="7"/>
  <c r="AB923" i="7"/>
  <c r="AB924" i="7"/>
  <c r="AB925" i="7"/>
  <c r="AB926" i="7"/>
  <c r="AB927" i="7"/>
  <c r="AB928" i="7"/>
  <c r="AB929" i="7"/>
  <c r="AB930" i="7"/>
  <c r="AB931" i="7"/>
  <c r="AB932" i="7"/>
  <c r="AB933" i="7"/>
  <c r="AB934" i="7"/>
  <c r="AB935" i="7"/>
  <c r="AB936" i="7"/>
  <c r="AB937" i="7"/>
  <c r="AB938" i="7"/>
  <c r="AB939" i="7"/>
  <c r="AB940" i="7"/>
  <c r="AB941" i="7"/>
  <c r="AB942" i="7"/>
  <c r="AB943" i="7"/>
  <c r="AB944" i="7"/>
  <c r="AB945" i="7"/>
  <c r="AB946" i="7"/>
  <c r="AB947" i="7"/>
  <c r="AB948" i="7"/>
  <c r="AB949" i="7"/>
  <c r="AB950" i="7"/>
  <c r="AB951" i="7"/>
  <c r="AB952" i="7"/>
  <c r="AB953" i="7"/>
  <c r="AB954" i="7"/>
  <c r="AB955" i="7"/>
  <c r="AB956" i="7"/>
  <c r="AB957" i="7"/>
  <c r="AB958" i="7"/>
  <c r="AB959" i="7"/>
  <c r="AB960" i="7"/>
  <c r="AB961" i="7"/>
  <c r="AB962" i="7"/>
  <c r="AB963" i="7"/>
  <c r="AB964" i="7"/>
  <c r="AB965" i="7"/>
  <c r="AB966" i="7"/>
  <c r="AB967" i="7"/>
  <c r="AB968" i="7"/>
  <c r="AB969" i="7"/>
  <c r="AB970" i="7"/>
  <c r="AB971" i="7"/>
  <c r="AB972" i="7"/>
  <c r="AB973" i="7"/>
  <c r="AB974" i="7"/>
  <c r="AB975" i="7"/>
  <c r="AB976" i="7"/>
  <c r="AB977" i="7"/>
  <c r="AB978" i="7"/>
  <c r="AB979" i="7"/>
  <c r="AB980" i="7"/>
  <c r="AB981" i="7"/>
  <c r="AB982" i="7"/>
  <c r="AB983" i="7"/>
  <c r="AB984" i="7"/>
  <c r="AB985" i="7"/>
  <c r="AB986" i="7"/>
  <c r="AB987" i="7"/>
  <c r="AB988" i="7"/>
  <c r="AB989" i="7"/>
  <c r="AB990" i="7"/>
  <c r="AB991" i="7"/>
  <c r="AB992" i="7"/>
  <c r="AB993" i="7"/>
  <c r="AB994" i="7"/>
  <c r="AB995" i="7"/>
  <c r="AB996" i="7"/>
  <c r="AB997" i="7"/>
  <c r="AB998" i="7"/>
  <c r="AB999" i="7"/>
  <c r="AB1000" i="7"/>
  <c r="AB1001" i="7"/>
  <c r="AB1002" i="7"/>
  <c r="AB1003" i="7"/>
  <c r="AB1004" i="7"/>
  <c r="AB1005" i="7"/>
  <c r="AB1006" i="7"/>
  <c r="AB1007" i="7"/>
  <c r="AB1008" i="7"/>
  <c r="AB1009" i="7"/>
  <c r="AB1010" i="7"/>
  <c r="AB1011" i="7"/>
  <c r="AB1012" i="7"/>
  <c r="AB1013" i="7"/>
  <c r="AB1014" i="7"/>
  <c r="AB1015" i="7"/>
  <c r="AB1016" i="7"/>
  <c r="AB1017" i="7"/>
  <c r="AB1018" i="7"/>
  <c r="AB1019" i="7"/>
  <c r="AB1020" i="7"/>
  <c r="AB1021" i="7"/>
  <c r="AB1022" i="7"/>
  <c r="AB1023" i="7"/>
  <c r="AB1024" i="7"/>
  <c r="AB1025" i="7"/>
  <c r="AB1026" i="7"/>
  <c r="AB1027" i="7"/>
  <c r="AB1028" i="7"/>
  <c r="AB1029" i="7"/>
  <c r="AB1030" i="7"/>
  <c r="AB1031" i="7"/>
  <c r="AB1032" i="7"/>
  <c r="AB1033" i="7"/>
  <c r="AB1034" i="7"/>
  <c r="AB1035" i="7"/>
  <c r="AB1036" i="7"/>
  <c r="AB1037" i="7"/>
  <c r="AB1038" i="7"/>
  <c r="AB1039" i="7"/>
  <c r="AB1040" i="7"/>
  <c r="AB1041" i="7"/>
  <c r="AB1042" i="7"/>
  <c r="AB1043" i="7"/>
  <c r="AB1044" i="7"/>
  <c r="AB1045" i="7"/>
  <c r="AB1046" i="7"/>
  <c r="AB1047" i="7"/>
  <c r="AB1048" i="7"/>
  <c r="AB1049" i="7"/>
  <c r="AB1050" i="7"/>
  <c r="AB1051" i="7"/>
  <c r="AB1052" i="7"/>
  <c r="AB1053" i="7"/>
  <c r="AB1054" i="7"/>
  <c r="AB1055" i="7"/>
  <c r="AB1056" i="7"/>
  <c r="AB1057" i="7"/>
  <c r="AB1058" i="7"/>
  <c r="AB1059" i="7"/>
  <c r="AB1060" i="7"/>
  <c r="AB1061" i="7"/>
  <c r="AB1062" i="7"/>
  <c r="AB1063" i="7"/>
  <c r="AB1064" i="7"/>
  <c r="AB1065" i="7"/>
  <c r="AB1066" i="7"/>
  <c r="AB1067" i="7"/>
  <c r="AB1068" i="7"/>
  <c r="AB1069" i="7"/>
  <c r="AB1070" i="7"/>
  <c r="AB1071" i="7"/>
  <c r="AB1072" i="7"/>
  <c r="AB1073" i="7"/>
  <c r="AB1074" i="7"/>
  <c r="AB1075" i="7"/>
  <c r="AB1076" i="7"/>
  <c r="AB1077" i="7"/>
  <c r="AB1078" i="7"/>
  <c r="AB1079" i="7"/>
  <c r="AB1080" i="7"/>
  <c r="AB1081" i="7"/>
  <c r="AB1082" i="7"/>
  <c r="AB1083" i="7"/>
  <c r="AB1084" i="7"/>
  <c r="AB1085" i="7"/>
  <c r="AB1086" i="7"/>
  <c r="AB1087" i="7"/>
  <c r="AB1088" i="7"/>
  <c r="AB1089" i="7"/>
  <c r="AB1090" i="7"/>
  <c r="AB1091" i="7"/>
  <c r="AB1092" i="7"/>
  <c r="AB1093" i="7"/>
  <c r="AB1094" i="7"/>
  <c r="AB1095" i="7"/>
  <c r="AB1096" i="7"/>
  <c r="AB1097" i="7"/>
  <c r="AB1098" i="7"/>
  <c r="AB1099" i="7"/>
  <c r="AB1100" i="7"/>
  <c r="AB1101" i="7"/>
  <c r="AB1102" i="7"/>
  <c r="AB1103" i="7"/>
  <c r="AB1104" i="7"/>
  <c r="AB1105" i="7"/>
  <c r="AB1106" i="7"/>
  <c r="AB1107" i="7"/>
  <c r="AB1108" i="7"/>
  <c r="AB1109" i="7"/>
  <c r="AB1110" i="7"/>
  <c r="AB1111" i="7"/>
  <c r="AB1112" i="7"/>
  <c r="AB1113" i="7"/>
  <c r="AB1114" i="7"/>
  <c r="AB1115" i="7"/>
  <c r="AB1116" i="7"/>
  <c r="AB1117" i="7"/>
  <c r="AB1118" i="7"/>
  <c r="AB1119" i="7"/>
  <c r="AB1120" i="7"/>
  <c r="AB1121" i="7"/>
  <c r="AB1122" i="7"/>
  <c r="AB1123" i="7"/>
  <c r="AB1124" i="7"/>
  <c r="AB1125" i="7"/>
  <c r="AB1126" i="7"/>
  <c r="AB1127" i="7"/>
  <c r="AB1128" i="7"/>
  <c r="AB1129" i="7"/>
  <c r="AB1130" i="7"/>
  <c r="AB1131" i="7"/>
  <c r="AB1132" i="7"/>
  <c r="AB1133" i="7"/>
  <c r="AB1134" i="7"/>
  <c r="AB1135" i="7"/>
  <c r="AB1136" i="7"/>
  <c r="AB1137" i="7"/>
  <c r="AB1138" i="7"/>
  <c r="AB1139" i="7"/>
  <c r="AB1140" i="7"/>
  <c r="AB1141" i="7"/>
  <c r="AB1142" i="7"/>
  <c r="AB1143" i="7"/>
  <c r="AB1144" i="7"/>
  <c r="AB1145" i="7"/>
  <c r="AB1146" i="7"/>
  <c r="AB1147" i="7"/>
  <c r="AB1148" i="7"/>
  <c r="AB1149" i="7"/>
  <c r="AB1150" i="7"/>
  <c r="AB1151" i="7"/>
  <c r="AB1152" i="7"/>
  <c r="AB1153" i="7"/>
  <c r="AB1154" i="7"/>
  <c r="AB1155" i="7"/>
  <c r="AB1156" i="7"/>
  <c r="AB1157" i="7"/>
  <c r="AB1158" i="7"/>
  <c r="AB1159" i="7"/>
  <c r="AB1160" i="7"/>
  <c r="AB1161" i="7"/>
  <c r="AB1162" i="7"/>
  <c r="AB1163" i="7"/>
  <c r="AB1164" i="7"/>
  <c r="AB1165" i="7"/>
  <c r="AB1166" i="7"/>
  <c r="AB1167" i="7"/>
  <c r="AB1168" i="7"/>
  <c r="AB1169" i="7"/>
  <c r="AB1170" i="7"/>
  <c r="AB1171" i="7"/>
  <c r="AB1172" i="7"/>
  <c r="AB1173" i="7"/>
  <c r="AB1174" i="7"/>
  <c r="AB1175" i="7"/>
  <c r="AB1176" i="7"/>
  <c r="AB1177" i="7"/>
  <c r="AB1178" i="7"/>
  <c r="AB1179" i="7"/>
  <c r="AB1180" i="7"/>
  <c r="AB1181" i="7"/>
  <c r="AB1182" i="7"/>
  <c r="AB1183" i="7"/>
  <c r="AB1184" i="7"/>
  <c r="AB1185" i="7"/>
  <c r="AB1186" i="7"/>
  <c r="AB1187" i="7"/>
  <c r="AB1188" i="7"/>
  <c r="AB1189" i="7"/>
  <c r="AB1190" i="7"/>
  <c r="AB1191" i="7"/>
  <c r="AB1192" i="7"/>
  <c r="AB1193" i="7"/>
  <c r="AB1194" i="7"/>
  <c r="AB1195" i="7"/>
  <c r="AB1196" i="7"/>
  <c r="AB1197" i="7"/>
  <c r="AB1198" i="7"/>
  <c r="AB1199" i="7"/>
  <c r="AB1200" i="7"/>
  <c r="AB1201" i="7"/>
  <c r="AB1202" i="7"/>
  <c r="AB1203" i="7"/>
  <c r="AB1204" i="7"/>
  <c r="AB1205" i="7"/>
  <c r="AB1206" i="7"/>
  <c r="AB1207" i="7"/>
  <c r="AB1208" i="7"/>
  <c r="AB1209" i="7"/>
  <c r="AB1210" i="7"/>
  <c r="AB1211" i="7"/>
  <c r="AB1212" i="7"/>
  <c r="AB1213" i="7"/>
  <c r="AB1214" i="7"/>
  <c r="AB1215" i="7"/>
  <c r="AB1216" i="7"/>
  <c r="AB1217" i="7"/>
  <c r="AB1218" i="7"/>
  <c r="AB1219" i="7"/>
  <c r="AB1220" i="7"/>
  <c r="AB1221" i="7"/>
  <c r="AB1222" i="7"/>
  <c r="AB1223" i="7"/>
  <c r="AB1224" i="7"/>
  <c r="AB1225" i="7"/>
  <c r="AB1226" i="7"/>
  <c r="AB1227" i="7"/>
  <c r="AB1228" i="7"/>
  <c r="AB1229" i="7"/>
  <c r="AB1230" i="7"/>
  <c r="AB1231" i="7"/>
  <c r="AB1232" i="7"/>
  <c r="AB1233" i="7"/>
  <c r="AB1234" i="7"/>
  <c r="AB1235" i="7"/>
  <c r="AB1236" i="7"/>
  <c r="AB1237" i="7"/>
  <c r="AB1238" i="7"/>
  <c r="AB1239" i="7"/>
  <c r="AB1240" i="7"/>
  <c r="AB1241" i="7"/>
  <c r="AB1242" i="7"/>
  <c r="AB1243" i="7"/>
  <c r="AB1244" i="7"/>
  <c r="AB1245" i="7"/>
  <c r="AB1246" i="7"/>
  <c r="AB1247" i="7"/>
  <c r="AB1248" i="7"/>
  <c r="AB1249" i="7"/>
  <c r="AB1250" i="7"/>
  <c r="AB1251" i="7"/>
  <c r="AB1252" i="7"/>
  <c r="AB1253" i="7"/>
  <c r="AB1254" i="7"/>
  <c r="AB1255" i="7"/>
  <c r="AB1256" i="7"/>
  <c r="AB1257" i="7"/>
  <c r="AB1258" i="7"/>
  <c r="AB1259" i="7"/>
  <c r="AB1260" i="7"/>
  <c r="AB1261" i="7"/>
  <c r="AB1262" i="7"/>
  <c r="AB1263" i="7"/>
  <c r="AB1264" i="7"/>
  <c r="AB1265" i="7"/>
  <c r="AB1266" i="7"/>
  <c r="AB1267" i="7"/>
  <c r="AB1268" i="7"/>
  <c r="AB1269" i="7"/>
  <c r="AB1270" i="7"/>
  <c r="AB1271" i="7"/>
  <c r="AB1272" i="7"/>
  <c r="AB1273" i="7"/>
  <c r="AB1274" i="7"/>
  <c r="AB1275" i="7"/>
  <c r="AB1276" i="7"/>
  <c r="AB1277" i="7"/>
  <c r="AB1278" i="7"/>
  <c r="AB1279" i="7"/>
  <c r="AB1280" i="7"/>
  <c r="AB1281" i="7"/>
  <c r="AB1282" i="7"/>
  <c r="AB1283" i="7"/>
  <c r="AB1284" i="7"/>
  <c r="AB1285" i="7"/>
  <c r="AB1286" i="7"/>
  <c r="AB1287" i="7"/>
  <c r="AB1288" i="7"/>
  <c r="AB1289" i="7"/>
  <c r="AB1290" i="7"/>
  <c r="AB1291" i="7"/>
  <c r="AB1292" i="7"/>
  <c r="AB1293" i="7"/>
  <c r="AB1294" i="7"/>
  <c r="AB1295" i="7"/>
  <c r="AB1296" i="7"/>
  <c r="AB1297" i="7"/>
  <c r="AB1298" i="7"/>
  <c r="AB1299" i="7"/>
  <c r="AB1300" i="7"/>
  <c r="AB1301" i="7"/>
  <c r="AB1302" i="7"/>
  <c r="AB1303" i="7"/>
  <c r="AB1304" i="7"/>
  <c r="AB1305" i="7"/>
  <c r="AB1306" i="7"/>
  <c r="AB1307" i="7"/>
  <c r="AB1308" i="7"/>
  <c r="AB1309" i="7"/>
  <c r="AB1310" i="7"/>
  <c r="AB1311" i="7"/>
  <c r="AB1312" i="7"/>
  <c r="AB1313" i="7"/>
  <c r="AB1314" i="7"/>
  <c r="AB1315" i="7"/>
  <c r="AB1316" i="7"/>
  <c r="AB1317" i="7"/>
  <c r="AB1318" i="7"/>
  <c r="AB1319" i="7"/>
  <c r="AB1320" i="7"/>
  <c r="AB1321" i="7"/>
  <c r="AB1322" i="7"/>
  <c r="AB1323" i="7"/>
  <c r="AB1324" i="7"/>
  <c r="AB1325" i="7"/>
  <c r="AB1326" i="7"/>
  <c r="AB1327" i="7"/>
  <c r="AB1328" i="7"/>
  <c r="AB1329" i="7"/>
  <c r="AB1330" i="7"/>
  <c r="AB1331" i="7"/>
  <c r="AB1332" i="7"/>
  <c r="AB1333" i="7"/>
  <c r="AB1334" i="7"/>
  <c r="AB1335" i="7"/>
  <c r="AB1336" i="7"/>
  <c r="AB1337" i="7"/>
  <c r="AB1338" i="7"/>
  <c r="AB1339" i="7"/>
  <c r="AB1340" i="7"/>
  <c r="AB1341" i="7"/>
  <c r="AB1342" i="7"/>
  <c r="AB1343" i="7"/>
  <c r="AB1344" i="7"/>
  <c r="AB1345" i="7"/>
  <c r="AB1346" i="7"/>
  <c r="AB1347" i="7"/>
  <c r="AB1348" i="7"/>
  <c r="AB1349" i="7"/>
  <c r="AB1350" i="7"/>
  <c r="AB1351" i="7"/>
  <c r="AB1352" i="7"/>
  <c r="AB1353" i="7"/>
  <c r="AB1354" i="7"/>
  <c r="AB1355" i="7"/>
  <c r="AB1356" i="7"/>
  <c r="AB1357" i="7"/>
  <c r="AB1358" i="7"/>
  <c r="AB1359" i="7"/>
  <c r="AB1360" i="7"/>
  <c r="AB1361" i="7"/>
  <c r="AB1362" i="7"/>
  <c r="AB1363" i="7"/>
  <c r="AB1364" i="7"/>
  <c r="AB1365" i="7"/>
  <c r="AB1366" i="7"/>
  <c r="AB1367" i="7"/>
  <c r="AB1368" i="7"/>
  <c r="AB1369" i="7"/>
  <c r="AB1370" i="7"/>
  <c r="AB1371" i="7"/>
  <c r="AB1372" i="7"/>
  <c r="AB1373" i="7"/>
  <c r="AB1374" i="7"/>
  <c r="AB1375" i="7"/>
  <c r="AB1376" i="7"/>
  <c r="AB1377" i="7"/>
  <c r="AB1378" i="7"/>
  <c r="AB1379" i="7"/>
  <c r="AB1380" i="7"/>
  <c r="AB1381" i="7"/>
  <c r="AB1382" i="7"/>
  <c r="AB1383" i="7"/>
  <c r="AB1384" i="7"/>
  <c r="AB1385" i="7"/>
  <c r="AB1386" i="7"/>
  <c r="AB1387" i="7"/>
  <c r="AB1388" i="7"/>
  <c r="AB1389" i="7"/>
  <c r="AB1390" i="7"/>
  <c r="AB1391" i="7"/>
  <c r="AB1392" i="7"/>
  <c r="AB1393" i="7"/>
  <c r="AB1394" i="7"/>
  <c r="AB1395" i="7"/>
  <c r="AB1396" i="7"/>
  <c r="AB1397" i="7"/>
  <c r="AB1398" i="7"/>
  <c r="AB1399" i="7"/>
  <c r="AB1400" i="7"/>
  <c r="AB1401" i="7"/>
  <c r="AB1402" i="7"/>
  <c r="AB1403" i="7"/>
  <c r="AB1404" i="7"/>
  <c r="AB1405" i="7"/>
  <c r="AB1406" i="7"/>
  <c r="AB1407" i="7"/>
  <c r="AB1408" i="7"/>
  <c r="AB1409" i="7"/>
  <c r="AB1410" i="7"/>
  <c r="AB1411" i="7"/>
  <c r="AB1412" i="7"/>
  <c r="AB1413" i="7"/>
  <c r="AB1414" i="7"/>
  <c r="AB1415" i="7"/>
  <c r="AB1416" i="7"/>
  <c r="AB1417" i="7"/>
  <c r="AB1418" i="7"/>
  <c r="AB1419" i="7"/>
  <c r="AB1420" i="7"/>
  <c r="AB1421" i="7"/>
  <c r="AB1422" i="7"/>
  <c r="AB1423" i="7"/>
  <c r="AB1424" i="7"/>
  <c r="AB1425" i="7"/>
  <c r="AB1426" i="7"/>
  <c r="AB1427" i="7"/>
  <c r="AB1428" i="7"/>
  <c r="AB1429" i="7"/>
  <c r="AB1430" i="7"/>
  <c r="AB1431" i="7"/>
  <c r="AB1432" i="7"/>
  <c r="AB1433" i="7"/>
  <c r="AB1434" i="7"/>
  <c r="AB1435" i="7"/>
  <c r="AB1436" i="7"/>
  <c r="AB1437" i="7"/>
  <c r="AB1438" i="7"/>
  <c r="AB1439" i="7"/>
  <c r="AB1440" i="7"/>
  <c r="AB1441" i="7"/>
  <c r="AB1442" i="7"/>
  <c r="AB1443" i="7"/>
  <c r="AB1444" i="7"/>
  <c r="AB1445" i="7"/>
  <c r="AB1446" i="7"/>
  <c r="AB1447" i="7"/>
  <c r="AB1448" i="7"/>
  <c r="AB1449" i="7"/>
  <c r="AB1450" i="7"/>
  <c r="AB1451" i="7"/>
  <c r="AB1452" i="7"/>
  <c r="AB1453" i="7"/>
  <c r="AB1454" i="7"/>
  <c r="AB1455" i="7"/>
  <c r="AB1456" i="7"/>
  <c r="AB1457" i="7"/>
  <c r="AB1458" i="7"/>
  <c r="AB1459" i="7"/>
  <c r="AB1460" i="7"/>
  <c r="AB1461" i="7"/>
  <c r="AB1462" i="7"/>
  <c r="AB1463" i="7"/>
  <c r="AB1464" i="7"/>
  <c r="AB1465" i="7"/>
  <c r="AB1466" i="7"/>
  <c r="AB1467" i="7"/>
  <c r="AB1468" i="7"/>
  <c r="AB1469" i="7"/>
  <c r="AB1470" i="7"/>
  <c r="AB1471" i="7"/>
  <c r="AB2" i="7"/>
  <c r="AA2" i="7"/>
  <c r="AA3" i="7"/>
  <c r="AA4" i="7"/>
  <c r="AA5" i="7"/>
  <c r="AA6" i="7"/>
  <c r="AA7" i="7"/>
  <c r="AA8" i="7"/>
  <c r="AA9" i="7"/>
  <c r="AA10" i="7"/>
  <c r="AA11" i="7"/>
  <c r="AA12" i="7"/>
  <c r="AA13" i="7"/>
  <c r="AA14" i="7"/>
  <c r="AA15" i="7"/>
  <c r="AA16" i="7"/>
  <c r="AA17" i="7"/>
  <c r="AA18" i="7"/>
  <c r="AA19" i="7"/>
  <c r="AA20" i="7"/>
  <c r="AA21" i="7"/>
  <c r="AA22" i="7"/>
  <c r="AA23" i="7"/>
  <c r="AA24" i="7"/>
  <c r="AA25" i="7"/>
  <c r="AA26" i="7"/>
  <c r="AA27" i="7"/>
  <c r="AA28" i="7"/>
  <c r="AA29" i="7"/>
  <c r="AA30" i="7"/>
  <c r="AA31" i="7"/>
  <c r="AA32" i="7"/>
  <c r="AA33" i="7"/>
  <c r="AA34" i="7"/>
  <c r="AA35" i="7"/>
  <c r="AA36" i="7"/>
  <c r="AA37" i="7"/>
  <c r="AA38" i="7"/>
  <c r="AA39" i="7"/>
  <c r="AA40" i="7"/>
  <c r="AA41" i="7"/>
  <c r="AA42" i="7"/>
  <c r="AA43" i="7"/>
  <c r="AA44" i="7"/>
  <c r="AA45" i="7"/>
  <c r="AA46" i="7"/>
  <c r="AA47" i="7"/>
  <c r="AA48" i="7"/>
  <c r="AA49" i="7"/>
  <c r="AA50" i="7"/>
  <c r="AA51" i="7"/>
  <c r="AA52" i="7"/>
  <c r="AA53" i="7"/>
  <c r="AA54" i="7"/>
  <c r="AA55" i="7"/>
  <c r="AA56" i="7"/>
  <c r="AA57" i="7"/>
  <c r="AA58" i="7"/>
  <c r="AA59" i="7"/>
  <c r="AA60" i="7"/>
  <c r="AA61" i="7"/>
  <c r="AA62" i="7"/>
  <c r="AA63" i="7"/>
  <c r="AA64" i="7"/>
  <c r="AA65" i="7"/>
  <c r="AA66" i="7"/>
  <c r="AA67" i="7"/>
  <c r="AA68" i="7"/>
  <c r="AA69" i="7"/>
  <c r="AA70" i="7"/>
  <c r="AA71" i="7"/>
  <c r="AA72" i="7"/>
  <c r="AA73" i="7"/>
  <c r="AA74" i="7"/>
  <c r="AA75" i="7"/>
  <c r="AA76" i="7"/>
  <c r="AA77" i="7"/>
  <c r="AA78" i="7"/>
  <c r="AA79" i="7"/>
  <c r="AA80" i="7"/>
  <c r="AA81" i="7"/>
  <c r="AA82" i="7"/>
  <c r="AA83" i="7"/>
  <c r="AA84" i="7"/>
  <c r="AA85" i="7"/>
  <c r="AA86" i="7"/>
  <c r="AA87" i="7"/>
  <c r="AA88" i="7"/>
  <c r="AA89" i="7"/>
  <c r="AA90" i="7"/>
  <c r="AA91" i="7"/>
  <c r="B91" i="12" s="1"/>
  <c r="AA92" i="7"/>
  <c r="AA93" i="7"/>
  <c r="AA94" i="7"/>
  <c r="AA95" i="7"/>
  <c r="AA96" i="7"/>
  <c r="AA97" i="7"/>
  <c r="AA98" i="7"/>
  <c r="AA99" i="7"/>
  <c r="AA100" i="7"/>
  <c r="AA101" i="7"/>
  <c r="AA102" i="7"/>
  <c r="AA103" i="7"/>
  <c r="AA104" i="7"/>
  <c r="AA105" i="7"/>
  <c r="AA106" i="7"/>
  <c r="AA107" i="7"/>
  <c r="AA108" i="7"/>
  <c r="AA109" i="7"/>
  <c r="AA110" i="7"/>
  <c r="AA111" i="7"/>
  <c r="AA112" i="7"/>
  <c r="AA113" i="7"/>
  <c r="AA114" i="7"/>
  <c r="AA115" i="7"/>
  <c r="AA116" i="7"/>
  <c r="AA117" i="7"/>
  <c r="AA118" i="7"/>
  <c r="AA119" i="7"/>
  <c r="AA120" i="7"/>
  <c r="AA121" i="7"/>
  <c r="AA122" i="7"/>
  <c r="AA123" i="7"/>
  <c r="AA124" i="7"/>
  <c r="AA125" i="7"/>
  <c r="AA126" i="7"/>
  <c r="AA127" i="7"/>
  <c r="AA128" i="7"/>
  <c r="AA129" i="7"/>
  <c r="AA130" i="7"/>
  <c r="AA131" i="7"/>
  <c r="AA132" i="7"/>
  <c r="AA133" i="7"/>
  <c r="AA134" i="7"/>
  <c r="AA135" i="7"/>
  <c r="AA136" i="7"/>
  <c r="AA137" i="7"/>
  <c r="AA138" i="7"/>
  <c r="AA139" i="7"/>
  <c r="AA140" i="7"/>
  <c r="AA141" i="7"/>
  <c r="AA142" i="7"/>
  <c r="AA143" i="7"/>
  <c r="AA144" i="7"/>
  <c r="AA145" i="7"/>
  <c r="AA146" i="7"/>
  <c r="AA147" i="7"/>
  <c r="AA148" i="7"/>
  <c r="AA149" i="7"/>
  <c r="AA150" i="7"/>
  <c r="AA151" i="7"/>
  <c r="AA152" i="7"/>
  <c r="AA153" i="7"/>
  <c r="AA154" i="7"/>
  <c r="AA155" i="7"/>
  <c r="AA156" i="7"/>
  <c r="AA157" i="7"/>
  <c r="AA158" i="7"/>
  <c r="AA159" i="7"/>
  <c r="AA160" i="7"/>
  <c r="AA161" i="7"/>
  <c r="AA162" i="7"/>
  <c r="AA163" i="7"/>
  <c r="AA164" i="7"/>
  <c r="AA165" i="7"/>
  <c r="AA166" i="7"/>
  <c r="AA167" i="7"/>
  <c r="AA168" i="7"/>
  <c r="AA169" i="7"/>
  <c r="AA170" i="7"/>
  <c r="AA171" i="7"/>
  <c r="AA172" i="7"/>
  <c r="AA173" i="7"/>
  <c r="AA174" i="7"/>
  <c r="AA175" i="7"/>
  <c r="AA176" i="7"/>
  <c r="AA177" i="7"/>
  <c r="AA178" i="7"/>
  <c r="AA179" i="7"/>
  <c r="AA180" i="7"/>
  <c r="AA181" i="7"/>
  <c r="AA182" i="7"/>
  <c r="AA183" i="7"/>
  <c r="AA184" i="7"/>
  <c r="AA185" i="7"/>
  <c r="AA186" i="7"/>
  <c r="AA187" i="7"/>
  <c r="AA188" i="7"/>
  <c r="AA189" i="7"/>
  <c r="AA190" i="7"/>
  <c r="AA191" i="7"/>
  <c r="AA192" i="7"/>
  <c r="AA193" i="7"/>
  <c r="AA194" i="7"/>
  <c r="AA195" i="7"/>
  <c r="AA196" i="7"/>
  <c r="AA197" i="7"/>
  <c r="AA198" i="7"/>
  <c r="AA199" i="7"/>
  <c r="AA200" i="7"/>
  <c r="AA201" i="7"/>
  <c r="AA202" i="7"/>
  <c r="AA203" i="7"/>
  <c r="AA204" i="7"/>
  <c r="AA205" i="7"/>
  <c r="AA206" i="7"/>
  <c r="AA207" i="7"/>
  <c r="AA208" i="7"/>
  <c r="AA209" i="7"/>
  <c r="AA210" i="7"/>
  <c r="AA211" i="7"/>
  <c r="AA212" i="7"/>
  <c r="AA213" i="7"/>
  <c r="AA214" i="7"/>
  <c r="AA215" i="7"/>
  <c r="AA216" i="7"/>
  <c r="AA217" i="7"/>
  <c r="AA218" i="7"/>
  <c r="AA219" i="7"/>
  <c r="AA220" i="7"/>
  <c r="AA221" i="7"/>
  <c r="AA222" i="7"/>
  <c r="AA223" i="7"/>
  <c r="AA224" i="7"/>
  <c r="AA225" i="7"/>
  <c r="AA226" i="7"/>
  <c r="AA227" i="7"/>
  <c r="AA228" i="7"/>
  <c r="AA229" i="7"/>
  <c r="AA230" i="7"/>
  <c r="AA231" i="7"/>
  <c r="AA232" i="7"/>
  <c r="AA233" i="7"/>
  <c r="AA234" i="7"/>
  <c r="AA235" i="7"/>
  <c r="AA236" i="7"/>
  <c r="AA237" i="7"/>
  <c r="AA238" i="7"/>
  <c r="AA239" i="7"/>
  <c r="AA240" i="7"/>
  <c r="AA241" i="7"/>
  <c r="AA242" i="7"/>
  <c r="AA243" i="7"/>
  <c r="AA244" i="7"/>
  <c r="AA245" i="7"/>
  <c r="AA246" i="7"/>
  <c r="AA247" i="7"/>
  <c r="AA248" i="7"/>
  <c r="AA249" i="7"/>
  <c r="AA250" i="7"/>
  <c r="AA251" i="7"/>
  <c r="AA252" i="7"/>
  <c r="AA253" i="7"/>
  <c r="AA254" i="7"/>
  <c r="AA255" i="7"/>
  <c r="AA256" i="7"/>
  <c r="AA257" i="7"/>
  <c r="AA258" i="7"/>
  <c r="AA259" i="7"/>
  <c r="AA260" i="7"/>
  <c r="AA261" i="7"/>
  <c r="AA262" i="7"/>
  <c r="AA263" i="7"/>
  <c r="AA264" i="7"/>
  <c r="AA265" i="7"/>
  <c r="AA266" i="7"/>
  <c r="AA267" i="7"/>
  <c r="AA268" i="7"/>
  <c r="AA269" i="7"/>
  <c r="AA270" i="7"/>
  <c r="AA271" i="7"/>
  <c r="AA272" i="7"/>
  <c r="AA273" i="7"/>
  <c r="AA274" i="7"/>
  <c r="AA275" i="7"/>
  <c r="AA276" i="7"/>
  <c r="AA277" i="7"/>
  <c r="AA278" i="7"/>
  <c r="AA279" i="7"/>
  <c r="AA280" i="7"/>
  <c r="AA281" i="7"/>
  <c r="AA282" i="7"/>
  <c r="AA283" i="7"/>
  <c r="AA284" i="7"/>
  <c r="AA285" i="7"/>
  <c r="AA286" i="7"/>
  <c r="AA287" i="7"/>
  <c r="AA288" i="7"/>
  <c r="AA289" i="7"/>
  <c r="AA290" i="7"/>
  <c r="AA291" i="7"/>
  <c r="AA292" i="7"/>
  <c r="AA293" i="7"/>
  <c r="AA294" i="7"/>
  <c r="AA295" i="7"/>
  <c r="AA296" i="7"/>
  <c r="AA297" i="7"/>
  <c r="AA298" i="7"/>
  <c r="AA299" i="7"/>
  <c r="AA300" i="7"/>
  <c r="AA301" i="7"/>
  <c r="AA302" i="7"/>
  <c r="AA303" i="7"/>
  <c r="AA304" i="7"/>
  <c r="AA305" i="7"/>
  <c r="AA306" i="7"/>
  <c r="AA307" i="7"/>
  <c r="AA308" i="7"/>
  <c r="AA309" i="7"/>
  <c r="AA310" i="7"/>
  <c r="AA311" i="7"/>
  <c r="AA312" i="7"/>
  <c r="AA313" i="7"/>
  <c r="AA314" i="7"/>
  <c r="AA315" i="7"/>
  <c r="AA316" i="7"/>
  <c r="AA317" i="7"/>
  <c r="AA318" i="7"/>
  <c r="AA319" i="7"/>
  <c r="AA320" i="7"/>
  <c r="AA321" i="7"/>
  <c r="AA322" i="7"/>
  <c r="AA323" i="7"/>
  <c r="AA324" i="7"/>
  <c r="AA325" i="7"/>
  <c r="AA326" i="7"/>
  <c r="AA327" i="7"/>
  <c r="AA328" i="7"/>
  <c r="AA329" i="7"/>
  <c r="AA330" i="7"/>
  <c r="AA331" i="7"/>
  <c r="AA332" i="7"/>
  <c r="AA333" i="7"/>
  <c r="AA334" i="7"/>
  <c r="AA335" i="7"/>
  <c r="AA336" i="7"/>
  <c r="AA337" i="7"/>
  <c r="AA338" i="7"/>
  <c r="AA339" i="7"/>
  <c r="AA340" i="7"/>
  <c r="AA341" i="7"/>
  <c r="AA342" i="7"/>
  <c r="AA343" i="7"/>
  <c r="AA344" i="7"/>
  <c r="AA345" i="7"/>
  <c r="AA346" i="7"/>
  <c r="AA347" i="7"/>
  <c r="AA348" i="7"/>
  <c r="AA349" i="7"/>
  <c r="AA350" i="7"/>
  <c r="AA351" i="7"/>
  <c r="AA352" i="7"/>
  <c r="AA353" i="7"/>
  <c r="AA354" i="7"/>
  <c r="AA355" i="7"/>
  <c r="AA356" i="7"/>
  <c r="AA357" i="7"/>
  <c r="AA358" i="7"/>
  <c r="AA359" i="7"/>
  <c r="AA360" i="7"/>
  <c r="AA361" i="7"/>
  <c r="AA362" i="7"/>
  <c r="AA363" i="7"/>
  <c r="AA364" i="7"/>
  <c r="AA365" i="7"/>
  <c r="AA366" i="7"/>
  <c r="AA367" i="7"/>
  <c r="AA368" i="7"/>
  <c r="AA369" i="7"/>
  <c r="AA370" i="7"/>
  <c r="AA371" i="7"/>
  <c r="AA372" i="7"/>
  <c r="AA373" i="7"/>
  <c r="AA374" i="7"/>
  <c r="AA375" i="7"/>
  <c r="AA376" i="7"/>
  <c r="AA377" i="7"/>
  <c r="AA378" i="7"/>
  <c r="AA379" i="7"/>
  <c r="AA380" i="7"/>
  <c r="AA381" i="7"/>
  <c r="AA382" i="7"/>
  <c r="AA383" i="7"/>
  <c r="AA384" i="7"/>
  <c r="AA385" i="7"/>
  <c r="AA386" i="7"/>
  <c r="AA387" i="7"/>
  <c r="AA388" i="7"/>
  <c r="AA389" i="7"/>
  <c r="AA390" i="7"/>
  <c r="AA391" i="7"/>
  <c r="AA392" i="7"/>
  <c r="AA393" i="7"/>
  <c r="AA394" i="7"/>
  <c r="AA395" i="7"/>
  <c r="AA396" i="7"/>
  <c r="AA397" i="7"/>
  <c r="AA398" i="7"/>
  <c r="AA399" i="7"/>
  <c r="AA400" i="7"/>
  <c r="AA401" i="7"/>
  <c r="AA402" i="7"/>
  <c r="AA403" i="7"/>
  <c r="AA404" i="7"/>
  <c r="AA405" i="7"/>
  <c r="AA406" i="7"/>
  <c r="AA407" i="7"/>
  <c r="AA408" i="7"/>
  <c r="AA409" i="7"/>
  <c r="AA410" i="7"/>
  <c r="AA411" i="7"/>
  <c r="AA412" i="7"/>
  <c r="AA413" i="7"/>
  <c r="AA414" i="7"/>
  <c r="AA415" i="7"/>
  <c r="AA416" i="7"/>
  <c r="AA417" i="7"/>
  <c r="AA418" i="7"/>
  <c r="AA419" i="7"/>
  <c r="AA420" i="7"/>
  <c r="AA421" i="7"/>
  <c r="AA422" i="7"/>
  <c r="AA423" i="7"/>
  <c r="AA424" i="7"/>
  <c r="AA425" i="7"/>
  <c r="AA426" i="7"/>
  <c r="AA427" i="7"/>
  <c r="AA428" i="7"/>
  <c r="AA429" i="7"/>
  <c r="AA430" i="7"/>
  <c r="AA431" i="7"/>
  <c r="AA432" i="7"/>
  <c r="AA433" i="7"/>
  <c r="AA434" i="7"/>
  <c r="AA435" i="7"/>
  <c r="AA436" i="7"/>
  <c r="AA437" i="7"/>
  <c r="AA438" i="7"/>
  <c r="AA439" i="7"/>
  <c r="AA440" i="7"/>
  <c r="AA441" i="7"/>
  <c r="AA442" i="7"/>
  <c r="AA443" i="7"/>
  <c r="AA444" i="7"/>
  <c r="AA445" i="7"/>
  <c r="AA446" i="7"/>
  <c r="AA447" i="7"/>
  <c r="AA448" i="7"/>
  <c r="AA449" i="7"/>
  <c r="AA450" i="7"/>
  <c r="AA451" i="7"/>
  <c r="AA452" i="7"/>
  <c r="AA453" i="7"/>
  <c r="AA454" i="7"/>
  <c r="AA455" i="7"/>
  <c r="AA456" i="7"/>
  <c r="AA457" i="7"/>
  <c r="AA458" i="7"/>
  <c r="AA459" i="7"/>
  <c r="AA460" i="7"/>
  <c r="AA461" i="7"/>
  <c r="AA462" i="7"/>
  <c r="AA463" i="7"/>
  <c r="AA464" i="7"/>
  <c r="AA465" i="7"/>
  <c r="AA466" i="7"/>
  <c r="AA467" i="7"/>
  <c r="AA468" i="7"/>
  <c r="AA469" i="7"/>
  <c r="AA470" i="7"/>
  <c r="AA471" i="7"/>
  <c r="AA472" i="7"/>
  <c r="AA473" i="7"/>
  <c r="AA474" i="7"/>
  <c r="AA475" i="7"/>
  <c r="AA476" i="7"/>
  <c r="AA477" i="7"/>
  <c r="AA478" i="7"/>
  <c r="AA479" i="7"/>
  <c r="AA480" i="7"/>
  <c r="AA481" i="7"/>
  <c r="AA482" i="7"/>
  <c r="AA483" i="7"/>
  <c r="AA484" i="7"/>
  <c r="AA485" i="7"/>
  <c r="AA486" i="7"/>
  <c r="AA487" i="7"/>
  <c r="AA488" i="7"/>
  <c r="AA489" i="7"/>
  <c r="AA490" i="7"/>
  <c r="AA491" i="7"/>
  <c r="AA492" i="7"/>
  <c r="AA493" i="7"/>
  <c r="AA494" i="7"/>
  <c r="AA495" i="7"/>
  <c r="AA496" i="7"/>
  <c r="AA497" i="7"/>
  <c r="AA498" i="7"/>
  <c r="AA499" i="7"/>
  <c r="AA500" i="7"/>
  <c r="AA501" i="7"/>
  <c r="AA502" i="7"/>
  <c r="AA503" i="7"/>
  <c r="AA504" i="7"/>
  <c r="AA505" i="7"/>
  <c r="AA506" i="7"/>
  <c r="AA507" i="7"/>
  <c r="AA508" i="7"/>
  <c r="AA509" i="7"/>
  <c r="AA510" i="7"/>
  <c r="AA511" i="7"/>
  <c r="AA512" i="7"/>
  <c r="AA513" i="7"/>
  <c r="AA514" i="7"/>
  <c r="AA515" i="7"/>
  <c r="AA516" i="7"/>
  <c r="AA517" i="7"/>
  <c r="AA518" i="7"/>
  <c r="AA519" i="7"/>
  <c r="AA520" i="7"/>
  <c r="AA521" i="7"/>
  <c r="AA522" i="7"/>
  <c r="AA523" i="7"/>
  <c r="AA524" i="7"/>
  <c r="AA525" i="7"/>
  <c r="AA526" i="7"/>
  <c r="AA527" i="7"/>
  <c r="AA528" i="7"/>
  <c r="AA529" i="7"/>
  <c r="AA530" i="7"/>
  <c r="AA531" i="7"/>
  <c r="AA532" i="7"/>
  <c r="AA533" i="7"/>
  <c r="AA534" i="7"/>
  <c r="AA535" i="7"/>
  <c r="AA536" i="7"/>
  <c r="AA537" i="7"/>
  <c r="AA538" i="7"/>
  <c r="AA539" i="7"/>
  <c r="AA540" i="7"/>
  <c r="AA541" i="7"/>
  <c r="AA542" i="7"/>
  <c r="AA543" i="7"/>
  <c r="AA544" i="7"/>
  <c r="AA545" i="7"/>
  <c r="AA546" i="7"/>
  <c r="AA547" i="7"/>
  <c r="AA548" i="7"/>
  <c r="AA549" i="7"/>
  <c r="AA550" i="7"/>
  <c r="AA551" i="7"/>
  <c r="AA552" i="7"/>
  <c r="AA553" i="7"/>
  <c r="AA554" i="7"/>
  <c r="AA555" i="7"/>
  <c r="AA556" i="7"/>
  <c r="AA557" i="7"/>
  <c r="AA558" i="7"/>
  <c r="AA559" i="7"/>
  <c r="AA560" i="7"/>
  <c r="AA561" i="7"/>
  <c r="AA562" i="7"/>
  <c r="AA563" i="7"/>
  <c r="AA564" i="7"/>
  <c r="AA565" i="7"/>
  <c r="AA566" i="7"/>
  <c r="AA567" i="7"/>
  <c r="AA568" i="7"/>
  <c r="AA569" i="7"/>
  <c r="AA570" i="7"/>
  <c r="AA571" i="7"/>
  <c r="AA572" i="7"/>
  <c r="AA573" i="7"/>
  <c r="AA574" i="7"/>
  <c r="AA575" i="7"/>
  <c r="AA576" i="7"/>
  <c r="AA577" i="7"/>
  <c r="AA578" i="7"/>
  <c r="AA579" i="7"/>
  <c r="AA580" i="7"/>
  <c r="AA581" i="7"/>
  <c r="AA582" i="7"/>
  <c r="AA583" i="7"/>
  <c r="AA584" i="7"/>
  <c r="AA585" i="7"/>
  <c r="AA586" i="7"/>
  <c r="AA587" i="7"/>
  <c r="AA588" i="7"/>
  <c r="AA589" i="7"/>
  <c r="AA590" i="7"/>
  <c r="AA591" i="7"/>
  <c r="AA592" i="7"/>
  <c r="AA593" i="7"/>
  <c r="AA594" i="7"/>
  <c r="AA595" i="7"/>
  <c r="AA596" i="7"/>
  <c r="AA597" i="7"/>
  <c r="AA598" i="7"/>
  <c r="AA599" i="7"/>
  <c r="AA600" i="7"/>
  <c r="AA601" i="7"/>
  <c r="AA602" i="7"/>
  <c r="AA603" i="7"/>
  <c r="AA604" i="7"/>
  <c r="AA605" i="7"/>
  <c r="AA606" i="7"/>
  <c r="AA607" i="7"/>
  <c r="AA608" i="7"/>
  <c r="AA609" i="7"/>
  <c r="AA610" i="7"/>
  <c r="AA611" i="7"/>
  <c r="AA612" i="7"/>
  <c r="AA613" i="7"/>
  <c r="AA614" i="7"/>
  <c r="AA615" i="7"/>
  <c r="AA616" i="7"/>
  <c r="AA617" i="7"/>
  <c r="AA618" i="7"/>
  <c r="AA619" i="7"/>
  <c r="AA620" i="7"/>
  <c r="AA621" i="7"/>
  <c r="AA622" i="7"/>
  <c r="AA623" i="7"/>
  <c r="AA624" i="7"/>
  <c r="AA625" i="7"/>
  <c r="AA626" i="7"/>
  <c r="AA627" i="7"/>
  <c r="AA628" i="7"/>
  <c r="AA629" i="7"/>
  <c r="AA630" i="7"/>
  <c r="AA631" i="7"/>
  <c r="AA632" i="7"/>
  <c r="AA633" i="7"/>
  <c r="AA634" i="7"/>
  <c r="AA635" i="7"/>
  <c r="AA636" i="7"/>
  <c r="AA637" i="7"/>
  <c r="AA638" i="7"/>
  <c r="AA639" i="7"/>
  <c r="AA640" i="7"/>
  <c r="AA641" i="7"/>
  <c r="AA642" i="7"/>
  <c r="AA643" i="7"/>
  <c r="AA644" i="7"/>
  <c r="AA645" i="7"/>
  <c r="AA646" i="7"/>
  <c r="AA647" i="7"/>
  <c r="AA648" i="7"/>
  <c r="AA649" i="7"/>
  <c r="AA650" i="7"/>
  <c r="AA651" i="7"/>
  <c r="AA652" i="7"/>
  <c r="AA653" i="7"/>
  <c r="AA654" i="7"/>
  <c r="AA655" i="7"/>
  <c r="AA656" i="7"/>
  <c r="AA657" i="7"/>
  <c r="AA658" i="7"/>
  <c r="AA659" i="7"/>
  <c r="AA660" i="7"/>
  <c r="AA661" i="7"/>
  <c r="AA662" i="7"/>
  <c r="AA663" i="7"/>
  <c r="AA664" i="7"/>
  <c r="AA665" i="7"/>
  <c r="AA666" i="7"/>
  <c r="AA667" i="7"/>
  <c r="AA668" i="7"/>
  <c r="AA669" i="7"/>
  <c r="AA670" i="7"/>
  <c r="AA671" i="7"/>
  <c r="AA672" i="7"/>
  <c r="AA673" i="7"/>
  <c r="AA674" i="7"/>
  <c r="AA675" i="7"/>
  <c r="AA676" i="7"/>
  <c r="AA677" i="7"/>
  <c r="AA678" i="7"/>
  <c r="AA679" i="7"/>
  <c r="AA680" i="7"/>
  <c r="AA681" i="7"/>
  <c r="AA682" i="7"/>
  <c r="AA683" i="7"/>
  <c r="AA684" i="7"/>
  <c r="AA685" i="7"/>
  <c r="AA686" i="7"/>
  <c r="AA687" i="7"/>
  <c r="AA688" i="7"/>
  <c r="AA689" i="7"/>
  <c r="AA690" i="7"/>
  <c r="AA691" i="7"/>
  <c r="AA692" i="7"/>
  <c r="AA693" i="7"/>
  <c r="AA694" i="7"/>
  <c r="AA695" i="7"/>
  <c r="AA696" i="7"/>
  <c r="AA697" i="7"/>
  <c r="AA698" i="7"/>
  <c r="AA699" i="7"/>
  <c r="AA700" i="7"/>
  <c r="AA701" i="7"/>
  <c r="AA702" i="7"/>
  <c r="AA703" i="7"/>
  <c r="AA704" i="7"/>
  <c r="AA705" i="7"/>
  <c r="AA706" i="7"/>
  <c r="AA707" i="7"/>
  <c r="AA708" i="7"/>
  <c r="AA709" i="7"/>
  <c r="AA710" i="7"/>
  <c r="AA711" i="7"/>
  <c r="AA712" i="7"/>
  <c r="AA713" i="7"/>
  <c r="AA714" i="7"/>
  <c r="AA715" i="7"/>
  <c r="AA716" i="7"/>
  <c r="AA717" i="7"/>
  <c r="AA718" i="7"/>
  <c r="AA719" i="7"/>
  <c r="AA720" i="7"/>
  <c r="AA721" i="7"/>
  <c r="AA722" i="7"/>
  <c r="AA723" i="7"/>
  <c r="AA724" i="7"/>
  <c r="AA725" i="7"/>
  <c r="AA726" i="7"/>
  <c r="AA727" i="7"/>
  <c r="AA728" i="7"/>
  <c r="AA729" i="7"/>
  <c r="AA730" i="7"/>
  <c r="AA731" i="7"/>
  <c r="AA732" i="7"/>
  <c r="AA733" i="7"/>
  <c r="AA734" i="7"/>
  <c r="AA735" i="7"/>
  <c r="AA736" i="7"/>
  <c r="AA737" i="7"/>
  <c r="AA738" i="7"/>
  <c r="AA739" i="7"/>
  <c r="AA740" i="7"/>
  <c r="AA741" i="7"/>
  <c r="AA742" i="7"/>
  <c r="AA743" i="7"/>
  <c r="AA744" i="7"/>
  <c r="AA745" i="7"/>
  <c r="AA746" i="7"/>
  <c r="AA747" i="7"/>
  <c r="AA748" i="7"/>
  <c r="AA749" i="7"/>
  <c r="AA750" i="7"/>
  <c r="AA751" i="7"/>
  <c r="AA752" i="7"/>
  <c r="AA753" i="7"/>
  <c r="AA754" i="7"/>
  <c r="AA755" i="7"/>
  <c r="AA756" i="7"/>
  <c r="AA757" i="7"/>
  <c r="AA758" i="7"/>
  <c r="AA759" i="7"/>
  <c r="AA760" i="7"/>
  <c r="AA761" i="7"/>
  <c r="AA762" i="7"/>
  <c r="AA763" i="7"/>
  <c r="AA764" i="7"/>
  <c r="AA765" i="7"/>
  <c r="AA766" i="7"/>
  <c r="AA767" i="7"/>
  <c r="AA768" i="7"/>
  <c r="AA769" i="7"/>
  <c r="AA770" i="7"/>
  <c r="AA771" i="7"/>
  <c r="AA772" i="7"/>
  <c r="AA773" i="7"/>
  <c r="AA774" i="7"/>
  <c r="AA775" i="7"/>
  <c r="AA776" i="7"/>
  <c r="AA777" i="7"/>
  <c r="AA778" i="7"/>
  <c r="AA779" i="7"/>
  <c r="AA780" i="7"/>
  <c r="AA781" i="7"/>
  <c r="AA782" i="7"/>
  <c r="AA783" i="7"/>
  <c r="AA784" i="7"/>
  <c r="AA785" i="7"/>
  <c r="AA786" i="7"/>
  <c r="AA787" i="7"/>
  <c r="AA788" i="7"/>
  <c r="AA789" i="7"/>
  <c r="AA790" i="7"/>
  <c r="AA791" i="7"/>
  <c r="AA792" i="7"/>
  <c r="AA793" i="7"/>
  <c r="AA794" i="7"/>
  <c r="AA795" i="7"/>
  <c r="AA796" i="7"/>
  <c r="AA797" i="7"/>
  <c r="AA798" i="7"/>
  <c r="AA799" i="7"/>
  <c r="AA800" i="7"/>
  <c r="AA801" i="7"/>
  <c r="AA802" i="7"/>
  <c r="AA803" i="7"/>
  <c r="AA804" i="7"/>
  <c r="AA805" i="7"/>
  <c r="AA806" i="7"/>
  <c r="AA807" i="7"/>
  <c r="AA808" i="7"/>
  <c r="AA809" i="7"/>
  <c r="AA810" i="7"/>
  <c r="AA811" i="7"/>
  <c r="AA812" i="7"/>
  <c r="AA813" i="7"/>
  <c r="AA814" i="7"/>
  <c r="AA815" i="7"/>
  <c r="AA816" i="7"/>
  <c r="AA817" i="7"/>
  <c r="AA818" i="7"/>
  <c r="AA819" i="7"/>
  <c r="AA820" i="7"/>
  <c r="AA821" i="7"/>
  <c r="AA822" i="7"/>
  <c r="AA823" i="7"/>
  <c r="AA824" i="7"/>
  <c r="AA825" i="7"/>
  <c r="AA826" i="7"/>
  <c r="AA827" i="7"/>
  <c r="AA828" i="7"/>
  <c r="AA829" i="7"/>
  <c r="AA830" i="7"/>
  <c r="AA831" i="7"/>
  <c r="AA832" i="7"/>
  <c r="AA833" i="7"/>
  <c r="AA834" i="7"/>
  <c r="AA835" i="7"/>
  <c r="AA836" i="7"/>
  <c r="AA837" i="7"/>
  <c r="AA838" i="7"/>
  <c r="AA839" i="7"/>
  <c r="AA840" i="7"/>
  <c r="AA841" i="7"/>
  <c r="AA842" i="7"/>
  <c r="AA843" i="7"/>
  <c r="AA844" i="7"/>
  <c r="AA845" i="7"/>
  <c r="AA846" i="7"/>
  <c r="AA847" i="7"/>
  <c r="AA848" i="7"/>
  <c r="AA849" i="7"/>
  <c r="AA850" i="7"/>
  <c r="AA851" i="7"/>
  <c r="AA852" i="7"/>
  <c r="AA853" i="7"/>
  <c r="AA854" i="7"/>
  <c r="AA855" i="7"/>
  <c r="AA856" i="7"/>
  <c r="AA857" i="7"/>
  <c r="AA858" i="7"/>
  <c r="AA859" i="7"/>
  <c r="AA860" i="7"/>
  <c r="AA861" i="7"/>
  <c r="AA862" i="7"/>
  <c r="AA863" i="7"/>
  <c r="AA864" i="7"/>
  <c r="AA865" i="7"/>
  <c r="AA866" i="7"/>
  <c r="AA867" i="7"/>
  <c r="AA868" i="7"/>
  <c r="AA869" i="7"/>
  <c r="AA870" i="7"/>
  <c r="AA871" i="7"/>
  <c r="AA872" i="7"/>
  <c r="AA873" i="7"/>
  <c r="AA874" i="7"/>
  <c r="AA875" i="7"/>
  <c r="AA876" i="7"/>
  <c r="AA877" i="7"/>
  <c r="AA878" i="7"/>
  <c r="AA879" i="7"/>
  <c r="AA880" i="7"/>
  <c r="AA881" i="7"/>
  <c r="AA882" i="7"/>
  <c r="AA883" i="7"/>
  <c r="AA884" i="7"/>
  <c r="AA885" i="7"/>
  <c r="AA886" i="7"/>
  <c r="AA887" i="7"/>
  <c r="AA888" i="7"/>
  <c r="AA889" i="7"/>
  <c r="AA890" i="7"/>
  <c r="AA891" i="7"/>
  <c r="AA892" i="7"/>
  <c r="AA893" i="7"/>
  <c r="AA894" i="7"/>
  <c r="AA895" i="7"/>
  <c r="AA896" i="7"/>
  <c r="AA897" i="7"/>
  <c r="AA898" i="7"/>
  <c r="AA899" i="7"/>
  <c r="AA900" i="7"/>
  <c r="AA901" i="7"/>
  <c r="AA902" i="7"/>
  <c r="AA903" i="7"/>
  <c r="AA904" i="7"/>
  <c r="AA905" i="7"/>
  <c r="AA906" i="7"/>
  <c r="AA907" i="7"/>
  <c r="AA908" i="7"/>
  <c r="AA909" i="7"/>
  <c r="AA910" i="7"/>
  <c r="AA911" i="7"/>
  <c r="AA912" i="7"/>
  <c r="AA913" i="7"/>
  <c r="AA914" i="7"/>
  <c r="AA915" i="7"/>
  <c r="AA916" i="7"/>
  <c r="AA917" i="7"/>
  <c r="AA918" i="7"/>
  <c r="AA919" i="7"/>
  <c r="AA920" i="7"/>
  <c r="AA921" i="7"/>
  <c r="AA922" i="7"/>
  <c r="AA923" i="7"/>
  <c r="AA924" i="7"/>
  <c r="AA925" i="7"/>
  <c r="AA926" i="7"/>
  <c r="AA927" i="7"/>
  <c r="AA928" i="7"/>
  <c r="AA929" i="7"/>
  <c r="AA930" i="7"/>
  <c r="AA931" i="7"/>
  <c r="AA932" i="7"/>
  <c r="AA933" i="7"/>
  <c r="AA934" i="7"/>
  <c r="AA935" i="7"/>
  <c r="AA936" i="7"/>
  <c r="AA937" i="7"/>
  <c r="AA938" i="7"/>
  <c r="AA939" i="7"/>
  <c r="AA940" i="7"/>
  <c r="AA941" i="7"/>
  <c r="AA942" i="7"/>
  <c r="AA943" i="7"/>
  <c r="AA944" i="7"/>
  <c r="AA945" i="7"/>
  <c r="AA946" i="7"/>
  <c r="AA947" i="7"/>
  <c r="AA948" i="7"/>
  <c r="AA949" i="7"/>
  <c r="AA950" i="7"/>
  <c r="AA951" i="7"/>
  <c r="AA952" i="7"/>
  <c r="AA953" i="7"/>
  <c r="AA954" i="7"/>
  <c r="AA955" i="7"/>
  <c r="AA956" i="7"/>
  <c r="AA957" i="7"/>
  <c r="AA958" i="7"/>
  <c r="AA959" i="7"/>
  <c r="AA960" i="7"/>
  <c r="AA961" i="7"/>
  <c r="AA962" i="7"/>
  <c r="AA963" i="7"/>
  <c r="AA964" i="7"/>
  <c r="AA965" i="7"/>
  <c r="AA966" i="7"/>
  <c r="AA967" i="7"/>
  <c r="AA968" i="7"/>
  <c r="AA969" i="7"/>
  <c r="AA970" i="7"/>
  <c r="AA971" i="7"/>
  <c r="AA972" i="7"/>
  <c r="AA973" i="7"/>
  <c r="AA974" i="7"/>
  <c r="AA975" i="7"/>
  <c r="AA976" i="7"/>
  <c r="AA977" i="7"/>
  <c r="AA978" i="7"/>
  <c r="AA979" i="7"/>
  <c r="AA980" i="7"/>
  <c r="AA981" i="7"/>
  <c r="AA982" i="7"/>
  <c r="AA983" i="7"/>
  <c r="AA984" i="7"/>
  <c r="AA985" i="7"/>
  <c r="AA986" i="7"/>
  <c r="AA987" i="7"/>
  <c r="AA988" i="7"/>
  <c r="AA989" i="7"/>
  <c r="AA990" i="7"/>
  <c r="AA991" i="7"/>
  <c r="AA992" i="7"/>
  <c r="AA993" i="7"/>
  <c r="AA994" i="7"/>
  <c r="AA995" i="7"/>
  <c r="AA996" i="7"/>
  <c r="AA997" i="7"/>
  <c r="AA998" i="7"/>
  <c r="AA999" i="7"/>
  <c r="AA1000" i="7"/>
  <c r="AA1001" i="7"/>
  <c r="AA1002" i="7"/>
  <c r="AA1003" i="7"/>
  <c r="AA1004" i="7"/>
  <c r="AA1005" i="7"/>
  <c r="AA1006" i="7"/>
  <c r="AA1007" i="7"/>
  <c r="AA1008" i="7"/>
  <c r="AA1009" i="7"/>
  <c r="AA1010" i="7"/>
  <c r="AA1011" i="7"/>
  <c r="AA1012" i="7"/>
  <c r="AA1013" i="7"/>
  <c r="AA1014" i="7"/>
  <c r="AA1015" i="7"/>
  <c r="AA1016" i="7"/>
  <c r="AA1017" i="7"/>
  <c r="AA1018" i="7"/>
  <c r="AA1019" i="7"/>
  <c r="AA1020" i="7"/>
  <c r="AA1021" i="7"/>
  <c r="AA1022" i="7"/>
  <c r="AA1023" i="7"/>
  <c r="AA1024" i="7"/>
  <c r="AA1025" i="7"/>
  <c r="AA1026" i="7"/>
  <c r="AA1027" i="7"/>
  <c r="AA1028" i="7"/>
  <c r="AA1029" i="7"/>
  <c r="AA1030" i="7"/>
  <c r="AA1031" i="7"/>
  <c r="AA1032" i="7"/>
  <c r="AA1033" i="7"/>
  <c r="AA1034" i="7"/>
  <c r="AA1035" i="7"/>
  <c r="AA1036" i="7"/>
  <c r="AA1037" i="7"/>
  <c r="AA1038" i="7"/>
  <c r="AA1039" i="7"/>
  <c r="AA1040" i="7"/>
  <c r="AA1041" i="7"/>
  <c r="AA1042" i="7"/>
  <c r="AA1043" i="7"/>
  <c r="AA1044" i="7"/>
  <c r="AA1045" i="7"/>
  <c r="AA1046" i="7"/>
  <c r="AA1047" i="7"/>
  <c r="AA1048" i="7"/>
  <c r="AA1049" i="7"/>
  <c r="AA1050" i="7"/>
  <c r="AA1051" i="7"/>
  <c r="AA1052" i="7"/>
  <c r="AA1053" i="7"/>
  <c r="AA1054" i="7"/>
  <c r="AA1055" i="7"/>
  <c r="AA1056" i="7"/>
  <c r="AA1057" i="7"/>
  <c r="AA1058" i="7"/>
  <c r="AA1059" i="7"/>
  <c r="AA1060" i="7"/>
  <c r="AA1061" i="7"/>
  <c r="AA1062" i="7"/>
  <c r="AA1063" i="7"/>
  <c r="AA1064" i="7"/>
  <c r="AA1065" i="7"/>
  <c r="AA1066" i="7"/>
  <c r="AA1067" i="7"/>
  <c r="AA1068" i="7"/>
  <c r="AA1069" i="7"/>
  <c r="AA1070" i="7"/>
  <c r="AA1071" i="7"/>
  <c r="AA1072" i="7"/>
  <c r="AA1073" i="7"/>
  <c r="AA1074" i="7"/>
  <c r="AA1075" i="7"/>
  <c r="AA1076" i="7"/>
  <c r="AA1077" i="7"/>
  <c r="AA1078" i="7"/>
  <c r="AA1079" i="7"/>
  <c r="AA1080" i="7"/>
  <c r="AA1081" i="7"/>
  <c r="AA1082" i="7"/>
  <c r="AA1083" i="7"/>
  <c r="AA1084" i="7"/>
  <c r="AA1085" i="7"/>
  <c r="AA1086" i="7"/>
  <c r="AA1087" i="7"/>
  <c r="AA1088" i="7"/>
  <c r="AA1089" i="7"/>
  <c r="AA1090" i="7"/>
  <c r="AA1091" i="7"/>
  <c r="AA1092" i="7"/>
  <c r="AA1093" i="7"/>
  <c r="AA1094" i="7"/>
  <c r="AA1095" i="7"/>
  <c r="AA1096" i="7"/>
  <c r="AA1097" i="7"/>
  <c r="AA1098" i="7"/>
  <c r="AA1099" i="7"/>
  <c r="AA1100" i="7"/>
  <c r="AA1101" i="7"/>
  <c r="AA1102" i="7"/>
  <c r="AA1103" i="7"/>
  <c r="AA1104" i="7"/>
  <c r="AA1105" i="7"/>
  <c r="AA1106" i="7"/>
  <c r="AA1107" i="7"/>
  <c r="AA1108" i="7"/>
  <c r="AA1109" i="7"/>
  <c r="AA1110" i="7"/>
  <c r="AA1111" i="7"/>
  <c r="AA1112" i="7"/>
  <c r="AA1113" i="7"/>
  <c r="AA1114" i="7"/>
  <c r="AA1115" i="7"/>
  <c r="AA1116" i="7"/>
  <c r="AA1117" i="7"/>
  <c r="AA1118" i="7"/>
  <c r="AA1119" i="7"/>
  <c r="AA1120" i="7"/>
  <c r="AA1121" i="7"/>
  <c r="AA1122" i="7"/>
  <c r="AA1123" i="7"/>
  <c r="AA1124" i="7"/>
  <c r="AA1125" i="7"/>
  <c r="AA1126" i="7"/>
  <c r="AA1127" i="7"/>
  <c r="AA1128" i="7"/>
  <c r="AA1129" i="7"/>
  <c r="AA1130" i="7"/>
  <c r="AA1131" i="7"/>
  <c r="AA1132" i="7"/>
  <c r="AA1133" i="7"/>
  <c r="AA1134" i="7"/>
  <c r="AA1135" i="7"/>
  <c r="AA1136" i="7"/>
  <c r="AA1137" i="7"/>
  <c r="AA1138" i="7"/>
  <c r="AA1139" i="7"/>
  <c r="AA1140" i="7"/>
  <c r="AA1141" i="7"/>
  <c r="AA1142" i="7"/>
  <c r="AA1143" i="7"/>
  <c r="AA1144" i="7"/>
  <c r="AA1145" i="7"/>
  <c r="AA1146" i="7"/>
  <c r="AA1147" i="7"/>
  <c r="AA1148" i="7"/>
  <c r="AA1149" i="7"/>
  <c r="AA1150" i="7"/>
  <c r="AA1151" i="7"/>
  <c r="AA1152" i="7"/>
  <c r="AA1153" i="7"/>
  <c r="AA1154" i="7"/>
  <c r="AA1155" i="7"/>
  <c r="AA1156" i="7"/>
  <c r="AA1157" i="7"/>
  <c r="AA1158" i="7"/>
  <c r="AA1159" i="7"/>
  <c r="AA1160" i="7"/>
  <c r="AA1161" i="7"/>
  <c r="AA1162" i="7"/>
  <c r="AA1163" i="7"/>
  <c r="AA1164" i="7"/>
  <c r="AA1165" i="7"/>
  <c r="AA1166" i="7"/>
  <c r="AA1167" i="7"/>
  <c r="AA1168" i="7"/>
  <c r="AA1169" i="7"/>
  <c r="AA1170" i="7"/>
  <c r="AA1171" i="7"/>
  <c r="AA1172" i="7"/>
  <c r="AA1173" i="7"/>
  <c r="AA1174" i="7"/>
  <c r="AA1175" i="7"/>
  <c r="AA1176" i="7"/>
  <c r="AA1177" i="7"/>
  <c r="AA1178" i="7"/>
  <c r="AA1179" i="7"/>
  <c r="AA1180" i="7"/>
  <c r="AA1181" i="7"/>
  <c r="AA1182" i="7"/>
  <c r="AA1183" i="7"/>
  <c r="AA1184" i="7"/>
  <c r="AA1185" i="7"/>
  <c r="AA1186" i="7"/>
  <c r="AA1187" i="7"/>
  <c r="AA1188" i="7"/>
  <c r="AA1189" i="7"/>
  <c r="AA1190" i="7"/>
  <c r="AA1191" i="7"/>
  <c r="AA1192" i="7"/>
  <c r="AA1193" i="7"/>
  <c r="AA1194" i="7"/>
  <c r="AA1195" i="7"/>
  <c r="AA1196" i="7"/>
  <c r="AA1197" i="7"/>
  <c r="AA1198" i="7"/>
  <c r="AA1199" i="7"/>
  <c r="AA1200" i="7"/>
  <c r="AA1201" i="7"/>
  <c r="AA1202" i="7"/>
  <c r="AA1203" i="7"/>
  <c r="AA1204" i="7"/>
  <c r="AA1205" i="7"/>
  <c r="AA1206" i="7"/>
  <c r="AA1207" i="7"/>
  <c r="AA1208" i="7"/>
  <c r="AA1209" i="7"/>
  <c r="AA1210" i="7"/>
  <c r="AA1211" i="7"/>
  <c r="AA1212" i="7"/>
  <c r="AA1213" i="7"/>
  <c r="AA1214" i="7"/>
  <c r="AA1215" i="7"/>
  <c r="AA1216" i="7"/>
  <c r="AA1217" i="7"/>
  <c r="AA1218" i="7"/>
  <c r="AA1219" i="7"/>
  <c r="AA1220" i="7"/>
  <c r="AA1221" i="7"/>
  <c r="AA1222" i="7"/>
  <c r="AA1223" i="7"/>
  <c r="AA1224" i="7"/>
  <c r="AA1225" i="7"/>
  <c r="AA1226" i="7"/>
  <c r="AA1227" i="7"/>
  <c r="AA1228" i="7"/>
  <c r="AA1229" i="7"/>
  <c r="AA1230" i="7"/>
  <c r="AA1231" i="7"/>
  <c r="AA1232" i="7"/>
  <c r="AA1233" i="7"/>
  <c r="AA1234" i="7"/>
  <c r="AA1235" i="7"/>
  <c r="AA1236" i="7"/>
  <c r="AA1237" i="7"/>
  <c r="AA1238" i="7"/>
  <c r="AA1239" i="7"/>
  <c r="AA1240" i="7"/>
  <c r="AA1241" i="7"/>
  <c r="AA1242" i="7"/>
  <c r="AA1243" i="7"/>
  <c r="AA1244" i="7"/>
  <c r="AA1245" i="7"/>
  <c r="AA1246" i="7"/>
  <c r="AA1247" i="7"/>
  <c r="AA1248" i="7"/>
  <c r="AA1249" i="7"/>
  <c r="AA1250" i="7"/>
  <c r="AA1251" i="7"/>
  <c r="AA1252" i="7"/>
  <c r="AA1253" i="7"/>
  <c r="AA1254" i="7"/>
  <c r="AA1255" i="7"/>
  <c r="AA1256" i="7"/>
  <c r="AA1257" i="7"/>
  <c r="AA1258" i="7"/>
  <c r="AA1259" i="7"/>
  <c r="AA1260" i="7"/>
  <c r="AA1261" i="7"/>
  <c r="AA1262" i="7"/>
  <c r="AA1263" i="7"/>
  <c r="AA1264" i="7"/>
  <c r="AA1265" i="7"/>
  <c r="AA1266" i="7"/>
  <c r="AA1267" i="7"/>
  <c r="AA1268" i="7"/>
  <c r="AA1269" i="7"/>
  <c r="AA1270" i="7"/>
  <c r="AA1271" i="7"/>
  <c r="AA1272" i="7"/>
  <c r="AA1273" i="7"/>
  <c r="AA1274" i="7"/>
  <c r="AA1275" i="7"/>
  <c r="AA1276" i="7"/>
  <c r="AA1277" i="7"/>
  <c r="AA1278" i="7"/>
  <c r="AA1279" i="7"/>
  <c r="AA1280" i="7"/>
  <c r="AA1281" i="7"/>
  <c r="AA1282" i="7"/>
  <c r="AA1283" i="7"/>
  <c r="AA1284" i="7"/>
  <c r="AA1285" i="7"/>
  <c r="AA1286" i="7"/>
  <c r="AA1287" i="7"/>
  <c r="AA1288" i="7"/>
  <c r="AA1289" i="7"/>
  <c r="AA1290" i="7"/>
  <c r="AA1291" i="7"/>
  <c r="AA1292" i="7"/>
  <c r="AA1293" i="7"/>
  <c r="AA1294" i="7"/>
  <c r="AA1295" i="7"/>
  <c r="AA1296" i="7"/>
  <c r="AA1297" i="7"/>
  <c r="AA1298" i="7"/>
  <c r="AA1299" i="7"/>
  <c r="AA1300" i="7"/>
  <c r="AA1301" i="7"/>
  <c r="AA1302" i="7"/>
  <c r="AA1303" i="7"/>
  <c r="AA1304" i="7"/>
  <c r="AA1305" i="7"/>
  <c r="AA1306" i="7"/>
  <c r="AA1307" i="7"/>
  <c r="AA1308" i="7"/>
  <c r="AA1309" i="7"/>
  <c r="AA1310" i="7"/>
  <c r="AA1311" i="7"/>
  <c r="AA1312" i="7"/>
  <c r="AA1313" i="7"/>
  <c r="AA1314" i="7"/>
  <c r="AA1315" i="7"/>
  <c r="AA1316" i="7"/>
  <c r="AA1317" i="7"/>
  <c r="AA1318" i="7"/>
  <c r="AA1319" i="7"/>
  <c r="AA1320" i="7"/>
  <c r="AA1321" i="7"/>
  <c r="AA1322" i="7"/>
  <c r="AA1323" i="7"/>
  <c r="AA1324" i="7"/>
  <c r="AA1325" i="7"/>
  <c r="AA1326" i="7"/>
  <c r="AA1327" i="7"/>
  <c r="AA1328" i="7"/>
  <c r="AA1329" i="7"/>
  <c r="AA1330" i="7"/>
  <c r="AA1331" i="7"/>
  <c r="AA1332" i="7"/>
  <c r="AA1333" i="7"/>
  <c r="AA1334" i="7"/>
  <c r="AA1335" i="7"/>
  <c r="AA1336" i="7"/>
  <c r="AA1337" i="7"/>
  <c r="AA1338" i="7"/>
  <c r="AA1339" i="7"/>
  <c r="AA1340" i="7"/>
  <c r="AA1341" i="7"/>
  <c r="AA1342" i="7"/>
  <c r="AA1343" i="7"/>
  <c r="AA1344" i="7"/>
  <c r="AA1345" i="7"/>
  <c r="AA1346" i="7"/>
  <c r="AA1347" i="7"/>
  <c r="AA1348" i="7"/>
  <c r="AA1349" i="7"/>
  <c r="AA1350" i="7"/>
  <c r="AA1351" i="7"/>
  <c r="AA1352" i="7"/>
  <c r="AA1353" i="7"/>
  <c r="AA1354" i="7"/>
  <c r="AA1355" i="7"/>
  <c r="AA1356" i="7"/>
  <c r="AA1357" i="7"/>
  <c r="AA1358" i="7"/>
  <c r="AA1359" i="7"/>
  <c r="AA1360" i="7"/>
  <c r="AA1361" i="7"/>
  <c r="AA1362" i="7"/>
  <c r="AA1363" i="7"/>
  <c r="AA1364" i="7"/>
  <c r="AA1365" i="7"/>
  <c r="AA1366" i="7"/>
  <c r="AA1367" i="7"/>
  <c r="AA1368" i="7"/>
  <c r="AA1369" i="7"/>
  <c r="AA1370" i="7"/>
  <c r="AA1371" i="7"/>
  <c r="AA1372" i="7"/>
  <c r="AA1373" i="7"/>
  <c r="AA1374" i="7"/>
  <c r="AA1375" i="7"/>
  <c r="AA1376" i="7"/>
  <c r="AA1377" i="7"/>
  <c r="AA1378" i="7"/>
  <c r="AA1379" i="7"/>
  <c r="AA1380" i="7"/>
  <c r="AA1381" i="7"/>
  <c r="AA1382" i="7"/>
  <c r="AA1383" i="7"/>
  <c r="AA1384" i="7"/>
  <c r="AA1385" i="7"/>
  <c r="AA1386" i="7"/>
  <c r="AA1387" i="7"/>
  <c r="AA1388" i="7"/>
  <c r="AA1389" i="7"/>
  <c r="AA1390" i="7"/>
  <c r="AA1391" i="7"/>
  <c r="AA1392" i="7"/>
  <c r="AA1393" i="7"/>
  <c r="AA1394" i="7"/>
  <c r="AA1395" i="7"/>
  <c r="AA1396" i="7"/>
  <c r="AA1397" i="7"/>
  <c r="AA1398" i="7"/>
  <c r="AA1399" i="7"/>
  <c r="AA1400" i="7"/>
  <c r="AA1401" i="7"/>
  <c r="AA1402" i="7"/>
  <c r="AA1403" i="7"/>
  <c r="AA1404" i="7"/>
  <c r="AA1405" i="7"/>
  <c r="AA1406" i="7"/>
  <c r="AA1407" i="7"/>
  <c r="AA1408" i="7"/>
  <c r="AA1409" i="7"/>
  <c r="AA1410" i="7"/>
  <c r="AA1411" i="7"/>
  <c r="AA1412" i="7"/>
  <c r="AA1413" i="7"/>
  <c r="AA1414" i="7"/>
  <c r="AA1415" i="7"/>
  <c r="AA1416" i="7"/>
  <c r="AA1417" i="7"/>
  <c r="AA1418" i="7"/>
  <c r="AA1419" i="7"/>
  <c r="AA1420" i="7"/>
  <c r="AA1421" i="7"/>
  <c r="AA1422" i="7"/>
  <c r="AA1423" i="7"/>
  <c r="AA1424" i="7"/>
  <c r="AA1425" i="7"/>
  <c r="AA1426" i="7"/>
  <c r="AA1427" i="7"/>
  <c r="AA1428" i="7"/>
  <c r="AA1429" i="7"/>
  <c r="AA1430" i="7"/>
  <c r="AA1431" i="7"/>
  <c r="AA1432" i="7"/>
  <c r="AA1433" i="7"/>
  <c r="AA1434" i="7"/>
  <c r="AA1435" i="7"/>
  <c r="AA1436" i="7"/>
  <c r="AA1437" i="7"/>
  <c r="AA1438" i="7"/>
  <c r="AA1439" i="7"/>
  <c r="AA1440" i="7"/>
  <c r="AA1441" i="7"/>
  <c r="AA1442" i="7"/>
  <c r="AA1443" i="7"/>
  <c r="AA1444" i="7"/>
  <c r="AA1445" i="7"/>
  <c r="AA1446" i="7"/>
  <c r="AA1447" i="7"/>
  <c r="AA1448" i="7"/>
  <c r="AA1449" i="7"/>
  <c r="AA1450" i="7"/>
  <c r="AA1451" i="7"/>
  <c r="AA1452" i="7"/>
  <c r="AA1453" i="7"/>
  <c r="AA1454" i="7"/>
  <c r="AA1455" i="7"/>
  <c r="AA1456" i="7"/>
  <c r="AA1457" i="7"/>
  <c r="AA1458" i="7"/>
  <c r="AA1459" i="7"/>
  <c r="AA1460" i="7"/>
  <c r="AA1461" i="7"/>
  <c r="AA1462" i="7"/>
  <c r="AA1463" i="7"/>
  <c r="AA1464" i="7"/>
  <c r="AA1465" i="7"/>
  <c r="AA1466" i="7"/>
  <c r="AA1467" i="7"/>
  <c r="AA1468" i="7"/>
  <c r="AA1469" i="7"/>
  <c r="AA1470" i="7"/>
  <c r="AA1471" i="7"/>
  <c r="Z3" i="7"/>
  <c r="Z4" i="7"/>
  <c r="Z5" i="7"/>
  <c r="Z6" i="7"/>
  <c r="Z7" i="7"/>
  <c r="Z8" i="7"/>
  <c r="Z9" i="7"/>
  <c r="Z10" i="7"/>
  <c r="Z11" i="7"/>
  <c r="Z12" i="7"/>
  <c r="Z13" i="7"/>
  <c r="Z14" i="7"/>
  <c r="Z15" i="7"/>
  <c r="Z16" i="7"/>
  <c r="Z17" i="7"/>
  <c r="Z18" i="7"/>
  <c r="Z19" i="7"/>
  <c r="Z20" i="7"/>
  <c r="Z21" i="7"/>
  <c r="Z22" i="7"/>
  <c r="Z23" i="7"/>
  <c r="Z24" i="7"/>
  <c r="Z25" i="7"/>
  <c r="Z26" i="7"/>
  <c r="Z27" i="7"/>
  <c r="Z28" i="7"/>
  <c r="Z29" i="7"/>
  <c r="Z30" i="7"/>
  <c r="Z31" i="7"/>
  <c r="Z32" i="7"/>
  <c r="Z33" i="7"/>
  <c r="Z34" i="7"/>
  <c r="Z35" i="7"/>
  <c r="Z36" i="7"/>
  <c r="Z37" i="7"/>
  <c r="Z38" i="7"/>
  <c r="Z39" i="7"/>
  <c r="Z40" i="7"/>
  <c r="Z41" i="7"/>
  <c r="Z42" i="7"/>
  <c r="Z43" i="7"/>
  <c r="Z44" i="7"/>
  <c r="Z45" i="7"/>
  <c r="Z46" i="7"/>
  <c r="Z47" i="7"/>
  <c r="Z48" i="7"/>
  <c r="Z49" i="7"/>
  <c r="Z50" i="7"/>
  <c r="Z51" i="7"/>
  <c r="Z52" i="7"/>
  <c r="Z53" i="7"/>
  <c r="Z54" i="7"/>
  <c r="Z55" i="7"/>
  <c r="Z56" i="7"/>
  <c r="Z57" i="7"/>
  <c r="Z58" i="7"/>
  <c r="Z59" i="7"/>
  <c r="Z60" i="7"/>
  <c r="Z61" i="7"/>
  <c r="Z62" i="7"/>
  <c r="Z63" i="7"/>
  <c r="Z64" i="7"/>
  <c r="Z65" i="7"/>
  <c r="Z66" i="7"/>
  <c r="Z67" i="7"/>
  <c r="Z68" i="7"/>
  <c r="Z69" i="7"/>
  <c r="Z70" i="7"/>
  <c r="Z71" i="7"/>
  <c r="Z72" i="7"/>
  <c r="Z73" i="7"/>
  <c r="Z74" i="7"/>
  <c r="Z75" i="7"/>
  <c r="Z76" i="7"/>
  <c r="Z77" i="7"/>
  <c r="Z78" i="7"/>
  <c r="Z79" i="7"/>
  <c r="Z80" i="7"/>
  <c r="Z81" i="7"/>
  <c r="Z82" i="7"/>
  <c r="Z83" i="7"/>
  <c r="Z84" i="7"/>
  <c r="Z85" i="7"/>
  <c r="Z86" i="7"/>
  <c r="Z87" i="7"/>
  <c r="Z88" i="7"/>
  <c r="B88" i="12" s="1"/>
  <c r="Z89" i="7"/>
  <c r="Z90" i="7"/>
  <c r="Z91" i="7"/>
  <c r="Z92" i="7"/>
  <c r="Z93" i="7"/>
  <c r="Z94" i="7"/>
  <c r="Z95" i="7"/>
  <c r="Z96" i="7"/>
  <c r="Z97" i="7"/>
  <c r="Z98" i="7"/>
  <c r="Z99" i="7"/>
  <c r="Z100" i="7"/>
  <c r="Z101" i="7"/>
  <c r="Z102" i="7"/>
  <c r="Z103" i="7"/>
  <c r="Z104" i="7"/>
  <c r="Z105" i="7"/>
  <c r="Z106" i="7"/>
  <c r="Z107" i="7"/>
  <c r="Z108" i="7"/>
  <c r="Z109" i="7"/>
  <c r="Z110" i="7"/>
  <c r="Z111" i="7"/>
  <c r="Z112" i="7"/>
  <c r="Z113" i="7"/>
  <c r="Z114" i="7"/>
  <c r="Z115" i="7"/>
  <c r="Z116" i="7"/>
  <c r="Z117" i="7"/>
  <c r="Z118" i="7"/>
  <c r="Z119" i="7"/>
  <c r="Z120" i="7"/>
  <c r="Z121" i="7"/>
  <c r="Z122" i="7"/>
  <c r="Z123" i="7"/>
  <c r="Z124" i="7"/>
  <c r="Z125" i="7"/>
  <c r="Z126" i="7"/>
  <c r="Z127" i="7"/>
  <c r="Z128" i="7"/>
  <c r="Z129" i="7"/>
  <c r="Z130" i="7"/>
  <c r="Z131" i="7"/>
  <c r="Z132" i="7"/>
  <c r="Z133" i="7"/>
  <c r="Z134" i="7"/>
  <c r="Z135" i="7"/>
  <c r="Z136" i="7"/>
  <c r="Z137" i="7"/>
  <c r="Z138" i="7"/>
  <c r="Z139" i="7"/>
  <c r="Z140" i="7"/>
  <c r="Z141" i="7"/>
  <c r="Z142" i="7"/>
  <c r="Z143" i="7"/>
  <c r="Z144" i="7"/>
  <c r="Z145" i="7"/>
  <c r="Z146" i="7"/>
  <c r="Z147" i="7"/>
  <c r="Z148" i="7"/>
  <c r="Z149" i="7"/>
  <c r="Z150" i="7"/>
  <c r="Z151" i="7"/>
  <c r="Z152" i="7"/>
  <c r="Z153" i="7"/>
  <c r="Z154" i="7"/>
  <c r="Z155" i="7"/>
  <c r="Z156" i="7"/>
  <c r="Z157" i="7"/>
  <c r="Z158" i="7"/>
  <c r="Z159" i="7"/>
  <c r="Z160" i="7"/>
  <c r="Z161" i="7"/>
  <c r="Z162" i="7"/>
  <c r="Z163" i="7"/>
  <c r="Z164" i="7"/>
  <c r="Z165" i="7"/>
  <c r="Z166" i="7"/>
  <c r="Z167" i="7"/>
  <c r="Z168" i="7"/>
  <c r="Z169" i="7"/>
  <c r="Z170" i="7"/>
  <c r="Z171" i="7"/>
  <c r="Z172" i="7"/>
  <c r="Z173" i="7"/>
  <c r="Z174" i="7"/>
  <c r="Z175" i="7"/>
  <c r="Z176" i="7"/>
  <c r="Z177" i="7"/>
  <c r="Z178" i="7"/>
  <c r="Z179" i="7"/>
  <c r="Z180" i="7"/>
  <c r="Z181" i="7"/>
  <c r="Z182" i="7"/>
  <c r="Z183" i="7"/>
  <c r="Z184" i="7"/>
  <c r="Z185" i="7"/>
  <c r="Z186" i="7"/>
  <c r="Z187" i="7"/>
  <c r="Z188" i="7"/>
  <c r="Z189" i="7"/>
  <c r="Z190" i="7"/>
  <c r="Z191" i="7"/>
  <c r="Z192" i="7"/>
  <c r="Z193" i="7"/>
  <c r="Z194" i="7"/>
  <c r="Z195" i="7"/>
  <c r="Z196" i="7"/>
  <c r="Z197" i="7"/>
  <c r="Z198" i="7"/>
  <c r="Z199" i="7"/>
  <c r="Z200" i="7"/>
  <c r="Z201" i="7"/>
  <c r="Z202" i="7"/>
  <c r="Z203" i="7"/>
  <c r="Z204" i="7"/>
  <c r="Z205" i="7"/>
  <c r="Z206" i="7"/>
  <c r="Z207" i="7"/>
  <c r="Z208" i="7"/>
  <c r="Z209" i="7"/>
  <c r="Z210" i="7"/>
  <c r="Z211" i="7"/>
  <c r="Z212" i="7"/>
  <c r="Z213" i="7"/>
  <c r="Z214" i="7"/>
  <c r="Z215" i="7"/>
  <c r="Z216" i="7"/>
  <c r="Z217" i="7"/>
  <c r="Z218" i="7"/>
  <c r="Z219" i="7"/>
  <c r="Z220" i="7"/>
  <c r="Z221" i="7"/>
  <c r="Z222" i="7"/>
  <c r="Z223" i="7"/>
  <c r="Z224" i="7"/>
  <c r="Z225" i="7"/>
  <c r="Z226" i="7"/>
  <c r="Z227" i="7"/>
  <c r="Z228" i="7"/>
  <c r="Z229" i="7"/>
  <c r="Z230" i="7"/>
  <c r="Z231" i="7"/>
  <c r="Z232" i="7"/>
  <c r="Z233" i="7"/>
  <c r="Z234" i="7"/>
  <c r="Z235" i="7"/>
  <c r="Z236" i="7"/>
  <c r="Z237" i="7"/>
  <c r="Z238" i="7"/>
  <c r="Z239" i="7"/>
  <c r="Z240" i="7"/>
  <c r="Z241" i="7"/>
  <c r="Z242" i="7"/>
  <c r="Z243" i="7"/>
  <c r="Z244" i="7"/>
  <c r="Z245" i="7"/>
  <c r="Z246" i="7"/>
  <c r="Z247" i="7"/>
  <c r="Z248" i="7"/>
  <c r="Z249" i="7"/>
  <c r="Z250" i="7"/>
  <c r="Z251" i="7"/>
  <c r="Z252" i="7"/>
  <c r="Z253" i="7"/>
  <c r="Z254" i="7"/>
  <c r="Z255" i="7"/>
  <c r="Z256" i="7"/>
  <c r="Z257" i="7"/>
  <c r="Z258" i="7"/>
  <c r="Z259" i="7"/>
  <c r="Z260" i="7"/>
  <c r="Z261" i="7"/>
  <c r="Z262" i="7"/>
  <c r="Z263" i="7"/>
  <c r="Z264" i="7"/>
  <c r="Z265" i="7"/>
  <c r="Z266" i="7"/>
  <c r="Z267" i="7"/>
  <c r="Z268" i="7"/>
  <c r="Z269" i="7"/>
  <c r="Z270" i="7"/>
  <c r="Z271" i="7"/>
  <c r="Z272" i="7"/>
  <c r="Z273" i="7"/>
  <c r="Z274" i="7"/>
  <c r="Z275" i="7"/>
  <c r="Z276" i="7"/>
  <c r="Z277" i="7"/>
  <c r="Z278" i="7"/>
  <c r="Z279" i="7"/>
  <c r="Z280" i="7"/>
  <c r="Z281" i="7"/>
  <c r="Z282" i="7"/>
  <c r="Z283" i="7"/>
  <c r="Z284" i="7"/>
  <c r="Z285" i="7"/>
  <c r="Z286" i="7"/>
  <c r="Z287" i="7"/>
  <c r="Z288" i="7"/>
  <c r="Z289" i="7"/>
  <c r="Z290" i="7"/>
  <c r="Z291" i="7"/>
  <c r="Z292" i="7"/>
  <c r="Z293" i="7"/>
  <c r="Z294" i="7"/>
  <c r="Z295" i="7"/>
  <c r="Z296" i="7"/>
  <c r="Z297" i="7"/>
  <c r="Z298" i="7"/>
  <c r="Z299" i="7"/>
  <c r="Z300" i="7"/>
  <c r="Z301" i="7"/>
  <c r="Z302" i="7"/>
  <c r="Z303" i="7"/>
  <c r="Z304" i="7"/>
  <c r="Z305" i="7"/>
  <c r="Z306" i="7"/>
  <c r="Z307" i="7"/>
  <c r="Z308" i="7"/>
  <c r="Z309" i="7"/>
  <c r="Z310" i="7"/>
  <c r="Z311" i="7"/>
  <c r="Z312" i="7"/>
  <c r="Z313" i="7"/>
  <c r="Z314" i="7"/>
  <c r="Z315" i="7"/>
  <c r="Z316" i="7"/>
  <c r="Z317" i="7"/>
  <c r="Z318" i="7"/>
  <c r="Z319" i="7"/>
  <c r="Z320" i="7"/>
  <c r="Z321" i="7"/>
  <c r="Z322" i="7"/>
  <c r="Z323" i="7"/>
  <c r="Z324" i="7"/>
  <c r="Z325" i="7"/>
  <c r="Z326" i="7"/>
  <c r="Z327" i="7"/>
  <c r="Z328" i="7"/>
  <c r="Z329" i="7"/>
  <c r="Z330" i="7"/>
  <c r="Z331" i="7"/>
  <c r="Z332" i="7"/>
  <c r="Z333" i="7"/>
  <c r="Z334" i="7"/>
  <c r="Z335" i="7"/>
  <c r="Z336" i="7"/>
  <c r="Z337" i="7"/>
  <c r="Z338" i="7"/>
  <c r="Z339" i="7"/>
  <c r="Z340" i="7"/>
  <c r="Z341" i="7"/>
  <c r="Z342" i="7"/>
  <c r="Z343" i="7"/>
  <c r="Z344" i="7"/>
  <c r="Z345" i="7"/>
  <c r="Z346" i="7"/>
  <c r="Z347" i="7"/>
  <c r="Z348" i="7"/>
  <c r="Z349" i="7"/>
  <c r="Z350" i="7"/>
  <c r="Z351" i="7"/>
  <c r="Z352" i="7"/>
  <c r="Z353" i="7"/>
  <c r="Z354" i="7"/>
  <c r="Z355" i="7"/>
  <c r="Z356" i="7"/>
  <c r="Z357" i="7"/>
  <c r="Z358" i="7"/>
  <c r="Z359" i="7"/>
  <c r="Z360" i="7"/>
  <c r="Z361" i="7"/>
  <c r="Z362" i="7"/>
  <c r="Z363" i="7"/>
  <c r="Z364" i="7"/>
  <c r="Z365" i="7"/>
  <c r="Z366" i="7"/>
  <c r="Z367" i="7"/>
  <c r="Z368" i="7"/>
  <c r="Z369" i="7"/>
  <c r="Z370" i="7"/>
  <c r="Z371" i="7"/>
  <c r="Z372" i="7"/>
  <c r="Z373" i="7"/>
  <c r="Z374" i="7"/>
  <c r="Z375" i="7"/>
  <c r="Z376" i="7"/>
  <c r="Z377" i="7"/>
  <c r="Z378" i="7"/>
  <c r="Z379" i="7"/>
  <c r="Z380" i="7"/>
  <c r="Z381" i="7"/>
  <c r="Z382" i="7"/>
  <c r="Z383" i="7"/>
  <c r="Z384" i="7"/>
  <c r="Z385" i="7"/>
  <c r="Z386" i="7"/>
  <c r="Z387" i="7"/>
  <c r="Z388" i="7"/>
  <c r="Z389" i="7"/>
  <c r="Z390" i="7"/>
  <c r="Z391" i="7"/>
  <c r="Z392" i="7"/>
  <c r="Z393" i="7"/>
  <c r="Z394" i="7"/>
  <c r="Z395" i="7"/>
  <c r="Z396" i="7"/>
  <c r="Z397" i="7"/>
  <c r="Z398" i="7"/>
  <c r="Z399" i="7"/>
  <c r="Z400" i="7"/>
  <c r="Z401" i="7"/>
  <c r="Z402" i="7"/>
  <c r="Z403" i="7"/>
  <c r="Z404" i="7"/>
  <c r="Z405" i="7"/>
  <c r="Z406" i="7"/>
  <c r="Z407" i="7"/>
  <c r="Z408" i="7"/>
  <c r="Z409" i="7"/>
  <c r="Z410" i="7"/>
  <c r="Z411" i="7"/>
  <c r="Z412" i="7"/>
  <c r="Z413" i="7"/>
  <c r="Z414" i="7"/>
  <c r="Z415" i="7"/>
  <c r="Z416" i="7"/>
  <c r="Z417" i="7"/>
  <c r="Z418" i="7"/>
  <c r="Z419" i="7"/>
  <c r="Z420" i="7"/>
  <c r="Z421" i="7"/>
  <c r="Z422" i="7"/>
  <c r="Z423" i="7"/>
  <c r="Z424" i="7"/>
  <c r="Z425" i="7"/>
  <c r="Z426" i="7"/>
  <c r="Z427" i="7"/>
  <c r="Z428" i="7"/>
  <c r="Z429" i="7"/>
  <c r="Z430" i="7"/>
  <c r="Z431" i="7"/>
  <c r="Z432" i="7"/>
  <c r="Z433" i="7"/>
  <c r="Z434" i="7"/>
  <c r="Z435" i="7"/>
  <c r="Z436" i="7"/>
  <c r="Z437" i="7"/>
  <c r="Z438" i="7"/>
  <c r="Z439" i="7"/>
  <c r="Z440" i="7"/>
  <c r="Z441" i="7"/>
  <c r="Z442" i="7"/>
  <c r="Z443" i="7"/>
  <c r="Z444" i="7"/>
  <c r="Z445" i="7"/>
  <c r="Z446" i="7"/>
  <c r="Z447" i="7"/>
  <c r="Z448" i="7"/>
  <c r="Z449" i="7"/>
  <c r="Z450" i="7"/>
  <c r="Z451" i="7"/>
  <c r="Z452" i="7"/>
  <c r="Z453" i="7"/>
  <c r="Z454" i="7"/>
  <c r="Z455" i="7"/>
  <c r="Z456" i="7"/>
  <c r="Z457" i="7"/>
  <c r="Z458" i="7"/>
  <c r="Z459" i="7"/>
  <c r="Z460" i="7"/>
  <c r="Z461" i="7"/>
  <c r="Z462" i="7"/>
  <c r="Z463" i="7"/>
  <c r="Z464" i="7"/>
  <c r="Z465" i="7"/>
  <c r="Z466" i="7"/>
  <c r="Z467" i="7"/>
  <c r="Z468" i="7"/>
  <c r="Z469" i="7"/>
  <c r="Z470" i="7"/>
  <c r="Z471" i="7"/>
  <c r="Z472" i="7"/>
  <c r="Z473" i="7"/>
  <c r="Z474" i="7"/>
  <c r="Z475" i="7"/>
  <c r="Z476" i="7"/>
  <c r="Z477" i="7"/>
  <c r="Z478" i="7"/>
  <c r="Z479" i="7"/>
  <c r="Z480" i="7"/>
  <c r="Z481" i="7"/>
  <c r="Z482" i="7"/>
  <c r="Z483" i="7"/>
  <c r="Z484" i="7"/>
  <c r="Z485" i="7"/>
  <c r="Z486" i="7"/>
  <c r="Z487" i="7"/>
  <c r="Z488" i="7"/>
  <c r="Z489" i="7"/>
  <c r="Z490" i="7"/>
  <c r="Z491" i="7"/>
  <c r="Z492" i="7"/>
  <c r="Z493" i="7"/>
  <c r="Z494" i="7"/>
  <c r="Z495" i="7"/>
  <c r="Z496" i="7"/>
  <c r="Z497" i="7"/>
  <c r="Z498" i="7"/>
  <c r="Z499" i="7"/>
  <c r="Z500" i="7"/>
  <c r="Z501" i="7"/>
  <c r="Z502" i="7"/>
  <c r="Z503" i="7"/>
  <c r="Z504" i="7"/>
  <c r="Z505" i="7"/>
  <c r="Z506" i="7"/>
  <c r="Z507" i="7"/>
  <c r="Z508" i="7"/>
  <c r="Z509" i="7"/>
  <c r="Z510" i="7"/>
  <c r="Z511" i="7"/>
  <c r="Z512" i="7"/>
  <c r="Z513" i="7"/>
  <c r="Z514" i="7"/>
  <c r="Z515" i="7"/>
  <c r="Z516" i="7"/>
  <c r="Z517" i="7"/>
  <c r="Z518" i="7"/>
  <c r="Z519" i="7"/>
  <c r="Z520" i="7"/>
  <c r="Z521" i="7"/>
  <c r="Z522" i="7"/>
  <c r="Z523" i="7"/>
  <c r="Z524" i="7"/>
  <c r="Z525" i="7"/>
  <c r="Z526" i="7"/>
  <c r="Z527" i="7"/>
  <c r="Z528" i="7"/>
  <c r="Z529" i="7"/>
  <c r="Z530" i="7"/>
  <c r="Z531" i="7"/>
  <c r="Z532" i="7"/>
  <c r="Z533" i="7"/>
  <c r="Z534" i="7"/>
  <c r="Z535" i="7"/>
  <c r="Z536" i="7"/>
  <c r="Z537" i="7"/>
  <c r="Z538" i="7"/>
  <c r="Z539" i="7"/>
  <c r="Z540" i="7"/>
  <c r="Z541" i="7"/>
  <c r="Z542" i="7"/>
  <c r="Z543" i="7"/>
  <c r="Z544" i="7"/>
  <c r="Z545" i="7"/>
  <c r="Z546" i="7"/>
  <c r="Z547" i="7"/>
  <c r="Z548" i="7"/>
  <c r="Z549" i="7"/>
  <c r="Z550" i="7"/>
  <c r="Z551" i="7"/>
  <c r="Z552" i="7"/>
  <c r="Z553" i="7"/>
  <c r="Z554" i="7"/>
  <c r="Z555" i="7"/>
  <c r="Z556" i="7"/>
  <c r="Z557" i="7"/>
  <c r="Z558" i="7"/>
  <c r="Z559" i="7"/>
  <c r="Z560" i="7"/>
  <c r="Z561" i="7"/>
  <c r="Z562" i="7"/>
  <c r="Z563" i="7"/>
  <c r="Z564" i="7"/>
  <c r="Z565" i="7"/>
  <c r="Z566" i="7"/>
  <c r="Z567" i="7"/>
  <c r="Z568" i="7"/>
  <c r="Z569" i="7"/>
  <c r="Z570" i="7"/>
  <c r="Z571" i="7"/>
  <c r="Z572" i="7"/>
  <c r="Z573" i="7"/>
  <c r="Z574" i="7"/>
  <c r="Z575" i="7"/>
  <c r="Z576" i="7"/>
  <c r="Z577" i="7"/>
  <c r="Z578" i="7"/>
  <c r="Z579" i="7"/>
  <c r="Z580" i="7"/>
  <c r="Z581" i="7"/>
  <c r="Z582" i="7"/>
  <c r="Z583" i="7"/>
  <c r="Z584" i="7"/>
  <c r="Z585" i="7"/>
  <c r="Z586" i="7"/>
  <c r="Z587" i="7"/>
  <c r="Z588" i="7"/>
  <c r="Z589" i="7"/>
  <c r="Z590" i="7"/>
  <c r="Z591" i="7"/>
  <c r="Z592" i="7"/>
  <c r="Z593" i="7"/>
  <c r="Z594" i="7"/>
  <c r="Z595" i="7"/>
  <c r="Z596" i="7"/>
  <c r="Z597" i="7"/>
  <c r="Z598" i="7"/>
  <c r="Z599" i="7"/>
  <c r="Z600" i="7"/>
  <c r="Z601" i="7"/>
  <c r="Z602" i="7"/>
  <c r="Z603" i="7"/>
  <c r="Z604" i="7"/>
  <c r="Z605" i="7"/>
  <c r="Z606" i="7"/>
  <c r="Z607" i="7"/>
  <c r="Z608" i="7"/>
  <c r="Z609" i="7"/>
  <c r="Z610" i="7"/>
  <c r="Z611" i="7"/>
  <c r="Z612" i="7"/>
  <c r="Z613" i="7"/>
  <c r="Z614" i="7"/>
  <c r="Z615" i="7"/>
  <c r="Z616" i="7"/>
  <c r="Z617" i="7"/>
  <c r="Z618" i="7"/>
  <c r="Z619" i="7"/>
  <c r="Z620" i="7"/>
  <c r="Z621" i="7"/>
  <c r="Z622" i="7"/>
  <c r="Z623" i="7"/>
  <c r="Z624" i="7"/>
  <c r="Z625" i="7"/>
  <c r="Z626" i="7"/>
  <c r="Z627" i="7"/>
  <c r="Z628" i="7"/>
  <c r="Z629" i="7"/>
  <c r="Z630" i="7"/>
  <c r="Z631" i="7"/>
  <c r="Z632" i="7"/>
  <c r="Z633" i="7"/>
  <c r="Z634" i="7"/>
  <c r="Z635" i="7"/>
  <c r="Z636" i="7"/>
  <c r="Z637" i="7"/>
  <c r="Z638" i="7"/>
  <c r="Z639" i="7"/>
  <c r="Z640" i="7"/>
  <c r="Z641" i="7"/>
  <c r="Z642" i="7"/>
  <c r="Z643" i="7"/>
  <c r="Z644" i="7"/>
  <c r="Z645" i="7"/>
  <c r="Z646" i="7"/>
  <c r="Z647" i="7"/>
  <c r="Z648" i="7"/>
  <c r="Z649" i="7"/>
  <c r="Z650" i="7"/>
  <c r="Z651" i="7"/>
  <c r="Z652" i="7"/>
  <c r="Z653" i="7"/>
  <c r="Z654" i="7"/>
  <c r="Z655" i="7"/>
  <c r="Z656" i="7"/>
  <c r="Z657" i="7"/>
  <c r="Z658" i="7"/>
  <c r="Z659" i="7"/>
  <c r="Z660" i="7"/>
  <c r="Z661" i="7"/>
  <c r="Z662" i="7"/>
  <c r="Z663" i="7"/>
  <c r="Z664" i="7"/>
  <c r="Z665" i="7"/>
  <c r="Z666" i="7"/>
  <c r="Z667" i="7"/>
  <c r="Z668" i="7"/>
  <c r="Z669" i="7"/>
  <c r="Z670" i="7"/>
  <c r="Z671" i="7"/>
  <c r="Z672" i="7"/>
  <c r="Z673" i="7"/>
  <c r="Z674" i="7"/>
  <c r="Z675" i="7"/>
  <c r="Z676" i="7"/>
  <c r="Z677" i="7"/>
  <c r="Z678" i="7"/>
  <c r="Z679" i="7"/>
  <c r="Z680" i="7"/>
  <c r="Z681" i="7"/>
  <c r="Z682" i="7"/>
  <c r="Z683" i="7"/>
  <c r="Z684" i="7"/>
  <c r="Z685" i="7"/>
  <c r="Z686" i="7"/>
  <c r="Z687" i="7"/>
  <c r="Z688" i="7"/>
  <c r="Z689" i="7"/>
  <c r="Z690" i="7"/>
  <c r="Z691" i="7"/>
  <c r="Z692" i="7"/>
  <c r="Z693" i="7"/>
  <c r="Z694" i="7"/>
  <c r="Z695" i="7"/>
  <c r="Z696" i="7"/>
  <c r="Z697" i="7"/>
  <c r="Z698" i="7"/>
  <c r="Z699" i="7"/>
  <c r="Z700" i="7"/>
  <c r="Z701" i="7"/>
  <c r="Z702" i="7"/>
  <c r="Z703" i="7"/>
  <c r="Z704" i="7"/>
  <c r="Z705" i="7"/>
  <c r="Z706" i="7"/>
  <c r="Z707" i="7"/>
  <c r="Z708" i="7"/>
  <c r="Z709" i="7"/>
  <c r="Z710" i="7"/>
  <c r="Z711" i="7"/>
  <c r="Z712" i="7"/>
  <c r="Z713" i="7"/>
  <c r="Z714" i="7"/>
  <c r="Z715" i="7"/>
  <c r="Z716" i="7"/>
  <c r="Z717" i="7"/>
  <c r="Z718" i="7"/>
  <c r="Z719" i="7"/>
  <c r="Z720" i="7"/>
  <c r="Z721" i="7"/>
  <c r="Z722" i="7"/>
  <c r="Z723" i="7"/>
  <c r="Z724" i="7"/>
  <c r="Z725" i="7"/>
  <c r="Z726" i="7"/>
  <c r="Z727" i="7"/>
  <c r="Z728" i="7"/>
  <c r="Z729" i="7"/>
  <c r="Z730" i="7"/>
  <c r="Z731" i="7"/>
  <c r="Z732" i="7"/>
  <c r="Z733" i="7"/>
  <c r="Z734" i="7"/>
  <c r="Z735" i="7"/>
  <c r="Z736" i="7"/>
  <c r="Z737" i="7"/>
  <c r="Z738" i="7"/>
  <c r="Z739" i="7"/>
  <c r="Z740" i="7"/>
  <c r="Z741" i="7"/>
  <c r="Z742" i="7"/>
  <c r="Z743" i="7"/>
  <c r="Z744" i="7"/>
  <c r="Z745" i="7"/>
  <c r="Z746" i="7"/>
  <c r="Z747" i="7"/>
  <c r="Z748" i="7"/>
  <c r="Z749" i="7"/>
  <c r="Z750" i="7"/>
  <c r="Z751" i="7"/>
  <c r="Z752" i="7"/>
  <c r="Z753" i="7"/>
  <c r="Z754" i="7"/>
  <c r="Z755" i="7"/>
  <c r="Z756" i="7"/>
  <c r="Z757" i="7"/>
  <c r="Z758" i="7"/>
  <c r="Z759" i="7"/>
  <c r="Z760" i="7"/>
  <c r="Z761" i="7"/>
  <c r="Z762" i="7"/>
  <c r="Z763" i="7"/>
  <c r="Z764" i="7"/>
  <c r="Z765" i="7"/>
  <c r="Z766" i="7"/>
  <c r="Z767" i="7"/>
  <c r="Z768" i="7"/>
  <c r="Z769" i="7"/>
  <c r="Z770" i="7"/>
  <c r="Z771" i="7"/>
  <c r="Z772" i="7"/>
  <c r="Z773" i="7"/>
  <c r="Z774" i="7"/>
  <c r="Z775" i="7"/>
  <c r="Z776" i="7"/>
  <c r="Z777" i="7"/>
  <c r="Z778" i="7"/>
  <c r="Z779" i="7"/>
  <c r="Z780" i="7"/>
  <c r="Z781" i="7"/>
  <c r="Z782" i="7"/>
  <c r="Z783" i="7"/>
  <c r="Z784" i="7"/>
  <c r="Z785" i="7"/>
  <c r="Z786" i="7"/>
  <c r="Z787" i="7"/>
  <c r="Z788" i="7"/>
  <c r="Z789" i="7"/>
  <c r="Z790" i="7"/>
  <c r="Z791" i="7"/>
  <c r="Z792" i="7"/>
  <c r="Z793" i="7"/>
  <c r="Z794" i="7"/>
  <c r="Z795" i="7"/>
  <c r="Z796" i="7"/>
  <c r="Z797" i="7"/>
  <c r="Z798" i="7"/>
  <c r="Z799" i="7"/>
  <c r="Z800" i="7"/>
  <c r="Z801" i="7"/>
  <c r="Z802" i="7"/>
  <c r="Z803" i="7"/>
  <c r="Z804" i="7"/>
  <c r="Z805" i="7"/>
  <c r="Z806" i="7"/>
  <c r="Z807" i="7"/>
  <c r="Z808" i="7"/>
  <c r="Z809" i="7"/>
  <c r="Z810" i="7"/>
  <c r="Z811" i="7"/>
  <c r="Z812" i="7"/>
  <c r="Z813" i="7"/>
  <c r="Z814" i="7"/>
  <c r="Z815" i="7"/>
  <c r="Z816" i="7"/>
  <c r="Z817" i="7"/>
  <c r="Z818" i="7"/>
  <c r="Z819" i="7"/>
  <c r="Z820" i="7"/>
  <c r="Z821" i="7"/>
  <c r="Z822" i="7"/>
  <c r="Z823" i="7"/>
  <c r="Z824" i="7"/>
  <c r="Z825" i="7"/>
  <c r="Z826" i="7"/>
  <c r="Z827" i="7"/>
  <c r="Z828" i="7"/>
  <c r="Z829" i="7"/>
  <c r="Z830" i="7"/>
  <c r="Z831" i="7"/>
  <c r="Z832" i="7"/>
  <c r="Z833" i="7"/>
  <c r="Z834" i="7"/>
  <c r="Z835" i="7"/>
  <c r="Z836" i="7"/>
  <c r="Z837" i="7"/>
  <c r="Z838" i="7"/>
  <c r="Z839" i="7"/>
  <c r="Z840" i="7"/>
  <c r="Z841" i="7"/>
  <c r="Z842" i="7"/>
  <c r="Z843" i="7"/>
  <c r="Z844" i="7"/>
  <c r="Z845" i="7"/>
  <c r="Z846" i="7"/>
  <c r="Z847" i="7"/>
  <c r="Z848" i="7"/>
  <c r="Z849" i="7"/>
  <c r="Z850" i="7"/>
  <c r="Z851" i="7"/>
  <c r="Z852" i="7"/>
  <c r="Z853" i="7"/>
  <c r="Z854" i="7"/>
  <c r="Z855" i="7"/>
  <c r="Z856" i="7"/>
  <c r="Z857" i="7"/>
  <c r="Z858" i="7"/>
  <c r="Z859" i="7"/>
  <c r="Z860" i="7"/>
  <c r="Z861" i="7"/>
  <c r="Z862" i="7"/>
  <c r="Z863" i="7"/>
  <c r="Z864" i="7"/>
  <c r="Z865" i="7"/>
  <c r="Z866" i="7"/>
  <c r="Z867" i="7"/>
  <c r="Z868" i="7"/>
  <c r="Z869" i="7"/>
  <c r="Z870" i="7"/>
  <c r="Z871" i="7"/>
  <c r="Z872" i="7"/>
  <c r="Z873" i="7"/>
  <c r="Z874" i="7"/>
  <c r="Z875" i="7"/>
  <c r="Z876" i="7"/>
  <c r="Z877" i="7"/>
  <c r="Z878" i="7"/>
  <c r="Z879" i="7"/>
  <c r="Z880" i="7"/>
  <c r="Z881" i="7"/>
  <c r="Z882" i="7"/>
  <c r="Z883" i="7"/>
  <c r="Z884" i="7"/>
  <c r="Z885" i="7"/>
  <c r="Z886" i="7"/>
  <c r="Z887" i="7"/>
  <c r="Z888" i="7"/>
  <c r="Z889" i="7"/>
  <c r="Z890" i="7"/>
  <c r="Z891" i="7"/>
  <c r="Z892" i="7"/>
  <c r="Z893" i="7"/>
  <c r="Z894" i="7"/>
  <c r="Z895" i="7"/>
  <c r="Z896" i="7"/>
  <c r="Z897" i="7"/>
  <c r="Z898" i="7"/>
  <c r="Z899" i="7"/>
  <c r="Z900" i="7"/>
  <c r="Z901" i="7"/>
  <c r="Z902" i="7"/>
  <c r="Z903" i="7"/>
  <c r="Z904" i="7"/>
  <c r="Z905" i="7"/>
  <c r="Z906" i="7"/>
  <c r="Z907" i="7"/>
  <c r="Z908" i="7"/>
  <c r="Z909" i="7"/>
  <c r="Z910" i="7"/>
  <c r="Z911" i="7"/>
  <c r="Z912" i="7"/>
  <c r="Z913" i="7"/>
  <c r="Z914" i="7"/>
  <c r="Z915" i="7"/>
  <c r="Z916" i="7"/>
  <c r="Z917" i="7"/>
  <c r="Z918" i="7"/>
  <c r="Z919" i="7"/>
  <c r="Z920" i="7"/>
  <c r="Z921" i="7"/>
  <c r="Z922" i="7"/>
  <c r="Z923" i="7"/>
  <c r="Z924" i="7"/>
  <c r="Z925" i="7"/>
  <c r="Z926" i="7"/>
  <c r="Z927" i="7"/>
  <c r="Z928" i="7"/>
  <c r="Z929" i="7"/>
  <c r="Z930" i="7"/>
  <c r="Z931" i="7"/>
  <c r="Z932" i="7"/>
  <c r="Z933" i="7"/>
  <c r="Z934" i="7"/>
  <c r="Z935" i="7"/>
  <c r="Z936" i="7"/>
  <c r="Z937" i="7"/>
  <c r="Z938" i="7"/>
  <c r="Z939" i="7"/>
  <c r="Z940" i="7"/>
  <c r="Z941" i="7"/>
  <c r="Z942" i="7"/>
  <c r="Z943" i="7"/>
  <c r="Z944" i="7"/>
  <c r="Z945" i="7"/>
  <c r="Z946" i="7"/>
  <c r="Z947" i="7"/>
  <c r="Z948" i="7"/>
  <c r="Z949" i="7"/>
  <c r="Z950" i="7"/>
  <c r="Z951" i="7"/>
  <c r="Z952" i="7"/>
  <c r="Z953" i="7"/>
  <c r="Z954" i="7"/>
  <c r="Z955" i="7"/>
  <c r="Z956" i="7"/>
  <c r="Z957" i="7"/>
  <c r="Z958" i="7"/>
  <c r="Z959" i="7"/>
  <c r="Z960" i="7"/>
  <c r="Z961" i="7"/>
  <c r="Z962" i="7"/>
  <c r="Z963" i="7"/>
  <c r="Z964" i="7"/>
  <c r="Z965" i="7"/>
  <c r="Z966" i="7"/>
  <c r="Z967" i="7"/>
  <c r="Z968" i="7"/>
  <c r="Z969" i="7"/>
  <c r="Z970" i="7"/>
  <c r="Z971" i="7"/>
  <c r="Z972" i="7"/>
  <c r="Z973" i="7"/>
  <c r="Z974" i="7"/>
  <c r="Z975" i="7"/>
  <c r="Z976" i="7"/>
  <c r="Z977" i="7"/>
  <c r="Z978" i="7"/>
  <c r="Z979" i="7"/>
  <c r="Z980" i="7"/>
  <c r="Z981" i="7"/>
  <c r="Z982" i="7"/>
  <c r="Z983" i="7"/>
  <c r="Z984" i="7"/>
  <c r="Z985" i="7"/>
  <c r="Z986" i="7"/>
  <c r="Z987" i="7"/>
  <c r="Z988" i="7"/>
  <c r="Z989" i="7"/>
  <c r="Z990" i="7"/>
  <c r="Z991" i="7"/>
  <c r="Z992" i="7"/>
  <c r="Z993" i="7"/>
  <c r="Z994" i="7"/>
  <c r="Z995" i="7"/>
  <c r="Z996" i="7"/>
  <c r="Z997" i="7"/>
  <c r="Z998" i="7"/>
  <c r="Z999" i="7"/>
  <c r="Z1000" i="7"/>
  <c r="Z1001" i="7"/>
  <c r="Z1002" i="7"/>
  <c r="Z1003" i="7"/>
  <c r="Z1004" i="7"/>
  <c r="Z1005" i="7"/>
  <c r="Z1006" i="7"/>
  <c r="Z1007" i="7"/>
  <c r="Z1008" i="7"/>
  <c r="Z1009" i="7"/>
  <c r="Z1010" i="7"/>
  <c r="Z1011" i="7"/>
  <c r="Z1012" i="7"/>
  <c r="Z1013" i="7"/>
  <c r="Z1014" i="7"/>
  <c r="Z1015" i="7"/>
  <c r="Z1016" i="7"/>
  <c r="Z1017" i="7"/>
  <c r="Z1018" i="7"/>
  <c r="Z1019" i="7"/>
  <c r="Z1020" i="7"/>
  <c r="Z1021" i="7"/>
  <c r="Z1022" i="7"/>
  <c r="Z1023" i="7"/>
  <c r="Z1024" i="7"/>
  <c r="Z1025" i="7"/>
  <c r="Z1026" i="7"/>
  <c r="Z1027" i="7"/>
  <c r="Z1028" i="7"/>
  <c r="Z1029" i="7"/>
  <c r="Z1030" i="7"/>
  <c r="Z1031" i="7"/>
  <c r="Z1032" i="7"/>
  <c r="Z1033" i="7"/>
  <c r="Z1034" i="7"/>
  <c r="Z1035" i="7"/>
  <c r="Z1036" i="7"/>
  <c r="Z1037" i="7"/>
  <c r="Z1038" i="7"/>
  <c r="Z1039" i="7"/>
  <c r="Z1040" i="7"/>
  <c r="Z1041" i="7"/>
  <c r="Z1042" i="7"/>
  <c r="Z1043" i="7"/>
  <c r="Z1044" i="7"/>
  <c r="Z1045" i="7"/>
  <c r="Z1046" i="7"/>
  <c r="Z1047" i="7"/>
  <c r="Z1048" i="7"/>
  <c r="Z1049" i="7"/>
  <c r="Z1050" i="7"/>
  <c r="Z1051" i="7"/>
  <c r="Z1052" i="7"/>
  <c r="Z1053" i="7"/>
  <c r="Z1054" i="7"/>
  <c r="Z1055" i="7"/>
  <c r="Z1056" i="7"/>
  <c r="Z1057" i="7"/>
  <c r="Z1058" i="7"/>
  <c r="Z1059" i="7"/>
  <c r="Z1060" i="7"/>
  <c r="Z1061" i="7"/>
  <c r="Z1062" i="7"/>
  <c r="Z1063" i="7"/>
  <c r="Z1064" i="7"/>
  <c r="Z1065" i="7"/>
  <c r="Z1066" i="7"/>
  <c r="Z1067" i="7"/>
  <c r="Z1068" i="7"/>
  <c r="Z1069" i="7"/>
  <c r="Z1070" i="7"/>
  <c r="Z1071" i="7"/>
  <c r="Z1072" i="7"/>
  <c r="Z1073" i="7"/>
  <c r="Z1074" i="7"/>
  <c r="Z1075" i="7"/>
  <c r="Z1076" i="7"/>
  <c r="Z1077" i="7"/>
  <c r="Z1078" i="7"/>
  <c r="Z1079" i="7"/>
  <c r="Z1080" i="7"/>
  <c r="Z1081" i="7"/>
  <c r="Z1082" i="7"/>
  <c r="Z1083" i="7"/>
  <c r="Z1084" i="7"/>
  <c r="Z1085" i="7"/>
  <c r="Z1086" i="7"/>
  <c r="Z1087" i="7"/>
  <c r="Z1088" i="7"/>
  <c r="Z1089" i="7"/>
  <c r="Z1090" i="7"/>
  <c r="Z1091" i="7"/>
  <c r="Z1092" i="7"/>
  <c r="Z1093" i="7"/>
  <c r="Z1094" i="7"/>
  <c r="Z1095" i="7"/>
  <c r="Z1096" i="7"/>
  <c r="Z1097" i="7"/>
  <c r="Z1098" i="7"/>
  <c r="Z1099" i="7"/>
  <c r="Z1100" i="7"/>
  <c r="Z1101" i="7"/>
  <c r="Z1102" i="7"/>
  <c r="Z1103" i="7"/>
  <c r="Z1104" i="7"/>
  <c r="Z1105" i="7"/>
  <c r="Z1106" i="7"/>
  <c r="Z1107" i="7"/>
  <c r="Z1108" i="7"/>
  <c r="Z1109" i="7"/>
  <c r="Z1110" i="7"/>
  <c r="Z1111" i="7"/>
  <c r="Z1112" i="7"/>
  <c r="Z1113" i="7"/>
  <c r="Z1114" i="7"/>
  <c r="Z1115" i="7"/>
  <c r="Z1116" i="7"/>
  <c r="Z1117" i="7"/>
  <c r="Z1118" i="7"/>
  <c r="Z1119" i="7"/>
  <c r="Z1120" i="7"/>
  <c r="Z1121" i="7"/>
  <c r="Z1122" i="7"/>
  <c r="Z1123" i="7"/>
  <c r="Z1124" i="7"/>
  <c r="Z1125" i="7"/>
  <c r="Z1126" i="7"/>
  <c r="Z1127" i="7"/>
  <c r="Z1128" i="7"/>
  <c r="Z1129" i="7"/>
  <c r="Z1130" i="7"/>
  <c r="Z1131" i="7"/>
  <c r="Z1132" i="7"/>
  <c r="Z1133" i="7"/>
  <c r="Z1134" i="7"/>
  <c r="Z1135" i="7"/>
  <c r="Z1136" i="7"/>
  <c r="Z1137" i="7"/>
  <c r="Z1138" i="7"/>
  <c r="Z1139" i="7"/>
  <c r="Z1140" i="7"/>
  <c r="Z1141" i="7"/>
  <c r="Z1142" i="7"/>
  <c r="Z1143" i="7"/>
  <c r="Z1144" i="7"/>
  <c r="Z1145" i="7"/>
  <c r="Z1146" i="7"/>
  <c r="Z1147" i="7"/>
  <c r="Z1148" i="7"/>
  <c r="Z1149" i="7"/>
  <c r="Z1150" i="7"/>
  <c r="Z1151" i="7"/>
  <c r="Z1152" i="7"/>
  <c r="Z1153" i="7"/>
  <c r="Z1154" i="7"/>
  <c r="Z1155" i="7"/>
  <c r="Z1156" i="7"/>
  <c r="Z1157" i="7"/>
  <c r="Z1158" i="7"/>
  <c r="Z1159" i="7"/>
  <c r="Z1160" i="7"/>
  <c r="Z1161" i="7"/>
  <c r="Z1162" i="7"/>
  <c r="Z1163" i="7"/>
  <c r="Z1164" i="7"/>
  <c r="Z1165" i="7"/>
  <c r="Z1166" i="7"/>
  <c r="Z1167" i="7"/>
  <c r="Z1168" i="7"/>
  <c r="Z1169" i="7"/>
  <c r="Z1170" i="7"/>
  <c r="Z1171" i="7"/>
  <c r="Z1172" i="7"/>
  <c r="Z1173" i="7"/>
  <c r="Z1174" i="7"/>
  <c r="Z1175" i="7"/>
  <c r="Z1176" i="7"/>
  <c r="Z1177" i="7"/>
  <c r="Z1178" i="7"/>
  <c r="Z1179" i="7"/>
  <c r="Z1180" i="7"/>
  <c r="Z1181" i="7"/>
  <c r="Z1182" i="7"/>
  <c r="Z1183" i="7"/>
  <c r="Z1184" i="7"/>
  <c r="Z1185" i="7"/>
  <c r="Z1186" i="7"/>
  <c r="Z1187" i="7"/>
  <c r="Z1188" i="7"/>
  <c r="Z1189" i="7"/>
  <c r="Z1190" i="7"/>
  <c r="Z1191" i="7"/>
  <c r="Z1192" i="7"/>
  <c r="Z1193" i="7"/>
  <c r="Z1194" i="7"/>
  <c r="Z1195" i="7"/>
  <c r="Z1196" i="7"/>
  <c r="Z1197" i="7"/>
  <c r="Z1198" i="7"/>
  <c r="Z1199" i="7"/>
  <c r="Z1200" i="7"/>
  <c r="Z1201" i="7"/>
  <c r="Z1202" i="7"/>
  <c r="Z1203" i="7"/>
  <c r="Z1204" i="7"/>
  <c r="Z1205" i="7"/>
  <c r="Z1206" i="7"/>
  <c r="Z1207" i="7"/>
  <c r="Z1208" i="7"/>
  <c r="Z1209" i="7"/>
  <c r="Z1210" i="7"/>
  <c r="Z1211" i="7"/>
  <c r="Z1212" i="7"/>
  <c r="Z1213" i="7"/>
  <c r="Z1214" i="7"/>
  <c r="Z1215" i="7"/>
  <c r="Z1216" i="7"/>
  <c r="Z1217" i="7"/>
  <c r="Z1218" i="7"/>
  <c r="Z1219" i="7"/>
  <c r="Z1220" i="7"/>
  <c r="Z1221" i="7"/>
  <c r="Z1222" i="7"/>
  <c r="Z1223" i="7"/>
  <c r="Z1224" i="7"/>
  <c r="Z1225" i="7"/>
  <c r="Z1226" i="7"/>
  <c r="Z1227" i="7"/>
  <c r="Z1228" i="7"/>
  <c r="Z1229" i="7"/>
  <c r="Z1230" i="7"/>
  <c r="Z1231" i="7"/>
  <c r="Z1232" i="7"/>
  <c r="Z1233" i="7"/>
  <c r="Z1234" i="7"/>
  <c r="Z1235" i="7"/>
  <c r="Z1236" i="7"/>
  <c r="Z1237" i="7"/>
  <c r="Z1238" i="7"/>
  <c r="Z1239" i="7"/>
  <c r="Z1240" i="7"/>
  <c r="Z1241" i="7"/>
  <c r="Z1242" i="7"/>
  <c r="Z1243" i="7"/>
  <c r="Z1244" i="7"/>
  <c r="Z1245" i="7"/>
  <c r="Z1246" i="7"/>
  <c r="Z1247" i="7"/>
  <c r="Z1248" i="7"/>
  <c r="Z1249" i="7"/>
  <c r="Z1250" i="7"/>
  <c r="Z1251" i="7"/>
  <c r="Z1252" i="7"/>
  <c r="Z1253" i="7"/>
  <c r="Z1254" i="7"/>
  <c r="Z1255" i="7"/>
  <c r="Z1256" i="7"/>
  <c r="Z1257" i="7"/>
  <c r="Z1258" i="7"/>
  <c r="Z1259" i="7"/>
  <c r="Z1260" i="7"/>
  <c r="Z1261" i="7"/>
  <c r="Z1262" i="7"/>
  <c r="Z1263" i="7"/>
  <c r="Z1264" i="7"/>
  <c r="Z1265" i="7"/>
  <c r="Z1266" i="7"/>
  <c r="Z1267" i="7"/>
  <c r="Z1268" i="7"/>
  <c r="Z1269" i="7"/>
  <c r="Z1270" i="7"/>
  <c r="Z1271" i="7"/>
  <c r="Z1272" i="7"/>
  <c r="Z1273" i="7"/>
  <c r="Z1274" i="7"/>
  <c r="Z1275" i="7"/>
  <c r="Z1276" i="7"/>
  <c r="Z1277" i="7"/>
  <c r="Z1278" i="7"/>
  <c r="Z1279" i="7"/>
  <c r="Z1280" i="7"/>
  <c r="Z1281" i="7"/>
  <c r="Z1282" i="7"/>
  <c r="Z1283" i="7"/>
  <c r="Z1284" i="7"/>
  <c r="Z1285" i="7"/>
  <c r="Z1286" i="7"/>
  <c r="Z1287" i="7"/>
  <c r="Z1288" i="7"/>
  <c r="Z1289" i="7"/>
  <c r="Z1290" i="7"/>
  <c r="Z1291" i="7"/>
  <c r="Z1292" i="7"/>
  <c r="Z1293" i="7"/>
  <c r="Z1294" i="7"/>
  <c r="Z1295" i="7"/>
  <c r="Z1296" i="7"/>
  <c r="Z1297" i="7"/>
  <c r="Z1298" i="7"/>
  <c r="Z1299" i="7"/>
  <c r="Z1300" i="7"/>
  <c r="Z1301" i="7"/>
  <c r="Z1302" i="7"/>
  <c r="Z1303" i="7"/>
  <c r="Z1304" i="7"/>
  <c r="Z1305" i="7"/>
  <c r="Z1306" i="7"/>
  <c r="Z1307" i="7"/>
  <c r="Z1308" i="7"/>
  <c r="Z1309" i="7"/>
  <c r="Z1310" i="7"/>
  <c r="Z1311" i="7"/>
  <c r="Z1312" i="7"/>
  <c r="Z1313" i="7"/>
  <c r="Z1314" i="7"/>
  <c r="Z1315" i="7"/>
  <c r="Z1316" i="7"/>
  <c r="Z1317" i="7"/>
  <c r="Z1318" i="7"/>
  <c r="Z1319" i="7"/>
  <c r="Z1320" i="7"/>
  <c r="Z1321" i="7"/>
  <c r="Z1322" i="7"/>
  <c r="Z1323" i="7"/>
  <c r="Z1324" i="7"/>
  <c r="Z1325" i="7"/>
  <c r="Z1326" i="7"/>
  <c r="Z1327" i="7"/>
  <c r="Z1328" i="7"/>
  <c r="Z1329" i="7"/>
  <c r="Z1330" i="7"/>
  <c r="Z1331" i="7"/>
  <c r="Z1332" i="7"/>
  <c r="Z1333" i="7"/>
  <c r="Z1334" i="7"/>
  <c r="Z1335" i="7"/>
  <c r="Z1336" i="7"/>
  <c r="Z1337" i="7"/>
  <c r="Z1338" i="7"/>
  <c r="Z1339" i="7"/>
  <c r="Z1340" i="7"/>
  <c r="Z1341" i="7"/>
  <c r="Z1342" i="7"/>
  <c r="Z1343" i="7"/>
  <c r="Z1344" i="7"/>
  <c r="Z1345" i="7"/>
  <c r="Z1346" i="7"/>
  <c r="Z1347" i="7"/>
  <c r="Z1348" i="7"/>
  <c r="Z1349" i="7"/>
  <c r="Z1350" i="7"/>
  <c r="Z1351" i="7"/>
  <c r="Z1352" i="7"/>
  <c r="Z1353" i="7"/>
  <c r="Z1354" i="7"/>
  <c r="Z1355" i="7"/>
  <c r="Z1356" i="7"/>
  <c r="Z1357" i="7"/>
  <c r="Z1358" i="7"/>
  <c r="Z1359" i="7"/>
  <c r="Z1360" i="7"/>
  <c r="Z1361" i="7"/>
  <c r="Z1362" i="7"/>
  <c r="Z1363" i="7"/>
  <c r="Z1364" i="7"/>
  <c r="Z1365" i="7"/>
  <c r="Z1366" i="7"/>
  <c r="Z1367" i="7"/>
  <c r="Z1368" i="7"/>
  <c r="Z1369" i="7"/>
  <c r="Z1370" i="7"/>
  <c r="Z1371" i="7"/>
  <c r="Z1372" i="7"/>
  <c r="Z1373" i="7"/>
  <c r="Z1374" i="7"/>
  <c r="Z1375" i="7"/>
  <c r="Z1376" i="7"/>
  <c r="Z1377" i="7"/>
  <c r="Z1378" i="7"/>
  <c r="Z1379" i="7"/>
  <c r="Z1380" i="7"/>
  <c r="Z1381" i="7"/>
  <c r="Z1382" i="7"/>
  <c r="Z1383" i="7"/>
  <c r="Z1384" i="7"/>
  <c r="Z1385" i="7"/>
  <c r="Z1386" i="7"/>
  <c r="Z1387" i="7"/>
  <c r="Z1388" i="7"/>
  <c r="Z1389" i="7"/>
  <c r="Z1390" i="7"/>
  <c r="Z1391" i="7"/>
  <c r="Z1392" i="7"/>
  <c r="Z1393" i="7"/>
  <c r="Z1394" i="7"/>
  <c r="Z1395" i="7"/>
  <c r="Z1396" i="7"/>
  <c r="Z1397" i="7"/>
  <c r="Z1398" i="7"/>
  <c r="Z1399" i="7"/>
  <c r="Z1400" i="7"/>
  <c r="Z1401" i="7"/>
  <c r="Z1402" i="7"/>
  <c r="Z1403" i="7"/>
  <c r="Z1404" i="7"/>
  <c r="Z1405" i="7"/>
  <c r="Z1406" i="7"/>
  <c r="Z1407" i="7"/>
  <c r="Z1408" i="7"/>
  <c r="Z1409" i="7"/>
  <c r="Z1410" i="7"/>
  <c r="Z1411" i="7"/>
  <c r="Z1412" i="7"/>
  <c r="Z1413" i="7"/>
  <c r="Z1414" i="7"/>
  <c r="Z1415" i="7"/>
  <c r="Z1416" i="7"/>
  <c r="Z1417" i="7"/>
  <c r="Z1418" i="7"/>
  <c r="Z1419" i="7"/>
  <c r="Z1420" i="7"/>
  <c r="Z1421" i="7"/>
  <c r="Z1422" i="7"/>
  <c r="Z1423" i="7"/>
  <c r="Z1424" i="7"/>
  <c r="Z1425" i="7"/>
  <c r="Z1426" i="7"/>
  <c r="Z1427" i="7"/>
  <c r="Z1428" i="7"/>
  <c r="Z1429" i="7"/>
  <c r="Z1430" i="7"/>
  <c r="Z1431" i="7"/>
  <c r="Z1432" i="7"/>
  <c r="Z1433" i="7"/>
  <c r="Z1434" i="7"/>
  <c r="Z1435" i="7"/>
  <c r="Z1436" i="7"/>
  <c r="Z1437" i="7"/>
  <c r="Z1438" i="7"/>
  <c r="Z1439" i="7"/>
  <c r="Z1440" i="7"/>
  <c r="Z1441" i="7"/>
  <c r="Z1442" i="7"/>
  <c r="Z1443" i="7"/>
  <c r="Z1444" i="7"/>
  <c r="Z1445" i="7"/>
  <c r="Z1446" i="7"/>
  <c r="Z1447" i="7"/>
  <c r="Z1448" i="7"/>
  <c r="Z1449" i="7"/>
  <c r="Z1450" i="7"/>
  <c r="Z1451" i="7"/>
  <c r="Z1452" i="7"/>
  <c r="Z1453" i="7"/>
  <c r="Z1454" i="7"/>
  <c r="Z1455" i="7"/>
  <c r="Z1456" i="7"/>
  <c r="Z1457" i="7"/>
  <c r="Z1458" i="7"/>
  <c r="Z1459" i="7"/>
  <c r="Z1460" i="7"/>
  <c r="Z1461" i="7"/>
  <c r="Z1462" i="7"/>
  <c r="Z1463" i="7"/>
  <c r="Z1464" i="7"/>
  <c r="Z1465" i="7"/>
  <c r="Z1466" i="7"/>
  <c r="Z1467" i="7"/>
  <c r="Z1468" i="7"/>
  <c r="Z1469" i="7"/>
  <c r="Z1470" i="7"/>
  <c r="Z1471" i="7"/>
  <c r="Z2" i="7"/>
  <c r="Q3" i="7"/>
  <c r="Q4" i="7"/>
  <c r="Q5" i="7"/>
  <c r="Q6" i="7"/>
  <c r="Q7" i="7"/>
  <c r="Q8" i="7"/>
  <c r="Q9" i="7"/>
  <c r="Q10" i="7"/>
  <c r="Q11" i="7"/>
  <c r="Q12" i="7"/>
  <c r="Q13" i="7"/>
  <c r="Q14" i="7"/>
  <c r="Q15" i="7"/>
  <c r="Q16" i="7"/>
  <c r="Q17" i="7"/>
  <c r="Q18" i="7"/>
  <c r="Q19" i="7"/>
  <c r="Q20" i="7"/>
  <c r="Q21" i="7"/>
  <c r="Q22" i="7"/>
  <c r="Q23" i="7"/>
  <c r="Q24" i="7"/>
  <c r="Q25" i="7"/>
  <c r="Q26" i="7"/>
  <c r="Q27" i="7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Q44" i="7"/>
  <c r="Q45" i="7"/>
  <c r="Q46" i="7"/>
  <c r="Q47" i="7"/>
  <c r="Q48" i="7"/>
  <c r="Q49" i="7"/>
  <c r="Q50" i="7"/>
  <c r="Q51" i="7"/>
  <c r="Q52" i="7"/>
  <c r="Q53" i="7"/>
  <c r="Q54" i="7"/>
  <c r="Q55" i="7"/>
  <c r="Q56" i="7"/>
  <c r="Q57" i="7"/>
  <c r="Q58" i="7"/>
  <c r="Q59" i="7"/>
  <c r="Q60" i="7"/>
  <c r="Q61" i="7"/>
  <c r="B61" i="12" s="1"/>
  <c r="Q62" i="7"/>
  <c r="Q63" i="7"/>
  <c r="Q64" i="7"/>
  <c r="Q65" i="7"/>
  <c r="Q66" i="7"/>
  <c r="Q67" i="7"/>
  <c r="Q68" i="7"/>
  <c r="Q69" i="7"/>
  <c r="Q70" i="7"/>
  <c r="Q71" i="7"/>
  <c r="Q72" i="7"/>
  <c r="Q73" i="7"/>
  <c r="Q74" i="7"/>
  <c r="Q75" i="7"/>
  <c r="Q76" i="7"/>
  <c r="Q77" i="7"/>
  <c r="Q78" i="7"/>
  <c r="Q79" i="7"/>
  <c r="Q80" i="7"/>
  <c r="Q81" i="7"/>
  <c r="Q82" i="7"/>
  <c r="Q83" i="7"/>
  <c r="Q84" i="7"/>
  <c r="Q85" i="7"/>
  <c r="Q86" i="7"/>
  <c r="Q87" i="7"/>
  <c r="Q88" i="7"/>
  <c r="Q89" i="7"/>
  <c r="Q90" i="7"/>
  <c r="Q91" i="7"/>
  <c r="Q92" i="7"/>
  <c r="Q93" i="7"/>
  <c r="Q94" i="7"/>
  <c r="Q95" i="7"/>
  <c r="Q96" i="7"/>
  <c r="Q97" i="7"/>
  <c r="Q98" i="7"/>
  <c r="Q99" i="7"/>
  <c r="Q100" i="7"/>
  <c r="Q101" i="7"/>
  <c r="Q102" i="7"/>
  <c r="Q103" i="7"/>
  <c r="Q104" i="7"/>
  <c r="Q105" i="7"/>
  <c r="Q106" i="7"/>
  <c r="Q107" i="7"/>
  <c r="Q108" i="7"/>
  <c r="Q109" i="7"/>
  <c r="Q110" i="7"/>
  <c r="Q111" i="7"/>
  <c r="Q112" i="7"/>
  <c r="Q113" i="7"/>
  <c r="Q114" i="7"/>
  <c r="Q115" i="7"/>
  <c r="Q116" i="7"/>
  <c r="Q117" i="7"/>
  <c r="Q118" i="7"/>
  <c r="Q119" i="7"/>
  <c r="Q120" i="7"/>
  <c r="Q121" i="7"/>
  <c r="Q122" i="7"/>
  <c r="Q123" i="7"/>
  <c r="Q124" i="7"/>
  <c r="Q125" i="7"/>
  <c r="Q126" i="7"/>
  <c r="Q127" i="7"/>
  <c r="Q128" i="7"/>
  <c r="Q129" i="7"/>
  <c r="Q130" i="7"/>
  <c r="Q131" i="7"/>
  <c r="Q132" i="7"/>
  <c r="Q133" i="7"/>
  <c r="Q134" i="7"/>
  <c r="Q135" i="7"/>
  <c r="Q136" i="7"/>
  <c r="Q137" i="7"/>
  <c r="Q138" i="7"/>
  <c r="Q139" i="7"/>
  <c r="Q140" i="7"/>
  <c r="Q141" i="7"/>
  <c r="Q142" i="7"/>
  <c r="Q143" i="7"/>
  <c r="Q144" i="7"/>
  <c r="Q145" i="7"/>
  <c r="Q146" i="7"/>
  <c r="Q147" i="7"/>
  <c r="Q148" i="7"/>
  <c r="Q149" i="7"/>
  <c r="Q150" i="7"/>
  <c r="Q151" i="7"/>
  <c r="Q152" i="7"/>
  <c r="Q153" i="7"/>
  <c r="Q154" i="7"/>
  <c r="Q155" i="7"/>
  <c r="Q156" i="7"/>
  <c r="Q157" i="7"/>
  <c r="Q158" i="7"/>
  <c r="Q159" i="7"/>
  <c r="Q160" i="7"/>
  <c r="Q161" i="7"/>
  <c r="Q162" i="7"/>
  <c r="Q163" i="7"/>
  <c r="Q164" i="7"/>
  <c r="Q165" i="7"/>
  <c r="Q166" i="7"/>
  <c r="Q167" i="7"/>
  <c r="Q168" i="7"/>
  <c r="Q169" i="7"/>
  <c r="Q170" i="7"/>
  <c r="Q171" i="7"/>
  <c r="Q172" i="7"/>
  <c r="Q173" i="7"/>
  <c r="Q174" i="7"/>
  <c r="Q175" i="7"/>
  <c r="Q176" i="7"/>
  <c r="Q177" i="7"/>
  <c r="Q178" i="7"/>
  <c r="Q179" i="7"/>
  <c r="Q180" i="7"/>
  <c r="Q181" i="7"/>
  <c r="Q182" i="7"/>
  <c r="Q183" i="7"/>
  <c r="Q184" i="7"/>
  <c r="Q185" i="7"/>
  <c r="Q186" i="7"/>
  <c r="Q187" i="7"/>
  <c r="Q188" i="7"/>
  <c r="Q189" i="7"/>
  <c r="Q190" i="7"/>
  <c r="Q191" i="7"/>
  <c r="Q192" i="7"/>
  <c r="Q193" i="7"/>
  <c r="Q194" i="7"/>
  <c r="Q195" i="7"/>
  <c r="Q196" i="7"/>
  <c r="Q197" i="7"/>
  <c r="Q198" i="7"/>
  <c r="Q199" i="7"/>
  <c r="Q200" i="7"/>
  <c r="Q201" i="7"/>
  <c r="Q202" i="7"/>
  <c r="Q203" i="7"/>
  <c r="Q204" i="7"/>
  <c r="Q205" i="7"/>
  <c r="Q206" i="7"/>
  <c r="Q207" i="7"/>
  <c r="Q208" i="7"/>
  <c r="Q209" i="7"/>
  <c r="Q210" i="7"/>
  <c r="Q211" i="7"/>
  <c r="Q212" i="7"/>
  <c r="Q213" i="7"/>
  <c r="Q214" i="7"/>
  <c r="Q215" i="7"/>
  <c r="Q216" i="7"/>
  <c r="Q217" i="7"/>
  <c r="Q218" i="7"/>
  <c r="Q219" i="7"/>
  <c r="Q220" i="7"/>
  <c r="Q221" i="7"/>
  <c r="Q222" i="7"/>
  <c r="Q223" i="7"/>
  <c r="Q224" i="7"/>
  <c r="Q225" i="7"/>
  <c r="Q226" i="7"/>
  <c r="Q227" i="7"/>
  <c r="Q228" i="7"/>
  <c r="Q229" i="7"/>
  <c r="Q230" i="7"/>
  <c r="Q231" i="7"/>
  <c r="Q232" i="7"/>
  <c r="Q233" i="7"/>
  <c r="Q234" i="7"/>
  <c r="Q235" i="7"/>
  <c r="Q236" i="7"/>
  <c r="Q237" i="7"/>
  <c r="Q238" i="7"/>
  <c r="Q239" i="7"/>
  <c r="Q240" i="7"/>
  <c r="Q241" i="7"/>
  <c r="Q242" i="7"/>
  <c r="Q243" i="7"/>
  <c r="Q244" i="7"/>
  <c r="Q245" i="7"/>
  <c r="Q246" i="7"/>
  <c r="Q247" i="7"/>
  <c r="Q248" i="7"/>
  <c r="Q249" i="7"/>
  <c r="Q250" i="7"/>
  <c r="Q251" i="7"/>
  <c r="Q252" i="7"/>
  <c r="Q253" i="7"/>
  <c r="Q254" i="7"/>
  <c r="Q255" i="7"/>
  <c r="Q256" i="7"/>
  <c r="Q257" i="7"/>
  <c r="Q258" i="7"/>
  <c r="Q259" i="7"/>
  <c r="Q260" i="7"/>
  <c r="Q261" i="7"/>
  <c r="Q262" i="7"/>
  <c r="Q263" i="7"/>
  <c r="Q264" i="7"/>
  <c r="Q265" i="7"/>
  <c r="Q266" i="7"/>
  <c r="Q267" i="7"/>
  <c r="Q268" i="7"/>
  <c r="Q269" i="7"/>
  <c r="Q270" i="7"/>
  <c r="Q271" i="7"/>
  <c r="Q272" i="7"/>
  <c r="Q273" i="7"/>
  <c r="Q274" i="7"/>
  <c r="Q275" i="7"/>
  <c r="Q276" i="7"/>
  <c r="Q277" i="7"/>
  <c r="Q278" i="7"/>
  <c r="Q279" i="7"/>
  <c r="Q280" i="7"/>
  <c r="Q281" i="7"/>
  <c r="Q282" i="7"/>
  <c r="Q283" i="7"/>
  <c r="Q284" i="7"/>
  <c r="Q285" i="7"/>
  <c r="Q286" i="7"/>
  <c r="Q287" i="7"/>
  <c r="Q288" i="7"/>
  <c r="Q289" i="7"/>
  <c r="Q290" i="7"/>
  <c r="Q291" i="7"/>
  <c r="Q292" i="7"/>
  <c r="Q293" i="7"/>
  <c r="Q294" i="7"/>
  <c r="Q295" i="7"/>
  <c r="Q296" i="7"/>
  <c r="Q297" i="7"/>
  <c r="Q298" i="7"/>
  <c r="Q299" i="7"/>
  <c r="Q300" i="7"/>
  <c r="Q301" i="7"/>
  <c r="Q302" i="7"/>
  <c r="Q303" i="7"/>
  <c r="Q304" i="7"/>
  <c r="Q305" i="7"/>
  <c r="Q306" i="7"/>
  <c r="Q307" i="7"/>
  <c r="Q308" i="7"/>
  <c r="Q309" i="7"/>
  <c r="Q310" i="7"/>
  <c r="Q311" i="7"/>
  <c r="Q312" i="7"/>
  <c r="Q313" i="7"/>
  <c r="Q314" i="7"/>
  <c r="Q315" i="7"/>
  <c r="Q316" i="7"/>
  <c r="Q317" i="7"/>
  <c r="Q318" i="7"/>
  <c r="Q319" i="7"/>
  <c r="Q320" i="7"/>
  <c r="Q321" i="7"/>
  <c r="Q322" i="7"/>
  <c r="Q323" i="7"/>
  <c r="Q324" i="7"/>
  <c r="Q325" i="7"/>
  <c r="Q326" i="7"/>
  <c r="Q327" i="7"/>
  <c r="Q328" i="7"/>
  <c r="Q329" i="7"/>
  <c r="Q330" i="7"/>
  <c r="Q331" i="7"/>
  <c r="Q332" i="7"/>
  <c r="Q333" i="7"/>
  <c r="Q334" i="7"/>
  <c r="Q335" i="7"/>
  <c r="Q336" i="7"/>
  <c r="Q337" i="7"/>
  <c r="Q338" i="7"/>
  <c r="Q339" i="7"/>
  <c r="Q340" i="7"/>
  <c r="Q341" i="7"/>
  <c r="Q342" i="7"/>
  <c r="Q343" i="7"/>
  <c r="Q344" i="7"/>
  <c r="Q345" i="7"/>
  <c r="Q346" i="7"/>
  <c r="Q347" i="7"/>
  <c r="Q348" i="7"/>
  <c r="Q349" i="7"/>
  <c r="Q350" i="7"/>
  <c r="Q351" i="7"/>
  <c r="Q352" i="7"/>
  <c r="Q353" i="7"/>
  <c r="Q354" i="7"/>
  <c r="Q355" i="7"/>
  <c r="Q356" i="7"/>
  <c r="Q357" i="7"/>
  <c r="Q358" i="7"/>
  <c r="Q359" i="7"/>
  <c r="Q360" i="7"/>
  <c r="Q361" i="7"/>
  <c r="Q362" i="7"/>
  <c r="Q363" i="7"/>
  <c r="Q364" i="7"/>
  <c r="Q365" i="7"/>
  <c r="Q366" i="7"/>
  <c r="Q367" i="7"/>
  <c r="Q368" i="7"/>
  <c r="Q369" i="7"/>
  <c r="Q370" i="7"/>
  <c r="Q371" i="7"/>
  <c r="Q372" i="7"/>
  <c r="Q373" i="7"/>
  <c r="Q374" i="7"/>
  <c r="Q375" i="7"/>
  <c r="Q376" i="7"/>
  <c r="Q377" i="7"/>
  <c r="Q378" i="7"/>
  <c r="Q379" i="7"/>
  <c r="Q380" i="7"/>
  <c r="Q381" i="7"/>
  <c r="Q382" i="7"/>
  <c r="Q383" i="7"/>
  <c r="Q384" i="7"/>
  <c r="Q385" i="7"/>
  <c r="Q386" i="7"/>
  <c r="Q387" i="7"/>
  <c r="Q388" i="7"/>
  <c r="Q389" i="7"/>
  <c r="Q390" i="7"/>
  <c r="Q391" i="7"/>
  <c r="Q392" i="7"/>
  <c r="Q393" i="7"/>
  <c r="Q394" i="7"/>
  <c r="Q395" i="7"/>
  <c r="Q396" i="7"/>
  <c r="Q397" i="7"/>
  <c r="Q398" i="7"/>
  <c r="Q399" i="7"/>
  <c r="Q400" i="7"/>
  <c r="Q401" i="7"/>
  <c r="Q402" i="7"/>
  <c r="Q403" i="7"/>
  <c r="Q404" i="7"/>
  <c r="Q405" i="7"/>
  <c r="Q406" i="7"/>
  <c r="Q407" i="7"/>
  <c r="Q408" i="7"/>
  <c r="Q409" i="7"/>
  <c r="Q410" i="7"/>
  <c r="Q411" i="7"/>
  <c r="Q412" i="7"/>
  <c r="Q413" i="7"/>
  <c r="Q414" i="7"/>
  <c r="Q415" i="7"/>
  <c r="Q416" i="7"/>
  <c r="Q417" i="7"/>
  <c r="Q418" i="7"/>
  <c r="Q419" i="7"/>
  <c r="Q420" i="7"/>
  <c r="Q421" i="7"/>
  <c r="Q422" i="7"/>
  <c r="Q423" i="7"/>
  <c r="Q424" i="7"/>
  <c r="Q425" i="7"/>
  <c r="Q426" i="7"/>
  <c r="Q427" i="7"/>
  <c r="Q428" i="7"/>
  <c r="Q429" i="7"/>
  <c r="Q430" i="7"/>
  <c r="Q431" i="7"/>
  <c r="Q432" i="7"/>
  <c r="Q433" i="7"/>
  <c r="Q434" i="7"/>
  <c r="Q435" i="7"/>
  <c r="Q436" i="7"/>
  <c r="Q437" i="7"/>
  <c r="Q438" i="7"/>
  <c r="Q439" i="7"/>
  <c r="Q440" i="7"/>
  <c r="Q441" i="7"/>
  <c r="Q442" i="7"/>
  <c r="Q443" i="7"/>
  <c r="Q444" i="7"/>
  <c r="Q445" i="7"/>
  <c r="Q446" i="7"/>
  <c r="Q447" i="7"/>
  <c r="Q448" i="7"/>
  <c r="Q449" i="7"/>
  <c r="Q450" i="7"/>
  <c r="Q451" i="7"/>
  <c r="Q452" i="7"/>
  <c r="Q453" i="7"/>
  <c r="Q454" i="7"/>
  <c r="Q455" i="7"/>
  <c r="Q456" i="7"/>
  <c r="Q457" i="7"/>
  <c r="Q458" i="7"/>
  <c r="Q459" i="7"/>
  <c r="Q460" i="7"/>
  <c r="Q461" i="7"/>
  <c r="Q462" i="7"/>
  <c r="Q463" i="7"/>
  <c r="Q464" i="7"/>
  <c r="Q465" i="7"/>
  <c r="Q466" i="7"/>
  <c r="Q467" i="7"/>
  <c r="Q468" i="7"/>
  <c r="Q469" i="7"/>
  <c r="Q470" i="7"/>
  <c r="Q471" i="7"/>
  <c r="Q472" i="7"/>
  <c r="Q473" i="7"/>
  <c r="Q474" i="7"/>
  <c r="Q475" i="7"/>
  <c r="Q476" i="7"/>
  <c r="Q477" i="7"/>
  <c r="Q478" i="7"/>
  <c r="Q479" i="7"/>
  <c r="Q480" i="7"/>
  <c r="Q481" i="7"/>
  <c r="Q482" i="7"/>
  <c r="Q483" i="7"/>
  <c r="Q484" i="7"/>
  <c r="Q485" i="7"/>
  <c r="Q486" i="7"/>
  <c r="Q487" i="7"/>
  <c r="Q488" i="7"/>
  <c r="Q489" i="7"/>
  <c r="Q490" i="7"/>
  <c r="Q491" i="7"/>
  <c r="Q492" i="7"/>
  <c r="Q493" i="7"/>
  <c r="Q494" i="7"/>
  <c r="Q495" i="7"/>
  <c r="Q496" i="7"/>
  <c r="Q497" i="7"/>
  <c r="Q498" i="7"/>
  <c r="Q499" i="7"/>
  <c r="Q500" i="7"/>
  <c r="Q501" i="7"/>
  <c r="Q502" i="7"/>
  <c r="Q503" i="7"/>
  <c r="Q504" i="7"/>
  <c r="Q505" i="7"/>
  <c r="Q506" i="7"/>
  <c r="Q507" i="7"/>
  <c r="Q508" i="7"/>
  <c r="Q509" i="7"/>
  <c r="Q510" i="7"/>
  <c r="Q511" i="7"/>
  <c r="Q512" i="7"/>
  <c r="Q513" i="7"/>
  <c r="Q514" i="7"/>
  <c r="Q515" i="7"/>
  <c r="Q516" i="7"/>
  <c r="Q517" i="7"/>
  <c r="Q518" i="7"/>
  <c r="Q519" i="7"/>
  <c r="Q520" i="7"/>
  <c r="Q521" i="7"/>
  <c r="Q522" i="7"/>
  <c r="Q523" i="7"/>
  <c r="Q524" i="7"/>
  <c r="Q525" i="7"/>
  <c r="Q526" i="7"/>
  <c r="Q527" i="7"/>
  <c r="Q528" i="7"/>
  <c r="Q529" i="7"/>
  <c r="Q530" i="7"/>
  <c r="Q531" i="7"/>
  <c r="Q532" i="7"/>
  <c r="Q533" i="7"/>
  <c r="Q534" i="7"/>
  <c r="Q535" i="7"/>
  <c r="Q536" i="7"/>
  <c r="Q537" i="7"/>
  <c r="Q538" i="7"/>
  <c r="Q539" i="7"/>
  <c r="Q540" i="7"/>
  <c r="Q541" i="7"/>
  <c r="Q542" i="7"/>
  <c r="Q543" i="7"/>
  <c r="Q544" i="7"/>
  <c r="Q545" i="7"/>
  <c r="Q546" i="7"/>
  <c r="Q547" i="7"/>
  <c r="Q548" i="7"/>
  <c r="Q549" i="7"/>
  <c r="Q550" i="7"/>
  <c r="Q551" i="7"/>
  <c r="Q552" i="7"/>
  <c r="Q553" i="7"/>
  <c r="Q554" i="7"/>
  <c r="Q555" i="7"/>
  <c r="Q556" i="7"/>
  <c r="Q557" i="7"/>
  <c r="Q558" i="7"/>
  <c r="Q559" i="7"/>
  <c r="Q560" i="7"/>
  <c r="Q561" i="7"/>
  <c r="Q562" i="7"/>
  <c r="Q563" i="7"/>
  <c r="Q564" i="7"/>
  <c r="Q565" i="7"/>
  <c r="Q566" i="7"/>
  <c r="Q567" i="7"/>
  <c r="Q568" i="7"/>
  <c r="Q569" i="7"/>
  <c r="Q570" i="7"/>
  <c r="Q571" i="7"/>
  <c r="Q572" i="7"/>
  <c r="Q573" i="7"/>
  <c r="Q574" i="7"/>
  <c r="Q575" i="7"/>
  <c r="Q576" i="7"/>
  <c r="Q577" i="7"/>
  <c r="Q578" i="7"/>
  <c r="Q579" i="7"/>
  <c r="Q580" i="7"/>
  <c r="Q581" i="7"/>
  <c r="Q582" i="7"/>
  <c r="Q583" i="7"/>
  <c r="Q584" i="7"/>
  <c r="Q585" i="7"/>
  <c r="Q586" i="7"/>
  <c r="Q587" i="7"/>
  <c r="Q588" i="7"/>
  <c r="Q589" i="7"/>
  <c r="Q590" i="7"/>
  <c r="Q591" i="7"/>
  <c r="Q592" i="7"/>
  <c r="Q593" i="7"/>
  <c r="Q594" i="7"/>
  <c r="Q595" i="7"/>
  <c r="Q596" i="7"/>
  <c r="Q597" i="7"/>
  <c r="Q598" i="7"/>
  <c r="Q599" i="7"/>
  <c r="Q600" i="7"/>
  <c r="Q601" i="7"/>
  <c r="Q602" i="7"/>
  <c r="Q603" i="7"/>
  <c r="Q604" i="7"/>
  <c r="Q605" i="7"/>
  <c r="Q606" i="7"/>
  <c r="Q607" i="7"/>
  <c r="Q608" i="7"/>
  <c r="Q609" i="7"/>
  <c r="Q610" i="7"/>
  <c r="Q611" i="7"/>
  <c r="Q612" i="7"/>
  <c r="Q613" i="7"/>
  <c r="Q614" i="7"/>
  <c r="Q615" i="7"/>
  <c r="Q616" i="7"/>
  <c r="Q617" i="7"/>
  <c r="Q618" i="7"/>
  <c r="Q619" i="7"/>
  <c r="Q620" i="7"/>
  <c r="Q621" i="7"/>
  <c r="Q622" i="7"/>
  <c r="Q623" i="7"/>
  <c r="Q624" i="7"/>
  <c r="Q625" i="7"/>
  <c r="Q626" i="7"/>
  <c r="Q627" i="7"/>
  <c r="Q628" i="7"/>
  <c r="Q629" i="7"/>
  <c r="Q630" i="7"/>
  <c r="Q631" i="7"/>
  <c r="Q632" i="7"/>
  <c r="Q633" i="7"/>
  <c r="Q634" i="7"/>
  <c r="Q635" i="7"/>
  <c r="Q636" i="7"/>
  <c r="Q637" i="7"/>
  <c r="Q638" i="7"/>
  <c r="Q639" i="7"/>
  <c r="Q640" i="7"/>
  <c r="Q641" i="7"/>
  <c r="Q642" i="7"/>
  <c r="Q643" i="7"/>
  <c r="Q644" i="7"/>
  <c r="Q645" i="7"/>
  <c r="Q646" i="7"/>
  <c r="Q647" i="7"/>
  <c r="Q648" i="7"/>
  <c r="Q649" i="7"/>
  <c r="Q650" i="7"/>
  <c r="Q651" i="7"/>
  <c r="Q652" i="7"/>
  <c r="Q653" i="7"/>
  <c r="Q654" i="7"/>
  <c r="Q655" i="7"/>
  <c r="Q656" i="7"/>
  <c r="Q657" i="7"/>
  <c r="Q658" i="7"/>
  <c r="Q659" i="7"/>
  <c r="Q660" i="7"/>
  <c r="Q661" i="7"/>
  <c r="Q662" i="7"/>
  <c r="Q663" i="7"/>
  <c r="Q664" i="7"/>
  <c r="Q665" i="7"/>
  <c r="Q666" i="7"/>
  <c r="Q667" i="7"/>
  <c r="Q668" i="7"/>
  <c r="Q669" i="7"/>
  <c r="Q670" i="7"/>
  <c r="Q671" i="7"/>
  <c r="Q672" i="7"/>
  <c r="Q673" i="7"/>
  <c r="Q674" i="7"/>
  <c r="Q675" i="7"/>
  <c r="Q676" i="7"/>
  <c r="Q677" i="7"/>
  <c r="Q678" i="7"/>
  <c r="Q679" i="7"/>
  <c r="Q680" i="7"/>
  <c r="Q681" i="7"/>
  <c r="Q682" i="7"/>
  <c r="Q683" i="7"/>
  <c r="Q684" i="7"/>
  <c r="Q685" i="7"/>
  <c r="Q686" i="7"/>
  <c r="Q687" i="7"/>
  <c r="Q688" i="7"/>
  <c r="Q689" i="7"/>
  <c r="Q690" i="7"/>
  <c r="Q691" i="7"/>
  <c r="Q692" i="7"/>
  <c r="Q693" i="7"/>
  <c r="Q694" i="7"/>
  <c r="Q695" i="7"/>
  <c r="Q696" i="7"/>
  <c r="Q697" i="7"/>
  <c r="Q698" i="7"/>
  <c r="Q699" i="7"/>
  <c r="Q700" i="7"/>
  <c r="Q701" i="7"/>
  <c r="Q702" i="7"/>
  <c r="Q703" i="7"/>
  <c r="Q704" i="7"/>
  <c r="Q705" i="7"/>
  <c r="Q706" i="7"/>
  <c r="Q707" i="7"/>
  <c r="Q708" i="7"/>
  <c r="Q709" i="7"/>
  <c r="Q710" i="7"/>
  <c r="Q711" i="7"/>
  <c r="Q712" i="7"/>
  <c r="Q713" i="7"/>
  <c r="Q714" i="7"/>
  <c r="Q715" i="7"/>
  <c r="Q716" i="7"/>
  <c r="Q717" i="7"/>
  <c r="Q718" i="7"/>
  <c r="Q719" i="7"/>
  <c r="Q720" i="7"/>
  <c r="Q721" i="7"/>
  <c r="Q722" i="7"/>
  <c r="Q723" i="7"/>
  <c r="Q724" i="7"/>
  <c r="Q725" i="7"/>
  <c r="Q726" i="7"/>
  <c r="Q727" i="7"/>
  <c r="Q728" i="7"/>
  <c r="Q729" i="7"/>
  <c r="Q730" i="7"/>
  <c r="Q731" i="7"/>
  <c r="Q732" i="7"/>
  <c r="Q733" i="7"/>
  <c r="Q734" i="7"/>
  <c r="Q735" i="7"/>
  <c r="Q736" i="7"/>
  <c r="Q737" i="7"/>
  <c r="Q738" i="7"/>
  <c r="Q739" i="7"/>
  <c r="Q740" i="7"/>
  <c r="Q741" i="7"/>
  <c r="Q742" i="7"/>
  <c r="Q743" i="7"/>
  <c r="Q744" i="7"/>
  <c r="Q745" i="7"/>
  <c r="Q746" i="7"/>
  <c r="Q747" i="7"/>
  <c r="Q748" i="7"/>
  <c r="Q749" i="7"/>
  <c r="Q750" i="7"/>
  <c r="Q751" i="7"/>
  <c r="Q752" i="7"/>
  <c r="Q753" i="7"/>
  <c r="Q754" i="7"/>
  <c r="Q755" i="7"/>
  <c r="Q756" i="7"/>
  <c r="Q757" i="7"/>
  <c r="Q758" i="7"/>
  <c r="Q759" i="7"/>
  <c r="Q760" i="7"/>
  <c r="Q761" i="7"/>
  <c r="Q762" i="7"/>
  <c r="Q763" i="7"/>
  <c r="Q764" i="7"/>
  <c r="Q765" i="7"/>
  <c r="Q766" i="7"/>
  <c r="Q767" i="7"/>
  <c r="Q768" i="7"/>
  <c r="Q769" i="7"/>
  <c r="Q770" i="7"/>
  <c r="Q771" i="7"/>
  <c r="Q772" i="7"/>
  <c r="Q773" i="7"/>
  <c r="Q774" i="7"/>
  <c r="Q775" i="7"/>
  <c r="Q776" i="7"/>
  <c r="Q777" i="7"/>
  <c r="Q778" i="7"/>
  <c r="Q779" i="7"/>
  <c r="Q780" i="7"/>
  <c r="Q781" i="7"/>
  <c r="Q782" i="7"/>
  <c r="Q783" i="7"/>
  <c r="Q784" i="7"/>
  <c r="Q785" i="7"/>
  <c r="Q786" i="7"/>
  <c r="Q787" i="7"/>
  <c r="Q788" i="7"/>
  <c r="Q789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Q811" i="7"/>
  <c r="Q812" i="7"/>
  <c r="Q813" i="7"/>
  <c r="Q814" i="7"/>
  <c r="Q815" i="7"/>
  <c r="Q816" i="7"/>
  <c r="Q817" i="7"/>
  <c r="Q818" i="7"/>
  <c r="Q819" i="7"/>
  <c r="Q820" i="7"/>
  <c r="Q821" i="7"/>
  <c r="Q822" i="7"/>
  <c r="Q823" i="7"/>
  <c r="Q824" i="7"/>
  <c r="Q825" i="7"/>
  <c r="Q826" i="7"/>
  <c r="Q827" i="7"/>
  <c r="Q828" i="7"/>
  <c r="Q829" i="7"/>
  <c r="Q830" i="7"/>
  <c r="Q831" i="7"/>
  <c r="Q832" i="7"/>
  <c r="Q833" i="7"/>
  <c r="Q834" i="7"/>
  <c r="Q835" i="7"/>
  <c r="Q836" i="7"/>
  <c r="Q837" i="7"/>
  <c r="Q838" i="7"/>
  <c r="Q839" i="7"/>
  <c r="Q840" i="7"/>
  <c r="Q841" i="7"/>
  <c r="Q842" i="7"/>
  <c r="Q843" i="7"/>
  <c r="Q844" i="7"/>
  <c r="Q845" i="7"/>
  <c r="Q846" i="7"/>
  <c r="Q847" i="7"/>
  <c r="Q848" i="7"/>
  <c r="Q849" i="7"/>
  <c r="Q850" i="7"/>
  <c r="Q851" i="7"/>
  <c r="Q852" i="7"/>
  <c r="Q853" i="7"/>
  <c r="Q854" i="7"/>
  <c r="Q855" i="7"/>
  <c r="Q856" i="7"/>
  <c r="Q857" i="7"/>
  <c r="Q858" i="7"/>
  <c r="Q859" i="7"/>
  <c r="Q860" i="7"/>
  <c r="Q861" i="7"/>
  <c r="Q862" i="7"/>
  <c r="Q863" i="7"/>
  <c r="Q864" i="7"/>
  <c r="Q865" i="7"/>
  <c r="Q866" i="7"/>
  <c r="Q867" i="7"/>
  <c r="Q868" i="7"/>
  <c r="Q869" i="7"/>
  <c r="Q870" i="7"/>
  <c r="Q871" i="7"/>
  <c r="Q872" i="7"/>
  <c r="Q873" i="7"/>
  <c r="Q874" i="7"/>
  <c r="Q875" i="7"/>
  <c r="Q876" i="7"/>
  <c r="Q877" i="7"/>
  <c r="Q878" i="7"/>
  <c r="Q879" i="7"/>
  <c r="Q880" i="7"/>
  <c r="Q881" i="7"/>
  <c r="Q882" i="7"/>
  <c r="Q883" i="7"/>
  <c r="Q884" i="7"/>
  <c r="Q885" i="7"/>
  <c r="Q886" i="7"/>
  <c r="Q887" i="7"/>
  <c r="Q888" i="7"/>
  <c r="Q889" i="7"/>
  <c r="Q890" i="7"/>
  <c r="Q891" i="7"/>
  <c r="Q892" i="7"/>
  <c r="Q893" i="7"/>
  <c r="Q894" i="7"/>
  <c r="Q895" i="7"/>
  <c r="Q896" i="7"/>
  <c r="Q897" i="7"/>
  <c r="Q898" i="7"/>
  <c r="Q899" i="7"/>
  <c r="Q900" i="7"/>
  <c r="Q901" i="7"/>
  <c r="Q902" i="7"/>
  <c r="Q903" i="7"/>
  <c r="Q904" i="7"/>
  <c r="Q905" i="7"/>
  <c r="Q906" i="7"/>
  <c r="Q907" i="7"/>
  <c r="Q908" i="7"/>
  <c r="Q909" i="7"/>
  <c r="Q910" i="7"/>
  <c r="Q911" i="7"/>
  <c r="Q912" i="7"/>
  <c r="Q913" i="7"/>
  <c r="Q914" i="7"/>
  <c r="Q915" i="7"/>
  <c r="Q916" i="7"/>
  <c r="Q917" i="7"/>
  <c r="Q918" i="7"/>
  <c r="Q919" i="7"/>
  <c r="Q920" i="7"/>
  <c r="Q921" i="7"/>
  <c r="Q922" i="7"/>
  <c r="Q923" i="7"/>
  <c r="Q924" i="7"/>
  <c r="Q925" i="7"/>
  <c r="Q926" i="7"/>
  <c r="Q927" i="7"/>
  <c r="Q928" i="7"/>
  <c r="Q929" i="7"/>
  <c r="Q930" i="7"/>
  <c r="Q931" i="7"/>
  <c r="Q932" i="7"/>
  <c r="Q933" i="7"/>
  <c r="Q934" i="7"/>
  <c r="Q935" i="7"/>
  <c r="Q936" i="7"/>
  <c r="Q937" i="7"/>
  <c r="Q938" i="7"/>
  <c r="Q939" i="7"/>
  <c r="Q940" i="7"/>
  <c r="Q941" i="7"/>
  <c r="Q942" i="7"/>
  <c r="Q943" i="7"/>
  <c r="Q944" i="7"/>
  <c r="Q945" i="7"/>
  <c r="Q946" i="7"/>
  <c r="Q947" i="7"/>
  <c r="Q948" i="7"/>
  <c r="Q949" i="7"/>
  <c r="Q950" i="7"/>
  <c r="Q951" i="7"/>
  <c r="Q952" i="7"/>
  <c r="Q953" i="7"/>
  <c r="Q954" i="7"/>
  <c r="Q955" i="7"/>
  <c r="Q956" i="7"/>
  <c r="Q957" i="7"/>
  <c r="Q958" i="7"/>
  <c r="Q959" i="7"/>
  <c r="Q960" i="7"/>
  <c r="Q961" i="7"/>
  <c r="Q962" i="7"/>
  <c r="Q963" i="7"/>
  <c r="Q964" i="7"/>
  <c r="Q965" i="7"/>
  <c r="Q966" i="7"/>
  <c r="Q967" i="7"/>
  <c r="Q968" i="7"/>
  <c r="Q969" i="7"/>
  <c r="Q970" i="7"/>
  <c r="Q971" i="7"/>
  <c r="Q972" i="7"/>
  <c r="Q973" i="7"/>
  <c r="Q974" i="7"/>
  <c r="Q975" i="7"/>
  <c r="Q976" i="7"/>
  <c r="Q977" i="7"/>
  <c r="Q978" i="7"/>
  <c r="Q979" i="7"/>
  <c r="Q980" i="7"/>
  <c r="Q981" i="7"/>
  <c r="Q982" i="7"/>
  <c r="Q983" i="7"/>
  <c r="Q984" i="7"/>
  <c r="Q985" i="7"/>
  <c r="Q986" i="7"/>
  <c r="Q987" i="7"/>
  <c r="Q988" i="7"/>
  <c r="Q989" i="7"/>
  <c r="Q990" i="7"/>
  <c r="Q991" i="7"/>
  <c r="Q992" i="7"/>
  <c r="Q993" i="7"/>
  <c r="Q994" i="7"/>
  <c r="Q995" i="7"/>
  <c r="Q996" i="7"/>
  <c r="Q997" i="7"/>
  <c r="Q998" i="7"/>
  <c r="Q999" i="7"/>
  <c r="Q1000" i="7"/>
  <c r="Q1001" i="7"/>
  <c r="Q1002" i="7"/>
  <c r="Q1003" i="7"/>
  <c r="Q1004" i="7"/>
  <c r="Q1005" i="7"/>
  <c r="Q1006" i="7"/>
  <c r="Q1007" i="7"/>
  <c r="Q1008" i="7"/>
  <c r="Q1009" i="7"/>
  <c r="Q1010" i="7"/>
  <c r="Q1011" i="7"/>
  <c r="Q1012" i="7"/>
  <c r="Q1013" i="7"/>
  <c r="Q1014" i="7"/>
  <c r="Q1015" i="7"/>
  <c r="Q1016" i="7"/>
  <c r="Q1017" i="7"/>
  <c r="Q1018" i="7"/>
  <c r="Q1019" i="7"/>
  <c r="Q1020" i="7"/>
  <c r="Q1021" i="7"/>
  <c r="Q1022" i="7"/>
  <c r="Q1023" i="7"/>
  <c r="Q1024" i="7"/>
  <c r="Q1025" i="7"/>
  <c r="Q1026" i="7"/>
  <c r="Q1027" i="7"/>
  <c r="Q1028" i="7"/>
  <c r="Q1029" i="7"/>
  <c r="Q1030" i="7"/>
  <c r="Q1031" i="7"/>
  <c r="Q1032" i="7"/>
  <c r="Q1033" i="7"/>
  <c r="Q1034" i="7"/>
  <c r="Q1035" i="7"/>
  <c r="Q1036" i="7"/>
  <c r="Q1037" i="7"/>
  <c r="Q1038" i="7"/>
  <c r="Q1039" i="7"/>
  <c r="Q1040" i="7"/>
  <c r="Q1041" i="7"/>
  <c r="Q1042" i="7"/>
  <c r="Q1043" i="7"/>
  <c r="Q1044" i="7"/>
  <c r="Q1045" i="7"/>
  <c r="Q1046" i="7"/>
  <c r="Q1047" i="7"/>
  <c r="Q1048" i="7"/>
  <c r="Q1049" i="7"/>
  <c r="Q1050" i="7"/>
  <c r="Q1051" i="7"/>
  <c r="Q1052" i="7"/>
  <c r="Q1053" i="7"/>
  <c r="Q1054" i="7"/>
  <c r="Q1055" i="7"/>
  <c r="Q1056" i="7"/>
  <c r="Q1057" i="7"/>
  <c r="Q1058" i="7"/>
  <c r="Q1059" i="7"/>
  <c r="Q1060" i="7"/>
  <c r="Q1061" i="7"/>
  <c r="Q1062" i="7"/>
  <c r="Q1063" i="7"/>
  <c r="Q1064" i="7"/>
  <c r="Q1065" i="7"/>
  <c r="Q1066" i="7"/>
  <c r="Q1067" i="7"/>
  <c r="Q1068" i="7"/>
  <c r="Q1069" i="7"/>
  <c r="Q1070" i="7"/>
  <c r="Q1071" i="7"/>
  <c r="Q1072" i="7"/>
  <c r="Q1073" i="7"/>
  <c r="Q1074" i="7"/>
  <c r="Q1075" i="7"/>
  <c r="Q1076" i="7"/>
  <c r="Q1077" i="7"/>
  <c r="Q1078" i="7"/>
  <c r="Q1079" i="7"/>
  <c r="Q1080" i="7"/>
  <c r="Q1081" i="7"/>
  <c r="Q1082" i="7"/>
  <c r="Q1083" i="7"/>
  <c r="Q1084" i="7"/>
  <c r="Q1085" i="7"/>
  <c r="Q1086" i="7"/>
  <c r="Q1087" i="7"/>
  <c r="Q1088" i="7"/>
  <c r="Q1089" i="7"/>
  <c r="Q1090" i="7"/>
  <c r="Q1091" i="7"/>
  <c r="Q1092" i="7"/>
  <c r="Q1093" i="7"/>
  <c r="Q1094" i="7"/>
  <c r="Q1095" i="7"/>
  <c r="Q1096" i="7"/>
  <c r="Q1097" i="7"/>
  <c r="Q1098" i="7"/>
  <c r="Q1099" i="7"/>
  <c r="Q1100" i="7"/>
  <c r="Q1101" i="7"/>
  <c r="Q1102" i="7"/>
  <c r="Q1103" i="7"/>
  <c r="Q1104" i="7"/>
  <c r="Q1105" i="7"/>
  <c r="Q1106" i="7"/>
  <c r="Q1107" i="7"/>
  <c r="Q1108" i="7"/>
  <c r="Q1109" i="7"/>
  <c r="Q1110" i="7"/>
  <c r="Q1111" i="7"/>
  <c r="Q1112" i="7"/>
  <c r="Q1113" i="7"/>
  <c r="Q1114" i="7"/>
  <c r="Q1115" i="7"/>
  <c r="Q1116" i="7"/>
  <c r="Q1117" i="7"/>
  <c r="Q1118" i="7"/>
  <c r="Q1119" i="7"/>
  <c r="Q1120" i="7"/>
  <c r="Q1121" i="7"/>
  <c r="Q1122" i="7"/>
  <c r="Q1123" i="7"/>
  <c r="Q1124" i="7"/>
  <c r="Q1125" i="7"/>
  <c r="Q1126" i="7"/>
  <c r="Q1127" i="7"/>
  <c r="Q1128" i="7"/>
  <c r="Q1129" i="7"/>
  <c r="Q1130" i="7"/>
  <c r="Q1131" i="7"/>
  <c r="Q1132" i="7"/>
  <c r="Q1133" i="7"/>
  <c r="Q1134" i="7"/>
  <c r="Q1135" i="7"/>
  <c r="Q1136" i="7"/>
  <c r="Q1137" i="7"/>
  <c r="Q1138" i="7"/>
  <c r="Q1139" i="7"/>
  <c r="Q1140" i="7"/>
  <c r="Q1141" i="7"/>
  <c r="Q1142" i="7"/>
  <c r="Q1143" i="7"/>
  <c r="Q1144" i="7"/>
  <c r="Q1145" i="7"/>
  <c r="Q1146" i="7"/>
  <c r="Q1147" i="7"/>
  <c r="Q1148" i="7"/>
  <c r="Q1149" i="7"/>
  <c r="Q1150" i="7"/>
  <c r="Q1151" i="7"/>
  <c r="Q1152" i="7"/>
  <c r="Q1153" i="7"/>
  <c r="Q1154" i="7"/>
  <c r="Q1155" i="7"/>
  <c r="Q1156" i="7"/>
  <c r="Q1157" i="7"/>
  <c r="Q1158" i="7"/>
  <c r="Q1159" i="7"/>
  <c r="Q1160" i="7"/>
  <c r="Q1161" i="7"/>
  <c r="Q1162" i="7"/>
  <c r="Q1163" i="7"/>
  <c r="Q1164" i="7"/>
  <c r="Q1165" i="7"/>
  <c r="Q1166" i="7"/>
  <c r="Q1167" i="7"/>
  <c r="Q1168" i="7"/>
  <c r="Q1169" i="7"/>
  <c r="Q1170" i="7"/>
  <c r="Q1171" i="7"/>
  <c r="Q1172" i="7"/>
  <c r="Q1173" i="7"/>
  <c r="Q1174" i="7"/>
  <c r="Q1175" i="7"/>
  <c r="Q1176" i="7"/>
  <c r="Q1177" i="7"/>
  <c r="Q1178" i="7"/>
  <c r="Q1179" i="7"/>
  <c r="Q1180" i="7"/>
  <c r="Q1181" i="7"/>
  <c r="Q1182" i="7"/>
  <c r="Q1183" i="7"/>
  <c r="Q1184" i="7"/>
  <c r="Q1185" i="7"/>
  <c r="Q1186" i="7"/>
  <c r="Q1187" i="7"/>
  <c r="Q1188" i="7"/>
  <c r="Q1189" i="7"/>
  <c r="Q1190" i="7"/>
  <c r="Q1191" i="7"/>
  <c r="Q1192" i="7"/>
  <c r="Q1193" i="7"/>
  <c r="Q1194" i="7"/>
  <c r="Q1195" i="7"/>
  <c r="Q1196" i="7"/>
  <c r="Q1197" i="7"/>
  <c r="Q1198" i="7"/>
  <c r="Q1199" i="7"/>
  <c r="Q1200" i="7"/>
  <c r="Q1201" i="7"/>
  <c r="Q1202" i="7"/>
  <c r="Q1203" i="7"/>
  <c r="Q1204" i="7"/>
  <c r="Q1205" i="7"/>
  <c r="Q1206" i="7"/>
  <c r="Q1207" i="7"/>
  <c r="Q1208" i="7"/>
  <c r="Q1209" i="7"/>
  <c r="Q1210" i="7"/>
  <c r="Q1211" i="7"/>
  <c r="Q1212" i="7"/>
  <c r="Q1213" i="7"/>
  <c r="Q1214" i="7"/>
  <c r="Q1215" i="7"/>
  <c r="Q1216" i="7"/>
  <c r="Q1217" i="7"/>
  <c r="Q1218" i="7"/>
  <c r="Q1219" i="7"/>
  <c r="Q1220" i="7"/>
  <c r="Q1221" i="7"/>
  <c r="Q1222" i="7"/>
  <c r="Q1223" i="7"/>
  <c r="Q1224" i="7"/>
  <c r="Q1225" i="7"/>
  <c r="Q1226" i="7"/>
  <c r="Q1227" i="7"/>
  <c r="Q1228" i="7"/>
  <c r="Q1229" i="7"/>
  <c r="Q1230" i="7"/>
  <c r="Q1231" i="7"/>
  <c r="Q1232" i="7"/>
  <c r="Q1233" i="7"/>
  <c r="Q1234" i="7"/>
  <c r="Q1235" i="7"/>
  <c r="Q1236" i="7"/>
  <c r="Q1237" i="7"/>
  <c r="Q1238" i="7"/>
  <c r="Q1239" i="7"/>
  <c r="Q1240" i="7"/>
  <c r="Q1241" i="7"/>
  <c r="Q1242" i="7"/>
  <c r="Q1243" i="7"/>
  <c r="Q1244" i="7"/>
  <c r="Q1245" i="7"/>
  <c r="Q1246" i="7"/>
  <c r="Q1247" i="7"/>
  <c r="Q1248" i="7"/>
  <c r="Q1249" i="7"/>
  <c r="Q1250" i="7"/>
  <c r="Q1251" i="7"/>
  <c r="Q1252" i="7"/>
  <c r="Q1253" i="7"/>
  <c r="Q1254" i="7"/>
  <c r="Q1255" i="7"/>
  <c r="Q1256" i="7"/>
  <c r="Q1257" i="7"/>
  <c r="Q1258" i="7"/>
  <c r="Q1259" i="7"/>
  <c r="Q1260" i="7"/>
  <c r="Q1261" i="7"/>
  <c r="Q1262" i="7"/>
  <c r="Q1263" i="7"/>
  <c r="Q1264" i="7"/>
  <c r="Q1265" i="7"/>
  <c r="Q1266" i="7"/>
  <c r="Q1267" i="7"/>
  <c r="Q1268" i="7"/>
  <c r="Q1269" i="7"/>
  <c r="Q1270" i="7"/>
  <c r="Q1271" i="7"/>
  <c r="Q1272" i="7"/>
  <c r="Q1273" i="7"/>
  <c r="Q1274" i="7"/>
  <c r="Q1275" i="7"/>
  <c r="Q1276" i="7"/>
  <c r="Q1277" i="7"/>
  <c r="Q1278" i="7"/>
  <c r="Q1279" i="7"/>
  <c r="Q1280" i="7"/>
  <c r="Q1281" i="7"/>
  <c r="Q1282" i="7"/>
  <c r="Q1283" i="7"/>
  <c r="Q1284" i="7"/>
  <c r="Q1285" i="7"/>
  <c r="Q1286" i="7"/>
  <c r="Q1287" i="7"/>
  <c r="Q1288" i="7"/>
  <c r="Q1289" i="7"/>
  <c r="Q1290" i="7"/>
  <c r="Q1291" i="7"/>
  <c r="Q1292" i="7"/>
  <c r="Q1293" i="7"/>
  <c r="Q1294" i="7"/>
  <c r="Q1295" i="7"/>
  <c r="Q1296" i="7"/>
  <c r="Q1297" i="7"/>
  <c r="Q1298" i="7"/>
  <c r="Q1299" i="7"/>
  <c r="Q1300" i="7"/>
  <c r="Q1301" i="7"/>
  <c r="Q1302" i="7"/>
  <c r="Q1303" i="7"/>
  <c r="Q1304" i="7"/>
  <c r="Q1305" i="7"/>
  <c r="Q1306" i="7"/>
  <c r="Q1307" i="7"/>
  <c r="Q1308" i="7"/>
  <c r="Q1309" i="7"/>
  <c r="Q1310" i="7"/>
  <c r="Q1311" i="7"/>
  <c r="Q1312" i="7"/>
  <c r="Q1313" i="7"/>
  <c r="Q1314" i="7"/>
  <c r="Q1315" i="7"/>
  <c r="Q1316" i="7"/>
  <c r="Q1317" i="7"/>
  <c r="Q1318" i="7"/>
  <c r="Q1319" i="7"/>
  <c r="Q1320" i="7"/>
  <c r="Q1321" i="7"/>
  <c r="Q1322" i="7"/>
  <c r="Q1323" i="7"/>
  <c r="Q1324" i="7"/>
  <c r="Q1325" i="7"/>
  <c r="Q1326" i="7"/>
  <c r="Q1327" i="7"/>
  <c r="Q1328" i="7"/>
  <c r="Q1329" i="7"/>
  <c r="Q1330" i="7"/>
  <c r="Q1331" i="7"/>
  <c r="Q1332" i="7"/>
  <c r="Q1333" i="7"/>
  <c r="Q1334" i="7"/>
  <c r="Q1335" i="7"/>
  <c r="Q1336" i="7"/>
  <c r="Q1337" i="7"/>
  <c r="Q1338" i="7"/>
  <c r="Q1339" i="7"/>
  <c r="Q1340" i="7"/>
  <c r="Q1341" i="7"/>
  <c r="Q1342" i="7"/>
  <c r="Q1343" i="7"/>
  <c r="Q1344" i="7"/>
  <c r="Q1345" i="7"/>
  <c r="Q1346" i="7"/>
  <c r="Q1347" i="7"/>
  <c r="Q1348" i="7"/>
  <c r="Q1349" i="7"/>
  <c r="Q1350" i="7"/>
  <c r="Q1351" i="7"/>
  <c r="Q1352" i="7"/>
  <c r="Q1353" i="7"/>
  <c r="Q1354" i="7"/>
  <c r="Q1355" i="7"/>
  <c r="Q1356" i="7"/>
  <c r="Q1357" i="7"/>
  <c r="Q1358" i="7"/>
  <c r="Q1359" i="7"/>
  <c r="Q1360" i="7"/>
  <c r="Q1361" i="7"/>
  <c r="Q1362" i="7"/>
  <c r="Q1363" i="7"/>
  <c r="Q1364" i="7"/>
  <c r="Q1365" i="7"/>
  <c r="Q1366" i="7"/>
  <c r="Q1367" i="7"/>
  <c r="Q1368" i="7"/>
  <c r="Q1369" i="7"/>
  <c r="Q1370" i="7"/>
  <c r="Q1371" i="7"/>
  <c r="Q1372" i="7"/>
  <c r="Q1373" i="7"/>
  <c r="Q1374" i="7"/>
  <c r="Q1375" i="7"/>
  <c r="Q1376" i="7"/>
  <c r="Q1377" i="7"/>
  <c r="Q1378" i="7"/>
  <c r="Q1379" i="7"/>
  <c r="Q1380" i="7"/>
  <c r="Q1381" i="7"/>
  <c r="Q1382" i="7"/>
  <c r="Q1383" i="7"/>
  <c r="Q1384" i="7"/>
  <c r="Q1385" i="7"/>
  <c r="Q1386" i="7"/>
  <c r="Q1387" i="7"/>
  <c r="Q1388" i="7"/>
  <c r="Q1389" i="7"/>
  <c r="Q1390" i="7"/>
  <c r="Q1391" i="7"/>
  <c r="Q1392" i="7"/>
  <c r="Q1393" i="7"/>
  <c r="Q1394" i="7"/>
  <c r="Q1395" i="7"/>
  <c r="Q1396" i="7"/>
  <c r="Q1397" i="7"/>
  <c r="Q1398" i="7"/>
  <c r="Q1399" i="7"/>
  <c r="Q1400" i="7"/>
  <c r="Q1401" i="7"/>
  <c r="Q1402" i="7"/>
  <c r="Q1403" i="7"/>
  <c r="Q1404" i="7"/>
  <c r="Q1405" i="7"/>
  <c r="Q1406" i="7"/>
  <c r="Q1407" i="7"/>
  <c r="Q1408" i="7"/>
  <c r="Q1409" i="7"/>
  <c r="Q1410" i="7"/>
  <c r="Q1411" i="7"/>
  <c r="Q1412" i="7"/>
  <c r="Q1413" i="7"/>
  <c r="Q1414" i="7"/>
  <c r="Q1415" i="7"/>
  <c r="Q1416" i="7"/>
  <c r="Q1417" i="7"/>
  <c r="Q1418" i="7"/>
  <c r="Q1419" i="7"/>
  <c r="Q1420" i="7"/>
  <c r="Q1421" i="7"/>
  <c r="Q1422" i="7"/>
  <c r="Q1423" i="7"/>
  <c r="Q1424" i="7"/>
  <c r="Q1425" i="7"/>
  <c r="Q1426" i="7"/>
  <c r="Q1427" i="7"/>
  <c r="Q1428" i="7"/>
  <c r="Q1429" i="7"/>
  <c r="Q1430" i="7"/>
  <c r="Q1431" i="7"/>
  <c r="Q1432" i="7"/>
  <c r="Q1433" i="7"/>
  <c r="Q1434" i="7"/>
  <c r="Q1435" i="7"/>
  <c r="Q1436" i="7"/>
  <c r="Q1437" i="7"/>
  <c r="Q1438" i="7"/>
  <c r="Q1439" i="7"/>
  <c r="Q1440" i="7"/>
  <c r="Q1441" i="7"/>
  <c r="Q1442" i="7"/>
  <c r="Q1443" i="7"/>
  <c r="Q1444" i="7"/>
  <c r="Q1445" i="7"/>
  <c r="Q1446" i="7"/>
  <c r="Q1447" i="7"/>
  <c r="Q1448" i="7"/>
  <c r="Q1449" i="7"/>
  <c r="Q1450" i="7"/>
  <c r="Q1451" i="7"/>
  <c r="Q1452" i="7"/>
  <c r="Q1453" i="7"/>
  <c r="Q1454" i="7"/>
  <c r="Q1455" i="7"/>
  <c r="Q1456" i="7"/>
  <c r="Q1457" i="7"/>
  <c r="Q1458" i="7"/>
  <c r="Q1459" i="7"/>
  <c r="Q1460" i="7"/>
  <c r="Q1461" i="7"/>
  <c r="Q1462" i="7"/>
  <c r="Q1463" i="7"/>
  <c r="Q1464" i="7"/>
  <c r="Q1465" i="7"/>
  <c r="Q1466" i="7"/>
  <c r="Q1467" i="7"/>
  <c r="Q1468" i="7"/>
  <c r="Q1469" i="7"/>
  <c r="Q1470" i="7"/>
  <c r="Q1471" i="7"/>
  <c r="Q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B58" i="12" s="1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B55" i="12" s="1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747" i="7"/>
  <c r="O748" i="7"/>
  <c r="O749" i="7"/>
  <c r="O750" i="7"/>
  <c r="O751" i="7"/>
  <c r="O752" i="7"/>
  <c r="O753" i="7"/>
  <c r="O754" i="7"/>
  <c r="O755" i="7"/>
  <c r="O756" i="7"/>
  <c r="O757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B52" i="12" s="1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B49" i="12" s="1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2" i="7"/>
  <c r="I3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B37" i="12" s="1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69" i="7"/>
  <c r="I70" i="7"/>
  <c r="I71" i="7"/>
  <c r="I72" i="7"/>
  <c r="I73" i="7"/>
  <c r="I74" i="7"/>
  <c r="I75" i="7"/>
  <c r="I76" i="7"/>
  <c r="I77" i="7"/>
  <c r="I78" i="7"/>
  <c r="I79" i="7"/>
  <c r="I80" i="7"/>
  <c r="I81" i="7"/>
  <c r="I82" i="7"/>
  <c r="I83" i="7"/>
  <c r="I84" i="7"/>
  <c r="I85" i="7"/>
  <c r="I86" i="7"/>
  <c r="I87" i="7"/>
  <c r="I88" i="7"/>
  <c r="I89" i="7"/>
  <c r="I90" i="7"/>
  <c r="I91" i="7"/>
  <c r="I92" i="7"/>
  <c r="I93" i="7"/>
  <c r="I94" i="7"/>
  <c r="I95" i="7"/>
  <c r="I96" i="7"/>
  <c r="I97" i="7"/>
  <c r="I98" i="7"/>
  <c r="I99" i="7"/>
  <c r="I100" i="7"/>
  <c r="I101" i="7"/>
  <c r="I102" i="7"/>
  <c r="I103" i="7"/>
  <c r="I104" i="7"/>
  <c r="I105" i="7"/>
  <c r="I106" i="7"/>
  <c r="I107" i="7"/>
  <c r="I108" i="7"/>
  <c r="I109" i="7"/>
  <c r="I110" i="7"/>
  <c r="I111" i="7"/>
  <c r="I112" i="7"/>
  <c r="I113" i="7"/>
  <c r="I114" i="7"/>
  <c r="I115" i="7"/>
  <c r="I116" i="7"/>
  <c r="I117" i="7"/>
  <c r="I118" i="7"/>
  <c r="I119" i="7"/>
  <c r="I120" i="7"/>
  <c r="I121" i="7"/>
  <c r="I122" i="7"/>
  <c r="I123" i="7"/>
  <c r="I124" i="7"/>
  <c r="I125" i="7"/>
  <c r="I126" i="7"/>
  <c r="I127" i="7"/>
  <c r="I128" i="7"/>
  <c r="I129" i="7"/>
  <c r="I130" i="7"/>
  <c r="I131" i="7"/>
  <c r="I132" i="7"/>
  <c r="I133" i="7"/>
  <c r="I134" i="7"/>
  <c r="I135" i="7"/>
  <c r="I136" i="7"/>
  <c r="I137" i="7"/>
  <c r="I138" i="7"/>
  <c r="I139" i="7"/>
  <c r="I140" i="7"/>
  <c r="I141" i="7"/>
  <c r="I142" i="7"/>
  <c r="I143" i="7"/>
  <c r="I144" i="7"/>
  <c r="I145" i="7"/>
  <c r="I146" i="7"/>
  <c r="I147" i="7"/>
  <c r="I148" i="7"/>
  <c r="I149" i="7"/>
  <c r="I150" i="7"/>
  <c r="I151" i="7"/>
  <c r="I152" i="7"/>
  <c r="I153" i="7"/>
  <c r="I154" i="7"/>
  <c r="I155" i="7"/>
  <c r="I156" i="7"/>
  <c r="I157" i="7"/>
  <c r="I158" i="7"/>
  <c r="I159" i="7"/>
  <c r="I160" i="7"/>
  <c r="I161" i="7"/>
  <c r="I162" i="7"/>
  <c r="I163" i="7"/>
  <c r="I164" i="7"/>
  <c r="I165" i="7"/>
  <c r="I166" i="7"/>
  <c r="I167" i="7"/>
  <c r="I168" i="7"/>
  <c r="I169" i="7"/>
  <c r="I170" i="7"/>
  <c r="I171" i="7"/>
  <c r="I172" i="7"/>
  <c r="I173" i="7"/>
  <c r="I174" i="7"/>
  <c r="I175" i="7"/>
  <c r="I176" i="7"/>
  <c r="I177" i="7"/>
  <c r="I178" i="7"/>
  <c r="I179" i="7"/>
  <c r="I180" i="7"/>
  <c r="I181" i="7"/>
  <c r="I182" i="7"/>
  <c r="I183" i="7"/>
  <c r="I184" i="7"/>
  <c r="I185" i="7"/>
  <c r="I186" i="7"/>
  <c r="I187" i="7"/>
  <c r="I188" i="7"/>
  <c r="I189" i="7"/>
  <c r="I190" i="7"/>
  <c r="I191" i="7"/>
  <c r="I192" i="7"/>
  <c r="I193" i="7"/>
  <c r="I194" i="7"/>
  <c r="I195" i="7"/>
  <c r="I196" i="7"/>
  <c r="I197" i="7"/>
  <c r="I198" i="7"/>
  <c r="I199" i="7"/>
  <c r="I200" i="7"/>
  <c r="I201" i="7"/>
  <c r="I202" i="7"/>
  <c r="I203" i="7"/>
  <c r="I204" i="7"/>
  <c r="I205" i="7"/>
  <c r="I206" i="7"/>
  <c r="I207" i="7"/>
  <c r="I208" i="7"/>
  <c r="I209" i="7"/>
  <c r="I210" i="7"/>
  <c r="I211" i="7"/>
  <c r="I212" i="7"/>
  <c r="I213" i="7"/>
  <c r="I214" i="7"/>
  <c r="I215" i="7"/>
  <c r="I216" i="7"/>
  <c r="I217" i="7"/>
  <c r="I218" i="7"/>
  <c r="I219" i="7"/>
  <c r="I220" i="7"/>
  <c r="I221" i="7"/>
  <c r="I222" i="7"/>
  <c r="I223" i="7"/>
  <c r="I224" i="7"/>
  <c r="I225" i="7"/>
  <c r="I226" i="7"/>
  <c r="I227" i="7"/>
  <c r="I228" i="7"/>
  <c r="I229" i="7"/>
  <c r="I230" i="7"/>
  <c r="I231" i="7"/>
  <c r="I232" i="7"/>
  <c r="I233" i="7"/>
  <c r="I234" i="7"/>
  <c r="I235" i="7"/>
  <c r="I236" i="7"/>
  <c r="I237" i="7"/>
  <c r="I238" i="7"/>
  <c r="I239" i="7"/>
  <c r="I240" i="7"/>
  <c r="I241" i="7"/>
  <c r="I242" i="7"/>
  <c r="I243" i="7"/>
  <c r="I244" i="7"/>
  <c r="I245" i="7"/>
  <c r="I246" i="7"/>
  <c r="I247" i="7"/>
  <c r="I248" i="7"/>
  <c r="I249" i="7"/>
  <c r="I250" i="7"/>
  <c r="I251" i="7"/>
  <c r="I252" i="7"/>
  <c r="I253" i="7"/>
  <c r="I254" i="7"/>
  <c r="I255" i="7"/>
  <c r="I256" i="7"/>
  <c r="I257" i="7"/>
  <c r="I258" i="7"/>
  <c r="I259" i="7"/>
  <c r="I260" i="7"/>
  <c r="I261" i="7"/>
  <c r="I262" i="7"/>
  <c r="I263" i="7"/>
  <c r="I264" i="7"/>
  <c r="I265" i="7"/>
  <c r="I266" i="7"/>
  <c r="I267" i="7"/>
  <c r="I268" i="7"/>
  <c r="I269" i="7"/>
  <c r="I270" i="7"/>
  <c r="I271" i="7"/>
  <c r="I272" i="7"/>
  <c r="I273" i="7"/>
  <c r="I274" i="7"/>
  <c r="I275" i="7"/>
  <c r="I276" i="7"/>
  <c r="I277" i="7"/>
  <c r="I278" i="7"/>
  <c r="I279" i="7"/>
  <c r="I280" i="7"/>
  <c r="I281" i="7"/>
  <c r="I282" i="7"/>
  <c r="I283" i="7"/>
  <c r="I284" i="7"/>
  <c r="I285" i="7"/>
  <c r="I286" i="7"/>
  <c r="I287" i="7"/>
  <c r="I288" i="7"/>
  <c r="I289" i="7"/>
  <c r="I290" i="7"/>
  <c r="I291" i="7"/>
  <c r="I292" i="7"/>
  <c r="I293" i="7"/>
  <c r="I294" i="7"/>
  <c r="I295" i="7"/>
  <c r="I296" i="7"/>
  <c r="I297" i="7"/>
  <c r="I298" i="7"/>
  <c r="I299" i="7"/>
  <c r="I300" i="7"/>
  <c r="I301" i="7"/>
  <c r="I302" i="7"/>
  <c r="I303" i="7"/>
  <c r="I304" i="7"/>
  <c r="I305" i="7"/>
  <c r="I306" i="7"/>
  <c r="I307" i="7"/>
  <c r="I308" i="7"/>
  <c r="I309" i="7"/>
  <c r="I310" i="7"/>
  <c r="I311" i="7"/>
  <c r="I312" i="7"/>
  <c r="I313" i="7"/>
  <c r="I314" i="7"/>
  <c r="I315" i="7"/>
  <c r="I316" i="7"/>
  <c r="I317" i="7"/>
  <c r="I318" i="7"/>
  <c r="I319" i="7"/>
  <c r="I320" i="7"/>
  <c r="I321" i="7"/>
  <c r="I322" i="7"/>
  <c r="I323" i="7"/>
  <c r="I324" i="7"/>
  <c r="I325" i="7"/>
  <c r="I326" i="7"/>
  <c r="I327" i="7"/>
  <c r="I328" i="7"/>
  <c r="I329" i="7"/>
  <c r="I330" i="7"/>
  <c r="I331" i="7"/>
  <c r="I332" i="7"/>
  <c r="I333" i="7"/>
  <c r="I334" i="7"/>
  <c r="I335" i="7"/>
  <c r="I336" i="7"/>
  <c r="I337" i="7"/>
  <c r="I338" i="7"/>
  <c r="I339" i="7"/>
  <c r="I340" i="7"/>
  <c r="I341" i="7"/>
  <c r="I342" i="7"/>
  <c r="I343" i="7"/>
  <c r="I344" i="7"/>
  <c r="I345" i="7"/>
  <c r="I346" i="7"/>
  <c r="I347" i="7"/>
  <c r="I348" i="7"/>
  <c r="I349" i="7"/>
  <c r="I350" i="7"/>
  <c r="I351" i="7"/>
  <c r="I352" i="7"/>
  <c r="I353" i="7"/>
  <c r="I354" i="7"/>
  <c r="I355" i="7"/>
  <c r="I356" i="7"/>
  <c r="I357" i="7"/>
  <c r="I358" i="7"/>
  <c r="I359" i="7"/>
  <c r="I360" i="7"/>
  <c r="I361" i="7"/>
  <c r="I362" i="7"/>
  <c r="I363" i="7"/>
  <c r="I364" i="7"/>
  <c r="I365" i="7"/>
  <c r="I366" i="7"/>
  <c r="I367" i="7"/>
  <c r="I368" i="7"/>
  <c r="I369" i="7"/>
  <c r="I370" i="7"/>
  <c r="I371" i="7"/>
  <c r="I372" i="7"/>
  <c r="I373" i="7"/>
  <c r="I374" i="7"/>
  <c r="I375" i="7"/>
  <c r="I376" i="7"/>
  <c r="I377" i="7"/>
  <c r="I378" i="7"/>
  <c r="I379" i="7"/>
  <c r="I380" i="7"/>
  <c r="I381" i="7"/>
  <c r="I382" i="7"/>
  <c r="I383" i="7"/>
  <c r="I384" i="7"/>
  <c r="I385" i="7"/>
  <c r="I386" i="7"/>
  <c r="I387" i="7"/>
  <c r="I388" i="7"/>
  <c r="I389" i="7"/>
  <c r="I390" i="7"/>
  <c r="I391" i="7"/>
  <c r="I392" i="7"/>
  <c r="I393" i="7"/>
  <c r="I394" i="7"/>
  <c r="I395" i="7"/>
  <c r="I396" i="7"/>
  <c r="I397" i="7"/>
  <c r="I398" i="7"/>
  <c r="I399" i="7"/>
  <c r="I400" i="7"/>
  <c r="I401" i="7"/>
  <c r="I402" i="7"/>
  <c r="I403" i="7"/>
  <c r="I404" i="7"/>
  <c r="I405" i="7"/>
  <c r="I406" i="7"/>
  <c r="I407" i="7"/>
  <c r="I408" i="7"/>
  <c r="I409" i="7"/>
  <c r="I410" i="7"/>
  <c r="I411" i="7"/>
  <c r="I412" i="7"/>
  <c r="I413" i="7"/>
  <c r="I414" i="7"/>
  <c r="I415" i="7"/>
  <c r="I416" i="7"/>
  <c r="I417" i="7"/>
  <c r="I418" i="7"/>
  <c r="I419" i="7"/>
  <c r="I420" i="7"/>
  <c r="I421" i="7"/>
  <c r="I422" i="7"/>
  <c r="I423" i="7"/>
  <c r="I424" i="7"/>
  <c r="I425" i="7"/>
  <c r="I426" i="7"/>
  <c r="I427" i="7"/>
  <c r="I428" i="7"/>
  <c r="I429" i="7"/>
  <c r="I430" i="7"/>
  <c r="I431" i="7"/>
  <c r="I432" i="7"/>
  <c r="I433" i="7"/>
  <c r="I434" i="7"/>
  <c r="I435" i="7"/>
  <c r="I436" i="7"/>
  <c r="I437" i="7"/>
  <c r="I438" i="7"/>
  <c r="I439" i="7"/>
  <c r="I440" i="7"/>
  <c r="I441" i="7"/>
  <c r="I442" i="7"/>
  <c r="I443" i="7"/>
  <c r="I444" i="7"/>
  <c r="I445" i="7"/>
  <c r="I446" i="7"/>
  <c r="I447" i="7"/>
  <c r="I448" i="7"/>
  <c r="I449" i="7"/>
  <c r="I450" i="7"/>
  <c r="I451" i="7"/>
  <c r="I452" i="7"/>
  <c r="I453" i="7"/>
  <c r="I454" i="7"/>
  <c r="I455" i="7"/>
  <c r="I456" i="7"/>
  <c r="I457" i="7"/>
  <c r="I458" i="7"/>
  <c r="I459" i="7"/>
  <c r="I460" i="7"/>
  <c r="I461" i="7"/>
  <c r="I462" i="7"/>
  <c r="I463" i="7"/>
  <c r="I464" i="7"/>
  <c r="I465" i="7"/>
  <c r="I466" i="7"/>
  <c r="I467" i="7"/>
  <c r="I468" i="7"/>
  <c r="I469" i="7"/>
  <c r="I470" i="7"/>
  <c r="I471" i="7"/>
  <c r="I472" i="7"/>
  <c r="I473" i="7"/>
  <c r="I474" i="7"/>
  <c r="I475" i="7"/>
  <c r="I476" i="7"/>
  <c r="I477" i="7"/>
  <c r="I478" i="7"/>
  <c r="I479" i="7"/>
  <c r="I480" i="7"/>
  <c r="I481" i="7"/>
  <c r="I482" i="7"/>
  <c r="I483" i="7"/>
  <c r="I484" i="7"/>
  <c r="I485" i="7"/>
  <c r="I486" i="7"/>
  <c r="I487" i="7"/>
  <c r="I488" i="7"/>
  <c r="I489" i="7"/>
  <c r="I490" i="7"/>
  <c r="I491" i="7"/>
  <c r="I492" i="7"/>
  <c r="I493" i="7"/>
  <c r="I494" i="7"/>
  <c r="I495" i="7"/>
  <c r="I496" i="7"/>
  <c r="I497" i="7"/>
  <c r="I498" i="7"/>
  <c r="I499" i="7"/>
  <c r="I500" i="7"/>
  <c r="I501" i="7"/>
  <c r="I502" i="7"/>
  <c r="I503" i="7"/>
  <c r="I504" i="7"/>
  <c r="I505" i="7"/>
  <c r="I506" i="7"/>
  <c r="I507" i="7"/>
  <c r="I508" i="7"/>
  <c r="I509" i="7"/>
  <c r="I510" i="7"/>
  <c r="I511" i="7"/>
  <c r="I512" i="7"/>
  <c r="I513" i="7"/>
  <c r="I514" i="7"/>
  <c r="I515" i="7"/>
  <c r="I516" i="7"/>
  <c r="I517" i="7"/>
  <c r="I518" i="7"/>
  <c r="I519" i="7"/>
  <c r="I520" i="7"/>
  <c r="I521" i="7"/>
  <c r="I522" i="7"/>
  <c r="I523" i="7"/>
  <c r="I524" i="7"/>
  <c r="I525" i="7"/>
  <c r="I526" i="7"/>
  <c r="I527" i="7"/>
  <c r="I528" i="7"/>
  <c r="I529" i="7"/>
  <c r="I530" i="7"/>
  <c r="I531" i="7"/>
  <c r="I532" i="7"/>
  <c r="I533" i="7"/>
  <c r="I534" i="7"/>
  <c r="I535" i="7"/>
  <c r="I536" i="7"/>
  <c r="I537" i="7"/>
  <c r="I538" i="7"/>
  <c r="I539" i="7"/>
  <c r="I540" i="7"/>
  <c r="I541" i="7"/>
  <c r="I542" i="7"/>
  <c r="I543" i="7"/>
  <c r="I544" i="7"/>
  <c r="I545" i="7"/>
  <c r="I546" i="7"/>
  <c r="I547" i="7"/>
  <c r="I548" i="7"/>
  <c r="I549" i="7"/>
  <c r="I550" i="7"/>
  <c r="I551" i="7"/>
  <c r="I552" i="7"/>
  <c r="I553" i="7"/>
  <c r="I554" i="7"/>
  <c r="I555" i="7"/>
  <c r="I556" i="7"/>
  <c r="I557" i="7"/>
  <c r="I558" i="7"/>
  <c r="I559" i="7"/>
  <c r="I560" i="7"/>
  <c r="I561" i="7"/>
  <c r="I562" i="7"/>
  <c r="I563" i="7"/>
  <c r="I564" i="7"/>
  <c r="I565" i="7"/>
  <c r="I566" i="7"/>
  <c r="I567" i="7"/>
  <c r="I568" i="7"/>
  <c r="I569" i="7"/>
  <c r="I570" i="7"/>
  <c r="I571" i="7"/>
  <c r="I572" i="7"/>
  <c r="I573" i="7"/>
  <c r="I574" i="7"/>
  <c r="I575" i="7"/>
  <c r="I576" i="7"/>
  <c r="I577" i="7"/>
  <c r="I578" i="7"/>
  <c r="I579" i="7"/>
  <c r="I580" i="7"/>
  <c r="I581" i="7"/>
  <c r="I582" i="7"/>
  <c r="I583" i="7"/>
  <c r="I584" i="7"/>
  <c r="I585" i="7"/>
  <c r="I586" i="7"/>
  <c r="I587" i="7"/>
  <c r="I588" i="7"/>
  <c r="I589" i="7"/>
  <c r="I590" i="7"/>
  <c r="I591" i="7"/>
  <c r="I592" i="7"/>
  <c r="I593" i="7"/>
  <c r="I594" i="7"/>
  <c r="I595" i="7"/>
  <c r="I596" i="7"/>
  <c r="I597" i="7"/>
  <c r="I598" i="7"/>
  <c r="I599" i="7"/>
  <c r="I600" i="7"/>
  <c r="I601" i="7"/>
  <c r="I602" i="7"/>
  <c r="I603" i="7"/>
  <c r="I604" i="7"/>
  <c r="I605" i="7"/>
  <c r="I606" i="7"/>
  <c r="I607" i="7"/>
  <c r="I608" i="7"/>
  <c r="I609" i="7"/>
  <c r="I610" i="7"/>
  <c r="I611" i="7"/>
  <c r="I612" i="7"/>
  <c r="I613" i="7"/>
  <c r="I614" i="7"/>
  <c r="I615" i="7"/>
  <c r="I616" i="7"/>
  <c r="I617" i="7"/>
  <c r="I618" i="7"/>
  <c r="I619" i="7"/>
  <c r="I620" i="7"/>
  <c r="I621" i="7"/>
  <c r="I622" i="7"/>
  <c r="I623" i="7"/>
  <c r="I624" i="7"/>
  <c r="I625" i="7"/>
  <c r="I626" i="7"/>
  <c r="I627" i="7"/>
  <c r="I628" i="7"/>
  <c r="I629" i="7"/>
  <c r="I630" i="7"/>
  <c r="I631" i="7"/>
  <c r="I632" i="7"/>
  <c r="I633" i="7"/>
  <c r="I634" i="7"/>
  <c r="I635" i="7"/>
  <c r="I636" i="7"/>
  <c r="I637" i="7"/>
  <c r="I638" i="7"/>
  <c r="I639" i="7"/>
  <c r="I640" i="7"/>
  <c r="I641" i="7"/>
  <c r="I642" i="7"/>
  <c r="I643" i="7"/>
  <c r="I644" i="7"/>
  <c r="I645" i="7"/>
  <c r="I646" i="7"/>
  <c r="I647" i="7"/>
  <c r="I648" i="7"/>
  <c r="I649" i="7"/>
  <c r="I650" i="7"/>
  <c r="I651" i="7"/>
  <c r="I652" i="7"/>
  <c r="I653" i="7"/>
  <c r="I654" i="7"/>
  <c r="I655" i="7"/>
  <c r="I656" i="7"/>
  <c r="I657" i="7"/>
  <c r="I658" i="7"/>
  <c r="I659" i="7"/>
  <c r="I660" i="7"/>
  <c r="I661" i="7"/>
  <c r="I662" i="7"/>
  <c r="I663" i="7"/>
  <c r="I664" i="7"/>
  <c r="I665" i="7"/>
  <c r="I666" i="7"/>
  <c r="I667" i="7"/>
  <c r="I668" i="7"/>
  <c r="I669" i="7"/>
  <c r="I670" i="7"/>
  <c r="I671" i="7"/>
  <c r="I672" i="7"/>
  <c r="I673" i="7"/>
  <c r="I674" i="7"/>
  <c r="I675" i="7"/>
  <c r="I676" i="7"/>
  <c r="I677" i="7"/>
  <c r="I678" i="7"/>
  <c r="I679" i="7"/>
  <c r="I680" i="7"/>
  <c r="I681" i="7"/>
  <c r="I682" i="7"/>
  <c r="I683" i="7"/>
  <c r="I684" i="7"/>
  <c r="I685" i="7"/>
  <c r="I686" i="7"/>
  <c r="I687" i="7"/>
  <c r="I688" i="7"/>
  <c r="I689" i="7"/>
  <c r="I690" i="7"/>
  <c r="I691" i="7"/>
  <c r="I692" i="7"/>
  <c r="I693" i="7"/>
  <c r="I694" i="7"/>
  <c r="I695" i="7"/>
  <c r="I696" i="7"/>
  <c r="I697" i="7"/>
  <c r="I698" i="7"/>
  <c r="I699" i="7"/>
  <c r="I700" i="7"/>
  <c r="I701" i="7"/>
  <c r="I702" i="7"/>
  <c r="I703" i="7"/>
  <c r="I704" i="7"/>
  <c r="I705" i="7"/>
  <c r="I706" i="7"/>
  <c r="I707" i="7"/>
  <c r="I708" i="7"/>
  <c r="I709" i="7"/>
  <c r="I710" i="7"/>
  <c r="I711" i="7"/>
  <c r="I712" i="7"/>
  <c r="I713" i="7"/>
  <c r="I714" i="7"/>
  <c r="I715" i="7"/>
  <c r="I716" i="7"/>
  <c r="I717" i="7"/>
  <c r="I718" i="7"/>
  <c r="I719" i="7"/>
  <c r="I720" i="7"/>
  <c r="I721" i="7"/>
  <c r="I722" i="7"/>
  <c r="I723" i="7"/>
  <c r="I724" i="7"/>
  <c r="I725" i="7"/>
  <c r="I726" i="7"/>
  <c r="I727" i="7"/>
  <c r="I728" i="7"/>
  <c r="I729" i="7"/>
  <c r="I730" i="7"/>
  <c r="I731" i="7"/>
  <c r="I732" i="7"/>
  <c r="I733" i="7"/>
  <c r="I734" i="7"/>
  <c r="I735" i="7"/>
  <c r="I736" i="7"/>
  <c r="I737" i="7"/>
  <c r="I738" i="7"/>
  <c r="I739" i="7"/>
  <c r="I740" i="7"/>
  <c r="I741" i="7"/>
  <c r="I742" i="7"/>
  <c r="I743" i="7"/>
  <c r="I744" i="7"/>
  <c r="I745" i="7"/>
  <c r="I746" i="7"/>
  <c r="I747" i="7"/>
  <c r="I748" i="7"/>
  <c r="I749" i="7"/>
  <c r="I750" i="7"/>
  <c r="I751" i="7"/>
  <c r="I752" i="7"/>
  <c r="I753" i="7"/>
  <c r="I754" i="7"/>
  <c r="I755" i="7"/>
  <c r="I756" i="7"/>
  <c r="I757" i="7"/>
  <c r="I758" i="7"/>
  <c r="I759" i="7"/>
  <c r="I760" i="7"/>
  <c r="I761" i="7"/>
  <c r="I762" i="7"/>
  <c r="I763" i="7"/>
  <c r="I764" i="7"/>
  <c r="I765" i="7"/>
  <c r="I766" i="7"/>
  <c r="I767" i="7"/>
  <c r="I768" i="7"/>
  <c r="I769" i="7"/>
  <c r="I770" i="7"/>
  <c r="I771" i="7"/>
  <c r="I772" i="7"/>
  <c r="I773" i="7"/>
  <c r="I774" i="7"/>
  <c r="I775" i="7"/>
  <c r="I776" i="7"/>
  <c r="I777" i="7"/>
  <c r="I778" i="7"/>
  <c r="I779" i="7"/>
  <c r="I780" i="7"/>
  <c r="I781" i="7"/>
  <c r="I782" i="7"/>
  <c r="I783" i="7"/>
  <c r="I784" i="7"/>
  <c r="I785" i="7"/>
  <c r="I786" i="7"/>
  <c r="I787" i="7"/>
  <c r="I788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810" i="7"/>
  <c r="I811" i="7"/>
  <c r="I812" i="7"/>
  <c r="I813" i="7"/>
  <c r="I814" i="7"/>
  <c r="I815" i="7"/>
  <c r="I816" i="7"/>
  <c r="I817" i="7"/>
  <c r="I818" i="7"/>
  <c r="I819" i="7"/>
  <c r="I820" i="7"/>
  <c r="I821" i="7"/>
  <c r="I822" i="7"/>
  <c r="I823" i="7"/>
  <c r="I824" i="7"/>
  <c r="I825" i="7"/>
  <c r="I826" i="7"/>
  <c r="I827" i="7"/>
  <c r="I828" i="7"/>
  <c r="I829" i="7"/>
  <c r="I830" i="7"/>
  <c r="I831" i="7"/>
  <c r="I832" i="7"/>
  <c r="I833" i="7"/>
  <c r="I834" i="7"/>
  <c r="I835" i="7"/>
  <c r="I836" i="7"/>
  <c r="I837" i="7"/>
  <c r="I838" i="7"/>
  <c r="I839" i="7"/>
  <c r="I840" i="7"/>
  <c r="I841" i="7"/>
  <c r="I842" i="7"/>
  <c r="I843" i="7"/>
  <c r="I844" i="7"/>
  <c r="I845" i="7"/>
  <c r="I846" i="7"/>
  <c r="I847" i="7"/>
  <c r="I848" i="7"/>
  <c r="I849" i="7"/>
  <c r="I850" i="7"/>
  <c r="I851" i="7"/>
  <c r="I852" i="7"/>
  <c r="I853" i="7"/>
  <c r="I854" i="7"/>
  <c r="I855" i="7"/>
  <c r="I856" i="7"/>
  <c r="I857" i="7"/>
  <c r="I858" i="7"/>
  <c r="I859" i="7"/>
  <c r="I860" i="7"/>
  <c r="I861" i="7"/>
  <c r="I862" i="7"/>
  <c r="I863" i="7"/>
  <c r="I864" i="7"/>
  <c r="I865" i="7"/>
  <c r="I866" i="7"/>
  <c r="I867" i="7"/>
  <c r="I868" i="7"/>
  <c r="I869" i="7"/>
  <c r="I870" i="7"/>
  <c r="I871" i="7"/>
  <c r="I872" i="7"/>
  <c r="I873" i="7"/>
  <c r="I874" i="7"/>
  <c r="I875" i="7"/>
  <c r="I876" i="7"/>
  <c r="I877" i="7"/>
  <c r="I878" i="7"/>
  <c r="I879" i="7"/>
  <c r="I880" i="7"/>
  <c r="I881" i="7"/>
  <c r="I882" i="7"/>
  <c r="I883" i="7"/>
  <c r="I884" i="7"/>
  <c r="I885" i="7"/>
  <c r="I886" i="7"/>
  <c r="I887" i="7"/>
  <c r="I888" i="7"/>
  <c r="I889" i="7"/>
  <c r="I890" i="7"/>
  <c r="I891" i="7"/>
  <c r="I892" i="7"/>
  <c r="I893" i="7"/>
  <c r="I894" i="7"/>
  <c r="I895" i="7"/>
  <c r="I896" i="7"/>
  <c r="I897" i="7"/>
  <c r="I898" i="7"/>
  <c r="I899" i="7"/>
  <c r="I900" i="7"/>
  <c r="I901" i="7"/>
  <c r="I902" i="7"/>
  <c r="I903" i="7"/>
  <c r="I904" i="7"/>
  <c r="I905" i="7"/>
  <c r="I906" i="7"/>
  <c r="I907" i="7"/>
  <c r="I908" i="7"/>
  <c r="I909" i="7"/>
  <c r="I910" i="7"/>
  <c r="I911" i="7"/>
  <c r="I912" i="7"/>
  <c r="I913" i="7"/>
  <c r="I914" i="7"/>
  <c r="I915" i="7"/>
  <c r="I916" i="7"/>
  <c r="I917" i="7"/>
  <c r="I918" i="7"/>
  <c r="I919" i="7"/>
  <c r="I920" i="7"/>
  <c r="I921" i="7"/>
  <c r="I922" i="7"/>
  <c r="I923" i="7"/>
  <c r="I924" i="7"/>
  <c r="I925" i="7"/>
  <c r="I926" i="7"/>
  <c r="I927" i="7"/>
  <c r="I928" i="7"/>
  <c r="I929" i="7"/>
  <c r="I930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61" i="7"/>
  <c r="I962" i="7"/>
  <c r="I963" i="7"/>
  <c r="I964" i="7"/>
  <c r="I965" i="7"/>
  <c r="I966" i="7"/>
  <c r="I967" i="7"/>
  <c r="I968" i="7"/>
  <c r="I969" i="7"/>
  <c r="I970" i="7"/>
  <c r="I971" i="7"/>
  <c r="I972" i="7"/>
  <c r="I973" i="7"/>
  <c r="I974" i="7"/>
  <c r="I975" i="7"/>
  <c r="I976" i="7"/>
  <c r="I977" i="7"/>
  <c r="I978" i="7"/>
  <c r="I979" i="7"/>
  <c r="I980" i="7"/>
  <c r="I981" i="7"/>
  <c r="I982" i="7"/>
  <c r="I983" i="7"/>
  <c r="I984" i="7"/>
  <c r="I985" i="7"/>
  <c r="I986" i="7"/>
  <c r="I987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1001" i="7"/>
  <c r="I1002" i="7"/>
  <c r="I1003" i="7"/>
  <c r="I1004" i="7"/>
  <c r="I1005" i="7"/>
  <c r="I1006" i="7"/>
  <c r="I1007" i="7"/>
  <c r="I1008" i="7"/>
  <c r="I1009" i="7"/>
  <c r="I1010" i="7"/>
  <c r="I1011" i="7"/>
  <c r="I1012" i="7"/>
  <c r="I1013" i="7"/>
  <c r="I1014" i="7"/>
  <c r="I1015" i="7"/>
  <c r="I1016" i="7"/>
  <c r="I1017" i="7"/>
  <c r="I1018" i="7"/>
  <c r="I1019" i="7"/>
  <c r="I1020" i="7"/>
  <c r="I1021" i="7"/>
  <c r="I1022" i="7"/>
  <c r="I1023" i="7"/>
  <c r="I1024" i="7"/>
  <c r="I1025" i="7"/>
  <c r="I1026" i="7"/>
  <c r="I1027" i="7"/>
  <c r="I1028" i="7"/>
  <c r="I1029" i="7"/>
  <c r="I1030" i="7"/>
  <c r="I1031" i="7"/>
  <c r="I1032" i="7"/>
  <c r="I1033" i="7"/>
  <c r="I1034" i="7"/>
  <c r="I1035" i="7"/>
  <c r="I1036" i="7"/>
  <c r="I1037" i="7"/>
  <c r="I1038" i="7"/>
  <c r="I1039" i="7"/>
  <c r="I1040" i="7"/>
  <c r="I1041" i="7"/>
  <c r="I1042" i="7"/>
  <c r="I1043" i="7"/>
  <c r="I1044" i="7"/>
  <c r="I1045" i="7"/>
  <c r="I1046" i="7"/>
  <c r="I1047" i="7"/>
  <c r="I1048" i="7"/>
  <c r="I1049" i="7"/>
  <c r="I1050" i="7"/>
  <c r="I1051" i="7"/>
  <c r="I1052" i="7"/>
  <c r="I1053" i="7"/>
  <c r="I1054" i="7"/>
  <c r="I1055" i="7"/>
  <c r="I1056" i="7"/>
  <c r="I1057" i="7"/>
  <c r="I1058" i="7"/>
  <c r="I1059" i="7"/>
  <c r="I1060" i="7"/>
  <c r="I1061" i="7"/>
  <c r="I1062" i="7"/>
  <c r="I1063" i="7"/>
  <c r="I1064" i="7"/>
  <c r="I1065" i="7"/>
  <c r="I1066" i="7"/>
  <c r="I1067" i="7"/>
  <c r="I1068" i="7"/>
  <c r="I1069" i="7"/>
  <c r="I1070" i="7"/>
  <c r="I1071" i="7"/>
  <c r="I1072" i="7"/>
  <c r="I1073" i="7"/>
  <c r="I1074" i="7"/>
  <c r="I1075" i="7"/>
  <c r="I1076" i="7"/>
  <c r="I1077" i="7"/>
  <c r="I1078" i="7"/>
  <c r="I1079" i="7"/>
  <c r="I1080" i="7"/>
  <c r="I1081" i="7"/>
  <c r="I1082" i="7"/>
  <c r="I1083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I1101" i="7"/>
  <c r="I1102" i="7"/>
  <c r="I1103" i="7"/>
  <c r="I1104" i="7"/>
  <c r="I1105" i="7"/>
  <c r="I1106" i="7"/>
  <c r="I1107" i="7"/>
  <c r="I1108" i="7"/>
  <c r="I1109" i="7"/>
  <c r="I1110" i="7"/>
  <c r="I1111" i="7"/>
  <c r="I1112" i="7"/>
  <c r="I1113" i="7"/>
  <c r="I1114" i="7"/>
  <c r="I1115" i="7"/>
  <c r="I1116" i="7"/>
  <c r="I1117" i="7"/>
  <c r="I1118" i="7"/>
  <c r="I1119" i="7"/>
  <c r="I1120" i="7"/>
  <c r="I1121" i="7"/>
  <c r="I1122" i="7"/>
  <c r="I1123" i="7"/>
  <c r="I1124" i="7"/>
  <c r="I1125" i="7"/>
  <c r="I1126" i="7"/>
  <c r="I1127" i="7"/>
  <c r="I1128" i="7"/>
  <c r="I1129" i="7"/>
  <c r="I1130" i="7"/>
  <c r="I1131" i="7"/>
  <c r="I1132" i="7"/>
  <c r="I1133" i="7"/>
  <c r="I1134" i="7"/>
  <c r="I1135" i="7"/>
  <c r="I1136" i="7"/>
  <c r="I1137" i="7"/>
  <c r="I1138" i="7"/>
  <c r="I1139" i="7"/>
  <c r="I1140" i="7"/>
  <c r="I1141" i="7"/>
  <c r="I1142" i="7"/>
  <c r="I1143" i="7"/>
  <c r="I1144" i="7"/>
  <c r="I1145" i="7"/>
  <c r="I1146" i="7"/>
  <c r="I1147" i="7"/>
  <c r="I1148" i="7"/>
  <c r="I1149" i="7"/>
  <c r="I1150" i="7"/>
  <c r="I1151" i="7"/>
  <c r="I1152" i="7"/>
  <c r="I1153" i="7"/>
  <c r="I1154" i="7"/>
  <c r="I1155" i="7"/>
  <c r="I1156" i="7"/>
  <c r="I1157" i="7"/>
  <c r="I1158" i="7"/>
  <c r="I1159" i="7"/>
  <c r="I1160" i="7"/>
  <c r="I1161" i="7"/>
  <c r="I1162" i="7"/>
  <c r="I1163" i="7"/>
  <c r="I1164" i="7"/>
  <c r="I1165" i="7"/>
  <c r="I1166" i="7"/>
  <c r="I1167" i="7"/>
  <c r="I1168" i="7"/>
  <c r="I1169" i="7"/>
  <c r="I1170" i="7"/>
  <c r="I1171" i="7"/>
  <c r="I1172" i="7"/>
  <c r="I1173" i="7"/>
  <c r="I1174" i="7"/>
  <c r="I1175" i="7"/>
  <c r="I1176" i="7"/>
  <c r="I1177" i="7"/>
  <c r="I1178" i="7"/>
  <c r="I1179" i="7"/>
  <c r="I1180" i="7"/>
  <c r="I1181" i="7"/>
  <c r="I1182" i="7"/>
  <c r="I1183" i="7"/>
  <c r="I1184" i="7"/>
  <c r="I1185" i="7"/>
  <c r="I1186" i="7"/>
  <c r="I1187" i="7"/>
  <c r="I1188" i="7"/>
  <c r="I1189" i="7"/>
  <c r="I1190" i="7"/>
  <c r="I1191" i="7"/>
  <c r="I1192" i="7"/>
  <c r="I1193" i="7"/>
  <c r="I1194" i="7"/>
  <c r="I1195" i="7"/>
  <c r="I1196" i="7"/>
  <c r="I1197" i="7"/>
  <c r="I1198" i="7"/>
  <c r="I1199" i="7"/>
  <c r="I1200" i="7"/>
  <c r="I1201" i="7"/>
  <c r="I1202" i="7"/>
  <c r="I1203" i="7"/>
  <c r="I1204" i="7"/>
  <c r="I1205" i="7"/>
  <c r="I1206" i="7"/>
  <c r="I1207" i="7"/>
  <c r="I1208" i="7"/>
  <c r="I1209" i="7"/>
  <c r="I1210" i="7"/>
  <c r="I1211" i="7"/>
  <c r="I1212" i="7"/>
  <c r="I1213" i="7"/>
  <c r="I1214" i="7"/>
  <c r="I1215" i="7"/>
  <c r="I1216" i="7"/>
  <c r="I1217" i="7"/>
  <c r="I1218" i="7"/>
  <c r="I1219" i="7"/>
  <c r="I1220" i="7"/>
  <c r="I1221" i="7"/>
  <c r="I1222" i="7"/>
  <c r="I1223" i="7"/>
  <c r="I1224" i="7"/>
  <c r="I1225" i="7"/>
  <c r="I1226" i="7"/>
  <c r="I1227" i="7"/>
  <c r="I1228" i="7"/>
  <c r="I1229" i="7"/>
  <c r="I1230" i="7"/>
  <c r="I1231" i="7"/>
  <c r="I1232" i="7"/>
  <c r="I1233" i="7"/>
  <c r="I1234" i="7"/>
  <c r="I1235" i="7"/>
  <c r="I1236" i="7"/>
  <c r="I1237" i="7"/>
  <c r="I1238" i="7"/>
  <c r="I1239" i="7"/>
  <c r="I1240" i="7"/>
  <c r="I1241" i="7"/>
  <c r="I1242" i="7"/>
  <c r="I1243" i="7"/>
  <c r="I1244" i="7"/>
  <c r="I1245" i="7"/>
  <c r="I1246" i="7"/>
  <c r="I1247" i="7"/>
  <c r="I1248" i="7"/>
  <c r="I1249" i="7"/>
  <c r="I1250" i="7"/>
  <c r="I1251" i="7"/>
  <c r="I1252" i="7"/>
  <c r="I1253" i="7"/>
  <c r="I1254" i="7"/>
  <c r="I1255" i="7"/>
  <c r="I1256" i="7"/>
  <c r="I1257" i="7"/>
  <c r="I1258" i="7"/>
  <c r="I1259" i="7"/>
  <c r="I1260" i="7"/>
  <c r="I1261" i="7"/>
  <c r="I1262" i="7"/>
  <c r="I1263" i="7"/>
  <c r="I1264" i="7"/>
  <c r="I1265" i="7"/>
  <c r="I1266" i="7"/>
  <c r="I1267" i="7"/>
  <c r="I1268" i="7"/>
  <c r="I1269" i="7"/>
  <c r="I1270" i="7"/>
  <c r="I1271" i="7"/>
  <c r="I1272" i="7"/>
  <c r="I1273" i="7"/>
  <c r="I1274" i="7"/>
  <c r="I1275" i="7"/>
  <c r="I1276" i="7"/>
  <c r="I1277" i="7"/>
  <c r="I1278" i="7"/>
  <c r="I1279" i="7"/>
  <c r="I1280" i="7"/>
  <c r="I1281" i="7"/>
  <c r="I1282" i="7"/>
  <c r="I1283" i="7"/>
  <c r="I1284" i="7"/>
  <c r="I1285" i="7"/>
  <c r="I1286" i="7"/>
  <c r="I1287" i="7"/>
  <c r="I1288" i="7"/>
  <c r="I1289" i="7"/>
  <c r="I1290" i="7"/>
  <c r="I1291" i="7"/>
  <c r="I1292" i="7"/>
  <c r="I1293" i="7"/>
  <c r="I1294" i="7"/>
  <c r="I1295" i="7"/>
  <c r="I1296" i="7"/>
  <c r="I1297" i="7"/>
  <c r="I1298" i="7"/>
  <c r="I1299" i="7"/>
  <c r="I1300" i="7"/>
  <c r="I1301" i="7"/>
  <c r="I1302" i="7"/>
  <c r="I1303" i="7"/>
  <c r="I1304" i="7"/>
  <c r="I1305" i="7"/>
  <c r="I1306" i="7"/>
  <c r="I1307" i="7"/>
  <c r="I1308" i="7"/>
  <c r="I1309" i="7"/>
  <c r="I1310" i="7"/>
  <c r="I1311" i="7"/>
  <c r="I1312" i="7"/>
  <c r="I1313" i="7"/>
  <c r="I1314" i="7"/>
  <c r="I1315" i="7"/>
  <c r="I1316" i="7"/>
  <c r="I1317" i="7"/>
  <c r="I1318" i="7"/>
  <c r="I1319" i="7"/>
  <c r="I1320" i="7"/>
  <c r="I1321" i="7"/>
  <c r="I1322" i="7"/>
  <c r="I1323" i="7"/>
  <c r="I1324" i="7"/>
  <c r="I1325" i="7"/>
  <c r="I1326" i="7"/>
  <c r="I1327" i="7"/>
  <c r="I1328" i="7"/>
  <c r="I1329" i="7"/>
  <c r="I1330" i="7"/>
  <c r="I1331" i="7"/>
  <c r="I1332" i="7"/>
  <c r="I1333" i="7"/>
  <c r="I1334" i="7"/>
  <c r="I1335" i="7"/>
  <c r="I1336" i="7"/>
  <c r="I1337" i="7"/>
  <c r="I1338" i="7"/>
  <c r="I1339" i="7"/>
  <c r="I1340" i="7"/>
  <c r="I1341" i="7"/>
  <c r="I1342" i="7"/>
  <c r="I1343" i="7"/>
  <c r="I1344" i="7"/>
  <c r="I1345" i="7"/>
  <c r="I1346" i="7"/>
  <c r="I1347" i="7"/>
  <c r="I1348" i="7"/>
  <c r="I1349" i="7"/>
  <c r="I1350" i="7"/>
  <c r="I1351" i="7"/>
  <c r="I1352" i="7"/>
  <c r="I1353" i="7"/>
  <c r="I1354" i="7"/>
  <c r="I1355" i="7"/>
  <c r="I1356" i="7"/>
  <c r="I1357" i="7"/>
  <c r="I1358" i="7"/>
  <c r="I1359" i="7"/>
  <c r="I1360" i="7"/>
  <c r="I1361" i="7"/>
  <c r="I1362" i="7"/>
  <c r="I1363" i="7"/>
  <c r="I1364" i="7"/>
  <c r="I1365" i="7"/>
  <c r="I1366" i="7"/>
  <c r="I1367" i="7"/>
  <c r="I1368" i="7"/>
  <c r="I1369" i="7"/>
  <c r="I1370" i="7"/>
  <c r="I1371" i="7"/>
  <c r="I1372" i="7"/>
  <c r="I1373" i="7"/>
  <c r="I1374" i="7"/>
  <c r="I1375" i="7"/>
  <c r="I1376" i="7"/>
  <c r="I1377" i="7"/>
  <c r="I1378" i="7"/>
  <c r="I1379" i="7"/>
  <c r="I1380" i="7"/>
  <c r="I1381" i="7"/>
  <c r="I1382" i="7"/>
  <c r="I1383" i="7"/>
  <c r="I1384" i="7"/>
  <c r="I1385" i="7"/>
  <c r="I1386" i="7"/>
  <c r="I1387" i="7"/>
  <c r="I1388" i="7"/>
  <c r="I1389" i="7"/>
  <c r="I1390" i="7"/>
  <c r="I1391" i="7"/>
  <c r="I1392" i="7"/>
  <c r="I1393" i="7"/>
  <c r="I1394" i="7"/>
  <c r="I1395" i="7"/>
  <c r="I1396" i="7"/>
  <c r="I1397" i="7"/>
  <c r="I1398" i="7"/>
  <c r="I1399" i="7"/>
  <c r="I1400" i="7"/>
  <c r="I1401" i="7"/>
  <c r="I1402" i="7"/>
  <c r="I1403" i="7"/>
  <c r="I1404" i="7"/>
  <c r="I1405" i="7"/>
  <c r="I1406" i="7"/>
  <c r="I1407" i="7"/>
  <c r="I1408" i="7"/>
  <c r="I1409" i="7"/>
  <c r="I1410" i="7"/>
  <c r="I1411" i="7"/>
  <c r="I1412" i="7"/>
  <c r="I1413" i="7"/>
  <c r="I1414" i="7"/>
  <c r="I1415" i="7"/>
  <c r="I1416" i="7"/>
  <c r="I1417" i="7"/>
  <c r="I1418" i="7"/>
  <c r="I1419" i="7"/>
  <c r="I1420" i="7"/>
  <c r="I1421" i="7"/>
  <c r="I1422" i="7"/>
  <c r="I1423" i="7"/>
  <c r="I1424" i="7"/>
  <c r="I1425" i="7"/>
  <c r="I1426" i="7"/>
  <c r="I1427" i="7"/>
  <c r="I1428" i="7"/>
  <c r="I1429" i="7"/>
  <c r="I1430" i="7"/>
  <c r="I1431" i="7"/>
  <c r="I1432" i="7"/>
  <c r="I1433" i="7"/>
  <c r="I1434" i="7"/>
  <c r="I1435" i="7"/>
  <c r="I1436" i="7"/>
  <c r="I1437" i="7"/>
  <c r="I1438" i="7"/>
  <c r="I1439" i="7"/>
  <c r="I1440" i="7"/>
  <c r="I1441" i="7"/>
  <c r="I1442" i="7"/>
  <c r="I1443" i="7"/>
  <c r="I1444" i="7"/>
  <c r="I1445" i="7"/>
  <c r="I1446" i="7"/>
  <c r="I1447" i="7"/>
  <c r="I1448" i="7"/>
  <c r="I1449" i="7"/>
  <c r="I1450" i="7"/>
  <c r="I1451" i="7"/>
  <c r="I1452" i="7"/>
  <c r="I1453" i="7"/>
  <c r="I1454" i="7"/>
  <c r="I1455" i="7"/>
  <c r="I1456" i="7"/>
  <c r="I1457" i="7"/>
  <c r="I1458" i="7"/>
  <c r="I1459" i="7"/>
  <c r="I1460" i="7"/>
  <c r="I1461" i="7"/>
  <c r="I1462" i="7"/>
  <c r="I1463" i="7"/>
  <c r="I1464" i="7"/>
  <c r="I1465" i="7"/>
  <c r="I1466" i="7"/>
  <c r="I1467" i="7"/>
  <c r="I1468" i="7"/>
  <c r="I1469" i="7"/>
  <c r="I1470" i="7"/>
  <c r="I1471" i="7"/>
  <c r="I2" i="7"/>
  <c r="H3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B34" i="12" s="1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665" i="7"/>
  <c r="H666" i="7"/>
  <c r="H667" i="7"/>
  <c r="H668" i="7"/>
  <c r="H669" i="7"/>
  <c r="H670" i="7"/>
  <c r="H671" i="7"/>
  <c r="H672" i="7"/>
  <c r="H673" i="7"/>
  <c r="H674" i="7"/>
  <c r="H675" i="7"/>
  <c r="H676" i="7"/>
  <c r="H677" i="7"/>
  <c r="H678" i="7"/>
  <c r="H679" i="7"/>
  <c r="H680" i="7"/>
  <c r="H681" i="7"/>
  <c r="H682" i="7"/>
  <c r="H683" i="7"/>
  <c r="H684" i="7"/>
  <c r="H685" i="7"/>
  <c r="H686" i="7"/>
  <c r="H687" i="7"/>
  <c r="H688" i="7"/>
  <c r="H689" i="7"/>
  <c r="H690" i="7"/>
  <c r="H691" i="7"/>
  <c r="H692" i="7"/>
  <c r="H693" i="7"/>
  <c r="H694" i="7"/>
  <c r="H695" i="7"/>
  <c r="H696" i="7"/>
  <c r="H697" i="7"/>
  <c r="H698" i="7"/>
  <c r="H699" i="7"/>
  <c r="H700" i="7"/>
  <c r="H701" i="7"/>
  <c r="H702" i="7"/>
  <c r="H703" i="7"/>
  <c r="H704" i="7"/>
  <c r="H705" i="7"/>
  <c r="H706" i="7"/>
  <c r="H707" i="7"/>
  <c r="H708" i="7"/>
  <c r="H709" i="7"/>
  <c r="H710" i="7"/>
  <c r="H711" i="7"/>
  <c r="H712" i="7"/>
  <c r="H713" i="7"/>
  <c r="H714" i="7"/>
  <c r="H715" i="7"/>
  <c r="H716" i="7"/>
  <c r="H717" i="7"/>
  <c r="H718" i="7"/>
  <c r="H719" i="7"/>
  <c r="H720" i="7"/>
  <c r="H721" i="7"/>
  <c r="H722" i="7"/>
  <c r="H723" i="7"/>
  <c r="H724" i="7"/>
  <c r="H725" i="7"/>
  <c r="H726" i="7"/>
  <c r="H727" i="7"/>
  <c r="H728" i="7"/>
  <c r="H729" i="7"/>
  <c r="H730" i="7"/>
  <c r="H731" i="7"/>
  <c r="H732" i="7"/>
  <c r="H733" i="7"/>
  <c r="H734" i="7"/>
  <c r="H735" i="7"/>
  <c r="H736" i="7"/>
  <c r="H737" i="7"/>
  <c r="H738" i="7"/>
  <c r="H739" i="7"/>
  <c r="H740" i="7"/>
  <c r="H741" i="7"/>
  <c r="H742" i="7"/>
  <c r="H743" i="7"/>
  <c r="H744" i="7"/>
  <c r="H745" i="7"/>
  <c r="H746" i="7"/>
  <c r="H747" i="7"/>
  <c r="H748" i="7"/>
  <c r="H749" i="7"/>
  <c r="H750" i="7"/>
  <c r="H751" i="7"/>
  <c r="H752" i="7"/>
  <c r="H753" i="7"/>
  <c r="H754" i="7"/>
  <c r="H755" i="7"/>
  <c r="H756" i="7"/>
  <c r="H757" i="7"/>
  <c r="H758" i="7"/>
  <c r="H759" i="7"/>
  <c r="H760" i="7"/>
  <c r="H761" i="7"/>
  <c r="H762" i="7"/>
  <c r="H763" i="7"/>
  <c r="H764" i="7"/>
  <c r="H765" i="7"/>
  <c r="H766" i="7"/>
  <c r="H767" i="7"/>
  <c r="H768" i="7"/>
  <c r="H769" i="7"/>
  <c r="H770" i="7"/>
  <c r="H771" i="7"/>
  <c r="H772" i="7"/>
  <c r="H773" i="7"/>
  <c r="H774" i="7"/>
  <c r="H775" i="7"/>
  <c r="H776" i="7"/>
  <c r="H777" i="7"/>
  <c r="H778" i="7"/>
  <c r="H779" i="7"/>
  <c r="H780" i="7"/>
  <c r="H781" i="7"/>
  <c r="H782" i="7"/>
  <c r="H783" i="7"/>
  <c r="H784" i="7"/>
  <c r="H785" i="7"/>
  <c r="H786" i="7"/>
  <c r="H787" i="7"/>
  <c r="H788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6" i="7"/>
  <c r="H807" i="7"/>
  <c r="H808" i="7"/>
  <c r="H809" i="7"/>
  <c r="H810" i="7"/>
  <c r="H811" i="7"/>
  <c r="H812" i="7"/>
  <c r="H813" i="7"/>
  <c r="H814" i="7"/>
  <c r="H815" i="7"/>
  <c r="H816" i="7"/>
  <c r="H817" i="7"/>
  <c r="H818" i="7"/>
  <c r="H819" i="7"/>
  <c r="H820" i="7"/>
  <c r="H821" i="7"/>
  <c r="H822" i="7"/>
  <c r="H823" i="7"/>
  <c r="H824" i="7"/>
  <c r="H825" i="7"/>
  <c r="H826" i="7"/>
  <c r="H827" i="7"/>
  <c r="H828" i="7"/>
  <c r="H829" i="7"/>
  <c r="H830" i="7"/>
  <c r="H831" i="7"/>
  <c r="H832" i="7"/>
  <c r="H833" i="7"/>
  <c r="H834" i="7"/>
  <c r="H835" i="7"/>
  <c r="H836" i="7"/>
  <c r="H837" i="7"/>
  <c r="H838" i="7"/>
  <c r="H839" i="7"/>
  <c r="H840" i="7"/>
  <c r="H841" i="7"/>
  <c r="H842" i="7"/>
  <c r="H843" i="7"/>
  <c r="H844" i="7"/>
  <c r="H845" i="7"/>
  <c r="H846" i="7"/>
  <c r="H847" i="7"/>
  <c r="H848" i="7"/>
  <c r="H849" i="7"/>
  <c r="H850" i="7"/>
  <c r="H851" i="7"/>
  <c r="H852" i="7"/>
  <c r="H853" i="7"/>
  <c r="H854" i="7"/>
  <c r="H855" i="7"/>
  <c r="H856" i="7"/>
  <c r="H857" i="7"/>
  <c r="H858" i="7"/>
  <c r="H859" i="7"/>
  <c r="H860" i="7"/>
  <c r="H861" i="7"/>
  <c r="H862" i="7"/>
  <c r="H863" i="7"/>
  <c r="H864" i="7"/>
  <c r="H865" i="7"/>
  <c r="H866" i="7"/>
  <c r="H867" i="7"/>
  <c r="H868" i="7"/>
  <c r="H869" i="7"/>
  <c r="H870" i="7"/>
  <c r="H871" i="7"/>
  <c r="H872" i="7"/>
  <c r="H873" i="7"/>
  <c r="H874" i="7"/>
  <c r="H875" i="7"/>
  <c r="H876" i="7"/>
  <c r="H877" i="7"/>
  <c r="H878" i="7"/>
  <c r="H879" i="7"/>
  <c r="H880" i="7"/>
  <c r="H881" i="7"/>
  <c r="H882" i="7"/>
  <c r="H883" i="7"/>
  <c r="H884" i="7"/>
  <c r="H885" i="7"/>
  <c r="H886" i="7"/>
  <c r="H887" i="7"/>
  <c r="H888" i="7"/>
  <c r="H889" i="7"/>
  <c r="H890" i="7"/>
  <c r="H891" i="7"/>
  <c r="H892" i="7"/>
  <c r="H893" i="7"/>
  <c r="H894" i="7"/>
  <c r="H895" i="7"/>
  <c r="H896" i="7"/>
  <c r="H897" i="7"/>
  <c r="H898" i="7"/>
  <c r="H899" i="7"/>
  <c r="H900" i="7"/>
  <c r="H901" i="7"/>
  <c r="H902" i="7"/>
  <c r="H903" i="7"/>
  <c r="H904" i="7"/>
  <c r="H905" i="7"/>
  <c r="H906" i="7"/>
  <c r="H907" i="7"/>
  <c r="H908" i="7"/>
  <c r="H909" i="7"/>
  <c r="H910" i="7"/>
  <c r="H911" i="7"/>
  <c r="H912" i="7"/>
  <c r="H913" i="7"/>
  <c r="H914" i="7"/>
  <c r="H915" i="7"/>
  <c r="H916" i="7"/>
  <c r="H917" i="7"/>
  <c r="H918" i="7"/>
  <c r="H919" i="7"/>
  <c r="H920" i="7"/>
  <c r="H921" i="7"/>
  <c r="H922" i="7"/>
  <c r="H923" i="7"/>
  <c r="H924" i="7"/>
  <c r="H925" i="7"/>
  <c r="H926" i="7"/>
  <c r="H927" i="7"/>
  <c r="H928" i="7"/>
  <c r="H929" i="7"/>
  <c r="H930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61" i="7"/>
  <c r="H962" i="7"/>
  <c r="H963" i="7"/>
  <c r="H964" i="7"/>
  <c r="H965" i="7"/>
  <c r="H966" i="7"/>
  <c r="H967" i="7"/>
  <c r="H968" i="7"/>
  <c r="H969" i="7"/>
  <c r="H970" i="7"/>
  <c r="H971" i="7"/>
  <c r="H972" i="7"/>
  <c r="H973" i="7"/>
  <c r="H974" i="7"/>
  <c r="H975" i="7"/>
  <c r="H976" i="7"/>
  <c r="H977" i="7"/>
  <c r="H978" i="7"/>
  <c r="H979" i="7"/>
  <c r="H980" i="7"/>
  <c r="H981" i="7"/>
  <c r="H982" i="7"/>
  <c r="H983" i="7"/>
  <c r="H984" i="7"/>
  <c r="H985" i="7"/>
  <c r="H986" i="7"/>
  <c r="H987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1001" i="7"/>
  <c r="H1002" i="7"/>
  <c r="H1003" i="7"/>
  <c r="H1004" i="7"/>
  <c r="H1005" i="7"/>
  <c r="H1006" i="7"/>
  <c r="H1007" i="7"/>
  <c r="H1008" i="7"/>
  <c r="H1009" i="7"/>
  <c r="H1010" i="7"/>
  <c r="H1011" i="7"/>
  <c r="H1012" i="7"/>
  <c r="H1013" i="7"/>
  <c r="H1014" i="7"/>
  <c r="H1015" i="7"/>
  <c r="H1016" i="7"/>
  <c r="H1017" i="7"/>
  <c r="H1018" i="7"/>
  <c r="H1019" i="7"/>
  <c r="H1020" i="7"/>
  <c r="H1021" i="7"/>
  <c r="H1022" i="7"/>
  <c r="H1023" i="7"/>
  <c r="H1024" i="7"/>
  <c r="H1025" i="7"/>
  <c r="H1026" i="7"/>
  <c r="H1027" i="7"/>
  <c r="H1028" i="7"/>
  <c r="H1029" i="7"/>
  <c r="H1030" i="7"/>
  <c r="H1031" i="7"/>
  <c r="H1032" i="7"/>
  <c r="H1033" i="7"/>
  <c r="H1034" i="7"/>
  <c r="H1035" i="7"/>
  <c r="H1036" i="7"/>
  <c r="H1037" i="7"/>
  <c r="H1038" i="7"/>
  <c r="H1039" i="7"/>
  <c r="H1040" i="7"/>
  <c r="H1041" i="7"/>
  <c r="H1042" i="7"/>
  <c r="H1043" i="7"/>
  <c r="H1044" i="7"/>
  <c r="H1045" i="7"/>
  <c r="H1046" i="7"/>
  <c r="H1047" i="7"/>
  <c r="H1048" i="7"/>
  <c r="H1049" i="7"/>
  <c r="H1050" i="7"/>
  <c r="H1051" i="7"/>
  <c r="H1052" i="7"/>
  <c r="H1053" i="7"/>
  <c r="H1054" i="7"/>
  <c r="H1055" i="7"/>
  <c r="H1056" i="7"/>
  <c r="H1057" i="7"/>
  <c r="H1058" i="7"/>
  <c r="H1059" i="7"/>
  <c r="H1060" i="7"/>
  <c r="H1061" i="7"/>
  <c r="H1062" i="7"/>
  <c r="H1063" i="7"/>
  <c r="H1064" i="7"/>
  <c r="H1065" i="7"/>
  <c r="H1066" i="7"/>
  <c r="H1067" i="7"/>
  <c r="H1068" i="7"/>
  <c r="H1069" i="7"/>
  <c r="H1070" i="7"/>
  <c r="H1071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H1101" i="7"/>
  <c r="H1102" i="7"/>
  <c r="H1103" i="7"/>
  <c r="H1104" i="7"/>
  <c r="H1105" i="7"/>
  <c r="H1106" i="7"/>
  <c r="H1107" i="7"/>
  <c r="H1108" i="7"/>
  <c r="H1109" i="7"/>
  <c r="H1110" i="7"/>
  <c r="H1111" i="7"/>
  <c r="H1112" i="7"/>
  <c r="H1113" i="7"/>
  <c r="H1114" i="7"/>
  <c r="H1115" i="7"/>
  <c r="H1116" i="7"/>
  <c r="H1117" i="7"/>
  <c r="H1118" i="7"/>
  <c r="H1119" i="7"/>
  <c r="H1120" i="7"/>
  <c r="H1121" i="7"/>
  <c r="H1122" i="7"/>
  <c r="H1123" i="7"/>
  <c r="H1124" i="7"/>
  <c r="H1125" i="7"/>
  <c r="H1126" i="7"/>
  <c r="H1127" i="7"/>
  <c r="H1128" i="7"/>
  <c r="H1129" i="7"/>
  <c r="H1130" i="7"/>
  <c r="H1131" i="7"/>
  <c r="H1132" i="7"/>
  <c r="H1133" i="7"/>
  <c r="H1134" i="7"/>
  <c r="H1135" i="7"/>
  <c r="H1136" i="7"/>
  <c r="H1137" i="7"/>
  <c r="H1138" i="7"/>
  <c r="H1139" i="7"/>
  <c r="H1140" i="7"/>
  <c r="H1141" i="7"/>
  <c r="H1142" i="7"/>
  <c r="H1143" i="7"/>
  <c r="H1144" i="7"/>
  <c r="H1145" i="7"/>
  <c r="H1146" i="7"/>
  <c r="H1147" i="7"/>
  <c r="H1148" i="7"/>
  <c r="H1149" i="7"/>
  <c r="H1150" i="7"/>
  <c r="H1151" i="7"/>
  <c r="H1152" i="7"/>
  <c r="H1153" i="7"/>
  <c r="H1154" i="7"/>
  <c r="H1155" i="7"/>
  <c r="H1156" i="7"/>
  <c r="H1157" i="7"/>
  <c r="H1158" i="7"/>
  <c r="H1159" i="7"/>
  <c r="H1160" i="7"/>
  <c r="H1161" i="7"/>
  <c r="H1162" i="7"/>
  <c r="H1163" i="7"/>
  <c r="H1164" i="7"/>
  <c r="H1165" i="7"/>
  <c r="H1166" i="7"/>
  <c r="H1167" i="7"/>
  <c r="H1168" i="7"/>
  <c r="H1169" i="7"/>
  <c r="H1170" i="7"/>
  <c r="H1171" i="7"/>
  <c r="H1172" i="7"/>
  <c r="H1173" i="7"/>
  <c r="H1174" i="7"/>
  <c r="H1175" i="7"/>
  <c r="H1176" i="7"/>
  <c r="H1177" i="7"/>
  <c r="H1178" i="7"/>
  <c r="H1179" i="7"/>
  <c r="H1180" i="7"/>
  <c r="H1181" i="7"/>
  <c r="H1182" i="7"/>
  <c r="H1183" i="7"/>
  <c r="H1184" i="7"/>
  <c r="H1185" i="7"/>
  <c r="H1186" i="7"/>
  <c r="H1187" i="7"/>
  <c r="H1188" i="7"/>
  <c r="H1189" i="7"/>
  <c r="H1190" i="7"/>
  <c r="H1191" i="7"/>
  <c r="H1192" i="7"/>
  <c r="H1193" i="7"/>
  <c r="H1194" i="7"/>
  <c r="H1195" i="7"/>
  <c r="H1196" i="7"/>
  <c r="H1197" i="7"/>
  <c r="H1198" i="7"/>
  <c r="H1199" i="7"/>
  <c r="H1200" i="7"/>
  <c r="H1201" i="7"/>
  <c r="H1202" i="7"/>
  <c r="H1203" i="7"/>
  <c r="H1204" i="7"/>
  <c r="H1205" i="7"/>
  <c r="H1206" i="7"/>
  <c r="H1207" i="7"/>
  <c r="H1208" i="7"/>
  <c r="H1209" i="7"/>
  <c r="H1210" i="7"/>
  <c r="H1211" i="7"/>
  <c r="H1212" i="7"/>
  <c r="H1213" i="7"/>
  <c r="H1214" i="7"/>
  <c r="H1215" i="7"/>
  <c r="H1216" i="7"/>
  <c r="H1217" i="7"/>
  <c r="H1218" i="7"/>
  <c r="H1219" i="7"/>
  <c r="H1220" i="7"/>
  <c r="H1221" i="7"/>
  <c r="H1222" i="7"/>
  <c r="H1223" i="7"/>
  <c r="H1224" i="7"/>
  <c r="H1225" i="7"/>
  <c r="H1226" i="7"/>
  <c r="H1227" i="7"/>
  <c r="H1228" i="7"/>
  <c r="H1229" i="7"/>
  <c r="H1230" i="7"/>
  <c r="H1231" i="7"/>
  <c r="H1232" i="7"/>
  <c r="H1233" i="7"/>
  <c r="H1234" i="7"/>
  <c r="H1235" i="7"/>
  <c r="H1236" i="7"/>
  <c r="H1237" i="7"/>
  <c r="H1238" i="7"/>
  <c r="H1239" i="7"/>
  <c r="H1240" i="7"/>
  <c r="H1241" i="7"/>
  <c r="H1242" i="7"/>
  <c r="H1243" i="7"/>
  <c r="H1244" i="7"/>
  <c r="H1245" i="7"/>
  <c r="H1246" i="7"/>
  <c r="H1247" i="7"/>
  <c r="H1248" i="7"/>
  <c r="H1249" i="7"/>
  <c r="H1250" i="7"/>
  <c r="H1251" i="7"/>
  <c r="H1252" i="7"/>
  <c r="H1253" i="7"/>
  <c r="H1254" i="7"/>
  <c r="H1255" i="7"/>
  <c r="H1256" i="7"/>
  <c r="H1257" i="7"/>
  <c r="H1258" i="7"/>
  <c r="H1259" i="7"/>
  <c r="H1260" i="7"/>
  <c r="H1261" i="7"/>
  <c r="H1262" i="7"/>
  <c r="H1263" i="7"/>
  <c r="H1264" i="7"/>
  <c r="H1265" i="7"/>
  <c r="H1266" i="7"/>
  <c r="H1267" i="7"/>
  <c r="H1268" i="7"/>
  <c r="H1269" i="7"/>
  <c r="H1270" i="7"/>
  <c r="H1271" i="7"/>
  <c r="H1272" i="7"/>
  <c r="H1273" i="7"/>
  <c r="H1274" i="7"/>
  <c r="H1275" i="7"/>
  <c r="H1276" i="7"/>
  <c r="H1277" i="7"/>
  <c r="H1278" i="7"/>
  <c r="H1279" i="7"/>
  <c r="H1280" i="7"/>
  <c r="H1281" i="7"/>
  <c r="H1282" i="7"/>
  <c r="H1283" i="7"/>
  <c r="H1284" i="7"/>
  <c r="H1285" i="7"/>
  <c r="H1286" i="7"/>
  <c r="H1287" i="7"/>
  <c r="H1288" i="7"/>
  <c r="H1289" i="7"/>
  <c r="H1290" i="7"/>
  <c r="H1291" i="7"/>
  <c r="H1292" i="7"/>
  <c r="H1293" i="7"/>
  <c r="H1294" i="7"/>
  <c r="H1295" i="7"/>
  <c r="H1296" i="7"/>
  <c r="H1297" i="7"/>
  <c r="H1298" i="7"/>
  <c r="H1299" i="7"/>
  <c r="H1300" i="7"/>
  <c r="H1301" i="7"/>
  <c r="H1302" i="7"/>
  <c r="H1303" i="7"/>
  <c r="H1304" i="7"/>
  <c r="H1305" i="7"/>
  <c r="H1306" i="7"/>
  <c r="H1307" i="7"/>
  <c r="H1308" i="7"/>
  <c r="H1309" i="7"/>
  <c r="H1310" i="7"/>
  <c r="H1311" i="7"/>
  <c r="H1312" i="7"/>
  <c r="H1313" i="7"/>
  <c r="H1314" i="7"/>
  <c r="H1315" i="7"/>
  <c r="H1316" i="7"/>
  <c r="H1317" i="7"/>
  <c r="H1318" i="7"/>
  <c r="H1319" i="7"/>
  <c r="H1320" i="7"/>
  <c r="H1321" i="7"/>
  <c r="H1322" i="7"/>
  <c r="H1323" i="7"/>
  <c r="H1324" i="7"/>
  <c r="H1325" i="7"/>
  <c r="H1326" i="7"/>
  <c r="H1327" i="7"/>
  <c r="H1328" i="7"/>
  <c r="H1329" i="7"/>
  <c r="H1330" i="7"/>
  <c r="H1331" i="7"/>
  <c r="H1332" i="7"/>
  <c r="H1333" i="7"/>
  <c r="H1334" i="7"/>
  <c r="H1335" i="7"/>
  <c r="H1336" i="7"/>
  <c r="H1337" i="7"/>
  <c r="H1338" i="7"/>
  <c r="H1339" i="7"/>
  <c r="H1340" i="7"/>
  <c r="H1341" i="7"/>
  <c r="H1342" i="7"/>
  <c r="H1343" i="7"/>
  <c r="H1344" i="7"/>
  <c r="H1345" i="7"/>
  <c r="H1346" i="7"/>
  <c r="H1347" i="7"/>
  <c r="H1348" i="7"/>
  <c r="H1349" i="7"/>
  <c r="H1350" i="7"/>
  <c r="H1351" i="7"/>
  <c r="H1352" i="7"/>
  <c r="H1353" i="7"/>
  <c r="H1354" i="7"/>
  <c r="H1355" i="7"/>
  <c r="H1356" i="7"/>
  <c r="H1357" i="7"/>
  <c r="H1358" i="7"/>
  <c r="H1359" i="7"/>
  <c r="H1360" i="7"/>
  <c r="H1361" i="7"/>
  <c r="H1362" i="7"/>
  <c r="H1363" i="7"/>
  <c r="H1364" i="7"/>
  <c r="H1365" i="7"/>
  <c r="H1366" i="7"/>
  <c r="H1367" i="7"/>
  <c r="H1368" i="7"/>
  <c r="H1369" i="7"/>
  <c r="H1370" i="7"/>
  <c r="H1371" i="7"/>
  <c r="H1372" i="7"/>
  <c r="H1373" i="7"/>
  <c r="H1374" i="7"/>
  <c r="H1375" i="7"/>
  <c r="H1376" i="7"/>
  <c r="H1377" i="7"/>
  <c r="H1378" i="7"/>
  <c r="H1379" i="7"/>
  <c r="H1380" i="7"/>
  <c r="H1381" i="7"/>
  <c r="H1382" i="7"/>
  <c r="H1383" i="7"/>
  <c r="H1384" i="7"/>
  <c r="H1385" i="7"/>
  <c r="H1386" i="7"/>
  <c r="H1387" i="7"/>
  <c r="H1388" i="7"/>
  <c r="H1389" i="7"/>
  <c r="H1390" i="7"/>
  <c r="H1391" i="7"/>
  <c r="H1392" i="7"/>
  <c r="H1393" i="7"/>
  <c r="H1394" i="7"/>
  <c r="H1395" i="7"/>
  <c r="H1396" i="7"/>
  <c r="H1397" i="7"/>
  <c r="H1398" i="7"/>
  <c r="H1399" i="7"/>
  <c r="H1400" i="7"/>
  <c r="H1401" i="7"/>
  <c r="H1402" i="7"/>
  <c r="H1403" i="7"/>
  <c r="H1404" i="7"/>
  <c r="H1405" i="7"/>
  <c r="H1406" i="7"/>
  <c r="H1407" i="7"/>
  <c r="H1408" i="7"/>
  <c r="H1409" i="7"/>
  <c r="H1410" i="7"/>
  <c r="H1411" i="7"/>
  <c r="H1412" i="7"/>
  <c r="H1413" i="7"/>
  <c r="H1414" i="7"/>
  <c r="H1415" i="7"/>
  <c r="H1416" i="7"/>
  <c r="H1417" i="7"/>
  <c r="H1418" i="7"/>
  <c r="H1419" i="7"/>
  <c r="H1420" i="7"/>
  <c r="H1421" i="7"/>
  <c r="H1422" i="7"/>
  <c r="H1423" i="7"/>
  <c r="H1424" i="7"/>
  <c r="H1425" i="7"/>
  <c r="H1426" i="7"/>
  <c r="H1427" i="7"/>
  <c r="H1428" i="7"/>
  <c r="H1429" i="7"/>
  <c r="H1430" i="7"/>
  <c r="H1431" i="7"/>
  <c r="H1432" i="7"/>
  <c r="H1433" i="7"/>
  <c r="H1434" i="7"/>
  <c r="H1435" i="7"/>
  <c r="H1436" i="7"/>
  <c r="H1437" i="7"/>
  <c r="H1438" i="7"/>
  <c r="H1439" i="7"/>
  <c r="H1440" i="7"/>
  <c r="H1441" i="7"/>
  <c r="H1442" i="7"/>
  <c r="H1443" i="7"/>
  <c r="H1444" i="7"/>
  <c r="H1445" i="7"/>
  <c r="H1446" i="7"/>
  <c r="H1447" i="7"/>
  <c r="H1448" i="7"/>
  <c r="H1449" i="7"/>
  <c r="H1450" i="7"/>
  <c r="H1451" i="7"/>
  <c r="H1452" i="7"/>
  <c r="H1453" i="7"/>
  <c r="H1454" i="7"/>
  <c r="H1455" i="7"/>
  <c r="H1456" i="7"/>
  <c r="H1457" i="7"/>
  <c r="H1458" i="7"/>
  <c r="H1459" i="7"/>
  <c r="H1460" i="7"/>
  <c r="H1461" i="7"/>
  <c r="H1462" i="7"/>
  <c r="H1463" i="7"/>
  <c r="H1464" i="7"/>
  <c r="H1465" i="7"/>
  <c r="H1466" i="7"/>
  <c r="H1467" i="7"/>
  <c r="H1468" i="7"/>
  <c r="H1469" i="7"/>
  <c r="H1470" i="7"/>
  <c r="H1471" i="7"/>
  <c r="H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B25" i="12" s="1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B22" i="12" s="1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2" i="7"/>
  <c r="BD72" i="7"/>
  <c r="BD23" i="7"/>
  <c r="BW25" i="3"/>
  <c r="BX22" i="3"/>
  <c r="CB25" i="3"/>
  <c r="BV8" i="3"/>
  <c r="BO23" i="3"/>
  <c r="BK6" i="3"/>
  <c r="BN20" i="3"/>
  <c r="BJ16" i="3"/>
  <c r="BU8" i="3"/>
  <c r="BM20" i="3"/>
  <c r="BK9" i="3"/>
  <c r="BK7" i="3"/>
  <c r="BU12" i="3"/>
  <c r="BV24" i="3"/>
  <c r="BY21" i="3"/>
  <c r="BL18" i="3"/>
  <c r="BI23" i="3"/>
  <c r="BJ23" i="3"/>
  <c r="BL21" i="3"/>
  <c r="BU24" i="3"/>
  <c r="BJ18" i="3"/>
  <c r="BP22" i="3"/>
  <c r="BT12" i="3"/>
  <c r="BV21" i="3"/>
  <c r="BL23" i="3"/>
  <c r="BO11" i="3"/>
  <c r="BT24" i="3"/>
  <c r="BL9" i="3"/>
  <c r="BJ20" i="3"/>
  <c r="BY12" i="3"/>
  <c r="BT19" i="3"/>
  <c r="BU6" i="3"/>
  <c r="BJ6" i="3"/>
  <c r="BN11" i="3"/>
  <c r="BV7" i="3"/>
  <c r="BT21" i="3"/>
  <c r="BM8" i="3"/>
  <c r="BU25" i="3"/>
  <c r="BT16" i="3"/>
  <c r="BL11" i="3"/>
  <c r="BM11" i="3"/>
  <c r="BW20" i="3"/>
  <c r="BV9" i="3"/>
  <c r="BY10" i="3"/>
  <c r="BI17" i="3"/>
  <c r="BM22" i="3"/>
  <c r="BX12" i="3"/>
  <c r="BY24" i="3"/>
  <c r="BJ22" i="3"/>
  <c r="BJ17" i="3"/>
  <c r="BU7" i="3"/>
  <c r="CA23" i="3"/>
  <c r="BJ19" i="3"/>
  <c r="BL8" i="3"/>
  <c r="BX10" i="3"/>
  <c r="BM19" i="3"/>
  <c r="BY25" i="3"/>
  <c r="BV11" i="3"/>
  <c r="BI11" i="3"/>
  <c r="BU23" i="3"/>
  <c r="BV20" i="3"/>
  <c r="BZ25" i="3"/>
  <c r="BI5" i="3"/>
  <c r="CB12" i="3"/>
  <c r="BT22" i="3"/>
  <c r="BJ7" i="3"/>
  <c r="BJ5" i="3"/>
  <c r="BT7" i="3"/>
  <c r="BU11" i="3"/>
  <c r="BX25" i="3"/>
  <c r="BT9" i="3"/>
  <c r="BW23" i="3"/>
  <c r="BO21" i="3"/>
  <c r="BU20" i="3"/>
  <c r="BT17" i="3"/>
  <c r="BN23" i="3"/>
  <c r="BL10" i="3"/>
  <c r="BV12" i="3"/>
  <c r="BU17" i="3"/>
  <c r="BI10" i="3"/>
  <c r="BM21" i="3"/>
  <c r="BN10" i="3"/>
  <c r="BY9" i="3"/>
  <c r="BX8" i="3"/>
  <c r="BJ10" i="3"/>
  <c r="CB24" i="3"/>
  <c r="BI4" i="3"/>
  <c r="BK23" i="3"/>
  <c r="BM23" i="3"/>
  <c r="BM10" i="3"/>
  <c r="BU18" i="3"/>
  <c r="BT20" i="3"/>
  <c r="BW11" i="3"/>
  <c r="BI21" i="3"/>
  <c r="BW22" i="3"/>
  <c r="BT5" i="3"/>
  <c r="BO10" i="3"/>
  <c r="BY11" i="3"/>
  <c r="BI19" i="3"/>
  <c r="BW8" i="3"/>
  <c r="BZ12" i="3"/>
  <c r="BX23" i="3"/>
  <c r="BI7" i="3"/>
  <c r="BV6" i="3"/>
  <c r="BT10" i="3"/>
  <c r="BX9" i="3"/>
  <c r="BV19" i="3"/>
  <c r="BT8" i="3"/>
  <c r="BK18" i="3"/>
  <c r="BI15" i="3"/>
  <c r="BJ9" i="3"/>
  <c r="BI16" i="3"/>
  <c r="BW7" i="3"/>
  <c r="CA24" i="3"/>
  <c r="BT11" i="3"/>
  <c r="BX21" i="3"/>
  <c r="BN9" i="3"/>
  <c r="BI6" i="3"/>
  <c r="BI9" i="3"/>
  <c r="BV25" i="3"/>
  <c r="BW21" i="3"/>
  <c r="BK20" i="3"/>
  <c r="BX20" i="3"/>
  <c r="BU19" i="3"/>
  <c r="BP11" i="3"/>
  <c r="BT18" i="3"/>
  <c r="BW9" i="3"/>
  <c r="BU21" i="3"/>
  <c r="BI20" i="3"/>
  <c r="BT4" i="3"/>
  <c r="BO22" i="3"/>
  <c r="BZ24" i="3"/>
  <c r="BZ10" i="3"/>
  <c r="BL20" i="3"/>
  <c r="BN22" i="3"/>
  <c r="BV22" i="3"/>
  <c r="BU5" i="3"/>
  <c r="BK17" i="3"/>
  <c r="BT6" i="3"/>
  <c r="BL22" i="3"/>
  <c r="CC25" i="3"/>
  <c r="BK11" i="3"/>
  <c r="BU22" i="3"/>
  <c r="BX11" i="3"/>
  <c r="BJ8" i="3"/>
  <c r="BT25" i="3"/>
  <c r="CA11" i="3"/>
  <c r="CA25" i="3"/>
  <c r="BN21" i="3"/>
  <c r="BK8" i="3"/>
  <c r="BZ22" i="3"/>
  <c r="BU9" i="3"/>
  <c r="BZ23" i="3"/>
  <c r="BL7" i="3"/>
  <c r="BK22" i="3"/>
  <c r="BX24" i="3"/>
  <c r="BW10" i="3"/>
  <c r="BK10" i="3"/>
  <c r="BJ11" i="3"/>
  <c r="BW12" i="3"/>
  <c r="BY23" i="3"/>
  <c r="BW19" i="3"/>
  <c r="BL19" i="3"/>
  <c r="BV10" i="3"/>
  <c r="BZ11" i="3"/>
  <c r="BP23" i="3"/>
  <c r="BI8" i="3"/>
  <c r="BY22" i="3"/>
  <c r="BQ23" i="3"/>
  <c r="BJ21" i="3"/>
  <c r="BI22" i="3"/>
  <c r="BT23" i="3"/>
  <c r="BW24" i="3"/>
  <c r="BK21" i="3"/>
  <c r="BK19" i="3"/>
  <c r="BV18" i="3"/>
  <c r="BV23" i="3"/>
  <c r="BM9" i="3"/>
  <c r="CA12" i="3"/>
  <c r="BI18" i="3"/>
  <c r="BU10" i="3"/>
  <c r="CB4" i="3" l="1"/>
  <c r="CC22" i="3"/>
  <c r="CB5" i="3"/>
  <c r="CC23" i="3"/>
  <c r="CB7" i="3"/>
  <c r="BW3" i="3"/>
  <c r="BY16" i="3"/>
  <c r="BW4" i="3"/>
  <c r="BY17" i="3"/>
  <c r="BY18" i="3"/>
  <c r="BY19" i="3"/>
  <c r="BY20" i="3"/>
  <c r="BY3" i="3"/>
  <c r="BY4" i="3"/>
  <c r="BY5" i="3"/>
  <c r="BY6" i="3"/>
  <c r="BY7" i="3"/>
  <c r="CA18" i="3"/>
  <c r="BU16" i="3"/>
  <c r="CA19" i="3"/>
  <c r="CA20" i="3"/>
  <c r="CA21" i="3"/>
  <c r="CA6" i="3"/>
  <c r="CA22" i="3"/>
  <c r="CA7" i="3"/>
  <c r="BV3" i="3"/>
  <c r="CA8" i="3"/>
  <c r="BV4" i="3"/>
  <c r="CA9" i="3"/>
  <c r="BW16" i="3"/>
  <c r="CB16" i="3"/>
  <c r="BW17" i="3"/>
  <c r="CB17" i="3"/>
  <c r="CB3" i="3"/>
  <c r="BW18" i="3"/>
  <c r="CB18" i="3"/>
  <c r="CB6" i="3"/>
  <c r="CC24" i="3"/>
  <c r="BW5" i="3"/>
  <c r="CB8" i="3"/>
  <c r="CB19" i="3"/>
  <c r="BZ3" i="3"/>
  <c r="CB9" i="3"/>
  <c r="BZ16" i="3"/>
  <c r="CB20" i="3"/>
  <c r="BZ4" i="3"/>
  <c r="CB10" i="3"/>
  <c r="BZ17" i="3"/>
  <c r="CB21" i="3"/>
  <c r="BZ5" i="3"/>
  <c r="BZ18" i="3"/>
  <c r="CB22" i="3"/>
  <c r="BU3" i="3"/>
  <c r="BZ6" i="3"/>
  <c r="CC3" i="3"/>
  <c r="BZ19" i="3"/>
  <c r="CB23" i="3"/>
  <c r="BZ7" i="3"/>
  <c r="CC4" i="3"/>
  <c r="BX16" i="3"/>
  <c r="BZ20" i="3"/>
  <c r="BZ8" i="3"/>
  <c r="CC5" i="3"/>
  <c r="BX17" i="3"/>
  <c r="BZ21" i="3"/>
  <c r="BX3" i="3"/>
  <c r="CC6" i="3"/>
  <c r="BX18" i="3"/>
  <c r="CC16" i="3"/>
  <c r="BX4" i="3"/>
  <c r="CC7" i="3"/>
  <c r="BX19" i="3"/>
  <c r="CC17" i="3"/>
  <c r="BX5" i="3"/>
  <c r="CC8" i="3"/>
  <c r="BV16" i="3"/>
  <c r="CC18" i="3"/>
  <c r="BX6" i="3"/>
  <c r="CA3" i="3"/>
  <c r="CC9" i="3"/>
  <c r="BV17" i="3"/>
  <c r="CC19" i="3"/>
  <c r="CA4" i="3"/>
  <c r="CC10" i="3"/>
  <c r="CA16" i="3"/>
  <c r="CC20" i="3"/>
  <c r="CA5" i="3"/>
  <c r="CC11" i="3"/>
  <c r="CA17" i="3"/>
  <c r="CC21" i="3"/>
  <c r="BJ15" i="3"/>
  <c r="BO18" i="3"/>
  <c r="BM5" i="3"/>
  <c r="BP7" i="3"/>
  <c r="BM15" i="3"/>
  <c r="BP8" i="3"/>
  <c r="BM17" i="3"/>
  <c r="BP15" i="3"/>
  <c r="BN3" i="3"/>
  <c r="BK4" i="3"/>
  <c r="BQ4" i="3"/>
  <c r="BP17" i="3"/>
  <c r="BN5" i="3"/>
  <c r="BN6" i="3"/>
  <c r="BK16" i="3"/>
  <c r="BP19" i="3"/>
  <c r="BQ7" i="3"/>
  <c r="BP20" i="3"/>
  <c r="BQ8" i="3"/>
  <c r="BN15" i="3"/>
  <c r="BQ9" i="3"/>
  <c r="BO3" i="3"/>
  <c r="BO4" i="3"/>
  <c r="BQ16" i="3"/>
  <c r="BO5" i="3"/>
  <c r="BQ19" i="3"/>
  <c r="BP4" i="3"/>
  <c r="BO19" i="3"/>
  <c r="BP6" i="3"/>
  <c r="BP9" i="3"/>
  <c r="BM18" i="3"/>
  <c r="BK3" i="3"/>
  <c r="BQ3" i="3"/>
  <c r="BN4" i="3"/>
  <c r="BQ5" i="3"/>
  <c r="BP18" i="3"/>
  <c r="BQ6" i="3"/>
  <c r="BN7" i="3"/>
  <c r="BP21" i="3"/>
  <c r="BN16" i="3"/>
  <c r="BQ10" i="3"/>
  <c r="BN17" i="3"/>
  <c r="BL3" i="3"/>
  <c r="BQ15" i="3"/>
  <c r="BN19" i="3"/>
  <c r="BL5" i="3"/>
  <c r="BQ17" i="3"/>
  <c r="BL15" i="3"/>
  <c r="BO7" i="3"/>
  <c r="BQ20" i="3"/>
  <c r="BO16" i="3"/>
  <c r="BQ22" i="3"/>
  <c r="BM4" i="3"/>
  <c r="BP5" i="3"/>
  <c r="BM6" i="3"/>
  <c r="BO20" i="3"/>
  <c r="BM16" i="3"/>
  <c r="BP16" i="3"/>
  <c r="BK15" i="3"/>
  <c r="BN18" i="3"/>
  <c r="BL4" i="3"/>
  <c r="BO6" i="3"/>
  <c r="BQ18" i="3"/>
  <c r="BL16" i="3"/>
  <c r="BO8" i="3"/>
  <c r="BL17" i="3"/>
  <c r="BO15" i="3"/>
  <c r="BQ21" i="3"/>
  <c r="BJ3" i="3"/>
  <c r="BM3" i="3"/>
  <c r="BP3" i="3"/>
  <c r="BO17" i="3"/>
  <c r="BD80" i="7"/>
  <c r="BD71" i="7"/>
  <c r="BD61" i="7"/>
  <c r="BD58" i="7"/>
  <c r="BD57" i="7"/>
  <c r="BD12" i="7"/>
  <c r="BD74" i="7"/>
  <c r="BD63" i="7"/>
  <c r="BD65" i="7"/>
  <c r="BD24" i="7"/>
  <c r="BD81" i="7"/>
  <c r="BD64" i="7"/>
  <c r="BD25" i="7"/>
  <c r="BD5" i="7"/>
  <c r="BD76" i="7"/>
  <c r="BD22" i="7"/>
  <c r="BD14" i="7"/>
  <c r="BD28" i="7"/>
  <c r="BD15" i="7"/>
  <c r="BD8" i="7"/>
  <c r="BD32" i="7"/>
  <c r="BD13" i="7"/>
  <c r="BD6" i="7"/>
  <c r="BD77" i="7"/>
  <c r="BD75" i="7"/>
  <c r="BD16" i="7"/>
  <c r="BD27" i="7"/>
  <c r="BD9" i="7"/>
  <c r="BD31" i="7"/>
  <c r="BD26" i="7"/>
  <c r="BD73" i="7"/>
  <c r="BD29" i="7"/>
  <c r="BD55" i="7"/>
  <c r="BD54" i="7"/>
  <c r="BD62" i="7"/>
  <c r="BD78" i="7"/>
  <c r="FD59" i="7"/>
  <c r="FD54" i="7"/>
  <c r="FU52" i="7"/>
  <c r="FP51" i="7"/>
  <c r="FB49" i="7"/>
  <c r="FJ47" i="7"/>
  <c r="FM45" i="7"/>
  <c r="FL43" i="7"/>
  <c r="FD38" i="7"/>
  <c r="FU29" i="7"/>
  <c r="FU26" i="7"/>
  <c r="FP24" i="7"/>
  <c r="FL23" i="7"/>
  <c r="FG22" i="7"/>
  <c r="FR20" i="7"/>
  <c r="FJ19" i="7"/>
  <c r="FO17" i="7"/>
  <c r="FD16" i="7"/>
  <c r="FB14" i="7"/>
  <c r="FD7" i="7"/>
  <c r="FG19" i="7"/>
  <c r="FH13" i="7"/>
  <c r="FL29" i="7"/>
  <c r="FD10" i="7"/>
  <c r="FU56" i="7"/>
  <c r="FP54" i="7"/>
  <c r="FD15" i="7"/>
  <c r="FO54" i="7"/>
  <c r="FB15" i="7"/>
  <c r="FN54" i="7"/>
  <c r="FH12" i="7"/>
  <c r="FM54" i="7"/>
  <c r="FU23" i="7"/>
  <c r="FE58" i="7"/>
  <c r="FE55" i="7"/>
  <c r="FT52" i="7"/>
  <c r="FO51" i="7"/>
  <c r="FI47" i="7"/>
  <c r="FL45" i="7"/>
  <c r="FK43" i="7"/>
  <c r="FT29" i="7"/>
  <c r="FU28" i="7"/>
  <c r="FU27" i="7"/>
  <c r="FT26" i="7"/>
  <c r="FR25" i="7"/>
  <c r="FO24" i="7"/>
  <c r="FK23" i="7"/>
  <c r="FF22" i="7"/>
  <c r="FQ20" i="7"/>
  <c r="FI19" i="7"/>
  <c r="FN17" i="7"/>
  <c r="FB16" i="7"/>
  <c r="FE11" i="7"/>
  <c r="FL17" i="7"/>
  <c r="FJ13" i="7"/>
  <c r="FD6" i="7"/>
  <c r="FH45" i="7"/>
  <c r="FM25" i="7"/>
  <c r="FD36" i="7"/>
  <c r="FT55" i="7"/>
  <c r="FO18" i="7"/>
  <c r="FQ54" i="7"/>
  <c r="FD17" i="7"/>
  <c r="FR55" i="7"/>
  <c r="FJ12" i="7"/>
  <c r="FQ55" i="7"/>
  <c r="FP55" i="7"/>
  <c r="FN16" i="7"/>
  <c r="FO55" i="7"/>
  <c r="FP22" i="7"/>
  <c r="FD58" i="7"/>
  <c r="FE57" i="7"/>
  <c r="FE56" i="7"/>
  <c r="FD55" i="7"/>
  <c r="FS52" i="7"/>
  <c r="FN51" i="7"/>
  <c r="FQ48" i="7"/>
  <c r="FH47" i="7"/>
  <c r="FK45" i="7"/>
  <c r="FJ43" i="7"/>
  <c r="FE41" i="7"/>
  <c r="FT28" i="7"/>
  <c r="FT27" i="7"/>
  <c r="FQ25" i="7"/>
  <c r="FN24" i="7"/>
  <c r="FE22" i="7"/>
  <c r="FP20" i="7"/>
  <c r="FH19" i="7"/>
  <c r="FM17" i="7"/>
  <c r="FK13" i="7"/>
  <c r="FD11" i="7"/>
  <c r="FM15" i="7"/>
  <c r="FK24" i="7"/>
  <c r="FJ17" i="7"/>
  <c r="FK52" i="7"/>
  <c r="FB13" i="7"/>
  <c r="FT56" i="7"/>
  <c r="FN53" i="7"/>
  <c r="FH48" i="7"/>
  <c r="FK42" i="7"/>
  <c r="FK28" i="7"/>
  <c r="FT22" i="7"/>
  <c r="FP59" i="7"/>
  <c r="FO49" i="7"/>
  <c r="FJ42" i="7"/>
  <c r="FM21" i="7"/>
  <c r="FR56" i="7"/>
  <c r="FL53" i="7"/>
  <c r="FF48" i="7"/>
  <c r="FL18" i="7"/>
  <c r="FQ57" i="7"/>
  <c r="FK53" i="7"/>
  <c r="FE48" i="7"/>
  <c r="FH42" i="7"/>
  <c r="FK18" i="7"/>
  <c r="FM59" i="7"/>
  <c r="FG42" i="7"/>
  <c r="FD9" i="7"/>
  <c r="FO56" i="7"/>
  <c r="FD57" i="7"/>
  <c r="FD56" i="7"/>
  <c r="FR52" i="7"/>
  <c r="FM51" i="7"/>
  <c r="FP48" i="7"/>
  <c r="FG47" i="7"/>
  <c r="FJ45" i="7"/>
  <c r="FI43" i="7"/>
  <c r="FD41" i="7"/>
  <c r="FR29" i="7"/>
  <c r="FR26" i="7"/>
  <c r="FP25" i="7"/>
  <c r="FM24" i="7"/>
  <c r="FD22" i="7"/>
  <c r="FO20" i="7"/>
  <c r="FB43" i="7"/>
  <c r="FF17" i="7"/>
  <c r="FT58" i="7"/>
  <c r="FI48" i="7"/>
  <c r="FE40" i="7"/>
  <c r="FK26" i="7"/>
  <c r="FF15" i="7"/>
  <c r="FQ59" i="7"/>
  <c r="FP49" i="7"/>
  <c r="FD40" i="7"/>
  <c r="FN21" i="7"/>
  <c r="FR58" i="7"/>
  <c r="FI52" i="7"/>
  <c r="FL46" i="7"/>
  <c r="FD35" i="7"/>
  <c r="FO59" i="7"/>
  <c r="FN49" i="7"/>
  <c r="FI42" i="7"/>
  <c r="FR22" i="7"/>
  <c r="FP58" i="7"/>
  <c r="FG52" i="7"/>
  <c r="FK44" i="7"/>
  <c r="FE25" i="7"/>
  <c r="FD20" i="7"/>
  <c r="FE9" i="7"/>
  <c r="FP57" i="7"/>
  <c r="FF52" i="7"/>
  <c r="FI46" i="7"/>
  <c r="FJ18" i="7"/>
  <c r="FG12" i="7"/>
  <c r="FN58" i="7"/>
  <c r="FE52" i="7"/>
  <c r="FU53" i="7"/>
  <c r="FQ52" i="7"/>
  <c r="FL51" i="7"/>
  <c r="FO48" i="7"/>
  <c r="FF47" i="7"/>
  <c r="FI45" i="7"/>
  <c r="FH43" i="7"/>
  <c r="FE37" i="7"/>
  <c r="FQ29" i="7"/>
  <c r="FR28" i="7"/>
  <c r="FR27" i="7"/>
  <c r="FQ26" i="7"/>
  <c r="FO25" i="7"/>
  <c r="FL24" i="7"/>
  <c r="FB22" i="7"/>
  <c r="FN20" i="7"/>
  <c r="FF19" i="7"/>
  <c r="FK17" i="7"/>
  <c r="FL15" i="7"/>
  <c r="FI13" i="7"/>
  <c r="FB6" i="7"/>
  <c r="FT53" i="7"/>
  <c r="FP52" i="7"/>
  <c r="FK51" i="7"/>
  <c r="FE50" i="7"/>
  <c r="FN48" i="7"/>
  <c r="FE47" i="7"/>
  <c r="FG43" i="7"/>
  <c r="FD37" i="7"/>
  <c r="FP29" i="7"/>
  <c r="FQ28" i="7"/>
  <c r="FQ27" i="7"/>
  <c r="FP26" i="7"/>
  <c r="FN25" i="7"/>
  <c r="FM20" i="7"/>
  <c r="FE19" i="7"/>
  <c r="FK15" i="7"/>
  <c r="FO52" i="7"/>
  <c r="FJ51" i="7"/>
  <c r="FD50" i="7"/>
  <c r="FM48" i="7"/>
  <c r="FD47" i="7"/>
  <c r="FG45" i="7"/>
  <c r="FF43" i="7"/>
  <c r="FO29" i="7"/>
  <c r="FP28" i="7"/>
  <c r="FP27" i="7"/>
  <c r="FO26" i="7"/>
  <c r="FS21" i="7"/>
  <c r="FL20" i="7"/>
  <c r="FD19" i="7"/>
  <c r="FI17" i="7"/>
  <c r="FJ15" i="7"/>
  <c r="FG13" i="7"/>
  <c r="FB5" i="7"/>
  <c r="FO46" i="7"/>
  <c r="FP21" i="7"/>
  <c r="FP18" i="7"/>
  <c r="FG15" i="7"/>
  <c r="FR59" i="7"/>
  <c r="FR54" i="7"/>
  <c r="FQ49" i="7"/>
  <c r="FB45" i="7"/>
  <c r="FB36" i="7"/>
  <c r="FL28" i="7"/>
  <c r="FO21" i="7"/>
  <c r="FJ52" i="7"/>
  <c r="FE24" i="7"/>
  <c r="FE15" i="7"/>
  <c r="FD51" i="7"/>
  <c r="FG48" i="7"/>
  <c r="FD24" i="7"/>
  <c r="FM18" i="7"/>
  <c r="FQ58" i="7"/>
  <c r="FH52" i="7"/>
  <c r="FK46" i="7"/>
  <c r="FE20" i="7"/>
  <c r="FN59" i="7"/>
  <c r="FQ22" i="7"/>
  <c r="FP56" i="7"/>
  <c r="FD48" i="7"/>
  <c r="FJ21" i="7"/>
  <c r="FL14" i="7"/>
  <c r="FL59" i="7"/>
  <c r="FU59" i="7"/>
  <c r="FU54" i="7"/>
  <c r="FR53" i="7"/>
  <c r="FN52" i="7"/>
  <c r="FI51" i="7"/>
  <c r="FL48" i="7"/>
  <c r="FB47" i="7"/>
  <c r="FF45" i="7"/>
  <c r="FE43" i="7"/>
  <c r="FN29" i="7"/>
  <c r="FO28" i="7"/>
  <c r="FO27" i="7"/>
  <c r="FN26" i="7"/>
  <c r="FL25" i="7"/>
  <c r="FE23" i="7"/>
  <c r="FR21" i="7"/>
  <c r="FK20" i="7"/>
  <c r="FB19" i="7"/>
  <c r="FH17" i="7"/>
  <c r="FI15" i="7"/>
  <c r="FF13" i="7"/>
  <c r="FT59" i="7"/>
  <c r="FT54" i="7"/>
  <c r="FQ53" i="7"/>
  <c r="FM52" i="7"/>
  <c r="FH51" i="7"/>
  <c r="FK48" i="7"/>
  <c r="FE45" i="7"/>
  <c r="FD43" i="7"/>
  <c r="FE36" i="7"/>
  <c r="FM29" i="7"/>
  <c r="FN28" i="7"/>
  <c r="FN27" i="7"/>
  <c r="FM26" i="7"/>
  <c r="FK25" i="7"/>
  <c r="FD23" i="7"/>
  <c r="FQ21" i="7"/>
  <c r="FG17" i="7"/>
  <c r="FH15" i="7"/>
  <c r="FE13" i="7"/>
  <c r="FE10" i="7"/>
  <c r="FU58" i="7"/>
  <c r="FU55" i="7"/>
  <c r="FP53" i="7"/>
  <c r="FL52" i="7"/>
  <c r="FG51" i="7"/>
  <c r="FR49" i="7"/>
  <c r="FJ48" i="7"/>
  <c r="FD45" i="7"/>
  <c r="FM28" i="7"/>
  <c r="FM27" i="7"/>
  <c r="FL26" i="7"/>
  <c r="FD13" i="7"/>
  <c r="FU57" i="7"/>
  <c r="FO53" i="7"/>
  <c r="FF51" i="7"/>
  <c r="FN46" i="7"/>
  <c r="FK29" i="7"/>
  <c r="FL27" i="7"/>
  <c r="FE17" i="7"/>
  <c r="FT57" i="7"/>
  <c r="FE51" i="7"/>
  <c r="FM46" i="7"/>
  <c r="FK27" i="7"/>
  <c r="FN18" i="7"/>
  <c r="FM53" i="7"/>
  <c r="FM44" i="7"/>
  <c r="FS22" i="7"/>
  <c r="FB17" i="7"/>
  <c r="FR57" i="7"/>
  <c r="FB51" i="7"/>
  <c r="FL44" i="7"/>
  <c r="FB35" i="7"/>
  <c r="FL21" i="7"/>
  <c r="FI12" i="7"/>
  <c r="FQ56" i="7"/>
  <c r="FM49" i="7"/>
  <c r="FJ46" i="7"/>
  <c r="FK21" i="7"/>
  <c r="FO58" i="7"/>
  <c r="FL49" i="7"/>
  <c r="FJ44" i="7"/>
  <c r="FD25" i="7"/>
  <c r="FM16" i="7"/>
  <c r="FO57" i="7"/>
  <c r="FK59" i="7"/>
  <c r="FK56" i="7"/>
  <c r="FD53" i="7"/>
  <c r="FE49" i="7"/>
  <c r="FB44" i="7"/>
  <c r="FN23" i="7"/>
  <c r="FL19" i="7"/>
  <c r="FE14" i="7"/>
  <c r="FI18" i="7"/>
  <c r="FM22" i="7"/>
  <c r="FM47" i="7"/>
  <c r="FL47" i="7"/>
  <c r="FU25" i="7"/>
  <c r="FB18" i="7"/>
  <c r="FH46" i="7"/>
  <c r="FG46" i="7"/>
  <c r="FF46" i="7"/>
  <c r="FD46" i="7"/>
  <c r="FG16" i="7"/>
  <c r="FN45" i="7"/>
  <c r="FD49" i="7"/>
  <c r="FM23" i="7"/>
  <c r="FK19" i="7"/>
  <c r="FD14" i="7"/>
  <c r="FE26" i="7"/>
  <c r="FD42" i="7"/>
  <c r="FT51" i="7"/>
  <c r="FS51" i="7"/>
  <c r="FK58" i="7"/>
  <c r="FR50" i="7"/>
  <c r="FE39" i="7"/>
  <c r="FD39" i="7"/>
  <c r="FJ16" i="7"/>
  <c r="FK54" i="7"/>
  <c r="FB46" i="7"/>
  <c r="FL50" i="7"/>
  <c r="FE38" i="7"/>
  <c r="FB48" i="7"/>
  <c r="FF42" i="7"/>
  <c r="FE29" i="7"/>
  <c r="FO22" i="7"/>
  <c r="FF12" i="7"/>
  <c r="FN55" i="7"/>
  <c r="FP47" i="7"/>
  <c r="FG18" i="7"/>
  <c r="FO47" i="7"/>
  <c r="FL22" i="7"/>
  <c r="FB12" i="7"/>
  <c r="FL55" i="7"/>
  <c r="FE18" i="7"/>
  <c r="FK55" i="7"/>
  <c r="FD18" i="7"/>
  <c r="FL58" i="7"/>
  <c r="FI22" i="7"/>
  <c r="FQ51" i="7"/>
  <c r="FH22" i="7"/>
  <c r="FI21" i="7"/>
  <c r="FP50" i="7"/>
  <c r="FD28" i="7"/>
  <c r="FE46" i="7"/>
  <c r="FF21" i="7"/>
  <c r="FT24" i="7"/>
  <c r="FM57" i="7"/>
  <c r="FD21" i="7"/>
  <c r="FF16" i="7"/>
  <c r="FK57" i="7"/>
  <c r="FE7" i="7"/>
  <c r="FK49" i="7"/>
  <c r="FD52" i="7"/>
  <c r="FE42" i="7"/>
  <c r="FD29" i="7"/>
  <c r="FD26" i="7"/>
  <c r="FN22" i="7"/>
  <c r="FH18" i="7"/>
  <c r="FE12" i="7"/>
  <c r="FB52" i="7"/>
  <c r="FD12" i="7"/>
  <c r="FM55" i="7"/>
  <c r="FB42" i="7"/>
  <c r="FF18" i="7"/>
  <c r="FE59" i="7"/>
  <c r="FN47" i="7"/>
  <c r="FK22" i="7"/>
  <c r="FM58" i="7"/>
  <c r="FJ22" i="7"/>
  <c r="FR51" i="7"/>
  <c r="FK47" i="7"/>
  <c r="FT25" i="7"/>
  <c r="FL16" i="7"/>
  <c r="FK16" i="7"/>
  <c r="FL54" i="7"/>
  <c r="FU24" i="7"/>
  <c r="FE8" i="7"/>
  <c r="FN50" i="7"/>
  <c r="FE21" i="7"/>
  <c r="FH16" i="7"/>
  <c r="FL57" i="7"/>
  <c r="FB21" i="7"/>
  <c r="FK50" i="7"/>
  <c r="FQ24" i="7"/>
  <c r="FE16" i="7"/>
  <c r="FE54" i="7"/>
  <c r="FJ49" i="7"/>
  <c r="FH44" i="7"/>
  <c r="FE27" i="7"/>
  <c r="FQ19" i="7"/>
  <c r="FJ14" i="7"/>
  <c r="FI49" i="7"/>
  <c r="FG44" i="7"/>
  <c r="FD27" i="7"/>
  <c r="FR23" i="7"/>
  <c r="FP19" i="7"/>
  <c r="FI14" i="7"/>
  <c r="FN56" i="7"/>
  <c r="FH49" i="7"/>
  <c r="FF44" i="7"/>
  <c r="FQ23" i="7"/>
  <c r="FO19" i="7"/>
  <c r="FH14" i="7"/>
  <c r="FM56" i="7"/>
  <c r="FG49" i="7"/>
  <c r="FE44" i="7"/>
  <c r="FP23" i="7"/>
  <c r="FN19" i="7"/>
  <c r="FG14" i="7"/>
  <c r="FL56" i="7"/>
  <c r="FE53" i="7"/>
  <c r="FF49" i="7"/>
  <c r="FD44" i="7"/>
  <c r="FO23" i="7"/>
  <c r="FM19" i="7"/>
  <c r="FF14" i="7"/>
  <c r="FQ50" i="7"/>
  <c r="FE28" i="7"/>
  <c r="FH21" i="7"/>
  <c r="FG21" i="7"/>
  <c r="FO50" i="7"/>
  <c r="FI16" i="7"/>
  <c r="FN57" i="7"/>
  <c r="FD8" i="7"/>
  <c r="FM50" i="7"/>
  <c r="FK14" i="7"/>
  <c r="FR24" i="7"/>
  <c r="FI44" i="7"/>
  <c r="FT23" i="7"/>
  <c r="GE4" i="7"/>
  <c r="GF14" i="7"/>
  <c r="GF13" i="7"/>
  <c r="GE13" i="7"/>
  <c r="GF7" i="7"/>
  <c r="GE7" i="7"/>
  <c r="GF6" i="7"/>
  <c r="GF5" i="7"/>
  <c r="GF15" i="7"/>
  <c r="GE15" i="7"/>
  <c r="GE14" i="7"/>
  <c r="GF12" i="7"/>
  <c r="GE12" i="7"/>
  <c r="GE11" i="7"/>
  <c r="GE6" i="7"/>
  <c r="GE5" i="7"/>
</calcChain>
</file>

<file path=xl/comments1.xml><?xml version="1.0" encoding="utf-8"?>
<comments xmlns="http://schemas.openxmlformats.org/spreadsheetml/2006/main">
  <authors>
    <author>Benjamin Allen</author>
  </authors>
  <commentList>
    <comment ref="AK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AY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CE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AK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AY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CE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AK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AY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CE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AK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AY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CE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AL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AR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AZ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BF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CF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CL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AM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AN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AP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BA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BB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BD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CG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CH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CJ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BH1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diagonal elements of this table are the variances of the variables.</t>
        </r>
      </text>
    </comment>
    <comment ref="BS1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diagonal elements of this table are the variances of the variables.</t>
        </r>
      </text>
    </comment>
    <comment ref="AY1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AK2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AY2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CE2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AY2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AY2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AK2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BD2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are the estimated probabilities of "success" based on the logistic regression model.</t>
        </r>
      </text>
    </comment>
    <comment ref="BE2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are based on whether the estimated probabilities are above or below the cutoff value.</t>
        </r>
      </text>
    </comment>
    <comment ref="AK2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CE2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AK3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CE3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CE31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AU3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are the estimated probabilities of "success" based on the logistic regression model.</t>
        </r>
      </text>
    </comment>
    <comment ref="AV3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are based on whether the estimated probabilities are above or below the cutoff value.</t>
        </r>
      </text>
    </comment>
    <comment ref="CP3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are the estimated probabilities of "success" based on the logistic regression model.</t>
        </r>
      </text>
    </comment>
    <comment ref="CQ3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are based on whether the estimated probabilities are above or below the cutoff value.</t>
        </r>
      </text>
    </comment>
  </commentList>
</comments>
</file>

<file path=xl/comments2.xml><?xml version="1.0" encoding="utf-8"?>
<comments xmlns="http://schemas.openxmlformats.org/spreadsheetml/2006/main">
  <authors>
    <author>Akshita Chandiramani</author>
  </authors>
  <commentList>
    <comment ref="BF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BO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BX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CG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CP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CY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DH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DQ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DZ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EI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ER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 measure of the deviations of actual from the predicted for a model with no explanatory variables and a constant.</t>
        </r>
      </text>
    </comment>
    <comment ref="BF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BO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BX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CG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CP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CY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DH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DQ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DZ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EI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ER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same measure of the deviations for the proposed model.</t>
        </r>
      </text>
    </comment>
    <comment ref="BF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BO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BX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CG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CP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CY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DH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DQ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DZ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EI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ER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the improvement in deviance from a model with no explanatory variables to the proposed model. Under the null hypothesis that the model has no explanatory power, this is chi-square distributed with df equal to the number of explanatory variables.</t>
        </r>
      </text>
    </comment>
    <comment ref="BF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BO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BX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CG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CP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CY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DH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DQ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DZ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EI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ER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If this is small, then we can conclude that the model has at least some explanatory power.</t>
        </r>
      </text>
    </comment>
    <comment ref="BP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BV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BZ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CA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CC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BG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BM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BQ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BR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BT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CZ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DF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DI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DO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DR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DX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EA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EG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EJ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EP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ES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These coefficients spell out the regression equation for the logistic regression.</t>
        </r>
      </text>
    </comment>
    <comment ref="EY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useful for interpreting the coefficients in terms of a change in odds.</t>
        </r>
      </text>
    </comment>
    <comment ref="BH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BI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BK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DA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DB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DD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DJ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DK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DM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DS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DT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DV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EB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EC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EE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EK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EL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EN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ET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Indications of how the regression coefficents would vary from sample to sample.</t>
        </r>
      </text>
    </comment>
    <comment ref="EU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is analagous to the t-value in multiple regression, or the ratio of the coefficient to its standard error.</t>
        </r>
      </text>
    </comment>
    <comment ref="EW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This column and the next represent 95% confidence intervals for the coefficients.</t>
        </r>
      </text>
    </comment>
    <comment ref="GD1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diagonal elements of this table are the variances of the variables.</t>
        </r>
      </text>
    </comment>
    <comment ref="CG3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CP3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BO31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BX3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ER3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FA3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The diagonal elements of this table are the variances of the variables.</t>
        </r>
      </text>
    </comment>
    <comment ref="DQ3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EI3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BF3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DZ3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CG3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CP3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DH3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BO3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CG3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CP37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BO3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BX3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CG3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CP3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CY3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Actual along the side, predicted along the top.</t>
        </r>
      </text>
    </comment>
    <comment ref="ER38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BO3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BX3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DQ3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EI3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ER39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BX4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DQ4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EI4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ER40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BF41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DQ41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DZ41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EI41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BF4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DH4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DZ42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BF4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DH4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DZ43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CY4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of all observations correctly classified.</t>
        </r>
      </text>
    </comment>
    <comment ref="DH44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  <comment ref="CY45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Percentage that would be correctly classified by classifying all observations in the largest category.</t>
        </r>
      </text>
    </comment>
    <comment ref="CY46" authorId="0" shapeId="0">
      <text>
        <r>
          <rPr>
            <b/>
            <u/>
            <sz val="9"/>
            <color indexed="81"/>
            <rFont val="Tahoma"/>
            <family val="2"/>
          </rPr>
          <t>StatTools Note:</t>
        </r>
        <r>
          <rPr>
            <sz val="9"/>
            <color indexed="81"/>
            <rFont val="Tahoma"/>
            <family val="2"/>
          </rPr>
          <t xml:space="preserve">
Percent of the "error gap" filled.</t>
        </r>
      </text>
    </comment>
  </commentList>
</comments>
</file>

<file path=xl/sharedStrings.xml><?xml version="1.0" encoding="utf-8"?>
<sst xmlns="http://schemas.openxmlformats.org/spreadsheetml/2006/main" count="15000" uniqueCount="558">
  <si>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</si>
  <si>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</si>
  <si>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</si>
  <si>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</si>
  <si>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</si>
  <si>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</si>
  <si>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</si>
  <si>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</si>
  <si>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</si>
  <si>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</si>
  <si>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</si>
  <si>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</si>
  <si>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</si>
  <si>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</si>
  <si>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</si>
  <si>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</si>
  <si>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</si>
  <si>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</si>
  <si>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</si>
  <si>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MonthlyRate</t>
  </si>
  <si>
    <t>NumCompaniesWorked</t>
  </si>
  <si>
    <t>Over18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</si>
  <si>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</si>
  <si>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</si>
  <si>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</si>
  <si>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</si>
  <si>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</si>
  <si>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</si>
  <si>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</si>
  <si>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</si>
  <si>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</si>
  <si>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</si>
  <si>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</si>
  <si>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</si>
  <si>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</si>
  <si>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</si>
  <si>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</si>
  <si>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</si>
  <si>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</si>
  <si>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</si>
  <si>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</si>
  <si>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</si>
  <si>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Y</t>
  </si>
  <si>
    <t>No</t>
  </si>
  <si>
    <t>Travel_Frequently</t>
  </si>
  <si>
    <t>Research &amp; Development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</si>
  <si>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</si>
  <si>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</si>
  <si>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</si>
  <si>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</si>
  <si>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</si>
  <si>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</si>
  <si>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</si>
  <si>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</si>
  <si>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</si>
  <si>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</si>
  <si>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</si>
  <si>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</si>
  <si>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</si>
  <si>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</si>
  <si>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</si>
  <si>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Human Resources</t>
  </si>
  <si>
    <t>1 'Below College'</t>
  </si>
  <si>
    <t>2 'College'</t>
  </si>
  <si>
    <t>3 'Bachelor'</t>
  </si>
  <si>
    <t>4 'Master'</t>
  </si>
  <si>
    <t>5 'Doctor'</t>
  </si>
  <si>
    <t>1 'Low'</t>
  </si>
  <si>
    <t>2 'Medium'</t>
  </si>
  <si>
    <t>3 'High'</t>
  </si>
  <si>
    <t>4 'Very High'</t>
  </si>
  <si>
    <t>2 'Good'</t>
  </si>
  <si>
    <t>3 'Excellent'</t>
  </si>
  <si>
    <t>4 'Outstanding'</t>
  </si>
  <si>
    <t>1 'Bad'</t>
  </si>
  <si>
    <t>3 'Better'</t>
  </si>
  <si>
    <t>4 'Best'</t>
  </si>
  <si>
    <t>ID</t>
  </si>
  <si>
    <t>0n-Travel</t>
  </si>
  <si>
    <t>female</t>
  </si>
  <si>
    <t>male</t>
  </si>
  <si>
    <t>marital status</t>
  </si>
  <si>
    <t>YES</t>
  </si>
  <si>
    <t>NO</t>
  </si>
  <si>
    <t>gender</t>
  </si>
  <si>
    <t>Vaiables</t>
  </si>
  <si>
    <t>Label</t>
  </si>
  <si>
    <t>Value</t>
  </si>
  <si>
    <t>StatTools Version that generated sheet, Major</t>
  </si>
  <si>
    <t>StatTools Version that generated sheet, Minor</t>
  </si>
  <si>
    <t>StatTools Version that generated sheet, Revision</t>
  </si>
  <si>
    <t>Min. StatTools Version to Read Sheet, Major (note ST versions before 1.1.1 don't perform forward compatibility check)</t>
  </si>
  <si>
    <t>Min. StatTools Version to Read Sheet, Minor</t>
  </si>
  <si>
    <t>Min. StatTools Version to Read Sheet, Revision</t>
  </si>
  <si>
    <t>Min. StatTools version to not put up warning about extra info, Major</t>
  </si>
  <si>
    <t>Min. StatTools version to not put up warning about extra info, Minor</t>
  </si>
  <si>
    <t>Min. StatTools version to not put up warning about extra info, Revision</t>
  </si>
  <si>
    <t>Name</t>
  </si>
  <si>
    <t>Data Set w dummy variables</t>
  </si>
  <si>
    <t>GUID</t>
  </si>
  <si>
    <t>DG39A1B953</t>
  </si>
  <si>
    <t>Format Range</t>
  </si>
  <si>
    <t>Variable Layout</t>
  </si>
  <si>
    <t>Columns</t>
  </si>
  <si>
    <t>Variable Names In Cells</t>
  </si>
  <si>
    <t>Variable Names In 2nd Cells</t>
  </si>
  <si>
    <t>Data Set Ranges</t>
  </si>
  <si>
    <t>Data Sheet Format</t>
  </si>
  <si>
    <t>Formula Eval Cell</t>
  </si>
  <si>
    <t>Num Stored Vars</t>
  </si>
  <si>
    <t>1 : Info</t>
  </si>
  <si>
    <t>VG165060C3AD4644C</t>
  </si>
  <si>
    <t>var1</t>
  </si>
  <si>
    <t>ST_ID</t>
  </si>
  <si>
    <t>1 : Ranges</t>
  </si>
  <si>
    <t>1 : MultiRefs</t>
  </si>
  <si>
    <t>2 : Info</t>
  </si>
  <si>
    <t>VG39E7F83B174F4D54</t>
  </si>
  <si>
    <t>var2</t>
  </si>
  <si>
    <t>ST_Age</t>
  </si>
  <si>
    <t>2 : Ranges</t>
  </si>
  <si>
    <t>2 : MultiRefs</t>
  </si>
  <si>
    <t>3 : Info</t>
  </si>
  <si>
    <t>VG213E245520B16D79</t>
  </si>
  <si>
    <t>var3</t>
  </si>
  <si>
    <t>ST_Attrition</t>
  </si>
  <si>
    <t>3 : Ranges</t>
  </si>
  <si>
    <t>3 : MultiRefs</t>
  </si>
  <si>
    <t>4 : Info</t>
  </si>
  <si>
    <t>VG35BAC2331C0FC481</t>
  </si>
  <si>
    <t>var4</t>
  </si>
  <si>
    <t>ST_BusinessTravel</t>
  </si>
  <si>
    <t>4 : Ranges</t>
  </si>
  <si>
    <t>4 : MultiRefs</t>
  </si>
  <si>
    <t>5 : Info</t>
  </si>
  <si>
    <t>VG20DCD893CDF08E4</t>
  </si>
  <si>
    <t>var5</t>
  </si>
  <si>
    <t>ST_DailyRate</t>
  </si>
  <si>
    <t>5 : Ranges</t>
  </si>
  <si>
    <t>5 : MultiRefs</t>
  </si>
  <si>
    <t>6 : Info</t>
  </si>
  <si>
    <t>VG29E89EDAB19D2D2</t>
  </si>
  <si>
    <t>var6</t>
  </si>
  <si>
    <t>ST_Department</t>
  </si>
  <si>
    <t>6 : Ranges</t>
  </si>
  <si>
    <t>6 : MultiRefs</t>
  </si>
  <si>
    <t>7 : Info</t>
  </si>
  <si>
    <t>VG2EBBD8A0173AE891</t>
  </si>
  <si>
    <t>var7</t>
  </si>
  <si>
    <t>ST_DistanceFromHome</t>
  </si>
  <si>
    <t>7 : Ranges</t>
  </si>
  <si>
    <t>7 : MultiRefs</t>
  </si>
  <si>
    <t>8 : Info</t>
  </si>
  <si>
    <t>VG5345DF36EA4A9A</t>
  </si>
  <si>
    <t>var8</t>
  </si>
  <si>
    <t>ST_Education</t>
  </si>
  <si>
    <t>8 : Ranges</t>
  </si>
  <si>
    <t>8 : MultiRefs</t>
  </si>
  <si>
    <t>9 : Info</t>
  </si>
  <si>
    <t>VGF825C65335ACB4B</t>
  </si>
  <si>
    <t>var9</t>
  </si>
  <si>
    <t>ST_EducationField</t>
  </si>
  <si>
    <t>9 : Ranges</t>
  </si>
  <si>
    <t>9 : MultiRefs</t>
  </si>
  <si>
    <t>10 : Info</t>
  </si>
  <si>
    <t>VG27910C8229FA4A0D</t>
  </si>
  <si>
    <t>var10</t>
  </si>
  <si>
    <t>ST_EmployeeCount</t>
  </si>
  <si>
    <t>10 : Ranges</t>
  </si>
  <si>
    <t>10 : MultiRefs</t>
  </si>
  <si>
    <t>11 : Info</t>
  </si>
  <si>
    <t>VG3594C7E31D4635C0</t>
  </si>
  <si>
    <t>var11</t>
  </si>
  <si>
    <t>ST_EmployeeNumber</t>
  </si>
  <si>
    <t>11 : Ranges</t>
  </si>
  <si>
    <t>11 : MultiRefs</t>
  </si>
  <si>
    <t>12 : Info</t>
  </si>
  <si>
    <t>VG109D92B22C9CC884</t>
  </si>
  <si>
    <t>var12</t>
  </si>
  <si>
    <t>ST_EnvironmentSatisfaction</t>
  </si>
  <si>
    <t>12 : Ranges</t>
  </si>
  <si>
    <t>12 : MultiRefs</t>
  </si>
  <si>
    <t>13 : Info</t>
  </si>
  <si>
    <t>VG371A28BE1FEBF4D2</t>
  </si>
  <si>
    <t>var13</t>
  </si>
  <si>
    <t>ST_Gender</t>
  </si>
  <si>
    <t>13 : Ranges</t>
  </si>
  <si>
    <t>13 : MultiRefs</t>
  </si>
  <si>
    <t>14 : Info</t>
  </si>
  <si>
    <t>VG3A78ECC77D4AC</t>
  </si>
  <si>
    <t>var14</t>
  </si>
  <si>
    <t>ST_HourlyRate</t>
  </si>
  <si>
    <t>14 : Ranges</t>
  </si>
  <si>
    <t>14 : MultiRefs</t>
  </si>
  <si>
    <t>15 : Info</t>
  </si>
  <si>
    <t>VG106D31BC36DE0813</t>
  </si>
  <si>
    <t>var15</t>
  </si>
  <si>
    <t>ST_JobInvolvement</t>
  </si>
  <si>
    <t>15 : Ranges</t>
  </si>
  <si>
    <t>15 : MultiRefs</t>
  </si>
  <si>
    <t>16 : Info</t>
  </si>
  <si>
    <t>VG1B7B238E14D95640</t>
  </si>
  <si>
    <t>var16</t>
  </si>
  <si>
    <t>ST_JobLevel</t>
  </si>
  <si>
    <t>16 : Ranges</t>
  </si>
  <si>
    <t>16 : MultiRefs</t>
  </si>
  <si>
    <t>17 : Info</t>
  </si>
  <si>
    <t>VGF205C6E2F77D7E2</t>
  </si>
  <si>
    <t>var17</t>
  </si>
  <si>
    <t>ST_JobRole</t>
  </si>
  <si>
    <t>17 : Ranges</t>
  </si>
  <si>
    <t>17 : MultiRefs</t>
  </si>
  <si>
    <t>18 : Info</t>
  </si>
  <si>
    <t>VG35D912B124DD88A</t>
  </si>
  <si>
    <t>var18</t>
  </si>
  <si>
    <t>ST_JobSatisfaction</t>
  </si>
  <si>
    <t>18 : Ranges</t>
  </si>
  <si>
    <t>18 : MultiRefs</t>
  </si>
  <si>
    <t>19 : Info</t>
  </si>
  <si>
    <t>VG34561D9E3A024109</t>
  </si>
  <si>
    <t>var19</t>
  </si>
  <si>
    <t>ST_MaritalStatus</t>
  </si>
  <si>
    <t>19 : Ranges</t>
  </si>
  <si>
    <t>19 : MultiRefs</t>
  </si>
  <si>
    <t>20 : Info</t>
  </si>
  <si>
    <t>VG27C6C5D02D2EBB51</t>
  </si>
  <si>
    <t>var20</t>
  </si>
  <si>
    <t>ST_MonthlyIncome</t>
  </si>
  <si>
    <t>20 : Ranges</t>
  </si>
  <si>
    <t>20 : MultiRefs</t>
  </si>
  <si>
    <t>21 : Info</t>
  </si>
  <si>
    <t>VG27AF95CC4AEF65A</t>
  </si>
  <si>
    <t>var21</t>
  </si>
  <si>
    <t>ST_MonthlyRate</t>
  </si>
  <si>
    <t>21 : Ranges</t>
  </si>
  <si>
    <t>21 : MultiRefs</t>
  </si>
  <si>
    <t>22 : Info</t>
  </si>
  <si>
    <t>VGA7A3635C344A6E</t>
  </si>
  <si>
    <t>var22</t>
  </si>
  <si>
    <t>ST_NumCompaniesWorked</t>
  </si>
  <si>
    <t>22 : Ranges</t>
  </si>
  <si>
    <t>22 : MultiRefs</t>
  </si>
  <si>
    <t>23 : Info</t>
  </si>
  <si>
    <t>VG302A7B501FAE5B33</t>
  </si>
  <si>
    <t>var23</t>
  </si>
  <si>
    <t>ST_OverTime</t>
  </si>
  <si>
    <t>23 : Ranges</t>
  </si>
  <si>
    <t>23 : MultiRefs</t>
  </si>
  <si>
    <t>24 : Info</t>
  </si>
  <si>
    <t>VGCB1D447397EDCB1</t>
  </si>
  <si>
    <t>var24</t>
  </si>
  <si>
    <t>ST_PercentSalaryHike</t>
  </si>
  <si>
    <t>24 : Ranges</t>
  </si>
  <si>
    <t>24 : MultiRefs</t>
  </si>
  <si>
    <t>25 : Info</t>
  </si>
  <si>
    <t>VG391BD86B285A1C61</t>
  </si>
  <si>
    <t>var25</t>
  </si>
  <si>
    <t>ST_PerformanceRating</t>
  </si>
  <si>
    <t>25 : Ranges</t>
  </si>
  <si>
    <t>25 : MultiRefs</t>
  </si>
  <si>
    <t>26 : Info</t>
  </si>
  <si>
    <t>VG15EAB90C2AAED45</t>
  </si>
  <si>
    <t>var26</t>
  </si>
  <si>
    <t>ST_RelationshipSatisfaction</t>
  </si>
  <si>
    <t>26 : Ranges</t>
  </si>
  <si>
    <t>26 : MultiRefs</t>
  </si>
  <si>
    <t>27 : Info</t>
  </si>
  <si>
    <t>VG6146DE0282BBD46</t>
  </si>
  <si>
    <t>var27</t>
  </si>
  <si>
    <t>ST_StandardHours</t>
  </si>
  <si>
    <t>27 : Ranges</t>
  </si>
  <si>
    <t>27 : MultiRefs</t>
  </si>
  <si>
    <t>28 : Info</t>
  </si>
  <si>
    <t>VGAB9DD172767C14C</t>
  </si>
  <si>
    <t>var28</t>
  </si>
  <si>
    <t>ST_StockOptionLevel</t>
  </si>
  <si>
    <t>28 : Ranges</t>
  </si>
  <si>
    <t>28 : MultiRefs</t>
  </si>
  <si>
    <t>29 : Info</t>
  </si>
  <si>
    <t>VGDB59D533A7C57C2</t>
  </si>
  <si>
    <t>var29</t>
  </si>
  <si>
    <t>ST_TotalWorkingYears</t>
  </si>
  <si>
    <t>29 : Ranges</t>
  </si>
  <si>
    <t>29 : MultiRefs</t>
  </si>
  <si>
    <t>30 : Info</t>
  </si>
  <si>
    <t>VG1E9BAD8D24FFBDD8</t>
  </si>
  <si>
    <t>var30</t>
  </si>
  <si>
    <t>ST_TrainingTimesLastYear</t>
  </si>
  <si>
    <t>30 : Ranges</t>
  </si>
  <si>
    <t>30 : MultiRefs</t>
  </si>
  <si>
    <t>31 : Info</t>
  </si>
  <si>
    <t>VG2E588D1B1FDF97B8</t>
  </si>
  <si>
    <t>var31</t>
  </si>
  <si>
    <t>ST_WorkLifeBalance</t>
  </si>
  <si>
    <t>31 : Ranges</t>
  </si>
  <si>
    <t>31 : MultiRefs</t>
  </si>
  <si>
    <t>32 : Info</t>
  </si>
  <si>
    <t>VG903261C22820F7</t>
  </si>
  <si>
    <t>var32</t>
  </si>
  <si>
    <t>ST_YearsAtCompany</t>
  </si>
  <si>
    <t>32 : Ranges</t>
  </si>
  <si>
    <t>32 : MultiRefs</t>
  </si>
  <si>
    <t>33 : Info</t>
  </si>
  <si>
    <t>VG33E01B63937E3C1</t>
  </si>
  <si>
    <t>var33</t>
  </si>
  <si>
    <t>ST_YearsInCurrentRole</t>
  </si>
  <si>
    <t>33 : Ranges</t>
  </si>
  <si>
    <t>33 : MultiRefs</t>
  </si>
  <si>
    <t>34 : Info</t>
  </si>
  <si>
    <t>VG2A1B34E45667D04</t>
  </si>
  <si>
    <t>var34</t>
  </si>
  <si>
    <t>ST_YearsSinceLastPromotion</t>
  </si>
  <si>
    <t>34 : Ranges</t>
  </si>
  <si>
    <t>34 : MultiRefs</t>
  </si>
  <si>
    <t>35 : Info</t>
  </si>
  <si>
    <t>VG7CC538A18A030D3</t>
  </si>
  <si>
    <t>var35</t>
  </si>
  <si>
    <t>ST_YearsWithCurrManager</t>
  </si>
  <si>
    <t>35 : Ranges</t>
  </si>
  <si>
    <t>35 : MultiRefs</t>
  </si>
  <si>
    <t>Summary Measures</t>
  </si>
  <si>
    <t>Logistic Regression for Attrition</t>
  </si>
  <si>
    <t>Regression Coefficients</t>
  </si>
  <si>
    <t>Classification Matrix</t>
  </si>
  <si>
    <t>Summary Classification</t>
  </si>
  <si>
    <t>Probabilities and Classifications</t>
  </si>
  <si>
    <t/>
  </si>
  <si>
    <t>Null Deviance</t>
  </si>
  <si>
    <t>Model Deviance</t>
  </si>
  <si>
    <t>Improvement</t>
  </si>
  <si>
    <t>p-Value</t>
  </si>
  <si>
    <t>Constant</t>
  </si>
  <si>
    <t>Coefficient</t>
  </si>
  <si>
    <t>Standard</t>
  </si>
  <si>
    <t>Error</t>
  </si>
  <si>
    <t>Wald</t>
  </si>
  <si>
    <t>Lower</t>
  </si>
  <si>
    <t>Limit</t>
  </si>
  <si>
    <t>Upper</t>
  </si>
  <si>
    <t>Exp(Coef)</t>
  </si>
  <si>
    <t>Percent</t>
  </si>
  <si>
    <t>Correct</t>
  </si>
  <si>
    <t>Base</t>
  </si>
  <si>
    <t>Probability</t>
  </si>
  <si>
    <t>Analysis</t>
  </si>
  <si>
    <t>Class</t>
  </si>
  <si>
    <t>Original</t>
  </si>
  <si>
    <t>Linear Correlation Table</t>
  </si>
  <si>
    <t>Covariance Table</t>
  </si>
  <si>
    <t>Business Travel (Travel Rarely)</t>
  </si>
  <si>
    <t>Business Travel (Travel Frequently)</t>
  </si>
  <si>
    <t>Department (Sales)</t>
  </si>
  <si>
    <t>Department( R&amp;D)</t>
  </si>
  <si>
    <t>Education Field (HR)</t>
  </si>
  <si>
    <t>Education Field (Life Sciences)</t>
  </si>
  <si>
    <t>Education Field (Medical)</t>
  </si>
  <si>
    <t>Education Field (Marketing)</t>
  </si>
  <si>
    <t>Education Field (Technical)</t>
  </si>
  <si>
    <t>JobRole (Sales Exec)</t>
  </si>
  <si>
    <t>JobRole (Research Scientist)</t>
  </si>
  <si>
    <t>JobRole (Lab Technician)</t>
  </si>
  <si>
    <t>JobRole (Manufacturing Director)</t>
  </si>
  <si>
    <t>JobRole (Manager)</t>
  </si>
  <si>
    <t>JobRole (Sales Rep)</t>
  </si>
  <si>
    <t>Job(Research Director)</t>
  </si>
  <si>
    <t>JobRole (Healthcare Rep)</t>
  </si>
  <si>
    <t>MaritalStatus(Single)</t>
  </si>
  <si>
    <t>MaritalStatus (Married)</t>
  </si>
  <si>
    <t>UpdatedDummy</t>
  </si>
  <si>
    <t>DG21B2E28</t>
  </si>
  <si>
    <t>ST_Age_1</t>
  </si>
  <si>
    <t>ST_Attrition_2</t>
  </si>
  <si>
    <t>ST_BusinessTravel_3</t>
  </si>
  <si>
    <t>ST_BusinessTravelTravelRarely</t>
  </si>
  <si>
    <t>ST_BusinessTravelTravelFrequently</t>
  </si>
  <si>
    <t>ST_DailyRate_6</t>
  </si>
  <si>
    <t>ST_Department_7</t>
  </si>
  <si>
    <t>ST_DepartmentSales</t>
  </si>
  <si>
    <t>ST_DepartmentRD</t>
  </si>
  <si>
    <t>ST_DistanceFromHome_10</t>
  </si>
  <si>
    <t>ST_Education_11</t>
  </si>
  <si>
    <t>ST_EducationField_12</t>
  </si>
  <si>
    <t>ST_EducationFieldLifeSciences</t>
  </si>
  <si>
    <t>ST_EducationFieldHR</t>
  </si>
  <si>
    <t>ST_EducationFieldMedical</t>
  </si>
  <si>
    <t>ST_EducationFieldMarketing</t>
  </si>
  <si>
    <t>ST_EducationFieldTechnical</t>
  </si>
  <si>
    <t>ST_EmployeeCount_18</t>
  </si>
  <si>
    <t>ST_EmployeeNumber_19</t>
  </si>
  <si>
    <t>ST_EnvironmentSatisfaction_20</t>
  </si>
  <si>
    <t>ST_Gender_21</t>
  </si>
  <si>
    <t>ST_HourlyRate_22</t>
  </si>
  <si>
    <t>ST_JobInvolvement_23</t>
  </si>
  <si>
    <t>ST_JobLevel_24</t>
  </si>
  <si>
    <t>ST_JobRole_25</t>
  </si>
  <si>
    <t>ST_JobRoleSalesExec</t>
  </si>
  <si>
    <t>ST_JobRoleResearchScientist</t>
  </si>
  <si>
    <t>ST_JobRoleLabTechnician</t>
  </si>
  <si>
    <t>ST_JobRoleManufacturingDirector</t>
  </si>
  <si>
    <t>ST_JobRoleHealthcareRep</t>
  </si>
  <si>
    <t>ST_JobRoleManager</t>
  </si>
  <si>
    <t>ST_JobRoleSalesRep</t>
  </si>
  <si>
    <t>ST_JobResearchDirector</t>
  </si>
  <si>
    <t>ST_JobSatisfaction_34</t>
  </si>
  <si>
    <t>ST_MaritalStatus_35</t>
  </si>
  <si>
    <t>36 : Info</t>
  </si>
  <si>
    <t>var36</t>
  </si>
  <si>
    <t>ST_MaritalStatusSingle</t>
  </si>
  <si>
    <t>36 : Ranges</t>
  </si>
  <si>
    <t>36 : MultiRefs</t>
  </si>
  <si>
    <t>37 : Info</t>
  </si>
  <si>
    <t>var37</t>
  </si>
  <si>
    <t>ST_MaritalStatusMarried</t>
  </si>
  <si>
    <t>37 : Ranges</t>
  </si>
  <si>
    <t>37 : MultiRefs</t>
  </si>
  <si>
    <t>38 : Info</t>
  </si>
  <si>
    <t>var38</t>
  </si>
  <si>
    <t>ST_MonthlyIncome_38</t>
  </si>
  <si>
    <t>38 : Ranges</t>
  </si>
  <si>
    <t>38 : MultiRefs</t>
  </si>
  <si>
    <t>39 : Info</t>
  </si>
  <si>
    <t>var39</t>
  </si>
  <si>
    <t>ST_MonthlyRate_39</t>
  </si>
  <si>
    <t>39 : Ranges</t>
  </si>
  <si>
    <t>39 : MultiRefs</t>
  </si>
  <si>
    <t>40 : Info</t>
  </si>
  <si>
    <t>var40</t>
  </si>
  <si>
    <t>ST_NumCompaniesWorked_40</t>
  </si>
  <si>
    <t>40 : Ranges</t>
  </si>
  <si>
    <t>40 : MultiRefs</t>
  </si>
  <si>
    <t>41 : Info</t>
  </si>
  <si>
    <t>var41</t>
  </si>
  <si>
    <t>ST_OverTime_41</t>
  </si>
  <si>
    <t>41 : Ranges</t>
  </si>
  <si>
    <t>41 : MultiRefs</t>
  </si>
  <si>
    <t>42 : Info</t>
  </si>
  <si>
    <t>var42</t>
  </si>
  <si>
    <t>ST_PercentSalaryHike_42</t>
  </si>
  <si>
    <t>42 : Ranges</t>
  </si>
  <si>
    <t>42 : MultiRefs</t>
  </si>
  <si>
    <t>43 : Info</t>
  </si>
  <si>
    <t>var43</t>
  </si>
  <si>
    <t>ST_PerformanceRating_43</t>
  </si>
  <si>
    <t>43 : Ranges</t>
  </si>
  <si>
    <t>43 : MultiRefs</t>
  </si>
  <si>
    <t>44 : Info</t>
  </si>
  <si>
    <t>var44</t>
  </si>
  <si>
    <t>ST_RelationshipSatisfaction_44</t>
  </si>
  <si>
    <t>44 : Ranges</t>
  </si>
  <si>
    <t>44 : MultiRefs</t>
  </si>
  <si>
    <t>45 : Info</t>
  </si>
  <si>
    <t>var45</t>
  </si>
  <si>
    <t>ST_StandardHours_45</t>
  </si>
  <si>
    <t>45 : Ranges</t>
  </si>
  <si>
    <t>45 : MultiRefs</t>
  </si>
  <si>
    <t>46 : Info</t>
  </si>
  <si>
    <t>var46</t>
  </si>
  <si>
    <t>ST_StockOptionLevel_46</t>
  </si>
  <si>
    <t>46 : Ranges</t>
  </si>
  <si>
    <t>46 : MultiRefs</t>
  </si>
  <si>
    <t>47 : Info</t>
  </si>
  <si>
    <t>var47</t>
  </si>
  <si>
    <t>ST_TotalWorkingYears_47</t>
  </si>
  <si>
    <t>47 : Ranges</t>
  </si>
  <si>
    <t>47 : MultiRefs</t>
  </si>
  <si>
    <t>48 : Info</t>
  </si>
  <si>
    <t>var48</t>
  </si>
  <si>
    <t>ST_TrainingTimesLastYear_48</t>
  </si>
  <si>
    <t>48 : Ranges</t>
  </si>
  <si>
    <t>48 : MultiRefs</t>
  </si>
  <si>
    <t>49 : Info</t>
  </si>
  <si>
    <t>var49</t>
  </si>
  <si>
    <t>ST_WorkLifeBalance_49</t>
  </si>
  <si>
    <t>49 : Ranges</t>
  </si>
  <si>
    <t>49 : MultiRefs</t>
  </si>
  <si>
    <t>50 : Info</t>
  </si>
  <si>
    <t>var50</t>
  </si>
  <si>
    <t>ST_YearsAtCompany_50</t>
  </si>
  <si>
    <t>50 : Ranges</t>
  </si>
  <si>
    <t>50 : MultiRefs</t>
  </si>
  <si>
    <t>51 : Info</t>
  </si>
  <si>
    <t>var51</t>
  </si>
  <si>
    <t>ST_YearsInCurrentRole_51</t>
  </si>
  <si>
    <t>51 : Ranges</t>
  </si>
  <si>
    <t>51 : MultiRefs</t>
  </si>
  <si>
    <t>52 : Info</t>
  </si>
  <si>
    <t>var52</t>
  </si>
  <si>
    <t>ST_YearsSinceLastPromotion_52</t>
  </si>
  <si>
    <t>52 : Ranges</t>
  </si>
  <si>
    <t>52 : MultiRefs</t>
  </si>
  <si>
    <t>53 : Info</t>
  </si>
  <si>
    <t>var53</t>
  </si>
  <si>
    <t>ST_YearsWithCurrManager_53</t>
  </si>
  <si>
    <t>53 : Ranges</t>
  </si>
  <si>
    <t>53 : MultiRefs</t>
  </si>
  <si>
    <t>Interaction</t>
  </si>
  <si>
    <t>VG35064406D553900</t>
  </si>
  <si>
    <t>VG24B316691F7612B5</t>
  </si>
  <si>
    <t>VG1C52E1C72459BE0F</t>
  </si>
  <si>
    <t>VG113DD1D32E0E574A</t>
  </si>
  <si>
    <t>VG22BFAD022C47CA7E</t>
  </si>
  <si>
    <t>VG1380DA621B72713A</t>
  </si>
  <si>
    <t>VG13864CCF1D34B1AB</t>
  </si>
  <si>
    <t>VG13BB7763572EA2E</t>
  </si>
  <si>
    <t>VG296F69FA27B08F64</t>
  </si>
  <si>
    <t>VG211B055811E9A4A</t>
  </si>
  <si>
    <t>VG3A1A63E5E458264</t>
  </si>
  <si>
    <t>VG2DB6F4391630EA73</t>
  </si>
  <si>
    <t>VG41338E635D9A827</t>
  </si>
  <si>
    <t>VG16384825A4DED37</t>
  </si>
  <si>
    <t>VG1F30DEA01C676ADC</t>
  </si>
  <si>
    <t>VG23678B43A8F75DB</t>
  </si>
  <si>
    <t>VG16C0B74E33011C90</t>
  </si>
  <si>
    <t>VGF344B9C28B53F68</t>
  </si>
  <si>
    <t>VGB4FA75E1D1F5D52</t>
  </si>
  <si>
    <t>VG23E449D8D901A39</t>
  </si>
  <si>
    <t>VG2D56F95F22CD0A75</t>
  </si>
  <si>
    <t>VG2572C3011B567CF2</t>
  </si>
  <si>
    <t>VG1FEDFAA21F838BA1</t>
  </si>
  <si>
    <t>VG24A9A70714065C4B</t>
  </si>
  <si>
    <t>VG25ED2388DD628EF</t>
  </si>
  <si>
    <t>VG27A930FFA088FB0</t>
  </si>
  <si>
    <t>VG38B896EA159E79B0</t>
  </si>
  <si>
    <t>VG3242383429547911</t>
  </si>
  <si>
    <t>VG32F2228A29B3C817</t>
  </si>
  <si>
    <t>VG13DFBD245E006DF</t>
  </si>
  <si>
    <t>VG175769033EE5673</t>
  </si>
  <si>
    <t>VG320F80A3137FF3A6</t>
  </si>
  <si>
    <t>VG22D241821835B36</t>
  </si>
  <si>
    <t>VG292327D3FB4052F</t>
  </si>
  <si>
    <t>VG154F7EE94303D5C</t>
  </si>
  <si>
    <t>VG15D8F619262CD598</t>
  </si>
  <si>
    <t>VGB15DBE9E923B85</t>
  </si>
  <si>
    <t>VG19B248C32D89E15F</t>
  </si>
  <si>
    <t>VG7F55D171B776055</t>
  </si>
  <si>
    <t>VG3D8009817A951BD</t>
  </si>
  <si>
    <t>VG20D203551A4D615F</t>
  </si>
  <si>
    <t>VG28E88FF217B1E555</t>
  </si>
  <si>
    <t>VG101C56641F2AE43A</t>
  </si>
  <si>
    <t>VG1675189938EBFD92</t>
  </si>
  <si>
    <t>VG2B8AA5672F17CFFE</t>
  </si>
  <si>
    <t>VG403551D1ED0B1B7</t>
  </si>
  <si>
    <t>VG130BDA5A202003D0</t>
  </si>
  <si>
    <t>VG2AEB97BF2CD20F09</t>
  </si>
  <si>
    <t>VG23CF57C2F3D47AF</t>
  </si>
  <si>
    <t>VG397487BC85E39FF</t>
  </si>
  <si>
    <t>VG30C69E0D31CA873A</t>
  </si>
  <si>
    <t>VG3609D01225030EC</t>
  </si>
  <si>
    <t>VG64236563ACBAA8C</t>
  </si>
  <si>
    <t>54 : Info</t>
  </si>
  <si>
    <t>VG56F7177127C8D17</t>
  </si>
  <si>
    <t>var54</t>
  </si>
  <si>
    <t>ST_JoblevelMonthlyincome</t>
  </si>
  <si>
    <t>54 : Ranges</t>
  </si>
  <si>
    <t>54 : MultiRefs</t>
  </si>
  <si>
    <t>Gender * Monthly income</t>
  </si>
  <si>
    <t>Job Level * Monthly income</t>
  </si>
  <si>
    <t>Efron's Pseudo R Squared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</si>
</sst>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&lt;0.0001]&quot;&lt; 0.0001&quot;;0.0000"/>
    <numFmt numFmtId="165" formatCode="0.000"/>
    <numFmt numFmtId="166" formatCode="0.0000"/>
  </numFmts>
  <fonts count="3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Arial"/>
      <family val="2"/>
    </font>
    <font>
      <sz val="10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b/>
      <sz val="12"/>
      <name val="Times New Roman"/>
      <family val="1"/>
    </font>
    <font>
      <b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9"/>
      <color indexed="81"/>
      <name val="Tahoma"/>
      <family val="2"/>
    </font>
    <font>
      <b/>
      <u/>
      <sz val="9"/>
      <color indexed="81"/>
      <name val="Tahoma"/>
      <family val="2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ashed">
        <color indexed="64"/>
      </right>
      <top style="dashed">
        <color rgb="FF000000"/>
      </top>
      <bottom/>
      <diagonal/>
    </border>
    <border>
      <left style="dashed">
        <color indexed="64"/>
      </left>
      <right style="double">
        <color indexed="64"/>
      </right>
      <top style="dashed">
        <color rgb="FF000000"/>
      </top>
      <bottom/>
      <diagonal/>
    </border>
    <border>
      <left style="double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ashed">
        <color indexed="64"/>
      </right>
      <top/>
      <bottom style="double">
        <color indexed="64"/>
      </bottom>
      <diagonal/>
    </border>
    <border>
      <left style="dashed">
        <color indexed="64"/>
      </left>
      <right style="double">
        <color indexed="64"/>
      </right>
      <top/>
      <bottom style="double">
        <color indexed="64"/>
      </bottom>
      <diagonal/>
    </border>
    <border>
      <left/>
      <right/>
      <top/>
      <bottom style="double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6">
    <xf numFmtId="0" fontId="0" fillId="0" borderId="0" xfId="0"/>
    <xf numFmtId="0" fontId="18" fillId="0" borderId="0" xfId="0" applyFont="1" applyFill="1" applyAlignment="1">
      <alignment vertical="center" wrapText="1"/>
    </xf>
    <xf numFmtId="0" fontId="0" fillId="0" borderId="0" xfId="0" applyFill="1"/>
    <xf numFmtId="0" fontId="0" fillId="0" borderId="0" xfId="0" applyAlignment="1">
      <alignment vertical="center" wrapText="1"/>
    </xf>
    <xf numFmtId="0" fontId="0" fillId="0" borderId="0" xfId="0" applyFill="1" applyAlignment="1">
      <alignment vertical="center" wrapText="1"/>
    </xf>
    <xf numFmtId="0" fontId="0" fillId="0" borderId="0" xfId="0" applyAlignment="1"/>
    <xf numFmtId="0" fontId="22" fillId="0" borderId="0" xfId="0" applyFont="1"/>
    <xf numFmtId="0" fontId="22" fillId="0" borderId="0" xfId="0" applyFont="1" applyAlignment="1"/>
    <xf numFmtId="0" fontId="23" fillId="0" borderId="0" xfId="0" applyFont="1" applyAlignment="1"/>
    <xf numFmtId="0" fontId="23" fillId="0" borderId="0" xfId="0" applyFont="1" applyFill="1" applyAlignment="1"/>
    <xf numFmtId="0" fontId="24" fillId="0" borderId="0" xfId="0" applyFont="1"/>
    <xf numFmtId="0" fontId="25" fillId="0" borderId="0" xfId="0" applyFont="1" applyAlignment="1"/>
    <xf numFmtId="0" fontId="24" fillId="0" borderId="0" xfId="0" applyFont="1" applyAlignment="1"/>
    <xf numFmtId="0" fontId="26" fillId="0" borderId="0" xfId="0" applyFont="1" applyAlignment="1"/>
    <xf numFmtId="0" fontId="24" fillId="33" borderId="0" xfId="0" applyFont="1" applyFill="1"/>
    <xf numFmtId="0" fontId="22" fillId="33" borderId="0" xfId="0" applyFont="1" applyFill="1"/>
    <xf numFmtId="0" fontId="0" fillId="0" borderId="0" xfId="0" applyNumberFormat="1"/>
    <xf numFmtId="0" fontId="0" fillId="0" borderId="0" xfId="0" applyAlignment="1">
      <alignment horizontal="left"/>
    </xf>
    <xf numFmtId="0" fontId="16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1" fontId="19" fillId="35" borderId="10" xfId="0" applyNumberFormat="1" applyFont="1" applyFill="1" applyBorder="1" applyAlignment="1"/>
    <xf numFmtId="0" fontId="20" fillId="35" borderId="11" xfId="0" applyFont="1" applyFill="1" applyBorder="1" applyAlignment="1"/>
    <xf numFmtId="0" fontId="20" fillId="35" borderId="12" xfId="0" applyFont="1" applyFill="1" applyBorder="1" applyAlignment="1"/>
    <xf numFmtId="1" fontId="0" fillId="34" borderId="13" xfId="0" applyNumberFormat="1" applyFont="1" applyFill="1" applyBorder="1" applyAlignment="1"/>
    <xf numFmtId="0" fontId="20" fillId="34" borderId="14" xfId="0" applyFont="1" applyFill="1" applyBorder="1" applyAlignment="1"/>
    <xf numFmtId="0" fontId="20" fillId="34" borderId="15" xfId="0" applyFont="1" applyFill="1" applyBorder="1" applyAlignment="1"/>
    <xf numFmtId="1" fontId="0" fillId="34" borderId="16" xfId="0" applyNumberFormat="1" applyFont="1" applyFill="1" applyBorder="1" applyAlignment="1"/>
    <xf numFmtId="0" fontId="20" fillId="34" borderId="17" xfId="0" applyFont="1" applyFill="1" applyBorder="1" applyAlignment="1"/>
    <xf numFmtId="0" fontId="20" fillId="34" borderId="18" xfId="0" applyFont="1" applyFill="1" applyBorder="1" applyAlignment="1"/>
    <xf numFmtId="1" fontId="0" fillId="34" borderId="19" xfId="0" applyNumberFormat="1" applyFont="1" applyFill="1" applyBorder="1" applyAlignment="1"/>
    <xf numFmtId="0" fontId="20" fillId="34" borderId="20" xfId="0" applyFont="1" applyFill="1" applyBorder="1" applyAlignment="1"/>
    <xf numFmtId="0" fontId="20" fillId="34" borderId="21" xfId="0" applyFont="1" applyFill="1" applyBorder="1" applyAlignment="1"/>
    <xf numFmtId="0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9" fontId="27" fillId="0" borderId="0" xfId="0" applyNumberFormat="1" applyFont="1" applyAlignment="1">
      <alignment horizontal="center"/>
    </xf>
    <xf numFmtId="49" fontId="27" fillId="0" borderId="22" xfId="0" applyNumberFormat="1" applyFont="1" applyFill="1" applyBorder="1" applyAlignment="1">
      <alignment horizontal="center"/>
    </xf>
    <xf numFmtId="49" fontId="27" fillId="0" borderId="0" xfId="0" applyNumberFormat="1" applyFont="1" applyAlignment="1">
      <alignment horizontal="left"/>
    </xf>
    <xf numFmtId="49" fontId="28" fillId="0" borderId="0" xfId="0" applyNumberFormat="1" applyFont="1" applyAlignment="1">
      <alignment horizontal="left"/>
    </xf>
    <xf numFmtId="49" fontId="28" fillId="0" borderId="22" xfId="0" applyNumberFormat="1" applyFont="1" applyFill="1" applyBorder="1" applyAlignment="1">
      <alignment horizontal="left"/>
    </xf>
    <xf numFmtId="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27" fillId="0" borderId="0" xfId="0" applyNumberFormat="1" applyFont="1" applyAlignment="1">
      <alignment horizontal="center"/>
    </xf>
    <xf numFmtId="0" fontId="27" fillId="0" borderId="0" xfId="0" applyNumberFormat="1" applyFont="1" applyAlignment="1">
      <alignment horizontal="left"/>
    </xf>
    <xf numFmtId="10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22" xfId="0" applyBorder="1" applyAlignment="1">
      <alignment horizontal="center" vertical="center"/>
    </xf>
    <xf numFmtId="0" fontId="16" fillId="36" borderId="0" xfId="0" applyFont="1" applyFill="1"/>
    <xf numFmtId="49" fontId="27" fillId="0" borderId="0" xfId="0" applyNumberFormat="1" applyFont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21" fillId="35" borderId="11" xfId="0" applyFont="1" applyFill="1" applyBorder="1" applyAlignment="1"/>
    <xf numFmtId="0" fontId="16" fillId="35" borderId="10" xfId="0" applyFont="1" applyFill="1" applyBorder="1"/>
    <xf numFmtId="0" fontId="16" fillId="35" borderId="11" xfId="0" applyFont="1" applyFill="1" applyBorder="1"/>
    <xf numFmtId="0" fontId="0" fillId="35" borderId="11" xfId="0" applyFill="1" applyBorder="1"/>
    <xf numFmtId="0" fontId="16" fillId="35" borderId="12" xfId="0" applyFont="1" applyFill="1" applyBorder="1"/>
    <xf numFmtId="0" fontId="0" fillId="34" borderId="13" xfId="0" applyFill="1" applyBorder="1"/>
    <xf numFmtId="0" fontId="0" fillId="34" borderId="14" xfId="0" applyFill="1" applyBorder="1"/>
    <xf numFmtId="0" fontId="0" fillId="34" borderId="15" xfId="0" applyFill="1" applyBorder="1"/>
    <xf numFmtId="0" fontId="0" fillId="34" borderId="16" xfId="0" applyFill="1" applyBorder="1"/>
    <xf numFmtId="0" fontId="0" fillId="34" borderId="17" xfId="0" applyFill="1" applyBorder="1"/>
    <xf numFmtId="0" fontId="0" fillId="34" borderId="19" xfId="0" applyFill="1" applyBorder="1"/>
    <xf numFmtId="0" fontId="0" fillId="34" borderId="20" xfId="0" applyFill="1" applyBorder="1"/>
    <xf numFmtId="49" fontId="27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center"/>
    </xf>
    <xf numFmtId="164" fontId="16" fillId="0" borderId="0" xfId="0" applyNumberFormat="1" applyFont="1" applyAlignment="1">
      <alignment horizontal="center"/>
    </xf>
    <xf numFmtId="164" fontId="0" fillId="0" borderId="0" xfId="0" applyNumberFormat="1" applyFont="1" applyAlignment="1">
      <alignment horizontal="center"/>
    </xf>
    <xf numFmtId="164" fontId="16" fillId="38" borderId="0" xfId="0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0" fontId="16" fillId="0" borderId="0" xfId="0" applyNumberFormat="1" applyFont="1" applyAlignment="1">
      <alignment horizontal="center"/>
    </xf>
    <xf numFmtId="0" fontId="16" fillId="0" borderId="0" xfId="0" applyFont="1" applyFill="1" applyAlignment="1">
      <alignment horizontal="center"/>
    </xf>
    <xf numFmtId="0" fontId="16" fillId="0" borderId="0" xfId="0" applyNumberFormat="1" applyFont="1" applyFill="1" applyAlignment="1">
      <alignment horizontal="center"/>
    </xf>
    <xf numFmtId="0" fontId="16" fillId="39" borderId="0" xfId="0" applyFont="1" applyFill="1" applyAlignment="1">
      <alignment horizontal="center"/>
    </xf>
    <xf numFmtId="0" fontId="16" fillId="39" borderId="0" xfId="0" applyNumberFormat="1" applyFont="1" applyFill="1" applyAlignment="1">
      <alignment horizontal="center"/>
    </xf>
    <xf numFmtId="164" fontId="16" fillId="39" borderId="0" xfId="0" applyNumberFormat="1" applyFont="1" applyFill="1" applyAlignment="1">
      <alignment horizontal="center"/>
    </xf>
    <xf numFmtId="49" fontId="27" fillId="0" borderId="22" xfId="0" applyNumberFormat="1" applyFont="1" applyFill="1" applyBorder="1" applyAlignment="1">
      <alignment horizontal="left"/>
    </xf>
    <xf numFmtId="165" fontId="31" fillId="37" borderId="0" xfId="0" applyNumberFormat="1" applyFont="1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ill>
        <patternFill>
          <bgColor theme="4"/>
        </patternFill>
      </fill>
    </dxf>
    <dxf>
      <fill>
        <patternFill>
          <bgColor rgb="FF00B0F0"/>
        </patternFill>
      </fill>
    </dxf>
    <dxf>
      <fill>
        <patternFill>
          <bgColor rgb="FF0070C0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/>
        </patternFill>
      </fill>
    </dxf>
    <dxf>
      <fill>
        <patternFill>
          <bgColor rgb="FF00B0F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471"/>
  <sheetViews>
    <sheetView topLeftCell="AA1" workbookViewId="0">
      <selection activeCell="AL8" sqref="AL8"/>
    </sheetView>
  </sheetViews>
  <sheetFormatPr defaultColWidth="8.85546875" defaultRowHeight="15" x14ac:dyDescent="0.25"/>
  <cols>
    <col min="1" max="1" width="4" style="5" bestFit="1" customWidth="1"/>
    <col min="2" max="2" width="11.85546875" style="5" customWidth="1"/>
    <col min="3" max="3" width="15.7109375" style="5" bestFit="1" customWidth="1"/>
    <col min="4" max="4" width="9.140625" style="5" customWidth="1"/>
    <col min="5" max="5" width="21.85546875" style="5" bestFit="1" customWidth="1"/>
    <col min="6" max="6" width="17.28515625" style="5" bestFit="1" customWidth="1"/>
    <col min="7" max="7" width="9.140625" style="5" bestFit="1" customWidth="1"/>
    <col min="8" max="8" width="15.7109375" style="5" bestFit="1" customWidth="1"/>
    <col min="9" max="9" width="14" style="5" bestFit="1" customWidth="1"/>
    <col min="10" max="10" width="15.7109375" style="5" bestFit="1" customWidth="1"/>
    <col min="11" max="11" width="21.140625" style="5" bestFit="1" customWidth="1"/>
    <col min="12" max="12" width="6.85546875" style="5" bestFit="1" customWidth="1"/>
    <col min="13" max="13" width="10.140625" style="5" bestFit="1" customWidth="1"/>
    <col min="14" max="14" width="14" style="5" bestFit="1" customWidth="1"/>
    <col min="15" max="15" width="8" style="5" bestFit="1" customWidth="1"/>
    <col min="16" max="16" width="22.85546875" style="5" bestFit="1" customWidth="1"/>
    <col min="17" max="17" width="13.42578125" style="5" bestFit="1" customWidth="1"/>
    <col min="18" max="18" width="11.85546875" style="5" bestFit="1" customWidth="1"/>
    <col min="19" max="19" width="14" style="5" bestFit="1" customWidth="1"/>
    <col min="20" max="20" width="11.42578125" style="5" bestFit="1" customWidth="1"/>
    <col min="21" max="21" width="20.42578125" style="5" bestFit="1" customWidth="1"/>
    <col min="22" max="22" width="6.85546875" style="5" bestFit="1" customWidth="1"/>
    <col min="23" max="23" width="8.85546875" style="5"/>
    <col min="24" max="24" width="15.7109375" style="5" bestFit="1" customWidth="1"/>
    <col min="25" max="25" width="16.7109375" style="5" bestFit="1" customWidth="1"/>
    <col min="26" max="26" width="20.7109375" style="5" bestFit="1" customWidth="1"/>
    <col min="27" max="27" width="13.140625" style="5" bestFit="1" customWidth="1"/>
    <col min="28" max="28" width="15.28515625" style="5" bestFit="1" customWidth="1"/>
    <col min="29" max="29" width="16.42578125" style="5" bestFit="1" customWidth="1"/>
    <col min="30" max="30" width="19.42578125" style="5" bestFit="1" customWidth="1"/>
    <col min="31" max="32" width="15" style="5" bestFit="1" customWidth="1"/>
    <col min="33" max="33" width="16.85546875" style="5" bestFit="1" customWidth="1"/>
    <col min="34" max="34" width="22" style="5" bestFit="1" customWidth="1"/>
    <col min="35" max="35" width="20.28515625" style="5" bestFit="1" customWidth="1"/>
    <col min="36" max="16384" width="8.85546875" style="5"/>
  </cols>
  <sheetData>
    <row r="1" spans="1:35" s="3" customFormat="1" ht="39.6" customHeigh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4" t="s">
        <v>24</v>
      </c>
      <c r="Z1" s="3" t="s">
        <v>25</v>
      </c>
      <c r="AA1" s="3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35" x14ac:dyDescent="0.25">
      <c r="A2" s="5">
        <v>41</v>
      </c>
      <c r="B2" s="5" t="s">
        <v>35</v>
      </c>
      <c r="C2" s="5" t="s">
        <v>36</v>
      </c>
      <c r="D2" s="5">
        <v>1102</v>
      </c>
      <c r="E2" s="5" t="s">
        <v>37</v>
      </c>
      <c r="F2" s="5">
        <v>1</v>
      </c>
      <c r="G2" s="5">
        <v>2</v>
      </c>
      <c r="H2" s="5" t="s">
        <v>38</v>
      </c>
      <c r="I2" s="5">
        <v>1</v>
      </c>
      <c r="J2" s="5">
        <v>1</v>
      </c>
      <c r="K2" s="5">
        <v>2</v>
      </c>
      <c r="L2" s="5" t="s">
        <v>39</v>
      </c>
      <c r="M2" s="5">
        <v>94</v>
      </c>
      <c r="N2" s="5">
        <v>3</v>
      </c>
      <c r="O2" s="5">
        <v>2</v>
      </c>
      <c r="P2" s="5" t="s">
        <v>40</v>
      </c>
      <c r="Q2" s="5">
        <v>4</v>
      </c>
      <c r="R2" s="5" t="s">
        <v>41</v>
      </c>
      <c r="S2" s="5">
        <v>5993</v>
      </c>
      <c r="T2" s="5">
        <v>19479</v>
      </c>
      <c r="U2" s="5">
        <v>8</v>
      </c>
      <c r="V2" s="5" t="s">
        <v>42</v>
      </c>
      <c r="W2" s="5" t="s">
        <v>35</v>
      </c>
      <c r="X2" s="5">
        <v>11</v>
      </c>
      <c r="Y2" s="5">
        <v>3</v>
      </c>
      <c r="Z2" s="5">
        <v>1</v>
      </c>
      <c r="AA2" s="5">
        <v>80</v>
      </c>
      <c r="AB2" s="5">
        <v>0</v>
      </c>
      <c r="AC2" s="5">
        <v>8</v>
      </c>
      <c r="AD2" s="5">
        <v>0</v>
      </c>
      <c r="AE2" s="5">
        <v>1</v>
      </c>
      <c r="AF2" s="5">
        <v>6</v>
      </c>
      <c r="AG2" s="5">
        <v>4</v>
      </c>
      <c r="AH2" s="5">
        <v>0</v>
      </c>
      <c r="AI2" s="5">
        <v>5</v>
      </c>
    </row>
    <row r="3" spans="1:35" x14ac:dyDescent="0.25">
      <c r="A3" s="5">
        <v>49</v>
      </c>
      <c r="B3" s="5" t="s">
        <v>43</v>
      </c>
      <c r="C3" s="5" t="s">
        <v>44</v>
      </c>
      <c r="D3" s="5">
        <v>279</v>
      </c>
      <c r="E3" s="5" t="s">
        <v>45</v>
      </c>
      <c r="F3" s="5">
        <v>8</v>
      </c>
      <c r="G3" s="5">
        <v>1</v>
      </c>
      <c r="H3" s="5" t="s">
        <v>38</v>
      </c>
      <c r="I3" s="5">
        <v>1</v>
      </c>
      <c r="J3" s="5">
        <v>2</v>
      </c>
      <c r="K3" s="5">
        <v>3</v>
      </c>
      <c r="L3" s="5" t="s">
        <v>46</v>
      </c>
      <c r="M3" s="5">
        <v>61</v>
      </c>
      <c r="N3" s="5">
        <v>2</v>
      </c>
      <c r="O3" s="5">
        <v>2</v>
      </c>
      <c r="P3" s="5" t="s">
        <v>47</v>
      </c>
      <c r="Q3" s="5">
        <v>2</v>
      </c>
      <c r="R3" s="5" t="s">
        <v>48</v>
      </c>
      <c r="S3" s="5">
        <v>5130</v>
      </c>
      <c r="T3" s="5">
        <v>24907</v>
      </c>
      <c r="U3" s="5">
        <v>1</v>
      </c>
      <c r="V3" s="5" t="s">
        <v>42</v>
      </c>
      <c r="W3" s="5" t="s">
        <v>43</v>
      </c>
      <c r="X3" s="5">
        <v>23</v>
      </c>
      <c r="Y3" s="5">
        <v>4</v>
      </c>
      <c r="Z3" s="5">
        <v>4</v>
      </c>
      <c r="AA3" s="5">
        <v>80</v>
      </c>
      <c r="AB3" s="5">
        <v>1</v>
      </c>
      <c r="AC3" s="5">
        <v>10</v>
      </c>
      <c r="AD3" s="5">
        <v>3</v>
      </c>
      <c r="AE3" s="5">
        <v>3</v>
      </c>
      <c r="AF3" s="5">
        <v>10</v>
      </c>
      <c r="AG3" s="5">
        <v>7</v>
      </c>
      <c r="AH3" s="5">
        <v>1</v>
      </c>
      <c r="AI3" s="5">
        <v>7</v>
      </c>
    </row>
    <row r="4" spans="1:35" x14ac:dyDescent="0.25">
      <c r="A4" s="5">
        <v>37</v>
      </c>
      <c r="B4" s="5" t="s">
        <v>35</v>
      </c>
      <c r="C4" s="5" t="s">
        <v>36</v>
      </c>
      <c r="D4" s="5">
        <v>1373</v>
      </c>
      <c r="E4" s="5" t="s">
        <v>45</v>
      </c>
      <c r="F4" s="5">
        <v>2</v>
      </c>
      <c r="G4" s="5">
        <v>2</v>
      </c>
      <c r="H4" s="5" t="s">
        <v>49</v>
      </c>
      <c r="I4" s="5">
        <v>1</v>
      </c>
      <c r="J4" s="5">
        <v>4</v>
      </c>
      <c r="K4" s="5">
        <v>4</v>
      </c>
      <c r="L4" s="5" t="s">
        <v>46</v>
      </c>
      <c r="M4" s="5">
        <v>92</v>
      </c>
      <c r="N4" s="5">
        <v>2</v>
      </c>
      <c r="O4" s="5">
        <v>1</v>
      </c>
      <c r="P4" s="5" t="s">
        <v>50</v>
      </c>
      <c r="Q4" s="5">
        <v>3</v>
      </c>
      <c r="R4" s="5" t="s">
        <v>41</v>
      </c>
      <c r="S4" s="5">
        <v>2090</v>
      </c>
      <c r="T4" s="5">
        <v>2396</v>
      </c>
      <c r="U4" s="5">
        <v>6</v>
      </c>
      <c r="V4" s="5" t="s">
        <v>42</v>
      </c>
      <c r="W4" s="5" t="s">
        <v>35</v>
      </c>
      <c r="X4" s="5">
        <v>15</v>
      </c>
      <c r="Y4" s="5">
        <v>3</v>
      </c>
      <c r="Z4" s="5">
        <v>2</v>
      </c>
      <c r="AA4" s="5">
        <v>80</v>
      </c>
      <c r="AB4" s="5">
        <v>0</v>
      </c>
      <c r="AC4" s="5">
        <v>7</v>
      </c>
      <c r="AD4" s="5">
        <v>3</v>
      </c>
      <c r="AE4" s="5">
        <v>3</v>
      </c>
      <c r="AF4" s="5">
        <v>0</v>
      </c>
      <c r="AG4" s="5">
        <v>0</v>
      </c>
      <c r="AH4" s="5">
        <v>0</v>
      </c>
      <c r="AI4" s="5">
        <v>0</v>
      </c>
    </row>
    <row r="5" spans="1:35" x14ac:dyDescent="0.25">
      <c r="A5" s="5">
        <v>33</v>
      </c>
      <c r="B5" s="5" t="s">
        <v>43</v>
      </c>
      <c r="C5" s="5" t="s">
        <v>44</v>
      </c>
      <c r="D5" s="5">
        <v>1392</v>
      </c>
      <c r="E5" s="5" t="s">
        <v>45</v>
      </c>
      <c r="F5" s="5">
        <v>3</v>
      </c>
      <c r="G5" s="5">
        <v>4</v>
      </c>
      <c r="H5" s="5" t="s">
        <v>38</v>
      </c>
      <c r="I5" s="5">
        <v>1</v>
      </c>
      <c r="J5" s="5">
        <v>5</v>
      </c>
      <c r="K5" s="5">
        <v>4</v>
      </c>
      <c r="L5" s="5" t="s">
        <v>39</v>
      </c>
      <c r="M5" s="5">
        <v>56</v>
      </c>
      <c r="N5" s="5">
        <v>3</v>
      </c>
      <c r="O5" s="5">
        <v>1</v>
      </c>
      <c r="P5" s="5" t="s">
        <v>47</v>
      </c>
      <c r="Q5" s="5">
        <v>3</v>
      </c>
      <c r="R5" s="5" t="s">
        <v>48</v>
      </c>
      <c r="S5" s="5">
        <v>2909</v>
      </c>
      <c r="T5" s="5">
        <v>23159</v>
      </c>
      <c r="U5" s="5">
        <v>1</v>
      </c>
      <c r="V5" s="5" t="s">
        <v>42</v>
      </c>
      <c r="W5" s="5" t="s">
        <v>35</v>
      </c>
      <c r="X5" s="5">
        <v>11</v>
      </c>
      <c r="Y5" s="5">
        <v>3</v>
      </c>
      <c r="Z5" s="5">
        <v>3</v>
      </c>
      <c r="AA5" s="5">
        <v>80</v>
      </c>
      <c r="AB5" s="5">
        <v>0</v>
      </c>
      <c r="AC5" s="5">
        <v>8</v>
      </c>
      <c r="AD5" s="5">
        <v>3</v>
      </c>
      <c r="AE5" s="5">
        <v>3</v>
      </c>
      <c r="AF5" s="5">
        <v>8</v>
      </c>
      <c r="AG5" s="5">
        <v>7</v>
      </c>
      <c r="AH5" s="5">
        <v>3</v>
      </c>
      <c r="AI5" s="5">
        <v>0</v>
      </c>
    </row>
    <row r="6" spans="1:35" x14ac:dyDescent="0.25">
      <c r="A6" s="5">
        <v>27</v>
      </c>
      <c r="B6" s="5" t="s">
        <v>43</v>
      </c>
      <c r="C6" s="5" t="s">
        <v>36</v>
      </c>
      <c r="D6" s="5">
        <v>591</v>
      </c>
      <c r="E6" s="5" t="s">
        <v>45</v>
      </c>
      <c r="F6" s="5">
        <v>2</v>
      </c>
      <c r="G6" s="5">
        <v>1</v>
      </c>
      <c r="H6" s="5" t="s">
        <v>51</v>
      </c>
      <c r="I6" s="5">
        <v>1</v>
      </c>
      <c r="J6" s="5">
        <v>7</v>
      </c>
      <c r="K6" s="5">
        <v>1</v>
      </c>
      <c r="L6" s="5" t="s">
        <v>46</v>
      </c>
      <c r="M6" s="5">
        <v>40</v>
      </c>
      <c r="N6" s="5">
        <v>3</v>
      </c>
      <c r="O6" s="5">
        <v>1</v>
      </c>
      <c r="P6" s="5" t="s">
        <v>50</v>
      </c>
      <c r="Q6" s="5">
        <v>2</v>
      </c>
      <c r="R6" s="5" t="s">
        <v>48</v>
      </c>
      <c r="S6" s="5">
        <v>3468</v>
      </c>
      <c r="T6" s="5">
        <v>16632</v>
      </c>
      <c r="U6" s="5">
        <v>9</v>
      </c>
      <c r="V6" s="5" t="s">
        <v>42</v>
      </c>
      <c r="W6" s="5" t="s">
        <v>43</v>
      </c>
      <c r="X6" s="5">
        <v>12</v>
      </c>
      <c r="Y6" s="5">
        <v>3</v>
      </c>
      <c r="Z6" s="5">
        <v>4</v>
      </c>
      <c r="AA6" s="5">
        <v>80</v>
      </c>
      <c r="AB6" s="5">
        <v>1</v>
      </c>
      <c r="AC6" s="5">
        <v>6</v>
      </c>
      <c r="AD6" s="5">
        <v>3</v>
      </c>
      <c r="AE6" s="5">
        <v>3</v>
      </c>
      <c r="AF6" s="5">
        <v>2</v>
      </c>
      <c r="AG6" s="5">
        <v>2</v>
      </c>
      <c r="AH6" s="5">
        <v>2</v>
      </c>
      <c r="AI6" s="5">
        <v>2</v>
      </c>
    </row>
    <row r="7" spans="1:35" x14ac:dyDescent="0.25">
      <c r="A7" s="5">
        <v>32</v>
      </c>
      <c r="B7" s="5" t="s">
        <v>43</v>
      </c>
      <c r="C7" s="5" t="s">
        <v>44</v>
      </c>
      <c r="D7" s="5">
        <v>1005</v>
      </c>
      <c r="E7" s="5" t="s">
        <v>45</v>
      </c>
      <c r="F7" s="5">
        <v>2</v>
      </c>
      <c r="G7" s="5">
        <v>2</v>
      </c>
      <c r="H7" s="5" t="s">
        <v>38</v>
      </c>
      <c r="I7" s="5">
        <v>1</v>
      </c>
      <c r="J7" s="5">
        <v>8</v>
      </c>
      <c r="K7" s="5">
        <v>4</v>
      </c>
      <c r="L7" s="5" t="s">
        <v>46</v>
      </c>
      <c r="M7" s="5">
        <v>79</v>
      </c>
      <c r="N7" s="5">
        <v>3</v>
      </c>
      <c r="O7" s="5">
        <v>1</v>
      </c>
      <c r="P7" s="5" t="s">
        <v>50</v>
      </c>
      <c r="Q7" s="5">
        <v>4</v>
      </c>
      <c r="R7" s="5" t="s">
        <v>41</v>
      </c>
      <c r="S7" s="5">
        <v>3068</v>
      </c>
      <c r="T7" s="5">
        <v>11864</v>
      </c>
      <c r="U7" s="5">
        <v>0</v>
      </c>
      <c r="V7" s="5" t="s">
        <v>42</v>
      </c>
      <c r="W7" s="5" t="s">
        <v>43</v>
      </c>
      <c r="X7" s="5">
        <v>13</v>
      </c>
      <c r="Y7" s="5">
        <v>3</v>
      </c>
      <c r="Z7" s="5">
        <v>3</v>
      </c>
      <c r="AA7" s="5">
        <v>80</v>
      </c>
      <c r="AB7" s="5">
        <v>0</v>
      </c>
      <c r="AC7" s="5">
        <v>8</v>
      </c>
      <c r="AD7" s="5">
        <v>2</v>
      </c>
      <c r="AE7" s="5">
        <v>2</v>
      </c>
      <c r="AF7" s="5">
        <v>7</v>
      </c>
      <c r="AG7" s="5">
        <v>7</v>
      </c>
      <c r="AH7" s="5">
        <v>3</v>
      </c>
      <c r="AI7" s="5">
        <v>6</v>
      </c>
    </row>
    <row r="8" spans="1:35" x14ac:dyDescent="0.25">
      <c r="A8" s="5">
        <v>59</v>
      </c>
      <c r="B8" s="5" t="s">
        <v>43</v>
      </c>
      <c r="C8" s="5" t="s">
        <v>36</v>
      </c>
      <c r="D8" s="5">
        <v>1324</v>
      </c>
      <c r="E8" s="5" t="s">
        <v>45</v>
      </c>
      <c r="F8" s="5">
        <v>3</v>
      </c>
      <c r="G8" s="5">
        <v>3</v>
      </c>
      <c r="H8" s="5" t="s">
        <v>51</v>
      </c>
      <c r="I8" s="5">
        <v>1</v>
      </c>
      <c r="J8" s="5">
        <v>10</v>
      </c>
      <c r="K8" s="5">
        <v>3</v>
      </c>
      <c r="L8" s="5" t="s">
        <v>39</v>
      </c>
      <c r="M8" s="5">
        <v>81</v>
      </c>
      <c r="N8" s="5">
        <v>4</v>
      </c>
      <c r="O8" s="5">
        <v>1</v>
      </c>
      <c r="P8" s="5" t="s">
        <v>50</v>
      </c>
      <c r="Q8" s="5">
        <v>1</v>
      </c>
      <c r="R8" s="5" t="s">
        <v>48</v>
      </c>
      <c r="S8" s="5">
        <v>2670</v>
      </c>
      <c r="T8" s="5">
        <v>9964</v>
      </c>
      <c r="U8" s="5">
        <v>4</v>
      </c>
      <c r="V8" s="5" t="s">
        <v>42</v>
      </c>
      <c r="W8" s="5" t="s">
        <v>35</v>
      </c>
      <c r="X8" s="5">
        <v>20</v>
      </c>
      <c r="Y8" s="5">
        <v>4</v>
      </c>
      <c r="Z8" s="5">
        <v>1</v>
      </c>
      <c r="AA8" s="5">
        <v>80</v>
      </c>
      <c r="AB8" s="5">
        <v>3</v>
      </c>
      <c r="AC8" s="5">
        <v>12</v>
      </c>
      <c r="AD8" s="5">
        <v>3</v>
      </c>
      <c r="AE8" s="5">
        <v>2</v>
      </c>
      <c r="AF8" s="5">
        <v>1</v>
      </c>
      <c r="AG8" s="5">
        <v>0</v>
      </c>
      <c r="AH8" s="5">
        <v>0</v>
      </c>
      <c r="AI8" s="5">
        <v>0</v>
      </c>
    </row>
    <row r="9" spans="1:35" x14ac:dyDescent="0.25">
      <c r="A9" s="5">
        <v>30</v>
      </c>
      <c r="B9" s="5" t="s">
        <v>43</v>
      </c>
      <c r="C9" s="5" t="s">
        <v>36</v>
      </c>
      <c r="D9" s="5">
        <v>1358</v>
      </c>
      <c r="E9" s="5" t="s">
        <v>45</v>
      </c>
      <c r="F9" s="5">
        <v>24</v>
      </c>
      <c r="G9" s="5">
        <v>1</v>
      </c>
      <c r="H9" s="5" t="s">
        <v>38</v>
      </c>
      <c r="I9" s="5">
        <v>1</v>
      </c>
      <c r="J9" s="5">
        <v>11</v>
      </c>
      <c r="K9" s="5">
        <v>4</v>
      </c>
      <c r="L9" s="5" t="s">
        <v>46</v>
      </c>
      <c r="M9" s="5">
        <v>67</v>
      </c>
      <c r="N9" s="5">
        <v>3</v>
      </c>
      <c r="O9" s="5">
        <v>1</v>
      </c>
      <c r="P9" s="5" t="s">
        <v>50</v>
      </c>
      <c r="Q9" s="5">
        <v>3</v>
      </c>
      <c r="R9" s="5" t="s">
        <v>52</v>
      </c>
      <c r="S9" s="5">
        <v>2693</v>
      </c>
      <c r="T9" s="5">
        <v>13335</v>
      </c>
      <c r="U9" s="5">
        <v>1</v>
      </c>
      <c r="V9" s="5" t="s">
        <v>42</v>
      </c>
      <c r="W9" s="5" t="s">
        <v>43</v>
      </c>
      <c r="X9" s="5">
        <v>22</v>
      </c>
      <c r="Y9" s="5">
        <v>4</v>
      </c>
      <c r="Z9" s="5">
        <v>2</v>
      </c>
      <c r="AA9" s="5">
        <v>80</v>
      </c>
      <c r="AB9" s="5">
        <v>1</v>
      </c>
      <c r="AC9" s="5">
        <v>1</v>
      </c>
      <c r="AD9" s="5">
        <v>2</v>
      </c>
      <c r="AE9" s="5">
        <v>3</v>
      </c>
      <c r="AF9" s="5">
        <v>1</v>
      </c>
      <c r="AG9" s="5">
        <v>0</v>
      </c>
      <c r="AH9" s="5">
        <v>0</v>
      </c>
      <c r="AI9" s="5">
        <v>0</v>
      </c>
    </row>
    <row r="10" spans="1:35" x14ac:dyDescent="0.25">
      <c r="A10" s="5">
        <v>38</v>
      </c>
      <c r="B10" s="5" t="s">
        <v>43</v>
      </c>
      <c r="C10" s="5" t="s">
        <v>44</v>
      </c>
      <c r="D10" s="5">
        <v>216</v>
      </c>
      <c r="E10" s="5" t="s">
        <v>45</v>
      </c>
      <c r="F10" s="5">
        <v>23</v>
      </c>
      <c r="G10" s="5">
        <v>3</v>
      </c>
      <c r="H10" s="5" t="s">
        <v>38</v>
      </c>
      <c r="I10" s="5">
        <v>1</v>
      </c>
      <c r="J10" s="5">
        <v>12</v>
      </c>
      <c r="K10" s="5">
        <v>4</v>
      </c>
      <c r="L10" s="5" t="s">
        <v>46</v>
      </c>
      <c r="M10" s="5">
        <v>44</v>
      </c>
      <c r="N10" s="5">
        <v>2</v>
      </c>
      <c r="O10" s="5">
        <v>3</v>
      </c>
      <c r="P10" s="5" t="s">
        <v>53</v>
      </c>
      <c r="Q10" s="5">
        <v>3</v>
      </c>
      <c r="R10" s="5" t="s">
        <v>41</v>
      </c>
      <c r="S10" s="5">
        <v>9526</v>
      </c>
      <c r="T10" s="5">
        <v>8787</v>
      </c>
      <c r="U10" s="5">
        <v>0</v>
      </c>
      <c r="V10" s="5" t="s">
        <v>42</v>
      </c>
      <c r="W10" s="5" t="s">
        <v>43</v>
      </c>
      <c r="X10" s="5">
        <v>21</v>
      </c>
      <c r="Y10" s="5">
        <v>4</v>
      </c>
      <c r="Z10" s="5">
        <v>2</v>
      </c>
      <c r="AA10" s="5">
        <v>80</v>
      </c>
      <c r="AB10" s="5">
        <v>0</v>
      </c>
      <c r="AC10" s="5">
        <v>10</v>
      </c>
      <c r="AD10" s="5">
        <v>2</v>
      </c>
      <c r="AE10" s="5">
        <v>3</v>
      </c>
      <c r="AF10" s="5">
        <v>9</v>
      </c>
      <c r="AG10" s="5">
        <v>7</v>
      </c>
      <c r="AH10" s="5">
        <v>1</v>
      </c>
      <c r="AI10" s="5">
        <v>8</v>
      </c>
    </row>
    <row r="11" spans="1:35" x14ac:dyDescent="0.25">
      <c r="A11" s="5">
        <v>36</v>
      </c>
      <c r="B11" s="5" t="s">
        <v>43</v>
      </c>
      <c r="C11" s="5" t="s">
        <v>36</v>
      </c>
      <c r="D11" s="5">
        <v>1299</v>
      </c>
      <c r="E11" s="5" t="s">
        <v>45</v>
      </c>
      <c r="F11" s="5">
        <v>27</v>
      </c>
      <c r="G11" s="5">
        <v>3</v>
      </c>
      <c r="H11" s="5" t="s">
        <v>51</v>
      </c>
      <c r="I11" s="5">
        <v>1</v>
      </c>
      <c r="J11" s="5">
        <v>13</v>
      </c>
      <c r="K11" s="5">
        <v>3</v>
      </c>
      <c r="L11" s="5" t="s">
        <v>46</v>
      </c>
      <c r="M11" s="5">
        <v>94</v>
      </c>
      <c r="N11" s="5">
        <v>3</v>
      </c>
      <c r="O11" s="5">
        <v>2</v>
      </c>
      <c r="P11" s="5" t="s">
        <v>54</v>
      </c>
      <c r="Q11" s="5">
        <v>3</v>
      </c>
      <c r="R11" s="5" t="s">
        <v>48</v>
      </c>
      <c r="S11" s="5">
        <v>5237</v>
      </c>
      <c r="T11" s="5">
        <v>16577</v>
      </c>
      <c r="U11" s="5">
        <v>6</v>
      </c>
      <c r="V11" s="5" t="s">
        <v>42</v>
      </c>
      <c r="W11" s="5" t="s">
        <v>43</v>
      </c>
      <c r="X11" s="5">
        <v>13</v>
      </c>
      <c r="Y11" s="5">
        <v>3</v>
      </c>
      <c r="Z11" s="5">
        <v>2</v>
      </c>
      <c r="AA11" s="5">
        <v>80</v>
      </c>
      <c r="AB11" s="5">
        <v>2</v>
      </c>
      <c r="AC11" s="5">
        <v>17</v>
      </c>
      <c r="AD11" s="5">
        <v>3</v>
      </c>
      <c r="AE11" s="5">
        <v>2</v>
      </c>
      <c r="AF11" s="5">
        <v>7</v>
      </c>
      <c r="AG11" s="5">
        <v>7</v>
      </c>
      <c r="AH11" s="5">
        <v>7</v>
      </c>
      <c r="AI11" s="5">
        <v>7</v>
      </c>
    </row>
    <row r="12" spans="1:35" x14ac:dyDescent="0.25">
      <c r="A12" s="5">
        <v>35</v>
      </c>
      <c r="B12" s="5" t="s">
        <v>43</v>
      </c>
      <c r="C12" s="5" t="s">
        <v>36</v>
      </c>
      <c r="D12" s="5">
        <v>809</v>
      </c>
      <c r="E12" s="5" t="s">
        <v>45</v>
      </c>
      <c r="F12" s="5">
        <v>16</v>
      </c>
      <c r="G12" s="5">
        <v>3</v>
      </c>
      <c r="H12" s="5" t="s">
        <v>51</v>
      </c>
      <c r="I12" s="5">
        <v>1</v>
      </c>
      <c r="J12" s="5">
        <v>14</v>
      </c>
      <c r="K12" s="5">
        <v>1</v>
      </c>
      <c r="L12" s="5" t="s">
        <v>46</v>
      </c>
      <c r="M12" s="5">
        <v>84</v>
      </c>
      <c r="N12" s="5">
        <v>4</v>
      </c>
      <c r="O12" s="5">
        <v>1</v>
      </c>
      <c r="P12" s="5" t="s">
        <v>50</v>
      </c>
      <c r="Q12" s="5">
        <v>2</v>
      </c>
      <c r="R12" s="5" t="s">
        <v>48</v>
      </c>
      <c r="S12" s="5">
        <v>2426</v>
      </c>
      <c r="T12" s="5">
        <v>16479</v>
      </c>
      <c r="U12" s="5">
        <v>0</v>
      </c>
      <c r="V12" s="5" t="s">
        <v>42</v>
      </c>
      <c r="W12" s="5" t="s">
        <v>43</v>
      </c>
      <c r="X12" s="5">
        <v>13</v>
      </c>
      <c r="Y12" s="5">
        <v>3</v>
      </c>
      <c r="Z12" s="5">
        <v>3</v>
      </c>
      <c r="AA12" s="5">
        <v>80</v>
      </c>
      <c r="AB12" s="5">
        <v>1</v>
      </c>
      <c r="AC12" s="5">
        <v>6</v>
      </c>
      <c r="AD12" s="5">
        <v>5</v>
      </c>
      <c r="AE12" s="5">
        <v>3</v>
      </c>
      <c r="AF12" s="5">
        <v>5</v>
      </c>
      <c r="AG12" s="5">
        <v>4</v>
      </c>
      <c r="AH12" s="5">
        <v>0</v>
      </c>
      <c r="AI12" s="5">
        <v>3</v>
      </c>
    </row>
    <row r="13" spans="1:35" x14ac:dyDescent="0.25">
      <c r="A13" s="5">
        <v>29</v>
      </c>
      <c r="B13" s="5" t="s">
        <v>43</v>
      </c>
      <c r="C13" s="5" t="s">
        <v>36</v>
      </c>
      <c r="D13" s="5">
        <v>153</v>
      </c>
      <c r="E13" s="5" t="s">
        <v>45</v>
      </c>
      <c r="F13" s="5">
        <v>15</v>
      </c>
      <c r="G13" s="5">
        <v>2</v>
      </c>
      <c r="H13" s="5" t="s">
        <v>38</v>
      </c>
      <c r="I13" s="5">
        <v>1</v>
      </c>
      <c r="J13" s="5">
        <v>15</v>
      </c>
      <c r="K13" s="5">
        <v>4</v>
      </c>
      <c r="L13" s="5" t="s">
        <v>39</v>
      </c>
      <c r="M13" s="5">
        <v>49</v>
      </c>
      <c r="N13" s="5">
        <v>2</v>
      </c>
      <c r="O13" s="5">
        <v>2</v>
      </c>
      <c r="P13" s="5" t="s">
        <v>50</v>
      </c>
      <c r="Q13" s="5">
        <v>3</v>
      </c>
      <c r="R13" s="5" t="s">
        <v>41</v>
      </c>
      <c r="S13" s="5">
        <v>4193</v>
      </c>
      <c r="T13" s="5">
        <v>12682</v>
      </c>
      <c r="U13" s="5">
        <v>0</v>
      </c>
      <c r="V13" s="5" t="s">
        <v>42</v>
      </c>
      <c r="W13" s="5" t="s">
        <v>35</v>
      </c>
      <c r="X13" s="5">
        <v>12</v>
      </c>
      <c r="Y13" s="5">
        <v>3</v>
      </c>
      <c r="Z13" s="5">
        <v>4</v>
      </c>
      <c r="AA13" s="5">
        <v>80</v>
      </c>
      <c r="AB13" s="5">
        <v>0</v>
      </c>
      <c r="AC13" s="5">
        <v>10</v>
      </c>
      <c r="AD13" s="5">
        <v>3</v>
      </c>
      <c r="AE13" s="5">
        <v>3</v>
      </c>
      <c r="AF13" s="5">
        <v>9</v>
      </c>
      <c r="AG13" s="5">
        <v>5</v>
      </c>
      <c r="AH13" s="5">
        <v>0</v>
      </c>
      <c r="AI13" s="5">
        <v>8</v>
      </c>
    </row>
    <row r="14" spans="1:35" x14ac:dyDescent="0.25">
      <c r="A14" s="5">
        <v>31</v>
      </c>
      <c r="B14" s="5" t="s">
        <v>43</v>
      </c>
      <c r="C14" s="5" t="s">
        <v>36</v>
      </c>
      <c r="D14" s="5">
        <v>670</v>
      </c>
      <c r="E14" s="5" t="s">
        <v>45</v>
      </c>
      <c r="F14" s="5">
        <v>26</v>
      </c>
      <c r="G14" s="5">
        <v>1</v>
      </c>
      <c r="H14" s="5" t="s">
        <v>38</v>
      </c>
      <c r="I14" s="5">
        <v>1</v>
      </c>
      <c r="J14" s="5">
        <v>16</v>
      </c>
      <c r="K14" s="5">
        <v>1</v>
      </c>
      <c r="L14" s="5" t="s">
        <v>46</v>
      </c>
      <c r="M14" s="5">
        <v>31</v>
      </c>
      <c r="N14" s="5">
        <v>3</v>
      </c>
      <c r="O14" s="5">
        <v>1</v>
      </c>
      <c r="P14" s="5" t="s">
        <v>47</v>
      </c>
      <c r="Q14" s="5">
        <v>3</v>
      </c>
      <c r="R14" s="5" t="s">
        <v>52</v>
      </c>
      <c r="S14" s="5">
        <v>2911</v>
      </c>
      <c r="T14" s="5">
        <v>15170</v>
      </c>
      <c r="U14" s="5">
        <v>1</v>
      </c>
      <c r="V14" s="5" t="s">
        <v>42</v>
      </c>
      <c r="W14" s="5" t="s">
        <v>43</v>
      </c>
      <c r="X14" s="5">
        <v>17</v>
      </c>
      <c r="Y14" s="5">
        <v>3</v>
      </c>
      <c r="Z14" s="5">
        <v>4</v>
      </c>
      <c r="AA14" s="5">
        <v>80</v>
      </c>
      <c r="AB14" s="5">
        <v>1</v>
      </c>
      <c r="AC14" s="5">
        <v>5</v>
      </c>
      <c r="AD14" s="5">
        <v>1</v>
      </c>
      <c r="AE14" s="5">
        <v>2</v>
      </c>
      <c r="AF14" s="5">
        <v>5</v>
      </c>
      <c r="AG14" s="5">
        <v>2</v>
      </c>
      <c r="AH14" s="5">
        <v>4</v>
      </c>
      <c r="AI14" s="5">
        <v>3</v>
      </c>
    </row>
    <row r="15" spans="1:35" x14ac:dyDescent="0.25">
      <c r="A15" s="5">
        <v>34</v>
      </c>
      <c r="B15" s="5" t="s">
        <v>43</v>
      </c>
      <c r="C15" s="5" t="s">
        <v>36</v>
      </c>
      <c r="D15" s="5">
        <v>1346</v>
      </c>
      <c r="E15" s="5" t="s">
        <v>45</v>
      </c>
      <c r="F15" s="5">
        <v>19</v>
      </c>
      <c r="G15" s="5">
        <v>2</v>
      </c>
      <c r="H15" s="5" t="s">
        <v>51</v>
      </c>
      <c r="I15" s="5">
        <v>1</v>
      </c>
      <c r="J15" s="5">
        <v>18</v>
      </c>
      <c r="K15" s="5">
        <v>2</v>
      </c>
      <c r="L15" s="5" t="s">
        <v>46</v>
      </c>
      <c r="M15" s="5">
        <v>93</v>
      </c>
      <c r="N15" s="5">
        <v>3</v>
      </c>
      <c r="O15" s="5">
        <v>1</v>
      </c>
      <c r="P15" s="5" t="s">
        <v>50</v>
      </c>
      <c r="Q15" s="5">
        <v>4</v>
      </c>
      <c r="R15" s="5" t="s">
        <v>52</v>
      </c>
      <c r="S15" s="5">
        <v>2661</v>
      </c>
      <c r="T15" s="5">
        <v>8758</v>
      </c>
      <c r="U15" s="5">
        <v>0</v>
      </c>
      <c r="V15" s="5" t="s">
        <v>42</v>
      </c>
      <c r="W15" s="5" t="s">
        <v>43</v>
      </c>
      <c r="X15" s="5">
        <v>11</v>
      </c>
      <c r="Y15" s="5">
        <v>3</v>
      </c>
      <c r="Z15" s="5">
        <v>3</v>
      </c>
      <c r="AA15" s="5">
        <v>80</v>
      </c>
      <c r="AB15" s="5">
        <v>1</v>
      </c>
      <c r="AC15" s="5">
        <v>3</v>
      </c>
      <c r="AD15" s="5">
        <v>2</v>
      </c>
      <c r="AE15" s="5">
        <v>3</v>
      </c>
      <c r="AF15" s="5">
        <v>2</v>
      </c>
      <c r="AG15" s="5">
        <v>2</v>
      </c>
      <c r="AH15" s="5">
        <v>1</v>
      </c>
      <c r="AI15" s="5">
        <v>2</v>
      </c>
    </row>
    <row r="16" spans="1:35" x14ac:dyDescent="0.25">
      <c r="A16" s="5">
        <v>28</v>
      </c>
      <c r="B16" s="5" t="s">
        <v>35</v>
      </c>
      <c r="C16" s="5" t="s">
        <v>36</v>
      </c>
      <c r="D16" s="5">
        <v>103</v>
      </c>
      <c r="E16" s="5" t="s">
        <v>45</v>
      </c>
      <c r="F16" s="5">
        <v>24</v>
      </c>
      <c r="G16" s="5">
        <v>3</v>
      </c>
      <c r="H16" s="5" t="s">
        <v>38</v>
      </c>
      <c r="I16" s="5">
        <v>1</v>
      </c>
      <c r="J16" s="5">
        <v>19</v>
      </c>
      <c r="K16" s="5">
        <v>3</v>
      </c>
      <c r="L16" s="5" t="s">
        <v>46</v>
      </c>
      <c r="M16" s="5">
        <v>50</v>
      </c>
      <c r="N16" s="5">
        <v>2</v>
      </c>
      <c r="O16" s="5">
        <v>1</v>
      </c>
      <c r="P16" s="5" t="s">
        <v>50</v>
      </c>
      <c r="Q16" s="5">
        <v>3</v>
      </c>
      <c r="R16" s="5" t="s">
        <v>41</v>
      </c>
      <c r="S16" s="5">
        <v>2028</v>
      </c>
      <c r="T16" s="5">
        <v>12947</v>
      </c>
      <c r="U16" s="5">
        <v>5</v>
      </c>
      <c r="V16" s="5" t="s">
        <v>42</v>
      </c>
      <c r="W16" s="5" t="s">
        <v>35</v>
      </c>
      <c r="X16" s="5">
        <v>14</v>
      </c>
      <c r="Y16" s="5">
        <v>3</v>
      </c>
      <c r="Z16" s="5">
        <v>2</v>
      </c>
      <c r="AA16" s="5">
        <v>80</v>
      </c>
      <c r="AB16" s="5">
        <v>0</v>
      </c>
      <c r="AC16" s="5">
        <v>6</v>
      </c>
      <c r="AD16" s="5">
        <v>4</v>
      </c>
      <c r="AE16" s="5">
        <v>3</v>
      </c>
      <c r="AF16" s="5">
        <v>4</v>
      </c>
      <c r="AG16" s="5">
        <v>2</v>
      </c>
      <c r="AH16" s="5">
        <v>0</v>
      </c>
      <c r="AI16" s="5">
        <v>3</v>
      </c>
    </row>
    <row r="17" spans="1:35" x14ac:dyDescent="0.25">
      <c r="A17" s="5">
        <v>29</v>
      </c>
      <c r="B17" s="5" t="s">
        <v>43</v>
      </c>
      <c r="C17" s="5" t="s">
        <v>36</v>
      </c>
      <c r="D17" s="5">
        <v>1389</v>
      </c>
      <c r="E17" s="5" t="s">
        <v>45</v>
      </c>
      <c r="F17" s="5">
        <v>21</v>
      </c>
      <c r="G17" s="5">
        <v>4</v>
      </c>
      <c r="H17" s="5" t="s">
        <v>38</v>
      </c>
      <c r="I17" s="5">
        <v>1</v>
      </c>
      <c r="J17" s="5">
        <v>20</v>
      </c>
      <c r="K17" s="5">
        <v>2</v>
      </c>
      <c r="L17" s="5" t="s">
        <v>39</v>
      </c>
      <c r="M17" s="5">
        <v>51</v>
      </c>
      <c r="N17" s="5">
        <v>4</v>
      </c>
      <c r="O17" s="5">
        <v>3</v>
      </c>
      <c r="P17" s="5" t="s">
        <v>53</v>
      </c>
      <c r="Q17" s="5">
        <v>1</v>
      </c>
      <c r="R17" s="5" t="s">
        <v>52</v>
      </c>
      <c r="S17" s="5">
        <v>9980</v>
      </c>
      <c r="T17" s="5">
        <v>10195</v>
      </c>
      <c r="U17" s="5">
        <v>1</v>
      </c>
      <c r="V17" s="5" t="s">
        <v>42</v>
      </c>
      <c r="W17" s="5" t="s">
        <v>43</v>
      </c>
      <c r="X17" s="5">
        <v>11</v>
      </c>
      <c r="Y17" s="5">
        <v>3</v>
      </c>
      <c r="Z17" s="5">
        <v>3</v>
      </c>
      <c r="AA17" s="5">
        <v>80</v>
      </c>
      <c r="AB17" s="5">
        <v>1</v>
      </c>
      <c r="AC17" s="5">
        <v>10</v>
      </c>
      <c r="AD17" s="5">
        <v>1</v>
      </c>
      <c r="AE17" s="5">
        <v>3</v>
      </c>
      <c r="AF17" s="5">
        <v>10</v>
      </c>
      <c r="AG17" s="5">
        <v>9</v>
      </c>
      <c r="AH17" s="5">
        <v>8</v>
      </c>
      <c r="AI17" s="5">
        <v>8</v>
      </c>
    </row>
    <row r="18" spans="1:35" x14ac:dyDescent="0.25">
      <c r="A18" s="5">
        <v>32</v>
      </c>
      <c r="B18" s="5" t="s">
        <v>43</v>
      </c>
      <c r="C18" s="5" t="s">
        <v>36</v>
      </c>
      <c r="D18" s="5">
        <v>334</v>
      </c>
      <c r="E18" s="5" t="s">
        <v>45</v>
      </c>
      <c r="F18" s="5">
        <v>5</v>
      </c>
      <c r="G18" s="5">
        <v>2</v>
      </c>
      <c r="H18" s="5" t="s">
        <v>38</v>
      </c>
      <c r="I18" s="5">
        <v>1</v>
      </c>
      <c r="J18" s="5">
        <v>21</v>
      </c>
      <c r="K18" s="5">
        <v>1</v>
      </c>
      <c r="L18" s="5" t="s">
        <v>46</v>
      </c>
      <c r="M18" s="5">
        <v>80</v>
      </c>
      <c r="N18" s="5">
        <v>4</v>
      </c>
      <c r="O18" s="5">
        <v>1</v>
      </c>
      <c r="P18" s="5" t="s">
        <v>47</v>
      </c>
      <c r="Q18" s="5">
        <v>2</v>
      </c>
      <c r="R18" s="5" t="s">
        <v>52</v>
      </c>
      <c r="S18" s="5">
        <v>3298</v>
      </c>
      <c r="T18" s="5">
        <v>15053</v>
      </c>
      <c r="U18" s="5">
        <v>0</v>
      </c>
      <c r="V18" s="5" t="s">
        <v>42</v>
      </c>
      <c r="W18" s="5" t="s">
        <v>35</v>
      </c>
      <c r="X18" s="5">
        <v>12</v>
      </c>
      <c r="Y18" s="5">
        <v>3</v>
      </c>
      <c r="Z18" s="5">
        <v>4</v>
      </c>
      <c r="AA18" s="5">
        <v>80</v>
      </c>
      <c r="AB18" s="5">
        <v>2</v>
      </c>
      <c r="AC18" s="5">
        <v>7</v>
      </c>
      <c r="AD18" s="5">
        <v>5</v>
      </c>
      <c r="AE18" s="5">
        <v>2</v>
      </c>
      <c r="AF18" s="5">
        <v>6</v>
      </c>
      <c r="AG18" s="5">
        <v>2</v>
      </c>
      <c r="AH18" s="5">
        <v>0</v>
      </c>
      <c r="AI18" s="5">
        <v>5</v>
      </c>
    </row>
    <row r="19" spans="1:35" x14ac:dyDescent="0.25">
      <c r="A19" s="5">
        <v>22</v>
      </c>
      <c r="B19" s="5" t="s">
        <v>43</v>
      </c>
      <c r="C19" s="5" t="s">
        <v>55</v>
      </c>
      <c r="D19" s="5">
        <v>1123</v>
      </c>
      <c r="E19" s="5" t="s">
        <v>45</v>
      </c>
      <c r="F19" s="5">
        <v>16</v>
      </c>
      <c r="G19" s="5">
        <v>2</v>
      </c>
      <c r="H19" s="5" t="s">
        <v>51</v>
      </c>
      <c r="I19" s="5">
        <v>1</v>
      </c>
      <c r="J19" s="5">
        <v>22</v>
      </c>
      <c r="K19" s="5">
        <v>4</v>
      </c>
      <c r="L19" s="5" t="s">
        <v>46</v>
      </c>
      <c r="M19" s="5">
        <v>96</v>
      </c>
      <c r="N19" s="5">
        <v>4</v>
      </c>
      <c r="O19" s="5">
        <v>1</v>
      </c>
      <c r="P19" s="5" t="s">
        <v>50</v>
      </c>
      <c r="Q19" s="5">
        <v>4</v>
      </c>
      <c r="R19" s="5" t="s">
        <v>52</v>
      </c>
      <c r="S19" s="5">
        <v>2935</v>
      </c>
      <c r="T19" s="5">
        <v>7324</v>
      </c>
      <c r="U19" s="5">
        <v>1</v>
      </c>
      <c r="V19" s="5" t="s">
        <v>42</v>
      </c>
      <c r="W19" s="5" t="s">
        <v>35</v>
      </c>
      <c r="X19" s="5">
        <v>13</v>
      </c>
      <c r="Y19" s="5">
        <v>3</v>
      </c>
      <c r="Z19" s="5">
        <v>2</v>
      </c>
      <c r="AA19" s="5">
        <v>80</v>
      </c>
      <c r="AB19" s="5">
        <v>2</v>
      </c>
      <c r="AC19" s="5">
        <v>1</v>
      </c>
      <c r="AD19" s="5">
        <v>2</v>
      </c>
      <c r="AE19" s="5">
        <v>2</v>
      </c>
      <c r="AF19" s="5">
        <v>1</v>
      </c>
      <c r="AG19" s="5">
        <v>0</v>
      </c>
      <c r="AH19" s="5">
        <v>0</v>
      </c>
      <c r="AI19" s="5">
        <v>0</v>
      </c>
    </row>
    <row r="20" spans="1:35" x14ac:dyDescent="0.25">
      <c r="A20" s="5">
        <v>53</v>
      </c>
      <c r="B20" s="5" t="s">
        <v>43</v>
      </c>
      <c r="C20" s="5" t="s">
        <v>36</v>
      </c>
      <c r="D20" s="5">
        <v>1219</v>
      </c>
      <c r="E20" s="5" t="s">
        <v>37</v>
      </c>
      <c r="F20" s="5">
        <v>2</v>
      </c>
      <c r="G20" s="5">
        <v>4</v>
      </c>
      <c r="H20" s="5" t="s">
        <v>38</v>
      </c>
      <c r="I20" s="5">
        <v>1</v>
      </c>
      <c r="J20" s="5">
        <v>23</v>
      </c>
      <c r="K20" s="5">
        <v>1</v>
      </c>
      <c r="L20" s="5" t="s">
        <v>39</v>
      </c>
      <c r="M20" s="5">
        <v>78</v>
      </c>
      <c r="N20" s="5">
        <v>2</v>
      </c>
      <c r="O20" s="5">
        <v>4</v>
      </c>
      <c r="P20" s="5" t="s">
        <v>56</v>
      </c>
      <c r="Q20" s="5">
        <v>4</v>
      </c>
      <c r="R20" s="5" t="s">
        <v>48</v>
      </c>
      <c r="S20" s="5">
        <v>15427</v>
      </c>
      <c r="T20" s="5">
        <v>22021</v>
      </c>
      <c r="U20" s="5">
        <v>2</v>
      </c>
      <c r="V20" s="5" t="s">
        <v>42</v>
      </c>
      <c r="W20" s="5" t="s">
        <v>43</v>
      </c>
      <c r="X20" s="5">
        <v>16</v>
      </c>
      <c r="Y20" s="5">
        <v>3</v>
      </c>
      <c r="Z20" s="5">
        <v>3</v>
      </c>
      <c r="AA20" s="5">
        <v>80</v>
      </c>
      <c r="AB20" s="5">
        <v>0</v>
      </c>
      <c r="AC20" s="5">
        <v>31</v>
      </c>
      <c r="AD20" s="5">
        <v>3</v>
      </c>
      <c r="AE20" s="5">
        <v>3</v>
      </c>
      <c r="AF20" s="5">
        <v>25</v>
      </c>
      <c r="AG20" s="5">
        <v>8</v>
      </c>
      <c r="AH20" s="5">
        <v>3</v>
      </c>
      <c r="AI20" s="5">
        <v>7</v>
      </c>
    </row>
    <row r="21" spans="1:35" x14ac:dyDescent="0.25">
      <c r="A21" s="5">
        <v>38</v>
      </c>
      <c r="B21" s="5" t="s">
        <v>43</v>
      </c>
      <c r="C21" s="5" t="s">
        <v>36</v>
      </c>
      <c r="D21" s="5">
        <v>371</v>
      </c>
      <c r="E21" s="5" t="s">
        <v>45</v>
      </c>
      <c r="F21" s="5">
        <v>2</v>
      </c>
      <c r="G21" s="5">
        <v>3</v>
      </c>
      <c r="H21" s="5" t="s">
        <v>38</v>
      </c>
      <c r="I21" s="5">
        <v>1</v>
      </c>
      <c r="J21" s="5">
        <v>24</v>
      </c>
      <c r="K21" s="5">
        <v>4</v>
      </c>
      <c r="L21" s="5" t="s">
        <v>46</v>
      </c>
      <c r="M21" s="5">
        <v>45</v>
      </c>
      <c r="N21" s="5">
        <v>3</v>
      </c>
      <c r="O21" s="5">
        <v>1</v>
      </c>
      <c r="P21" s="5" t="s">
        <v>47</v>
      </c>
      <c r="Q21" s="5">
        <v>4</v>
      </c>
      <c r="R21" s="5" t="s">
        <v>41</v>
      </c>
      <c r="S21" s="5">
        <v>3944</v>
      </c>
      <c r="T21" s="5">
        <v>4306</v>
      </c>
      <c r="U21" s="5">
        <v>5</v>
      </c>
      <c r="V21" s="5" t="s">
        <v>42</v>
      </c>
      <c r="W21" s="5" t="s">
        <v>35</v>
      </c>
      <c r="X21" s="5">
        <v>11</v>
      </c>
      <c r="Y21" s="5">
        <v>3</v>
      </c>
      <c r="Z21" s="5">
        <v>3</v>
      </c>
      <c r="AA21" s="5">
        <v>80</v>
      </c>
      <c r="AB21" s="5">
        <v>0</v>
      </c>
      <c r="AC21" s="5">
        <v>6</v>
      </c>
      <c r="AD21" s="5">
        <v>3</v>
      </c>
      <c r="AE21" s="5">
        <v>3</v>
      </c>
      <c r="AF21" s="5">
        <v>3</v>
      </c>
      <c r="AG21" s="5">
        <v>2</v>
      </c>
      <c r="AH21" s="5">
        <v>1</v>
      </c>
      <c r="AI21" s="5">
        <v>2</v>
      </c>
    </row>
    <row r="22" spans="1:35" x14ac:dyDescent="0.25">
      <c r="A22" s="5">
        <v>24</v>
      </c>
      <c r="B22" s="5" t="s">
        <v>43</v>
      </c>
      <c r="C22" s="5" t="s">
        <v>55</v>
      </c>
      <c r="D22" s="5">
        <v>673</v>
      </c>
      <c r="E22" s="5" t="s">
        <v>45</v>
      </c>
      <c r="F22" s="5">
        <v>11</v>
      </c>
      <c r="G22" s="5">
        <v>2</v>
      </c>
      <c r="H22" s="5" t="s">
        <v>49</v>
      </c>
      <c r="I22" s="5">
        <v>1</v>
      </c>
      <c r="J22" s="5">
        <v>26</v>
      </c>
      <c r="K22" s="5">
        <v>1</v>
      </c>
      <c r="L22" s="5" t="s">
        <v>39</v>
      </c>
      <c r="M22" s="5">
        <v>96</v>
      </c>
      <c r="N22" s="5">
        <v>4</v>
      </c>
      <c r="O22" s="5">
        <v>2</v>
      </c>
      <c r="P22" s="5" t="s">
        <v>53</v>
      </c>
      <c r="Q22" s="5">
        <v>3</v>
      </c>
      <c r="R22" s="5" t="s">
        <v>52</v>
      </c>
      <c r="S22" s="5">
        <v>4011</v>
      </c>
      <c r="T22" s="5">
        <v>8232</v>
      </c>
      <c r="U22" s="5">
        <v>0</v>
      </c>
      <c r="V22" s="5" t="s">
        <v>42</v>
      </c>
      <c r="W22" s="5" t="s">
        <v>43</v>
      </c>
      <c r="X22" s="5">
        <v>18</v>
      </c>
      <c r="Y22" s="5">
        <v>3</v>
      </c>
      <c r="Z22" s="5">
        <v>4</v>
      </c>
      <c r="AA22" s="5">
        <v>80</v>
      </c>
      <c r="AB22" s="5">
        <v>1</v>
      </c>
      <c r="AC22" s="5">
        <v>5</v>
      </c>
      <c r="AD22" s="5">
        <v>5</v>
      </c>
      <c r="AE22" s="5">
        <v>2</v>
      </c>
      <c r="AF22" s="5">
        <v>4</v>
      </c>
      <c r="AG22" s="5">
        <v>2</v>
      </c>
      <c r="AH22" s="5">
        <v>1</v>
      </c>
      <c r="AI22" s="5">
        <v>3</v>
      </c>
    </row>
    <row r="23" spans="1:35" x14ac:dyDescent="0.25">
      <c r="A23" s="5">
        <v>36</v>
      </c>
      <c r="B23" s="5" t="s">
        <v>35</v>
      </c>
      <c r="C23" s="5" t="s">
        <v>36</v>
      </c>
      <c r="D23" s="5">
        <v>1218</v>
      </c>
      <c r="E23" s="5" t="s">
        <v>37</v>
      </c>
      <c r="F23" s="5">
        <v>9</v>
      </c>
      <c r="G23" s="5">
        <v>4</v>
      </c>
      <c r="H23" s="5" t="s">
        <v>38</v>
      </c>
      <c r="I23" s="5">
        <v>1</v>
      </c>
      <c r="J23" s="5">
        <v>27</v>
      </c>
      <c r="K23" s="5">
        <v>3</v>
      </c>
      <c r="L23" s="5" t="s">
        <v>46</v>
      </c>
      <c r="M23" s="5">
        <v>82</v>
      </c>
      <c r="N23" s="5">
        <v>2</v>
      </c>
      <c r="O23" s="5">
        <v>1</v>
      </c>
      <c r="P23" s="5" t="s">
        <v>57</v>
      </c>
      <c r="Q23" s="5">
        <v>1</v>
      </c>
      <c r="R23" s="5" t="s">
        <v>41</v>
      </c>
      <c r="S23" s="5">
        <v>3407</v>
      </c>
      <c r="T23" s="5">
        <v>6986</v>
      </c>
      <c r="U23" s="5">
        <v>7</v>
      </c>
      <c r="V23" s="5" t="s">
        <v>42</v>
      </c>
      <c r="W23" s="5" t="s">
        <v>43</v>
      </c>
      <c r="X23" s="5">
        <v>23</v>
      </c>
      <c r="Y23" s="5">
        <v>4</v>
      </c>
      <c r="Z23" s="5">
        <v>2</v>
      </c>
      <c r="AA23" s="5">
        <v>80</v>
      </c>
      <c r="AB23" s="5">
        <v>0</v>
      </c>
      <c r="AC23" s="5">
        <v>10</v>
      </c>
      <c r="AD23" s="5">
        <v>4</v>
      </c>
      <c r="AE23" s="5">
        <v>3</v>
      </c>
      <c r="AF23" s="5">
        <v>5</v>
      </c>
      <c r="AG23" s="5">
        <v>3</v>
      </c>
      <c r="AH23" s="5">
        <v>0</v>
      </c>
      <c r="AI23" s="5">
        <v>3</v>
      </c>
    </row>
    <row r="24" spans="1:35" x14ac:dyDescent="0.25">
      <c r="A24" s="5">
        <v>34</v>
      </c>
      <c r="B24" s="5" t="s">
        <v>43</v>
      </c>
      <c r="C24" s="5" t="s">
        <v>36</v>
      </c>
      <c r="D24" s="5">
        <v>419</v>
      </c>
      <c r="E24" s="5" t="s">
        <v>45</v>
      </c>
      <c r="F24" s="5">
        <v>7</v>
      </c>
      <c r="G24" s="5">
        <v>4</v>
      </c>
      <c r="H24" s="5" t="s">
        <v>38</v>
      </c>
      <c r="I24" s="5">
        <v>1</v>
      </c>
      <c r="J24" s="5">
        <v>28</v>
      </c>
      <c r="K24" s="5">
        <v>1</v>
      </c>
      <c r="L24" s="5" t="s">
        <v>39</v>
      </c>
      <c r="M24" s="5">
        <v>53</v>
      </c>
      <c r="N24" s="5">
        <v>3</v>
      </c>
      <c r="O24" s="5">
        <v>3</v>
      </c>
      <c r="P24" s="5" t="s">
        <v>58</v>
      </c>
      <c r="Q24" s="5">
        <v>2</v>
      </c>
      <c r="R24" s="5" t="s">
        <v>41</v>
      </c>
      <c r="S24" s="5">
        <v>11994</v>
      </c>
      <c r="T24" s="5">
        <v>21293</v>
      </c>
      <c r="U24" s="5">
        <v>0</v>
      </c>
      <c r="V24" s="5" t="s">
        <v>42</v>
      </c>
      <c r="W24" s="5" t="s">
        <v>43</v>
      </c>
      <c r="X24" s="5">
        <v>11</v>
      </c>
      <c r="Y24" s="5">
        <v>3</v>
      </c>
      <c r="Z24" s="5">
        <v>3</v>
      </c>
      <c r="AA24" s="5">
        <v>80</v>
      </c>
      <c r="AB24" s="5">
        <v>0</v>
      </c>
      <c r="AC24" s="5">
        <v>13</v>
      </c>
      <c r="AD24" s="5">
        <v>4</v>
      </c>
      <c r="AE24" s="5">
        <v>3</v>
      </c>
      <c r="AF24" s="5">
        <v>12</v>
      </c>
      <c r="AG24" s="5">
        <v>6</v>
      </c>
      <c r="AH24" s="5">
        <v>2</v>
      </c>
      <c r="AI24" s="5">
        <v>11</v>
      </c>
    </row>
    <row r="25" spans="1:35" x14ac:dyDescent="0.25">
      <c r="A25" s="5">
        <v>21</v>
      </c>
      <c r="B25" s="5" t="s">
        <v>43</v>
      </c>
      <c r="C25" s="5" t="s">
        <v>36</v>
      </c>
      <c r="D25" s="5">
        <v>391</v>
      </c>
      <c r="E25" s="5" t="s">
        <v>45</v>
      </c>
      <c r="F25" s="5">
        <v>15</v>
      </c>
      <c r="G25" s="5">
        <v>2</v>
      </c>
      <c r="H25" s="5" t="s">
        <v>38</v>
      </c>
      <c r="I25" s="5">
        <v>1</v>
      </c>
      <c r="J25" s="5">
        <v>30</v>
      </c>
      <c r="K25" s="5">
        <v>3</v>
      </c>
      <c r="L25" s="5" t="s">
        <v>46</v>
      </c>
      <c r="M25" s="5">
        <v>96</v>
      </c>
      <c r="N25" s="5">
        <v>3</v>
      </c>
      <c r="O25" s="5">
        <v>1</v>
      </c>
      <c r="P25" s="5" t="s">
        <v>47</v>
      </c>
      <c r="Q25" s="5">
        <v>4</v>
      </c>
      <c r="R25" s="5" t="s">
        <v>41</v>
      </c>
      <c r="S25" s="5">
        <v>1232</v>
      </c>
      <c r="T25" s="5">
        <v>19281</v>
      </c>
      <c r="U25" s="5">
        <v>1</v>
      </c>
      <c r="V25" s="5" t="s">
        <v>42</v>
      </c>
      <c r="W25" s="5" t="s">
        <v>43</v>
      </c>
      <c r="X25" s="5">
        <v>14</v>
      </c>
      <c r="Y25" s="5">
        <v>3</v>
      </c>
      <c r="Z25" s="5">
        <v>4</v>
      </c>
      <c r="AA25" s="5">
        <v>80</v>
      </c>
      <c r="AB25" s="5">
        <v>0</v>
      </c>
      <c r="AC25" s="5">
        <v>0</v>
      </c>
      <c r="AD25" s="5">
        <v>6</v>
      </c>
      <c r="AE25" s="5">
        <v>3</v>
      </c>
      <c r="AF25" s="5">
        <v>0</v>
      </c>
      <c r="AG25" s="5">
        <v>0</v>
      </c>
      <c r="AH25" s="5">
        <v>0</v>
      </c>
      <c r="AI25" s="5">
        <v>0</v>
      </c>
    </row>
    <row r="26" spans="1:35" x14ac:dyDescent="0.25">
      <c r="A26" s="5">
        <v>34</v>
      </c>
      <c r="B26" s="5" t="s">
        <v>35</v>
      </c>
      <c r="C26" s="5" t="s">
        <v>36</v>
      </c>
      <c r="D26" s="5">
        <v>699</v>
      </c>
      <c r="E26" s="5" t="s">
        <v>45</v>
      </c>
      <c r="F26" s="5">
        <v>6</v>
      </c>
      <c r="G26" s="5">
        <v>1</v>
      </c>
      <c r="H26" s="5" t="s">
        <v>51</v>
      </c>
      <c r="I26" s="5">
        <v>1</v>
      </c>
      <c r="J26" s="5">
        <v>31</v>
      </c>
      <c r="K26" s="5">
        <v>2</v>
      </c>
      <c r="L26" s="5" t="s">
        <v>46</v>
      </c>
      <c r="M26" s="5">
        <v>83</v>
      </c>
      <c r="N26" s="5">
        <v>3</v>
      </c>
      <c r="O26" s="5">
        <v>1</v>
      </c>
      <c r="P26" s="5" t="s">
        <v>47</v>
      </c>
      <c r="Q26" s="5">
        <v>1</v>
      </c>
      <c r="R26" s="5" t="s">
        <v>41</v>
      </c>
      <c r="S26" s="5">
        <v>2960</v>
      </c>
      <c r="T26" s="5">
        <v>17102</v>
      </c>
      <c r="U26" s="5">
        <v>2</v>
      </c>
      <c r="V26" s="5" t="s">
        <v>42</v>
      </c>
      <c r="W26" s="5" t="s">
        <v>43</v>
      </c>
      <c r="X26" s="5">
        <v>11</v>
      </c>
      <c r="Y26" s="5">
        <v>3</v>
      </c>
      <c r="Z26" s="5">
        <v>3</v>
      </c>
      <c r="AA26" s="5">
        <v>80</v>
      </c>
      <c r="AB26" s="5">
        <v>0</v>
      </c>
      <c r="AC26" s="5">
        <v>8</v>
      </c>
      <c r="AD26" s="5">
        <v>2</v>
      </c>
      <c r="AE26" s="5">
        <v>3</v>
      </c>
      <c r="AF26" s="5">
        <v>4</v>
      </c>
      <c r="AG26" s="5">
        <v>2</v>
      </c>
      <c r="AH26" s="5">
        <v>1</v>
      </c>
      <c r="AI26" s="5">
        <v>3</v>
      </c>
    </row>
    <row r="27" spans="1:35" x14ac:dyDescent="0.25">
      <c r="A27" s="5">
        <v>53</v>
      </c>
      <c r="B27" s="5" t="s">
        <v>43</v>
      </c>
      <c r="C27" s="5" t="s">
        <v>36</v>
      </c>
      <c r="D27" s="5">
        <v>1282</v>
      </c>
      <c r="E27" s="5" t="s">
        <v>45</v>
      </c>
      <c r="F27" s="5">
        <v>5</v>
      </c>
      <c r="G27" s="5">
        <v>3</v>
      </c>
      <c r="H27" s="5" t="s">
        <v>49</v>
      </c>
      <c r="I27" s="5">
        <v>1</v>
      </c>
      <c r="J27" s="5">
        <v>32</v>
      </c>
      <c r="K27" s="5">
        <v>3</v>
      </c>
      <c r="L27" s="5" t="s">
        <v>39</v>
      </c>
      <c r="M27" s="5">
        <v>58</v>
      </c>
      <c r="N27" s="5">
        <v>3</v>
      </c>
      <c r="O27" s="5">
        <v>5</v>
      </c>
      <c r="P27" s="5" t="s">
        <v>56</v>
      </c>
      <c r="Q27" s="5">
        <v>3</v>
      </c>
      <c r="R27" s="5" t="s">
        <v>52</v>
      </c>
      <c r="S27" s="5">
        <v>19094</v>
      </c>
      <c r="T27" s="5">
        <v>10735</v>
      </c>
      <c r="U27" s="5">
        <v>4</v>
      </c>
      <c r="V27" s="5" t="s">
        <v>42</v>
      </c>
      <c r="W27" s="5" t="s">
        <v>43</v>
      </c>
      <c r="X27" s="5">
        <v>11</v>
      </c>
      <c r="Y27" s="5">
        <v>3</v>
      </c>
      <c r="Z27" s="5">
        <v>4</v>
      </c>
      <c r="AA27" s="5">
        <v>80</v>
      </c>
      <c r="AB27" s="5">
        <v>1</v>
      </c>
      <c r="AC27" s="5">
        <v>26</v>
      </c>
      <c r="AD27" s="5">
        <v>3</v>
      </c>
      <c r="AE27" s="5">
        <v>2</v>
      </c>
      <c r="AF27" s="5">
        <v>14</v>
      </c>
      <c r="AG27" s="5">
        <v>13</v>
      </c>
      <c r="AH27" s="5">
        <v>4</v>
      </c>
      <c r="AI27" s="5">
        <v>8</v>
      </c>
    </row>
    <row r="28" spans="1:35" x14ac:dyDescent="0.25">
      <c r="A28" s="5">
        <v>32</v>
      </c>
      <c r="B28" s="5" t="s">
        <v>35</v>
      </c>
      <c r="C28" s="5" t="s">
        <v>44</v>
      </c>
      <c r="D28" s="5">
        <v>1125</v>
      </c>
      <c r="E28" s="5" t="s">
        <v>45</v>
      </c>
      <c r="F28" s="5">
        <v>16</v>
      </c>
      <c r="G28" s="5">
        <v>1</v>
      </c>
      <c r="H28" s="5" t="s">
        <v>38</v>
      </c>
      <c r="I28" s="5">
        <v>1</v>
      </c>
      <c r="J28" s="5">
        <v>33</v>
      </c>
      <c r="K28" s="5">
        <v>2</v>
      </c>
      <c r="L28" s="5" t="s">
        <v>39</v>
      </c>
      <c r="M28" s="5">
        <v>72</v>
      </c>
      <c r="N28" s="5">
        <v>1</v>
      </c>
      <c r="O28" s="5">
        <v>1</v>
      </c>
      <c r="P28" s="5" t="s">
        <v>47</v>
      </c>
      <c r="Q28" s="5">
        <v>1</v>
      </c>
      <c r="R28" s="5" t="s">
        <v>41</v>
      </c>
      <c r="S28" s="5">
        <v>3919</v>
      </c>
      <c r="T28" s="5">
        <v>4681</v>
      </c>
      <c r="U28" s="5">
        <v>1</v>
      </c>
      <c r="V28" s="5" t="s">
        <v>42</v>
      </c>
      <c r="W28" s="5" t="s">
        <v>35</v>
      </c>
      <c r="X28" s="5">
        <v>22</v>
      </c>
      <c r="Y28" s="5">
        <v>4</v>
      </c>
      <c r="Z28" s="5">
        <v>2</v>
      </c>
      <c r="AA28" s="5">
        <v>80</v>
      </c>
      <c r="AB28" s="5">
        <v>0</v>
      </c>
      <c r="AC28" s="5">
        <v>10</v>
      </c>
      <c r="AD28" s="5">
        <v>5</v>
      </c>
      <c r="AE28" s="5">
        <v>3</v>
      </c>
      <c r="AF28" s="5">
        <v>10</v>
      </c>
      <c r="AG28" s="5">
        <v>2</v>
      </c>
      <c r="AH28" s="5">
        <v>6</v>
      </c>
      <c r="AI28" s="5">
        <v>7</v>
      </c>
    </row>
    <row r="29" spans="1:35" x14ac:dyDescent="0.25">
      <c r="A29" s="5">
        <v>42</v>
      </c>
      <c r="B29" s="5" t="s">
        <v>43</v>
      </c>
      <c r="C29" s="5" t="s">
        <v>36</v>
      </c>
      <c r="D29" s="5">
        <v>691</v>
      </c>
      <c r="E29" s="5" t="s">
        <v>37</v>
      </c>
      <c r="F29" s="5">
        <v>8</v>
      </c>
      <c r="G29" s="5">
        <v>4</v>
      </c>
      <c r="H29" s="5" t="s">
        <v>59</v>
      </c>
      <c r="I29" s="5">
        <v>1</v>
      </c>
      <c r="J29" s="5">
        <v>35</v>
      </c>
      <c r="K29" s="5">
        <v>3</v>
      </c>
      <c r="L29" s="5" t="s">
        <v>46</v>
      </c>
      <c r="M29" s="5">
        <v>48</v>
      </c>
      <c r="N29" s="5">
        <v>3</v>
      </c>
      <c r="O29" s="5">
        <v>2</v>
      </c>
      <c r="P29" s="5" t="s">
        <v>40</v>
      </c>
      <c r="Q29" s="5">
        <v>2</v>
      </c>
      <c r="R29" s="5" t="s">
        <v>48</v>
      </c>
      <c r="S29" s="5">
        <v>6825</v>
      </c>
      <c r="T29" s="5">
        <v>21173</v>
      </c>
      <c r="U29" s="5">
        <v>0</v>
      </c>
      <c r="V29" s="5" t="s">
        <v>42</v>
      </c>
      <c r="W29" s="5" t="s">
        <v>43</v>
      </c>
      <c r="X29" s="5">
        <v>11</v>
      </c>
      <c r="Y29" s="5">
        <v>3</v>
      </c>
      <c r="Z29" s="5">
        <v>4</v>
      </c>
      <c r="AA29" s="5">
        <v>80</v>
      </c>
      <c r="AB29" s="5">
        <v>1</v>
      </c>
      <c r="AC29" s="5">
        <v>10</v>
      </c>
      <c r="AD29" s="5">
        <v>2</v>
      </c>
      <c r="AE29" s="5">
        <v>3</v>
      </c>
      <c r="AF29" s="5">
        <v>9</v>
      </c>
      <c r="AG29" s="5">
        <v>7</v>
      </c>
      <c r="AH29" s="5">
        <v>4</v>
      </c>
      <c r="AI29" s="5">
        <v>2</v>
      </c>
    </row>
    <row r="30" spans="1:35" x14ac:dyDescent="0.25">
      <c r="A30" s="5">
        <v>44</v>
      </c>
      <c r="B30" s="5" t="s">
        <v>43</v>
      </c>
      <c r="C30" s="5" t="s">
        <v>36</v>
      </c>
      <c r="D30" s="5">
        <v>477</v>
      </c>
      <c r="E30" s="5" t="s">
        <v>45</v>
      </c>
      <c r="F30" s="5">
        <v>7</v>
      </c>
      <c r="G30" s="5">
        <v>4</v>
      </c>
      <c r="H30" s="5" t="s">
        <v>51</v>
      </c>
      <c r="I30" s="5">
        <v>1</v>
      </c>
      <c r="J30" s="5">
        <v>36</v>
      </c>
      <c r="K30" s="5">
        <v>1</v>
      </c>
      <c r="L30" s="5" t="s">
        <v>39</v>
      </c>
      <c r="M30" s="5">
        <v>42</v>
      </c>
      <c r="N30" s="5">
        <v>2</v>
      </c>
      <c r="O30" s="5">
        <v>3</v>
      </c>
      <c r="P30" s="5" t="s">
        <v>54</v>
      </c>
      <c r="Q30" s="5">
        <v>4</v>
      </c>
      <c r="R30" s="5" t="s">
        <v>48</v>
      </c>
      <c r="S30" s="5">
        <v>10248</v>
      </c>
      <c r="T30" s="5">
        <v>2094</v>
      </c>
      <c r="U30" s="5">
        <v>3</v>
      </c>
      <c r="V30" s="5" t="s">
        <v>42</v>
      </c>
      <c r="W30" s="5" t="s">
        <v>43</v>
      </c>
      <c r="X30" s="5">
        <v>14</v>
      </c>
      <c r="Y30" s="5">
        <v>3</v>
      </c>
      <c r="Z30" s="5">
        <v>4</v>
      </c>
      <c r="AA30" s="5">
        <v>80</v>
      </c>
      <c r="AB30" s="5">
        <v>1</v>
      </c>
      <c r="AC30" s="5">
        <v>24</v>
      </c>
      <c r="AD30" s="5">
        <v>4</v>
      </c>
      <c r="AE30" s="5">
        <v>3</v>
      </c>
      <c r="AF30" s="5">
        <v>22</v>
      </c>
      <c r="AG30" s="5">
        <v>6</v>
      </c>
      <c r="AH30" s="5">
        <v>5</v>
      </c>
      <c r="AI30" s="5">
        <v>17</v>
      </c>
    </row>
    <row r="31" spans="1:35" x14ac:dyDescent="0.25">
      <c r="A31" s="5">
        <v>46</v>
      </c>
      <c r="B31" s="5" t="s">
        <v>43</v>
      </c>
      <c r="C31" s="5" t="s">
        <v>36</v>
      </c>
      <c r="D31" s="5">
        <v>705</v>
      </c>
      <c r="E31" s="5" t="s">
        <v>37</v>
      </c>
      <c r="F31" s="5">
        <v>2</v>
      </c>
      <c r="G31" s="5">
        <v>4</v>
      </c>
      <c r="H31" s="5" t="s">
        <v>59</v>
      </c>
      <c r="I31" s="5">
        <v>1</v>
      </c>
      <c r="J31" s="5">
        <v>38</v>
      </c>
      <c r="K31" s="5">
        <v>2</v>
      </c>
      <c r="L31" s="5" t="s">
        <v>39</v>
      </c>
      <c r="M31" s="5">
        <v>83</v>
      </c>
      <c r="N31" s="5">
        <v>3</v>
      </c>
      <c r="O31" s="5">
        <v>5</v>
      </c>
      <c r="P31" s="5" t="s">
        <v>56</v>
      </c>
      <c r="Q31" s="5">
        <v>1</v>
      </c>
      <c r="R31" s="5" t="s">
        <v>41</v>
      </c>
      <c r="S31" s="5">
        <v>18947</v>
      </c>
      <c r="T31" s="5">
        <v>22822</v>
      </c>
      <c r="U31" s="5">
        <v>3</v>
      </c>
      <c r="V31" s="5" t="s">
        <v>42</v>
      </c>
      <c r="W31" s="5" t="s">
        <v>43</v>
      </c>
      <c r="X31" s="5">
        <v>12</v>
      </c>
      <c r="Y31" s="5">
        <v>3</v>
      </c>
      <c r="Z31" s="5">
        <v>4</v>
      </c>
      <c r="AA31" s="5">
        <v>80</v>
      </c>
      <c r="AB31" s="5">
        <v>0</v>
      </c>
      <c r="AC31" s="5">
        <v>22</v>
      </c>
      <c r="AD31" s="5">
        <v>2</v>
      </c>
      <c r="AE31" s="5">
        <v>2</v>
      </c>
      <c r="AF31" s="5">
        <v>2</v>
      </c>
      <c r="AG31" s="5">
        <v>2</v>
      </c>
      <c r="AH31" s="5">
        <v>2</v>
      </c>
      <c r="AI31" s="5">
        <v>1</v>
      </c>
    </row>
    <row r="32" spans="1:35" x14ac:dyDescent="0.25">
      <c r="A32" s="5">
        <v>33</v>
      </c>
      <c r="B32" s="5" t="s">
        <v>43</v>
      </c>
      <c r="C32" s="5" t="s">
        <v>36</v>
      </c>
      <c r="D32" s="5">
        <v>924</v>
      </c>
      <c r="E32" s="5" t="s">
        <v>45</v>
      </c>
      <c r="F32" s="5">
        <v>2</v>
      </c>
      <c r="G32" s="5">
        <v>3</v>
      </c>
      <c r="H32" s="5" t="s">
        <v>51</v>
      </c>
      <c r="I32" s="5">
        <v>1</v>
      </c>
      <c r="J32" s="5">
        <v>39</v>
      </c>
      <c r="K32" s="5">
        <v>3</v>
      </c>
      <c r="L32" s="5" t="s">
        <v>46</v>
      </c>
      <c r="M32" s="5">
        <v>78</v>
      </c>
      <c r="N32" s="5">
        <v>3</v>
      </c>
      <c r="O32" s="5">
        <v>1</v>
      </c>
      <c r="P32" s="5" t="s">
        <v>50</v>
      </c>
      <c r="Q32" s="5">
        <v>4</v>
      </c>
      <c r="R32" s="5" t="s">
        <v>41</v>
      </c>
      <c r="S32" s="5">
        <v>2496</v>
      </c>
      <c r="T32" s="5">
        <v>6670</v>
      </c>
      <c r="U32" s="5">
        <v>4</v>
      </c>
      <c r="V32" s="5" t="s">
        <v>42</v>
      </c>
      <c r="W32" s="5" t="s">
        <v>43</v>
      </c>
      <c r="X32" s="5">
        <v>11</v>
      </c>
      <c r="Y32" s="5">
        <v>3</v>
      </c>
      <c r="Z32" s="5">
        <v>4</v>
      </c>
      <c r="AA32" s="5">
        <v>80</v>
      </c>
      <c r="AB32" s="5">
        <v>0</v>
      </c>
      <c r="AC32" s="5">
        <v>7</v>
      </c>
      <c r="AD32" s="5">
        <v>3</v>
      </c>
      <c r="AE32" s="5">
        <v>3</v>
      </c>
      <c r="AF32" s="5">
        <v>1</v>
      </c>
      <c r="AG32" s="5">
        <v>1</v>
      </c>
      <c r="AH32" s="5">
        <v>0</v>
      </c>
      <c r="AI32" s="5">
        <v>0</v>
      </c>
    </row>
    <row r="33" spans="1:35" x14ac:dyDescent="0.25">
      <c r="A33" s="5">
        <v>44</v>
      </c>
      <c r="B33" s="5" t="s">
        <v>43</v>
      </c>
      <c r="C33" s="5" t="s">
        <v>36</v>
      </c>
      <c r="D33" s="5">
        <v>1459</v>
      </c>
      <c r="E33" s="5" t="s">
        <v>45</v>
      </c>
      <c r="F33" s="5">
        <v>10</v>
      </c>
      <c r="G33" s="5">
        <v>4</v>
      </c>
      <c r="H33" s="5" t="s">
        <v>49</v>
      </c>
      <c r="I33" s="5">
        <v>1</v>
      </c>
      <c r="J33" s="5">
        <v>40</v>
      </c>
      <c r="K33" s="5">
        <v>4</v>
      </c>
      <c r="L33" s="5" t="s">
        <v>46</v>
      </c>
      <c r="M33" s="5">
        <v>41</v>
      </c>
      <c r="N33" s="5">
        <v>3</v>
      </c>
      <c r="O33" s="5">
        <v>2</v>
      </c>
      <c r="P33" s="5" t="s">
        <v>54</v>
      </c>
      <c r="Q33" s="5">
        <v>4</v>
      </c>
      <c r="R33" s="5" t="s">
        <v>48</v>
      </c>
      <c r="S33" s="5">
        <v>6465</v>
      </c>
      <c r="T33" s="5">
        <v>19121</v>
      </c>
      <c r="U33" s="5">
        <v>2</v>
      </c>
      <c r="V33" s="5" t="s">
        <v>42</v>
      </c>
      <c r="W33" s="5" t="s">
        <v>35</v>
      </c>
      <c r="X33" s="5">
        <v>13</v>
      </c>
      <c r="Y33" s="5">
        <v>3</v>
      </c>
      <c r="Z33" s="5">
        <v>4</v>
      </c>
      <c r="AA33" s="5">
        <v>80</v>
      </c>
      <c r="AB33" s="5">
        <v>0</v>
      </c>
      <c r="AC33" s="5">
        <v>9</v>
      </c>
      <c r="AD33" s="5">
        <v>5</v>
      </c>
      <c r="AE33" s="5">
        <v>4</v>
      </c>
      <c r="AF33" s="5">
        <v>4</v>
      </c>
      <c r="AG33" s="5">
        <v>2</v>
      </c>
      <c r="AH33" s="5">
        <v>1</v>
      </c>
      <c r="AI33" s="5">
        <v>3</v>
      </c>
    </row>
    <row r="34" spans="1:35" x14ac:dyDescent="0.25">
      <c r="A34" s="5">
        <v>30</v>
      </c>
      <c r="B34" s="5" t="s">
        <v>43</v>
      </c>
      <c r="C34" s="5" t="s">
        <v>36</v>
      </c>
      <c r="D34" s="5">
        <v>125</v>
      </c>
      <c r="E34" s="5" t="s">
        <v>45</v>
      </c>
      <c r="F34" s="5">
        <v>9</v>
      </c>
      <c r="G34" s="5">
        <v>2</v>
      </c>
      <c r="H34" s="5" t="s">
        <v>51</v>
      </c>
      <c r="I34" s="5">
        <v>1</v>
      </c>
      <c r="J34" s="5">
        <v>41</v>
      </c>
      <c r="K34" s="5">
        <v>4</v>
      </c>
      <c r="L34" s="5" t="s">
        <v>46</v>
      </c>
      <c r="M34" s="5">
        <v>83</v>
      </c>
      <c r="N34" s="5">
        <v>2</v>
      </c>
      <c r="O34" s="5">
        <v>1</v>
      </c>
      <c r="P34" s="5" t="s">
        <v>50</v>
      </c>
      <c r="Q34" s="5">
        <v>3</v>
      </c>
      <c r="R34" s="5" t="s">
        <v>41</v>
      </c>
      <c r="S34" s="5">
        <v>2206</v>
      </c>
      <c r="T34" s="5">
        <v>16117</v>
      </c>
      <c r="U34" s="5">
        <v>1</v>
      </c>
      <c r="V34" s="5" t="s">
        <v>42</v>
      </c>
      <c r="W34" s="5" t="s">
        <v>43</v>
      </c>
      <c r="X34" s="5">
        <v>13</v>
      </c>
      <c r="Y34" s="5">
        <v>3</v>
      </c>
      <c r="Z34" s="5">
        <v>1</v>
      </c>
      <c r="AA34" s="5">
        <v>80</v>
      </c>
      <c r="AB34" s="5">
        <v>0</v>
      </c>
      <c r="AC34" s="5">
        <v>10</v>
      </c>
      <c r="AD34" s="5">
        <v>5</v>
      </c>
      <c r="AE34" s="5">
        <v>3</v>
      </c>
      <c r="AF34" s="5">
        <v>10</v>
      </c>
      <c r="AG34" s="5">
        <v>0</v>
      </c>
      <c r="AH34" s="5">
        <v>1</v>
      </c>
      <c r="AI34" s="5">
        <v>8</v>
      </c>
    </row>
    <row r="35" spans="1:35" x14ac:dyDescent="0.25">
      <c r="A35" s="5">
        <v>39</v>
      </c>
      <c r="B35" s="5" t="s">
        <v>35</v>
      </c>
      <c r="C35" s="5" t="s">
        <v>36</v>
      </c>
      <c r="D35" s="5">
        <v>895</v>
      </c>
      <c r="E35" s="5" t="s">
        <v>37</v>
      </c>
      <c r="F35" s="5">
        <v>5</v>
      </c>
      <c r="G35" s="5">
        <v>3</v>
      </c>
      <c r="H35" s="5" t="s">
        <v>60</v>
      </c>
      <c r="I35" s="5">
        <v>1</v>
      </c>
      <c r="J35" s="5">
        <v>42</v>
      </c>
      <c r="K35" s="5">
        <v>4</v>
      </c>
      <c r="L35" s="5" t="s">
        <v>46</v>
      </c>
      <c r="M35" s="5">
        <v>56</v>
      </c>
      <c r="N35" s="5">
        <v>3</v>
      </c>
      <c r="O35" s="5">
        <v>2</v>
      </c>
      <c r="P35" s="5" t="s">
        <v>57</v>
      </c>
      <c r="Q35" s="5">
        <v>4</v>
      </c>
      <c r="R35" s="5" t="s">
        <v>48</v>
      </c>
      <c r="S35" s="5">
        <v>2086</v>
      </c>
      <c r="T35" s="5">
        <v>3335</v>
      </c>
      <c r="U35" s="5">
        <v>3</v>
      </c>
      <c r="V35" s="5" t="s">
        <v>42</v>
      </c>
      <c r="W35" s="5" t="s">
        <v>43</v>
      </c>
      <c r="X35" s="5">
        <v>14</v>
      </c>
      <c r="Y35" s="5">
        <v>3</v>
      </c>
      <c r="Z35" s="5">
        <v>3</v>
      </c>
      <c r="AA35" s="5">
        <v>80</v>
      </c>
      <c r="AB35" s="5">
        <v>1</v>
      </c>
      <c r="AC35" s="5">
        <v>19</v>
      </c>
      <c r="AD35" s="5">
        <v>6</v>
      </c>
      <c r="AE35" s="5">
        <v>4</v>
      </c>
      <c r="AF35" s="5">
        <v>1</v>
      </c>
      <c r="AG35" s="5">
        <v>0</v>
      </c>
      <c r="AH35" s="5">
        <v>0</v>
      </c>
      <c r="AI35" s="5">
        <v>0</v>
      </c>
    </row>
    <row r="36" spans="1:35" x14ac:dyDescent="0.25">
      <c r="A36" s="5">
        <v>24</v>
      </c>
      <c r="B36" s="5" t="s">
        <v>35</v>
      </c>
      <c r="C36" s="5" t="s">
        <v>36</v>
      </c>
      <c r="D36" s="5">
        <v>813</v>
      </c>
      <c r="E36" s="5" t="s">
        <v>45</v>
      </c>
      <c r="F36" s="5">
        <v>1</v>
      </c>
      <c r="G36" s="5">
        <v>3</v>
      </c>
      <c r="H36" s="5" t="s">
        <v>51</v>
      </c>
      <c r="I36" s="5">
        <v>1</v>
      </c>
      <c r="J36" s="5">
        <v>45</v>
      </c>
      <c r="K36" s="5">
        <v>2</v>
      </c>
      <c r="L36" s="5" t="s">
        <v>46</v>
      </c>
      <c r="M36" s="5">
        <v>61</v>
      </c>
      <c r="N36" s="5">
        <v>3</v>
      </c>
      <c r="O36" s="5">
        <v>1</v>
      </c>
      <c r="P36" s="5" t="s">
        <v>47</v>
      </c>
      <c r="Q36" s="5">
        <v>4</v>
      </c>
      <c r="R36" s="5" t="s">
        <v>48</v>
      </c>
      <c r="S36" s="5">
        <v>2293</v>
      </c>
      <c r="T36" s="5">
        <v>3020</v>
      </c>
      <c r="U36" s="5">
        <v>2</v>
      </c>
      <c r="V36" s="5" t="s">
        <v>42</v>
      </c>
      <c r="W36" s="5" t="s">
        <v>35</v>
      </c>
      <c r="X36" s="5">
        <v>16</v>
      </c>
      <c r="Y36" s="5">
        <v>3</v>
      </c>
      <c r="Z36" s="5">
        <v>1</v>
      </c>
      <c r="AA36" s="5">
        <v>80</v>
      </c>
      <c r="AB36" s="5">
        <v>1</v>
      </c>
      <c r="AC36" s="5">
        <v>6</v>
      </c>
      <c r="AD36" s="5">
        <v>2</v>
      </c>
      <c r="AE36" s="5">
        <v>2</v>
      </c>
      <c r="AF36" s="5">
        <v>2</v>
      </c>
      <c r="AG36" s="5">
        <v>0</v>
      </c>
      <c r="AH36" s="5">
        <v>2</v>
      </c>
      <c r="AI36" s="5">
        <v>0</v>
      </c>
    </row>
    <row r="37" spans="1:35" x14ac:dyDescent="0.25">
      <c r="A37" s="5">
        <v>43</v>
      </c>
      <c r="B37" s="5" t="s">
        <v>43</v>
      </c>
      <c r="C37" s="5" t="s">
        <v>36</v>
      </c>
      <c r="D37" s="5">
        <v>1273</v>
      </c>
      <c r="E37" s="5" t="s">
        <v>45</v>
      </c>
      <c r="F37" s="5">
        <v>2</v>
      </c>
      <c r="G37" s="5">
        <v>2</v>
      </c>
      <c r="H37" s="5" t="s">
        <v>51</v>
      </c>
      <c r="I37" s="5">
        <v>1</v>
      </c>
      <c r="J37" s="5">
        <v>46</v>
      </c>
      <c r="K37" s="5">
        <v>4</v>
      </c>
      <c r="L37" s="5" t="s">
        <v>39</v>
      </c>
      <c r="M37" s="5">
        <v>72</v>
      </c>
      <c r="N37" s="5">
        <v>4</v>
      </c>
      <c r="O37" s="5">
        <v>1</v>
      </c>
      <c r="P37" s="5" t="s">
        <v>47</v>
      </c>
      <c r="Q37" s="5">
        <v>3</v>
      </c>
      <c r="R37" s="5" t="s">
        <v>52</v>
      </c>
      <c r="S37" s="5">
        <v>2645</v>
      </c>
      <c r="T37" s="5">
        <v>21923</v>
      </c>
      <c r="U37" s="5">
        <v>1</v>
      </c>
      <c r="V37" s="5" t="s">
        <v>42</v>
      </c>
      <c r="W37" s="5" t="s">
        <v>43</v>
      </c>
      <c r="X37" s="5">
        <v>12</v>
      </c>
      <c r="Y37" s="5">
        <v>3</v>
      </c>
      <c r="Z37" s="5">
        <v>4</v>
      </c>
      <c r="AA37" s="5">
        <v>80</v>
      </c>
      <c r="AB37" s="5">
        <v>2</v>
      </c>
      <c r="AC37" s="5">
        <v>6</v>
      </c>
      <c r="AD37" s="5">
        <v>3</v>
      </c>
      <c r="AE37" s="5">
        <v>2</v>
      </c>
      <c r="AF37" s="5">
        <v>5</v>
      </c>
      <c r="AG37" s="5">
        <v>3</v>
      </c>
      <c r="AH37" s="5">
        <v>1</v>
      </c>
      <c r="AI37" s="5">
        <v>4</v>
      </c>
    </row>
    <row r="38" spans="1:35" x14ac:dyDescent="0.25">
      <c r="A38" s="5">
        <v>50</v>
      </c>
      <c r="B38" s="5" t="s">
        <v>35</v>
      </c>
      <c r="C38" s="5" t="s">
        <v>36</v>
      </c>
      <c r="D38" s="5">
        <v>869</v>
      </c>
      <c r="E38" s="5" t="s">
        <v>37</v>
      </c>
      <c r="F38" s="5">
        <v>3</v>
      </c>
      <c r="G38" s="5">
        <v>2</v>
      </c>
      <c r="H38" s="5" t="s">
        <v>59</v>
      </c>
      <c r="I38" s="5">
        <v>1</v>
      </c>
      <c r="J38" s="5">
        <v>47</v>
      </c>
      <c r="K38" s="5">
        <v>1</v>
      </c>
      <c r="L38" s="5" t="s">
        <v>46</v>
      </c>
      <c r="M38" s="5">
        <v>86</v>
      </c>
      <c r="N38" s="5">
        <v>2</v>
      </c>
      <c r="O38" s="5">
        <v>1</v>
      </c>
      <c r="P38" s="5" t="s">
        <v>57</v>
      </c>
      <c r="Q38" s="5">
        <v>3</v>
      </c>
      <c r="R38" s="5" t="s">
        <v>48</v>
      </c>
      <c r="S38" s="5">
        <v>2683</v>
      </c>
      <c r="T38" s="5">
        <v>3810</v>
      </c>
      <c r="U38" s="5">
        <v>1</v>
      </c>
      <c r="V38" s="5" t="s">
        <v>42</v>
      </c>
      <c r="W38" s="5" t="s">
        <v>35</v>
      </c>
      <c r="X38" s="5">
        <v>14</v>
      </c>
      <c r="Y38" s="5">
        <v>3</v>
      </c>
      <c r="Z38" s="5">
        <v>3</v>
      </c>
      <c r="AA38" s="5">
        <v>80</v>
      </c>
      <c r="AB38" s="5">
        <v>0</v>
      </c>
      <c r="AC38" s="5">
        <v>3</v>
      </c>
      <c r="AD38" s="5">
        <v>2</v>
      </c>
      <c r="AE38" s="5">
        <v>3</v>
      </c>
      <c r="AF38" s="5">
        <v>3</v>
      </c>
      <c r="AG38" s="5">
        <v>2</v>
      </c>
      <c r="AH38" s="5">
        <v>0</v>
      </c>
      <c r="AI38" s="5">
        <v>2</v>
      </c>
    </row>
    <row r="39" spans="1:35" x14ac:dyDescent="0.25">
      <c r="A39" s="5">
        <v>35</v>
      </c>
      <c r="B39" s="5" t="s">
        <v>43</v>
      </c>
      <c r="C39" s="5" t="s">
        <v>36</v>
      </c>
      <c r="D39" s="5">
        <v>890</v>
      </c>
      <c r="E39" s="5" t="s">
        <v>37</v>
      </c>
      <c r="F39" s="5">
        <v>2</v>
      </c>
      <c r="G39" s="5">
        <v>3</v>
      </c>
      <c r="H39" s="5" t="s">
        <v>59</v>
      </c>
      <c r="I39" s="5">
        <v>1</v>
      </c>
      <c r="J39" s="5">
        <v>49</v>
      </c>
      <c r="K39" s="5">
        <v>4</v>
      </c>
      <c r="L39" s="5" t="s">
        <v>39</v>
      </c>
      <c r="M39" s="5">
        <v>97</v>
      </c>
      <c r="N39" s="5">
        <v>3</v>
      </c>
      <c r="O39" s="5">
        <v>1</v>
      </c>
      <c r="P39" s="5" t="s">
        <v>57</v>
      </c>
      <c r="Q39" s="5">
        <v>4</v>
      </c>
      <c r="R39" s="5" t="s">
        <v>48</v>
      </c>
      <c r="S39" s="5">
        <v>2014</v>
      </c>
      <c r="T39" s="5">
        <v>9687</v>
      </c>
      <c r="U39" s="5">
        <v>1</v>
      </c>
      <c r="V39" s="5" t="s">
        <v>42</v>
      </c>
      <c r="W39" s="5" t="s">
        <v>43</v>
      </c>
      <c r="X39" s="5">
        <v>13</v>
      </c>
      <c r="Y39" s="5">
        <v>3</v>
      </c>
      <c r="Z39" s="5">
        <v>1</v>
      </c>
      <c r="AA39" s="5">
        <v>80</v>
      </c>
      <c r="AB39" s="5">
        <v>0</v>
      </c>
      <c r="AC39" s="5">
        <v>2</v>
      </c>
      <c r="AD39" s="5">
        <v>3</v>
      </c>
      <c r="AE39" s="5">
        <v>3</v>
      </c>
      <c r="AF39" s="5">
        <v>2</v>
      </c>
      <c r="AG39" s="5">
        <v>2</v>
      </c>
      <c r="AH39" s="5">
        <v>2</v>
      </c>
      <c r="AI39" s="5">
        <v>2</v>
      </c>
    </row>
    <row r="40" spans="1:35" x14ac:dyDescent="0.25">
      <c r="A40" s="5">
        <v>36</v>
      </c>
      <c r="B40" s="5" t="s">
        <v>43</v>
      </c>
      <c r="C40" s="5" t="s">
        <v>36</v>
      </c>
      <c r="D40" s="5">
        <v>852</v>
      </c>
      <c r="E40" s="5" t="s">
        <v>45</v>
      </c>
      <c r="F40" s="5">
        <v>5</v>
      </c>
      <c r="G40" s="5">
        <v>4</v>
      </c>
      <c r="H40" s="5" t="s">
        <v>38</v>
      </c>
      <c r="I40" s="5">
        <v>1</v>
      </c>
      <c r="J40" s="5">
        <v>51</v>
      </c>
      <c r="K40" s="5">
        <v>2</v>
      </c>
      <c r="L40" s="5" t="s">
        <v>39</v>
      </c>
      <c r="M40" s="5">
        <v>82</v>
      </c>
      <c r="N40" s="5">
        <v>2</v>
      </c>
      <c r="O40" s="5">
        <v>1</v>
      </c>
      <c r="P40" s="5" t="s">
        <v>47</v>
      </c>
      <c r="Q40" s="5">
        <v>1</v>
      </c>
      <c r="R40" s="5" t="s">
        <v>48</v>
      </c>
      <c r="S40" s="5">
        <v>3419</v>
      </c>
      <c r="T40" s="5">
        <v>13072</v>
      </c>
      <c r="U40" s="5">
        <v>9</v>
      </c>
      <c r="V40" s="5" t="s">
        <v>42</v>
      </c>
      <c r="W40" s="5" t="s">
        <v>35</v>
      </c>
      <c r="X40" s="5">
        <v>14</v>
      </c>
      <c r="Y40" s="5">
        <v>3</v>
      </c>
      <c r="Z40" s="5">
        <v>4</v>
      </c>
      <c r="AA40" s="5">
        <v>80</v>
      </c>
      <c r="AB40" s="5">
        <v>1</v>
      </c>
      <c r="AC40" s="5">
        <v>6</v>
      </c>
      <c r="AD40" s="5">
        <v>3</v>
      </c>
      <c r="AE40" s="5">
        <v>4</v>
      </c>
      <c r="AF40" s="5">
        <v>1</v>
      </c>
      <c r="AG40" s="5">
        <v>1</v>
      </c>
      <c r="AH40" s="5">
        <v>0</v>
      </c>
      <c r="AI40" s="5">
        <v>0</v>
      </c>
    </row>
    <row r="41" spans="1:35" x14ac:dyDescent="0.25">
      <c r="A41" s="5">
        <v>33</v>
      </c>
      <c r="B41" s="5" t="s">
        <v>43</v>
      </c>
      <c r="C41" s="5" t="s">
        <v>44</v>
      </c>
      <c r="D41" s="5">
        <v>1141</v>
      </c>
      <c r="E41" s="5" t="s">
        <v>37</v>
      </c>
      <c r="F41" s="5">
        <v>1</v>
      </c>
      <c r="G41" s="5">
        <v>3</v>
      </c>
      <c r="H41" s="5" t="s">
        <v>38</v>
      </c>
      <c r="I41" s="5">
        <v>1</v>
      </c>
      <c r="J41" s="5">
        <v>52</v>
      </c>
      <c r="K41" s="5">
        <v>3</v>
      </c>
      <c r="L41" s="5" t="s">
        <v>39</v>
      </c>
      <c r="M41" s="5">
        <v>42</v>
      </c>
      <c r="N41" s="5">
        <v>4</v>
      </c>
      <c r="O41" s="5">
        <v>2</v>
      </c>
      <c r="P41" s="5" t="s">
        <v>40</v>
      </c>
      <c r="Q41" s="5">
        <v>1</v>
      </c>
      <c r="R41" s="5" t="s">
        <v>48</v>
      </c>
      <c r="S41" s="5">
        <v>5376</v>
      </c>
      <c r="T41" s="5">
        <v>3193</v>
      </c>
      <c r="U41" s="5">
        <v>2</v>
      </c>
      <c r="V41" s="5" t="s">
        <v>42</v>
      </c>
      <c r="W41" s="5" t="s">
        <v>43</v>
      </c>
      <c r="X41" s="5">
        <v>19</v>
      </c>
      <c r="Y41" s="5">
        <v>3</v>
      </c>
      <c r="Z41" s="5">
        <v>1</v>
      </c>
      <c r="AA41" s="5">
        <v>80</v>
      </c>
      <c r="AB41" s="5">
        <v>2</v>
      </c>
      <c r="AC41" s="5">
        <v>10</v>
      </c>
      <c r="AD41" s="5">
        <v>3</v>
      </c>
      <c r="AE41" s="5">
        <v>3</v>
      </c>
      <c r="AF41" s="5">
        <v>5</v>
      </c>
      <c r="AG41" s="5">
        <v>3</v>
      </c>
      <c r="AH41" s="5">
        <v>1</v>
      </c>
      <c r="AI41" s="5">
        <v>3</v>
      </c>
    </row>
    <row r="42" spans="1:35" x14ac:dyDescent="0.25">
      <c r="A42" s="5">
        <v>35</v>
      </c>
      <c r="B42" s="5" t="s">
        <v>43</v>
      </c>
      <c r="C42" s="5" t="s">
        <v>36</v>
      </c>
      <c r="D42" s="5">
        <v>464</v>
      </c>
      <c r="E42" s="5" t="s">
        <v>45</v>
      </c>
      <c r="F42" s="5">
        <v>4</v>
      </c>
      <c r="G42" s="5">
        <v>2</v>
      </c>
      <c r="H42" s="5" t="s">
        <v>49</v>
      </c>
      <c r="I42" s="5">
        <v>1</v>
      </c>
      <c r="J42" s="5">
        <v>53</v>
      </c>
      <c r="K42" s="5">
        <v>3</v>
      </c>
      <c r="L42" s="5" t="s">
        <v>46</v>
      </c>
      <c r="M42" s="5">
        <v>75</v>
      </c>
      <c r="N42" s="5">
        <v>3</v>
      </c>
      <c r="O42" s="5">
        <v>1</v>
      </c>
      <c r="P42" s="5" t="s">
        <v>50</v>
      </c>
      <c r="Q42" s="5">
        <v>4</v>
      </c>
      <c r="R42" s="5" t="s">
        <v>52</v>
      </c>
      <c r="S42" s="5">
        <v>1951</v>
      </c>
      <c r="T42" s="5">
        <v>10910</v>
      </c>
      <c r="U42" s="5">
        <v>1</v>
      </c>
      <c r="V42" s="5" t="s">
        <v>42</v>
      </c>
      <c r="W42" s="5" t="s">
        <v>43</v>
      </c>
      <c r="X42" s="5">
        <v>12</v>
      </c>
      <c r="Y42" s="5">
        <v>3</v>
      </c>
      <c r="Z42" s="5">
        <v>3</v>
      </c>
      <c r="AA42" s="5">
        <v>80</v>
      </c>
      <c r="AB42" s="5">
        <v>1</v>
      </c>
      <c r="AC42" s="5">
        <v>1</v>
      </c>
      <c r="AD42" s="5">
        <v>3</v>
      </c>
      <c r="AE42" s="5">
        <v>3</v>
      </c>
      <c r="AF42" s="5">
        <v>1</v>
      </c>
      <c r="AG42" s="5">
        <v>0</v>
      </c>
      <c r="AH42" s="5">
        <v>0</v>
      </c>
      <c r="AI42" s="5">
        <v>0</v>
      </c>
    </row>
    <row r="43" spans="1:35" x14ac:dyDescent="0.25">
      <c r="A43" s="5">
        <v>27</v>
      </c>
      <c r="B43" s="5" t="s">
        <v>43</v>
      </c>
      <c r="C43" s="5" t="s">
        <v>36</v>
      </c>
      <c r="D43" s="5">
        <v>1240</v>
      </c>
      <c r="E43" s="5" t="s">
        <v>45</v>
      </c>
      <c r="F43" s="5">
        <v>2</v>
      </c>
      <c r="G43" s="5">
        <v>4</v>
      </c>
      <c r="H43" s="5" t="s">
        <v>38</v>
      </c>
      <c r="I43" s="5">
        <v>1</v>
      </c>
      <c r="J43" s="5">
        <v>54</v>
      </c>
      <c r="K43" s="5">
        <v>4</v>
      </c>
      <c r="L43" s="5" t="s">
        <v>39</v>
      </c>
      <c r="M43" s="5">
        <v>33</v>
      </c>
      <c r="N43" s="5">
        <v>3</v>
      </c>
      <c r="O43" s="5">
        <v>1</v>
      </c>
      <c r="P43" s="5" t="s">
        <v>50</v>
      </c>
      <c r="Q43" s="5">
        <v>1</v>
      </c>
      <c r="R43" s="5" t="s">
        <v>52</v>
      </c>
      <c r="S43" s="5">
        <v>2341</v>
      </c>
      <c r="T43" s="5">
        <v>19715</v>
      </c>
      <c r="U43" s="5">
        <v>1</v>
      </c>
      <c r="V43" s="5" t="s">
        <v>42</v>
      </c>
      <c r="W43" s="5" t="s">
        <v>43</v>
      </c>
      <c r="X43" s="5">
        <v>13</v>
      </c>
      <c r="Y43" s="5">
        <v>3</v>
      </c>
      <c r="Z43" s="5">
        <v>4</v>
      </c>
      <c r="AA43" s="5">
        <v>80</v>
      </c>
      <c r="AB43" s="5">
        <v>1</v>
      </c>
      <c r="AC43" s="5">
        <v>1</v>
      </c>
      <c r="AD43" s="5">
        <v>6</v>
      </c>
      <c r="AE43" s="5">
        <v>3</v>
      </c>
      <c r="AF43" s="5">
        <v>1</v>
      </c>
      <c r="AG43" s="5">
        <v>0</v>
      </c>
      <c r="AH43" s="5">
        <v>0</v>
      </c>
      <c r="AI43" s="5">
        <v>0</v>
      </c>
    </row>
    <row r="44" spans="1:35" x14ac:dyDescent="0.25">
      <c r="A44" s="5">
        <v>26</v>
      </c>
      <c r="B44" s="5" t="s">
        <v>35</v>
      </c>
      <c r="C44" s="5" t="s">
        <v>36</v>
      </c>
      <c r="D44" s="5">
        <v>1357</v>
      </c>
      <c r="E44" s="5" t="s">
        <v>45</v>
      </c>
      <c r="F44" s="5">
        <v>25</v>
      </c>
      <c r="G44" s="5">
        <v>3</v>
      </c>
      <c r="H44" s="5" t="s">
        <v>38</v>
      </c>
      <c r="I44" s="5">
        <v>1</v>
      </c>
      <c r="J44" s="5">
        <v>55</v>
      </c>
      <c r="K44" s="5">
        <v>1</v>
      </c>
      <c r="L44" s="5" t="s">
        <v>46</v>
      </c>
      <c r="M44" s="5">
        <v>48</v>
      </c>
      <c r="N44" s="5">
        <v>1</v>
      </c>
      <c r="O44" s="5">
        <v>1</v>
      </c>
      <c r="P44" s="5" t="s">
        <v>50</v>
      </c>
      <c r="Q44" s="5">
        <v>3</v>
      </c>
      <c r="R44" s="5" t="s">
        <v>41</v>
      </c>
      <c r="S44" s="5">
        <v>2293</v>
      </c>
      <c r="T44" s="5">
        <v>10558</v>
      </c>
      <c r="U44" s="5">
        <v>1</v>
      </c>
      <c r="V44" s="5" t="s">
        <v>42</v>
      </c>
      <c r="W44" s="5" t="s">
        <v>43</v>
      </c>
      <c r="X44" s="5">
        <v>12</v>
      </c>
      <c r="Y44" s="5">
        <v>3</v>
      </c>
      <c r="Z44" s="5">
        <v>3</v>
      </c>
      <c r="AA44" s="5">
        <v>80</v>
      </c>
      <c r="AB44" s="5">
        <v>0</v>
      </c>
      <c r="AC44" s="5">
        <v>1</v>
      </c>
      <c r="AD44" s="5">
        <v>2</v>
      </c>
      <c r="AE44" s="5">
        <v>2</v>
      </c>
      <c r="AF44" s="5">
        <v>1</v>
      </c>
      <c r="AG44" s="5">
        <v>0</v>
      </c>
      <c r="AH44" s="5">
        <v>0</v>
      </c>
      <c r="AI44" s="5">
        <v>1</v>
      </c>
    </row>
    <row r="45" spans="1:35" x14ac:dyDescent="0.25">
      <c r="A45" s="5">
        <v>27</v>
      </c>
      <c r="B45" s="5" t="s">
        <v>43</v>
      </c>
      <c r="C45" s="5" t="s">
        <v>44</v>
      </c>
      <c r="D45" s="5">
        <v>994</v>
      </c>
      <c r="E45" s="5" t="s">
        <v>37</v>
      </c>
      <c r="F45" s="5">
        <v>8</v>
      </c>
      <c r="G45" s="5">
        <v>3</v>
      </c>
      <c r="H45" s="5" t="s">
        <v>38</v>
      </c>
      <c r="I45" s="5">
        <v>1</v>
      </c>
      <c r="J45" s="5">
        <v>56</v>
      </c>
      <c r="K45" s="5">
        <v>4</v>
      </c>
      <c r="L45" s="5" t="s">
        <v>46</v>
      </c>
      <c r="M45" s="5">
        <v>37</v>
      </c>
      <c r="N45" s="5">
        <v>3</v>
      </c>
      <c r="O45" s="5">
        <v>3</v>
      </c>
      <c r="P45" s="5" t="s">
        <v>40</v>
      </c>
      <c r="Q45" s="5">
        <v>3</v>
      </c>
      <c r="R45" s="5" t="s">
        <v>41</v>
      </c>
      <c r="S45" s="5">
        <v>8726</v>
      </c>
      <c r="T45" s="5">
        <v>2975</v>
      </c>
      <c r="U45" s="5">
        <v>1</v>
      </c>
      <c r="V45" s="5" t="s">
        <v>42</v>
      </c>
      <c r="W45" s="5" t="s">
        <v>43</v>
      </c>
      <c r="X45" s="5">
        <v>15</v>
      </c>
      <c r="Y45" s="5">
        <v>3</v>
      </c>
      <c r="Z45" s="5">
        <v>4</v>
      </c>
      <c r="AA45" s="5">
        <v>80</v>
      </c>
      <c r="AB45" s="5">
        <v>0</v>
      </c>
      <c r="AC45" s="5">
        <v>9</v>
      </c>
      <c r="AD45" s="5">
        <v>0</v>
      </c>
      <c r="AE45" s="5">
        <v>3</v>
      </c>
      <c r="AF45" s="5">
        <v>9</v>
      </c>
      <c r="AG45" s="5">
        <v>8</v>
      </c>
      <c r="AH45" s="5">
        <v>1</v>
      </c>
      <c r="AI45" s="5">
        <v>7</v>
      </c>
    </row>
    <row r="46" spans="1:35" x14ac:dyDescent="0.25">
      <c r="A46" s="5">
        <v>30</v>
      </c>
      <c r="B46" s="5" t="s">
        <v>43</v>
      </c>
      <c r="C46" s="5" t="s">
        <v>44</v>
      </c>
      <c r="D46" s="5">
        <v>721</v>
      </c>
      <c r="E46" s="5" t="s">
        <v>45</v>
      </c>
      <c r="F46" s="5">
        <v>1</v>
      </c>
      <c r="G46" s="5">
        <v>2</v>
      </c>
      <c r="H46" s="5" t="s">
        <v>51</v>
      </c>
      <c r="I46" s="5">
        <v>1</v>
      </c>
      <c r="J46" s="5">
        <v>57</v>
      </c>
      <c r="K46" s="5">
        <v>3</v>
      </c>
      <c r="L46" s="5" t="s">
        <v>39</v>
      </c>
      <c r="M46" s="5">
        <v>58</v>
      </c>
      <c r="N46" s="5">
        <v>3</v>
      </c>
      <c r="O46" s="5">
        <v>2</v>
      </c>
      <c r="P46" s="5" t="s">
        <v>50</v>
      </c>
      <c r="Q46" s="5">
        <v>4</v>
      </c>
      <c r="R46" s="5" t="s">
        <v>41</v>
      </c>
      <c r="S46" s="5">
        <v>4011</v>
      </c>
      <c r="T46" s="5">
        <v>10781</v>
      </c>
      <c r="U46" s="5">
        <v>1</v>
      </c>
      <c r="V46" s="5" t="s">
        <v>42</v>
      </c>
      <c r="W46" s="5" t="s">
        <v>43</v>
      </c>
      <c r="X46" s="5">
        <v>23</v>
      </c>
      <c r="Y46" s="5">
        <v>4</v>
      </c>
      <c r="Z46" s="5">
        <v>4</v>
      </c>
      <c r="AA46" s="5">
        <v>80</v>
      </c>
      <c r="AB46" s="5">
        <v>0</v>
      </c>
      <c r="AC46" s="5">
        <v>12</v>
      </c>
      <c r="AD46" s="5">
        <v>2</v>
      </c>
      <c r="AE46" s="5">
        <v>3</v>
      </c>
      <c r="AF46" s="5">
        <v>12</v>
      </c>
      <c r="AG46" s="5">
        <v>8</v>
      </c>
      <c r="AH46" s="5">
        <v>3</v>
      </c>
      <c r="AI46" s="5">
        <v>7</v>
      </c>
    </row>
    <row r="47" spans="1:35" x14ac:dyDescent="0.25">
      <c r="A47" s="5">
        <v>41</v>
      </c>
      <c r="B47" s="5" t="s">
        <v>35</v>
      </c>
      <c r="C47" s="5" t="s">
        <v>36</v>
      </c>
      <c r="D47" s="5">
        <v>1360</v>
      </c>
      <c r="E47" s="5" t="s">
        <v>45</v>
      </c>
      <c r="F47" s="5">
        <v>12</v>
      </c>
      <c r="G47" s="5">
        <v>3</v>
      </c>
      <c r="H47" s="5" t="s">
        <v>60</v>
      </c>
      <c r="I47" s="5">
        <v>1</v>
      </c>
      <c r="J47" s="5">
        <v>58</v>
      </c>
      <c r="K47" s="5">
        <v>2</v>
      </c>
      <c r="L47" s="5" t="s">
        <v>39</v>
      </c>
      <c r="M47" s="5">
        <v>49</v>
      </c>
      <c r="N47" s="5">
        <v>3</v>
      </c>
      <c r="O47" s="5">
        <v>5</v>
      </c>
      <c r="P47" s="5" t="s">
        <v>58</v>
      </c>
      <c r="Q47" s="5">
        <v>3</v>
      </c>
      <c r="R47" s="5" t="s">
        <v>48</v>
      </c>
      <c r="S47" s="5">
        <v>19545</v>
      </c>
      <c r="T47" s="5">
        <v>16280</v>
      </c>
      <c r="U47" s="5">
        <v>1</v>
      </c>
      <c r="V47" s="5" t="s">
        <v>42</v>
      </c>
      <c r="W47" s="5" t="s">
        <v>43</v>
      </c>
      <c r="X47" s="5">
        <v>12</v>
      </c>
      <c r="Y47" s="5">
        <v>3</v>
      </c>
      <c r="Z47" s="5">
        <v>4</v>
      </c>
      <c r="AA47" s="5">
        <v>80</v>
      </c>
      <c r="AB47" s="5">
        <v>0</v>
      </c>
      <c r="AC47" s="5">
        <v>23</v>
      </c>
      <c r="AD47" s="5">
        <v>0</v>
      </c>
      <c r="AE47" s="5">
        <v>3</v>
      </c>
      <c r="AF47" s="5">
        <v>22</v>
      </c>
      <c r="AG47" s="5">
        <v>15</v>
      </c>
      <c r="AH47" s="5">
        <v>15</v>
      </c>
      <c r="AI47" s="5">
        <v>8</v>
      </c>
    </row>
    <row r="48" spans="1:35" x14ac:dyDescent="0.25">
      <c r="A48" s="5">
        <v>34</v>
      </c>
      <c r="B48" s="5" t="s">
        <v>43</v>
      </c>
      <c r="C48" s="5" t="s">
        <v>55</v>
      </c>
      <c r="D48" s="5">
        <v>1065</v>
      </c>
      <c r="E48" s="5" t="s">
        <v>37</v>
      </c>
      <c r="F48" s="5">
        <v>23</v>
      </c>
      <c r="G48" s="5">
        <v>4</v>
      </c>
      <c r="H48" s="5" t="s">
        <v>59</v>
      </c>
      <c r="I48" s="5">
        <v>1</v>
      </c>
      <c r="J48" s="5">
        <v>60</v>
      </c>
      <c r="K48" s="5">
        <v>2</v>
      </c>
      <c r="L48" s="5" t="s">
        <v>46</v>
      </c>
      <c r="M48" s="5">
        <v>72</v>
      </c>
      <c r="N48" s="5">
        <v>3</v>
      </c>
      <c r="O48" s="5">
        <v>2</v>
      </c>
      <c r="P48" s="5" t="s">
        <v>40</v>
      </c>
      <c r="Q48" s="5">
        <v>3</v>
      </c>
      <c r="R48" s="5" t="s">
        <v>41</v>
      </c>
      <c r="S48" s="5">
        <v>4568</v>
      </c>
      <c r="T48" s="5">
        <v>10034</v>
      </c>
      <c r="U48" s="5">
        <v>0</v>
      </c>
      <c r="V48" s="5" t="s">
        <v>42</v>
      </c>
      <c r="W48" s="5" t="s">
        <v>43</v>
      </c>
      <c r="X48" s="5">
        <v>20</v>
      </c>
      <c r="Y48" s="5">
        <v>4</v>
      </c>
      <c r="Z48" s="5">
        <v>3</v>
      </c>
      <c r="AA48" s="5">
        <v>80</v>
      </c>
      <c r="AB48" s="5">
        <v>0</v>
      </c>
      <c r="AC48" s="5">
        <v>10</v>
      </c>
      <c r="AD48" s="5">
        <v>2</v>
      </c>
      <c r="AE48" s="5">
        <v>3</v>
      </c>
      <c r="AF48" s="5">
        <v>9</v>
      </c>
      <c r="AG48" s="5">
        <v>5</v>
      </c>
      <c r="AH48" s="5">
        <v>8</v>
      </c>
      <c r="AI48" s="5">
        <v>7</v>
      </c>
    </row>
    <row r="49" spans="1:35" x14ac:dyDescent="0.25">
      <c r="A49" s="5">
        <v>37</v>
      </c>
      <c r="B49" s="5" t="s">
        <v>43</v>
      </c>
      <c r="C49" s="5" t="s">
        <v>36</v>
      </c>
      <c r="D49" s="5">
        <v>408</v>
      </c>
      <c r="E49" s="5" t="s">
        <v>45</v>
      </c>
      <c r="F49" s="5">
        <v>19</v>
      </c>
      <c r="G49" s="5">
        <v>2</v>
      </c>
      <c r="H49" s="5" t="s">
        <v>38</v>
      </c>
      <c r="I49" s="5">
        <v>1</v>
      </c>
      <c r="J49" s="5">
        <v>61</v>
      </c>
      <c r="K49" s="5">
        <v>2</v>
      </c>
      <c r="L49" s="5" t="s">
        <v>46</v>
      </c>
      <c r="M49" s="5">
        <v>73</v>
      </c>
      <c r="N49" s="5">
        <v>3</v>
      </c>
      <c r="O49" s="5">
        <v>1</v>
      </c>
      <c r="P49" s="5" t="s">
        <v>47</v>
      </c>
      <c r="Q49" s="5">
        <v>2</v>
      </c>
      <c r="R49" s="5" t="s">
        <v>48</v>
      </c>
      <c r="S49" s="5">
        <v>3022</v>
      </c>
      <c r="T49" s="5">
        <v>10227</v>
      </c>
      <c r="U49" s="5">
        <v>4</v>
      </c>
      <c r="V49" s="5" t="s">
        <v>42</v>
      </c>
      <c r="W49" s="5" t="s">
        <v>43</v>
      </c>
      <c r="X49" s="5">
        <v>21</v>
      </c>
      <c r="Y49" s="5">
        <v>4</v>
      </c>
      <c r="Z49" s="5">
        <v>1</v>
      </c>
      <c r="AA49" s="5">
        <v>80</v>
      </c>
      <c r="AB49" s="5">
        <v>0</v>
      </c>
      <c r="AC49" s="5">
        <v>8</v>
      </c>
      <c r="AD49" s="5">
        <v>1</v>
      </c>
      <c r="AE49" s="5">
        <v>3</v>
      </c>
      <c r="AF49" s="5">
        <v>1</v>
      </c>
      <c r="AG49" s="5">
        <v>0</v>
      </c>
      <c r="AH49" s="5">
        <v>0</v>
      </c>
      <c r="AI49" s="5">
        <v>0</v>
      </c>
    </row>
    <row r="50" spans="1:35" x14ac:dyDescent="0.25">
      <c r="A50" s="5">
        <v>46</v>
      </c>
      <c r="B50" s="5" t="s">
        <v>43</v>
      </c>
      <c r="C50" s="5" t="s">
        <v>44</v>
      </c>
      <c r="D50" s="5">
        <v>1211</v>
      </c>
      <c r="E50" s="5" t="s">
        <v>37</v>
      </c>
      <c r="F50" s="5">
        <v>5</v>
      </c>
      <c r="G50" s="5">
        <v>4</v>
      </c>
      <c r="H50" s="5" t="s">
        <v>59</v>
      </c>
      <c r="I50" s="5">
        <v>1</v>
      </c>
      <c r="J50" s="5">
        <v>62</v>
      </c>
      <c r="K50" s="5">
        <v>1</v>
      </c>
      <c r="L50" s="5" t="s">
        <v>46</v>
      </c>
      <c r="M50" s="5">
        <v>98</v>
      </c>
      <c r="N50" s="5">
        <v>3</v>
      </c>
      <c r="O50" s="5">
        <v>2</v>
      </c>
      <c r="P50" s="5" t="s">
        <v>40</v>
      </c>
      <c r="Q50" s="5">
        <v>4</v>
      </c>
      <c r="R50" s="5" t="s">
        <v>41</v>
      </c>
      <c r="S50" s="5">
        <v>5772</v>
      </c>
      <c r="T50" s="5">
        <v>20445</v>
      </c>
      <c r="U50" s="5">
        <v>4</v>
      </c>
      <c r="V50" s="5" t="s">
        <v>42</v>
      </c>
      <c r="W50" s="5" t="s">
        <v>35</v>
      </c>
      <c r="X50" s="5">
        <v>21</v>
      </c>
      <c r="Y50" s="5">
        <v>4</v>
      </c>
      <c r="Z50" s="5">
        <v>3</v>
      </c>
      <c r="AA50" s="5">
        <v>80</v>
      </c>
      <c r="AB50" s="5">
        <v>0</v>
      </c>
      <c r="AC50" s="5">
        <v>14</v>
      </c>
      <c r="AD50" s="5">
        <v>4</v>
      </c>
      <c r="AE50" s="5">
        <v>3</v>
      </c>
      <c r="AF50" s="5">
        <v>9</v>
      </c>
      <c r="AG50" s="5">
        <v>6</v>
      </c>
      <c r="AH50" s="5">
        <v>0</v>
      </c>
      <c r="AI50" s="5">
        <v>8</v>
      </c>
    </row>
    <row r="51" spans="1:35" x14ac:dyDescent="0.25">
      <c r="A51" s="5">
        <v>35</v>
      </c>
      <c r="B51" s="5" t="s">
        <v>43</v>
      </c>
      <c r="C51" s="5" t="s">
        <v>36</v>
      </c>
      <c r="D51" s="5">
        <v>1229</v>
      </c>
      <c r="E51" s="5" t="s">
        <v>45</v>
      </c>
      <c r="F51" s="5">
        <v>8</v>
      </c>
      <c r="G51" s="5">
        <v>1</v>
      </c>
      <c r="H51" s="5" t="s">
        <v>38</v>
      </c>
      <c r="I51" s="5">
        <v>1</v>
      </c>
      <c r="J51" s="5">
        <v>63</v>
      </c>
      <c r="K51" s="5">
        <v>4</v>
      </c>
      <c r="L51" s="5" t="s">
        <v>46</v>
      </c>
      <c r="M51" s="5">
        <v>36</v>
      </c>
      <c r="N51" s="5">
        <v>4</v>
      </c>
      <c r="O51" s="5">
        <v>1</v>
      </c>
      <c r="P51" s="5" t="s">
        <v>50</v>
      </c>
      <c r="Q51" s="5">
        <v>4</v>
      </c>
      <c r="R51" s="5" t="s">
        <v>48</v>
      </c>
      <c r="S51" s="5">
        <v>2269</v>
      </c>
      <c r="T51" s="5">
        <v>4892</v>
      </c>
      <c r="U51" s="5">
        <v>1</v>
      </c>
      <c r="V51" s="5" t="s">
        <v>42</v>
      </c>
      <c r="W51" s="5" t="s">
        <v>43</v>
      </c>
      <c r="X51" s="5">
        <v>19</v>
      </c>
      <c r="Y51" s="5">
        <v>3</v>
      </c>
      <c r="Z51" s="5">
        <v>4</v>
      </c>
      <c r="AA51" s="5">
        <v>80</v>
      </c>
      <c r="AB51" s="5">
        <v>0</v>
      </c>
      <c r="AC51" s="5">
        <v>1</v>
      </c>
      <c r="AD51" s="5">
        <v>2</v>
      </c>
      <c r="AE51" s="5">
        <v>3</v>
      </c>
      <c r="AF51" s="5">
        <v>1</v>
      </c>
      <c r="AG51" s="5">
        <v>0</v>
      </c>
      <c r="AH51" s="5">
        <v>0</v>
      </c>
      <c r="AI51" s="5">
        <v>1</v>
      </c>
    </row>
    <row r="52" spans="1:35" x14ac:dyDescent="0.25">
      <c r="A52" s="5">
        <v>48</v>
      </c>
      <c r="B52" s="5" t="s">
        <v>35</v>
      </c>
      <c r="C52" s="5" t="s">
        <v>36</v>
      </c>
      <c r="D52" s="5">
        <v>626</v>
      </c>
      <c r="E52" s="5" t="s">
        <v>45</v>
      </c>
      <c r="F52" s="5">
        <v>1</v>
      </c>
      <c r="G52" s="5">
        <v>2</v>
      </c>
      <c r="H52" s="5" t="s">
        <v>38</v>
      </c>
      <c r="I52" s="5">
        <v>1</v>
      </c>
      <c r="J52" s="5">
        <v>64</v>
      </c>
      <c r="K52" s="5">
        <v>1</v>
      </c>
      <c r="L52" s="5" t="s">
        <v>46</v>
      </c>
      <c r="M52" s="5">
        <v>98</v>
      </c>
      <c r="N52" s="5">
        <v>2</v>
      </c>
      <c r="O52" s="5">
        <v>3</v>
      </c>
      <c r="P52" s="5" t="s">
        <v>50</v>
      </c>
      <c r="Q52" s="5">
        <v>3</v>
      </c>
      <c r="R52" s="5" t="s">
        <v>41</v>
      </c>
      <c r="S52" s="5">
        <v>5381</v>
      </c>
      <c r="T52" s="5">
        <v>19294</v>
      </c>
      <c r="U52" s="5">
        <v>9</v>
      </c>
      <c r="V52" s="5" t="s">
        <v>42</v>
      </c>
      <c r="W52" s="5" t="s">
        <v>35</v>
      </c>
      <c r="X52" s="5">
        <v>13</v>
      </c>
      <c r="Y52" s="5">
        <v>3</v>
      </c>
      <c r="Z52" s="5">
        <v>4</v>
      </c>
      <c r="AA52" s="5">
        <v>80</v>
      </c>
      <c r="AB52" s="5">
        <v>0</v>
      </c>
      <c r="AC52" s="5">
        <v>23</v>
      </c>
      <c r="AD52" s="5">
        <v>2</v>
      </c>
      <c r="AE52" s="5">
        <v>3</v>
      </c>
      <c r="AF52" s="5">
        <v>1</v>
      </c>
      <c r="AG52" s="5">
        <v>0</v>
      </c>
      <c r="AH52" s="5">
        <v>0</v>
      </c>
      <c r="AI52" s="5">
        <v>0</v>
      </c>
    </row>
    <row r="53" spans="1:35" x14ac:dyDescent="0.25">
      <c r="A53" s="5">
        <v>28</v>
      </c>
      <c r="B53" s="5" t="s">
        <v>35</v>
      </c>
      <c r="C53" s="5" t="s">
        <v>36</v>
      </c>
      <c r="D53" s="5">
        <v>1434</v>
      </c>
      <c r="E53" s="5" t="s">
        <v>45</v>
      </c>
      <c r="F53" s="5">
        <v>5</v>
      </c>
      <c r="G53" s="5">
        <v>4</v>
      </c>
      <c r="H53" s="5" t="s">
        <v>60</v>
      </c>
      <c r="I53" s="5">
        <v>1</v>
      </c>
      <c r="J53" s="5">
        <v>65</v>
      </c>
      <c r="K53" s="5">
        <v>3</v>
      </c>
      <c r="L53" s="5" t="s">
        <v>46</v>
      </c>
      <c r="M53" s="5">
        <v>50</v>
      </c>
      <c r="N53" s="5">
        <v>3</v>
      </c>
      <c r="O53" s="5">
        <v>1</v>
      </c>
      <c r="P53" s="5" t="s">
        <v>50</v>
      </c>
      <c r="Q53" s="5">
        <v>3</v>
      </c>
      <c r="R53" s="5" t="s">
        <v>41</v>
      </c>
      <c r="S53" s="5">
        <v>3441</v>
      </c>
      <c r="T53" s="5">
        <v>11179</v>
      </c>
      <c r="U53" s="5">
        <v>1</v>
      </c>
      <c r="V53" s="5" t="s">
        <v>42</v>
      </c>
      <c r="W53" s="5" t="s">
        <v>35</v>
      </c>
      <c r="X53" s="5">
        <v>13</v>
      </c>
      <c r="Y53" s="5">
        <v>3</v>
      </c>
      <c r="Z53" s="5">
        <v>3</v>
      </c>
      <c r="AA53" s="5">
        <v>80</v>
      </c>
      <c r="AB53" s="5">
        <v>0</v>
      </c>
      <c r="AC53" s="5">
        <v>2</v>
      </c>
      <c r="AD53" s="5">
        <v>3</v>
      </c>
      <c r="AE53" s="5">
        <v>2</v>
      </c>
      <c r="AF53" s="5">
        <v>2</v>
      </c>
      <c r="AG53" s="5">
        <v>2</v>
      </c>
      <c r="AH53" s="5">
        <v>2</v>
      </c>
      <c r="AI53" s="5">
        <v>2</v>
      </c>
    </row>
    <row r="54" spans="1:35" x14ac:dyDescent="0.25">
      <c r="A54" s="5">
        <v>44</v>
      </c>
      <c r="B54" s="5" t="s">
        <v>43</v>
      </c>
      <c r="C54" s="5" t="s">
        <v>36</v>
      </c>
      <c r="D54" s="5">
        <v>1488</v>
      </c>
      <c r="E54" s="5" t="s">
        <v>37</v>
      </c>
      <c r="F54" s="5">
        <v>1</v>
      </c>
      <c r="G54" s="5">
        <v>5</v>
      </c>
      <c r="H54" s="5" t="s">
        <v>59</v>
      </c>
      <c r="I54" s="5">
        <v>1</v>
      </c>
      <c r="J54" s="5">
        <v>68</v>
      </c>
      <c r="K54" s="5">
        <v>2</v>
      </c>
      <c r="L54" s="5" t="s">
        <v>39</v>
      </c>
      <c r="M54" s="5">
        <v>75</v>
      </c>
      <c r="N54" s="5">
        <v>3</v>
      </c>
      <c r="O54" s="5">
        <v>2</v>
      </c>
      <c r="P54" s="5" t="s">
        <v>40</v>
      </c>
      <c r="Q54" s="5">
        <v>1</v>
      </c>
      <c r="R54" s="5" t="s">
        <v>52</v>
      </c>
      <c r="S54" s="5">
        <v>5454</v>
      </c>
      <c r="T54" s="5">
        <v>4009</v>
      </c>
      <c r="U54" s="5">
        <v>5</v>
      </c>
      <c r="V54" s="5" t="s">
        <v>42</v>
      </c>
      <c r="W54" s="5" t="s">
        <v>35</v>
      </c>
      <c r="X54" s="5">
        <v>21</v>
      </c>
      <c r="Y54" s="5">
        <v>4</v>
      </c>
      <c r="Z54" s="5">
        <v>3</v>
      </c>
      <c r="AA54" s="5">
        <v>80</v>
      </c>
      <c r="AB54" s="5">
        <v>1</v>
      </c>
      <c r="AC54" s="5">
        <v>9</v>
      </c>
      <c r="AD54" s="5">
        <v>2</v>
      </c>
      <c r="AE54" s="5">
        <v>2</v>
      </c>
      <c r="AF54" s="5">
        <v>4</v>
      </c>
      <c r="AG54" s="5">
        <v>3</v>
      </c>
      <c r="AH54" s="5">
        <v>1</v>
      </c>
      <c r="AI54" s="5">
        <v>3</v>
      </c>
    </row>
    <row r="55" spans="1:35" x14ac:dyDescent="0.25">
      <c r="A55" s="5">
        <v>35</v>
      </c>
      <c r="B55" s="5" t="s">
        <v>43</v>
      </c>
      <c r="C55" s="5" t="s">
        <v>55</v>
      </c>
      <c r="D55" s="5">
        <v>1097</v>
      </c>
      <c r="E55" s="5" t="s">
        <v>45</v>
      </c>
      <c r="F55" s="5">
        <v>11</v>
      </c>
      <c r="G55" s="5">
        <v>2</v>
      </c>
      <c r="H55" s="5" t="s">
        <v>51</v>
      </c>
      <c r="I55" s="5">
        <v>1</v>
      </c>
      <c r="J55" s="5">
        <v>70</v>
      </c>
      <c r="K55" s="5">
        <v>3</v>
      </c>
      <c r="L55" s="5" t="s">
        <v>46</v>
      </c>
      <c r="M55" s="5">
        <v>79</v>
      </c>
      <c r="N55" s="5">
        <v>2</v>
      </c>
      <c r="O55" s="5">
        <v>3</v>
      </c>
      <c r="P55" s="5" t="s">
        <v>54</v>
      </c>
      <c r="Q55" s="5">
        <v>1</v>
      </c>
      <c r="R55" s="5" t="s">
        <v>48</v>
      </c>
      <c r="S55" s="5">
        <v>9884</v>
      </c>
      <c r="T55" s="5">
        <v>8302</v>
      </c>
      <c r="U55" s="5">
        <v>2</v>
      </c>
      <c r="V55" s="5" t="s">
        <v>42</v>
      </c>
      <c r="W55" s="5" t="s">
        <v>35</v>
      </c>
      <c r="X55" s="5">
        <v>13</v>
      </c>
      <c r="Y55" s="5">
        <v>3</v>
      </c>
      <c r="Z55" s="5">
        <v>3</v>
      </c>
      <c r="AA55" s="5">
        <v>80</v>
      </c>
      <c r="AB55" s="5">
        <v>1</v>
      </c>
      <c r="AC55" s="5">
        <v>10</v>
      </c>
      <c r="AD55" s="5">
        <v>3</v>
      </c>
      <c r="AE55" s="5">
        <v>3</v>
      </c>
      <c r="AF55" s="5">
        <v>4</v>
      </c>
      <c r="AG55" s="5">
        <v>0</v>
      </c>
      <c r="AH55" s="5">
        <v>2</v>
      </c>
      <c r="AI55" s="5">
        <v>3</v>
      </c>
    </row>
    <row r="56" spans="1:35" x14ac:dyDescent="0.25">
      <c r="A56" s="5">
        <v>26</v>
      </c>
      <c r="B56" s="5" t="s">
        <v>43</v>
      </c>
      <c r="C56" s="5" t="s">
        <v>36</v>
      </c>
      <c r="D56" s="5">
        <v>1443</v>
      </c>
      <c r="E56" s="5" t="s">
        <v>37</v>
      </c>
      <c r="F56" s="5">
        <v>23</v>
      </c>
      <c r="G56" s="5">
        <v>3</v>
      </c>
      <c r="H56" s="5" t="s">
        <v>59</v>
      </c>
      <c r="I56" s="5">
        <v>1</v>
      </c>
      <c r="J56" s="5">
        <v>72</v>
      </c>
      <c r="K56" s="5">
        <v>3</v>
      </c>
      <c r="L56" s="5" t="s">
        <v>39</v>
      </c>
      <c r="M56" s="5">
        <v>47</v>
      </c>
      <c r="N56" s="5">
        <v>2</v>
      </c>
      <c r="O56" s="5">
        <v>2</v>
      </c>
      <c r="P56" s="5" t="s">
        <v>40</v>
      </c>
      <c r="Q56" s="5">
        <v>4</v>
      </c>
      <c r="R56" s="5" t="s">
        <v>48</v>
      </c>
      <c r="S56" s="5">
        <v>4157</v>
      </c>
      <c r="T56" s="5">
        <v>21436</v>
      </c>
      <c r="U56" s="5">
        <v>7</v>
      </c>
      <c r="V56" s="5" t="s">
        <v>42</v>
      </c>
      <c r="W56" s="5" t="s">
        <v>35</v>
      </c>
      <c r="X56" s="5">
        <v>19</v>
      </c>
      <c r="Y56" s="5">
        <v>3</v>
      </c>
      <c r="Z56" s="5">
        <v>3</v>
      </c>
      <c r="AA56" s="5">
        <v>80</v>
      </c>
      <c r="AB56" s="5">
        <v>1</v>
      </c>
      <c r="AC56" s="5">
        <v>5</v>
      </c>
      <c r="AD56" s="5">
        <v>2</v>
      </c>
      <c r="AE56" s="5">
        <v>2</v>
      </c>
      <c r="AF56" s="5">
        <v>2</v>
      </c>
      <c r="AG56" s="5">
        <v>2</v>
      </c>
      <c r="AH56" s="5">
        <v>0</v>
      </c>
      <c r="AI56" s="5">
        <v>0</v>
      </c>
    </row>
    <row r="57" spans="1:35" x14ac:dyDescent="0.25">
      <c r="A57" s="5">
        <v>33</v>
      </c>
      <c r="B57" s="5" t="s">
        <v>43</v>
      </c>
      <c r="C57" s="5" t="s">
        <v>44</v>
      </c>
      <c r="D57" s="5">
        <v>515</v>
      </c>
      <c r="E57" s="5" t="s">
        <v>45</v>
      </c>
      <c r="F57" s="5">
        <v>1</v>
      </c>
      <c r="G57" s="5">
        <v>2</v>
      </c>
      <c r="H57" s="5" t="s">
        <v>38</v>
      </c>
      <c r="I57" s="5">
        <v>1</v>
      </c>
      <c r="J57" s="5">
        <v>73</v>
      </c>
      <c r="K57" s="5">
        <v>1</v>
      </c>
      <c r="L57" s="5" t="s">
        <v>39</v>
      </c>
      <c r="M57" s="5">
        <v>98</v>
      </c>
      <c r="N57" s="5">
        <v>3</v>
      </c>
      <c r="O57" s="5">
        <v>3</v>
      </c>
      <c r="P57" s="5" t="s">
        <v>58</v>
      </c>
      <c r="Q57" s="5">
        <v>4</v>
      </c>
      <c r="R57" s="5" t="s">
        <v>41</v>
      </c>
      <c r="S57" s="5">
        <v>13458</v>
      </c>
      <c r="T57" s="5">
        <v>15146</v>
      </c>
      <c r="U57" s="5">
        <v>1</v>
      </c>
      <c r="V57" s="5" t="s">
        <v>42</v>
      </c>
      <c r="W57" s="5" t="s">
        <v>35</v>
      </c>
      <c r="X57" s="5">
        <v>12</v>
      </c>
      <c r="Y57" s="5">
        <v>3</v>
      </c>
      <c r="Z57" s="5">
        <v>3</v>
      </c>
      <c r="AA57" s="5">
        <v>80</v>
      </c>
      <c r="AB57" s="5">
        <v>0</v>
      </c>
      <c r="AC57" s="5">
        <v>15</v>
      </c>
      <c r="AD57" s="5">
        <v>1</v>
      </c>
      <c r="AE57" s="5">
        <v>3</v>
      </c>
      <c r="AF57" s="5">
        <v>15</v>
      </c>
      <c r="AG57" s="5">
        <v>14</v>
      </c>
      <c r="AH57" s="5">
        <v>8</v>
      </c>
      <c r="AI57" s="5">
        <v>12</v>
      </c>
    </row>
    <row r="58" spans="1:35" x14ac:dyDescent="0.25">
      <c r="A58" s="5">
        <v>35</v>
      </c>
      <c r="B58" s="5" t="s">
        <v>43</v>
      </c>
      <c r="C58" s="5" t="s">
        <v>44</v>
      </c>
      <c r="D58" s="5">
        <v>853</v>
      </c>
      <c r="E58" s="5" t="s">
        <v>37</v>
      </c>
      <c r="F58" s="5">
        <v>18</v>
      </c>
      <c r="G58" s="5">
        <v>5</v>
      </c>
      <c r="H58" s="5" t="s">
        <v>38</v>
      </c>
      <c r="I58" s="5">
        <v>1</v>
      </c>
      <c r="J58" s="5">
        <v>74</v>
      </c>
      <c r="K58" s="5">
        <v>2</v>
      </c>
      <c r="L58" s="5" t="s">
        <v>46</v>
      </c>
      <c r="M58" s="5">
        <v>71</v>
      </c>
      <c r="N58" s="5">
        <v>3</v>
      </c>
      <c r="O58" s="5">
        <v>3</v>
      </c>
      <c r="P58" s="5" t="s">
        <v>40</v>
      </c>
      <c r="Q58" s="5">
        <v>1</v>
      </c>
      <c r="R58" s="5" t="s">
        <v>48</v>
      </c>
      <c r="S58" s="5">
        <v>9069</v>
      </c>
      <c r="T58" s="5">
        <v>11031</v>
      </c>
      <c r="U58" s="5">
        <v>1</v>
      </c>
      <c r="V58" s="5" t="s">
        <v>42</v>
      </c>
      <c r="W58" s="5" t="s">
        <v>43</v>
      </c>
      <c r="X58" s="5">
        <v>22</v>
      </c>
      <c r="Y58" s="5">
        <v>4</v>
      </c>
      <c r="Z58" s="5">
        <v>4</v>
      </c>
      <c r="AA58" s="5">
        <v>80</v>
      </c>
      <c r="AB58" s="5">
        <v>1</v>
      </c>
      <c r="AC58" s="5">
        <v>9</v>
      </c>
      <c r="AD58" s="5">
        <v>3</v>
      </c>
      <c r="AE58" s="5">
        <v>2</v>
      </c>
      <c r="AF58" s="5">
        <v>9</v>
      </c>
      <c r="AG58" s="5">
        <v>8</v>
      </c>
      <c r="AH58" s="5">
        <v>1</v>
      </c>
      <c r="AI58" s="5">
        <v>8</v>
      </c>
    </row>
    <row r="59" spans="1:35" x14ac:dyDescent="0.25">
      <c r="A59" s="5">
        <v>35</v>
      </c>
      <c r="B59" s="5" t="s">
        <v>43</v>
      </c>
      <c r="C59" s="5" t="s">
        <v>36</v>
      </c>
      <c r="D59" s="5">
        <v>1142</v>
      </c>
      <c r="E59" s="5" t="s">
        <v>45</v>
      </c>
      <c r="F59" s="5">
        <v>23</v>
      </c>
      <c r="G59" s="5">
        <v>4</v>
      </c>
      <c r="H59" s="5" t="s">
        <v>51</v>
      </c>
      <c r="I59" s="5">
        <v>1</v>
      </c>
      <c r="J59" s="5">
        <v>75</v>
      </c>
      <c r="K59" s="5">
        <v>3</v>
      </c>
      <c r="L59" s="5" t="s">
        <v>39</v>
      </c>
      <c r="M59" s="5">
        <v>30</v>
      </c>
      <c r="N59" s="5">
        <v>3</v>
      </c>
      <c r="O59" s="5">
        <v>1</v>
      </c>
      <c r="P59" s="5" t="s">
        <v>50</v>
      </c>
      <c r="Q59" s="5">
        <v>1</v>
      </c>
      <c r="R59" s="5" t="s">
        <v>48</v>
      </c>
      <c r="S59" s="5">
        <v>4014</v>
      </c>
      <c r="T59" s="5">
        <v>16002</v>
      </c>
      <c r="U59" s="5">
        <v>3</v>
      </c>
      <c r="V59" s="5" t="s">
        <v>42</v>
      </c>
      <c r="W59" s="5" t="s">
        <v>35</v>
      </c>
      <c r="X59" s="5">
        <v>15</v>
      </c>
      <c r="Y59" s="5">
        <v>3</v>
      </c>
      <c r="Z59" s="5">
        <v>3</v>
      </c>
      <c r="AA59" s="5">
        <v>80</v>
      </c>
      <c r="AB59" s="5">
        <v>1</v>
      </c>
      <c r="AC59" s="5">
        <v>4</v>
      </c>
      <c r="AD59" s="5">
        <v>3</v>
      </c>
      <c r="AE59" s="5">
        <v>3</v>
      </c>
      <c r="AF59" s="5">
        <v>2</v>
      </c>
      <c r="AG59" s="5">
        <v>2</v>
      </c>
      <c r="AH59" s="5">
        <v>2</v>
      </c>
      <c r="AI59" s="5">
        <v>2</v>
      </c>
    </row>
    <row r="60" spans="1:35" x14ac:dyDescent="0.25">
      <c r="A60" s="5">
        <v>31</v>
      </c>
      <c r="B60" s="5" t="s">
        <v>43</v>
      </c>
      <c r="C60" s="5" t="s">
        <v>36</v>
      </c>
      <c r="D60" s="5">
        <v>655</v>
      </c>
      <c r="E60" s="5" t="s">
        <v>45</v>
      </c>
      <c r="F60" s="5">
        <v>7</v>
      </c>
      <c r="G60" s="5">
        <v>4</v>
      </c>
      <c r="H60" s="5" t="s">
        <v>38</v>
      </c>
      <c r="I60" s="5">
        <v>1</v>
      </c>
      <c r="J60" s="5">
        <v>76</v>
      </c>
      <c r="K60" s="5">
        <v>4</v>
      </c>
      <c r="L60" s="5" t="s">
        <v>46</v>
      </c>
      <c r="M60" s="5">
        <v>48</v>
      </c>
      <c r="N60" s="5">
        <v>3</v>
      </c>
      <c r="O60" s="5">
        <v>2</v>
      </c>
      <c r="P60" s="5" t="s">
        <v>50</v>
      </c>
      <c r="Q60" s="5">
        <v>4</v>
      </c>
      <c r="R60" s="5" t="s">
        <v>52</v>
      </c>
      <c r="S60" s="5">
        <v>5915</v>
      </c>
      <c r="T60" s="5">
        <v>9528</v>
      </c>
      <c r="U60" s="5">
        <v>3</v>
      </c>
      <c r="V60" s="5" t="s">
        <v>42</v>
      </c>
      <c r="W60" s="5" t="s">
        <v>43</v>
      </c>
      <c r="X60" s="5">
        <v>22</v>
      </c>
      <c r="Y60" s="5">
        <v>4</v>
      </c>
      <c r="Z60" s="5">
        <v>4</v>
      </c>
      <c r="AA60" s="5">
        <v>80</v>
      </c>
      <c r="AB60" s="5">
        <v>1</v>
      </c>
      <c r="AC60" s="5">
        <v>10</v>
      </c>
      <c r="AD60" s="5">
        <v>3</v>
      </c>
      <c r="AE60" s="5">
        <v>2</v>
      </c>
      <c r="AF60" s="5">
        <v>7</v>
      </c>
      <c r="AG60" s="5">
        <v>7</v>
      </c>
      <c r="AH60" s="5">
        <v>1</v>
      </c>
      <c r="AI60" s="5">
        <v>7</v>
      </c>
    </row>
    <row r="61" spans="1:35" x14ac:dyDescent="0.25">
      <c r="A61" s="5">
        <v>37</v>
      </c>
      <c r="B61" s="5" t="s">
        <v>43</v>
      </c>
      <c r="C61" s="5" t="s">
        <v>36</v>
      </c>
      <c r="D61" s="5">
        <v>1115</v>
      </c>
      <c r="E61" s="5" t="s">
        <v>45</v>
      </c>
      <c r="F61" s="5">
        <v>1</v>
      </c>
      <c r="G61" s="5">
        <v>4</v>
      </c>
      <c r="H61" s="5" t="s">
        <v>38</v>
      </c>
      <c r="I61" s="5">
        <v>1</v>
      </c>
      <c r="J61" s="5">
        <v>77</v>
      </c>
      <c r="K61" s="5">
        <v>1</v>
      </c>
      <c r="L61" s="5" t="s">
        <v>46</v>
      </c>
      <c r="M61" s="5">
        <v>51</v>
      </c>
      <c r="N61" s="5">
        <v>2</v>
      </c>
      <c r="O61" s="5">
        <v>2</v>
      </c>
      <c r="P61" s="5" t="s">
        <v>53</v>
      </c>
      <c r="Q61" s="5">
        <v>3</v>
      </c>
      <c r="R61" s="5" t="s">
        <v>52</v>
      </c>
      <c r="S61" s="5">
        <v>5993</v>
      </c>
      <c r="T61" s="5">
        <v>2689</v>
      </c>
      <c r="U61" s="5">
        <v>1</v>
      </c>
      <c r="V61" s="5" t="s">
        <v>42</v>
      </c>
      <c r="W61" s="5" t="s">
        <v>43</v>
      </c>
      <c r="X61" s="5">
        <v>18</v>
      </c>
      <c r="Y61" s="5">
        <v>3</v>
      </c>
      <c r="Z61" s="5">
        <v>3</v>
      </c>
      <c r="AA61" s="5">
        <v>80</v>
      </c>
      <c r="AB61" s="5">
        <v>1</v>
      </c>
      <c r="AC61" s="5">
        <v>7</v>
      </c>
      <c r="AD61" s="5">
        <v>2</v>
      </c>
      <c r="AE61" s="5">
        <v>4</v>
      </c>
      <c r="AF61" s="5">
        <v>7</v>
      </c>
      <c r="AG61" s="5">
        <v>5</v>
      </c>
      <c r="AH61" s="5">
        <v>0</v>
      </c>
      <c r="AI61" s="5">
        <v>7</v>
      </c>
    </row>
    <row r="62" spans="1:35" x14ac:dyDescent="0.25">
      <c r="A62" s="5">
        <v>32</v>
      </c>
      <c r="B62" s="5" t="s">
        <v>43</v>
      </c>
      <c r="C62" s="5" t="s">
        <v>36</v>
      </c>
      <c r="D62" s="5">
        <v>427</v>
      </c>
      <c r="E62" s="5" t="s">
        <v>45</v>
      </c>
      <c r="F62" s="5">
        <v>1</v>
      </c>
      <c r="G62" s="5">
        <v>3</v>
      </c>
      <c r="H62" s="5" t="s">
        <v>51</v>
      </c>
      <c r="I62" s="5">
        <v>1</v>
      </c>
      <c r="J62" s="5">
        <v>78</v>
      </c>
      <c r="K62" s="5">
        <v>1</v>
      </c>
      <c r="L62" s="5" t="s">
        <v>46</v>
      </c>
      <c r="M62" s="5">
        <v>33</v>
      </c>
      <c r="N62" s="5">
        <v>3</v>
      </c>
      <c r="O62" s="5">
        <v>2</v>
      </c>
      <c r="P62" s="5" t="s">
        <v>53</v>
      </c>
      <c r="Q62" s="5">
        <v>4</v>
      </c>
      <c r="R62" s="5" t="s">
        <v>48</v>
      </c>
      <c r="S62" s="5">
        <v>6162</v>
      </c>
      <c r="T62" s="5">
        <v>10877</v>
      </c>
      <c r="U62" s="5">
        <v>1</v>
      </c>
      <c r="V62" s="5" t="s">
        <v>42</v>
      </c>
      <c r="W62" s="5" t="s">
        <v>35</v>
      </c>
      <c r="X62" s="5">
        <v>22</v>
      </c>
      <c r="Y62" s="5">
        <v>4</v>
      </c>
      <c r="Z62" s="5">
        <v>2</v>
      </c>
      <c r="AA62" s="5">
        <v>80</v>
      </c>
      <c r="AB62" s="5">
        <v>1</v>
      </c>
      <c r="AC62" s="5">
        <v>9</v>
      </c>
      <c r="AD62" s="5">
        <v>3</v>
      </c>
      <c r="AE62" s="5">
        <v>3</v>
      </c>
      <c r="AF62" s="5">
        <v>9</v>
      </c>
      <c r="AG62" s="5">
        <v>8</v>
      </c>
      <c r="AH62" s="5">
        <v>7</v>
      </c>
      <c r="AI62" s="5">
        <v>8</v>
      </c>
    </row>
    <row r="63" spans="1:35" x14ac:dyDescent="0.25">
      <c r="A63" s="5">
        <v>38</v>
      </c>
      <c r="B63" s="5" t="s">
        <v>43</v>
      </c>
      <c r="C63" s="5" t="s">
        <v>44</v>
      </c>
      <c r="D63" s="5">
        <v>653</v>
      </c>
      <c r="E63" s="5" t="s">
        <v>45</v>
      </c>
      <c r="F63" s="5">
        <v>29</v>
      </c>
      <c r="G63" s="5">
        <v>5</v>
      </c>
      <c r="H63" s="5" t="s">
        <v>38</v>
      </c>
      <c r="I63" s="5">
        <v>1</v>
      </c>
      <c r="J63" s="5">
        <v>79</v>
      </c>
      <c r="K63" s="5">
        <v>4</v>
      </c>
      <c r="L63" s="5" t="s">
        <v>39</v>
      </c>
      <c r="M63" s="5">
        <v>50</v>
      </c>
      <c r="N63" s="5">
        <v>3</v>
      </c>
      <c r="O63" s="5">
        <v>2</v>
      </c>
      <c r="P63" s="5" t="s">
        <v>50</v>
      </c>
      <c r="Q63" s="5">
        <v>4</v>
      </c>
      <c r="R63" s="5" t="s">
        <v>41</v>
      </c>
      <c r="S63" s="5">
        <v>2406</v>
      </c>
      <c r="T63" s="5">
        <v>5456</v>
      </c>
      <c r="U63" s="5">
        <v>1</v>
      </c>
      <c r="V63" s="5" t="s">
        <v>42</v>
      </c>
      <c r="W63" s="5" t="s">
        <v>43</v>
      </c>
      <c r="X63" s="5">
        <v>11</v>
      </c>
      <c r="Y63" s="5">
        <v>3</v>
      </c>
      <c r="Z63" s="5">
        <v>4</v>
      </c>
      <c r="AA63" s="5">
        <v>80</v>
      </c>
      <c r="AB63" s="5">
        <v>0</v>
      </c>
      <c r="AC63" s="5">
        <v>10</v>
      </c>
      <c r="AD63" s="5">
        <v>2</v>
      </c>
      <c r="AE63" s="5">
        <v>3</v>
      </c>
      <c r="AF63" s="5">
        <v>10</v>
      </c>
      <c r="AG63" s="5">
        <v>3</v>
      </c>
      <c r="AH63" s="5">
        <v>9</v>
      </c>
      <c r="AI63" s="5">
        <v>9</v>
      </c>
    </row>
    <row r="64" spans="1:35" x14ac:dyDescent="0.25">
      <c r="A64" s="5">
        <v>50</v>
      </c>
      <c r="B64" s="5" t="s">
        <v>43</v>
      </c>
      <c r="C64" s="5" t="s">
        <v>36</v>
      </c>
      <c r="D64" s="5">
        <v>989</v>
      </c>
      <c r="E64" s="5" t="s">
        <v>45</v>
      </c>
      <c r="F64" s="5">
        <v>7</v>
      </c>
      <c r="G64" s="5">
        <v>2</v>
      </c>
      <c r="H64" s="5" t="s">
        <v>51</v>
      </c>
      <c r="I64" s="5">
        <v>1</v>
      </c>
      <c r="J64" s="5">
        <v>80</v>
      </c>
      <c r="K64" s="5">
        <v>2</v>
      </c>
      <c r="L64" s="5" t="s">
        <v>39</v>
      </c>
      <c r="M64" s="5">
        <v>43</v>
      </c>
      <c r="N64" s="5">
        <v>2</v>
      </c>
      <c r="O64" s="5">
        <v>5</v>
      </c>
      <c r="P64" s="5" t="s">
        <v>58</v>
      </c>
      <c r="Q64" s="5">
        <v>3</v>
      </c>
      <c r="R64" s="5" t="s">
        <v>52</v>
      </c>
      <c r="S64" s="5">
        <v>18740</v>
      </c>
      <c r="T64" s="5">
        <v>16701</v>
      </c>
      <c r="U64" s="5">
        <v>5</v>
      </c>
      <c r="V64" s="5" t="s">
        <v>42</v>
      </c>
      <c r="W64" s="5" t="s">
        <v>35</v>
      </c>
      <c r="X64" s="5">
        <v>12</v>
      </c>
      <c r="Y64" s="5">
        <v>3</v>
      </c>
      <c r="Z64" s="5">
        <v>4</v>
      </c>
      <c r="AA64" s="5">
        <v>80</v>
      </c>
      <c r="AB64" s="5">
        <v>1</v>
      </c>
      <c r="AC64" s="5">
        <v>29</v>
      </c>
      <c r="AD64" s="5">
        <v>2</v>
      </c>
      <c r="AE64" s="5">
        <v>2</v>
      </c>
      <c r="AF64" s="5">
        <v>27</v>
      </c>
      <c r="AG64" s="5">
        <v>3</v>
      </c>
      <c r="AH64" s="5">
        <v>13</v>
      </c>
      <c r="AI64" s="5">
        <v>8</v>
      </c>
    </row>
    <row r="65" spans="1:35" x14ac:dyDescent="0.25">
      <c r="A65" s="5">
        <v>59</v>
      </c>
      <c r="B65" s="5" t="s">
        <v>43</v>
      </c>
      <c r="C65" s="5" t="s">
        <v>36</v>
      </c>
      <c r="D65" s="5">
        <v>1435</v>
      </c>
      <c r="E65" s="5" t="s">
        <v>37</v>
      </c>
      <c r="F65" s="5">
        <v>25</v>
      </c>
      <c r="G65" s="5">
        <v>3</v>
      </c>
      <c r="H65" s="5" t="s">
        <v>38</v>
      </c>
      <c r="I65" s="5">
        <v>1</v>
      </c>
      <c r="J65" s="5">
        <v>81</v>
      </c>
      <c r="K65" s="5">
        <v>1</v>
      </c>
      <c r="L65" s="5" t="s">
        <v>39</v>
      </c>
      <c r="M65" s="5">
        <v>99</v>
      </c>
      <c r="N65" s="5">
        <v>3</v>
      </c>
      <c r="O65" s="5">
        <v>3</v>
      </c>
      <c r="P65" s="5" t="s">
        <v>40</v>
      </c>
      <c r="Q65" s="5">
        <v>1</v>
      </c>
      <c r="R65" s="5" t="s">
        <v>41</v>
      </c>
      <c r="S65" s="5">
        <v>7637</v>
      </c>
      <c r="T65" s="5">
        <v>2354</v>
      </c>
      <c r="U65" s="5">
        <v>7</v>
      </c>
      <c r="V65" s="5" t="s">
        <v>42</v>
      </c>
      <c r="W65" s="5" t="s">
        <v>43</v>
      </c>
      <c r="X65" s="5">
        <v>11</v>
      </c>
      <c r="Y65" s="5">
        <v>3</v>
      </c>
      <c r="Z65" s="5">
        <v>4</v>
      </c>
      <c r="AA65" s="5">
        <v>80</v>
      </c>
      <c r="AB65" s="5">
        <v>0</v>
      </c>
      <c r="AC65" s="5">
        <v>28</v>
      </c>
      <c r="AD65" s="5">
        <v>3</v>
      </c>
      <c r="AE65" s="5">
        <v>2</v>
      </c>
      <c r="AF65" s="5">
        <v>21</v>
      </c>
      <c r="AG65" s="5">
        <v>16</v>
      </c>
      <c r="AH65" s="5">
        <v>7</v>
      </c>
      <c r="AI65" s="5">
        <v>9</v>
      </c>
    </row>
    <row r="66" spans="1:35" x14ac:dyDescent="0.25">
      <c r="A66" s="5">
        <v>36</v>
      </c>
      <c r="B66" s="5" t="s">
        <v>43</v>
      </c>
      <c r="C66" s="5" t="s">
        <v>36</v>
      </c>
      <c r="D66" s="5">
        <v>1223</v>
      </c>
      <c r="E66" s="5" t="s">
        <v>45</v>
      </c>
      <c r="F66" s="5">
        <v>8</v>
      </c>
      <c r="G66" s="5">
        <v>3</v>
      </c>
      <c r="H66" s="5" t="s">
        <v>60</v>
      </c>
      <c r="I66" s="5">
        <v>1</v>
      </c>
      <c r="J66" s="5">
        <v>83</v>
      </c>
      <c r="K66" s="5">
        <v>3</v>
      </c>
      <c r="L66" s="5" t="s">
        <v>39</v>
      </c>
      <c r="M66" s="5">
        <v>59</v>
      </c>
      <c r="N66" s="5">
        <v>3</v>
      </c>
      <c r="O66" s="5">
        <v>3</v>
      </c>
      <c r="P66" s="5" t="s">
        <v>54</v>
      </c>
      <c r="Q66" s="5">
        <v>3</v>
      </c>
      <c r="R66" s="5" t="s">
        <v>52</v>
      </c>
      <c r="S66" s="5">
        <v>10096</v>
      </c>
      <c r="T66" s="5">
        <v>8202</v>
      </c>
      <c r="U66" s="5">
        <v>1</v>
      </c>
      <c r="V66" s="5" t="s">
        <v>42</v>
      </c>
      <c r="W66" s="5" t="s">
        <v>43</v>
      </c>
      <c r="X66" s="5">
        <v>13</v>
      </c>
      <c r="Y66" s="5">
        <v>3</v>
      </c>
      <c r="Z66" s="5">
        <v>2</v>
      </c>
      <c r="AA66" s="5">
        <v>80</v>
      </c>
      <c r="AB66" s="5">
        <v>3</v>
      </c>
      <c r="AC66" s="5">
        <v>17</v>
      </c>
      <c r="AD66" s="5">
        <v>2</v>
      </c>
      <c r="AE66" s="5">
        <v>3</v>
      </c>
      <c r="AF66" s="5">
        <v>17</v>
      </c>
      <c r="AG66" s="5">
        <v>14</v>
      </c>
      <c r="AH66" s="5">
        <v>12</v>
      </c>
      <c r="AI66" s="5">
        <v>8</v>
      </c>
    </row>
    <row r="67" spans="1:35" x14ac:dyDescent="0.25">
      <c r="A67" s="5">
        <v>55</v>
      </c>
      <c r="B67" s="5" t="s">
        <v>43</v>
      </c>
      <c r="C67" s="5" t="s">
        <v>36</v>
      </c>
      <c r="D67" s="5">
        <v>836</v>
      </c>
      <c r="E67" s="5" t="s">
        <v>45</v>
      </c>
      <c r="F67" s="5">
        <v>8</v>
      </c>
      <c r="G67" s="5">
        <v>3</v>
      </c>
      <c r="H67" s="5" t="s">
        <v>51</v>
      </c>
      <c r="I67" s="5">
        <v>1</v>
      </c>
      <c r="J67" s="5">
        <v>84</v>
      </c>
      <c r="K67" s="5">
        <v>4</v>
      </c>
      <c r="L67" s="5" t="s">
        <v>39</v>
      </c>
      <c r="M67" s="5">
        <v>33</v>
      </c>
      <c r="N67" s="5">
        <v>3</v>
      </c>
      <c r="O67" s="5">
        <v>4</v>
      </c>
      <c r="P67" s="5" t="s">
        <v>56</v>
      </c>
      <c r="Q67" s="5">
        <v>3</v>
      </c>
      <c r="R67" s="5" t="s">
        <v>52</v>
      </c>
      <c r="S67" s="5">
        <v>14756</v>
      </c>
      <c r="T67" s="5">
        <v>19730</v>
      </c>
      <c r="U67" s="5">
        <v>2</v>
      </c>
      <c r="V67" s="5" t="s">
        <v>42</v>
      </c>
      <c r="W67" s="5" t="s">
        <v>35</v>
      </c>
      <c r="X67" s="5">
        <v>14</v>
      </c>
      <c r="Y67" s="5">
        <v>3</v>
      </c>
      <c r="Z67" s="5">
        <v>3</v>
      </c>
      <c r="AA67" s="5">
        <v>80</v>
      </c>
      <c r="AB67" s="5">
        <v>3</v>
      </c>
      <c r="AC67" s="5">
        <v>21</v>
      </c>
      <c r="AD67" s="5">
        <v>2</v>
      </c>
      <c r="AE67" s="5">
        <v>3</v>
      </c>
      <c r="AF67" s="5">
        <v>5</v>
      </c>
      <c r="AG67" s="5">
        <v>0</v>
      </c>
      <c r="AH67" s="5">
        <v>0</v>
      </c>
      <c r="AI67" s="5">
        <v>2</v>
      </c>
    </row>
    <row r="68" spans="1:35" x14ac:dyDescent="0.25">
      <c r="A68" s="5">
        <v>36</v>
      </c>
      <c r="B68" s="5" t="s">
        <v>43</v>
      </c>
      <c r="C68" s="5" t="s">
        <v>44</v>
      </c>
      <c r="D68" s="5">
        <v>1195</v>
      </c>
      <c r="E68" s="5" t="s">
        <v>45</v>
      </c>
      <c r="F68" s="5">
        <v>11</v>
      </c>
      <c r="G68" s="5">
        <v>3</v>
      </c>
      <c r="H68" s="5" t="s">
        <v>38</v>
      </c>
      <c r="I68" s="5">
        <v>1</v>
      </c>
      <c r="J68" s="5">
        <v>85</v>
      </c>
      <c r="K68" s="5">
        <v>2</v>
      </c>
      <c r="L68" s="5" t="s">
        <v>46</v>
      </c>
      <c r="M68" s="5">
        <v>95</v>
      </c>
      <c r="N68" s="5">
        <v>2</v>
      </c>
      <c r="O68" s="5">
        <v>2</v>
      </c>
      <c r="P68" s="5" t="s">
        <v>53</v>
      </c>
      <c r="Q68" s="5">
        <v>2</v>
      </c>
      <c r="R68" s="5" t="s">
        <v>41</v>
      </c>
      <c r="S68" s="5">
        <v>6499</v>
      </c>
      <c r="T68" s="5">
        <v>22656</v>
      </c>
      <c r="U68" s="5">
        <v>1</v>
      </c>
      <c r="V68" s="5" t="s">
        <v>42</v>
      </c>
      <c r="W68" s="5" t="s">
        <v>43</v>
      </c>
      <c r="X68" s="5">
        <v>13</v>
      </c>
      <c r="Y68" s="5">
        <v>3</v>
      </c>
      <c r="Z68" s="5">
        <v>3</v>
      </c>
      <c r="AA68" s="5">
        <v>80</v>
      </c>
      <c r="AB68" s="5">
        <v>0</v>
      </c>
      <c r="AC68" s="5">
        <v>6</v>
      </c>
      <c r="AD68" s="5">
        <v>3</v>
      </c>
      <c r="AE68" s="5">
        <v>3</v>
      </c>
      <c r="AF68" s="5">
        <v>6</v>
      </c>
      <c r="AG68" s="5">
        <v>5</v>
      </c>
      <c r="AH68" s="5">
        <v>0</v>
      </c>
      <c r="AI68" s="5">
        <v>3</v>
      </c>
    </row>
    <row r="69" spans="1:35" x14ac:dyDescent="0.25">
      <c r="A69" s="5">
        <v>45</v>
      </c>
      <c r="B69" s="5" t="s">
        <v>43</v>
      </c>
      <c r="C69" s="5" t="s">
        <v>36</v>
      </c>
      <c r="D69" s="5">
        <v>1339</v>
      </c>
      <c r="E69" s="5" t="s">
        <v>45</v>
      </c>
      <c r="F69" s="5">
        <v>7</v>
      </c>
      <c r="G69" s="5">
        <v>3</v>
      </c>
      <c r="H69" s="5" t="s">
        <v>38</v>
      </c>
      <c r="I69" s="5">
        <v>1</v>
      </c>
      <c r="J69" s="5">
        <v>86</v>
      </c>
      <c r="K69" s="5">
        <v>2</v>
      </c>
      <c r="L69" s="5" t="s">
        <v>46</v>
      </c>
      <c r="M69" s="5">
        <v>59</v>
      </c>
      <c r="N69" s="5">
        <v>3</v>
      </c>
      <c r="O69" s="5">
        <v>3</v>
      </c>
      <c r="P69" s="5" t="s">
        <v>47</v>
      </c>
      <c r="Q69" s="5">
        <v>1</v>
      </c>
      <c r="R69" s="5" t="s">
        <v>52</v>
      </c>
      <c r="S69" s="5">
        <v>9724</v>
      </c>
      <c r="T69" s="5">
        <v>18787</v>
      </c>
      <c r="U69" s="5">
        <v>2</v>
      </c>
      <c r="V69" s="5" t="s">
        <v>42</v>
      </c>
      <c r="W69" s="5" t="s">
        <v>43</v>
      </c>
      <c r="X69" s="5">
        <v>17</v>
      </c>
      <c r="Y69" s="5">
        <v>3</v>
      </c>
      <c r="Z69" s="5">
        <v>3</v>
      </c>
      <c r="AA69" s="5">
        <v>80</v>
      </c>
      <c r="AB69" s="5">
        <v>1</v>
      </c>
      <c r="AC69" s="5">
        <v>25</v>
      </c>
      <c r="AD69" s="5">
        <v>2</v>
      </c>
      <c r="AE69" s="5">
        <v>3</v>
      </c>
      <c r="AF69" s="5">
        <v>1</v>
      </c>
      <c r="AG69" s="5">
        <v>0</v>
      </c>
      <c r="AH69" s="5">
        <v>0</v>
      </c>
      <c r="AI69" s="5">
        <v>0</v>
      </c>
    </row>
    <row r="70" spans="1:35" x14ac:dyDescent="0.25">
      <c r="A70" s="5">
        <v>35</v>
      </c>
      <c r="B70" s="5" t="s">
        <v>43</v>
      </c>
      <c r="C70" s="5" t="s">
        <v>44</v>
      </c>
      <c r="D70" s="5">
        <v>664</v>
      </c>
      <c r="E70" s="5" t="s">
        <v>45</v>
      </c>
      <c r="F70" s="5">
        <v>1</v>
      </c>
      <c r="G70" s="5">
        <v>3</v>
      </c>
      <c r="H70" s="5" t="s">
        <v>51</v>
      </c>
      <c r="I70" s="5">
        <v>1</v>
      </c>
      <c r="J70" s="5">
        <v>88</v>
      </c>
      <c r="K70" s="5">
        <v>2</v>
      </c>
      <c r="L70" s="5" t="s">
        <v>46</v>
      </c>
      <c r="M70" s="5">
        <v>79</v>
      </c>
      <c r="N70" s="5">
        <v>3</v>
      </c>
      <c r="O70" s="5">
        <v>1</v>
      </c>
      <c r="P70" s="5" t="s">
        <v>47</v>
      </c>
      <c r="Q70" s="5">
        <v>1</v>
      </c>
      <c r="R70" s="5" t="s">
        <v>48</v>
      </c>
      <c r="S70" s="5">
        <v>2194</v>
      </c>
      <c r="T70" s="5">
        <v>5868</v>
      </c>
      <c r="U70" s="5">
        <v>4</v>
      </c>
      <c r="V70" s="5" t="s">
        <v>42</v>
      </c>
      <c r="W70" s="5" t="s">
        <v>43</v>
      </c>
      <c r="X70" s="5">
        <v>13</v>
      </c>
      <c r="Y70" s="5">
        <v>3</v>
      </c>
      <c r="Z70" s="5">
        <v>4</v>
      </c>
      <c r="AA70" s="5">
        <v>80</v>
      </c>
      <c r="AB70" s="5">
        <v>1</v>
      </c>
      <c r="AC70" s="5">
        <v>5</v>
      </c>
      <c r="AD70" s="5">
        <v>2</v>
      </c>
      <c r="AE70" s="5">
        <v>2</v>
      </c>
      <c r="AF70" s="5">
        <v>3</v>
      </c>
      <c r="AG70" s="5">
        <v>2</v>
      </c>
      <c r="AH70" s="5">
        <v>1</v>
      </c>
      <c r="AI70" s="5">
        <v>2</v>
      </c>
    </row>
    <row r="71" spans="1:35" x14ac:dyDescent="0.25">
      <c r="A71" s="5">
        <v>36</v>
      </c>
      <c r="B71" s="5" t="s">
        <v>35</v>
      </c>
      <c r="C71" s="5" t="s">
        <v>36</v>
      </c>
      <c r="D71" s="5">
        <v>318</v>
      </c>
      <c r="E71" s="5" t="s">
        <v>45</v>
      </c>
      <c r="F71" s="5">
        <v>9</v>
      </c>
      <c r="G71" s="5">
        <v>3</v>
      </c>
      <c r="H71" s="5" t="s">
        <v>51</v>
      </c>
      <c r="I71" s="5">
        <v>1</v>
      </c>
      <c r="J71" s="5">
        <v>90</v>
      </c>
      <c r="K71" s="5">
        <v>4</v>
      </c>
      <c r="L71" s="5" t="s">
        <v>46</v>
      </c>
      <c r="M71" s="5">
        <v>79</v>
      </c>
      <c r="N71" s="5">
        <v>2</v>
      </c>
      <c r="O71" s="5">
        <v>1</v>
      </c>
      <c r="P71" s="5" t="s">
        <v>47</v>
      </c>
      <c r="Q71" s="5">
        <v>3</v>
      </c>
      <c r="R71" s="5" t="s">
        <v>48</v>
      </c>
      <c r="S71" s="5">
        <v>3388</v>
      </c>
      <c r="T71" s="5">
        <v>21777</v>
      </c>
      <c r="U71" s="5">
        <v>0</v>
      </c>
      <c r="V71" s="5" t="s">
        <v>42</v>
      </c>
      <c r="W71" s="5" t="s">
        <v>35</v>
      </c>
      <c r="X71" s="5">
        <v>17</v>
      </c>
      <c r="Y71" s="5">
        <v>3</v>
      </c>
      <c r="Z71" s="5">
        <v>1</v>
      </c>
      <c r="AA71" s="5">
        <v>80</v>
      </c>
      <c r="AB71" s="5">
        <v>1</v>
      </c>
      <c r="AC71" s="5">
        <v>2</v>
      </c>
      <c r="AD71" s="5">
        <v>0</v>
      </c>
      <c r="AE71" s="5">
        <v>2</v>
      </c>
      <c r="AF71" s="5">
        <v>1</v>
      </c>
      <c r="AG71" s="5">
        <v>0</v>
      </c>
      <c r="AH71" s="5">
        <v>0</v>
      </c>
      <c r="AI71" s="5">
        <v>0</v>
      </c>
    </row>
    <row r="72" spans="1:35" x14ac:dyDescent="0.25">
      <c r="A72" s="5">
        <v>59</v>
      </c>
      <c r="B72" s="5" t="s">
        <v>43</v>
      </c>
      <c r="C72" s="5" t="s">
        <v>44</v>
      </c>
      <c r="D72" s="5">
        <v>1225</v>
      </c>
      <c r="E72" s="5" t="s">
        <v>37</v>
      </c>
      <c r="F72" s="5">
        <v>1</v>
      </c>
      <c r="G72" s="5">
        <v>1</v>
      </c>
      <c r="H72" s="5" t="s">
        <v>38</v>
      </c>
      <c r="I72" s="5">
        <v>1</v>
      </c>
      <c r="J72" s="5">
        <v>91</v>
      </c>
      <c r="K72" s="5">
        <v>1</v>
      </c>
      <c r="L72" s="5" t="s">
        <v>39</v>
      </c>
      <c r="M72" s="5">
        <v>57</v>
      </c>
      <c r="N72" s="5">
        <v>2</v>
      </c>
      <c r="O72" s="5">
        <v>2</v>
      </c>
      <c r="P72" s="5" t="s">
        <v>40</v>
      </c>
      <c r="Q72" s="5">
        <v>3</v>
      </c>
      <c r="R72" s="5" t="s">
        <v>41</v>
      </c>
      <c r="S72" s="5">
        <v>5473</v>
      </c>
      <c r="T72" s="5">
        <v>24668</v>
      </c>
      <c r="U72" s="5">
        <v>7</v>
      </c>
      <c r="V72" s="5" t="s">
        <v>42</v>
      </c>
      <c r="W72" s="5" t="s">
        <v>43</v>
      </c>
      <c r="X72" s="5">
        <v>11</v>
      </c>
      <c r="Y72" s="5">
        <v>3</v>
      </c>
      <c r="Z72" s="5">
        <v>4</v>
      </c>
      <c r="AA72" s="5">
        <v>80</v>
      </c>
      <c r="AB72" s="5">
        <v>0</v>
      </c>
      <c r="AC72" s="5">
        <v>20</v>
      </c>
      <c r="AD72" s="5">
        <v>2</v>
      </c>
      <c r="AE72" s="5">
        <v>2</v>
      </c>
      <c r="AF72" s="5">
        <v>4</v>
      </c>
      <c r="AG72" s="5">
        <v>3</v>
      </c>
      <c r="AH72" s="5">
        <v>1</v>
      </c>
      <c r="AI72" s="5">
        <v>3</v>
      </c>
    </row>
    <row r="73" spans="1:35" x14ac:dyDescent="0.25">
      <c r="A73" s="5">
        <v>29</v>
      </c>
      <c r="B73" s="5" t="s">
        <v>43</v>
      </c>
      <c r="C73" s="5" t="s">
        <v>36</v>
      </c>
      <c r="D73" s="5">
        <v>1328</v>
      </c>
      <c r="E73" s="5" t="s">
        <v>45</v>
      </c>
      <c r="F73" s="5">
        <v>2</v>
      </c>
      <c r="G73" s="5">
        <v>3</v>
      </c>
      <c r="H73" s="5" t="s">
        <v>38</v>
      </c>
      <c r="I73" s="5">
        <v>1</v>
      </c>
      <c r="J73" s="5">
        <v>94</v>
      </c>
      <c r="K73" s="5">
        <v>3</v>
      </c>
      <c r="L73" s="5" t="s">
        <v>46</v>
      </c>
      <c r="M73" s="5">
        <v>76</v>
      </c>
      <c r="N73" s="5">
        <v>3</v>
      </c>
      <c r="O73" s="5">
        <v>1</v>
      </c>
      <c r="P73" s="5" t="s">
        <v>47</v>
      </c>
      <c r="Q73" s="5">
        <v>2</v>
      </c>
      <c r="R73" s="5" t="s">
        <v>48</v>
      </c>
      <c r="S73" s="5">
        <v>2703</v>
      </c>
      <c r="T73" s="5">
        <v>4956</v>
      </c>
      <c r="U73" s="5">
        <v>0</v>
      </c>
      <c r="V73" s="5" t="s">
        <v>42</v>
      </c>
      <c r="W73" s="5" t="s">
        <v>43</v>
      </c>
      <c r="X73" s="5">
        <v>23</v>
      </c>
      <c r="Y73" s="5">
        <v>4</v>
      </c>
      <c r="Z73" s="5">
        <v>4</v>
      </c>
      <c r="AA73" s="5">
        <v>80</v>
      </c>
      <c r="AB73" s="5">
        <v>1</v>
      </c>
      <c r="AC73" s="5">
        <v>6</v>
      </c>
      <c r="AD73" s="5">
        <v>3</v>
      </c>
      <c r="AE73" s="5">
        <v>3</v>
      </c>
      <c r="AF73" s="5">
        <v>5</v>
      </c>
      <c r="AG73" s="5">
        <v>4</v>
      </c>
      <c r="AH73" s="5">
        <v>0</v>
      </c>
      <c r="AI73" s="5">
        <v>4</v>
      </c>
    </row>
    <row r="74" spans="1:35" x14ac:dyDescent="0.25">
      <c r="A74" s="5">
        <v>31</v>
      </c>
      <c r="B74" s="5" t="s">
        <v>43</v>
      </c>
      <c r="C74" s="5" t="s">
        <v>36</v>
      </c>
      <c r="D74" s="5">
        <v>1082</v>
      </c>
      <c r="E74" s="5" t="s">
        <v>45</v>
      </c>
      <c r="F74" s="5">
        <v>1</v>
      </c>
      <c r="G74" s="5">
        <v>4</v>
      </c>
      <c r="H74" s="5" t="s">
        <v>51</v>
      </c>
      <c r="I74" s="5">
        <v>1</v>
      </c>
      <c r="J74" s="5">
        <v>95</v>
      </c>
      <c r="K74" s="5">
        <v>3</v>
      </c>
      <c r="L74" s="5" t="s">
        <v>46</v>
      </c>
      <c r="M74" s="5">
        <v>87</v>
      </c>
      <c r="N74" s="5">
        <v>3</v>
      </c>
      <c r="O74" s="5">
        <v>1</v>
      </c>
      <c r="P74" s="5" t="s">
        <v>47</v>
      </c>
      <c r="Q74" s="5">
        <v>2</v>
      </c>
      <c r="R74" s="5" t="s">
        <v>41</v>
      </c>
      <c r="S74" s="5">
        <v>2501</v>
      </c>
      <c r="T74" s="5">
        <v>18775</v>
      </c>
      <c r="U74" s="5">
        <v>1</v>
      </c>
      <c r="V74" s="5" t="s">
        <v>42</v>
      </c>
      <c r="W74" s="5" t="s">
        <v>43</v>
      </c>
      <c r="X74" s="5">
        <v>17</v>
      </c>
      <c r="Y74" s="5">
        <v>3</v>
      </c>
      <c r="Z74" s="5">
        <v>2</v>
      </c>
      <c r="AA74" s="5">
        <v>80</v>
      </c>
      <c r="AB74" s="5">
        <v>0</v>
      </c>
      <c r="AC74" s="5">
        <v>1</v>
      </c>
      <c r="AD74" s="5">
        <v>4</v>
      </c>
      <c r="AE74" s="5">
        <v>3</v>
      </c>
      <c r="AF74" s="5">
        <v>1</v>
      </c>
      <c r="AG74" s="5">
        <v>1</v>
      </c>
      <c r="AH74" s="5">
        <v>1</v>
      </c>
      <c r="AI74" s="5">
        <v>0</v>
      </c>
    </row>
    <row r="75" spans="1:35" x14ac:dyDescent="0.25">
      <c r="A75" s="5">
        <v>32</v>
      </c>
      <c r="B75" s="5" t="s">
        <v>43</v>
      </c>
      <c r="C75" s="5" t="s">
        <v>36</v>
      </c>
      <c r="D75" s="5">
        <v>548</v>
      </c>
      <c r="E75" s="5" t="s">
        <v>45</v>
      </c>
      <c r="F75" s="5">
        <v>1</v>
      </c>
      <c r="G75" s="5">
        <v>3</v>
      </c>
      <c r="H75" s="5" t="s">
        <v>38</v>
      </c>
      <c r="I75" s="5">
        <v>1</v>
      </c>
      <c r="J75" s="5">
        <v>96</v>
      </c>
      <c r="K75" s="5">
        <v>2</v>
      </c>
      <c r="L75" s="5" t="s">
        <v>46</v>
      </c>
      <c r="M75" s="5">
        <v>66</v>
      </c>
      <c r="N75" s="5">
        <v>3</v>
      </c>
      <c r="O75" s="5">
        <v>2</v>
      </c>
      <c r="P75" s="5" t="s">
        <v>47</v>
      </c>
      <c r="Q75" s="5">
        <v>2</v>
      </c>
      <c r="R75" s="5" t="s">
        <v>48</v>
      </c>
      <c r="S75" s="5">
        <v>6220</v>
      </c>
      <c r="T75" s="5">
        <v>7346</v>
      </c>
      <c r="U75" s="5">
        <v>1</v>
      </c>
      <c r="V75" s="5" t="s">
        <v>42</v>
      </c>
      <c r="W75" s="5" t="s">
        <v>43</v>
      </c>
      <c r="X75" s="5">
        <v>17</v>
      </c>
      <c r="Y75" s="5">
        <v>3</v>
      </c>
      <c r="Z75" s="5">
        <v>2</v>
      </c>
      <c r="AA75" s="5">
        <v>80</v>
      </c>
      <c r="AB75" s="5">
        <v>2</v>
      </c>
      <c r="AC75" s="5">
        <v>10</v>
      </c>
      <c r="AD75" s="5">
        <v>3</v>
      </c>
      <c r="AE75" s="5">
        <v>3</v>
      </c>
      <c r="AF75" s="5">
        <v>10</v>
      </c>
      <c r="AG75" s="5">
        <v>4</v>
      </c>
      <c r="AH75" s="5">
        <v>0</v>
      </c>
      <c r="AI75" s="5">
        <v>9</v>
      </c>
    </row>
    <row r="76" spans="1:35" x14ac:dyDescent="0.25">
      <c r="A76" s="5">
        <v>36</v>
      </c>
      <c r="B76" s="5" t="s">
        <v>43</v>
      </c>
      <c r="C76" s="5" t="s">
        <v>36</v>
      </c>
      <c r="D76" s="5">
        <v>132</v>
      </c>
      <c r="E76" s="5" t="s">
        <v>45</v>
      </c>
      <c r="F76" s="5">
        <v>6</v>
      </c>
      <c r="G76" s="5">
        <v>3</v>
      </c>
      <c r="H76" s="5" t="s">
        <v>38</v>
      </c>
      <c r="I76" s="5">
        <v>1</v>
      </c>
      <c r="J76" s="5">
        <v>97</v>
      </c>
      <c r="K76" s="5">
        <v>2</v>
      </c>
      <c r="L76" s="5" t="s">
        <v>39</v>
      </c>
      <c r="M76" s="5">
        <v>55</v>
      </c>
      <c r="N76" s="5">
        <v>4</v>
      </c>
      <c r="O76" s="5">
        <v>1</v>
      </c>
      <c r="P76" s="5" t="s">
        <v>50</v>
      </c>
      <c r="Q76" s="5">
        <v>4</v>
      </c>
      <c r="R76" s="5" t="s">
        <v>48</v>
      </c>
      <c r="S76" s="5">
        <v>3038</v>
      </c>
      <c r="T76" s="5">
        <v>22002</v>
      </c>
      <c r="U76" s="5">
        <v>3</v>
      </c>
      <c r="V76" s="5" t="s">
        <v>42</v>
      </c>
      <c r="W76" s="5" t="s">
        <v>43</v>
      </c>
      <c r="X76" s="5">
        <v>12</v>
      </c>
      <c r="Y76" s="5">
        <v>3</v>
      </c>
      <c r="Z76" s="5">
        <v>2</v>
      </c>
      <c r="AA76" s="5">
        <v>80</v>
      </c>
      <c r="AB76" s="5">
        <v>0</v>
      </c>
      <c r="AC76" s="5">
        <v>5</v>
      </c>
      <c r="AD76" s="5">
        <v>3</v>
      </c>
      <c r="AE76" s="5">
        <v>3</v>
      </c>
      <c r="AF76" s="5">
        <v>1</v>
      </c>
      <c r="AG76" s="5">
        <v>0</v>
      </c>
      <c r="AH76" s="5">
        <v>0</v>
      </c>
      <c r="AI76" s="5">
        <v>0</v>
      </c>
    </row>
    <row r="77" spans="1:35" x14ac:dyDescent="0.25">
      <c r="A77" s="5">
        <v>31</v>
      </c>
      <c r="B77" s="5" t="s">
        <v>43</v>
      </c>
      <c r="C77" s="5" t="s">
        <v>36</v>
      </c>
      <c r="D77" s="5">
        <v>746</v>
      </c>
      <c r="E77" s="5" t="s">
        <v>45</v>
      </c>
      <c r="F77" s="5">
        <v>8</v>
      </c>
      <c r="G77" s="5">
        <v>4</v>
      </c>
      <c r="H77" s="5" t="s">
        <v>38</v>
      </c>
      <c r="I77" s="5">
        <v>1</v>
      </c>
      <c r="J77" s="5">
        <v>98</v>
      </c>
      <c r="K77" s="5">
        <v>3</v>
      </c>
      <c r="L77" s="5" t="s">
        <v>39</v>
      </c>
      <c r="M77" s="5">
        <v>61</v>
      </c>
      <c r="N77" s="5">
        <v>3</v>
      </c>
      <c r="O77" s="5">
        <v>2</v>
      </c>
      <c r="P77" s="5" t="s">
        <v>53</v>
      </c>
      <c r="Q77" s="5">
        <v>4</v>
      </c>
      <c r="R77" s="5" t="s">
        <v>41</v>
      </c>
      <c r="S77" s="5">
        <v>4424</v>
      </c>
      <c r="T77" s="5">
        <v>20682</v>
      </c>
      <c r="U77" s="5">
        <v>1</v>
      </c>
      <c r="V77" s="5" t="s">
        <v>42</v>
      </c>
      <c r="W77" s="5" t="s">
        <v>43</v>
      </c>
      <c r="X77" s="5">
        <v>23</v>
      </c>
      <c r="Y77" s="5">
        <v>4</v>
      </c>
      <c r="Z77" s="5">
        <v>4</v>
      </c>
      <c r="AA77" s="5">
        <v>80</v>
      </c>
      <c r="AB77" s="5">
        <v>0</v>
      </c>
      <c r="AC77" s="5">
        <v>11</v>
      </c>
      <c r="AD77" s="5">
        <v>2</v>
      </c>
      <c r="AE77" s="5">
        <v>3</v>
      </c>
      <c r="AF77" s="5">
        <v>11</v>
      </c>
      <c r="AG77" s="5">
        <v>7</v>
      </c>
      <c r="AH77" s="5">
        <v>1</v>
      </c>
      <c r="AI77" s="5">
        <v>8</v>
      </c>
    </row>
    <row r="78" spans="1:35" x14ac:dyDescent="0.25">
      <c r="A78" s="5">
        <v>35</v>
      </c>
      <c r="B78" s="5" t="s">
        <v>43</v>
      </c>
      <c r="C78" s="5" t="s">
        <v>36</v>
      </c>
      <c r="D78" s="5">
        <v>776</v>
      </c>
      <c r="E78" s="5" t="s">
        <v>37</v>
      </c>
      <c r="F78" s="5">
        <v>1</v>
      </c>
      <c r="G78" s="5">
        <v>4</v>
      </c>
      <c r="H78" s="5" t="s">
        <v>59</v>
      </c>
      <c r="I78" s="5">
        <v>1</v>
      </c>
      <c r="J78" s="5">
        <v>100</v>
      </c>
      <c r="K78" s="5">
        <v>3</v>
      </c>
      <c r="L78" s="5" t="s">
        <v>46</v>
      </c>
      <c r="M78" s="5">
        <v>32</v>
      </c>
      <c r="N78" s="5">
        <v>2</v>
      </c>
      <c r="O78" s="5">
        <v>2</v>
      </c>
      <c r="P78" s="5" t="s">
        <v>40</v>
      </c>
      <c r="Q78" s="5">
        <v>1</v>
      </c>
      <c r="R78" s="5" t="s">
        <v>41</v>
      </c>
      <c r="S78" s="5">
        <v>4312</v>
      </c>
      <c r="T78" s="5">
        <v>23016</v>
      </c>
      <c r="U78" s="5">
        <v>0</v>
      </c>
      <c r="V78" s="5" t="s">
        <v>42</v>
      </c>
      <c r="W78" s="5" t="s">
        <v>43</v>
      </c>
      <c r="X78" s="5">
        <v>14</v>
      </c>
      <c r="Y78" s="5">
        <v>3</v>
      </c>
      <c r="Z78" s="5">
        <v>2</v>
      </c>
      <c r="AA78" s="5">
        <v>80</v>
      </c>
      <c r="AB78" s="5">
        <v>0</v>
      </c>
      <c r="AC78" s="5">
        <v>16</v>
      </c>
      <c r="AD78" s="5">
        <v>2</v>
      </c>
      <c r="AE78" s="5">
        <v>3</v>
      </c>
      <c r="AF78" s="5">
        <v>15</v>
      </c>
      <c r="AG78" s="5">
        <v>13</v>
      </c>
      <c r="AH78" s="5">
        <v>2</v>
      </c>
      <c r="AI78" s="5">
        <v>8</v>
      </c>
    </row>
    <row r="79" spans="1:35" x14ac:dyDescent="0.25">
      <c r="A79" s="5">
        <v>45</v>
      </c>
      <c r="B79" s="5" t="s">
        <v>43</v>
      </c>
      <c r="C79" s="5" t="s">
        <v>36</v>
      </c>
      <c r="D79" s="5">
        <v>193</v>
      </c>
      <c r="E79" s="5" t="s">
        <v>45</v>
      </c>
      <c r="F79" s="5">
        <v>6</v>
      </c>
      <c r="G79" s="5">
        <v>4</v>
      </c>
      <c r="H79" s="5" t="s">
        <v>49</v>
      </c>
      <c r="I79" s="5">
        <v>1</v>
      </c>
      <c r="J79" s="5">
        <v>101</v>
      </c>
      <c r="K79" s="5">
        <v>4</v>
      </c>
      <c r="L79" s="5" t="s">
        <v>46</v>
      </c>
      <c r="M79" s="5">
        <v>52</v>
      </c>
      <c r="N79" s="5">
        <v>3</v>
      </c>
      <c r="O79" s="5">
        <v>3</v>
      </c>
      <c r="P79" s="5" t="s">
        <v>58</v>
      </c>
      <c r="Q79" s="5">
        <v>1</v>
      </c>
      <c r="R79" s="5" t="s">
        <v>48</v>
      </c>
      <c r="S79" s="5">
        <v>13245</v>
      </c>
      <c r="T79" s="5">
        <v>15067</v>
      </c>
      <c r="U79" s="5">
        <v>4</v>
      </c>
      <c r="V79" s="5" t="s">
        <v>42</v>
      </c>
      <c r="W79" s="5" t="s">
        <v>35</v>
      </c>
      <c r="X79" s="5">
        <v>14</v>
      </c>
      <c r="Y79" s="5">
        <v>3</v>
      </c>
      <c r="Z79" s="5">
        <v>2</v>
      </c>
      <c r="AA79" s="5">
        <v>80</v>
      </c>
      <c r="AB79" s="5">
        <v>0</v>
      </c>
      <c r="AC79" s="5">
        <v>17</v>
      </c>
      <c r="AD79" s="5">
        <v>3</v>
      </c>
      <c r="AE79" s="5">
        <v>4</v>
      </c>
      <c r="AF79" s="5">
        <v>0</v>
      </c>
      <c r="AG79" s="5">
        <v>0</v>
      </c>
      <c r="AH79" s="5">
        <v>0</v>
      </c>
      <c r="AI79" s="5">
        <v>0</v>
      </c>
    </row>
    <row r="80" spans="1:35" x14ac:dyDescent="0.25">
      <c r="A80" s="5">
        <v>37</v>
      </c>
      <c r="B80" s="5" t="s">
        <v>43</v>
      </c>
      <c r="C80" s="5" t="s">
        <v>36</v>
      </c>
      <c r="D80" s="5">
        <v>397</v>
      </c>
      <c r="E80" s="5" t="s">
        <v>45</v>
      </c>
      <c r="F80" s="5">
        <v>7</v>
      </c>
      <c r="G80" s="5">
        <v>4</v>
      </c>
      <c r="H80" s="5" t="s">
        <v>51</v>
      </c>
      <c r="I80" s="5">
        <v>1</v>
      </c>
      <c r="J80" s="5">
        <v>102</v>
      </c>
      <c r="K80" s="5">
        <v>1</v>
      </c>
      <c r="L80" s="5" t="s">
        <v>46</v>
      </c>
      <c r="M80" s="5">
        <v>30</v>
      </c>
      <c r="N80" s="5">
        <v>3</v>
      </c>
      <c r="O80" s="5">
        <v>3</v>
      </c>
      <c r="P80" s="5" t="s">
        <v>58</v>
      </c>
      <c r="Q80" s="5">
        <v>3</v>
      </c>
      <c r="R80" s="5" t="s">
        <v>41</v>
      </c>
      <c r="S80" s="5">
        <v>13664</v>
      </c>
      <c r="T80" s="5">
        <v>25258</v>
      </c>
      <c r="U80" s="5">
        <v>4</v>
      </c>
      <c r="V80" s="5" t="s">
        <v>42</v>
      </c>
      <c r="W80" s="5" t="s">
        <v>43</v>
      </c>
      <c r="X80" s="5">
        <v>13</v>
      </c>
      <c r="Y80" s="5">
        <v>3</v>
      </c>
      <c r="Z80" s="5">
        <v>1</v>
      </c>
      <c r="AA80" s="5">
        <v>80</v>
      </c>
      <c r="AB80" s="5">
        <v>0</v>
      </c>
      <c r="AC80" s="5">
        <v>16</v>
      </c>
      <c r="AD80" s="5">
        <v>3</v>
      </c>
      <c r="AE80" s="5">
        <v>4</v>
      </c>
      <c r="AF80" s="5">
        <v>5</v>
      </c>
      <c r="AG80" s="5">
        <v>2</v>
      </c>
      <c r="AH80" s="5">
        <v>0</v>
      </c>
      <c r="AI80" s="5">
        <v>2</v>
      </c>
    </row>
    <row r="81" spans="1:35" x14ac:dyDescent="0.25">
      <c r="A81" s="5">
        <v>46</v>
      </c>
      <c r="B81" s="5" t="s">
        <v>43</v>
      </c>
      <c r="C81" s="5" t="s">
        <v>36</v>
      </c>
      <c r="D81" s="5">
        <v>945</v>
      </c>
      <c r="E81" s="5" t="s">
        <v>61</v>
      </c>
      <c r="F81" s="5">
        <v>5</v>
      </c>
      <c r="G81" s="5">
        <v>2</v>
      </c>
      <c r="H81" s="5" t="s">
        <v>51</v>
      </c>
      <c r="I81" s="5">
        <v>1</v>
      </c>
      <c r="J81" s="5">
        <v>103</v>
      </c>
      <c r="K81" s="5">
        <v>2</v>
      </c>
      <c r="L81" s="5" t="s">
        <v>46</v>
      </c>
      <c r="M81" s="5">
        <v>80</v>
      </c>
      <c r="N81" s="5">
        <v>3</v>
      </c>
      <c r="O81" s="5">
        <v>2</v>
      </c>
      <c r="P81" s="5" t="s">
        <v>61</v>
      </c>
      <c r="Q81" s="5">
        <v>2</v>
      </c>
      <c r="R81" s="5" t="s">
        <v>52</v>
      </c>
      <c r="S81" s="5">
        <v>5021</v>
      </c>
      <c r="T81" s="5">
        <v>10425</v>
      </c>
      <c r="U81" s="5">
        <v>8</v>
      </c>
      <c r="V81" s="5" t="s">
        <v>42</v>
      </c>
      <c r="W81" s="5" t="s">
        <v>35</v>
      </c>
      <c r="X81" s="5">
        <v>22</v>
      </c>
      <c r="Y81" s="5">
        <v>4</v>
      </c>
      <c r="Z81" s="5">
        <v>4</v>
      </c>
      <c r="AA81" s="5">
        <v>80</v>
      </c>
      <c r="AB81" s="5">
        <v>1</v>
      </c>
      <c r="AC81" s="5">
        <v>16</v>
      </c>
      <c r="AD81" s="5">
        <v>2</v>
      </c>
      <c r="AE81" s="5">
        <v>3</v>
      </c>
      <c r="AF81" s="5">
        <v>4</v>
      </c>
      <c r="AG81" s="5">
        <v>2</v>
      </c>
      <c r="AH81" s="5">
        <v>0</v>
      </c>
      <c r="AI81" s="5">
        <v>2</v>
      </c>
    </row>
    <row r="82" spans="1:35" x14ac:dyDescent="0.25">
      <c r="A82" s="5">
        <v>30</v>
      </c>
      <c r="B82" s="5" t="s">
        <v>43</v>
      </c>
      <c r="C82" s="5" t="s">
        <v>36</v>
      </c>
      <c r="D82" s="5">
        <v>852</v>
      </c>
      <c r="E82" s="5" t="s">
        <v>45</v>
      </c>
      <c r="F82" s="5">
        <v>1</v>
      </c>
      <c r="G82" s="5">
        <v>1</v>
      </c>
      <c r="H82" s="5" t="s">
        <v>38</v>
      </c>
      <c r="I82" s="5">
        <v>1</v>
      </c>
      <c r="J82" s="5">
        <v>104</v>
      </c>
      <c r="K82" s="5">
        <v>4</v>
      </c>
      <c r="L82" s="5" t="s">
        <v>46</v>
      </c>
      <c r="M82" s="5">
        <v>55</v>
      </c>
      <c r="N82" s="5">
        <v>2</v>
      </c>
      <c r="O82" s="5">
        <v>2</v>
      </c>
      <c r="P82" s="5" t="s">
        <v>50</v>
      </c>
      <c r="Q82" s="5">
        <v>4</v>
      </c>
      <c r="R82" s="5" t="s">
        <v>48</v>
      </c>
      <c r="S82" s="5">
        <v>5126</v>
      </c>
      <c r="T82" s="5">
        <v>15998</v>
      </c>
      <c r="U82" s="5">
        <v>1</v>
      </c>
      <c r="V82" s="5" t="s">
        <v>42</v>
      </c>
      <c r="W82" s="5" t="s">
        <v>35</v>
      </c>
      <c r="X82" s="5">
        <v>12</v>
      </c>
      <c r="Y82" s="5">
        <v>3</v>
      </c>
      <c r="Z82" s="5">
        <v>3</v>
      </c>
      <c r="AA82" s="5">
        <v>80</v>
      </c>
      <c r="AB82" s="5">
        <v>2</v>
      </c>
      <c r="AC82" s="5">
        <v>10</v>
      </c>
      <c r="AD82" s="5">
        <v>1</v>
      </c>
      <c r="AE82" s="5">
        <v>2</v>
      </c>
      <c r="AF82" s="5">
        <v>10</v>
      </c>
      <c r="AG82" s="5">
        <v>8</v>
      </c>
      <c r="AH82" s="5">
        <v>3</v>
      </c>
      <c r="AI82" s="5">
        <v>0</v>
      </c>
    </row>
    <row r="83" spans="1:35" x14ac:dyDescent="0.25">
      <c r="A83" s="5">
        <v>35</v>
      </c>
      <c r="B83" s="5" t="s">
        <v>43</v>
      </c>
      <c r="C83" s="5" t="s">
        <v>36</v>
      </c>
      <c r="D83" s="5">
        <v>1214</v>
      </c>
      <c r="E83" s="5" t="s">
        <v>45</v>
      </c>
      <c r="F83" s="5">
        <v>1</v>
      </c>
      <c r="G83" s="5">
        <v>3</v>
      </c>
      <c r="H83" s="5" t="s">
        <v>51</v>
      </c>
      <c r="I83" s="5">
        <v>1</v>
      </c>
      <c r="J83" s="5">
        <v>105</v>
      </c>
      <c r="K83" s="5">
        <v>2</v>
      </c>
      <c r="L83" s="5" t="s">
        <v>46</v>
      </c>
      <c r="M83" s="5">
        <v>30</v>
      </c>
      <c r="N83" s="5">
        <v>2</v>
      </c>
      <c r="O83" s="5">
        <v>1</v>
      </c>
      <c r="P83" s="5" t="s">
        <v>47</v>
      </c>
      <c r="Q83" s="5">
        <v>3</v>
      </c>
      <c r="R83" s="5" t="s">
        <v>41</v>
      </c>
      <c r="S83" s="5">
        <v>2859</v>
      </c>
      <c r="T83" s="5">
        <v>26278</v>
      </c>
      <c r="U83" s="5">
        <v>1</v>
      </c>
      <c r="V83" s="5" t="s">
        <v>42</v>
      </c>
      <c r="W83" s="5" t="s">
        <v>43</v>
      </c>
      <c r="X83" s="5">
        <v>18</v>
      </c>
      <c r="Y83" s="5">
        <v>3</v>
      </c>
      <c r="Z83" s="5">
        <v>1</v>
      </c>
      <c r="AA83" s="5">
        <v>80</v>
      </c>
      <c r="AB83" s="5">
        <v>0</v>
      </c>
      <c r="AC83" s="5">
        <v>6</v>
      </c>
      <c r="AD83" s="5">
        <v>3</v>
      </c>
      <c r="AE83" s="5">
        <v>3</v>
      </c>
      <c r="AF83" s="5">
        <v>6</v>
      </c>
      <c r="AG83" s="5">
        <v>4</v>
      </c>
      <c r="AH83" s="5">
        <v>0</v>
      </c>
      <c r="AI83" s="5">
        <v>4</v>
      </c>
    </row>
    <row r="84" spans="1:35" x14ac:dyDescent="0.25">
      <c r="A84" s="5">
        <v>55</v>
      </c>
      <c r="B84" s="5" t="s">
        <v>43</v>
      </c>
      <c r="C84" s="5" t="s">
        <v>36</v>
      </c>
      <c r="D84" s="5">
        <v>111</v>
      </c>
      <c r="E84" s="5" t="s">
        <v>37</v>
      </c>
      <c r="F84" s="5">
        <v>1</v>
      </c>
      <c r="G84" s="5">
        <v>2</v>
      </c>
      <c r="H84" s="5" t="s">
        <v>38</v>
      </c>
      <c r="I84" s="5">
        <v>1</v>
      </c>
      <c r="J84" s="5">
        <v>106</v>
      </c>
      <c r="K84" s="5">
        <v>1</v>
      </c>
      <c r="L84" s="5" t="s">
        <v>46</v>
      </c>
      <c r="M84" s="5">
        <v>70</v>
      </c>
      <c r="N84" s="5">
        <v>3</v>
      </c>
      <c r="O84" s="5">
        <v>3</v>
      </c>
      <c r="P84" s="5" t="s">
        <v>40</v>
      </c>
      <c r="Q84" s="5">
        <v>4</v>
      </c>
      <c r="R84" s="5" t="s">
        <v>48</v>
      </c>
      <c r="S84" s="5">
        <v>10239</v>
      </c>
      <c r="T84" s="5">
        <v>18092</v>
      </c>
      <c r="U84" s="5">
        <v>3</v>
      </c>
      <c r="V84" s="5" t="s">
        <v>42</v>
      </c>
      <c r="W84" s="5" t="s">
        <v>43</v>
      </c>
      <c r="X84" s="5">
        <v>14</v>
      </c>
      <c r="Y84" s="5">
        <v>3</v>
      </c>
      <c r="Z84" s="5">
        <v>4</v>
      </c>
      <c r="AA84" s="5">
        <v>80</v>
      </c>
      <c r="AB84" s="5">
        <v>1</v>
      </c>
      <c r="AC84" s="5">
        <v>24</v>
      </c>
      <c r="AD84" s="5">
        <v>4</v>
      </c>
      <c r="AE84" s="5">
        <v>3</v>
      </c>
      <c r="AF84" s="5">
        <v>1</v>
      </c>
      <c r="AG84" s="5">
        <v>0</v>
      </c>
      <c r="AH84" s="5">
        <v>1</v>
      </c>
      <c r="AI84" s="5">
        <v>0</v>
      </c>
    </row>
    <row r="85" spans="1:35" x14ac:dyDescent="0.25">
      <c r="A85" s="5">
        <v>38</v>
      </c>
      <c r="B85" s="5" t="s">
        <v>43</v>
      </c>
      <c r="C85" s="5" t="s">
        <v>55</v>
      </c>
      <c r="D85" s="5">
        <v>573</v>
      </c>
      <c r="E85" s="5" t="s">
        <v>45</v>
      </c>
      <c r="F85" s="5">
        <v>6</v>
      </c>
      <c r="G85" s="5">
        <v>3</v>
      </c>
      <c r="H85" s="5" t="s">
        <v>51</v>
      </c>
      <c r="I85" s="5">
        <v>1</v>
      </c>
      <c r="J85" s="5">
        <v>107</v>
      </c>
      <c r="K85" s="5">
        <v>2</v>
      </c>
      <c r="L85" s="5" t="s">
        <v>39</v>
      </c>
      <c r="M85" s="5">
        <v>79</v>
      </c>
      <c r="N85" s="5">
        <v>1</v>
      </c>
      <c r="O85" s="5">
        <v>2</v>
      </c>
      <c r="P85" s="5" t="s">
        <v>47</v>
      </c>
      <c r="Q85" s="5">
        <v>4</v>
      </c>
      <c r="R85" s="5" t="s">
        <v>52</v>
      </c>
      <c r="S85" s="5">
        <v>5329</v>
      </c>
      <c r="T85" s="5">
        <v>15717</v>
      </c>
      <c r="U85" s="5">
        <v>7</v>
      </c>
      <c r="V85" s="5" t="s">
        <v>42</v>
      </c>
      <c r="W85" s="5" t="s">
        <v>35</v>
      </c>
      <c r="X85" s="5">
        <v>12</v>
      </c>
      <c r="Y85" s="5">
        <v>3</v>
      </c>
      <c r="Z85" s="5">
        <v>4</v>
      </c>
      <c r="AA85" s="5">
        <v>80</v>
      </c>
      <c r="AB85" s="5">
        <v>3</v>
      </c>
      <c r="AC85" s="5">
        <v>17</v>
      </c>
      <c r="AD85" s="5">
        <v>3</v>
      </c>
      <c r="AE85" s="5">
        <v>3</v>
      </c>
      <c r="AF85" s="5">
        <v>13</v>
      </c>
      <c r="AG85" s="5">
        <v>11</v>
      </c>
      <c r="AH85" s="5">
        <v>1</v>
      </c>
      <c r="AI85" s="5">
        <v>9</v>
      </c>
    </row>
    <row r="86" spans="1:35" x14ac:dyDescent="0.25">
      <c r="A86" s="5">
        <v>34</v>
      </c>
      <c r="B86" s="5" t="s">
        <v>43</v>
      </c>
      <c r="C86" s="5" t="s">
        <v>36</v>
      </c>
      <c r="D86" s="5">
        <v>1153</v>
      </c>
      <c r="E86" s="5" t="s">
        <v>45</v>
      </c>
      <c r="F86" s="5">
        <v>1</v>
      </c>
      <c r="G86" s="5">
        <v>2</v>
      </c>
      <c r="H86" s="5" t="s">
        <v>51</v>
      </c>
      <c r="I86" s="5">
        <v>1</v>
      </c>
      <c r="J86" s="5">
        <v>110</v>
      </c>
      <c r="K86" s="5">
        <v>1</v>
      </c>
      <c r="L86" s="5" t="s">
        <v>46</v>
      </c>
      <c r="M86" s="5">
        <v>94</v>
      </c>
      <c r="N86" s="5">
        <v>3</v>
      </c>
      <c r="O86" s="5">
        <v>2</v>
      </c>
      <c r="P86" s="5" t="s">
        <v>53</v>
      </c>
      <c r="Q86" s="5">
        <v>2</v>
      </c>
      <c r="R86" s="5" t="s">
        <v>48</v>
      </c>
      <c r="S86" s="5">
        <v>4325</v>
      </c>
      <c r="T86" s="5">
        <v>17736</v>
      </c>
      <c r="U86" s="5">
        <v>1</v>
      </c>
      <c r="V86" s="5" t="s">
        <v>42</v>
      </c>
      <c r="W86" s="5" t="s">
        <v>43</v>
      </c>
      <c r="X86" s="5">
        <v>15</v>
      </c>
      <c r="Y86" s="5">
        <v>3</v>
      </c>
      <c r="Z86" s="5">
        <v>3</v>
      </c>
      <c r="AA86" s="5">
        <v>80</v>
      </c>
      <c r="AB86" s="5">
        <v>0</v>
      </c>
      <c r="AC86" s="5">
        <v>5</v>
      </c>
      <c r="AD86" s="5">
        <v>2</v>
      </c>
      <c r="AE86" s="5">
        <v>3</v>
      </c>
      <c r="AF86" s="5">
        <v>5</v>
      </c>
      <c r="AG86" s="5">
        <v>2</v>
      </c>
      <c r="AH86" s="5">
        <v>1</v>
      </c>
      <c r="AI86" s="5">
        <v>3</v>
      </c>
    </row>
    <row r="87" spans="1:35" x14ac:dyDescent="0.25">
      <c r="A87" s="5">
        <v>56</v>
      </c>
      <c r="B87" s="5" t="s">
        <v>43</v>
      </c>
      <c r="C87" s="5" t="s">
        <v>36</v>
      </c>
      <c r="D87" s="5">
        <v>1400</v>
      </c>
      <c r="E87" s="5" t="s">
        <v>45</v>
      </c>
      <c r="F87" s="5">
        <v>7</v>
      </c>
      <c r="G87" s="5">
        <v>3</v>
      </c>
      <c r="H87" s="5" t="s">
        <v>38</v>
      </c>
      <c r="I87" s="5">
        <v>1</v>
      </c>
      <c r="J87" s="5">
        <v>112</v>
      </c>
      <c r="K87" s="5">
        <v>4</v>
      </c>
      <c r="L87" s="5" t="s">
        <v>46</v>
      </c>
      <c r="M87" s="5">
        <v>49</v>
      </c>
      <c r="N87" s="5">
        <v>1</v>
      </c>
      <c r="O87" s="5">
        <v>3</v>
      </c>
      <c r="P87" s="5" t="s">
        <v>53</v>
      </c>
      <c r="Q87" s="5">
        <v>4</v>
      </c>
      <c r="R87" s="5" t="s">
        <v>41</v>
      </c>
      <c r="S87" s="5">
        <v>7260</v>
      </c>
      <c r="T87" s="5">
        <v>21698</v>
      </c>
      <c r="U87" s="5">
        <v>4</v>
      </c>
      <c r="V87" s="5" t="s">
        <v>42</v>
      </c>
      <c r="W87" s="5" t="s">
        <v>43</v>
      </c>
      <c r="X87" s="5">
        <v>11</v>
      </c>
      <c r="Y87" s="5">
        <v>3</v>
      </c>
      <c r="Z87" s="5">
        <v>1</v>
      </c>
      <c r="AA87" s="5">
        <v>80</v>
      </c>
      <c r="AB87" s="5">
        <v>0</v>
      </c>
      <c r="AC87" s="5">
        <v>37</v>
      </c>
      <c r="AD87" s="5">
        <v>3</v>
      </c>
      <c r="AE87" s="5">
        <v>2</v>
      </c>
      <c r="AF87" s="5">
        <v>6</v>
      </c>
      <c r="AG87" s="5">
        <v>4</v>
      </c>
      <c r="AH87" s="5">
        <v>0</v>
      </c>
      <c r="AI87" s="5">
        <v>2</v>
      </c>
    </row>
    <row r="88" spans="1:35" x14ac:dyDescent="0.25">
      <c r="A88" s="5">
        <v>23</v>
      </c>
      <c r="B88" s="5" t="s">
        <v>43</v>
      </c>
      <c r="C88" s="5" t="s">
        <v>36</v>
      </c>
      <c r="D88" s="5">
        <v>541</v>
      </c>
      <c r="E88" s="5" t="s">
        <v>37</v>
      </c>
      <c r="F88" s="5">
        <v>2</v>
      </c>
      <c r="G88" s="5">
        <v>1</v>
      </c>
      <c r="H88" s="5" t="s">
        <v>60</v>
      </c>
      <c r="I88" s="5">
        <v>1</v>
      </c>
      <c r="J88" s="5">
        <v>113</v>
      </c>
      <c r="K88" s="5">
        <v>3</v>
      </c>
      <c r="L88" s="5" t="s">
        <v>46</v>
      </c>
      <c r="M88" s="5">
        <v>62</v>
      </c>
      <c r="N88" s="5">
        <v>3</v>
      </c>
      <c r="O88" s="5">
        <v>1</v>
      </c>
      <c r="P88" s="5" t="s">
        <v>57</v>
      </c>
      <c r="Q88" s="5">
        <v>1</v>
      </c>
      <c r="R88" s="5" t="s">
        <v>52</v>
      </c>
      <c r="S88" s="5">
        <v>2322</v>
      </c>
      <c r="T88" s="5">
        <v>9518</v>
      </c>
      <c r="U88" s="5">
        <v>3</v>
      </c>
      <c r="V88" s="5" t="s">
        <v>42</v>
      </c>
      <c r="W88" s="5" t="s">
        <v>43</v>
      </c>
      <c r="X88" s="5">
        <v>13</v>
      </c>
      <c r="Y88" s="5">
        <v>3</v>
      </c>
      <c r="Z88" s="5">
        <v>3</v>
      </c>
      <c r="AA88" s="5">
        <v>80</v>
      </c>
      <c r="AB88" s="5">
        <v>1</v>
      </c>
      <c r="AC88" s="5">
        <v>3</v>
      </c>
      <c r="AD88" s="5">
        <v>3</v>
      </c>
      <c r="AE88" s="5">
        <v>3</v>
      </c>
      <c r="AF88" s="5">
        <v>0</v>
      </c>
      <c r="AG88" s="5">
        <v>0</v>
      </c>
      <c r="AH88" s="5">
        <v>0</v>
      </c>
      <c r="AI88" s="5">
        <v>0</v>
      </c>
    </row>
    <row r="89" spans="1:35" x14ac:dyDescent="0.25">
      <c r="A89" s="5">
        <v>51</v>
      </c>
      <c r="B89" s="5" t="s">
        <v>43</v>
      </c>
      <c r="C89" s="5" t="s">
        <v>36</v>
      </c>
      <c r="D89" s="5">
        <v>432</v>
      </c>
      <c r="E89" s="5" t="s">
        <v>45</v>
      </c>
      <c r="F89" s="5">
        <v>9</v>
      </c>
      <c r="G89" s="5">
        <v>4</v>
      </c>
      <c r="H89" s="5" t="s">
        <v>38</v>
      </c>
      <c r="I89" s="5">
        <v>1</v>
      </c>
      <c r="J89" s="5">
        <v>116</v>
      </c>
      <c r="K89" s="5">
        <v>4</v>
      </c>
      <c r="L89" s="5" t="s">
        <v>46</v>
      </c>
      <c r="M89" s="5">
        <v>96</v>
      </c>
      <c r="N89" s="5">
        <v>3</v>
      </c>
      <c r="O89" s="5">
        <v>1</v>
      </c>
      <c r="P89" s="5" t="s">
        <v>50</v>
      </c>
      <c r="Q89" s="5">
        <v>4</v>
      </c>
      <c r="R89" s="5" t="s">
        <v>48</v>
      </c>
      <c r="S89" s="5">
        <v>2075</v>
      </c>
      <c r="T89" s="5">
        <v>18725</v>
      </c>
      <c r="U89" s="5">
        <v>3</v>
      </c>
      <c r="V89" s="5" t="s">
        <v>42</v>
      </c>
      <c r="W89" s="5" t="s">
        <v>43</v>
      </c>
      <c r="X89" s="5">
        <v>23</v>
      </c>
      <c r="Y89" s="5">
        <v>4</v>
      </c>
      <c r="Z89" s="5">
        <v>2</v>
      </c>
      <c r="AA89" s="5">
        <v>80</v>
      </c>
      <c r="AB89" s="5">
        <v>2</v>
      </c>
      <c r="AC89" s="5">
        <v>10</v>
      </c>
      <c r="AD89" s="5">
        <v>4</v>
      </c>
      <c r="AE89" s="5">
        <v>3</v>
      </c>
      <c r="AF89" s="5">
        <v>4</v>
      </c>
      <c r="AG89" s="5">
        <v>2</v>
      </c>
      <c r="AH89" s="5">
        <v>0</v>
      </c>
      <c r="AI89" s="5">
        <v>3</v>
      </c>
    </row>
    <row r="90" spans="1:35" x14ac:dyDescent="0.25">
      <c r="A90" s="5">
        <v>30</v>
      </c>
      <c r="B90" s="5" t="s">
        <v>43</v>
      </c>
      <c r="C90" s="5" t="s">
        <v>36</v>
      </c>
      <c r="D90" s="5">
        <v>288</v>
      </c>
      <c r="E90" s="5" t="s">
        <v>45</v>
      </c>
      <c r="F90" s="5">
        <v>2</v>
      </c>
      <c r="G90" s="5">
        <v>3</v>
      </c>
      <c r="H90" s="5" t="s">
        <v>38</v>
      </c>
      <c r="I90" s="5">
        <v>1</v>
      </c>
      <c r="J90" s="5">
        <v>117</v>
      </c>
      <c r="K90" s="5">
        <v>3</v>
      </c>
      <c r="L90" s="5" t="s">
        <v>46</v>
      </c>
      <c r="M90" s="5">
        <v>99</v>
      </c>
      <c r="N90" s="5">
        <v>2</v>
      </c>
      <c r="O90" s="5">
        <v>2</v>
      </c>
      <c r="P90" s="5" t="s">
        <v>54</v>
      </c>
      <c r="Q90" s="5">
        <v>4</v>
      </c>
      <c r="R90" s="5" t="s">
        <v>48</v>
      </c>
      <c r="S90" s="5">
        <v>4152</v>
      </c>
      <c r="T90" s="5">
        <v>15830</v>
      </c>
      <c r="U90" s="5">
        <v>1</v>
      </c>
      <c r="V90" s="5" t="s">
        <v>42</v>
      </c>
      <c r="W90" s="5" t="s">
        <v>43</v>
      </c>
      <c r="X90" s="5">
        <v>19</v>
      </c>
      <c r="Y90" s="5">
        <v>3</v>
      </c>
      <c r="Z90" s="5">
        <v>1</v>
      </c>
      <c r="AA90" s="5">
        <v>80</v>
      </c>
      <c r="AB90" s="5">
        <v>3</v>
      </c>
      <c r="AC90" s="5">
        <v>11</v>
      </c>
      <c r="AD90" s="5">
        <v>3</v>
      </c>
      <c r="AE90" s="5">
        <v>3</v>
      </c>
      <c r="AF90" s="5">
        <v>11</v>
      </c>
      <c r="AG90" s="5">
        <v>10</v>
      </c>
      <c r="AH90" s="5">
        <v>10</v>
      </c>
      <c r="AI90" s="5">
        <v>8</v>
      </c>
    </row>
    <row r="91" spans="1:35" x14ac:dyDescent="0.25">
      <c r="A91" s="5">
        <v>46</v>
      </c>
      <c r="B91" s="5" t="s">
        <v>35</v>
      </c>
      <c r="C91" s="5" t="s">
        <v>36</v>
      </c>
      <c r="D91" s="5">
        <v>669</v>
      </c>
      <c r="E91" s="5" t="s">
        <v>37</v>
      </c>
      <c r="F91" s="5">
        <v>9</v>
      </c>
      <c r="G91" s="5">
        <v>2</v>
      </c>
      <c r="H91" s="5" t="s">
        <v>51</v>
      </c>
      <c r="I91" s="5">
        <v>1</v>
      </c>
      <c r="J91" s="5">
        <v>118</v>
      </c>
      <c r="K91" s="5">
        <v>3</v>
      </c>
      <c r="L91" s="5" t="s">
        <v>46</v>
      </c>
      <c r="M91" s="5">
        <v>64</v>
      </c>
      <c r="N91" s="5">
        <v>2</v>
      </c>
      <c r="O91" s="5">
        <v>3</v>
      </c>
      <c r="P91" s="5" t="s">
        <v>40</v>
      </c>
      <c r="Q91" s="5">
        <v>4</v>
      </c>
      <c r="R91" s="5" t="s">
        <v>41</v>
      </c>
      <c r="S91" s="5">
        <v>9619</v>
      </c>
      <c r="T91" s="5">
        <v>13596</v>
      </c>
      <c r="U91" s="5">
        <v>1</v>
      </c>
      <c r="V91" s="5" t="s">
        <v>42</v>
      </c>
      <c r="W91" s="5" t="s">
        <v>43</v>
      </c>
      <c r="X91" s="5">
        <v>16</v>
      </c>
      <c r="Y91" s="5">
        <v>3</v>
      </c>
      <c r="Z91" s="5">
        <v>4</v>
      </c>
      <c r="AA91" s="5">
        <v>80</v>
      </c>
      <c r="AB91" s="5">
        <v>0</v>
      </c>
      <c r="AC91" s="5">
        <v>9</v>
      </c>
      <c r="AD91" s="5">
        <v>3</v>
      </c>
      <c r="AE91" s="5">
        <v>3</v>
      </c>
      <c r="AF91" s="5">
        <v>9</v>
      </c>
      <c r="AG91" s="5">
        <v>8</v>
      </c>
      <c r="AH91" s="5">
        <v>4</v>
      </c>
      <c r="AI91" s="5">
        <v>7</v>
      </c>
    </row>
    <row r="92" spans="1:35" x14ac:dyDescent="0.25">
      <c r="A92" s="5">
        <v>40</v>
      </c>
      <c r="B92" s="5" t="s">
        <v>43</v>
      </c>
      <c r="C92" s="5" t="s">
        <v>44</v>
      </c>
      <c r="D92" s="5">
        <v>530</v>
      </c>
      <c r="E92" s="5" t="s">
        <v>45</v>
      </c>
      <c r="F92" s="5">
        <v>1</v>
      </c>
      <c r="G92" s="5">
        <v>4</v>
      </c>
      <c r="H92" s="5" t="s">
        <v>38</v>
      </c>
      <c r="I92" s="5">
        <v>1</v>
      </c>
      <c r="J92" s="5">
        <v>119</v>
      </c>
      <c r="K92" s="5">
        <v>3</v>
      </c>
      <c r="L92" s="5" t="s">
        <v>46</v>
      </c>
      <c r="M92" s="5">
        <v>78</v>
      </c>
      <c r="N92" s="5">
        <v>2</v>
      </c>
      <c r="O92" s="5">
        <v>4</v>
      </c>
      <c r="P92" s="5" t="s">
        <v>54</v>
      </c>
      <c r="Q92" s="5">
        <v>2</v>
      </c>
      <c r="R92" s="5" t="s">
        <v>48</v>
      </c>
      <c r="S92" s="5">
        <v>13503</v>
      </c>
      <c r="T92" s="5">
        <v>14115</v>
      </c>
      <c r="U92" s="5">
        <v>1</v>
      </c>
      <c r="V92" s="5" t="s">
        <v>42</v>
      </c>
      <c r="W92" s="5" t="s">
        <v>43</v>
      </c>
      <c r="X92" s="5">
        <v>22</v>
      </c>
      <c r="Y92" s="5">
        <v>4</v>
      </c>
      <c r="Z92" s="5">
        <v>4</v>
      </c>
      <c r="AA92" s="5">
        <v>80</v>
      </c>
      <c r="AB92" s="5">
        <v>1</v>
      </c>
      <c r="AC92" s="5">
        <v>22</v>
      </c>
      <c r="AD92" s="5">
        <v>3</v>
      </c>
      <c r="AE92" s="5">
        <v>2</v>
      </c>
      <c r="AF92" s="5">
        <v>22</v>
      </c>
      <c r="AG92" s="5">
        <v>3</v>
      </c>
      <c r="AH92" s="5">
        <v>11</v>
      </c>
      <c r="AI92" s="5">
        <v>11</v>
      </c>
    </row>
    <row r="93" spans="1:35" x14ac:dyDescent="0.25">
      <c r="A93" s="5">
        <v>51</v>
      </c>
      <c r="B93" s="5" t="s">
        <v>43</v>
      </c>
      <c r="C93" s="5" t="s">
        <v>36</v>
      </c>
      <c r="D93" s="5">
        <v>632</v>
      </c>
      <c r="E93" s="5" t="s">
        <v>37</v>
      </c>
      <c r="F93" s="5">
        <v>21</v>
      </c>
      <c r="G93" s="5">
        <v>4</v>
      </c>
      <c r="H93" s="5" t="s">
        <v>59</v>
      </c>
      <c r="I93" s="5">
        <v>1</v>
      </c>
      <c r="J93" s="5">
        <v>120</v>
      </c>
      <c r="K93" s="5">
        <v>3</v>
      </c>
      <c r="L93" s="5" t="s">
        <v>46</v>
      </c>
      <c r="M93" s="5">
        <v>71</v>
      </c>
      <c r="N93" s="5">
        <v>3</v>
      </c>
      <c r="O93" s="5">
        <v>2</v>
      </c>
      <c r="P93" s="5" t="s">
        <v>40</v>
      </c>
      <c r="Q93" s="5">
        <v>4</v>
      </c>
      <c r="R93" s="5" t="s">
        <v>41</v>
      </c>
      <c r="S93" s="5">
        <v>5441</v>
      </c>
      <c r="T93" s="5">
        <v>8423</v>
      </c>
      <c r="U93" s="5">
        <v>0</v>
      </c>
      <c r="V93" s="5" t="s">
        <v>42</v>
      </c>
      <c r="W93" s="5" t="s">
        <v>35</v>
      </c>
      <c r="X93" s="5">
        <v>22</v>
      </c>
      <c r="Y93" s="5">
        <v>4</v>
      </c>
      <c r="Z93" s="5">
        <v>4</v>
      </c>
      <c r="AA93" s="5">
        <v>80</v>
      </c>
      <c r="AB93" s="5">
        <v>0</v>
      </c>
      <c r="AC93" s="5">
        <v>11</v>
      </c>
      <c r="AD93" s="5">
        <v>2</v>
      </c>
      <c r="AE93" s="5">
        <v>1</v>
      </c>
      <c r="AF93" s="5">
        <v>10</v>
      </c>
      <c r="AG93" s="5">
        <v>7</v>
      </c>
      <c r="AH93" s="5">
        <v>1</v>
      </c>
      <c r="AI93" s="5">
        <v>0</v>
      </c>
    </row>
    <row r="94" spans="1:35" x14ac:dyDescent="0.25">
      <c r="A94" s="5">
        <v>30</v>
      </c>
      <c r="B94" s="5" t="s">
        <v>43</v>
      </c>
      <c r="C94" s="5" t="s">
        <v>36</v>
      </c>
      <c r="D94" s="5">
        <v>1334</v>
      </c>
      <c r="E94" s="5" t="s">
        <v>37</v>
      </c>
      <c r="F94" s="5">
        <v>4</v>
      </c>
      <c r="G94" s="5">
        <v>2</v>
      </c>
      <c r="H94" s="5" t="s">
        <v>51</v>
      </c>
      <c r="I94" s="5">
        <v>1</v>
      </c>
      <c r="J94" s="5">
        <v>121</v>
      </c>
      <c r="K94" s="5">
        <v>3</v>
      </c>
      <c r="L94" s="5" t="s">
        <v>39</v>
      </c>
      <c r="M94" s="5">
        <v>63</v>
      </c>
      <c r="N94" s="5">
        <v>2</v>
      </c>
      <c r="O94" s="5">
        <v>2</v>
      </c>
      <c r="P94" s="5" t="s">
        <v>40</v>
      </c>
      <c r="Q94" s="5">
        <v>2</v>
      </c>
      <c r="R94" s="5" t="s">
        <v>52</v>
      </c>
      <c r="S94" s="5">
        <v>5209</v>
      </c>
      <c r="T94" s="5">
        <v>19760</v>
      </c>
      <c r="U94" s="5">
        <v>1</v>
      </c>
      <c r="V94" s="5" t="s">
        <v>42</v>
      </c>
      <c r="W94" s="5" t="s">
        <v>35</v>
      </c>
      <c r="X94" s="5">
        <v>12</v>
      </c>
      <c r="Y94" s="5">
        <v>3</v>
      </c>
      <c r="Z94" s="5">
        <v>2</v>
      </c>
      <c r="AA94" s="5">
        <v>80</v>
      </c>
      <c r="AB94" s="5">
        <v>3</v>
      </c>
      <c r="AC94" s="5">
        <v>11</v>
      </c>
      <c r="AD94" s="5">
        <v>4</v>
      </c>
      <c r="AE94" s="5">
        <v>2</v>
      </c>
      <c r="AF94" s="5">
        <v>11</v>
      </c>
      <c r="AG94" s="5">
        <v>8</v>
      </c>
      <c r="AH94" s="5">
        <v>2</v>
      </c>
      <c r="AI94" s="5">
        <v>7</v>
      </c>
    </row>
    <row r="95" spans="1:35" x14ac:dyDescent="0.25">
      <c r="A95" s="5">
        <v>46</v>
      </c>
      <c r="B95" s="5" t="s">
        <v>43</v>
      </c>
      <c r="C95" s="5" t="s">
        <v>44</v>
      </c>
      <c r="D95" s="5">
        <v>638</v>
      </c>
      <c r="E95" s="5" t="s">
        <v>45</v>
      </c>
      <c r="F95" s="5">
        <v>1</v>
      </c>
      <c r="G95" s="5">
        <v>3</v>
      </c>
      <c r="H95" s="5" t="s">
        <v>51</v>
      </c>
      <c r="I95" s="5">
        <v>1</v>
      </c>
      <c r="J95" s="5">
        <v>124</v>
      </c>
      <c r="K95" s="5">
        <v>3</v>
      </c>
      <c r="L95" s="5" t="s">
        <v>46</v>
      </c>
      <c r="M95" s="5">
        <v>40</v>
      </c>
      <c r="N95" s="5">
        <v>2</v>
      </c>
      <c r="O95" s="5">
        <v>3</v>
      </c>
      <c r="P95" s="5" t="s">
        <v>54</v>
      </c>
      <c r="Q95" s="5">
        <v>1</v>
      </c>
      <c r="R95" s="5" t="s">
        <v>48</v>
      </c>
      <c r="S95" s="5">
        <v>10673</v>
      </c>
      <c r="T95" s="5">
        <v>3142</v>
      </c>
      <c r="U95" s="5">
        <v>2</v>
      </c>
      <c r="V95" s="5" t="s">
        <v>42</v>
      </c>
      <c r="W95" s="5" t="s">
        <v>35</v>
      </c>
      <c r="X95" s="5">
        <v>13</v>
      </c>
      <c r="Y95" s="5">
        <v>3</v>
      </c>
      <c r="Z95" s="5">
        <v>3</v>
      </c>
      <c r="AA95" s="5">
        <v>80</v>
      </c>
      <c r="AB95" s="5">
        <v>1</v>
      </c>
      <c r="AC95" s="5">
        <v>21</v>
      </c>
      <c r="AD95" s="5">
        <v>5</v>
      </c>
      <c r="AE95" s="5">
        <v>2</v>
      </c>
      <c r="AF95" s="5">
        <v>10</v>
      </c>
      <c r="AG95" s="5">
        <v>9</v>
      </c>
      <c r="AH95" s="5">
        <v>9</v>
      </c>
      <c r="AI95" s="5">
        <v>5</v>
      </c>
    </row>
    <row r="96" spans="1:35" x14ac:dyDescent="0.25">
      <c r="A96" s="5">
        <v>32</v>
      </c>
      <c r="B96" s="5" t="s">
        <v>43</v>
      </c>
      <c r="C96" s="5" t="s">
        <v>36</v>
      </c>
      <c r="D96" s="5">
        <v>1093</v>
      </c>
      <c r="E96" s="5" t="s">
        <v>37</v>
      </c>
      <c r="F96" s="5">
        <v>6</v>
      </c>
      <c r="G96" s="5">
        <v>4</v>
      </c>
      <c r="H96" s="5" t="s">
        <v>51</v>
      </c>
      <c r="I96" s="5">
        <v>1</v>
      </c>
      <c r="J96" s="5">
        <v>125</v>
      </c>
      <c r="K96" s="5">
        <v>2</v>
      </c>
      <c r="L96" s="5" t="s">
        <v>46</v>
      </c>
      <c r="M96" s="5">
        <v>87</v>
      </c>
      <c r="N96" s="5">
        <v>3</v>
      </c>
      <c r="O96" s="5">
        <v>2</v>
      </c>
      <c r="P96" s="5" t="s">
        <v>40</v>
      </c>
      <c r="Q96" s="5">
        <v>3</v>
      </c>
      <c r="R96" s="5" t="s">
        <v>41</v>
      </c>
      <c r="S96" s="5">
        <v>5010</v>
      </c>
      <c r="T96" s="5">
        <v>24301</v>
      </c>
      <c r="U96" s="5">
        <v>1</v>
      </c>
      <c r="V96" s="5" t="s">
        <v>42</v>
      </c>
      <c r="W96" s="5" t="s">
        <v>43</v>
      </c>
      <c r="X96" s="5">
        <v>16</v>
      </c>
      <c r="Y96" s="5">
        <v>3</v>
      </c>
      <c r="Z96" s="5">
        <v>1</v>
      </c>
      <c r="AA96" s="5">
        <v>80</v>
      </c>
      <c r="AB96" s="5">
        <v>0</v>
      </c>
      <c r="AC96" s="5">
        <v>12</v>
      </c>
      <c r="AD96" s="5">
        <v>0</v>
      </c>
      <c r="AE96" s="5">
        <v>3</v>
      </c>
      <c r="AF96" s="5">
        <v>11</v>
      </c>
      <c r="AG96" s="5">
        <v>8</v>
      </c>
      <c r="AH96" s="5">
        <v>5</v>
      </c>
      <c r="AI96" s="5">
        <v>7</v>
      </c>
    </row>
    <row r="97" spans="1:35" x14ac:dyDescent="0.25">
      <c r="A97" s="5">
        <v>54</v>
      </c>
      <c r="B97" s="5" t="s">
        <v>43</v>
      </c>
      <c r="C97" s="5" t="s">
        <v>36</v>
      </c>
      <c r="D97" s="5">
        <v>1217</v>
      </c>
      <c r="E97" s="5" t="s">
        <v>45</v>
      </c>
      <c r="F97" s="5">
        <v>2</v>
      </c>
      <c r="G97" s="5">
        <v>4</v>
      </c>
      <c r="H97" s="5" t="s">
        <v>60</v>
      </c>
      <c r="I97" s="5">
        <v>1</v>
      </c>
      <c r="J97" s="5">
        <v>126</v>
      </c>
      <c r="K97" s="5">
        <v>1</v>
      </c>
      <c r="L97" s="5" t="s">
        <v>39</v>
      </c>
      <c r="M97" s="5">
        <v>60</v>
      </c>
      <c r="N97" s="5">
        <v>3</v>
      </c>
      <c r="O97" s="5">
        <v>3</v>
      </c>
      <c r="P97" s="5" t="s">
        <v>58</v>
      </c>
      <c r="Q97" s="5">
        <v>3</v>
      </c>
      <c r="R97" s="5" t="s">
        <v>48</v>
      </c>
      <c r="S97" s="5">
        <v>13549</v>
      </c>
      <c r="T97" s="5">
        <v>24001</v>
      </c>
      <c r="U97" s="5">
        <v>9</v>
      </c>
      <c r="V97" s="5" t="s">
        <v>42</v>
      </c>
      <c r="W97" s="5" t="s">
        <v>43</v>
      </c>
      <c r="X97" s="5">
        <v>12</v>
      </c>
      <c r="Y97" s="5">
        <v>3</v>
      </c>
      <c r="Z97" s="5">
        <v>1</v>
      </c>
      <c r="AA97" s="5">
        <v>80</v>
      </c>
      <c r="AB97" s="5">
        <v>1</v>
      </c>
      <c r="AC97" s="5">
        <v>16</v>
      </c>
      <c r="AD97" s="5">
        <v>5</v>
      </c>
      <c r="AE97" s="5">
        <v>1</v>
      </c>
      <c r="AF97" s="5">
        <v>4</v>
      </c>
      <c r="AG97" s="5">
        <v>3</v>
      </c>
      <c r="AH97" s="5">
        <v>0</v>
      </c>
      <c r="AI97" s="5">
        <v>3</v>
      </c>
    </row>
    <row r="98" spans="1:35" x14ac:dyDescent="0.25">
      <c r="A98" s="5">
        <v>24</v>
      </c>
      <c r="B98" s="5" t="s">
        <v>43</v>
      </c>
      <c r="C98" s="5" t="s">
        <v>36</v>
      </c>
      <c r="D98" s="5">
        <v>1353</v>
      </c>
      <c r="E98" s="5" t="s">
        <v>37</v>
      </c>
      <c r="F98" s="5">
        <v>3</v>
      </c>
      <c r="G98" s="5">
        <v>2</v>
      </c>
      <c r="H98" s="5" t="s">
        <v>49</v>
      </c>
      <c r="I98" s="5">
        <v>1</v>
      </c>
      <c r="J98" s="5">
        <v>128</v>
      </c>
      <c r="K98" s="5">
        <v>1</v>
      </c>
      <c r="L98" s="5" t="s">
        <v>39</v>
      </c>
      <c r="M98" s="5">
        <v>33</v>
      </c>
      <c r="N98" s="5">
        <v>3</v>
      </c>
      <c r="O98" s="5">
        <v>2</v>
      </c>
      <c r="P98" s="5" t="s">
        <v>40</v>
      </c>
      <c r="Q98" s="5">
        <v>3</v>
      </c>
      <c r="R98" s="5" t="s">
        <v>48</v>
      </c>
      <c r="S98" s="5">
        <v>4999</v>
      </c>
      <c r="T98" s="5">
        <v>17519</v>
      </c>
      <c r="U98" s="5">
        <v>0</v>
      </c>
      <c r="V98" s="5" t="s">
        <v>42</v>
      </c>
      <c r="W98" s="5" t="s">
        <v>43</v>
      </c>
      <c r="X98" s="5">
        <v>21</v>
      </c>
      <c r="Y98" s="5">
        <v>4</v>
      </c>
      <c r="Z98" s="5">
        <v>1</v>
      </c>
      <c r="AA98" s="5">
        <v>80</v>
      </c>
      <c r="AB98" s="5">
        <v>1</v>
      </c>
      <c r="AC98" s="5">
        <v>4</v>
      </c>
      <c r="AD98" s="5">
        <v>2</v>
      </c>
      <c r="AE98" s="5">
        <v>2</v>
      </c>
      <c r="AF98" s="5">
        <v>3</v>
      </c>
      <c r="AG98" s="5">
        <v>2</v>
      </c>
      <c r="AH98" s="5">
        <v>0</v>
      </c>
      <c r="AI98" s="5">
        <v>2</v>
      </c>
    </row>
    <row r="99" spans="1:35" x14ac:dyDescent="0.25">
      <c r="A99" s="5">
        <v>28</v>
      </c>
      <c r="B99" s="5" t="s">
        <v>43</v>
      </c>
      <c r="C99" s="5" t="s">
        <v>55</v>
      </c>
      <c r="D99" s="5">
        <v>120</v>
      </c>
      <c r="E99" s="5" t="s">
        <v>37</v>
      </c>
      <c r="F99" s="5">
        <v>4</v>
      </c>
      <c r="G99" s="5">
        <v>3</v>
      </c>
      <c r="H99" s="5" t="s">
        <v>51</v>
      </c>
      <c r="I99" s="5">
        <v>1</v>
      </c>
      <c r="J99" s="5">
        <v>129</v>
      </c>
      <c r="K99" s="5">
        <v>2</v>
      </c>
      <c r="L99" s="5" t="s">
        <v>46</v>
      </c>
      <c r="M99" s="5">
        <v>43</v>
      </c>
      <c r="N99" s="5">
        <v>3</v>
      </c>
      <c r="O99" s="5">
        <v>2</v>
      </c>
      <c r="P99" s="5" t="s">
        <v>40</v>
      </c>
      <c r="Q99" s="5">
        <v>3</v>
      </c>
      <c r="R99" s="5" t="s">
        <v>48</v>
      </c>
      <c r="S99" s="5">
        <v>4221</v>
      </c>
      <c r="T99" s="5">
        <v>8863</v>
      </c>
      <c r="U99" s="5">
        <v>1</v>
      </c>
      <c r="V99" s="5" t="s">
        <v>42</v>
      </c>
      <c r="W99" s="5" t="s">
        <v>43</v>
      </c>
      <c r="X99" s="5">
        <v>15</v>
      </c>
      <c r="Y99" s="5">
        <v>3</v>
      </c>
      <c r="Z99" s="5">
        <v>2</v>
      </c>
      <c r="AA99" s="5">
        <v>80</v>
      </c>
      <c r="AB99" s="5">
        <v>0</v>
      </c>
      <c r="AC99" s="5">
        <v>5</v>
      </c>
      <c r="AD99" s="5">
        <v>3</v>
      </c>
      <c r="AE99" s="5">
        <v>4</v>
      </c>
      <c r="AF99" s="5">
        <v>5</v>
      </c>
      <c r="AG99" s="5">
        <v>4</v>
      </c>
      <c r="AH99" s="5">
        <v>0</v>
      </c>
      <c r="AI99" s="5">
        <v>4</v>
      </c>
    </row>
    <row r="100" spans="1:35" x14ac:dyDescent="0.25">
      <c r="A100" s="5">
        <v>58</v>
      </c>
      <c r="B100" s="5" t="s">
        <v>43</v>
      </c>
      <c r="C100" s="5" t="s">
        <v>36</v>
      </c>
      <c r="D100" s="5">
        <v>682</v>
      </c>
      <c r="E100" s="5" t="s">
        <v>37</v>
      </c>
      <c r="F100" s="5">
        <v>10</v>
      </c>
      <c r="G100" s="5">
        <v>4</v>
      </c>
      <c r="H100" s="5" t="s">
        <v>51</v>
      </c>
      <c r="I100" s="5">
        <v>1</v>
      </c>
      <c r="J100" s="5">
        <v>131</v>
      </c>
      <c r="K100" s="5">
        <v>4</v>
      </c>
      <c r="L100" s="5" t="s">
        <v>46</v>
      </c>
      <c r="M100" s="5">
        <v>37</v>
      </c>
      <c r="N100" s="5">
        <v>3</v>
      </c>
      <c r="O100" s="5">
        <v>4</v>
      </c>
      <c r="P100" s="5" t="s">
        <v>40</v>
      </c>
      <c r="Q100" s="5">
        <v>3</v>
      </c>
      <c r="R100" s="5" t="s">
        <v>41</v>
      </c>
      <c r="S100" s="5">
        <v>13872</v>
      </c>
      <c r="T100" s="5">
        <v>24409</v>
      </c>
      <c r="U100" s="5">
        <v>0</v>
      </c>
      <c r="V100" s="5" t="s">
        <v>42</v>
      </c>
      <c r="W100" s="5" t="s">
        <v>43</v>
      </c>
      <c r="X100" s="5">
        <v>13</v>
      </c>
      <c r="Y100" s="5">
        <v>3</v>
      </c>
      <c r="Z100" s="5">
        <v>3</v>
      </c>
      <c r="AA100" s="5">
        <v>80</v>
      </c>
      <c r="AB100" s="5">
        <v>0</v>
      </c>
      <c r="AC100" s="5">
        <v>38</v>
      </c>
      <c r="AD100" s="5">
        <v>1</v>
      </c>
      <c r="AE100" s="5">
        <v>2</v>
      </c>
      <c r="AF100" s="5">
        <v>37</v>
      </c>
      <c r="AG100" s="5">
        <v>10</v>
      </c>
      <c r="AH100" s="5">
        <v>1</v>
      </c>
      <c r="AI100" s="5">
        <v>8</v>
      </c>
    </row>
    <row r="101" spans="1:35" x14ac:dyDescent="0.25">
      <c r="A101" s="5">
        <v>44</v>
      </c>
      <c r="B101" s="5" t="s">
        <v>43</v>
      </c>
      <c r="C101" s="5" t="s">
        <v>55</v>
      </c>
      <c r="D101" s="5">
        <v>489</v>
      </c>
      <c r="E101" s="5" t="s">
        <v>45</v>
      </c>
      <c r="F101" s="5">
        <v>23</v>
      </c>
      <c r="G101" s="5">
        <v>3</v>
      </c>
      <c r="H101" s="5" t="s">
        <v>51</v>
      </c>
      <c r="I101" s="5">
        <v>1</v>
      </c>
      <c r="J101" s="5">
        <v>132</v>
      </c>
      <c r="K101" s="5">
        <v>2</v>
      </c>
      <c r="L101" s="5" t="s">
        <v>46</v>
      </c>
      <c r="M101" s="5">
        <v>67</v>
      </c>
      <c r="N101" s="5">
        <v>3</v>
      </c>
      <c r="O101" s="5">
        <v>2</v>
      </c>
      <c r="P101" s="5" t="s">
        <v>50</v>
      </c>
      <c r="Q101" s="5">
        <v>2</v>
      </c>
      <c r="R101" s="5" t="s">
        <v>48</v>
      </c>
      <c r="S101" s="5">
        <v>2042</v>
      </c>
      <c r="T101" s="5">
        <v>25043</v>
      </c>
      <c r="U101" s="5">
        <v>4</v>
      </c>
      <c r="V101" s="5" t="s">
        <v>42</v>
      </c>
      <c r="W101" s="5" t="s">
        <v>43</v>
      </c>
      <c r="X101" s="5">
        <v>12</v>
      </c>
      <c r="Y101" s="5">
        <v>3</v>
      </c>
      <c r="Z101" s="5">
        <v>3</v>
      </c>
      <c r="AA101" s="5">
        <v>80</v>
      </c>
      <c r="AB101" s="5">
        <v>1</v>
      </c>
      <c r="AC101" s="5">
        <v>17</v>
      </c>
      <c r="AD101" s="5">
        <v>3</v>
      </c>
      <c r="AE101" s="5">
        <v>4</v>
      </c>
      <c r="AF101" s="5">
        <v>3</v>
      </c>
      <c r="AG101" s="5">
        <v>2</v>
      </c>
      <c r="AH101" s="5">
        <v>1</v>
      </c>
      <c r="AI101" s="5">
        <v>2</v>
      </c>
    </row>
    <row r="102" spans="1:35" x14ac:dyDescent="0.25">
      <c r="A102" s="5">
        <v>37</v>
      </c>
      <c r="B102" s="5" t="s">
        <v>35</v>
      </c>
      <c r="C102" s="5" t="s">
        <v>36</v>
      </c>
      <c r="D102" s="5">
        <v>807</v>
      </c>
      <c r="E102" s="5" t="s">
        <v>61</v>
      </c>
      <c r="F102" s="5">
        <v>6</v>
      </c>
      <c r="G102" s="5">
        <v>4</v>
      </c>
      <c r="H102" s="5" t="s">
        <v>61</v>
      </c>
      <c r="I102" s="5">
        <v>1</v>
      </c>
      <c r="J102" s="5">
        <v>133</v>
      </c>
      <c r="K102" s="5">
        <v>3</v>
      </c>
      <c r="L102" s="5" t="s">
        <v>46</v>
      </c>
      <c r="M102" s="5">
        <v>63</v>
      </c>
      <c r="N102" s="5">
        <v>3</v>
      </c>
      <c r="O102" s="5">
        <v>1</v>
      </c>
      <c r="P102" s="5" t="s">
        <v>61</v>
      </c>
      <c r="Q102" s="5">
        <v>1</v>
      </c>
      <c r="R102" s="5" t="s">
        <v>52</v>
      </c>
      <c r="S102" s="5">
        <v>2073</v>
      </c>
      <c r="T102" s="5">
        <v>23648</v>
      </c>
      <c r="U102" s="5">
        <v>4</v>
      </c>
      <c r="V102" s="5" t="s">
        <v>42</v>
      </c>
      <c r="W102" s="5" t="s">
        <v>35</v>
      </c>
      <c r="X102" s="5">
        <v>22</v>
      </c>
      <c r="Y102" s="5">
        <v>4</v>
      </c>
      <c r="Z102" s="5">
        <v>4</v>
      </c>
      <c r="AA102" s="5">
        <v>80</v>
      </c>
      <c r="AB102" s="5">
        <v>0</v>
      </c>
      <c r="AC102" s="5">
        <v>7</v>
      </c>
      <c r="AD102" s="5">
        <v>3</v>
      </c>
      <c r="AE102" s="5">
        <v>3</v>
      </c>
      <c r="AF102" s="5">
        <v>3</v>
      </c>
      <c r="AG102" s="5">
        <v>2</v>
      </c>
      <c r="AH102" s="5">
        <v>0</v>
      </c>
      <c r="AI102" s="5">
        <v>2</v>
      </c>
    </row>
    <row r="103" spans="1:35" x14ac:dyDescent="0.25">
      <c r="A103" s="5">
        <v>32</v>
      </c>
      <c r="B103" s="5" t="s">
        <v>43</v>
      </c>
      <c r="C103" s="5" t="s">
        <v>36</v>
      </c>
      <c r="D103" s="5">
        <v>827</v>
      </c>
      <c r="E103" s="5" t="s">
        <v>45</v>
      </c>
      <c r="F103" s="5">
        <v>1</v>
      </c>
      <c r="G103" s="5">
        <v>1</v>
      </c>
      <c r="H103" s="5" t="s">
        <v>38</v>
      </c>
      <c r="I103" s="5">
        <v>1</v>
      </c>
      <c r="J103" s="5">
        <v>134</v>
      </c>
      <c r="K103" s="5">
        <v>4</v>
      </c>
      <c r="L103" s="5" t="s">
        <v>46</v>
      </c>
      <c r="M103" s="5">
        <v>71</v>
      </c>
      <c r="N103" s="5">
        <v>3</v>
      </c>
      <c r="O103" s="5">
        <v>1</v>
      </c>
      <c r="P103" s="5" t="s">
        <v>47</v>
      </c>
      <c r="Q103" s="5">
        <v>1</v>
      </c>
      <c r="R103" s="5" t="s">
        <v>41</v>
      </c>
      <c r="S103" s="5">
        <v>2956</v>
      </c>
      <c r="T103" s="5">
        <v>15178</v>
      </c>
      <c r="U103" s="5">
        <v>1</v>
      </c>
      <c r="V103" s="5" t="s">
        <v>42</v>
      </c>
      <c r="W103" s="5" t="s">
        <v>43</v>
      </c>
      <c r="X103" s="5">
        <v>13</v>
      </c>
      <c r="Y103" s="5">
        <v>3</v>
      </c>
      <c r="Z103" s="5">
        <v>4</v>
      </c>
      <c r="AA103" s="5">
        <v>80</v>
      </c>
      <c r="AB103" s="5">
        <v>0</v>
      </c>
      <c r="AC103" s="5">
        <v>1</v>
      </c>
      <c r="AD103" s="5">
        <v>2</v>
      </c>
      <c r="AE103" s="5">
        <v>3</v>
      </c>
      <c r="AF103" s="5">
        <v>1</v>
      </c>
      <c r="AG103" s="5">
        <v>0</v>
      </c>
      <c r="AH103" s="5">
        <v>0</v>
      </c>
      <c r="AI103" s="5">
        <v>0</v>
      </c>
    </row>
    <row r="104" spans="1:35" x14ac:dyDescent="0.25">
      <c r="A104" s="5">
        <v>20</v>
      </c>
      <c r="B104" s="5" t="s">
        <v>35</v>
      </c>
      <c r="C104" s="5" t="s">
        <v>44</v>
      </c>
      <c r="D104" s="5">
        <v>871</v>
      </c>
      <c r="E104" s="5" t="s">
        <v>45</v>
      </c>
      <c r="F104" s="5">
        <v>6</v>
      </c>
      <c r="G104" s="5">
        <v>3</v>
      </c>
      <c r="H104" s="5" t="s">
        <v>38</v>
      </c>
      <c r="I104" s="5">
        <v>1</v>
      </c>
      <c r="J104" s="5">
        <v>137</v>
      </c>
      <c r="K104" s="5">
        <v>4</v>
      </c>
      <c r="L104" s="5" t="s">
        <v>39</v>
      </c>
      <c r="M104" s="5">
        <v>66</v>
      </c>
      <c r="N104" s="5">
        <v>2</v>
      </c>
      <c r="O104" s="5">
        <v>1</v>
      </c>
      <c r="P104" s="5" t="s">
        <v>50</v>
      </c>
      <c r="Q104" s="5">
        <v>4</v>
      </c>
      <c r="R104" s="5" t="s">
        <v>41</v>
      </c>
      <c r="S104" s="5">
        <v>2926</v>
      </c>
      <c r="T104" s="5">
        <v>19783</v>
      </c>
      <c r="U104" s="5">
        <v>1</v>
      </c>
      <c r="V104" s="5" t="s">
        <v>42</v>
      </c>
      <c r="W104" s="5" t="s">
        <v>35</v>
      </c>
      <c r="X104" s="5">
        <v>18</v>
      </c>
      <c r="Y104" s="5">
        <v>3</v>
      </c>
      <c r="Z104" s="5">
        <v>2</v>
      </c>
      <c r="AA104" s="5">
        <v>80</v>
      </c>
      <c r="AB104" s="5">
        <v>0</v>
      </c>
      <c r="AC104" s="5">
        <v>1</v>
      </c>
      <c r="AD104" s="5">
        <v>5</v>
      </c>
      <c r="AE104" s="5">
        <v>3</v>
      </c>
      <c r="AF104" s="5">
        <v>1</v>
      </c>
      <c r="AG104" s="5">
        <v>0</v>
      </c>
      <c r="AH104" s="5">
        <v>1</v>
      </c>
      <c r="AI104" s="5">
        <v>0</v>
      </c>
    </row>
    <row r="105" spans="1:35" x14ac:dyDescent="0.25">
      <c r="A105" s="5">
        <v>34</v>
      </c>
      <c r="B105" s="5" t="s">
        <v>43</v>
      </c>
      <c r="C105" s="5" t="s">
        <v>36</v>
      </c>
      <c r="D105" s="5">
        <v>665</v>
      </c>
      <c r="E105" s="5" t="s">
        <v>45</v>
      </c>
      <c r="F105" s="5">
        <v>6</v>
      </c>
      <c r="G105" s="5">
        <v>4</v>
      </c>
      <c r="H105" s="5" t="s">
        <v>49</v>
      </c>
      <c r="I105" s="5">
        <v>1</v>
      </c>
      <c r="J105" s="5">
        <v>138</v>
      </c>
      <c r="K105" s="5">
        <v>1</v>
      </c>
      <c r="L105" s="5" t="s">
        <v>39</v>
      </c>
      <c r="M105" s="5">
        <v>41</v>
      </c>
      <c r="N105" s="5">
        <v>3</v>
      </c>
      <c r="O105" s="5">
        <v>2</v>
      </c>
      <c r="P105" s="5" t="s">
        <v>47</v>
      </c>
      <c r="Q105" s="5">
        <v>3</v>
      </c>
      <c r="R105" s="5" t="s">
        <v>41</v>
      </c>
      <c r="S105" s="5">
        <v>4809</v>
      </c>
      <c r="T105" s="5">
        <v>12482</v>
      </c>
      <c r="U105" s="5">
        <v>1</v>
      </c>
      <c r="V105" s="5" t="s">
        <v>42</v>
      </c>
      <c r="W105" s="5" t="s">
        <v>43</v>
      </c>
      <c r="X105" s="5">
        <v>14</v>
      </c>
      <c r="Y105" s="5">
        <v>3</v>
      </c>
      <c r="Z105" s="5">
        <v>3</v>
      </c>
      <c r="AA105" s="5">
        <v>80</v>
      </c>
      <c r="AB105" s="5">
        <v>0</v>
      </c>
      <c r="AC105" s="5">
        <v>16</v>
      </c>
      <c r="AD105" s="5">
        <v>3</v>
      </c>
      <c r="AE105" s="5">
        <v>3</v>
      </c>
      <c r="AF105" s="5">
        <v>16</v>
      </c>
      <c r="AG105" s="5">
        <v>13</v>
      </c>
      <c r="AH105" s="5">
        <v>2</v>
      </c>
      <c r="AI105" s="5">
        <v>10</v>
      </c>
    </row>
    <row r="106" spans="1:35" x14ac:dyDescent="0.25">
      <c r="A106" s="5">
        <v>37</v>
      </c>
      <c r="B106" s="5" t="s">
        <v>43</v>
      </c>
      <c r="C106" s="5" t="s">
        <v>55</v>
      </c>
      <c r="D106" s="5">
        <v>1040</v>
      </c>
      <c r="E106" s="5" t="s">
        <v>45</v>
      </c>
      <c r="F106" s="5">
        <v>2</v>
      </c>
      <c r="G106" s="5">
        <v>2</v>
      </c>
      <c r="H106" s="5" t="s">
        <v>38</v>
      </c>
      <c r="I106" s="5">
        <v>1</v>
      </c>
      <c r="J106" s="5">
        <v>139</v>
      </c>
      <c r="K106" s="5">
        <v>3</v>
      </c>
      <c r="L106" s="5" t="s">
        <v>46</v>
      </c>
      <c r="M106" s="5">
        <v>100</v>
      </c>
      <c r="N106" s="5">
        <v>2</v>
      </c>
      <c r="O106" s="5">
        <v>2</v>
      </c>
      <c r="P106" s="5" t="s">
        <v>54</v>
      </c>
      <c r="Q106" s="5">
        <v>4</v>
      </c>
      <c r="R106" s="5" t="s">
        <v>52</v>
      </c>
      <c r="S106" s="5">
        <v>5163</v>
      </c>
      <c r="T106" s="5">
        <v>15850</v>
      </c>
      <c r="U106" s="5">
        <v>5</v>
      </c>
      <c r="V106" s="5" t="s">
        <v>42</v>
      </c>
      <c r="W106" s="5" t="s">
        <v>43</v>
      </c>
      <c r="X106" s="5">
        <v>14</v>
      </c>
      <c r="Y106" s="5">
        <v>3</v>
      </c>
      <c r="Z106" s="5">
        <v>4</v>
      </c>
      <c r="AA106" s="5">
        <v>80</v>
      </c>
      <c r="AB106" s="5">
        <v>1</v>
      </c>
      <c r="AC106" s="5">
        <v>17</v>
      </c>
      <c r="AD106" s="5">
        <v>2</v>
      </c>
      <c r="AE106" s="5">
        <v>4</v>
      </c>
      <c r="AF106" s="5">
        <v>1</v>
      </c>
      <c r="AG106" s="5">
        <v>0</v>
      </c>
      <c r="AH106" s="5">
        <v>0</v>
      </c>
      <c r="AI106" s="5">
        <v>0</v>
      </c>
    </row>
    <row r="107" spans="1:35" x14ac:dyDescent="0.25">
      <c r="A107" s="5">
        <v>59</v>
      </c>
      <c r="B107" s="5" t="s">
        <v>43</v>
      </c>
      <c r="C107" s="5" t="s">
        <v>55</v>
      </c>
      <c r="D107" s="5">
        <v>1420</v>
      </c>
      <c r="E107" s="5" t="s">
        <v>61</v>
      </c>
      <c r="F107" s="5">
        <v>2</v>
      </c>
      <c r="G107" s="5">
        <v>4</v>
      </c>
      <c r="H107" s="5" t="s">
        <v>61</v>
      </c>
      <c r="I107" s="5">
        <v>1</v>
      </c>
      <c r="J107" s="5">
        <v>140</v>
      </c>
      <c r="K107" s="5">
        <v>3</v>
      </c>
      <c r="L107" s="5" t="s">
        <v>39</v>
      </c>
      <c r="M107" s="5">
        <v>32</v>
      </c>
      <c r="N107" s="5">
        <v>2</v>
      </c>
      <c r="O107" s="5">
        <v>5</v>
      </c>
      <c r="P107" s="5" t="s">
        <v>56</v>
      </c>
      <c r="Q107" s="5">
        <v>4</v>
      </c>
      <c r="R107" s="5" t="s">
        <v>48</v>
      </c>
      <c r="S107" s="5">
        <v>18844</v>
      </c>
      <c r="T107" s="5">
        <v>21922</v>
      </c>
      <c r="U107" s="5">
        <v>9</v>
      </c>
      <c r="V107" s="5" t="s">
        <v>42</v>
      </c>
      <c r="W107" s="5" t="s">
        <v>43</v>
      </c>
      <c r="X107" s="5">
        <v>21</v>
      </c>
      <c r="Y107" s="5">
        <v>4</v>
      </c>
      <c r="Z107" s="5">
        <v>4</v>
      </c>
      <c r="AA107" s="5">
        <v>80</v>
      </c>
      <c r="AB107" s="5">
        <v>1</v>
      </c>
      <c r="AC107" s="5">
        <v>30</v>
      </c>
      <c r="AD107" s="5">
        <v>3</v>
      </c>
      <c r="AE107" s="5">
        <v>3</v>
      </c>
      <c r="AF107" s="5">
        <v>3</v>
      </c>
      <c r="AG107" s="5">
        <v>2</v>
      </c>
      <c r="AH107" s="5">
        <v>2</v>
      </c>
      <c r="AI107" s="5">
        <v>2</v>
      </c>
    </row>
    <row r="108" spans="1:35" x14ac:dyDescent="0.25">
      <c r="A108" s="5">
        <v>50</v>
      </c>
      <c r="B108" s="5" t="s">
        <v>43</v>
      </c>
      <c r="C108" s="5" t="s">
        <v>44</v>
      </c>
      <c r="D108" s="5">
        <v>1115</v>
      </c>
      <c r="E108" s="5" t="s">
        <v>45</v>
      </c>
      <c r="F108" s="5">
        <v>1</v>
      </c>
      <c r="G108" s="5">
        <v>3</v>
      </c>
      <c r="H108" s="5" t="s">
        <v>38</v>
      </c>
      <c r="I108" s="5">
        <v>1</v>
      </c>
      <c r="J108" s="5">
        <v>141</v>
      </c>
      <c r="K108" s="5">
        <v>1</v>
      </c>
      <c r="L108" s="5" t="s">
        <v>39</v>
      </c>
      <c r="M108" s="5">
        <v>73</v>
      </c>
      <c r="N108" s="5">
        <v>3</v>
      </c>
      <c r="O108" s="5">
        <v>5</v>
      </c>
      <c r="P108" s="5" t="s">
        <v>58</v>
      </c>
      <c r="Q108" s="5">
        <v>2</v>
      </c>
      <c r="R108" s="5" t="s">
        <v>48</v>
      </c>
      <c r="S108" s="5">
        <v>18172</v>
      </c>
      <c r="T108" s="5">
        <v>9755</v>
      </c>
      <c r="U108" s="5">
        <v>3</v>
      </c>
      <c r="V108" s="5" t="s">
        <v>42</v>
      </c>
      <c r="W108" s="5" t="s">
        <v>35</v>
      </c>
      <c r="X108" s="5">
        <v>19</v>
      </c>
      <c r="Y108" s="5">
        <v>3</v>
      </c>
      <c r="Z108" s="5">
        <v>1</v>
      </c>
      <c r="AA108" s="5">
        <v>80</v>
      </c>
      <c r="AB108" s="5">
        <v>0</v>
      </c>
      <c r="AC108" s="5">
        <v>28</v>
      </c>
      <c r="AD108" s="5">
        <v>1</v>
      </c>
      <c r="AE108" s="5">
        <v>2</v>
      </c>
      <c r="AF108" s="5">
        <v>8</v>
      </c>
      <c r="AG108" s="5">
        <v>3</v>
      </c>
      <c r="AH108" s="5">
        <v>0</v>
      </c>
      <c r="AI108" s="5">
        <v>7</v>
      </c>
    </row>
    <row r="109" spans="1:35" x14ac:dyDescent="0.25">
      <c r="A109" s="5">
        <v>25</v>
      </c>
      <c r="B109" s="5" t="s">
        <v>35</v>
      </c>
      <c r="C109" s="5" t="s">
        <v>36</v>
      </c>
      <c r="D109" s="5">
        <v>240</v>
      </c>
      <c r="E109" s="5" t="s">
        <v>37</v>
      </c>
      <c r="F109" s="5">
        <v>5</v>
      </c>
      <c r="G109" s="5">
        <v>3</v>
      </c>
      <c r="H109" s="5" t="s">
        <v>59</v>
      </c>
      <c r="I109" s="5">
        <v>1</v>
      </c>
      <c r="J109" s="5">
        <v>142</v>
      </c>
      <c r="K109" s="5">
        <v>3</v>
      </c>
      <c r="L109" s="5" t="s">
        <v>46</v>
      </c>
      <c r="M109" s="5">
        <v>46</v>
      </c>
      <c r="N109" s="5">
        <v>2</v>
      </c>
      <c r="O109" s="5">
        <v>2</v>
      </c>
      <c r="P109" s="5" t="s">
        <v>40</v>
      </c>
      <c r="Q109" s="5">
        <v>3</v>
      </c>
      <c r="R109" s="5" t="s">
        <v>41</v>
      </c>
      <c r="S109" s="5">
        <v>5744</v>
      </c>
      <c r="T109" s="5">
        <v>26959</v>
      </c>
      <c r="U109" s="5">
        <v>1</v>
      </c>
      <c r="V109" s="5" t="s">
        <v>42</v>
      </c>
      <c r="W109" s="5" t="s">
        <v>35</v>
      </c>
      <c r="X109" s="5">
        <v>11</v>
      </c>
      <c r="Y109" s="5">
        <v>3</v>
      </c>
      <c r="Z109" s="5">
        <v>4</v>
      </c>
      <c r="AA109" s="5">
        <v>80</v>
      </c>
      <c r="AB109" s="5">
        <v>0</v>
      </c>
      <c r="AC109" s="5">
        <v>6</v>
      </c>
      <c r="AD109" s="5">
        <v>1</v>
      </c>
      <c r="AE109" s="5">
        <v>3</v>
      </c>
      <c r="AF109" s="5">
        <v>6</v>
      </c>
      <c r="AG109" s="5">
        <v>4</v>
      </c>
      <c r="AH109" s="5">
        <v>0</v>
      </c>
      <c r="AI109" s="5">
        <v>3</v>
      </c>
    </row>
    <row r="110" spans="1:35" x14ac:dyDescent="0.25">
      <c r="A110" s="5">
        <v>25</v>
      </c>
      <c r="B110" s="5" t="s">
        <v>43</v>
      </c>
      <c r="C110" s="5" t="s">
        <v>36</v>
      </c>
      <c r="D110" s="5">
        <v>1280</v>
      </c>
      <c r="E110" s="5" t="s">
        <v>45</v>
      </c>
      <c r="F110" s="5">
        <v>7</v>
      </c>
      <c r="G110" s="5">
        <v>1</v>
      </c>
      <c r="H110" s="5" t="s">
        <v>51</v>
      </c>
      <c r="I110" s="5">
        <v>1</v>
      </c>
      <c r="J110" s="5">
        <v>143</v>
      </c>
      <c r="K110" s="5">
        <v>4</v>
      </c>
      <c r="L110" s="5" t="s">
        <v>46</v>
      </c>
      <c r="M110" s="5">
        <v>64</v>
      </c>
      <c r="N110" s="5">
        <v>2</v>
      </c>
      <c r="O110" s="5">
        <v>1</v>
      </c>
      <c r="P110" s="5" t="s">
        <v>47</v>
      </c>
      <c r="Q110" s="5">
        <v>4</v>
      </c>
      <c r="R110" s="5" t="s">
        <v>48</v>
      </c>
      <c r="S110" s="5">
        <v>2889</v>
      </c>
      <c r="T110" s="5">
        <v>26897</v>
      </c>
      <c r="U110" s="5">
        <v>1</v>
      </c>
      <c r="V110" s="5" t="s">
        <v>42</v>
      </c>
      <c r="W110" s="5" t="s">
        <v>43</v>
      </c>
      <c r="X110" s="5">
        <v>11</v>
      </c>
      <c r="Y110" s="5">
        <v>3</v>
      </c>
      <c r="Z110" s="5">
        <v>3</v>
      </c>
      <c r="AA110" s="5">
        <v>80</v>
      </c>
      <c r="AB110" s="5">
        <v>2</v>
      </c>
      <c r="AC110" s="5">
        <v>2</v>
      </c>
      <c r="AD110" s="5">
        <v>2</v>
      </c>
      <c r="AE110" s="5">
        <v>3</v>
      </c>
      <c r="AF110" s="5">
        <v>2</v>
      </c>
      <c r="AG110" s="5">
        <v>2</v>
      </c>
      <c r="AH110" s="5">
        <v>2</v>
      </c>
      <c r="AI110" s="5">
        <v>1</v>
      </c>
    </row>
    <row r="111" spans="1:35" x14ac:dyDescent="0.25">
      <c r="A111" s="5">
        <v>22</v>
      </c>
      <c r="B111" s="5" t="s">
        <v>43</v>
      </c>
      <c r="C111" s="5" t="s">
        <v>36</v>
      </c>
      <c r="D111" s="5">
        <v>534</v>
      </c>
      <c r="E111" s="5" t="s">
        <v>45</v>
      </c>
      <c r="F111" s="5">
        <v>15</v>
      </c>
      <c r="G111" s="5">
        <v>3</v>
      </c>
      <c r="H111" s="5" t="s">
        <v>51</v>
      </c>
      <c r="I111" s="5">
        <v>1</v>
      </c>
      <c r="J111" s="5">
        <v>144</v>
      </c>
      <c r="K111" s="5">
        <v>2</v>
      </c>
      <c r="L111" s="5" t="s">
        <v>39</v>
      </c>
      <c r="M111" s="5">
        <v>59</v>
      </c>
      <c r="N111" s="5">
        <v>3</v>
      </c>
      <c r="O111" s="5">
        <v>1</v>
      </c>
      <c r="P111" s="5" t="s">
        <v>50</v>
      </c>
      <c r="Q111" s="5">
        <v>4</v>
      </c>
      <c r="R111" s="5" t="s">
        <v>41</v>
      </c>
      <c r="S111" s="5">
        <v>2871</v>
      </c>
      <c r="T111" s="5">
        <v>23785</v>
      </c>
      <c r="U111" s="5">
        <v>1</v>
      </c>
      <c r="V111" s="5" t="s">
        <v>42</v>
      </c>
      <c r="W111" s="5" t="s">
        <v>43</v>
      </c>
      <c r="X111" s="5">
        <v>15</v>
      </c>
      <c r="Y111" s="5">
        <v>3</v>
      </c>
      <c r="Z111" s="5">
        <v>3</v>
      </c>
      <c r="AA111" s="5">
        <v>80</v>
      </c>
      <c r="AB111" s="5">
        <v>0</v>
      </c>
      <c r="AC111" s="5">
        <v>1</v>
      </c>
      <c r="AD111" s="5">
        <v>5</v>
      </c>
      <c r="AE111" s="5">
        <v>3</v>
      </c>
      <c r="AF111" s="5">
        <v>0</v>
      </c>
      <c r="AG111" s="5">
        <v>0</v>
      </c>
      <c r="AH111" s="5">
        <v>0</v>
      </c>
      <c r="AI111" s="5">
        <v>0</v>
      </c>
    </row>
    <row r="112" spans="1:35" x14ac:dyDescent="0.25">
      <c r="A112" s="5">
        <v>51</v>
      </c>
      <c r="B112" s="5" t="s">
        <v>43</v>
      </c>
      <c r="C112" s="5" t="s">
        <v>44</v>
      </c>
      <c r="D112" s="5">
        <v>1456</v>
      </c>
      <c r="E112" s="5" t="s">
        <v>45</v>
      </c>
      <c r="F112" s="5">
        <v>1</v>
      </c>
      <c r="G112" s="5">
        <v>4</v>
      </c>
      <c r="H112" s="5" t="s">
        <v>51</v>
      </c>
      <c r="I112" s="5">
        <v>1</v>
      </c>
      <c r="J112" s="5">
        <v>145</v>
      </c>
      <c r="K112" s="5">
        <v>1</v>
      </c>
      <c r="L112" s="5" t="s">
        <v>39</v>
      </c>
      <c r="M112" s="5">
        <v>30</v>
      </c>
      <c r="N112" s="5">
        <v>2</v>
      </c>
      <c r="O112" s="5">
        <v>3</v>
      </c>
      <c r="P112" s="5" t="s">
        <v>54</v>
      </c>
      <c r="Q112" s="5">
        <v>1</v>
      </c>
      <c r="R112" s="5" t="s">
        <v>41</v>
      </c>
      <c r="S112" s="5">
        <v>7484</v>
      </c>
      <c r="T112" s="5">
        <v>25796</v>
      </c>
      <c r="U112" s="5">
        <v>3</v>
      </c>
      <c r="V112" s="5" t="s">
        <v>42</v>
      </c>
      <c r="W112" s="5" t="s">
        <v>43</v>
      </c>
      <c r="X112" s="5">
        <v>20</v>
      </c>
      <c r="Y112" s="5">
        <v>4</v>
      </c>
      <c r="Z112" s="5">
        <v>3</v>
      </c>
      <c r="AA112" s="5">
        <v>80</v>
      </c>
      <c r="AB112" s="5">
        <v>0</v>
      </c>
      <c r="AC112" s="5">
        <v>23</v>
      </c>
      <c r="AD112" s="5">
        <v>1</v>
      </c>
      <c r="AE112" s="5">
        <v>2</v>
      </c>
      <c r="AF112" s="5">
        <v>13</v>
      </c>
      <c r="AG112" s="5">
        <v>12</v>
      </c>
      <c r="AH112" s="5">
        <v>12</v>
      </c>
      <c r="AI112" s="5">
        <v>8</v>
      </c>
    </row>
    <row r="113" spans="1:35" x14ac:dyDescent="0.25">
      <c r="A113" s="5">
        <v>34</v>
      </c>
      <c r="B113" s="5" t="s">
        <v>35</v>
      </c>
      <c r="C113" s="5" t="s">
        <v>44</v>
      </c>
      <c r="D113" s="5">
        <v>658</v>
      </c>
      <c r="E113" s="5" t="s">
        <v>45</v>
      </c>
      <c r="F113" s="5">
        <v>7</v>
      </c>
      <c r="G113" s="5">
        <v>3</v>
      </c>
      <c r="H113" s="5" t="s">
        <v>38</v>
      </c>
      <c r="I113" s="5">
        <v>1</v>
      </c>
      <c r="J113" s="5">
        <v>147</v>
      </c>
      <c r="K113" s="5">
        <v>1</v>
      </c>
      <c r="L113" s="5" t="s">
        <v>46</v>
      </c>
      <c r="M113" s="5">
        <v>66</v>
      </c>
      <c r="N113" s="5">
        <v>1</v>
      </c>
      <c r="O113" s="5">
        <v>2</v>
      </c>
      <c r="P113" s="5" t="s">
        <v>50</v>
      </c>
      <c r="Q113" s="5">
        <v>3</v>
      </c>
      <c r="R113" s="5" t="s">
        <v>41</v>
      </c>
      <c r="S113" s="5">
        <v>6074</v>
      </c>
      <c r="T113" s="5">
        <v>22887</v>
      </c>
      <c r="U113" s="5">
        <v>1</v>
      </c>
      <c r="V113" s="5" t="s">
        <v>42</v>
      </c>
      <c r="W113" s="5" t="s">
        <v>35</v>
      </c>
      <c r="X113" s="5">
        <v>24</v>
      </c>
      <c r="Y113" s="5">
        <v>4</v>
      </c>
      <c r="Z113" s="5">
        <v>4</v>
      </c>
      <c r="AA113" s="5">
        <v>80</v>
      </c>
      <c r="AB113" s="5">
        <v>0</v>
      </c>
      <c r="AC113" s="5">
        <v>9</v>
      </c>
      <c r="AD113" s="5">
        <v>3</v>
      </c>
      <c r="AE113" s="5">
        <v>3</v>
      </c>
      <c r="AF113" s="5">
        <v>9</v>
      </c>
      <c r="AG113" s="5">
        <v>7</v>
      </c>
      <c r="AH113" s="5">
        <v>0</v>
      </c>
      <c r="AI113" s="5">
        <v>6</v>
      </c>
    </row>
    <row r="114" spans="1:35" x14ac:dyDescent="0.25">
      <c r="A114" s="5">
        <v>54</v>
      </c>
      <c r="B114" s="5" t="s">
        <v>43</v>
      </c>
      <c r="C114" s="5" t="s">
        <v>55</v>
      </c>
      <c r="D114" s="5">
        <v>142</v>
      </c>
      <c r="E114" s="5" t="s">
        <v>61</v>
      </c>
      <c r="F114" s="5">
        <v>26</v>
      </c>
      <c r="G114" s="5">
        <v>3</v>
      </c>
      <c r="H114" s="5" t="s">
        <v>61</v>
      </c>
      <c r="I114" s="5">
        <v>1</v>
      </c>
      <c r="J114" s="5">
        <v>148</v>
      </c>
      <c r="K114" s="5">
        <v>4</v>
      </c>
      <c r="L114" s="5" t="s">
        <v>39</v>
      </c>
      <c r="M114" s="5">
        <v>30</v>
      </c>
      <c r="N114" s="5">
        <v>4</v>
      </c>
      <c r="O114" s="5">
        <v>4</v>
      </c>
      <c r="P114" s="5" t="s">
        <v>56</v>
      </c>
      <c r="Q114" s="5">
        <v>4</v>
      </c>
      <c r="R114" s="5" t="s">
        <v>41</v>
      </c>
      <c r="S114" s="5">
        <v>17328</v>
      </c>
      <c r="T114" s="5">
        <v>13871</v>
      </c>
      <c r="U114" s="5">
        <v>2</v>
      </c>
      <c r="V114" s="5" t="s">
        <v>42</v>
      </c>
      <c r="W114" s="5" t="s">
        <v>35</v>
      </c>
      <c r="X114" s="5">
        <v>12</v>
      </c>
      <c r="Y114" s="5">
        <v>3</v>
      </c>
      <c r="Z114" s="5">
        <v>3</v>
      </c>
      <c r="AA114" s="5">
        <v>80</v>
      </c>
      <c r="AB114" s="5">
        <v>0</v>
      </c>
      <c r="AC114" s="5">
        <v>23</v>
      </c>
      <c r="AD114" s="5">
        <v>3</v>
      </c>
      <c r="AE114" s="5">
        <v>3</v>
      </c>
      <c r="AF114" s="5">
        <v>5</v>
      </c>
      <c r="AG114" s="5">
        <v>3</v>
      </c>
      <c r="AH114" s="5">
        <v>4</v>
      </c>
      <c r="AI114" s="5">
        <v>4</v>
      </c>
    </row>
    <row r="115" spans="1:35" x14ac:dyDescent="0.25">
      <c r="A115" s="5">
        <v>24</v>
      </c>
      <c r="B115" s="5" t="s">
        <v>43</v>
      </c>
      <c r="C115" s="5" t="s">
        <v>36</v>
      </c>
      <c r="D115" s="5">
        <v>1127</v>
      </c>
      <c r="E115" s="5" t="s">
        <v>45</v>
      </c>
      <c r="F115" s="5">
        <v>18</v>
      </c>
      <c r="G115" s="5">
        <v>1</v>
      </c>
      <c r="H115" s="5" t="s">
        <v>38</v>
      </c>
      <c r="I115" s="5">
        <v>1</v>
      </c>
      <c r="J115" s="5">
        <v>150</v>
      </c>
      <c r="K115" s="5">
        <v>2</v>
      </c>
      <c r="L115" s="5" t="s">
        <v>46</v>
      </c>
      <c r="M115" s="5">
        <v>52</v>
      </c>
      <c r="N115" s="5">
        <v>3</v>
      </c>
      <c r="O115" s="5">
        <v>1</v>
      </c>
      <c r="P115" s="5" t="s">
        <v>50</v>
      </c>
      <c r="Q115" s="5">
        <v>3</v>
      </c>
      <c r="R115" s="5" t="s">
        <v>48</v>
      </c>
      <c r="S115" s="5">
        <v>2774</v>
      </c>
      <c r="T115" s="5">
        <v>13257</v>
      </c>
      <c r="U115" s="5">
        <v>0</v>
      </c>
      <c r="V115" s="5" t="s">
        <v>42</v>
      </c>
      <c r="W115" s="5" t="s">
        <v>43</v>
      </c>
      <c r="X115" s="5">
        <v>12</v>
      </c>
      <c r="Y115" s="5">
        <v>3</v>
      </c>
      <c r="Z115" s="5">
        <v>3</v>
      </c>
      <c r="AA115" s="5">
        <v>80</v>
      </c>
      <c r="AB115" s="5">
        <v>1</v>
      </c>
      <c r="AC115" s="5">
        <v>6</v>
      </c>
      <c r="AD115" s="5">
        <v>2</v>
      </c>
      <c r="AE115" s="5">
        <v>3</v>
      </c>
      <c r="AF115" s="5">
        <v>5</v>
      </c>
      <c r="AG115" s="5">
        <v>3</v>
      </c>
      <c r="AH115" s="5">
        <v>1</v>
      </c>
      <c r="AI115" s="5">
        <v>2</v>
      </c>
    </row>
    <row r="116" spans="1:35" x14ac:dyDescent="0.25">
      <c r="A116" s="5">
        <v>34</v>
      </c>
      <c r="B116" s="5" t="s">
        <v>43</v>
      </c>
      <c r="C116" s="5" t="s">
        <v>36</v>
      </c>
      <c r="D116" s="5">
        <v>1031</v>
      </c>
      <c r="E116" s="5" t="s">
        <v>45</v>
      </c>
      <c r="F116" s="5">
        <v>6</v>
      </c>
      <c r="G116" s="5">
        <v>4</v>
      </c>
      <c r="H116" s="5" t="s">
        <v>38</v>
      </c>
      <c r="I116" s="5">
        <v>1</v>
      </c>
      <c r="J116" s="5">
        <v>151</v>
      </c>
      <c r="K116" s="5">
        <v>3</v>
      </c>
      <c r="L116" s="5" t="s">
        <v>39</v>
      </c>
      <c r="M116" s="5">
        <v>45</v>
      </c>
      <c r="N116" s="5">
        <v>2</v>
      </c>
      <c r="O116" s="5">
        <v>2</v>
      </c>
      <c r="P116" s="5" t="s">
        <v>47</v>
      </c>
      <c r="Q116" s="5">
        <v>2</v>
      </c>
      <c r="R116" s="5" t="s">
        <v>52</v>
      </c>
      <c r="S116" s="5">
        <v>4505</v>
      </c>
      <c r="T116" s="5">
        <v>15000</v>
      </c>
      <c r="U116" s="5">
        <v>6</v>
      </c>
      <c r="V116" s="5" t="s">
        <v>42</v>
      </c>
      <c r="W116" s="5" t="s">
        <v>43</v>
      </c>
      <c r="X116" s="5">
        <v>15</v>
      </c>
      <c r="Y116" s="5">
        <v>3</v>
      </c>
      <c r="Z116" s="5">
        <v>3</v>
      </c>
      <c r="AA116" s="5">
        <v>80</v>
      </c>
      <c r="AB116" s="5">
        <v>1</v>
      </c>
      <c r="AC116" s="5">
        <v>12</v>
      </c>
      <c r="AD116" s="5">
        <v>3</v>
      </c>
      <c r="AE116" s="5">
        <v>3</v>
      </c>
      <c r="AF116" s="5">
        <v>1</v>
      </c>
      <c r="AG116" s="5">
        <v>0</v>
      </c>
      <c r="AH116" s="5">
        <v>0</v>
      </c>
      <c r="AI116" s="5">
        <v>0</v>
      </c>
    </row>
    <row r="117" spans="1:35" x14ac:dyDescent="0.25">
      <c r="A117" s="5">
        <v>37</v>
      </c>
      <c r="B117" s="5" t="s">
        <v>43</v>
      </c>
      <c r="C117" s="5" t="s">
        <v>36</v>
      </c>
      <c r="D117" s="5">
        <v>1189</v>
      </c>
      <c r="E117" s="5" t="s">
        <v>37</v>
      </c>
      <c r="F117" s="5">
        <v>3</v>
      </c>
      <c r="G117" s="5">
        <v>3</v>
      </c>
      <c r="H117" s="5" t="s">
        <v>38</v>
      </c>
      <c r="I117" s="5">
        <v>1</v>
      </c>
      <c r="J117" s="5">
        <v>152</v>
      </c>
      <c r="K117" s="5">
        <v>3</v>
      </c>
      <c r="L117" s="5" t="s">
        <v>46</v>
      </c>
      <c r="M117" s="5">
        <v>87</v>
      </c>
      <c r="N117" s="5">
        <v>3</v>
      </c>
      <c r="O117" s="5">
        <v>3</v>
      </c>
      <c r="P117" s="5" t="s">
        <v>40</v>
      </c>
      <c r="Q117" s="5">
        <v>4</v>
      </c>
      <c r="R117" s="5" t="s">
        <v>41</v>
      </c>
      <c r="S117" s="5">
        <v>7428</v>
      </c>
      <c r="T117" s="5">
        <v>14506</v>
      </c>
      <c r="U117" s="5">
        <v>2</v>
      </c>
      <c r="V117" s="5" t="s">
        <v>42</v>
      </c>
      <c r="W117" s="5" t="s">
        <v>43</v>
      </c>
      <c r="X117" s="5">
        <v>12</v>
      </c>
      <c r="Y117" s="5">
        <v>3</v>
      </c>
      <c r="Z117" s="5">
        <v>1</v>
      </c>
      <c r="AA117" s="5">
        <v>80</v>
      </c>
      <c r="AB117" s="5">
        <v>0</v>
      </c>
      <c r="AC117" s="5">
        <v>12</v>
      </c>
      <c r="AD117" s="5">
        <v>3</v>
      </c>
      <c r="AE117" s="5">
        <v>3</v>
      </c>
      <c r="AF117" s="5">
        <v>5</v>
      </c>
      <c r="AG117" s="5">
        <v>3</v>
      </c>
      <c r="AH117" s="5">
        <v>1</v>
      </c>
      <c r="AI117" s="5">
        <v>3</v>
      </c>
    </row>
    <row r="118" spans="1:35" x14ac:dyDescent="0.25">
      <c r="A118" s="5">
        <v>34</v>
      </c>
      <c r="B118" s="5" t="s">
        <v>43</v>
      </c>
      <c r="C118" s="5" t="s">
        <v>36</v>
      </c>
      <c r="D118" s="5">
        <v>1354</v>
      </c>
      <c r="E118" s="5" t="s">
        <v>45</v>
      </c>
      <c r="F118" s="5">
        <v>5</v>
      </c>
      <c r="G118" s="5">
        <v>3</v>
      </c>
      <c r="H118" s="5" t="s">
        <v>51</v>
      </c>
      <c r="I118" s="5">
        <v>1</v>
      </c>
      <c r="J118" s="5">
        <v>153</v>
      </c>
      <c r="K118" s="5">
        <v>3</v>
      </c>
      <c r="L118" s="5" t="s">
        <v>39</v>
      </c>
      <c r="M118" s="5">
        <v>45</v>
      </c>
      <c r="N118" s="5">
        <v>2</v>
      </c>
      <c r="O118" s="5">
        <v>3</v>
      </c>
      <c r="P118" s="5" t="s">
        <v>56</v>
      </c>
      <c r="Q118" s="5">
        <v>1</v>
      </c>
      <c r="R118" s="5" t="s">
        <v>41</v>
      </c>
      <c r="S118" s="5">
        <v>11631</v>
      </c>
      <c r="T118" s="5">
        <v>5615</v>
      </c>
      <c r="U118" s="5">
        <v>2</v>
      </c>
      <c r="V118" s="5" t="s">
        <v>42</v>
      </c>
      <c r="W118" s="5" t="s">
        <v>43</v>
      </c>
      <c r="X118" s="5">
        <v>12</v>
      </c>
      <c r="Y118" s="5">
        <v>3</v>
      </c>
      <c r="Z118" s="5">
        <v>4</v>
      </c>
      <c r="AA118" s="5">
        <v>80</v>
      </c>
      <c r="AB118" s="5">
        <v>0</v>
      </c>
      <c r="AC118" s="5">
        <v>14</v>
      </c>
      <c r="AD118" s="5">
        <v>6</v>
      </c>
      <c r="AE118" s="5">
        <v>3</v>
      </c>
      <c r="AF118" s="5">
        <v>11</v>
      </c>
      <c r="AG118" s="5">
        <v>10</v>
      </c>
      <c r="AH118" s="5">
        <v>5</v>
      </c>
      <c r="AI118" s="5">
        <v>8</v>
      </c>
    </row>
    <row r="119" spans="1:35" x14ac:dyDescent="0.25">
      <c r="A119" s="5">
        <v>36</v>
      </c>
      <c r="B119" s="5" t="s">
        <v>43</v>
      </c>
      <c r="C119" s="5" t="s">
        <v>44</v>
      </c>
      <c r="D119" s="5">
        <v>1467</v>
      </c>
      <c r="E119" s="5" t="s">
        <v>37</v>
      </c>
      <c r="F119" s="5">
        <v>11</v>
      </c>
      <c r="G119" s="5">
        <v>2</v>
      </c>
      <c r="H119" s="5" t="s">
        <v>60</v>
      </c>
      <c r="I119" s="5">
        <v>1</v>
      </c>
      <c r="J119" s="5">
        <v>154</v>
      </c>
      <c r="K119" s="5">
        <v>2</v>
      </c>
      <c r="L119" s="5" t="s">
        <v>39</v>
      </c>
      <c r="M119" s="5">
        <v>92</v>
      </c>
      <c r="N119" s="5">
        <v>3</v>
      </c>
      <c r="O119" s="5">
        <v>3</v>
      </c>
      <c r="P119" s="5" t="s">
        <v>40</v>
      </c>
      <c r="Q119" s="5">
        <v>4</v>
      </c>
      <c r="R119" s="5" t="s">
        <v>48</v>
      </c>
      <c r="S119" s="5">
        <v>9738</v>
      </c>
      <c r="T119" s="5">
        <v>22952</v>
      </c>
      <c r="U119" s="5">
        <v>0</v>
      </c>
      <c r="V119" s="5" t="s">
        <v>42</v>
      </c>
      <c r="W119" s="5" t="s">
        <v>43</v>
      </c>
      <c r="X119" s="5">
        <v>14</v>
      </c>
      <c r="Y119" s="5">
        <v>3</v>
      </c>
      <c r="Z119" s="5">
        <v>3</v>
      </c>
      <c r="AA119" s="5">
        <v>80</v>
      </c>
      <c r="AB119" s="5">
        <v>1</v>
      </c>
      <c r="AC119" s="5">
        <v>10</v>
      </c>
      <c r="AD119" s="5">
        <v>6</v>
      </c>
      <c r="AE119" s="5">
        <v>3</v>
      </c>
      <c r="AF119" s="5">
        <v>9</v>
      </c>
      <c r="AG119" s="5">
        <v>7</v>
      </c>
      <c r="AH119" s="5">
        <v>2</v>
      </c>
      <c r="AI119" s="5">
        <v>8</v>
      </c>
    </row>
    <row r="120" spans="1:35" x14ac:dyDescent="0.25">
      <c r="A120" s="5">
        <v>36</v>
      </c>
      <c r="B120" s="5" t="s">
        <v>43</v>
      </c>
      <c r="C120" s="5" t="s">
        <v>36</v>
      </c>
      <c r="D120" s="5">
        <v>922</v>
      </c>
      <c r="E120" s="5" t="s">
        <v>45</v>
      </c>
      <c r="F120" s="5">
        <v>3</v>
      </c>
      <c r="G120" s="5">
        <v>2</v>
      </c>
      <c r="H120" s="5" t="s">
        <v>38</v>
      </c>
      <c r="I120" s="5">
        <v>1</v>
      </c>
      <c r="J120" s="5">
        <v>155</v>
      </c>
      <c r="K120" s="5">
        <v>1</v>
      </c>
      <c r="L120" s="5" t="s">
        <v>39</v>
      </c>
      <c r="M120" s="5">
        <v>39</v>
      </c>
      <c r="N120" s="5">
        <v>3</v>
      </c>
      <c r="O120" s="5">
        <v>1</v>
      </c>
      <c r="P120" s="5" t="s">
        <v>50</v>
      </c>
      <c r="Q120" s="5">
        <v>4</v>
      </c>
      <c r="R120" s="5" t="s">
        <v>52</v>
      </c>
      <c r="S120" s="5">
        <v>2835</v>
      </c>
      <c r="T120" s="5">
        <v>2561</v>
      </c>
      <c r="U120" s="5">
        <v>5</v>
      </c>
      <c r="V120" s="5" t="s">
        <v>42</v>
      </c>
      <c r="W120" s="5" t="s">
        <v>43</v>
      </c>
      <c r="X120" s="5">
        <v>22</v>
      </c>
      <c r="Y120" s="5">
        <v>4</v>
      </c>
      <c r="Z120" s="5">
        <v>1</v>
      </c>
      <c r="AA120" s="5">
        <v>80</v>
      </c>
      <c r="AB120" s="5">
        <v>1</v>
      </c>
      <c r="AC120" s="5">
        <v>7</v>
      </c>
      <c r="AD120" s="5">
        <v>2</v>
      </c>
      <c r="AE120" s="5">
        <v>3</v>
      </c>
      <c r="AF120" s="5">
        <v>1</v>
      </c>
      <c r="AG120" s="5">
        <v>0</v>
      </c>
      <c r="AH120" s="5">
        <v>0</v>
      </c>
      <c r="AI120" s="5">
        <v>0</v>
      </c>
    </row>
    <row r="121" spans="1:35" x14ac:dyDescent="0.25">
      <c r="A121" s="5">
        <v>43</v>
      </c>
      <c r="B121" s="5" t="s">
        <v>43</v>
      </c>
      <c r="C121" s="5" t="s">
        <v>44</v>
      </c>
      <c r="D121" s="5">
        <v>394</v>
      </c>
      <c r="E121" s="5" t="s">
        <v>37</v>
      </c>
      <c r="F121" s="5">
        <v>26</v>
      </c>
      <c r="G121" s="5">
        <v>2</v>
      </c>
      <c r="H121" s="5" t="s">
        <v>38</v>
      </c>
      <c r="I121" s="5">
        <v>1</v>
      </c>
      <c r="J121" s="5">
        <v>158</v>
      </c>
      <c r="K121" s="5">
        <v>3</v>
      </c>
      <c r="L121" s="5" t="s">
        <v>46</v>
      </c>
      <c r="M121" s="5">
        <v>92</v>
      </c>
      <c r="N121" s="5">
        <v>3</v>
      </c>
      <c r="O121" s="5">
        <v>4</v>
      </c>
      <c r="P121" s="5" t="s">
        <v>56</v>
      </c>
      <c r="Q121" s="5">
        <v>4</v>
      </c>
      <c r="R121" s="5" t="s">
        <v>48</v>
      </c>
      <c r="S121" s="5">
        <v>16959</v>
      </c>
      <c r="T121" s="5">
        <v>19494</v>
      </c>
      <c r="U121" s="5">
        <v>1</v>
      </c>
      <c r="V121" s="5" t="s">
        <v>42</v>
      </c>
      <c r="W121" s="5" t="s">
        <v>35</v>
      </c>
      <c r="X121" s="5">
        <v>12</v>
      </c>
      <c r="Y121" s="5">
        <v>3</v>
      </c>
      <c r="Z121" s="5">
        <v>4</v>
      </c>
      <c r="AA121" s="5">
        <v>80</v>
      </c>
      <c r="AB121" s="5">
        <v>2</v>
      </c>
      <c r="AC121" s="5">
        <v>25</v>
      </c>
      <c r="AD121" s="5">
        <v>3</v>
      </c>
      <c r="AE121" s="5">
        <v>4</v>
      </c>
      <c r="AF121" s="5">
        <v>25</v>
      </c>
      <c r="AG121" s="5">
        <v>12</v>
      </c>
      <c r="AH121" s="5">
        <v>4</v>
      </c>
      <c r="AI121" s="5">
        <v>12</v>
      </c>
    </row>
    <row r="122" spans="1:35" x14ac:dyDescent="0.25">
      <c r="A122" s="5">
        <v>30</v>
      </c>
      <c r="B122" s="5" t="s">
        <v>43</v>
      </c>
      <c r="C122" s="5" t="s">
        <v>44</v>
      </c>
      <c r="D122" s="5">
        <v>1312</v>
      </c>
      <c r="E122" s="5" t="s">
        <v>45</v>
      </c>
      <c r="F122" s="5">
        <v>23</v>
      </c>
      <c r="G122" s="5">
        <v>3</v>
      </c>
      <c r="H122" s="5" t="s">
        <v>38</v>
      </c>
      <c r="I122" s="5">
        <v>1</v>
      </c>
      <c r="J122" s="5">
        <v>159</v>
      </c>
      <c r="K122" s="5">
        <v>1</v>
      </c>
      <c r="L122" s="5" t="s">
        <v>46</v>
      </c>
      <c r="M122" s="5">
        <v>96</v>
      </c>
      <c r="N122" s="5">
        <v>1</v>
      </c>
      <c r="O122" s="5">
        <v>1</v>
      </c>
      <c r="P122" s="5" t="s">
        <v>47</v>
      </c>
      <c r="Q122" s="5">
        <v>3</v>
      </c>
      <c r="R122" s="5" t="s">
        <v>52</v>
      </c>
      <c r="S122" s="5">
        <v>2613</v>
      </c>
      <c r="T122" s="5">
        <v>22310</v>
      </c>
      <c r="U122" s="5">
        <v>1</v>
      </c>
      <c r="V122" s="5" t="s">
        <v>42</v>
      </c>
      <c r="W122" s="5" t="s">
        <v>43</v>
      </c>
      <c r="X122" s="5">
        <v>25</v>
      </c>
      <c r="Y122" s="5">
        <v>4</v>
      </c>
      <c r="Z122" s="5">
        <v>3</v>
      </c>
      <c r="AA122" s="5">
        <v>80</v>
      </c>
      <c r="AB122" s="5">
        <v>3</v>
      </c>
      <c r="AC122" s="5">
        <v>10</v>
      </c>
      <c r="AD122" s="5">
        <v>2</v>
      </c>
      <c r="AE122" s="5">
        <v>2</v>
      </c>
      <c r="AF122" s="5">
        <v>10</v>
      </c>
      <c r="AG122" s="5">
        <v>7</v>
      </c>
      <c r="AH122" s="5">
        <v>0</v>
      </c>
      <c r="AI122" s="5">
        <v>9</v>
      </c>
    </row>
    <row r="123" spans="1:35" x14ac:dyDescent="0.25">
      <c r="A123" s="5">
        <v>33</v>
      </c>
      <c r="B123" s="5" t="s">
        <v>43</v>
      </c>
      <c r="C123" s="5" t="s">
        <v>55</v>
      </c>
      <c r="D123" s="5">
        <v>750</v>
      </c>
      <c r="E123" s="5" t="s">
        <v>37</v>
      </c>
      <c r="F123" s="5">
        <v>22</v>
      </c>
      <c r="G123" s="5">
        <v>2</v>
      </c>
      <c r="H123" s="5" t="s">
        <v>59</v>
      </c>
      <c r="I123" s="5">
        <v>1</v>
      </c>
      <c r="J123" s="5">
        <v>160</v>
      </c>
      <c r="K123" s="5">
        <v>3</v>
      </c>
      <c r="L123" s="5" t="s">
        <v>46</v>
      </c>
      <c r="M123" s="5">
        <v>95</v>
      </c>
      <c r="N123" s="5">
        <v>3</v>
      </c>
      <c r="O123" s="5">
        <v>2</v>
      </c>
      <c r="P123" s="5" t="s">
        <v>40</v>
      </c>
      <c r="Q123" s="5">
        <v>2</v>
      </c>
      <c r="R123" s="5" t="s">
        <v>48</v>
      </c>
      <c r="S123" s="5">
        <v>6146</v>
      </c>
      <c r="T123" s="5">
        <v>15480</v>
      </c>
      <c r="U123" s="5">
        <v>0</v>
      </c>
      <c r="V123" s="5" t="s">
        <v>42</v>
      </c>
      <c r="W123" s="5" t="s">
        <v>43</v>
      </c>
      <c r="X123" s="5">
        <v>13</v>
      </c>
      <c r="Y123" s="5">
        <v>3</v>
      </c>
      <c r="Z123" s="5">
        <v>1</v>
      </c>
      <c r="AA123" s="5">
        <v>80</v>
      </c>
      <c r="AB123" s="5">
        <v>1</v>
      </c>
      <c r="AC123" s="5">
        <v>8</v>
      </c>
      <c r="AD123" s="5">
        <v>2</v>
      </c>
      <c r="AE123" s="5">
        <v>4</v>
      </c>
      <c r="AF123" s="5">
        <v>7</v>
      </c>
      <c r="AG123" s="5">
        <v>7</v>
      </c>
      <c r="AH123" s="5">
        <v>0</v>
      </c>
      <c r="AI123" s="5">
        <v>7</v>
      </c>
    </row>
    <row r="124" spans="1:35" x14ac:dyDescent="0.25">
      <c r="A124" s="5">
        <v>56</v>
      </c>
      <c r="B124" s="5" t="s">
        <v>35</v>
      </c>
      <c r="C124" s="5" t="s">
        <v>36</v>
      </c>
      <c r="D124" s="5">
        <v>441</v>
      </c>
      <c r="E124" s="5" t="s">
        <v>45</v>
      </c>
      <c r="F124" s="5">
        <v>14</v>
      </c>
      <c r="G124" s="5">
        <v>4</v>
      </c>
      <c r="H124" s="5" t="s">
        <v>38</v>
      </c>
      <c r="I124" s="5">
        <v>1</v>
      </c>
      <c r="J124" s="5">
        <v>161</v>
      </c>
      <c r="K124" s="5">
        <v>2</v>
      </c>
      <c r="L124" s="5" t="s">
        <v>39</v>
      </c>
      <c r="M124" s="5">
        <v>72</v>
      </c>
      <c r="N124" s="5">
        <v>3</v>
      </c>
      <c r="O124" s="5">
        <v>1</v>
      </c>
      <c r="P124" s="5" t="s">
        <v>47</v>
      </c>
      <c r="Q124" s="5">
        <v>2</v>
      </c>
      <c r="R124" s="5" t="s">
        <v>48</v>
      </c>
      <c r="S124" s="5">
        <v>4963</v>
      </c>
      <c r="T124" s="5">
        <v>4510</v>
      </c>
      <c r="U124" s="5">
        <v>9</v>
      </c>
      <c r="V124" s="5" t="s">
        <v>42</v>
      </c>
      <c r="W124" s="5" t="s">
        <v>35</v>
      </c>
      <c r="X124" s="5">
        <v>18</v>
      </c>
      <c r="Y124" s="5">
        <v>3</v>
      </c>
      <c r="Z124" s="5">
        <v>1</v>
      </c>
      <c r="AA124" s="5">
        <v>80</v>
      </c>
      <c r="AB124" s="5">
        <v>3</v>
      </c>
      <c r="AC124" s="5">
        <v>7</v>
      </c>
      <c r="AD124" s="5">
        <v>2</v>
      </c>
      <c r="AE124" s="5">
        <v>3</v>
      </c>
      <c r="AF124" s="5">
        <v>5</v>
      </c>
      <c r="AG124" s="5">
        <v>4</v>
      </c>
      <c r="AH124" s="5">
        <v>4</v>
      </c>
      <c r="AI124" s="5">
        <v>3</v>
      </c>
    </row>
    <row r="125" spans="1:35" x14ac:dyDescent="0.25">
      <c r="A125" s="5">
        <v>51</v>
      </c>
      <c r="B125" s="5" t="s">
        <v>43</v>
      </c>
      <c r="C125" s="5" t="s">
        <v>36</v>
      </c>
      <c r="D125" s="5">
        <v>684</v>
      </c>
      <c r="E125" s="5" t="s">
        <v>45</v>
      </c>
      <c r="F125" s="5">
        <v>6</v>
      </c>
      <c r="G125" s="5">
        <v>3</v>
      </c>
      <c r="H125" s="5" t="s">
        <v>38</v>
      </c>
      <c r="I125" s="5">
        <v>1</v>
      </c>
      <c r="J125" s="5">
        <v>162</v>
      </c>
      <c r="K125" s="5">
        <v>1</v>
      </c>
      <c r="L125" s="5" t="s">
        <v>46</v>
      </c>
      <c r="M125" s="5">
        <v>51</v>
      </c>
      <c r="N125" s="5">
        <v>3</v>
      </c>
      <c r="O125" s="5">
        <v>5</v>
      </c>
      <c r="P125" s="5" t="s">
        <v>58</v>
      </c>
      <c r="Q125" s="5">
        <v>3</v>
      </c>
      <c r="R125" s="5" t="s">
        <v>41</v>
      </c>
      <c r="S125" s="5">
        <v>19537</v>
      </c>
      <c r="T125" s="5">
        <v>6462</v>
      </c>
      <c r="U125" s="5">
        <v>7</v>
      </c>
      <c r="V125" s="5" t="s">
        <v>42</v>
      </c>
      <c r="W125" s="5" t="s">
        <v>43</v>
      </c>
      <c r="X125" s="5">
        <v>13</v>
      </c>
      <c r="Y125" s="5">
        <v>3</v>
      </c>
      <c r="Z125" s="5">
        <v>3</v>
      </c>
      <c r="AA125" s="5">
        <v>80</v>
      </c>
      <c r="AB125" s="5">
        <v>0</v>
      </c>
      <c r="AC125" s="5">
        <v>23</v>
      </c>
      <c r="AD125" s="5">
        <v>5</v>
      </c>
      <c r="AE125" s="5">
        <v>3</v>
      </c>
      <c r="AF125" s="5">
        <v>20</v>
      </c>
      <c r="AG125" s="5">
        <v>18</v>
      </c>
      <c r="AH125" s="5">
        <v>15</v>
      </c>
      <c r="AI125" s="5">
        <v>15</v>
      </c>
    </row>
    <row r="126" spans="1:35" x14ac:dyDescent="0.25">
      <c r="A126" s="5">
        <v>31</v>
      </c>
      <c r="B126" s="5" t="s">
        <v>35</v>
      </c>
      <c r="C126" s="5" t="s">
        <v>36</v>
      </c>
      <c r="D126" s="5">
        <v>249</v>
      </c>
      <c r="E126" s="5" t="s">
        <v>37</v>
      </c>
      <c r="F126" s="5">
        <v>6</v>
      </c>
      <c r="G126" s="5">
        <v>4</v>
      </c>
      <c r="H126" s="5" t="s">
        <v>38</v>
      </c>
      <c r="I126" s="5">
        <v>1</v>
      </c>
      <c r="J126" s="5">
        <v>163</v>
      </c>
      <c r="K126" s="5">
        <v>2</v>
      </c>
      <c r="L126" s="5" t="s">
        <v>46</v>
      </c>
      <c r="M126" s="5">
        <v>76</v>
      </c>
      <c r="N126" s="5">
        <v>1</v>
      </c>
      <c r="O126" s="5">
        <v>2</v>
      </c>
      <c r="P126" s="5" t="s">
        <v>40</v>
      </c>
      <c r="Q126" s="5">
        <v>3</v>
      </c>
      <c r="R126" s="5" t="s">
        <v>48</v>
      </c>
      <c r="S126" s="5">
        <v>6172</v>
      </c>
      <c r="T126" s="5">
        <v>20739</v>
      </c>
      <c r="U126" s="5">
        <v>4</v>
      </c>
      <c r="V126" s="5" t="s">
        <v>42</v>
      </c>
      <c r="W126" s="5" t="s">
        <v>35</v>
      </c>
      <c r="X126" s="5">
        <v>18</v>
      </c>
      <c r="Y126" s="5">
        <v>3</v>
      </c>
      <c r="Z126" s="5">
        <v>2</v>
      </c>
      <c r="AA126" s="5">
        <v>80</v>
      </c>
      <c r="AB126" s="5">
        <v>0</v>
      </c>
      <c r="AC126" s="5">
        <v>12</v>
      </c>
      <c r="AD126" s="5">
        <v>3</v>
      </c>
      <c r="AE126" s="5">
        <v>2</v>
      </c>
      <c r="AF126" s="5">
        <v>7</v>
      </c>
      <c r="AG126" s="5">
        <v>7</v>
      </c>
      <c r="AH126" s="5">
        <v>7</v>
      </c>
      <c r="AI126" s="5">
        <v>7</v>
      </c>
    </row>
    <row r="127" spans="1:35" x14ac:dyDescent="0.25">
      <c r="A127" s="5">
        <v>26</v>
      </c>
      <c r="B127" s="5" t="s">
        <v>43</v>
      </c>
      <c r="C127" s="5" t="s">
        <v>36</v>
      </c>
      <c r="D127" s="5">
        <v>841</v>
      </c>
      <c r="E127" s="5" t="s">
        <v>45</v>
      </c>
      <c r="F127" s="5">
        <v>6</v>
      </c>
      <c r="G127" s="5">
        <v>3</v>
      </c>
      <c r="H127" s="5" t="s">
        <v>49</v>
      </c>
      <c r="I127" s="5">
        <v>1</v>
      </c>
      <c r="J127" s="5">
        <v>164</v>
      </c>
      <c r="K127" s="5">
        <v>3</v>
      </c>
      <c r="L127" s="5" t="s">
        <v>39</v>
      </c>
      <c r="M127" s="5">
        <v>46</v>
      </c>
      <c r="N127" s="5">
        <v>2</v>
      </c>
      <c r="O127" s="5">
        <v>1</v>
      </c>
      <c r="P127" s="5" t="s">
        <v>47</v>
      </c>
      <c r="Q127" s="5">
        <v>2</v>
      </c>
      <c r="R127" s="5" t="s">
        <v>48</v>
      </c>
      <c r="S127" s="5">
        <v>2368</v>
      </c>
      <c r="T127" s="5">
        <v>23300</v>
      </c>
      <c r="U127" s="5">
        <v>1</v>
      </c>
      <c r="V127" s="5" t="s">
        <v>42</v>
      </c>
      <c r="W127" s="5" t="s">
        <v>43</v>
      </c>
      <c r="X127" s="5">
        <v>19</v>
      </c>
      <c r="Y127" s="5">
        <v>3</v>
      </c>
      <c r="Z127" s="5">
        <v>3</v>
      </c>
      <c r="AA127" s="5">
        <v>80</v>
      </c>
      <c r="AB127" s="5">
        <v>0</v>
      </c>
      <c r="AC127" s="5">
        <v>5</v>
      </c>
      <c r="AD127" s="5">
        <v>3</v>
      </c>
      <c r="AE127" s="5">
        <v>2</v>
      </c>
      <c r="AF127" s="5">
        <v>5</v>
      </c>
      <c r="AG127" s="5">
        <v>4</v>
      </c>
      <c r="AH127" s="5">
        <v>4</v>
      </c>
      <c r="AI127" s="5">
        <v>3</v>
      </c>
    </row>
    <row r="128" spans="1:35" x14ac:dyDescent="0.25">
      <c r="A128" s="5">
        <v>58</v>
      </c>
      <c r="B128" s="5" t="s">
        <v>35</v>
      </c>
      <c r="C128" s="5" t="s">
        <v>36</v>
      </c>
      <c r="D128" s="5">
        <v>147</v>
      </c>
      <c r="E128" s="5" t="s">
        <v>45</v>
      </c>
      <c r="F128" s="5">
        <v>23</v>
      </c>
      <c r="G128" s="5">
        <v>4</v>
      </c>
      <c r="H128" s="5" t="s">
        <v>51</v>
      </c>
      <c r="I128" s="5">
        <v>1</v>
      </c>
      <c r="J128" s="5">
        <v>165</v>
      </c>
      <c r="K128" s="5">
        <v>4</v>
      </c>
      <c r="L128" s="5" t="s">
        <v>39</v>
      </c>
      <c r="M128" s="5">
        <v>94</v>
      </c>
      <c r="N128" s="5">
        <v>3</v>
      </c>
      <c r="O128" s="5">
        <v>3</v>
      </c>
      <c r="P128" s="5" t="s">
        <v>54</v>
      </c>
      <c r="Q128" s="5">
        <v>4</v>
      </c>
      <c r="R128" s="5" t="s">
        <v>48</v>
      </c>
      <c r="S128" s="5">
        <v>10312</v>
      </c>
      <c r="T128" s="5">
        <v>3465</v>
      </c>
      <c r="U128" s="5">
        <v>1</v>
      </c>
      <c r="V128" s="5" t="s">
        <v>42</v>
      </c>
      <c r="W128" s="5" t="s">
        <v>43</v>
      </c>
      <c r="X128" s="5">
        <v>12</v>
      </c>
      <c r="Y128" s="5">
        <v>3</v>
      </c>
      <c r="Z128" s="5">
        <v>4</v>
      </c>
      <c r="AA128" s="5">
        <v>80</v>
      </c>
      <c r="AB128" s="5">
        <v>1</v>
      </c>
      <c r="AC128" s="5">
        <v>40</v>
      </c>
      <c r="AD128" s="5">
        <v>3</v>
      </c>
      <c r="AE128" s="5">
        <v>2</v>
      </c>
      <c r="AF128" s="5">
        <v>40</v>
      </c>
      <c r="AG128" s="5">
        <v>10</v>
      </c>
      <c r="AH128" s="5">
        <v>15</v>
      </c>
      <c r="AI128" s="5">
        <v>6</v>
      </c>
    </row>
    <row r="129" spans="1:35" x14ac:dyDescent="0.25">
      <c r="A129" s="5">
        <v>19</v>
      </c>
      <c r="B129" s="5" t="s">
        <v>35</v>
      </c>
      <c r="C129" s="5" t="s">
        <v>36</v>
      </c>
      <c r="D129" s="5">
        <v>528</v>
      </c>
      <c r="E129" s="5" t="s">
        <v>37</v>
      </c>
      <c r="F129" s="5">
        <v>22</v>
      </c>
      <c r="G129" s="5">
        <v>1</v>
      </c>
      <c r="H129" s="5" t="s">
        <v>59</v>
      </c>
      <c r="I129" s="5">
        <v>1</v>
      </c>
      <c r="J129" s="5">
        <v>167</v>
      </c>
      <c r="K129" s="5">
        <v>4</v>
      </c>
      <c r="L129" s="5" t="s">
        <v>46</v>
      </c>
      <c r="M129" s="5">
        <v>50</v>
      </c>
      <c r="N129" s="5">
        <v>3</v>
      </c>
      <c r="O129" s="5">
        <v>1</v>
      </c>
      <c r="P129" s="5" t="s">
        <v>57</v>
      </c>
      <c r="Q129" s="5">
        <v>3</v>
      </c>
      <c r="R129" s="5" t="s">
        <v>41</v>
      </c>
      <c r="S129" s="5">
        <v>1675</v>
      </c>
      <c r="T129" s="5">
        <v>26820</v>
      </c>
      <c r="U129" s="5">
        <v>1</v>
      </c>
      <c r="V129" s="5" t="s">
        <v>42</v>
      </c>
      <c r="W129" s="5" t="s">
        <v>35</v>
      </c>
      <c r="X129" s="5">
        <v>19</v>
      </c>
      <c r="Y129" s="5">
        <v>3</v>
      </c>
      <c r="Z129" s="5">
        <v>4</v>
      </c>
      <c r="AA129" s="5">
        <v>80</v>
      </c>
      <c r="AB129" s="5">
        <v>0</v>
      </c>
      <c r="AC129" s="5">
        <v>0</v>
      </c>
      <c r="AD129" s="5">
        <v>2</v>
      </c>
      <c r="AE129" s="5">
        <v>2</v>
      </c>
      <c r="AF129" s="5">
        <v>0</v>
      </c>
      <c r="AG129" s="5">
        <v>0</v>
      </c>
      <c r="AH129" s="5">
        <v>0</v>
      </c>
      <c r="AI129" s="5">
        <v>0</v>
      </c>
    </row>
    <row r="130" spans="1:35" x14ac:dyDescent="0.25">
      <c r="A130" s="5">
        <v>22</v>
      </c>
      <c r="B130" s="5" t="s">
        <v>43</v>
      </c>
      <c r="C130" s="5" t="s">
        <v>36</v>
      </c>
      <c r="D130" s="5">
        <v>594</v>
      </c>
      <c r="E130" s="5" t="s">
        <v>45</v>
      </c>
      <c r="F130" s="5">
        <v>2</v>
      </c>
      <c r="G130" s="5">
        <v>1</v>
      </c>
      <c r="H130" s="5" t="s">
        <v>60</v>
      </c>
      <c r="I130" s="5">
        <v>1</v>
      </c>
      <c r="J130" s="5">
        <v>169</v>
      </c>
      <c r="K130" s="5">
        <v>3</v>
      </c>
      <c r="L130" s="5" t="s">
        <v>46</v>
      </c>
      <c r="M130" s="5">
        <v>100</v>
      </c>
      <c r="N130" s="5">
        <v>3</v>
      </c>
      <c r="O130" s="5">
        <v>1</v>
      </c>
      <c r="P130" s="5" t="s">
        <v>50</v>
      </c>
      <c r="Q130" s="5">
        <v>4</v>
      </c>
      <c r="R130" s="5" t="s">
        <v>48</v>
      </c>
      <c r="S130" s="5">
        <v>2523</v>
      </c>
      <c r="T130" s="5">
        <v>19299</v>
      </c>
      <c r="U130" s="5">
        <v>0</v>
      </c>
      <c r="V130" s="5" t="s">
        <v>42</v>
      </c>
      <c r="W130" s="5" t="s">
        <v>43</v>
      </c>
      <c r="X130" s="5">
        <v>14</v>
      </c>
      <c r="Y130" s="5">
        <v>3</v>
      </c>
      <c r="Z130" s="5">
        <v>3</v>
      </c>
      <c r="AA130" s="5">
        <v>80</v>
      </c>
      <c r="AB130" s="5">
        <v>1</v>
      </c>
      <c r="AC130" s="5">
        <v>3</v>
      </c>
      <c r="AD130" s="5">
        <v>2</v>
      </c>
      <c r="AE130" s="5">
        <v>3</v>
      </c>
      <c r="AF130" s="5">
        <v>2</v>
      </c>
      <c r="AG130" s="5">
        <v>1</v>
      </c>
      <c r="AH130" s="5">
        <v>2</v>
      </c>
      <c r="AI130" s="5">
        <v>1</v>
      </c>
    </row>
    <row r="131" spans="1:35" x14ac:dyDescent="0.25">
      <c r="A131" s="5">
        <v>49</v>
      </c>
      <c r="B131" s="5" t="s">
        <v>43</v>
      </c>
      <c r="C131" s="5" t="s">
        <v>36</v>
      </c>
      <c r="D131" s="5">
        <v>470</v>
      </c>
      <c r="E131" s="5" t="s">
        <v>45</v>
      </c>
      <c r="F131" s="5">
        <v>20</v>
      </c>
      <c r="G131" s="5">
        <v>4</v>
      </c>
      <c r="H131" s="5" t="s">
        <v>51</v>
      </c>
      <c r="I131" s="5">
        <v>1</v>
      </c>
      <c r="J131" s="5">
        <v>170</v>
      </c>
      <c r="K131" s="5">
        <v>3</v>
      </c>
      <c r="L131" s="5" t="s">
        <v>39</v>
      </c>
      <c r="M131" s="5">
        <v>96</v>
      </c>
      <c r="N131" s="5">
        <v>3</v>
      </c>
      <c r="O131" s="5">
        <v>2</v>
      </c>
      <c r="P131" s="5" t="s">
        <v>53</v>
      </c>
      <c r="Q131" s="5">
        <v>1</v>
      </c>
      <c r="R131" s="5" t="s">
        <v>48</v>
      </c>
      <c r="S131" s="5">
        <v>6567</v>
      </c>
      <c r="T131" s="5">
        <v>5549</v>
      </c>
      <c r="U131" s="5">
        <v>1</v>
      </c>
      <c r="V131" s="5" t="s">
        <v>42</v>
      </c>
      <c r="W131" s="5" t="s">
        <v>43</v>
      </c>
      <c r="X131" s="5">
        <v>14</v>
      </c>
      <c r="Y131" s="5">
        <v>3</v>
      </c>
      <c r="Z131" s="5">
        <v>3</v>
      </c>
      <c r="AA131" s="5">
        <v>80</v>
      </c>
      <c r="AB131" s="5">
        <v>0</v>
      </c>
      <c r="AC131" s="5">
        <v>16</v>
      </c>
      <c r="AD131" s="5">
        <v>2</v>
      </c>
      <c r="AE131" s="5">
        <v>2</v>
      </c>
      <c r="AF131" s="5">
        <v>15</v>
      </c>
      <c r="AG131" s="5">
        <v>11</v>
      </c>
      <c r="AH131" s="5">
        <v>5</v>
      </c>
      <c r="AI131" s="5">
        <v>11</v>
      </c>
    </row>
    <row r="132" spans="1:35" x14ac:dyDescent="0.25">
      <c r="A132" s="5">
        <v>43</v>
      </c>
      <c r="B132" s="5" t="s">
        <v>43</v>
      </c>
      <c r="C132" s="5" t="s">
        <v>44</v>
      </c>
      <c r="D132" s="5">
        <v>957</v>
      </c>
      <c r="E132" s="5" t="s">
        <v>45</v>
      </c>
      <c r="F132" s="5">
        <v>28</v>
      </c>
      <c r="G132" s="5">
        <v>3</v>
      </c>
      <c r="H132" s="5" t="s">
        <v>51</v>
      </c>
      <c r="I132" s="5">
        <v>1</v>
      </c>
      <c r="J132" s="5">
        <v>171</v>
      </c>
      <c r="K132" s="5">
        <v>2</v>
      </c>
      <c r="L132" s="5" t="s">
        <v>39</v>
      </c>
      <c r="M132" s="5">
        <v>72</v>
      </c>
      <c r="N132" s="5">
        <v>4</v>
      </c>
      <c r="O132" s="5">
        <v>1</v>
      </c>
      <c r="P132" s="5" t="s">
        <v>47</v>
      </c>
      <c r="Q132" s="5">
        <v>3</v>
      </c>
      <c r="R132" s="5" t="s">
        <v>41</v>
      </c>
      <c r="S132" s="5">
        <v>4739</v>
      </c>
      <c r="T132" s="5">
        <v>16090</v>
      </c>
      <c r="U132" s="5">
        <v>4</v>
      </c>
      <c r="V132" s="5" t="s">
        <v>42</v>
      </c>
      <c r="W132" s="5" t="s">
        <v>43</v>
      </c>
      <c r="X132" s="5">
        <v>12</v>
      </c>
      <c r="Y132" s="5">
        <v>3</v>
      </c>
      <c r="Z132" s="5">
        <v>4</v>
      </c>
      <c r="AA132" s="5">
        <v>80</v>
      </c>
      <c r="AB132" s="5">
        <v>0</v>
      </c>
      <c r="AC132" s="5">
        <v>18</v>
      </c>
      <c r="AD132" s="5">
        <v>2</v>
      </c>
      <c r="AE132" s="5">
        <v>3</v>
      </c>
      <c r="AF132" s="5">
        <v>3</v>
      </c>
      <c r="AG132" s="5">
        <v>2</v>
      </c>
      <c r="AH132" s="5">
        <v>1</v>
      </c>
      <c r="AI132" s="5">
        <v>2</v>
      </c>
    </row>
    <row r="133" spans="1:35" x14ac:dyDescent="0.25">
      <c r="A133" s="5">
        <v>50</v>
      </c>
      <c r="B133" s="5" t="s">
        <v>43</v>
      </c>
      <c r="C133" s="5" t="s">
        <v>44</v>
      </c>
      <c r="D133" s="5">
        <v>809</v>
      </c>
      <c r="E133" s="5" t="s">
        <v>37</v>
      </c>
      <c r="F133" s="5">
        <v>12</v>
      </c>
      <c r="G133" s="5">
        <v>3</v>
      </c>
      <c r="H133" s="5" t="s">
        <v>59</v>
      </c>
      <c r="I133" s="5">
        <v>1</v>
      </c>
      <c r="J133" s="5">
        <v>174</v>
      </c>
      <c r="K133" s="5">
        <v>3</v>
      </c>
      <c r="L133" s="5" t="s">
        <v>39</v>
      </c>
      <c r="M133" s="5">
        <v>77</v>
      </c>
      <c r="N133" s="5">
        <v>3</v>
      </c>
      <c r="O133" s="5">
        <v>3</v>
      </c>
      <c r="P133" s="5" t="s">
        <v>40</v>
      </c>
      <c r="Q133" s="5">
        <v>4</v>
      </c>
      <c r="R133" s="5" t="s">
        <v>41</v>
      </c>
      <c r="S133" s="5">
        <v>9208</v>
      </c>
      <c r="T133" s="5">
        <v>6645</v>
      </c>
      <c r="U133" s="5">
        <v>4</v>
      </c>
      <c r="V133" s="5" t="s">
        <v>42</v>
      </c>
      <c r="W133" s="5" t="s">
        <v>43</v>
      </c>
      <c r="X133" s="5">
        <v>11</v>
      </c>
      <c r="Y133" s="5">
        <v>3</v>
      </c>
      <c r="Z133" s="5">
        <v>4</v>
      </c>
      <c r="AA133" s="5">
        <v>80</v>
      </c>
      <c r="AB133" s="5">
        <v>0</v>
      </c>
      <c r="AC133" s="5">
        <v>16</v>
      </c>
      <c r="AD133" s="5">
        <v>3</v>
      </c>
      <c r="AE133" s="5">
        <v>3</v>
      </c>
      <c r="AF133" s="5">
        <v>2</v>
      </c>
      <c r="AG133" s="5">
        <v>2</v>
      </c>
      <c r="AH133" s="5">
        <v>2</v>
      </c>
      <c r="AI133" s="5">
        <v>1</v>
      </c>
    </row>
    <row r="134" spans="1:35" x14ac:dyDescent="0.25">
      <c r="A134" s="5">
        <v>31</v>
      </c>
      <c r="B134" s="5" t="s">
        <v>35</v>
      </c>
      <c r="C134" s="5" t="s">
        <v>36</v>
      </c>
      <c r="D134" s="5">
        <v>542</v>
      </c>
      <c r="E134" s="5" t="s">
        <v>37</v>
      </c>
      <c r="F134" s="5">
        <v>20</v>
      </c>
      <c r="G134" s="5">
        <v>3</v>
      </c>
      <c r="H134" s="5" t="s">
        <v>38</v>
      </c>
      <c r="I134" s="5">
        <v>1</v>
      </c>
      <c r="J134" s="5">
        <v>175</v>
      </c>
      <c r="K134" s="5">
        <v>2</v>
      </c>
      <c r="L134" s="5" t="s">
        <v>39</v>
      </c>
      <c r="M134" s="5">
        <v>71</v>
      </c>
      <c r="N134" s="5">
        <v>1</v>
      </c>
      <c r="O134" s="5">
        <v>2</v>
      </c>
      <c r="P134" s="5" t="s">
        <v>40</v>
      </c>
      <c r="Q134" s="5">
        <v>3</v>
      </c>
      <c r="R134" s="5" t="s">
        <v>48</v>
      </c>
      <c r="S134" s="5">
        <v>4559</v>
      </c>
      <c r="T134" s="5">
        <v>24788</v>
      </c>
      <c r="U134" s="5">
        <v>3</v>
      </c>
      <c r="V134" s="5" t="s">
        <v>42</v>
      </c>
      <c r="W134" s="5" t="s">
        <v>35</v>
      </c>
      <c r="X134" s="5">
        <v>11</v>
      </c>
      <c r="Y134" s="5">
        <v>3</v>
      </c>
      <c r="Z134" s="5">
        <v>3</v>
      </c>
      <c r="AA134" s="5">
        <v>80</v>
      </c>
      <c r="AB134" s="5">
        <v>1</v>
      </c>
      <c r="AC134" s="5">
        <v>4</v>
      </c>
      <c r="AD134" s="5">
        <v>2</v>
      </c>
      <c r="AE134" s="5">
        <v>3</v>
      </c>
      <c r="AF134" s="5">
        <v>2</v>
      </c>
      <c r="AG134" s="5">
        <v>2</v>
      </c>
      <c r="AH134" s="5">
        <v>2</v>
      </c>
      <c r="AI134" s="5">
        <v>2</v>
      </c>
    </row>
    <row r="135" spans="1:35" x14ac:dyDescent="0.25">
      <c r="A135" s="5">
        <v>41</v>
      </c>
      <c r="B135" s="5" t="s">
        <v>43</v>
      </c>
      <c r="C135" s="5" t="s">
        <v>36</v>
      </c>
      <c r="D135" s="5">
        <v>802</v>
      </c>
      <c r="E135" s="5" t="s">
        <v>37</v>
      </c>
      <c r="F135" s="5">
        <v>9</v>
      </c>
      <c r="G135" s="5">
        <v>1</v>
      </c>
      <c r="H135" s="5" t="s">
        <v>38</v>
      </c>
      <c r="I135" s="5">
        <v>1</v>
      </c>
      <c r="J135" s="5">
        <v>176</v>
      </c>
      <c r="K135" s="5">
        <v>3</v>
      </c>
      <c r="L135" s="5" t="s">
        <v>46</v>
      </c>
      <c r="M135" s="5">
        <v>96</v>
      </c>
      <c r="N135" s="5">
        <v>3</v>
      </c>
      <c r="O135" s="5">
        <v>3</v>
      </c>
      <c r="P135" s="5" t="s">
        <v>40</v>
      </c>
      <c r="Q135" s="5">
        <v>3</v>
      </c>
      <c r="R135" s="5" t="s">
        <v>52</v>
      </c>
      <c r="S135" s="5">
        <v>8189</v>
      </c>
      <c r="T135" s="5">
        <v>21196</v>
      </c>
      <c r="U135" s="5">
        <v>3</v>
      </c>
      <c r="V135" s="5" t="s">
        <v>42</v>
      </c>
      <c r="W135" s="5" t="s">
        <v>35</v>
      </c>
      <c r="X135" s="5">
        <v>13</v>
      </c>
      <c r="Y135" s="5">
        <v>3</v>
      </c>
      <c r="Z135" s="5">
        <v>3</v>
      </c>
      <c r="AA135" s="5">
        <v>80</v>
      </c>
      <c r="AB135" s="5">
        <v>1</v>
      </c>
      <c r="AC135" s="5">
        <v>12</v>
      </c>
      <c r="AD135" s="5">
        <v>2</v>
      </c>
      <c r="AE135" s="5">
        <v>3</v>
      </c>
      <c r="AF135" s="5">
        <v>9</v>
      </c>
      <c r="AG135" s="5">
        <v>7</v>
      </c>
      <c r="AH135" s="5">
        <v>0</v>
      </c>
      <c r="AI135" s="5">
        <v>7</v>
      </c>
    </row>
    <row r="136" spans="1:35" x14ac:dyDescent="0.25">
      <c r="A136" s="5">
        <v>26</v>
      </c>
      <c r="B136" s="5" t="s">
        <v>43</v>
      </c>
      <c r="C136" s="5" t="s">
        <v>36</v>
      </c>
      <c r="D136" s="5">
        <v>1355</v>
      </c>
      <c r="E136" s="5" t="s">
        <v>61</v>
      </c>
      <c r="F136" s="5">
        <v>25</v>
      </c>
      <c r="G136" s="5">
        <v>1</v>
      </c>
      <c r="H136" s="5" t="s">
        <v>38</v>
      </c>
      <c r="I136" s="5">
        <v>1</v>
      </c>
      <c r="J136" s="5">
        <v>177</v>
      </c>
      <c r="K136" s="5">
        <v>3</v>
      </c>
      <c r="L136" s="5" t="s">
        <v>39</v>
      </c>
      <c r="M136" s="5">
        <v>61</v>
      </c>
      <c r="N136" s="5">
        <v>3</v>
      </c>
      <c r="O136" s="5">
        <v>1</v>
      </c>
      <c r="P136" s="5" t="s">
        <v>61</v>
      </c>
      <c r="Q136" s="5">
        <v>3</v>
      </c>
      <c r="R136" s="5" t="s">
        <v>48</v>
      </c>
      <c r="S136" s="5">
        <v>2942</v>
      </c>
      <c r="T136" s="5">
        <v>8916</v>
      </c>
      <c r="U136" s="5">
        <v>1</v>
      </c>
      <c r="V136" s="5" t="s">
        <v>42</v>
      </c>
      <c r="W136" s="5" t="s">
        <v>43</v>
      </c>
      <c r="X136" s="5">
        <v>23</v>
      </c>
      <c r="Y136" s="5">
        <v>4</v>
      </c>
      <c r="Z136" s="5">
        <v>4</v>
      </c>
      <c r="AA136" s="5">
        <v>80</v>
      </c>
      <c r="AB136" s="5">
        <v>1</v>
      </c>
      <c r="AC136" s="5">
        <v>8</v>
      </c>
      <c r="AD136" s="5">
        <v>3</v>
      </c>
      <c r="AE136" s="5">
        <v>3</v>
      </c>
      <c r="AF136" s="5">
        <v>8</v>
      </c>
      <c r="AG136" s="5">
        <v>7</v>
      </c>
      <c r="AH136" s="5">
        <v>5</v>
      </c>
      <c r="AI136" s="5">
        <v>7</v>
      </c>
    </row>
    <row r="137" spans="1:35" x14ac:dyDescent="0.25">
      <c r="A137" s="5">
        <v>36</v>
      </c>
      <c r="B137" s="5" t="s">
        <v>43</v>
      </c>
      <c r="C137" s="5" t="s">
        <v>36</v>
      </c>
      <c r="D137" s="5">
        <v>216</v>
      </c>
      <c r="E137" s="5" t="s">
        <v>45</v>
      </c>
      <c r="F137" s="5">
        <v>6</v>
      </c>
      <c r="G137" s="5">
        <v>2</v>
      </c>
      <c r="H137" s="5" t="s">
        <v>51</v>
      </c>
      <c r="I137" s="5">
        <v>1</v>
      </c>
      <c r="J137" s="5">
        <v>178</v>
      </c>
      <c r="K137" s="5">
        <v>2</v>
      </c>
      <c r="L137" s="5" t="s">
        <v>46</v>
      </c>
      <c r="M137" s="5">
        <v>84</v>
      </c>
      <c r="N137" s="5">
        <v>3</v>
      </c>
      <c r="O137" s="5">
        <v>2</v>
      </c>
      <c r="P137" s="5" t="s">
        <v>53</v>
      </c>
      <c r="Q137" s="5">
        <v>2</v>
      </c>
      <c r="R137" s="5" t="s">
        <v>52</v>
      </c>
      <c r="S137" s="5">
        <v>4941</v>
      </c>
      <c r="T137" s="5">
        <v>2819</v>
      </c>
      <c r="U137" s="5">
        <v>6</v>
      </c>
      <c r="V137" s="5" t="s">
        <v>42</v>
      </c>
      <c r="W137" s="5" t="s">
        <v>43</v>
      </c>
      <c r="X137" s="5">
        <v>20</v>
      </c>
      <c r="Y137" s="5">
        <v>4</v>
      </c>
      <c r="Z137" s="5">
        <v>4</v>
      </c>
      <c r="AA137" s="5">
        <v>80</v>
      </c>
      <c r="AB137" s="5">
        <v>2</v>
      </c>
      <c r="AC137" s="5">
        <v>7</v>
      </c>
      <c r="AD137" s="5">
        <v>0</v>
      </c>
      <c r="AE137" s="5">
        <v>3</v>
      </c>
      <c r="AF137" s="5">
        <v>3</v>
      </c>
      <c r="AG137" s="5">
        <v>2</v>
      </c>
      <c r="AH137" s="5">
        <v>0</v>
      </c>
      <c r="AI137" s="5">
        <v>1</v>
      </c>
    </row>
    <row r="138" spans="1:35" x14ac:dyDescent="0.25">
      <c r="A138" s="5">
        <v>51</v>
      </c>
      <c r="B138" s="5" t="s">
        <v>35</v>
      </c>
      <c r="C138" s="5" t="s">
        <v>44</v>
      </c>
      <c r="D138" s="5">
        <v>1150</v>
      </c>
      <c r="E138" s="5" t="s">
        <v>45</v>
      </c>
      <c r="F138" s="5">
        <v>8</v>
      </c>
      <c r="G138" s="5">
        <v>4</v>
      </c>
      <c r="H138" s="5" t="s">
        <v>38</v>
      </c>
      <c r="I138" s="5">
        <v>1</v>
      </c>
      <c r="J138" s="5">
        <v>179</v>
      </c>
      <c r="K138" s="5">
        <v>1</v>
      </c>
      <c r="L138" s="5" t="s">
        <v>46</v>
      </c>
      <c r="M138" s="5">
        <v>53</v>
      </c>
      <c r="N138" s="5">
        <v>1</v>
      </c>
      <c r="O138" s="5">
        <v>3</v>
      </c>
      <c r="P138" s="5" t="s">
        <v>53</v>
      </c>
      <c r="Q138" s="5">
        <v>4</v>
      </c>
      <c r="R138" s="5" t="s">
        <v>41</v>
      </c>
      <c r="S138" s="5">
        <v>10650</v>
      </c>
      <c r="T138" s="5">
        <v>25150</v>
      </c>
      <c r="U138" s="5">
        <v>2</v>
      </c>
      <c r="V138" s="5" t="s">
        <v>42</v>
      </c>
      <c r="W138" s="5" t="s">
        <v>43</v>
      </c>
      <c r="X138" s="5">
        <v>15</v>
      </c>
      <c r="Y138" s="5">
        <v>3</v>
      </c>
      <c r="Z138" s="5">
        <v>4</v>
      </c>
      <c r="AA138" s="5">
        <v>80</v>
      </c>
      <c r="AB138" s="5">
        <v>0</v>
      </c>
      <c r="AC138" s="5">
        <v>18</v>
      </c>
      <c r="AD138" s="5">
        <v>2</v>
      </c>
      <c r="AE138" s="5">
        <v>3</v>
      </c>
      <c r="AF138" s="5">
        <v>4</v>
      </c>
      <c r="AG138" s="5">
        <v>2</v>
      </c>
      <c r="AH138" s="5">
        <v>0</v>
      </c>
      <c r="AI138" s="5">
        <v>3</v>
      </c>
    </row>
    <row r="139" spans="1:35" x14ac:dyDescent="0.25">
      <c r="A139" s="5">
        <v>39</v>
      </c>
      <c r="B139" s="5" t="s">
        <v>43</v>
      </c>
      <c r="C139" s="5" t="s">
        <v>36</v>
      </c>
      <c r="D139" s="5">
        <v>1329</v>
      </c>
      <c r="E139" s="5" t="s">
        <v>37</v>
      </c>
      <c r="F139" s="5">
        <v>4</v>
      </c>
      <c r="G139" s="5">
        <v>4</v>
      </c>
      <c r="H139" s="5" t="s">
        <v>38</v>
      </c>
      <c r="I139" s="5">
        <v>1</v>
      </c>
      <c r="J139" s="5">
        <v>182</v>
      </c>
      <c r="K139" s="5">
        <v>4</v>
      </c>
      <c r="L139" s="5" t="s">
        <v>39</v>
      </c>
      <c r="M139" s="5">
        <v>47</v>
      </c>
      <c r="N139" s="5">
        <v>2</v>
      </c>
      <c r="O139" s="5">
        <v>2</v>
      </c>
      <c r="P139" s="5" t="s">
        <v>40</v>
      </c>
      <c r="Q139" s="5">
        <v>3</v>
      </c>
      <c r="R139" s="5" t="s">
        <v>48</v>
      </c>
      <c r="S139" s="5">
        <v>5902</v>
      </c>
      <c r="T139" s="5">
        <v>14590</v>
      </c>
      <c r="U139" s="5">
        <v>4</v>
      </c>
      <c r="V139" s="5" t="s">
        <v>42</v>
      </c>
      <c r="W139" s="5" t="s">
        <v>43</v>
      </c>
      <c r="X139" s="5">
        <v>14</v>
      </c>
      <c r="Y139" s="5">
        <v>3</v>
      </c>
      <c r="Z139" s="5">
        <v>3</v>
      </c>
      <c r="AA139" s="5">
        <v>80</v>
      </c>
      <c r="AB139" s="5">
        <v>1</v>
      </c>
      <c r="AC139" s="5">
        <v>17</v>
      </c>
      <c r="AD139" s="5">
        <v>1</v>
      </c>
      <c r="AE139" s="5">
        <v>4</v>
      </c>
      <c r="AF139" s="5">
        <v>15</v>
      </c>
      <c r="AG139" s="5">
        <v>11</v>
      </c>
      <c r="AH139" s="5">
        <v>5</v>
      </c>
      <c r="AI139" s="5">
        <v>9</v>
      </c>
    </row>
    <row r="140" spans="1:35" x14ac:dyDescent="0.25">
      <c r="A140" s="5">
        <v>25</v>
      </c>
      <c r="B140" s="5" t="s">
        <v>43</v>
      </c>
      <c r="C140" s="5" t="s">
        <v>36</v>
      </c>
      <c r="D140" s="5">
        <v>959</v>
      </c>
      <c r="E140" s="5" t="s">
        <v>37</v>
      </c>
      <c r="F140" s="5">
        <v>28</v>
      </c>
      <c r="G140" s="5">
        <v>3</v>
      </c>
      <c r="H140" s="5" t="s">
        <v>38</v>
      </c>
      <c r="I140" s="5">
        <v>1</v>
      </c>
      <c r="J140" s="5">
        <v>183</v>
      </c>
      <c r="K140" s="5">
        <v>1</v>
      </c>
      <c r="L140" s="5" t="s">
        <v>46</v>
      </c>
      <c r="M140" s="5">
        <v>41</v>
      </c>
      <c r="N140" s="5">
        <v>2</v>
      </c>
      <c r="O140" s="5">
        <v>2</v>
      </c>
      <c r="P140" s="5" t="s">
        <v>40</v>
      </c>
      <c r="Q140" s="5">
        <v>3</v>
      </c>
      <c r="R140" s="5" t="s">
        <v>48</v>
      </c>
      <c r="S140" s="5">
        <v>8639</v>
      </c>
      <c r="T140" s="5">
        <v>24835</v>
      </c>
      <c r="U140" s="5">
        <v>2</v>
      </c>
      <c r="V140" s="5" t="s">
        <v>42</v>
      </c>
      <c r="W140" s="5" t="s">
        <v>43</v>
      </c>
      <c r="X140" s="5">
        <v>18</v>
      </c>
      <c r="Y140" s="5">
        <v>3</v>
      </c>
      <c r="Z140" s="5">
        <v>4</v>
      </c>
      <c r="AA140" s="5">
        <v>80</v>
      </c>
      <c r="AB140" s="5">
        <v>0</v>
      </c>
      <c r="AC140" s="5">
        <v>6</v>
      </c>
      <c r="AD140" s="5">
        <v>3</v>
      </c>
      <c r="AE140" s="5">
        <v>3</v>
      </c>
      <c r="AF140" s="5">
        <v>2</v>
      </c>
      <c r="AG140" s="5">
        <v>2</v>
      </c>
      <c r="AH140" s="5">
        <v>2</v>
      </c>
      <c r="AI140" s="5">
        <v>2</v>
      </c>
    </row>
    <row r="141" spans="1:35" x14ac:dyDescent="0.25">
      <c r="A141" s="5">
        <v>30</v>
      </c>
      <c r="B141" s="5" t="s">
        <v>43</v>
      </c>
      <c r="C141" s="5" t="s">
        <v>36</v>
      </c>
      <c r="D141" s="5">
        <v>1240</v>
      </c>
      <c r="E141" s="5" t="s">
        <v>61</v>
      </c>
      <c r="F141" s="5">
        <v>9</v>
      </c>
      <c r="G141" s="5">
        <v>3</v>
      </c>
      <c r="H141" s="5" t="s">
        <v>61</v>
      </c>
      <c r="I141" s="5">
        <v>1</v>
      </c>
      <c r="J141" s="5">
        <v>184</v>
      </c>
      <c r="K141" s="5">
        <v>3</v>
      </c>
      <c r="L141" s="5" t="s">
        <v>46</v>
      </c>
      <c r="M141" s="5">
        <v>48</v>
      </c>
      <c r="N141" s="5">
        <v>3</v>
      </c>
      <c r="O141" s="5">
        <v>2</v>
      </c>
      <c r="P141" s="5" t="s">
        <v>61</v>
      </c>
      <c r="Q141" s="5">
        <v>4</v>
      </c>
      <c r="R141" s="5" t="s">
        <v>48</v>
      </c>
      <c r="S141" s="5">
        <v>6347</v>
      </c>
      <c r="T141" s="5">
        <v>13982</v>
      </c>
      <c r="U141" s="5">
        <v>0</v>
      </c>
      <c r="V141" s="5" t="s">
        <v>42</v>
      </c>
      <c r="W141" s="5" t="s">
        <v>35</v>
      </c>
      <c r="X141" s="5">
        <v>19</v>
      </c>
      <c r="Y141" s="5">
        <v>3</v>
      </c>
      <c r="Z141" s="5">
        <v>4</v>
      </c>
      <c r="AA141" s="5">
        <v>80</v>
      </c>
      <c r="AB141" s="5">
        <v>0</v>
      </c>
      <c r="AC141" s="5">
        <v>12</v>
      </c>
      <c r="AD141" s="5">
        <v>2</v>
      </c>
      <c r="AE141" s="5">
        <v>1</v>
      </c>
      <c r="AF141" s="5">
        <v>11</v>
      </c>
      <c r="AG141" s="5">
        <v>9</v>
      </c>
      <c r="AH141" s="5">
        <v>4</v>
      </c>
      <c r="AI141" s="5">
        <v>7</v>
      </c>
    </row>
    <row r="142" spans="1:35" x14ac:dyDescent="0.25">
      <c r="A142" s="5">
        <v>32</v>
      </c>
      <c r="B142" s="5" t="s">
        <v>35</v>
      </c>
      <c r="C142" s="5" t="s">
        <v>36</v>
      </c>
      <c r="D142" s="5">
        <v>1033</v>
      </c>
      <c r="E142" s="5" t="s">
        <v>45</v>
      </c>
      <c r="F142" s="5">
        <v>9</v>
      </c>
      <c r="G142" s="5">
        <v>3</v>
      </c>
      <c r="H142" s="5" t="s">
        <v>51</v>
      </c>
      <c r="I142" s="5">
        <v>1</v>
      </c>
      <c r="J142" s="5">
        <v>190</v>
      </c>
      <c r="K142" s="5">
        <v>1</v>
      </c>
      <c r="L142" s="5" t="s">
        <v>39</v>
      </c>
      <c r="M142" s="5">
        <v>41</v>
      </c>
      <c r="N142" s="5">
        <v>3</v>
      </c>
      <c r="O142" s="5">
        <v>1</v>
      </c>
      <c r="P142" s="5" t="s">
        <v>50</v>
      </c>
      <c r="Q142" s="5">
        <v>1</v>
      </c>
      <c r="R142" s="5" t="s">
        <v>41</v>
      </c>
      <c r="S142" s="5">
        <v>4200</v>
      </c>
      <c r="T142" s="5">
        <v>10224</v>
      </c>
      <c r="U142" s="5">
        <v>7</v>
      </c>
      <c r="V142" s="5" t="s">
        <v>42</v>
      </c>
      <c r="W142" s="5" t="s">
        <v>43</v>
      </c>
      <c r="X142" s="5">
        <v>22</v>
      </c>
      <c r="Y142" s="5">
        <v>4</v>
      </c>
      <c r="Z142" s="5">
        <v>1</v>
      </c>
      <c r="AA142" s="5">
        <v>80</v>
      </c>
      <c r="AB142" s="5">
        <v>0</v>
      </c>
      <c r="AC142" s="5">
        <v>10</v>
      </c>
      <c r="AD142" s="5">
        <v>2</v>
      </c>
      <c r="AE142" s="5">
        <v>4</v>
      </c>
      <c r="AF142" s="5">
        <v>5</v>
      </c>
      <c r="AG142" s="5">
        <v>4</v>
      </c>
      <c r="AH142" s="5">
        <v>0</v>
      </c>
      <c r="AI142" s="5">
        <v>4</v>
      </c>
    </row>
    <row r="143" spans="1:35" x14ac:dyDescent="0.25">
      <c r="A143" s="5">
        <v>45</v>
      </c>
      <c r="B143" s="5" t="s">
        <v>43</v>
      </c>
      <c r="C143" s="5" t="s">
        <v>36</v>
      </c>
      <c r="D143" s="5">
        <v>1316</v>
      </c>
      <c r="E143" s="5" t="s">
        <v>45</v>
      </c>
      <c r="F143" s="5">
        <v>29</v>
      </c>
      <c r="G143" s="5">
        <v>3</v>
      </c>
      <c r="H143" s="5" t="s">
        <v>51</v>
      </c>
      <c r="I143" s="5">
        <v>1</v>
      </c>
      <c r="J143" s="5">
        <v>192</v>
      </c>
      <c r="K143" s="5">
        <v>3</v>
      </c>
      <c r="L143" s="5" t="s">
        <v>46</v>
      </c>
      <c r="M143" s="5">
        <v>83</v>
      </c>
      <c r="N143" s="5">
        <v>3</v>
      </c>
      <c r="O143" s="5">
        <v>1</v>
      </c>
      <c r="P143" s="5" t="s">
        <v>47</v>
      </c>
      <c r="Q143" s="5">
        <v>4</v>
      </c>
      <c r="R143" s="5" t="s">
        <v>41</v>
      </c>
      <c r="S143" s="5">
        <v>3452</v>
      </c>
      <c r="T143" s="5">
        <v>9752</v>
      </c>
      <c r="U143" s="5">
        <v>5</v>
      </c>
      <c r="V143" s="5" t="s">
        <v>42</v>
      </c>
      <c r="W143" s="5" t="s">
        <v>43</v>
      </c>
      <c r="X143" s="5">
        <v>13</v>
      </c>
      <c r="Y143" s="5">
        <v>3</v>
      </c>
      <c r="Z143" s="5">
        <v>2</v>
      </c>
      <c r="AA143" s="5">
        <v>80</v>
      </c>
      <c r="AB143" s="5">
        <v>0</v>
      </c>
      <c r="AC143" s="5">
        <v>9</v>
      </c>
      <c r="AD143" s="5">
        <v>2</v>
      </c>
      <c r="AE143" s="5">
        <v>2</v>
      </c>
      <c r="AF143" s="5">
        <v>6</v>
      </c>
      <c r="AG143" s="5">
        <v>5</v>
      </c>
      <c r="AH143" s="5">
        <v>0</v>
      </c>
      <c r="AI143" s="5">
        <v>3</v>
      </c>
    </row>
    <row r="144" spans="1:35" x14ac:dyDescent="0.25">
      <c r="A144" s="5">
        <v>38</v>
      </c>
      <c r="B144" s="5" t="s">
        <v>43</v>
      </c>
      <c r="C144" s="5" t="s">
        <v>36</v>
      </c>
      <c r="D144" s="5">
        <v>364</v>
      </c>
      <c r="E144" s="5" t="s">
        <v>45</v>
      </c>
      <c r="F144" s="5">
        <v>3</v>
      </c>
      <c r="G144" s="5">
        <v>5</v>
      </c>
      <c r="H144" s="5" t="s">
        <v>60</v>
      </c>
      <c r="I144" s="5">
        <v>1</v>
      </c>
      <c r="J144" s="5">
        <v>193</v>
      </c>
      <c r="K144" s="5">
        <v>4</v>
      </c>
      <c r="L144" s="5" t="s">
        <v>39</v>
      </c>
      <c r="M144" s="5">
        <v>32</v>
      </c>
      <c r="N144" s="5">
        <v>3</v>
      </c>
      <c r="O144" s="5">
        <v>2</v>
      </c>
      <c r="P144" s="5" t="s">
        <v>47</v>
      </c>
      <c r="Q144" s="5">
        <v>3</v>
      </c>
      <c r="R144" s="5" t="s">
        <v>41</v>
      </c>
      <c r="S144" s="5">
        <v>4317</v>
      </c>
      <c r="T144" s="5">
        <v>2302</v>
      </c>
      <c r="U144" s="5">
        <v>3</v>
      </c>
      <c r="V144" s="5" t="s">
        <v>42</v>
      </c>
      <c r="W144" s="5" t="s">
        <v>35</v>
      </c>
      <c r="X144" s="5">
        <v>20</v>
      </c>
      <c r="Y144" s="5">
        <v>4</v>
      </c>
      <c r="Z144" s="5">
        <v>2</v>
      </c>
      <c r="AA144" s="5">
        <v>80</v>
      </c>
      <c r="AB144" s="5">
        <v>0</v>
      </c>
      <c r="AC144" s="5">
        <v>19</v>
      </c>
      <c r="AD144" s="5">
        <v>2</v>
      </c>
      <c r="AE144" s="5">
        <v>3</v>
      </c>
      <c r="AF144" s="5">
        <v>3</v>
      </c>
      <c r="AG144" s="5">
        <v>2</v>
      </c>
      <c r="AH144" s="5">
        <v>2</v>
      </c>
      <c r="AI144" s="5">
        <v>2</v>
      </c>
    </row>
    <row r="145" spans="1:35" x14ac:dyDescent="0.25">
      <c r="A145" s="5">
        <v>30</v>
      </c>
      <c r="B145" s="5" t="s">
        <v>43</v>
      </c>
      <c r="C145" s="5" t="s">
        <v>36</v>
      </c>
      <c r="D145" s="5">
        <v>438</v>
      </c>
      <c r="E145" s="5" t="s">
        <v>45</v>
      </c>
      <c r="F145" s="5">
        <v>18</v>
      </c>
      <c r="G145" s="5">
        <v>3</v>
      </c>
      <c r="H145" s="5" t="s">
        <v>38</v>
      </c>
      <c r="I145" s="5">
        <v>1</v>
      </c>
      <c r="J145" s="5">
        <v>194</v>
      </c>
      <c r="K145" s="5">
        <v>1</v>
      </c>
      <c r="L145" s="5" t="s">
        <v>39</v>
      </c>
      <c r="M145" s="5">
        <v>75</v>
      </c>
      <c r="N145" s="5">
        <v>3</v>
      </c>
      <c r="O145" s="5">
        <v>1</v>
      </c>
      <c r="P145" s="5" t="s">
        <v>47</v>
      </c>
      <c r="Q145" s="5">
        <v>3</v>
      </c>
      <c r="R145" s="5" t="s">
        <v>41</v>
      </c>
      <c r="S145" s="5">
        <v>2632</v>
      </c>
      <c r="T145" s="5">
        <v>23910</v>
      </c>
      <c r="U145" s="5">
        <v>1</v>
      </c>
      <c r="V145" s="5" t="s">
        <v>42</v>
      </c>
      <c r="W145" s="5" t="s">
        <v>43</v>
      </c>
      <c r="X145" s="5">
        <v>14</v>
      </c>
      <c r="Y145" s="5">
        <v>3</v>
      </c>
      <c r="Z145" s="5">
        <v>3</v>
      </c>
      <c r="AA145" s="5">
        <v>80</v>
      </c>
      <c r="AB145" s="5">
        <v>0</v>
      </c>
      <c r="AC145" s="5">
        <v>5</v>
      </c>
      <c r="AD145" s="5">
        <v>4</v>
      </c>
      <c r="AE145" s="5">
        <v>2</v>
      </c>
      <c r="AF145" s="5">
        <v>5</v>
      </c>
      <c r="AG145" s="5">
        <v>4</v>
      </c>
      <c r="AH145" s="5">
        <v>0</v>
      </c>
      <c r="AI145" s="5">
        <v>4</v>
      </c>
    </row>
    <row r="146" spans="1:35" x14ac:dyDescent="0.25">
      <c r="A146" s="5">
        <v>32</v>
      </c>
      <c r="B146" s="5" t="s">
        <v>43</v>
      </c>
      <c r="C146" s="5" t="s">
        <v>44</v>
      </c>
      <c r="D146" s="5">
        <v>689</v>
      </c>
      <c r="E146" s="5" t="s">
        <v>37</v>
      </c>
      <c r="F146" s="5">
        <v>9</v>
      </c>
      <c r="G146" s="5">
        <v>2</v>
      </c>
      <c r="H146" s="5" t="s">
        <v>51</v>
      </c>
      <c r="I146" s="5">
        <v>1</v>
      </c>
      <c r="J146" s="5">
        <v>195</v>
      </c>
      <c r="K146" s="5">
        <v>4</v>
      </c>
      <c r="L146" s="5" t="s">
        <v>46</v>
      </c>
      <c r="M146" s="5">
        <v>35</v>
      </c>
      <c r="N146" s="5">
        <v>1</v>
      </c>
      <c r="O146" s="5">
        <v>2</v>
      </c>
      <c r="P146" s="5" t="s">
        <v>40</v>
      </c>
      <c r="Q146" s="5">
        <v>4</v>
      </c>
      <c r="R146" s="5" t="s">
        <v>52</v>
      </c>
      <c r="S146" s="5">
        <v>4668</v>
      </c>
      <c r="T146" s="5">
        <v>22812</v>
      </c>
      <c r="U146" s="5">
        <v>0</v>
      </c>
      <c r="V146" s="5" t="s">
        <v>42</v>
      </c>
      <c r="W146" s="5" t="s">
        <v>43</v>
      </c>
      <c r="X146" s="5">
        <v>17</v>
      </c>
      <c r="Y146" s="5">
        <v>3</v>
      </c>
      <c r="Z146" s="5">
        <v>4</v>
      </c>
      <c r="AA146" s="5">
        <v>80</v>
      </c>
      <c r="AB146" s="5">
        <v>3</v>
      </c>
      <c r="AC146" s="5">
        <v>9</v>
      </c>
      <c r="AD146" s="5">
        <v>2</v>
      </c>
      <c r="AE146" s="5">
        <v>4</v>
      </c>
      <c r="AF146" s="5">
        <v>8</v>
      </c>
      <c r="AG146" s="5">
        <v>7</v>
      </c>
      <c r="AH146" s="5">
        <v>0</v>
      </c>
      <c r="AI146" s="5">
        <v>7</v>
      </c>
    </row>
    <row r="147" spans="1:35" x14ac:dyDescent="0.25">
      <c r="A147" s="5">
        <v>30</v>
      </c>
      <c r="B147" s="5" t="s">
        <v>43</v>
      </c>
      <c r="C147" s="5" t="s">
        <v>36</v>
      </c>
      <c r="D147" s="5">
        <v>201</v>
      </c>
      <c r="E147" s="5" t="s">
        <v>45</v>
      </c>
      <c r="F147" s="5">
        <v>5</v>
      </c>
      <c r="G147" s="5">
        <v>3</v>
      </c>
      <c r="H147" s="5" t="s">
        <v>60</v>
      </c>
      <c r="I147" s="5">
        <v>1</v>
      </c>
      <c r="J147" s="5">
        <v>197</v>
      </c>
      <c r="K147" s="5">
        <v>4</v>
      </c>
      <c r="L147" s="5" t="s">
        <v>39</v>
      </c>
      <c r="M147" s="5">
        <v>84</v>
      </c>
      <c r="N147" s="5">
        <v>3</v>
      </c>
      <c r="O147" s="5">
        <v>1</v>
      </c>
      <c r="P147" s="5" t="s">
        <v>47</v>
      </c>
      <c r="Q147" s="5">
        <v>1</v>
      </c>
      <c r="R147" s="5" t="s">
        <v>52</v>
      </c>
      <c r="S147" s="5">
        <v>3204</v>
      </c>
      <c r="T147" s="5">
        <v>10415</v>
      </c>
      <c r="U147" s="5">
        <v>5</v>
      </c>
      <c r="V147" s="5" t="s">
        <v>42</v>
      </c>
      <c r="W147" s="5" t="s">
        <v>43</v>
      </c>
      <c r="X147" s="5">
        <v>14</v>
      </c>
      <c r="Y147" s="5">
        <v>3</v>
      </c>
      <c r="Z147" s="5">
        <v>4</v>
      </c>
      <c r="AA147" s="5">
        <v>80</v>
      </c>
      <c r="AB147" s="5">
        <v>1</v>
      </c>
      <c r="AC147" s="5">
        <v>8</v>
      </c>
      <c r="AD147" s="5">
        <v>3</v>
      </c>
      <c r="AE147" s="5">
        <v>3</v>
      </c>
      <c r="AF147" s="5">
        <v>3</v>
      </c>
      <c r="AG147" s="5">
        <v>2</v>
      </c>
      <c r="AH147" s="5">
        <v>2</v>
      </c>
      <c r="AI147" s="5">
        <v>2</v>
      </c>
    </row>
    <row r="148" spans="1:35" x14ac:dyDescent="0.25">
      <c r="A148" s="5">
        <v>30</v>
      </c>
      <c r="B148" s="5" t="s">
        <v>43</v>
      </c>
      <c r="C148" s="5" t="s">
        <v>36</v>
      </c>
      <c r="D148" s="5">
        <v>1427</v>
      </c>
      <c r="E148" s="5" t="s">
        <v>45</v>
      </c>
      <c r="F148" s="5">
        <v>2</v>
      </c>
      <c r="G148" s="5">
        <v>1</v>
      </c>
      <c r="H148" s="5" t="s">
        <v>51</v>
      </c>
      <c r="I148" s="5">
        <v>1</v>
      </c>
      <c r="J148" s="5">
        <v>198</v>
      </c>
      <c r="K148" s="5">
        <v>2</v>
      </c>
      <c r="L148" s="5" t="s">
        <v>46</v>
      </c>
      <c r="M148" s="5">
        <v>35</v>
      </c>
      <c r="N148" s="5">
        <v>2</v>
      </c>
      <c r="O148" s="5">
        <v>1</v>
      </c>
      <c r="P148" s="5" t="s">
        <v>50</v>
      </c>
      <c r="Q148" s="5">
        <v>4</v>
      </c>
      <c r="R148" s="5" t="s">
        <v>41</v>
      </c>
      <c r="S148" s="5">
        <v>2720</v>
      </c>
      <c r="T148" s="5">
        <v>11162</v>
      </c>
      <c r="U148" s="5">
        <v>0</v>
      </c>
      <c r="V148" s="5" t="s">
        <v>42</v>
      </c>
      <c r="W148" s="5" t="s">
        <v>43</v>
      </c>
      <c r="X148" s="5">
        <v>13</v>
      </c>
      <c r="Y148" s="5">
        <v>3</v>
      </c>
      <c r="Z148" s="5">
        <v>4</v>
      </c>
      <c r="AA148" s="5">
        <v>80</v>
      </c>
      <c r="AB148" s="5">
        <v>0</v>
      </c>
      <c r="AC148" s="5">
        <v>6</v>
      </c>
      <c r="AD148" s="5">
        <v>3</v>
      </c>
      <c r="AE148" s="5">
        <v>3</v>
      </c>
      <c r="AF148" s="5">
        <v>5</v>
      </c>
      <c r="AG148" s="5">
        <v>3</v>
      </c>
      <c r="AH148" s="5">
        <v>1</v>
      </c>
      <c r="AI148" s="5">
        <v>2</v>
      </c>
    </row>
    <row r="149" spans="1:35" x14ac:dyDescent="0.25">
      <c r="A149" s="5">
        <v>41</v>
      </c>
      <c r="B149" s="5" t="s">
        <v>43</v>
      </c>
      <c r="C149" s="5" t="s">
        <v>44</v>
      </c>
      <c r="D149" s="5">
        <v>857</v>
      </c>
      <c r="E149" s="5" t="s">
        <v>45</v>
      </c>
      <c r="F149" s="5">
        <v>10</v>
      </c>
      <c r="G149" s="5">
        <v>3</v>
      </c>
      <c r="H149" s="5" t="s">
        <v>38</v>
      </c>
      <c r="I149" s="5">
        <v>1</v>
      </c>
      <c r="J149" s="5">
        <v>199</v>
      </c>
      <c r="K149" s="5">
        <v>4</v>
      </c>
      <c r="L149" s="5" t="s">
        <v>46</v>
      </c>
      <c r="M149" s="5">
        <v>91</v>
      </c>
      <c r="N149" s="5">
        <v>2</v>
      </c>
      <c r="O149" s="5">
        <v>4</v>
      </c>
      <c r="P149" s="5" t="s">
        <v>56</v>
      </c>
      <c r="Q149" s="5">
        <v>1</v>
      </c>
      <c r="R149" s="5" t="s">
        <v>52</v>
      </c>
      <c r="S149" s="5">
        <v>17181</v>
      </c>
      <c r="T149" s="5">
        <v>12888</v>
      </c>
      <c r="U149" s="5">
        <v>4</v>
      </c>
      <c r="V149" s="5" t="s">
        <v>42</v>
      </c>
      <c r="W149" s="5" t="s">
        <v>43</v>
      </c>
      <c r="X149" s="5">
        <v>13</v>
      </c>
      <c r="Y149" s="5">
        <v>3</v>
      </c>
      <c r="Z149" s="5">
        <v>2</v>
      </c>
      <c r="AA149" s="5">
        <v>80</v>
      </c>
      <c r="AB149" s="5">
        <v>1</v>
      </c>
      <c r="AC149" s="5">
        <v>21</v>
      </c>
      <c r="AD149" s="5">
        <v>2</v>
      </c>
      <c r="AE149" s="5">
        <v>2</v>
      </c>
      <c r="AF149" s="5">
        <v>7</v>
      </c>
      <c r="AG149" s="5">
        <v>6</v>
      </c>
      <c r="AH149" s="5">
        <v>7</v>
      </c>
      <c r="AI149" s="5">
        <v>7</v>
      </c>
    </row>
    <row r="150" spans="1:35" x14ac:dyDescent="0.25">
      <c r="A150" s="5">
        <v>41</v>
      </c>
      <c r="B150" s="5" t="s">
        <v>43</v>
      </c>
      <c r="C150" s="5" t="s">
        <v>36</v>
      </c>
      <c r="D150" s="5">
        <v>933</v>
      </c>
      <c r="E150" s="5" t="s">
        <v>45</v>
      </c>
      <c r="F150" s="5">
        <v>9</v>
      </c>
      <c r="G150" s="5">
        <v>4</v>
      </c>
      <c r="H150" s="5" t="s">
        <v>38</v>
      </c>
      <c r="I150" s="5">
        <v>1</v>
      </c>
      <c r="J150" s="5">
        <v>200</v>
      </c>
      <c r="K150" s="5">
        <v>3</v>
      </c>
      <c r="L150" s="5" t="s">
        <v>46</v>
      </c>
      <c r="M150" s="5">
        <v>94</v>
      </c>
      <c r="N150" s="5">
        <v>3</v>
      </c>
      <c r="O150" s="5">
        <v>1</v>
      </c>
      <c r="P150" s="5" t="s">
        <v>50</v>
      </c>
      <c r="Q150" s="5">
        <v>1</v>
      </c>
      <c r="R150" s="5" t="s">
        <v>48</v>
      </c>
      <c r="S150" s="5">
        <v>2238</v>
      </c>
      <c r="T150" s="5">
        <v>6961</v>
      </c>
      <c r="U150" s="5">
        <v>2</v>
      </c>
      <c r="V150" s="5" t="s">
        <v>42</v>
      </c>
      <c r="W150" s="5" t="s">
        <v>43</v>
      </c>
      <c r="X150" s="5">
        <v>21</v>
      </c>
      <c r="Y150" s="5">
        <v>4</v>
      </c>
      <c r="Z150" s="5">
        <v>4</v>
      </c>
      <c r="AA150" s="5">
        <v>80</v>
      </c>
      <c r="AB150" s="5">
        <v>1</v>
      </c>
      <c r="AC150" s="5">
        <v>7</v>
      </c>
      <c r="AD150" s="5">
        <v>2</v>
      </c>
      <c r="AE150" s="5">
        <v>3</v>
      </c>
      <c r="AF150" s="5">
        <v>5</v>
      </c>
      <c r="AG150" s="5">
        <v>0</v>
      </c>
      <c r="AH150" s="5">
        <v>1</v>
      </c>
      <c r="AI150" s="5">
        <v>4</v>
      </c>
    </row>
    <row r="151" spans="1:35" x14ac:dyDescent="0.25">
      <c r="A151" s="5">
        <v>19</v>
      </c>
      <c r="B151" s="5" t="s">
        <v>43</v>
      </c>
      <c r="C151" s="5" t="s">
        <v>36</v>
      </c>
      <c r="D151" s="5">
        <v>1181</v>
      </c>
      <c r="E151" s="5" t="s">
        <v>45</v>
      </c>
      <c r="F151" s="5">
        <v>3</v>
      </c>
      <c r="G151" s="5">
        <v>1</v>
      </c>
      <c r="H151" s="5" t="s">
        <v>51</v>
      </c>
      <c r="I151" s="5">
        <v>1</v>
      </c>
      <c r="J151" s="5">
        <v>201</v>
      </c>
      <c r="K151" s="5">
        <v>2</v>
      </c>
      <c r="L151" s="5" t="s">
        <v>39</v>
      </c>
      <c r="M151" s="5">
        <v>79</v>
      </c>
      <c r="N151" s="5">
        <v>3</v>
      </c>
      <c r="O151" s="5">
        <v>1</v>
      </c>
      <c r="P151" s="5" t="s">
        <v>50</v>
      </c>
      <c r="Q151" s="5">
        <v>2</v>
      </c>
      <c r="R151" s="5" t="s">
        <v>41</v>
      </c>
      <c r="S151" s="5">
        <v>1483</v>
      </c>
      <c r="T151" s="5">
        <v>16102</v>
      </c>
      <c r="U151" s="5">
        <v>1</v>
      </c>
      <c r="V151" s="5" t="s">
        <v>42</v>
      </c>
      <c r="W151" s="5" t="s">
        <v>43</v>
      </c>
      <c r="X151" s="5">
        <v>14</v>
      </c>
      <c r="Y151" s="5">
        <v>3</v>
      </c>
      <c r="Z151" s="5">
        <v>4</v>
      </c>
      <c r="AA151" s="5">
        <v>80</v>
      </c>
      <c r="AB151" s="5">
        <v>0</v>
      </c>
      <c r="AC151" s="5">
        <v>1</v>
      </c>
      <c r="AD151" s="5">
        <v>3</v>
      </c>
      <c r="AE151" s="5">
        <v>3</v>
      </c>
      <c r="AF151" s="5">
        <v>1</v>
      </c>
      <c r="AG151" s="5">
        <v>0</v>
      </c>
      <c r="AH151" s="5">
        <v>0</v>
      </c>
      <c r="AI151" s="5">
        <v>0</v>
      </c>
    </row>
    <row r="152" spans="1:35" x14ac:dyDescent="0.25">
      <c r="A152" s="5">
        <v>40</v>
      </c>
      <c r="B152" s="5" t="s">
        <v>43</v>
      </c>
      <c r="C152" s="5" t="s">
        <v>44</v>
      </c>
      <c r="D152" s="5">
        <v>1395</v>
      </c>
      <c r="E152" s="5" t="s">
        <v>45</v>
      </c>
      <c r="F152" s="5">
        <v>26</v>
      </c>
      <c r="G152" s="5">
        <v>3</v>
      </c>
      <c r="H152" s="5" t="s">
        <v>51</v>
      </c>
      <c r="I152" s="5">
        <v>1</v>
      </c>
      <c r="J152" s="5">
        <v>202</v>
      </c>
      <c r="K152" s="5">
        <v>2</v>
      </c>
      <c r="L152" s="5" t="s">
        <v>39</v>
      </c>
      <c r="M152" s="5">
        <v>54</v>
      </c>
      <c r="N152" s="5">
        <v>3</v>
      </c>
      <c r="O152" s="5">
        <v>2</v>
      </c>
      <c r="P152" s="5" t="s">
        <v>47</v>
      </c>
      <c r="Q152" s="5">
        <v>2</v>
      </c>
      <c r="R152" s="5" t="s">
        <v>52</v>
      </c>
      <c r="S152" s="5">
        <v>5605</v>
      </c>
      <c r="T152" s="5">
        <v>8504</v>
      </c>
      <c r="U152" s="5">
        <v>1</v>
      </c>
      <c r="V152" s="5" t="s">
        <v>42</v>
      </c>
      <c r="W152" s="5" t="s">
        <v>43</v>
      </c>
      <c r="X152" s="5">
        <v>11</v>
      </c>
      <c r="Y152" s="5">
        <v>3</v>
      </c>
      <c r="Z152" s="5">
        <v>1</v>
      </c>
      <c r="AA152" s="5">
        <v>80</v>
      </c>
      <c r="AB152" s="5">
        <v>1</v>
      </c>
      <c r="AC152" s="5">
        <v>20</v>
      </c>
      <c r="AD152" s="5">
        <v>2</v>
      </c>
      <c r="AE152" s="5">
        <v>3</v>
      </c>
      <c r="AF152" s="5">
        <v>20</v>
      </c>
      <c r="AG152" s="5">
        <v>7</v>
      </c>
      <c r="AH152" s="5">
        <v>2</v>
      </c>
      <c r="AI152" s="5">
        <v>13</v>
      </c>
    </row>
    <row r="153" spans="1:35" x14ac:dyDescent="0.25">
      <c r="A153" s="5">
        <v>35</v>
      </c>
      <c r="B153" s="5" t="s">
        <v>43</v>
      </c>
      <c r="C153" s="5" t="s">
        <v>36</v>
      </c>
      <c r="D153" s="5">
        <v>662</v>
      </c>
      <c r="E153" s="5" t="s">
        <v>37</v>
      </c>
      <c r="F153" s="5">
        <v>1</v>
      </c>
      <c r="G153" s="5">
        <v>5</v>
      </c>
      <c r="H153" s="5" t="s">
        <v>59</v>
      </c>
      <c r="I153" s="5">
        <v>1</v>
      </c>
      <c r="J153" s="5">
        <v>204</v>
      </c>
      <c r="K153" s="5">
        <v>3</v>
      </c>
      <c r="L153" s="5" t="s">
        <v>46</v>
      </c>
      <c r="M153" s="5">
        <v>94</v>
      </c>
      <c r="N153" s="5">
        <v>3</v>
      </c>
      <c r="O153" s="5">
        <v>3</v>
      </c>
      <c r="P153" s="5" t="s">
        <v>40</v>
      </c>
      <c r="Q153" s="5">
        <v>2</v>
      </c>
      <c r="R153" s="5" t="s">
        <v>48</v>
      </c>
      <c r="S153" s="5">
        <v>7295</v>
      </c>
      <c r="T153" s="5">
        <v>11439</v>
      </c>
      <c r="U153" s="5">
        <v>1</v>
      </c>
      <c r="V153" s="5" t="s">
        <v>42</v>
      </c>
      <c r="W153" s="5" t="s">
        <v>43</v>
      </c>
      <c r="X153" s="5">
        <v>13</v>
      </c>
      <c r="Y153" s="5">
        <v>3</v>
      </c>
      <c r="Z153" s="5">
        <v>1</v>
      </c>
      <c r="AA153" s="5">
        <v>80</v>
      </c>
      <c r="AB153" s="5">
        <v>2</v>
      </c>
      <c r="AC153" s="5">
        <v>10</v>
      </c>
      <c r="AD153" s="5">
        <v>3</v>
      </c>
      <c r="AE153" s="5">
        <v>3</v>
      </c>
      <c r="AF153" s="5">
        <v>10</v>
      </c>
      <c r="AG153" s="5">
        <v>8</v>
      </c>
      <c r="AH153" s="5">
        <v>0</v>
      </c>
      <c r="AI153" s="5">
        <v>6</v>
      </c>
    </row>
    <row r="154" spans="1:35" x14ac:dyDescent="0.25">
      <c r="A154" s="5">
        <v>53</v>
      </c>
      <c r="B154" s="5" t="s">
        <v>43</v>
      </c>
      <c r="C154" s="5" t="s">
        <v>36</v>
      </c>
      <c r="D154" s="5">
        <v>1436</v>
      </c>
      <c r="E154" s="5" t="s">
        <v>37</v>
      </c>
      <c r="F154" s="5">
        <v>6</v>
      </c>
      <c r="G154" s="5">
        <v>2</v>
      </c>
      <c r="H154" s="5" t="s">
        <v>59</v>
      </c>
      <c r="I154" s="5">
        <v>1</v>
      </c>
      <c r="J154" s="5">
        <v>205</v>
      </c>
      <c r="K154" s="5">
        <v>2</v>
      </c>
      <c r="L154" s="5" t="s">
        <v>46</v>
      </c>
      <c r="M154" s="5">
        <v>34</v>
      </c>
      <c r="N154" s="5">
        <v>3</v>
      </c>
      <c r="O154" s="5">
        <v>2</v>
      </c>
      <c r="P154" s="5" t="s">
        <v>57</v>
      </c>
      <c r="Q154" s="5">
        <v>3</v>
      </c>
      <c r="R154" s="5" t="s">
        <v>48</v>
      </c>
      <c r="S154" s="5">
        <v>2306</v>
      </c>
      <c r="T154" s="5">
        <v>16047</v>
      </c>
      <c r="U154" s="5">
        <v>2</v>
      </c>
      <c r="V154" s="5" t="s">
        <v>42</v>
      </c>
      <c r="W154" s="5" t="s">
        <v>35</v>
      </c>
      <c r="X154" s="5">
        <v>20</v>
      </c>
      <c r="Y154" s="5">
        <v>4</v>
      </c>
      <c r="Z154" s="5">
        <v>4</v>
      </c>
      <c r="AA154" s="5">
        <v>80</v>
      </c>
      <c r="AB154" s="5">
        <v>1</v>
      </c>
      <c r="AC154" s="5">
        <v>13</v>
      </c>
      <c r="AD154" s="5">
        <v>3</v>
      </c>
      <c r="AE154" s="5">
        <v>1</v>
      </c>
      <c r="AF154" s="5">
        <v>7</v>
      </c>
      <c r="AG154" s="5">
        <v>7</v>
      </c>
      <c r="AH154" s="5">
        <v>4</v>
      </c>
      <c r="AI154" s="5">
        <v>5</v>
      </c>
    </row>
    <row r="155" spans="1:35" x14ac:dyDescent="0.25">
      <c r="A155" s="5">
        <v>45</v>
      </c>
      <c r="B155" s="5" t="s">
        <v>43</v>
      </c>
      <c r="C155" s="5" t="s">
        <v>36</v>
      </c>
      <c r="D155" s="5">
        <v>194</v>
      </c>
      <c r="E155" s="5" t="s">
        <v>45</v>
      </c>
      <c r="F155" s="5">
        <v>9</v>
      </c>
      <c r="G155" s="5">
        <v>3</v>
      </c>
      <c r="H155" s="5" t="s">
        <v>38</v>
      </c>
      <c r="I155" s="5">
        <v>1</v>
      </c>
      <c r="J155" s="5">
        <v>206</v>
      </c>
      <c r="K155" s="5">
        <v>2</v>
      </c>
      <c r="L155" s="5" t="s">
        <v>46</v>
      </c>
      <c r="M155" s="5">
        <v>60</v>
      </c>
      <c r="N155" s="5">
        <v>3</v>
      </c>
      <c r="O155" s="5">
        <v>2</v>
      </c>
      <c r="P155" s="5" t="s">
        <v>50</v>
      </c>
      <c r="Q155" s="5">
        <v>2</v>
      </c>
      <c r="R155" s="5" t="s">
        <v>52</v>
      </c>
      <c r="S155" s="5">
        <v>2348</v>
      </c>
      <c r="T155" s="5">
        <v>10901</v>
      </c>
      <c r="U155" s="5">
        <v>8</v>
      </c>
      <c r="V155" s="5" t="s">
        <v>42</v>
      </c>
      <c r="W155" s="5" t="s">
        <v>43</v>
      </c>
      <c r="X155" s="5">
        <v>18</v>
      </c>
      <c r="Y155" s="5">
        <v>3</v>
      </c>
      <c r="Z155" s="5">
        <v>3</v>
      </c>
      <c r="AA155" s="5">
        <v>80</v>
      </c>
      <c r="AB155" s="5">
        <v>1</v>
      </c>
      <c r="AC155" s="5">
        <v>20</v>
      </c>
      <c r="AD155" s="5">
        <v>2</v>
      </c>
      <c r="AE155" s="5">
        <v>1</v>
      </c>
      <c r="AF155" s="5">
        <v>17</v>
      </c>
      <c r="AG155" s="5">
        <v>9</v>
      </c>
      <c r="AH155" s="5">
        <v>0</v>
      </c>
      <c r="AI155" s="5">
        <v>15</v>
      </c>
    </row>
    <row r="156" spans="1:35" x14ac:dyDescent="0.25">
      <c r="A156" s="5">
        <v>32</v>
      </c>
      <c r="B156" s="5" t="s">
        <v>43</v>
      </c>
      <c r="C156" s="5" t="s">
        <v>44</v>
      </c>
      <c r="D156" s="5">
        <v>967</v>
      </c>
      <c r="E156" s="5" t="s">
        <v>37</v>
      </c>
      <c r="F156" s="5">
        <v>8</v>
      </c>
      <c r="G156" s="5">
        <v>3</v>
      </c>
      <c r="H156" s="5" t="s">
        <v>59</v>
      </c>
      <c r="I156" s="5">
        <v>1</v>
      </c>
      <c r="J156" s="5">
        <v>207</v>
      </c>
      <c r="K156" s="5">
        <v>2</v>
      </c>
      <c r="L156" s="5" t="s">
        <v>39</v>
      </c>
      <c r="M156" s="5">
        <v>43</v>
      </c>
      <c r="N156" s="5">
        <v>3</v>
      </c>
      <c r="O156" s="5">
        <v>3</v>
      </c>
      <c r="P156" s="5" t="s">
        <v>40</v>
      </c>
      <c r="Q156" s="5">
        <v>4</v>
      </c>
      <c r="R156" s="5" t="s">
        <v>41</v>
      </c>
      <c r="S156" s="5">
        <v>8998</v>
      </c>
      <c r="T156" s="5">
        <v>15589</v>
      </c>
      <c r="U156" s="5">
        <v>1</v>
      </c>
      <c r="V156" s="5" t="s">
        <v>42</v>
      </c>
      <c r="W156" s="5" t="s">
        <v>43</v>
      </c>
      <c r="X156" s="5">
        <v>14</v>
      </c>
      <c r="Y156" s="5">
        <v>3</v>
      </c>
      <c r="Z156" s="5">
        <v>4</v>
      </c>
      <c r="AA156" s="5">
        <v>80</v>
      </c>
      <c r="AB156" s="5">
        <v>0</v>
      </c>
      <c r="AC156" s="5">
        <v>9</v>
      </c>
      <c r="AD156" s="5">
        <v>2</v>
      </c>
      <c r="AE156" s="5">
        <v>3</v>
      </c>
      <c r="AF156" s="5">
        <v>9</v>
      </c>
      <c r="AG156" s="5">
        <v>8</v>
      </c>
      <c r="AH156" s="5">
        <v>3</v>
      </c>
      <c r="AI156" s="5">
        <v>7</v>
      </c>
    </row>
    <row r="157" spans="1:35" x14ac:dyDescent="0.25">
      <c r="A157" s="5">
        <v>29</v>
      </c>
      <c r="B157" s="5" t="s">
        <v>43</v>
      </c>
      <c r="C157" s="5" t="s">
        <v>55</v>
      </c>
      <c r="D157" s="5">
        <v>1496</v>
      </c>
      <c r="E157" s="5" t="s">
        <v>45</v>
      </c>
      <c r="F157" s="5">
        <v>1</v>
      </c>
      <c r="G157" s="5">
        <v>1</v>
      </c>
      <c r="H157" s="5" t="s">
        <v>60</v>
      </c>
      <c r="I157" s="5">
        <v>1</v>
      </c>
      <c r="J157" s="5">
        <v>208</v>
      </c>
      <c r="K157" s="5">
        <v>4</v>
      </c>
      <c r="L157" s="5" t="s">
        <v>46</v>
      </c>
      <c r="M157" s="5">
        <v>41</v>
      </c>
      <c r="N157" s="5">
        <v>3</v>
      </c>
      <c r="O157" s="5">
        <v>2</v>
      </c>
      <c r="P157" s="5" t="s">
        <v>53</v>
      </c>
      <c r="Q157" s="5">
        <v>3</v>
      </c>
      <c r="R157" s="5" t="s">
        <v>48</v>
      </c>
      <c r="S157" s="5">
        <v>4319</v>
      </c>
      <c r="T157" s="5">
        <v>26283</v>
      </c>
      <c r="U157" s="5">
        <v>1</v>
      </c>
      <c r="V157" s="5" t="s">
        <v>42</v>
      </c>
      <c r="W157" s="5" t="s">
        <v>43</v>
      </c>
      <c r="X157" s="5">
        <v>13</v>
      </c>
      <c r="Y157" s="5">
        <v>3</v>
      </c>
      <c r="Z157" s="5">
        <v>1</v>
      </c>
      <c r="AA157" s="5">
        <v>80</v>
      </c>
      <c r="AB157" s="5">
        <v>1</v>
      </c>
      <c r="AC157" s="5">
        <v>10</v>
      </c>
      <c r="AD157" s="5">
        <v>1</v>
      </c>
      <c r="AE157" s="5">
        <v>3</v>
      </c>
      <c r="AF157" s="5">
        <v>10</v>
      </c>
      <c r="AG157" s="5">
        <v>7</v>
      </c>
      <c r="AH157" s="5">
        <v>0</v>
      </c>
      <c r="AI157" s="5">
        <v>9</v>
      </c>
    </row>
    <row r="158" spans="1:35" x14ac:dyDescent="0.25">
      <c r="A158" s="5">
        <v>51</v>
      </c>
      <c r="B158" s="5" t="s">
        <v>43</v>
      </c>
      <c r="C158" s="5" t="s">
        <v>36</v>
      </c>
      <c r="D158" s="5">
        <v>1169</v>
      </c>
      <c r="E158" s="5" t="s">
        <v>45</v>
      </c>
      <c r="F158" s="5">
        <v>7</v>
      </c>
      <c r="G158" s="5">
        <v>4</v>
      </c>
      <c r="H158" s="5" t="s">
        <v>51</v>
      </c>
      <c r="I158" s="5">
        <v>1</v>
      </c>
      <c r="J158" s="5">
        <v>211</v>
      </c>
      <c r="K158" s="5">
        <v>2</v>
      </c>
      <c r="L158" s="5" t="s">
        <v>46</v>
      </c>
      <c r="M158" s="5">
        <v>34</v>
      </c>
      <c r="N158" s="5">
        <v>2</v>
      </c>
      <c r="O158" s="5">
        <v>2</v>
      </c>
      <c r="P158" s="5" t="s">
        <v>53</v>
      </c>
      <c r="Q158" s="5">
        <v>3</v>
      </c>
      <c r="R158" s="5" t="s">
        <v>48</v>
      </c>
      <c r="S158" s="5">
        <v>6132</v>
      </c>
      <c r="T158" s="5">
        <v>13983</v>
      </c>
      <c r="U158" s="5">
        <v>2</v>
      </c>
      <c r="V158" s="5" t="s">
        <v>42</v>
      </c>
      <c r="W158" s="5" t="s">
        <v>43</v>
      </c>
      <c r="X158" s="5">
        <v>17</v>
      </c>
      <c r="Y158" s="5">
        <v>3</v>
      </c>
      <c r="Z158" s="5">
        <v>3</v>
      </c>
      <c r="AA158" s="5">
        <v>80</v>
      </c>
      <c r="AB158" s="5">
        <v>0</v>
      </c>
      <c r="AC158" s="5">
        <v>10</v>
      </c>
      <c r="AD158" s="5">
        <v>2</v>
      </c>
      <c r="AE158" s="5">
        <v>3</v>
      </c>
      <c r="AF158" s="5">
        <v>1</v>
      </c>
      <c r="AG158" s="5">
        <v>0</v>
      </c>
      <c r="AH158" s="5">
        <v>0</v>
      </c>
      <c r="AI158" s="5">
        <v>0</v>
      </c>
    </row>
    <row r="159" spans="1:35" x14ac:dyDescent="0.25">
      <c r="A159" s="5">
        <v>58</v>
      </c>
      <c r="B159" s="5" t="s">
        <v>43</v>
      </c>
      <c r="C159" s="5" t="s">
        <v>36</v>
      </c>
      <c r="D159" s="5">
        <v>1145</v>
      </c>
      <c r="E159" s="5" t="s">
        <v>45</v>
      </c>
      <c r="F159" s="5">
        <v>9</v>
      </c>
      <c r="G159" s="5">
        <v>3</v>
      </c>
      <c r="H159" s="5" t="s">
        <v>51</v>
      </c>
      <c r="I159" s="5">
        <v>1</v>
      </c>
      <c r="J159" s="5">
        <v>214</v>
      </c>
      <c r="K159" s="5">
        <v>2</v>
      </c>
      <c r="L159" s="5" t="s">
        <v>39</v>
      </c>
      <c r="M159" s="5">
        <v>75</v>
      </c>
      <c r="N159" s="5">
        <v>2</v>
      </c>
      <c r="O159" s="5">
        <v>1</v>
      </c>
      <c r="P159" s="5" t="s">
        <v>47</v>
      </c>
      <c r="Q159" s="5">
        <v>2</v>
      </c>
      <c r="R159" s="5" t="s">
        <v>48</v>
      </c>
      <c r="S159" s="5">
        <v>3346</v>
      </c>
      <c r="T159" s="5">
        <v>11873</v>
      </c>
      <c r="U159" s="5">
        <v>4</v>
      </c>
      <c r="V159" s="5" t="s">
        <v>42</v>
      </c>
      <c r="W159" s="5" t="s">
        <v>35</v>
      </c>
      <c r="X159" s="5">
        <v>20</v>
      </c>
      <c r="Y159" s="5">
        <v>4</v>
      </c>
      <c r="Z159" s="5">
        <v>2</v>
      </c>
      <c r="AA159" s="5">
        <v>80</v>
      </c>
      <c r="AB159" s="5">
        <v>1</v>
      </c>
      <c r="AC159" s="5">
        <v>9</v>
      </c>
      <c r="AD159" s="5">
        <v>3</v>
      </c>
      <c r="AE159" s="5">
        <v>2</v>
      </c>
      <c r="AF159" s="5">
        <v>1</v>
      </c>
      <c r="AG159" s="5">
        <v>0</v>
      </c>
      <c r="AH159" s="5">
        <v>0</v>
      </c>
      <c r="AI159" s="5">
        <v>0</v>
      </c>
    </row>
    <row r="160" spans="1:35" x14ac:dyDescent="0.25">
      <c r="A160" s="5">
        <v>40</v>
      </c>
      <c r="B160" s="5" t="s">
        <v>43</v>
      </c>
      <c r="C160" s="5" t="s">
        <v>36</v>
      </c>
      <c r="D160" s="5">
        <v>630</v>
      </c>
      <c r="E160" s="5" t="s">
        <v>37</v>
      </c>
      <c r="F160" s="5">
        <v>4</v>
      </c>
      <c r="G160" s="5">
        <v>4</v>
      </c>
      <c r="H160" s="5" t="s">
        <v>59</v>
      </c>
      <c r="I160" s="5">
        <v>1</v>
      </c>
      <c r="J160" s="5">
        <v>215</v>
      </c>
      <c r="K160" s="5">
        <v>3</v>
      </c>
      <c r="L160" s="5" t="s">
        <v>46</v>
      </c>
      <c r="M160" s="5">
        <v>67</v>
      </c>
      <c r="N160" s="5">
        <v>2</v>
      </c>
      <c r="O160" s="5">
        <v>3</v>
      </c>
      <c r="P160" s="5" t="s">
        <v>40</v>
      </c>
      <c r="Q160" s="5">
        <v>4</v>
      </c>
      <c r="R160" s="5" t="s">
        <v>48</v>
      </c>
      <c r="S160" s="5">
        <v>10855</v>
      </c>
      <c r="T160" s="5">
        <v>8552</v>
      </c>
      <c r="U160" s="5">
        <v>7</v>
      </c>
      <c r="V160" s="5" t="s">
        <v>42</v>
      </c>
      <c r="W160" s="5" t="s">
        <v>43</v>
      </c>
      <c r="X160" s="5">
        <v>11</v>
      </c>
      <c r="Y160" s="5">
        <v>3</v>
      </c>
      <c r="Z160" s="5">
        <v>1</v>
      </c>
      <c r="AA160" s="5">
        <v>80</v>
      </c>
      <c r="AB160" s="5">
        <v>1</v>
      </c>
      <c r="AC160" s="5">
        <v>15</v>
      </c>
      <c r="AD160" s="5">
        <v>2</v>
      </c>
      <c r="AE160" s="5">
        <v>2</v>
      </c>
      <c r="AF160" s="5">
        <v>12</v>
      </c>
      <c r="AG160" s="5">
        <v>11</v>
      </c>
      <c r="AH160" s="5">
        <v>2</v>
      </c>
      <c r="AI160" s="5">
        <v>11</v>
      </c>
    </row>
    <row r="161" spans="1:35" x14ac:dyDescent="0.25">
      <c r="A161" s="5">
        <v>34</v>
      </c>
      <c r="B161" s="5" t="s">
        <v>43</v>
      </c>
      <c r="C161" s="5" t="s">
        <v>44</v>
      </c>
      <c r="D161" s="5">
        <v>303</v>
      </c>
      <c r="E161" s="5" t="s">
        <v>37</v>
      </c>
      <c r="F161" s="5">
        <v>2</v>
      </c>
      <c r="G161" s="5">
        <v>4</v>
      </c>
      <c r="H161" s="5" t="s">
        <v>59</v>
      </c>
      <c r="I161" s="5">
        <v>1</v>
      </c>
      <c r="J161" s="5">
        <v>216</v>
      </c>
      <c r="K161" s="5">
        <v>3</v>
      </c>
      <c r="L161" s="5" t="s">
        <v>39</v>
      </c>
      <c r="M161" s="5">
        <v>75</v>
      </c>
      <c r="N161" s="5">
        <v>3</v>
      </c>
      <c r="O161" s="5">
        <v>1</v>
      </c>
      <c r="P161" s="5" t="s">
        <v>57</v>
      </c>
      <c r="Q161" s="5">
        <v>3</v>
      </c>
      <c r="R161" s="5" t="s">
        <v>48</v>
      </c>
      <c r="S161" s="5">
        <v>2231</v>
      </c>
      <c r="T161" s="5">
        <v>11314</v>
      </c>
      <c r="U161" s="5">
        <v>6</v>
      </c>
      <c r="V161" s="5" t="s">
        <v>42</v>
      </c>
      <c r="W161" s="5" t="s">
        <v>43</v>
      </c>
      <c r="X161" s="5">
        <v>18</v>
      </c>
      <c r="Y161" s="5">
        <v>3</v>
      </c>
      <c r="Z161" s="5">
        <v>4</v>
      </c>
      <c r="AA161" s="5">
        <v>80</v>
      </c>
      <c r="AB161" s="5">
        <v>1</v>
      </c>
      <c r="AC161" s="5">
        <v>6</v>
      </c>
      <c r="AD161" s="5">
        <v>3</v>
      </c>
      <c r="AE161" s="5">
        <v>3</v>
      </c>
      <c r="AF161" s="5">
        <v>4</v>
      </c>
      <c r="AG161" s="5">
        <v>3</v>
      </c>
      <c r="AH161" s="5">
        <v>1</v>
      </c>
      <c r="AI161" s="5">
        <v>2</v>
      </c>
    </row>
    <row r="162" spans="1:35" x14ac:dyDescent="0.25">
      <c r="A162" s="5">
        <v>22</v>
      </c>
      <c r="B162" s="5" t="s">
        <v>43</v>
      </c>
      <c r="C162" s="5" t="s">
        <v>36</v>
      </c>
      <c r="D162" s="5">
        <v>1256</v>
      </c>
      <c r="E162" s="5" t="s">
        <v>45</v>
      </c>
      <c r="F162" s="5">
        <v>19</v>
      </c>
      <c r="G162" s="5">
        <v>1</v>
      </c>
      <c r="H162" s="5" t="s">
        <v>51</v>
      </c>
      <c r="I162" s="5">
        <v>1</v>
      </c>
      <c r="J162" s="5">
        <v>217</v>
      </c>
      <c r="K162" s="5">
        <v>3</v>
      </c>
      <c r="L162" s="5" t="s">
        <v>46</v>
      </c>
      <c r="M162" s="5">
        <v>80</v>
      </c>
      <c r="N162" s="5">
        <v>3</v>
      </c>
      <c r="O162" s="5">
        <v>1</v>
      </c>
      <c r="P162" s="5" t="s">
        <v>47</v>
      </c>
      <c r="Q162" s="5">
        <v>4</v>
      </c>
      <c r="R162" s="5" t="s">
        <v>48</v>
      </c>
      <c r="S162" s="5">
        <v>2323</v>
      </c>
      <c r="T162" s="5">
        <v>11992</v>
      </c>
      <c r="U162" s="5">
        <v>1</v>
      </c>
      <c r="V162" s="5" t="s">
        <v>42</v>
      </c>
      <c r="W162" s="5" t="s">
        <v>43</v>
      </c>
      <c r="X162" s="5">
        <v>24</v>
      </c>
      <c r="Y162" s="5">
        <v>4</v>
      </c>
      <c r="Z162" s="5">
        <v>1</v>
      </c>
      <c r="AA162" s="5">
        <v>80</v>
      </c>
      <c r="AB162" s="5">
        <v>2</v>
      </c>
      <c r="AC162" s="5">
        <v>2</v>
      </c>
      <c r="AD162" s="5">
        <v>6</v>
      </c>
      <c r="AE162" s="5">
        <v>3</v>
      </c>
      <c r="AF162" s="5">
        <v>2</v>
      </c>
      <c r="AG162" s="5">
        <v>2</v>
      </c>
      <c r="AH162" s="5">
        <v>2</v>
      </c>
      <c r="AI162" s="5">
        <v>2</v>
      </c>
    </row>
    <row r="163" spans="1:35" x14ac:dyDescent="0.25">
      <c r="A163" s="5">
        <v>27</v>
      </c>
      <c r="B163" s="5" t="s">
        <v>43</v>
      </c>
      <c r="C163" s="5" t="s">
        <v>55</v>
      </c>
      <c r="D163" s="5">
        <v>691</v>
      </c>
      <c r="E163" s="5" t="s">
        <v>45</v>
      </c>
      <c r="F163" s="5">
        <v>9</v>
      </c>
      <c r="G163" s="5">
        <v>3</v>
      </c>
      <c r="H163" s="5" t="s">
        <v>51</v>
      </c>
      <c r="I163" s="5">
        <v>1</v>
      </c>
      <c r="J163" s="5">
        <v>218</v>
      </c>
      <c r="K163" s="5">
        <v>4</v>
      </c>
      <c r="L163" s="5" t="s">
        <v>46</v>
      </c>
      <c r="M163" s="5">
        <v>57</v>
      </c>
      <c r="N163" s="5">
        <v>3</v>
      </c>
      <c r="O163" s="5">
        <v>1</v>
      </c>
      <c r="P163" s="5" t="s">
        <v>47</v>
      </c>
      <c r="Q163" s="5">
        <v>2</v>
      </c>
      <c r="R163" s="5" t="s">
        <v>52</v>
      </c>
      <c r="S163" s="5">
        <v>2024</v>
      </c>
      <c r="T163" s="5">
        <v>5970</v>
      </c>
      <c r="U163" s="5">
        <v>6</v>
      </c>
      <c r="V163" s="5" t="s">
        <v>42</v>
      </c>
      <c r="W163" s="5" t="s">
        <v>43</v>
      </c>
      <c r="X163" s="5">
        <v>18</v>
      </c>
      <c r="Y163" s="5">
        <v>3</v>
      </c>
      <c r="Z163" s="5">
        <v>4</v>
      </c>
      <c r="AA163" s="5">
        <v>80</v>
      </c>
      <c r="AB163" s="5">
        <v>1</v>
      </c>
      <c r="AC163" s="5">
        <v>6</v>
      </c>
      <c r="AD163" s="5">
        <v>1</v>
      </c>
      <c r="AE163" s="5">
        <v>1</v>
      </c>
      <c r="AF163" s="5">
        <v>2</v>
      </c>
      <c r="AG163" s="5">
        <v>2</v>
      </c>
      <c r="AH163" s="5">
        <v>2</v>
      </c>
      <c r="AI163" s="5">
        <v>2</v>
      </c>
    </row>
    <row r="164" spans="1:35" x14ac:dyDescent="0.25">
      <c r="A164" s="5">
        <v>28</v>
      </c>
      <c r="B164" s="5" t="s">
        <v>43</v>
      </c>
      <c r="C164" s="5" t="s">
        <v>36</v>
      </c>
      <c r="D164" s="5">
        <v>440</v>
      </c>
      <c r="E164" s="5" t="s">
        <v>45</v>
      </c>
      <c r="F164" s="5">
        <v>21</v>
      </c>
      <c r="G164" s="5">
        <v>3</v>
      </c>
      <c r="H164" s="5" t="s">
        <v>51</v>
      </c>
      <c r="I164" s="5">
        <v>1</v>
      </c>
      <c r="J164" s="5">
        <v>221</v>
      </c>
      <c r="K164" s="5">
        <v>3</v>
      </c>
      <c r="L164" s="5" t="s">
        <v>46</v>
      </c>
      <c r="M164" s="5">
        <v>42</v>
      </c>
      <c r="N164" s="5">
        <v>3</v>
      </c>
      <c r="O164" s="5">
        <v>1</v>
      </c>
      <c r="P164" s="5" t="s">
        <v>47</v>
      </c>
      <c r="Q164" s="5">
        <v>4</v>
      </c>
      <c r="R164" s="5" t="s">
        <v>48</v>
      </c>
      <c r="S164" s="5">
        <v>2713</v>
      </c>
      <c r="T164" s="5">
        <v>6672</v>
      </c>
      <c r="U164" s="5">
        <v>1</v>
      </c>
      <c r="V164" s="5" t="s">
        <v>42</v>
      </c>
      <c r="W164" s="5" t="s">
        <v>43</v>
      </c>
      <c r="X164" s="5">
        <v>11</v>
      </c>
      <c r="Y164" s="5">
        <v>3</v>
      </c>
      <c r="Z164" s="5">
        <v>3</v>
      </c>
      <c r="AA164" s="5">
        <v>80</v>
      </c>
      <c r="AB164" s="5">
        <v>1</v>
      </c>
      <c r="AC164" s="5">
        <v>5</v>
      </c>
      <c r="AD164" s="5">
        <v>2</v>
      </c>
      <c r="AE164" s="5">
        <v>1</v>
      </c>
      <c r="AF164" s="5">
        <v>5</v>
      </c>
      <c r="AG164" s="5">
        <v>2</v>
      </c>
      <c r="AH164" s="5">
        <v>0</v>
      </c>
      <c r="AI164" s="5">
        <v>2</v>
      </c>
    </row>
    <row r="165" spans="1:35" x14ac:dyDescent="0.25">
      <c r="A165" s="5">
        <v>57</v>
      </c>
      <c r="B165" s="5" t="s">
        <v>43</v>
      </c>
      <c r="C165" s="5" t="s">
        <v>36</v>
      </c>
      <c r="D165" s="5">
        <v>334</v>
      </c>
      <c r="E165" s="5" t="s">
        <v>45</v>
      </c>
      <c r="F165" s="5">
        <v>24</v>
      </c>
      <c r="G165" s="5">
        <v>2</v>
      </c>
      <c r="H165" s="5" t="s">
        <v>38</v>
      </c>
      <c r="I165" s="5">
        <v>1</v>
      </c>
      <c r="J165" s="5">
        <v>223</v>
      </c>
      <c r="K165" s="5">
        <v>3</v>
      </c>
      <c r="L165" s="5" t="s">
        <v>46</v>
      </c>
      <c r="M165" s="5">
        <v>83</v>
      </c>
      <c r="N165" s="5">
        <v>4</v>
      </c>
      <c r="O165" s="5">
        <v>3</v>
      </c>
      <c r="P165" s="5" t="s">
        <v>54</v>
      </c>
      <c r="Q165" s="5">
        <v>4</v>
      </c>
      <c r="R165" s="5" t="s">
        <v>52</v>
      </c>
      <c r="S165" s="5">
        <v>9439</v>
      </c>
      <c r="T165" s="5">
        <v>23402</v>
      </c>
      <c r="U165" s="5">
        <v>3</v>
      </c>
      <c r="V165" s="5" t="s">
        <v>42</v>
      </c>
      <c r="W165" s="5" t="s">
        <v>35</v>
      </c>
      <c r="X165" s="5">
        <v>16</v>
      </c>
      <c r="Y165" s="5">
        <v>3</v>
      </c>
      <c r="Z165" s="5">
        <v>2</v>
      </c>
      <c r="AA165" s="5">
        <v>80</v>
      </c>
      <c r="AB165" s="5">
        <v>1</v>
      </c>
      <c r="AC165" s="5">
        <v>12</v>
      </c>
      <c r="AD165" s="5">
        <v>2</v>
      </c>
      <c r="AE165" s="5">
        <v>1</v>
      </c>
      <c r="AF165" s="5">
        <v>5</v>
      </c>
      <c r="AG165" s="5">
        <v>3</v>
      </c>
      <c r="AH165" s="5">
        <v>1</v>
      </c>
      <c r="AI165" s="5">
        <v>4</v>
      </c>
    </row>
    <row r="166" spans="1:35" x14ac:dyDescent="0.25">
      <c r="A166" s="5">
        <v>27</v>
      </c>
      <c r="B166" s="5" t="s">
        <v>43</v>
      </c>
      <c r="C166" s="5" t="s">
        <v>55</v>
      </c>
      <c r="D166" s="5">
        <v>1450</v>
      </c>
      <c r="E166" s="5" t="s">
        <v>45</v>
      </c>
      <c r="F166" s="5">
        <v>3</v>
      </c>
      <c r="G166" s="5">
        <v>3</v>
      </c>
      <c r="H166" s="5" t="s">
        <v>51</v>
      </c>
      <c r="I166" s="5">
        <v>1</v>
      </c>
      <c r="J166" s="5">
        <v>224</v>
      </c>
      <c r="K166" s="5">
        <v>3</v>
      </c>
      <c r="L166" s="5" t="s">
        <v>46</v>
      </c>
      <c r="M166" s="5">
        <v>79</v>
      </c>
      <c r="N166" s="5">
        <v>2</v>
      </c>
      <c r="O166" s="5">
        <v>1</v>
      </c>
      <c r="P166" s="5" t="s">
        <v>47</v>
      </c>
      <c r="Q166" s="5">
        <v>3</v>
      </c>
      <c r="R166" s="5" t="s">
        <v>52</v>
      </c>
      <c r="S166" s="5">
        <v>2566</v>
      </c>
      <c r="T166" s="5">
        <v>25326</v>
      </c>
      <c r="U166" s="5">
        <v>1</v>
      </c>
      <c r="V166" s="5" t="s">
        <v>42</v>
      </c>
      <c r="W166" s="5" t="s">
        <v>35</v>
      </c>
      <c r="X166" s="5">
        <v>15</v>
      </c>
      <c r="Y166" s="5">
        <v>3</v>
      </c>
      <c r="Z166" s="5">
        <v>4</v>
      </c>
      <c r="AA166" s="5">
        <v>80</v>
      </c>
      <c r="AB166" s="5">
        <v>1</v>
      </c>
      <c r="AC166" s="5">
        <v>1</v>
      </c>
      <c r="AD166" s="5">
        <v>2</v>
      </c>
      <c r="AE166" s="5">
        <v>2</v>
      </c>
      <c r="AF166" s="5">
        <v>1</v>
      </c>
      <c r="AG166" s="5">
        <v>1</v>
      </c>
      <c r="AH166" s="5">
        <v>0</v>
      </c>
      <c r="AI166" s="5">
        <v>1</v>
      </c>
    </row>
    <row r="167" spans="1:35" x14ac:dyDescent="0.25">
      <c r="A167" s="5">
        <v>50</v>
      </c>
      <c r="B167" s="5" t="s">
        <v>43</v>
      </c>
      <c r="C167" s="5" t="s">
        <v>36</v>
      </c>
      <c r="D167" s="5">
        <v>1452</v>
      </c>
      <c r="E167" s="5" t="s">
        <v>45</v>
      </c>
      <c r="F167" s="5">
        <v>11</v>
      </c>
      <c r="G167" s="5">
        <v>3</v>
      </c>
      <c r="H167" s="5" t="s">
        <v>38</v>
      </c>
      <c r="I167" s="5">
        <v>1</v>
      </c>
      <c r="J167" s="5">
        <v>226</v>
      </c>
      <c r="K167" s="5">
        <v>3</v>
      </c>
      <c r="L167" s="5" t="s">
        <v>39</v>
      </c>
      <c r="M167" s="5">
        <v>53</v>
      </c>
      <c r="N167" s="5">
        <v>3</v>
      </c>
      <c r="O167" s="5">
        <v>5</v>
      </c>
      <c r="P167" s="5" t="s">
        <v>56</v>
      </c>
      <c r="Q167" s="5">
        <v>2</v>
      </c>
      <c r="R167" s="5" t="s">
        <v>41</v>
      </c>
      <c r="S167" s="5">
        <v>19926</v>
      </c>
      <c r="T167" s="5">
        <v>17053</v>
      </c>
      <c r="U167" s="5">
        <v>3</v>
      </c>
      <c r="V167" s="5" t="s">
        <v>42</v>
      </c>
      <c r="W167" s="5" t="s">
        <v>43</v>
      </c>
      <c r="X167" s="5">
        <v>15</v>
      </c>
      <c r="Y167" s="5">
        <v>3</v>
      </c>
      <c r="Z167" s="5">
        <v>2</v>
      </c>
      <c r="AA167" s="5">
        <v>80</v>
      </c>
      <c r="AB167" s="5">
        <v>0</v>
      </c>
      <c r="AC167" s="5">
        <v>21</v>
      </c>
      <c r="AD167" s="5">
        <v>5</v>
      </c>
      <c r="AE167" s="5">
        <v>3</v>
      </c>
      <c r="AF167" s="5">
        <v>5</v>
      </c>
      <c r="AG167" s="5">
        <v>4</v>
      </c>
      <c r="AH167" s="5">
        <v>4</v>
      </c>
      <c r="AI167" s="5">
        <v>4</v>
      </c>
    </row>
    <row r="168" spans="1:35" x14ac:dyDescent="0.25">
      <c r="A168" s="5">
        <v>41</v>
      </c>
      <c r="B168" s="5" t="s">
        <v>43</v>
      </c>
      <c r="C168" s="5" t="s">
        <v>36</v>
      </c>
      <c r="D168" s="5">
        <v>465</v>
      </c>
      <c r="E168" s="5" t="s">
        <v>45</v>
      </c>
      <c r="F168" s="5">
        <v>14</v>
      </c>
      <c r="G168" s="5">
        <v>3</v>
      </c>
      <c r="H168" s="5" t="s">
        <v>38</v>
      </c>
      <c r="I168" s="5">
        <v>1</v>
      </c>
      <c r="J168" s="5">
        <v>227</v>
      </c>
      <c r="K168" s="5">
        <v>1</v>
      </c>
      <c r="L168" s="5" t="s">
        <v>46</v>
      </c>
      <c r="M168" s="5">
        <v>56</v>
      </c>
      <c r="N168" s="5">
        <v>3</v>
      </c>
      <c r="O168" s="5">
        <v>1</v>
      </c>
      <c r="P168" s="5" t="s">
        <v>47</v>
      </c>
      <c r="Q168" s="5">
        <v>3</v>
      </c>
      <c r="R168" s="5" t="s">
        <v>52</v>
      </c>
      <c r="S168" s="5">
        <v>2451</v>
      </c>
      <c r="T168" s="5">
        <v>4609</v>
      </c>
      <c r="U168" s="5">
        <v>4</v>
      </c>
      <c r="V168" s="5" t="s">
        <v>42</v>
      </c>
      <c r="W168" s="5" t="s">
        <v>43</v>
      </c>
      <c r="X168" s="5">
        <v>12</v>
      </c>
      <c r="Y168" s="5">
        <v>3</v>
      </c>
      <c r="Z168" s="5">
        <v>1</v>
      </c>
      <c r="AA168" s="5">
        <v>80</v>
      </c>
      <c r="AB168" s="5">
        <v>1</v>
      </c>
      <c r="AC168" s="5">
        <v>13</v>
      </c>
      <c r="AD168" s="5">
        <v>2</v>
      </c>
      <c r="AE168" s="5">
        <v>3</v>
      </c>
      <c r="AF168" s="5">
        <v>9</v>
      </c>
      <c r="AG168" s="5">
        <v>8</v>
      </c>
      <c r="AH168" s="5">
        <v>1</v>
      </c>
      <c r="AI168" s="5">
        <v>8</v>
      </c>
    </row>
    <row r="169" spans="1:35" x14ac:dyDescent="0.25">
      <c r="A169" s="5">
        <v>30</v>
      </c>
      <c r="B169" s="5" t="s">
        <v>43</v>
      </c>
      <c r="C169" s="5" t="s">
        <v>36</v>
      </c>
      <c r="D169" s="5">
        <v>1339</v>
      </c>
      <c r="E169" s="5" t="s">
        <v>37</v>
      </c>
      <c r="F169" s="5">
        <v>5</v>
      </c>
      <c r="G169" s="5">
        <v>3</v>
      </c>
      <c r="H169" s="5" t="s">
        <v>38</v>
      </c>
      <c r="I169" s="5">
        <v>1</v>
      </c>
      <c r="J169" s="5">
        <v>228</v>
      </c>
      <c r="K169" s="5">
        <v>2</v>
      </c>
      <c r="L169" s="5" t="s">
        <v>39</v>
      </c>
      <c r="M169" s="5">
        <v>41</v>
      </c>
      <c r="N169" s="5">
        <v>3</v>
      </c>
      <c r="O169" s="5">
        <v>3</v>
      </c>
      <c r="P169" s="5" t="s">
        <v>40</v>
      </c>
      <c r="Q169" s="5">
        <v>4</v>
      </c>
      <c r="R169" s="5" t="s">
        <v>48</v>
      </c>
      <c r="S169" s="5">
        <v>9419</v>
      </c>
      <c r="T169" s="5">
        <v>8053</v>
      </c>
      <c r="U169" s="5">
        <v>2</v>
      </c>
      <c r="V169" s="5" t="s">
        <v>42</v>
      </c>
      <c r="W169" s="5" t="s">
        <v>43</v>
      </c>
      <c r="X169" s="5">
        <v>12</v>
      </c>
      <c r="Y169" s="5">
        <v>3</v>
      </c>
      <c r="Z169" s="5">
        <v>3</v>
      </c>
      <c r="AA169" s="5">
        <v>80</v>
      </c>
      <c r="AB169" s="5">
        <v>1</v>
      </c>
      <c r="AC169" s="5">
        <v>12</v>
      </c>
      <c r="AD169" s="5">
        <v>2</v>
      </c>
      <c r="AE169" s="5">
        <v>3</v>
      </c>
      <c r="AF169" s="5">
        <v>10</v>
      </c>
      <c r="AG169" s="5">
        <v>9</v>
      </c>
      <c r="AH169" s="5">
        <v>7</v>
      </c>
      <c r="AI169" s="5">
        <v>4</v>
      </c>
    </row>
    <row r="170" spans="1:35" x14ac:dyDescent="0.25">
      <c r="A170" s="5">
        <v>38</v>
      </c>
      <c r="B170" s="5" t="s">
        <v>43</v>
      </c>
      <c r="C170" s="5" t="s">
        <v>36</v>
      </c>
      <c r="D170" s="5">
        <v>702</v>
      </c>
      <c r="E170" s="5" t="s">
        <v>37</v>
      </c>
      <c r="F170" s="5">
        <v>1</v>
      </c>
      <c r="G170" s="5">
        <v>4</v>
      </c>
      <c r="H170" s="5" t="s">
        <v>38</v>
      </c>
      <c r="I170" s="5">
        <v>1</v>
      </c>
      <c r="J170" s="5">
        <v>230</v>
      </c>
      <c r="K170" s="5">
        <v>1</v>
      </c>
      <c r="L170" s="5" t="s">
        <v>39</v>
      </c>
      <c r="M170" s="5">
        <v>59</v>
      </c>
      <c r="N170" s="5">
        <v>2</v>
      </c>
      <c r="O170" s="5">
        <v>2</v>
      </c>
      <c r="P170" s="5" t="s">
        <v>40</v>
      </c>
      <c r="Q170" s="5">
        <v>4</v>
      </c>
      <c r="R170" s="5" t="s">
        <v>41</v>
      </c>
      <c r="S170" s="5">
        <v>8686</v>
      </c>
      <c r="T170" s="5">
        <v>12930</v>
      </c>
      <c r="U170" s="5">
        <v>4</v>
      </c>
      <c r="V170" s="5" t="s">
        <v>42</v>
      </c>
      <c r="W170" s="5" t="s">
        <v>43</v>
      </c>
      <c r="X170" s="5">
        <v>22</v>
      </c>
      <c r="Y170" s="5">
        <v>4</v>
      </c>
      <c r="Z170" s="5">
        <v>3</v>
      </c>
      <c r="AA170" s="5">
        <v>80</v>
      </c>
      <c r="AB170" s="5">
        <v>0</v>
      </c>
      <c r="AC170" s="5">
        <v>12</v>
      </c>
      <c r="AD170" s="5">
        <v>2</v>
      </c>
      <c r="AE170" s="5">
        <v>4</v>
      </c>
      <c r="AF170" s="5">
        <v>8</v>
      </c>
      <c r="AG170" s="5">
        <v>3</v>
      </c>
      <c r="AH170" s="5">
        <v>0</v>
      </c>
      <c r="AI170" s="5">
        <v>7</v>
      </c>
    </row>
    <row r="171" spans="1:35" x14ac:dyDescent="0.25">
      <c r="A171" s="5">
        <v>32</v>
      </c>
      <c r="B171" s="5" t="s">
        <v>43</v>
      </c>
      <c r="C171" s="5" t="s">
        <v>36</v>
      </c>
      <c r="D171" s="5">
        <v>120</v>
      </c>
      <c r="E171" s="5" t="s">
        <v>45</v>
      </c>
      <c r="F171" s="5">
        <v>6</v>
      </c>
      <c r="G171" s="5">
        <v>5</v>
      </c>
      <c r="H171" s="5" t="s">
        <v>38</v>
      </c>
      <c r="I171" s="5">
        <v>1</v>
      </c>
      <c r="J171" s="5">
        <v>231</v>
      </c>
      <c r="K171" s="5">
        <v>3</v>
      </c>
      <c r="L171" s="5" t="s">
        <v>46</v>
      </c>
      <c r="M171" s="5">
        <v>43</v>
      </c>
      <c r="N171" s="5">
        <v>3</v>
      </c>
      <c r="O171" s="5">
        <v>1</v>
      </c>
      <c r="P171" s="5" t="s">
        <v>47</v>
      </c>
      <c r="Q171" s="5">
        <v>3</v>
      </c>
      <c r="R171" s="5" t="s">
        <v>41</v>
      </c>
      <c r="S171" s="5">
        <v>3038</v>
      </c>
      <c r="T171" s="5">
        <v>12430</v>
      </c>
      <c r="U171" s="5">
        <v>3</v>
      </c>
      <c r="V171" s="5" t="s">
        <v>42</v>
      </c>
      <c r="W171" s="5" t="s">
        <v>43</v>
      </c>
      <c r="X171" s="5">
        <v>20</v>
      </c>
      <c r="Y171" s="5">
        <v>4</v>
      </c>
      <c r="Z171" s="5">
        <v>1</v>
      </c>
      <c r="AA171" s="5">
        <v>80</v>
      </c>
      <c r="AB171" s="5">
        <v>0</v>
      </c>
      <c r="AC171" s="5">
        <v>8</v>
      </c>
      <c r="AD171" s="5">
        <v>2</v>
      </c>
      <c r="AE171" s="5">
        <v>3</v>
      </c>
      <c r="AF171" s="5">
        <v>5</v>
      </c>
      <c r="AG171" s="5">
        <v>4</v>
      </c>
      <c r="AH171" s="5">
        <v>1</v>
      </c>
      <c r="AI171" s="5">
        <v>4</v>
      </c>
    </row>
    <row r="172" spans="1:35" x14ac:dyDescent="0.25">
      <c r="A172" s="5">
        <v>27</v>
      </c>
      <c r="B172" s="5" t="s">
        <v>43</v>
      </c>
      <c r="C172" s="5" t="s">
        <v>36</v>
      </c>
      <c r="D172" s="5">
        <v>1157</v>
      </c>
      <c r="E172" s="5" t="s">
        <v>45</v>
      </c>
      <c r="F172" s="5">
        <v>17</v>
      </c>
      <c r="G172" s="5">
        <v>3</v>
      </c>
      <c r="H172" s="5" t="s">
        <v>60</v>
      </c>
      <c r="I172" s="5">
        <v>1</v>
      </c>
      <c r="J172" s="5">
        <v>233</v>
      </c>
      <c r="K172" s="5">
        <v>3</v>
      </c>
      <c r="L172" s="5" t="s">
        <v>46</v>
      </c>
      <c r="M172" s="5">
        <v>51</v>
      </c>
      <c r="N172" s="5">
        <v>3</v>
      </c>
      <c r="O172" s="5">
        <v>1</v>
      </c>
      <c r="P172" s="5" t="s">
        <v>47</v>
      </c>
      <c r="Q172" s="5">
        <v>2</v>
      </c>
      <c r="R172" s="5" t="s">
        <v>48</v>
      </c>
      <c r="S172" s="5">
        <v>3058</v>
      </c>
      <c r="T172" s="5">
        <v>13364</v>
      </c>
      <c r="U172" s="5">
        <v>0</v>
      </c>
      <c r="V172" s="5" t="s">
        <v>42</v>
      </c>
      <c r="W172" s="5" t="s">
        <v>35</v>
      </c>
      <c r="X172" s="5">
        <v>16</v>
      </c>
      <c r="Y172" s="5">
        <v>3</v>
      </c>
      <c r="Z172" s="5">
        <v>4</v>
      </c>
      <c r="AA172" s="5">
        <v>80</v>
      </c>
      <c r="AB172" s="5">
        <v>1</v>
      </c>
      <c r="AC172" s="5">
        <v>6</v>
      </c>
      <c r="AD172" s="5">
        <v>3</v>
      </c>
      <c r="AE172" s="5">
        <v>2</v>
      </c>
      <c r="AF172" s="5">
        <v>5</v>
      </c>
      <c r="AG172" s="5">
        <v>2</v>
      </c>
      <c r="AH172" s="5">
        <v>1</v>
      </c>
      <c r="AI172" s="5">
        <v>1</v>
      </c>
    </row>
    <row r="173" spans="1:35" x14ac:dyDescent="0.25">
      <c r="A173" s="5">
        <v>19</v>
      </c>
      <c r="B173" s="5" t="s">
        <v>35</v>
      </c>
      <c r="C173" s="5" t="s">
        <v>44</v>
      </c>
      <c r="D173" s="5">
        <v>602</v>
      </c>
      <c r="E173" s="5" t="s">
        <v>37</v>
      </c>
      <c r="F173" s="5">
        <v>1</v>
      </c>
      <c r="G173" s="5">
        <v>1</v>
      </c>
      <c r="H173" s="5" t="s">
        <v>60</v>
      </c>
      <c r="I173" s="5">
        <v>1</v>
      </c>
      <c r="J173" s="5">
        <v>235</v>
      </c>
      <c r="K173" s="5">
        <v>3</v>
      </c>
      <c r="L173" s="5" t="s">
        <v>39</v>
      </c>
      <c r="M173" s="5">
        <v>100</v>
      </c>
      <c r="N173" s="5">
        <v>1</v>
      </c>
      <c r="O173" s="5">
        <v>1</v>
      </c>
      <c r="P173" s="5" t="s">
        <v>57</v>
      </c>
      <c r="Q173" s="5">
        <v>1</v>
      </c>
      <c r="R173" s="5" t="s">
        <v>41</v>
      </c>
      <c r="S173" s="5">
        <v>2325</v>
      </c>
      <c r="T173" s="5">
        <v>20989</v>
      </c>
      <c r="U173" s="5">
        <v>0</v>
      </c>
      <c r="V173" s="5" t="s">
        <v>42</v>
      </c>
      <c r="W173" s="5" t="s">
        <v>43</v>
      </c>
      <c r="X173" s="5">
        <v>21</v>
      </c>
      <c r="Y173" s="5">
        <v>4</v>
      </c>
      <c r="Z173" s="5">
        <v>1</v>
      </c>
      <c r="AA173" s="5">
        <v>80</v>
      </c>
      <c r="AB173" s="5">
        <v>0</v>
      </c>
      <c r="AC173" s="5">
        <v>1</v>
      </c>
      <c r="AD173" s="5">
        <v>5</v>
      </c>
      <c r="AE173" s="5">
        <v>4</v>
      </c>
      <c r="AF173" s="5">
        <v>0</v>
      </c>
      <c r="AG173" s="5">
        <v>0</v>
      </c>
      <c r="AH173" s="5">
        <v>0</v>
      </c>
      <c r="AI173" s="5">
        <v>0</v>
      </c>
    </row>
    <row r="174" spans="1:35" x14ac:dyDescent="0.25">
      <c r="A174" s="5">
        <v>36</v>
      </c>
      <c r="B174" s="5" t="s">
        <v>43</v>
      </c>
      <c r="C174" s="5" t="s">
        <v>44</v>
      </c>
      <c r="D174" s="5">
        <v>1480</v>
      </c>
      <c r="E174" s="5" t="s">
        <v>45</v>
      </c>
      <c r="F174" s="5">
        <v>3</v>
      </c>
      <c r="G174" s="5">
        <v>2</v>
      </c>
      <c r="H174" s="5" t="s">
        <v>51</v>
      </c>
      <c r="I174" s="5">
        <v>1</v>
      </c>
      <c r="J174" s="5">
        <v>238</v>
      </c>
      <c r="K174" s="5">
        <v>4</v>
      </c>
      <c r="L174" s="5" t="s">
        <v>46</v>
      </c>
      <c r="M174" s="5">
        <v>30</v>
      </c>
      <c r="N174" s="5">
        <v>3</v>
      </c>
      <c r="O174" s="5">
        <v>1</v>
      </c>
      <c r="P174" s="5" t="s">
        <v>50</v>
      </c>
      <c r="Q174" s="5">
        <v>2</v>
      </c>
      <c r="R174" s="5" t="s">
        <v>41</v>
      </c>
      <c r="S174" s="5">
        <v>2088</v>
      </c>
      <c r="T174" s="5">
        <v>15062</v>
      </c>
      <c r="U174" s="5">
        <v>4</v>
      </c>
      <c r="V174" s="5" t="s">
        <v>42</v>
      </c>
      <c r="W174" s="5" t="s">
        <v>43</v>
      </c>
      <c r="X174" s="5">
        <v>12</v>
      </c>
      <c r="Y174" s="5">
        <v>3</v>
      </c>
      <c r="Z174" s="5">
        <v>3</v>
      </c>
      <c r="AA174" s="5">
        <v>80</v>
      </c>
      <c r="AB174" s="5">
        <v>0</v>
      </c>
      <c r="AC174" s="5">
        <v>13</v>
      </c>
      <c r="AD174" s="5">
        <v>3</v>
      </c>
      <c r="AE174" s="5">
        <v>2</v>
      </c>
      <c r="AF174" s="5">
        <v>8</v>
      </c>
      <c r="AG174" s="5">
        <v>7</v>
      </c>
      <c r="AH174" s="5">
        <v>7</v>
      </c>
      <c r="AI174" s="5">
        <v>2</v>
      </c>
    </row>
    <row r="175" spans="1:35" x14ac:dyDescent="0.25">
      <c r="A175" s="5">
        <v>30</v>
      </c>
      <c r="B175" s="5" t="s">
        <v>43</v>
      </c>
      <c r="C175" s="5" t="s">
        <v>55</v>
      </c>
      <c r="D175" s="5">
        <v>111</v>
      </c>
      <c r="E175" s="5" t="s">
        <v>45</v>
      </c>
      <c r="F175" s="5">
        <v>9</v>
      </c>
      <c r="G175" s="5">
        <v>3</v>
      </c>
      <c r="H175" s="5" t="s">
        <v>51</v>
      </c>
      <c r="I175" s="5">
        <v>1</v>
      </c>
      <c r="J175" s="5">
        <v>239</v>
      </c>
      <c r="K175" s="5">
        <v>3</v>
      </c>
      <c r="L175" s="5" t="s">
        <v>46</v>
      </c>
      <c r="M175" s="5">
        <v>66</v>
      </c>
      <c r="N175" s="5">
        <v>3</v>
      </c>
      <c r="O175" s="5">
        <v>2</v>
      </c>
      <c r="P175" s="5" t="s">
        <v>50</v>
      </c>
      <c r="Q175" s="5">
        <v>1</v>
      </c>
      <c r="R175" s="5" t="s">
        <v>52</v>
      </c>
      <c r="S175" s="5">
        <v>3072</v>
      </c>
      <c r="T175" s="5">
        <v>11012</v>
      </c>
      <c r="U175" s="5">
        <v>1</v>
      </c>
      <c r="V175" s="5" t="s">
        <v>42</v>
      </c>
      <c r="W175" s="5" t="s">
        <v>43</v>
      </c>
      <c r="X175" s="5">
        <v>11</v>
      </c>
      <c r="Y175" s="5">
        <v>3</v>
      </c>
      <c r="Z175" s="5">
        <v>3</v>
      </c>
      <c r="AA175" s="5">
        <v>80</v>
      </c>
      <c r="AB175" s="5">
        <v>2</v>
      </c>
      <c r="AC175" s="5">
        <v>12</v>
      </c>
      <c r="AD175" s="5">
        <v>4</v>
      </c>
      <c r="AE175" s="5">
        <v>3</v>
      </c>
      <c r="AF175" s="5">
        <v>12</v>
      </c>
      <c r="AG175" s="5">
        <v>9</v>
      </c>
      <c r="AH175" s="5">
        <v>6</v>
      </c>
      <c r="AI175" s="5">
        <v>10</v>
      </c>
    </row>
    <row r="176" spans="1:35" x14ac:dyDescent="0.25">
      <c r="A176" s="5">
        <v>45</v>
      </c>
      <c r="B176" s="5" t="s">
        <v>43</v>
      </c>
      <c r="C176" s="5" t="s">
        <v>36</v>
      </c>
      <c r="D176" s="5">
        <v>1268</v>
      </c>
      <c r="E176" s="5" t="s">
        <v>37</v>
      </c>
      <c r="F176" s="5">
        <v>4</v>
      </c>
      <c r="G176" s="5">
        <v>2</v>
      </c>
      <c r="H176" s="5" t="s">
        <v>38</v>
      </c>
      <c r="I176" s="5">
        <v>1</v>
      </c>
      <c r="J176" s="5">
        <v>240</v>
      </c>
      <c r="K176" s="5">
        <v>3</v>
      </c>
      <c r="L176" s="5" t="s">
        <v>39</v>
      </c>
      <c r="M176" s="5">
        <v>30</v>
      </c>
      <c r="N176" s="5">
        <v>3</v>
      </c>
      <c r="O176" s="5">
        <v>2</v>
      </c>
      <c r="P176" s="5" t="s">
        <v>40</v>
      </c>
      <c r="Q176" s="5">
        <v>1</v>
      </c>
      <c r="R176" s="5" t="s">
        <v>52</v>
      </c>
      <c r="S176" s="5">
        <v>5006</v>
      </c>
      <c r="T176" s="5">
        <v>6319</v>
      </c>
      <c r="U176" s="5">
        <v>4</v>
      </c>
      <c r="V176" s="5" t="s">
        <v>42</v>
      </c>
      <c r="W176" s="5" t="s">
        <v>35</v>
      </c>
      <c r="X176" s="5">
        <v>11</v>
      </c>
      <c r="Y176" s="5">
        <v>3</v>
      </c>
      <c r="Z176" s="5">
        <v>1</v>
      </c>
      <c r="AA176" s="5">
        <v>80</v>
      </c>
      <c r="AB176" s="5">
        <v>1</v>
      </c>
      <c r="AC176" s="5">
        <v>9</v>
      </c>
      <c r="AD176" s="5">
        <v>3</v>
      </c>
      <c r="AE176" s="5">
        <v>4</v>
      </c>
      <c r="AF176" s="5">
        <v>5</v>
      </c>
      <c r="AG176" s="5">
        <v>4</v>
      </c>
      <c r="AH176" s="5">
        <v>0</v>
      </c>
      <c r="AI176" s="5">
        <v>3</v>
      </c>
    </row>
    <row r="177" spans="1:35" x14ac:dyDescent="0.25">
      <c r="A177" s="5">
        <v>56</v>
      </c>
      <c r="B177" s="5" t="s">
        <v>43</v>
      </c>
      <c r="C177" s="5" t="s">
        <v>36</v>
      </c>
      <c r="D177" s="5">
        <v>713</v>
      </c>
      <c r="E177" s="5" t="s">
        <v>45</v>
      </c>
      <c r="F177" s="5">
        <v>8</v>
      </c>
      <c r="G177" s="5">
        <v>3</v>
      </c>
      <c r="H177" s="5" t="s">
        <v>38</v>
      </c>
      <c r="I177" s="5">
        <v>1</v>
      </c>
      <c r="J177" s="5">
        <v>241</v>
      </c>
      <c r="K177" s="5">
        <v>3</v>
      </c>
      <c r="L177" s="5" t="s">
        <v>39</v>
      </c>
      <c r="M177" s="5">
        <v>67</v>
      </c>
      <c r="N177" s="5">
        <v>3</v>
      </c>
      <c r="O177" s="5">
        <v>1</v>
      </c>
      <c r="P177" s="5" t="s">
        <v>47</v>
      </c>
      <c r="Q177" s="5">
        <v>1</v>
      </c>
      <c r="R177" s="5" t="s">
        <v>52</v>
      </c>
      <c r="S177" s="5">
        <v>4257</v>
      </c>
      <c r="T177" s="5">
        <v>13939</v>
      </c>
      <c r="U177" s="5">
        <v>4</v>
      </c>
      <c r="V177" s="5" t="s">
        <v>42</v>
      </c>
      <c r="W177" s="5" t="s">
        <v>35</v>
      </c>
      <c r="X177" s="5">
        <v>18</v>
      </c>
      <c r="Y177" s="5">
        <v>3</v>
      </c>
      <c r="Z177" s="5">
        <v>3</v>
      </c>
      <c r="AA177" s="5">
        <v>80</v>
      </c>
      <c r="AB177" s="5">
        <v>1</v>
      </c>
      <c r="AC177" s="5">
        <v>19</v>
      </c>
      <c r="AD177" s="5">
        <v>3</v>
      </c>
      <c r="AE177" s="5">
        <v>3</v>
      </c>
      <c r="AF177" s="5">
        <v>2</v>
      </c>
      <c r="AG177" s="5">
        <v>2</v>
      </c>
      <c r="AH177" s="5">
        <v>2</v>
      </c>
      <c r="AI177" s="5">
        <v>2</v>
      </c>
    </row>
    <row r="178" spans="1:35" x14ac:dyDescent="0.25">
      <c r="A178" s="5">
        <v>33</v>
      </c>
      <c r="B178" s="5" t="s">
        <v>43</v>
      </c>
      <c r="C178" s="5" t="s">
        <v>36</v>
      </c>
      <c r="D178" s="5">
        <v>134</v>
      </c>
      <c r="E178" s="5" t="s">
        <v>45</v>
      </c>
      <c r="F178" s="5">
        <v>2</v>
      </c>
      <c r="G178" s="5">
        <v>3</v>
      </c>
      <c r="H178" s="5" t="s">
        <v>38</v>
      </c>
      <c r="I178" s="5">
        <v>1</v>
      </c>
      <c r="J178" s="5">
        <v>242</v>
      </c>
      <c r="K178" s="5">
        <v>3</v>
      </c>
      <c r="L178" s="5" t="s">
        <v>46</v>
      </c>
      <c r="M178" s="5">
        <v>90</v>
      </c>
      <c r="N178" s="5">
        <v>3</v>
      </c>
      <c r="O178" s="5">
        <v>1</v>
      </c>
      <c r="P178" s="5" t="s">
        <v>47</v>
      </c>
      <c r="Q178" s="5">
        <v>4</v>
      </c>
      <c r="R178" s="5" t="s">
        <v>41</v>
      </c>
      <c r="S178" s="5">
        <v>2500</v>
      </c>
      <c r="T178" s="5">
        <v>10515</v>
      </c>
      <c r="U178" s="5">
        <v>0</v>
      </c>
      <c r="V178" s="5" t="s">
        <v>42</v>
      </c>
      <c r="W178" s="5" t="s">
        <v>43</v>
      </c>
      <c r="X178" s="5">
        <v>14</v>
      </c>
      <c r="Y178" s="5">
        <v>3</v>
      </c>
      <c r="Z178" s="5">
        <v>1</v>
      </c>
      <c r="AA178" s="5">
        <v>80</v>
      </c>
      <c r="AB178" s="5">
        <v>0</v>
      </c>
      <c r="AC178" s="5">
        <v>4</v>
      </c>
      <c r="AD178" s="5">
        <v>2</v>
      </c>
      <c r="AE178" s="5">
        <v>4</v>
      </c>
      <c r="AF178" s="5">
        <v>3</v>
      </c>
      <c r="AG178" s="5">
        <v>1</v>
      </c>
      <c r="AH178" s="5">
        <v>0</v>
      </c>
      <c r="AI178" s="5">
        <v>2</v>
      </c>
    </row>
    <row r="179" spans="1:35" x14ac:dyDescent="0.25">
      <c r="A179" s="5">
        <v>19</v>
      </c>
      <c r="B179" s="5" t="s">
        <v>35</v>
      </c>
      <c r="C179" s="5" t="s">
        <v>36</v>
      </c>
      <c r="D179" s="5">
        <v>303</v>
      </c>
      <c r="E179" s="5" t="s">
        <v>45</v>
      </c>
      <c r="F179" s="5">
        <v>2</v>
      </c>
      <c r="G179" s="5">
        <v>3</v>
      </c>
      <c r="H179" s="5" t="s">
        <v>38</v>
      </c>
      <c r="I179" s="5">
        <v>1</v>
      </c>
      <c r="J179" s="5">
        <v>243</v>
      </c>
      <c r="K179" s="5">
        <v>2</v>
      </c>
      <c r="L179" s="5" t="s">
        <v>46</v>
      </c>
      <c r="M179" s="5">
        <v>47</v>
      </c>
      <c r="N179" s="5">
        <v>2</v>
      </c>
      <c r="O179" s="5">
        <v>1</v>
      </c>
      <c r="P179" s="5" t="s">
        <v>50</v>
      </c>
      <c r="Q179" s="5">
        <v>4</v>
      </c>
      <c r="R179" s="5" t="s">
        <v>41</v>
      </c>
      <c r="S179" s="5">
        <v>1102</v>
      </c>
      <c r="T179" s="5">
        <v>9241</v>
      </c>
      <c r="U179" s="5">
        <v>1</v>
      </c>
      <c r="V179" s="5" t="s">
        <v>42</v>
      </c>
      <c r="W179" s="5" t="s">
        <v>43</v>
      </c>
      <c r="X179" s="5">
        <v>22</v>
      </c>
      <c r="Y179" s="5">
        <v>4</v>
      </c>
      <c r="Z179" s="5">
        <v>3</v>
      </c>
      <c r="AA179" s="5">
        <v>80</v>
      </c>
      <c r="AB179" s="5">
        <v>0</v>
      </c>
      <c r="AC179" s="5">
        <v>1</v>
      </c>
      <c r="AD179" s="5">
        <v>3</v>
      </c>
      <c r="AE179" s="5">
        <v>2</v>
      </c>
      <c r="AF179" s="5">
        <v>1</v>
      </c>
      <c r="AG179" s="5">
        <v>0</v>
      </c>
      <c r="AH179" s="5">
        <v>1</v>
      </c>
      <c r="AI179" s="5">
        <v>0</v>
      </c>
    </row>
    <row r="180" spans="1:35" x14ac:dyDescent="0.25">
      <c r="A180" s="5">
        <v>46</v>
      </c>
      <c r="B180" s="5" t="s">
        <v>43</v>
      </c>
      <c r="C180" s="5" t="s">
        <v>36</v>
      </c>
      <c r="D180" s="5">
        <v>526</v>
      </c>
      <c r="E180" s="5" t="s">
        <v>37</v>
      </c>
      <c r="F180" s="5">
        <v>1</v>
      </c>
      <c r="G180" s="5">
        <v>2</v>
      </c>
      <c r="H180" s="5" t="s">
        <v>59</v>
      </c>
      <c r="I180" s="5">
        <v>1</v>
      </c>
      <c r="J180" s="5">
        <v>244</v>
      </c>
      <c r="K180" s="5">
        <v>2</v>
      </c>
      <c r="L180" s="5" t="s">
        <v>39</v>
      </c>
      <c r="M180" s="5">
        <v>92</v>
      </c>
      <c r="N180" s="5">
        <v>3</v>
      </c>
      <c r="O180" s="5">
        <v>3</v>
      </c>
      <c r="P180" s="5" t="s">
        <v>40</v>
      </c>
      <c r="Q180" s="5">
        <v>1</v>
      </c>
      <c r="R180" s="5" t="s">
        <v>52</v>
      </c>
      <c r="S180" s="5">
        <v>10453</v>
      </c>
      <c r="T180" s="5">
        <v>2137</v>
      </c>
      <c r="U180" s="5">
        <v>1</v>
      </c>
      <c r="V180" s="5" t="s">
        <v>42</v>
      </c>
      <c r="W180" s="5" t="s">
        <v>43</v>
      </c>
      <c r="X180" s="5">
        <v>25</v>
      </c>
      <c r="Y180" s="5">
        <v>4</v>
      </c>
      <c r="Z180" s="5">
        <v>3</v>
      </c>
      <c r="AA180" s="5">
        <v>80</v>
      </c>
      <c r="AB180" s="5">
        <v>3</v>
      </c>
      <c r="AC180" s="5">
        <v>24</v>
      </c>
      <c r="AD180" s="5">
        <v>2</v>
      </c>
      <c r="AE180" s="5">
        <v>3</v>
      </c>
      <c r="AF180" s="5">
        <v>24</v>
      </c>
      <c r="AG180" s="5">
        <v>13</v>
      </c>
      <c r="AH180" s="5">
        <v>15</v>
      </c>
      <c r="AI180" s="5">
        <v>7</v>
      </c>
    </row>
    <row r="181" spans="1:35" x14ac:dyDescent="0.25">
      <c r="A181" s="5">
        <v>38</v>
      </c>
      <c r="B181" s="5" t="s">
        <v>43</v>
      </c>
      <c r="C181" s="5" t="s">
        <v>36</v>
      </c>
      <c r="D181" s="5">
        <v>1380</v>
      </c>
      <c r="E181" s="5" t="s">
        <v>45</v>
      </c>
      <c r="F181" s="5">
        <v>9</v>
      </c>
      <c r="G181" s="5">
        <v>2</v>
      </c>
      <c r="H181" s="5" t="s">
        <v>38</v>
      </c>
      <c r="I181" s="5">
        <v>1</v>
      </c>
      <c r="J181" s="5">
        <v>245</v>
      </c>
      <c r="K181" s="5">
        <v>3</v>
      </c>
      <c r="L181" s="5" t="s">
        <v>39</v>
      </c>
      <c r="M181" s="5">
        <v>75</v>
      </c>
      <c r="N181" s="5">
        <v>3</v>
      </c>
      <c r="O181" s="5">
        <v>1</v>
      </c>
      <c r="P181" s="5" t="s">
        <v>50</v>
      </c>
      <c r="Q181" s="5">
        <v>4</v>
      </c>
      <c r="R181" s="5" t="s">
        <v>41</v>
      </c>
      <c r="S181" s="5">
        <v>2288</v>
      </c>
      <c r="T181" s="5">
        <v>6319</v>
      </c>
      <c r="U181" s="5">
        <v>1</v>
      </c>
      <c r="V181" s="5" t="s">
        <v>42</v>
      </c>
      <c r="W181" s="5" t="s">
        <v>43</v>
      </c>
      <c r="X181" s="5">
        <v>12</v>
      </c>
      <c r="Y181" s="5">
        <v>3</v>
      </c>
      <c r="Z181" s="5">
        <v>3</v>
      </c>
      <c r="AA181" s="5">
        <v>80</v>
      </c>
      <c r="AB181" s="5">
        <v>0</v>
      </c>
      <c r="AC181" s="5">
        <v>2</v>
      </c>
      <c r="AD181" s="5">
        <v>3</v>
      </c>
      <c r="AE181" s="5">
        <v>3</v>
      </c>
      <c r="AF181" s="5">
        <v>2</v>
      </c>
      <c r="AG181" s="5">
        <v>2</v>
      </c>
      <c r="AH181" s="5">
        <v>2</v>
      </c>
      <c r="AI181" s="5">
        <v>1</v>
      </c>
    </row>
    <row r="182" spans="1:35" x14ac:dyDescent="0.25">
      <c r="A182" s="5">
        <v>31</v>
      </c>
      <c r="B182" s="5" t="s">
        <v>43</v>
      </c>
      <c r="C182" s="5" t="s">
        <v>36</v>
      </c>
      <c r="D182" s="5">
        <v>140</v>
      </c>
      <c r="E182" s="5" t="s">
        <v>45</v>
      </c>
      <c r="F182" s="5">
        <v>12</v>
      </c>
      <c r="G182" s="5">
        <v>1</v>
      </c>
      <c r="H182" s="5" t="s">
        <v>51</v>
      </c>
      <c r="I182" s="5">
        <v>1</v>
      </c>
      <c r="J182" s="5">
        <v>246</v>
      </c>
      <c r="K182" s="5">
        <v>3</v>
      </c>
      <c r="L182" s="5" t="s">
        <v>39</v>
      </c>
      <c r="M182" s="5">
        <v>95</v>
      </c>
      <c r="N182" s="5">
        <v>3</v>
      </c>
      <c r="O182" s="5">
        <v>1</v>
      </c>
      <c r="P182" s="5" t="s">
        <v>47</v>
      </c>
      <c r="Q182" s="5">
        <v>4</v>
      </c>
      <c r="R182" s="5" t="s">
        <v>48</v>
      </c>
      <c r="S182" s="5">
        <v>3929</v>
      </c>
      <c r="T182" s="5">
        <v>6984</v>
      </c>
      <c r="U182" s="5">
        <v>8</v>
      </c>
      <c r="V182" s="5" t="s">
        <v>42</v>
      </c>
      <c r="W182" s="5" t="s">
        <v>35</v>
      </c>
      <c r="X182" s="5">
        <v>23</v>
      </c>
      <c r="Y182" s="5">
        <v>4</v>
      </c>
      <c r="Z182" s="5">
        <v>3</v>
      </c>
      <c r="AA182" s="5">
        <v>80</v>
      </c>
      <c r="AB182" s="5">
        <v>1</v>
      </c>
      <c r="AC182" s="5">
        <v>7</v>
      </c>
      <c r="AD182" s="5">
        <v>0</v>
      </c>
      <c r="AE182" s="5">
        <v>3</v>
      </c>
      <c r="AF182" s="5">
        <v>4</v>
      </c>
      <c r="AG182" s="5">
        <v>2</v>
      </c>
      <c r="AH182" s="5">
        <v>0</v>
      </c>
      <c r="AI182" s="5">
        <v>2</v>
      </c>
    </row>
    <row r="183" spans="1:35" x14ac:dyDescent="0.25">
      <c r="A183" s="5">
        <v>34</v>
      </c>
      <c r="B183" s="5" t="s">
        <v>43</v>
      </c>
      <c r="C183" s="5" t="s">
        <v>36</v>
      </c>
      <c r="D183" s="5">
        <v>629</v>
      </c>
      <c r="E183" s="5" t="s">
        <v>45</v>
      </c>
      <c r="F183" s="5">
        <v>27</v>
      </c>
      <c r="G183" s="5">
        <v>2</v>
      </c>
      <c r="H183" s="5" t="s">
        <v>51</v>
      </c>
      <c r="I183" s="5">
        <v>1</v>
      </c>
      <c r="J183" s="5">
        <v>247</v>
      </c>
      <c r="K183" s="5">
        <v>4</v>
      </c>
      <c r="L183" s="5" t="s">
        <v>39</v>
      </c>
      <c r="M183" s="5">
        <v>95</v>
      </c>
      <c r="N183" s="5">
        <v>3</v>
      </c>
      <c r="O183" s="5">
        <v>1</v>
      </c>
      <c r="P183" s="5" t="s">
        <v>47</v>
      </c>
      <c r="Q183" s="5">
        <v>2</v>
      </c>
      <c r="R183" s="5" t="s">
        <v>41</v>
      </c>
      <c r="S183" s="5">
        <v>2311</v>
      </c>
      <c r="T183" s="5">
        <v>5711</v>
      </c>
      <c r="U183" s="5">
        <v>2</v>
      </c>
      <c r="V183" s="5" t="s">
        <v>42</v>
      </c>
      <c r="W183" s="5" t="s">
        <v>43</v>
      </c>
      <c r="X183" s="5">
        <v>15</v>
      </c>
      <c r="Y183" s="5">
        <v>3</v>
      </c>
      <c r="Z183" s="5">
        <v>4</v>
      </c>
      <c r="AA183" s="5">
        <v>80</v>
      </c>
      <c r="AB183" s="5">
        <v>0</v>
      </c>
      <c r="AC183" s="5">
        <v>9</v>
      </c>
      <c r="AD183" s="5">
        <v>3</v>
      </c>
      <c r="AE183" s="5">
        <v>3</v>
      </c>
      <c r="AF183" s="5">
        <v>3</v>
      </c>
      <c r="AG183" s="5">
        <v>2</v>
      </c>
      <c r="AH183" s="5">
        <v>1</v>
      </c>
      <c r="AI183" s="5">
        <v>2</v>
      </c>
    </row>
    <row r="184" spans="1:35" x14ac:dyDescent="0.25">
      <c r="A184" s="5">
        <v>41</v>
      </c>
      <c r="B184" s="5" t="s">
        <v>35</v>
      </c>
      <c r="C184" s="5" t="s">
        <v>36</v>
      </c>
      <c r="D184" s="5">
        <v>1356</v>
      </c>
      <c r="E184" s="5" t="s">
        <v>37</v>
      </c>
      <c r="F184" s="5">
        <v>20</v>
      </c>
      <c r="G184" s="5">
        <v>2</v>
      </c>
      <c r="H184" s="5" t="s">
        <v>59</v>
      </c>
      <c r="I184" s="5">
        <v>1</v>
      </c>
      <c r="J184" s="5">
        <v>248</v>
      </c>
      <c r="K184" s="5">
        <v>2</v>
      </c>
      <c r="L184" s="5" t="s">
        <v>39</v>
      </c>
      <c r="M184" s="5">
        <v>70</v>
      </c>
      <c r="N184" s="5">
        <v>3</v>
      </c>
      <c r="O184" s="5">
        <v>1</v>
      </c>
      <c r="P184" s="5" t="s">
        <v>57</v>
      </c>
      <c r="Q184" s="5">
        <v>2</v>
      </c>
      <c r="R184" s="5" t="s">
        <v>41</v>
      </c>
      <c r="S184" s="5">
        <v>3140</v>
      </c>
      <c r="T184" s="5">
        <v>21728</v>
      </c>
      <c r="U184" s="5">
        <v>1</v>
      </c>
      <c r="V184" s="5" t="s">
        <v>42</v>
      </c>
      <c r="W184" s="5" t="s">
        <v>35</v>
      </c>
      <c r="X184" s="5">
        <v>22</v>
      </c>
      <c r="Y184" s="5">
        <v>4</v>
      </c>
      <c r="Z184" s="5">
        <v>4</v>
      </c>
      <c r="AA184" s="5">
        <v>80</v>
      </c>
      <c r="AB184" s="5">
        <v>0</v>
      </c>
      <c r="AC184" s="5">
        <v>4</v>
      </c>
      <c r="AD184" s="5">
        <v>5</v>
      </c>
      <c r="AE184" s="5">
        <v>2</v>
      </c>
      <c r="AF184" s="5">
        <v>4</v>
      </c>
      <c r="AG184" s="5">
        <v>3</v>
      </c>
      <c r="AH184" s="5">
        <v>0</v>
      </c>
      <c r="AI184" s="5">
        <v>2</v>
      </c>
    </row>
    <row r="185" spans="1:35" x14ac:dyDescent="0.25">
      <c r="A185" s="5">
        <v>50</v>
      </c>
      <c r="B185" s="5" t="s">
        <v>43</v>
      </c>
      <c r="C185" s="5" t="s">
        <v>36</v>
      </c>
      <c r="D185" s="5">
        <v>328</v>
      </c>
      <c r="E185" s="5" t="s">
        <v>45</v>
      </c>
      <c r="F185" s="5">
        <v>1</v>
      </c>
      <c r="G185" s="5">
        <v>3</v>
      </c>
      <c r="H185" s="5" t="s">
        <v>51</v>
      </c>
      <c r="I185" s="5">
        <v>1</v>
      </c>
      <c r="J185" s="5">
        <v>249</v>
      </c>
      <c r="K185" s="5">
        <v>3</v>
      </c>
      <c r="L185" s="5" t="s">
        <v>46</v>
      </c>
      <c r="M185" s="5">
        <v>86</v>
      </c>
      <c r="N185" s="5">
        <v>2</v>
      </c>
      <c r="O185" s="5">
        <v>1</v>
      </c>
      <c r="P185" s="5" t="s">
        <v>50</v>
      </c>
      <c r="Q185" s="5">
        <v>3</v>
      </c>
      <c r="R185" s="5" t="s">
        <v>48</v>
      </c>
      <c r="S185" s="5">
        <v>3690</v>
      </c>
      <c r="T185" s="5">
        <v>3425</v>
      </c>
      <c r="U185" s="5">
        <v>2</v>
      </c>
      <c r="V185" s="5" t="s">
        <v>42</v>
      </c>
      <c r="W185" s="5" t="s">
        <v>43</v>
      </c>
      <c r="X185" s="5">
        <v>15</v>
      </c>
      <c r="Y185" s="5">
        <v>3</v>
      </c>
      <c r="Z185" s="5">
        <v>4</v>
      </c>
      <c r="AA185" s="5">
        <v>80</v>
      </c>
      <c r="AB185" s="5">
        <v>1</v>
      </c>
      <c r="AC185" s="5">
        <v>5</v>
      </c>
      <c r="AD185" s="5">
        <v>2</v>
      </c>
      <c r="AE185" s="5">
        <v>2</v>
      </c>
      <c r="AF185" s="5">
        <v>3</v>
      </c>
      <c r="AG185" s="5">
        <v>2</v>
      </c>
      <c r="AH185" s="5">
        <v>0</v>
      </c>
      <c r="AI185" s="5">
        <v>2</v>
      </c>
    </row>
    <row r="186" spans="1:35" x14ac:dyDescent="0.25">
      <c r="A186" s="5">
        <v>53</v>
      </c>
      <c r="B186" s="5" t="s">
        <v>43</v>
      </c>
      <c r="C186" s="5" t="s">
        <v>36</v>
      </c>
      <c r="D186" s="5">
        <v>1084</v>
      </c>
      <c r="E186" s="5" t="s">
        <v>45</v>
      </c>
      <c r="F186" s="5">
        <v>13</v>
      </c>
      <c r="G186" s="5">
        <v>2</v>
      </c>
      <c r="H186" s="5" t="s">
        <v>51</v>
      </c>
      <c r="I186" s="5">
        <v>1</v>
      </c>
      <c r="J186" s="5">
        <v>250</v>
      </c>
      <c r="K186" s="5">
        <v>4</v>
      </c>
      <c r="L186" s="5" t="s">
        <v>39</v>
      </c>
      <c r="M186" s="5">
        <v>57</v>
      </c>
      <c r="N186" s="5">
        <v>4</v>
      </c>
      <c r="O186" s="5">
        <v>2</v>
      </c>
      <c r="P186" s="5" t="s">
        <v>53</v>
      </c>
      <c r="Q186" s="5">
        <v>1</v>
      </c>
      <c r="R186" s="5" t="s">
        <v>52</v>
      </c>
      <c r="S186" s="5">
        <v>4450</v>
      </c>
      <c r="T186" s="5">
        <v>26250</v>
      </c>
      <c r="U186" s="5">
        <v>1</v>
      </c>
      <c r="V186" s="5" t="s">
        <v>42</v>
      </c>
      <c r="W186" s="5" t="s">
        <v>43</v>
      </c>
      <c r="X186" s="5">
        <v>11</v>
      </c>
      <c r="Y186" s="5">
        <v>3</v>
      </c>
      <c r="Z186" s="5">
        <v>3</v>
      </c>
      <c r="AA186" s="5">
        <v>80</v>
      </c>
      <c r="AB186" s="5">
        <v>2</v>
      </c>
      <c r="AC186" s="5">
        <v>5</v>
      </c>
      <c r="AD186" s="5">
        <v>3</v>
      </c>
      <c r="AE186" s="5">
        <v>3</v>
      </c>
      <c r="AF186" s="5">
        <v>4</v>
      </c>
      <c r="AG186" s="5">
        <v>2</v>
      </c>
      <c r="AH186" s="5">
        <v>1</v>
      </c>
      <c r="AI186" s="5">
        <v>3</v>
      </c>
    </row>
    <row r="187" spans="1:35" x14ac:dyDescent="0.25">
      <c r="A187" s="5">
        <v>33</v>
      </c>
      <c r="B187" s="5" t="s">
        <v>43</v>
      </c>
      <c r="C187" s="5" t="s">
        <v>36</v>
      </c>
      <c r="D187" s="5">
        <v>931</v>
      </c>
      <c r="E187" s="5" t="s">
        <v>45</v>
      </c>
      <c r="F187" s="5">
        <v>14</v>
      </c>
      <c r="G187" s="5">
        <v>3</v>
      </c>
      <c r="H187" s="5" t="s">
        <v>51</v>
      </c>
      <c r="I187" s="5">
        <v>1</v>
      </c>
      <c r="J187" s="5">
        <v>252</v>
      </c>
      <c r="K187" s="5">
        <v>4</v>
      </c>
      <c r="L187" s="5" t="s">
        <v>39</v>
      </c>
      <c r="M187" s="5">
        <v>72</v>
      </c>
      <c r="N187" s="5">
        <v>3</v>
      </c>
      <c r="O187" s="5">
        <v>1</v>
      </c>
      <c r="P187" s="5" t="s">
        <v>47</v>
      </c>
      <c r="Q187" s="5">
        <v>2</v>
      </c>
      <c r="R187" s="5" t="s">
        <v>48</v>
      </c>
      <c r="S187" s="5">
        <v>2756</v>
      </c>
      <c r="T187" s="5">
        <v>4673</v>
      </c>
      <c r="U187" s="5">
        <v>1</v>
      </c>
      <c r="V187" s="5" t="s">
        <v>42</v>
      </c>
      <c r="W187" s="5" t="s">
        <v>43</v>
      </c>
      <c r="X187" s="5">
        <v>13</v>
      </c>
      <c r="Y187" s="5">
        <v>3</v>
      </c>
      <c r="Z187" s="5">
        <v>4</v>
      </c>
      <c r="AA187" s="5">
        <v>80</v>
      </c>
      <c r="AB187" s="5">
        <v>1</v>
      </c>
      <c r="AC187" s="5">
        <v>8</v>
      </c>
      <c r="AD187" s="5">
        <v>5</v>
      </c>
      <c r="AE187" s="5">
        <v>3</v>
      </c>
      <c r="AF187" s="5">
        <v>8</v>
      </c>
      <c r="AG187" s="5">
        <v>7</v>
      </c>
      <c r="AH187" s="5">
        <v>1</v>
      </c>
      <c r="AI187" s="5">
        <v>6</v>
      </c>
    </row>
    <row r="188" spans="1:35" x14ac:dyDescent="0.25">
      <c r="A188" s="5">
        <v>40</v>
      </c>
      <c r="B188" s="5" t="s">
        <v>43</v>
      </c>
      <c r="C188" s="5" t="s">
        <v>36</v>
      </c>
      <c r="D188" s="5">
        <v>989</v>
      </c>
      <c r="E188" s="5" t="s">
        <v>45</v>
      </c>
      <c r="F188" s="5">
        <v>4</v>
      </c>
      <c r="G188" s="5">
        <v>1</v>
      </c>
      <c r="H188" s="5" t="s">
        <v>51</v>
      </c>
      <c r="I188" s="5">
        <v>1</v>
      </c>
      <c r="J188" s="5">
        <v>253</v>
      </c>
      <c r="K188" s="5">
        <v>4</v>
      </c>
      <c r="L188" s="5" t="s">
        <v>39</v>
      </c>
      <c r="M188" s="5">
        <v>46</v>
      </c>
      <c r="N188" s="5">
        <v>3</v>
      </c>
      <c r="O188" s="5">
        <v>5</v>
      </c>
      <c r="P188" s="5" t="s">
        <v>56</v>
      </c>
      <c r="Q188" s="5">
        <v>3</v>
      </c>
      <c r="R188" s="5" t="s">
        <v>48</v>
      </c>
      <c r="S188" s="5">
        <v>19033</v>
      </c>
      <c r="T188" s="5">
        <v>6499</v>
      </c>
      <c r="U188" s="5">
        <v>1</v>
      </c>
      <c r="V188" s="5" t="s">
        <v>42</v>
      </c>
      <c r="W188" s="5" t="s">
        <v>43</v>
      </c>
      <c r="X188" s="5">
        <v>14</v>
      </c>
      <c r="Y188" s="5">
        <v>3</v>
      </c>
      <c r="Z188" s="5">
        <v>2</v>
      </c>
      <c r="AA188" s="5">
        <v>80</v>
      </c>
      <c r="AB188" s="5">
        <v>1</v>
      </c>
      <c r="AC188" s="5">
        <v>21</v>
      </c>
      <c r="AD188" s="5">
        <v>2</v>
      </c>
      <c r="AE188" s="5">
        <v>3</v>
      </c>
      <c r="AF188" s="5">
        <v>20</v>
      </c>
      <c r="AG188" s="5">
        <v>8</v>
      </c>
      <c r="AH188" s="5">
        <v>9</v>
      </c>
      <c r="AI188" s="5">
        <v>9</v>
      </c>
    </row>
    <row r="189" spans="1:35" x14ac:dyDescent="0.25">
      <c r="A189" s="5">
        <v>55</v>
      </c>
      <c r="B189" s="5" t="s">
        <v>43</v>
      </c>
      <c r="C189" s="5" t="s">
        <v>36</v>
      </c>
      <c r="D189" s="5">
        <v>692</v>
      </c>
      <c r="E189" s="5" t="s">
        <v>45</v>
      </c>
      <c r="F189" s="5">
        <v>14</v>
      </c>
      <c r="G189" s="5">
        <v>4</v>
      </c>
      <c r="H189" s="5" t="s">
        <v>51</v>
      </c>
      <c r="I189" s="5">
        <v>1</v>
      </c>
      <c r="J189" s="5">
        <v>254</v>
      </c>
      <c r="K189" s="5">
        <v>3</v>
      </c>
      <c r="L189" s="5" t="s">
        <v>46</v>
      </c>
      <c r="M189" s="5">
        <v>61</v>
      </c>
      <c r="N189" s="5">
        <v>4</v>
      </c>
      <c r="O189" s="5">
        <v>5</v>
      </c>
      <c r="P189" s="5" t="s">
        <v>58</v>
      </c>
      <c r="Q189" s="5">
        <v>2</v>
      </c>
      <c r="R189" s="5" t="s">
        <v>41</v>
      </c>
      <c r="S189" s="5">
        <v>18722</v>
      </c>
      <c r="T189" s="5">
        <v>13339</v>
      </c>
      <c r="U189" s="5">
        <v>8</v>
      </c>
      <c r="V189" s="5" t="s">
        <v>42</v>
      </c>
      <c r="W189" s="5" t="s">
        <v>43</v>
      </c>
      <c r="X189" s="5">
        <v>11</v>
      </c>
      <c r="Y189" s="5">
        <v>3</v>
      </c>
      <c r="Z189" s="5">
        <v>4</v>
      </c>
      <c r="AA189" s="5">
        <v>80</v>
      </c>
      <c r="AB189" s="5">
        <v>0</v>
      </c>
      <c r="AC189" s="5">
        <v>36</v>
      </c>
      <c r="AD189" s="5">
        <v>3</v>
      </c>
      <c r="AE189" s="5">
        <v>3</v>
      </c>
      <c r="AF189" s="5">
        <v>24</v>
      </c>
      <c r="AG189" s="5">
        <v>15</v>
      </c>
      <c r="AH189" s="5">
        <v>2</v>
      </c>
      <c r="AI189" s="5">
        <v>15</v>
      </c>
    </row>
    <row r="190" spans="1:35" x14ac:dyDescent="0.25">
      <c r="A190" s="5">
        <v>34</v>
      </c>
      <c r="B190" s="5" t="s">
        <v>43</v>
      </c>
      <c r="C190" s="5" t="s">
        <v>44</v>
      </c>
      <c r="D190" s="5">
        <v>1069</v>
      </c>
      <c r="E190" s="5" t="s">
        <v>45</v>
      </c>
      <c r="F190" s="5">
        <v>2</v>
      </c>
      <c r="G190" s="5">
        <v>1</v>
      </c>
      <c r="H190" s="5" t="s">
        <v>38</v>
      </c>
      <c r="I190" s="5">
        <v>1</v>
      </c>
      <c r="J190" s="5">
        <v>256</v>
      </c>
      <c r="K190" s="5">
        <v>4</v>
      </c>
      <c r="L190" s="5" t="s">
        <v>46</v>
      </c>
      <c r="M190" s="5">
        <v>45</v>
      </c>
      <c r="N190" s="5">
        <v>2</v>
      </c>
      <c r="O190" s="5">
        <v>2</v>
      </c>
      <c r="P190" s="5" t="s">
        <v>53</v>
      </c>
      <c r="Q190" s="5">
        <v>3</v>
      </c>
      <c r="R190" s="5" t="s">
        <v>48</v>
      </c>
      <c r="S190" s="5">
        <v>9547</v>
      </c>
      <c r="T190" s="5">
        <v>14074</v>
      </c>
      <c r="U190" s="5">
        <v>1</v>
      </c>
      <c r="V190" s="5" t="s">
        <v>42</v>
      </c>
      <c r="W190" s="5" t="s">
        <v>43</v>
      </c>
      <c r="X190" s="5">
        <v>17</v>
      </c>
      <c r="Y190" s="5">
        <v>3</v>
      </c>
      <c r="Z190" s="5">
        <v>3</v>
      </c>
      <c r="AA190" s="5">
        <v>80</v>
      </c>
      <c r="AB190" s="5">
        <v>0</v>
      </c>
      <c r="AC190" s="5">
        <v>10</v>
      </c>
      <c r="AD190" s="5">
        <v>2</v>
      </c>
      <c r="AE190" s="5">
        <v>2</v>
      </c>
      <c r="AF190" s="5">
        <v>10</v>
      </c>
      <c r="AG190" s="5">
        <v>9</v>
      </c>
      <c r="AH190" s="5">
        <v>1</v>
      </c>
      <c r="AI190" s="5">
        <v>9</v>
      </c>
    </row>
    <row r="191" spans="1:35" x14ac:dyDescent="0.25">
      <c r="A191" s="5">
        <v>51</v>
      </c>
      <c r="B191" s="5" t="s">
        <v>43</v>
      </c>
      <c r="C191" s="5" t="s">
        <v>36</v>
      </c>
      <c r="D191" s="5">
        <v>313</v>
      </c>
      <c r="E191" s="5" t="s">
        <v>45</v>
      </c>
      <c r="F191" s="5">
        <v>3</v>
      </c>
      <c r="G191" s="5">
        <v>3</v>
      </c>
      <c r="H191" s="5" t="s">
        <v>51</v>
      </c>
      <c r="I191" s="5">
        <v>1</v>
      </c>
      <c r="J191" s="5">
        <v>258</v>
      </c>
      <c r="K191" s="5">
        <v>4</v>
      </c>
      <c r="L191" s="5" t="s">
        <v>39</v>
      </c>
      <c r="M191" s="5">
        <v>98</v>
      </c>
      <c r="N191" s="5">
        <v>3</v>
      </c>
      <c r="O191" s="5">
        <v>4</v>
      </c>
      <c r="P191" s="5" t="s">
        <v>54</v>
      </c>
      <c r="Q191" s="5">
        <v>2</v>
      </c>
      <c r="R191" s="5" t="s">
        <v>41</v>
      </c>
      <c r="S191" s="5">
        <v>13734</v>
      </c>
      <c r="T191" s="5">
        <v>7192</v>
      </c>
      <c r="U191" s="5">
        <v>3</v>
      </c>
      <c r="V191" s="5" t="s">
        <v>42</v>
      </c>
      <c r="W191" s="5" t="s">
        <v>43</v>
      </c>
      <c r="X191" s="5">
        <v>18</v>
      </c>
      <c r="Y191" s="5">
        <v>3</v>
      </c>
      <c r="Z191" s="5">
        <v>3</v>
      </c>
      <c r="AA191" s="5">
        <v>80</v>
      </c>
      <c r="AB191" s="5">
        <v>0</v>
      </c>
      <c r="AC191" s="5">
        <v>21</v>
      </c>
      <c r="AD191" s="5">
        <v>6</v>
      </c>
      <c r="AE191" s="5">
        <v>3</v>
      </c>
      <c r="AF191" s="5">
        <v>7</v>
      </c>
      <c r="AG191" s="5">
        <v>7</v>
      </c>
      <c r="AH191" s="5">
        <v>1</v>
      </c>
      <c r="AI191" s="5">
        <v>0</v>
      </c>
    </row>
    <row r="192" spans="1:35" x14ac:dyDescent="0.25">
      <c r="A192" s="5">
        <v>52</v>
      </c>
      <c r="B192" s="5" t="s">
        <v>43</v>
      </c>
      <c r="C192" s="5" t="s">
        <v>36</v>
      </c>
      <c r="D192" s="5">
        <v>699</v>
      </c>
      <c r="E192" s="5" t="s">
        <v>45</v>
      </c>
      <c r="F192" s="5">
        <v>1</v>
      </c>
      <c r="G192" s="5">
        <v>4</v>
      </c>
      <c r="H192" s="5" t="s">
        <v>38</v>
      </c>
      <c r="I192" s="5">
        <v>1</v>
      </c>
      <c r="J192" s="5">
        <v>259</v>
      </c>
      <c r="K192" s="5">
        <v>3</v>
      </c>
      <c r="L192" s="5" t="s">
        <v>46</v>
      </c>
      <c r="M192" s="5">
        <v>65</v>
      </c>
      <c r="N192" s="5">
        <v>2</v>
      </c>
      <c r="O192" s="5">
        <v>5</v>
      </c>
      <c r="P192" s="5" t="s">
        <v>56</v>
      </c>
      <c r="Q192" s="5">
        <v>3</v>
      </c>
      <c r="R192" s="5" t="s">
        <v>48</v>
      </c>
      <c r="S192" s="5">
        <v>19999</v>
      </c>
      <c r="T192" s="5">
        <v>5678</v>
      </c>
      <c r="U192" s="5">
        <v>0</v>
      </c>
      <c r="V192" s="5" t="s">
        <v>42</v>
      </c>
      <c r="W192" s="5" t="s">
        <v>43</v>
      </c>
      <c r="X192" s="5">
        <v>14</v>
      </c>
      <c r="Y192" s="5">
        <v>3</v>
      </c>
      <c r="Z192" s="5">
        <v>1</v>
      </c>
      <c r="AA192" s="5">
        <v>80</v>
      </c>
      <c r="AB192" s="5">
        <v>1</v>
      </c>
      <c r="AC192" s="5">
        <v>34</v>
      </c>
      <c r="AD192" s="5">
        <v>5</v>
      </c>
      <c r="AE192" s="5">
        <v>3</v>
      </c>
      <c r="AF192" s="5">
        <v>33</v>
      </c>
      <c r="AG192" s="5">
        <v>18</v>
      </c>
      <c r="AH192" s="5">
        <v>11</v>
      </c>
      <c r="AI192" s="5">
        <v>9</v>
      </c>
    </row>
    <row r="193" spans="1:35" x14ac:dyDescent="0.25">
      <c r="A193" s="5">
        <v>27</v>
      </c>
      <c r="B193" s="5" t="s">
        <v>43</v>
      </c>
      <c r="C193" s="5" t="s">
        <v>36</v>
      </c>
      <c r="D193" s="5">
        <v>894</v>
      </c>
      <c r="E193" s="5" t="s">
        <v>45</v>
      </c>
      <c r="F193" s="5">
        <v>9</v>
      </c>
      <c r="G193" s="5">
        <v>3</v>
      </c>
      <c r="H193" s="5" t="s">
        <v>51</v>
      </c>
      <c r="I193" s="5">
        <v>1</v>
      </c>
      <c r="J193" s="5">
        <v>260</v>
      </c>
      <c r="K193" s="5">
        <v>4</v>
      </c>
      <c r="L193" s="5" t="s">
        <v>39</v>
      </c>
      <c r="M193" s="5">
        <v>99</v>
      </c>
      <c r="N193" s="5">
        <v>3</v>
      </c>
      <c r="O193" s="5">
        <v>1</v>
      </c>
      <c r="P193" s="5" t="s">
        <v>47</v>
      </c>
      <c r="Q193" s="5">
        <v>2</v>
      </c>
      <c r="R193" s="5" t="s">
        <v>41</v>
      </c>
      <c r="S193" s="5">
        <v>2279</v>
      </c>
      <c r="T193" s="5">
        <v>11781</v>
      </c>
      <c r="U193" s="5">
        <v>1</v>
      </c>
      <c r="V193" s="5" t="s">
        <v>42</v>
      </c>
      <c r="W193" s="5" t="s">
        <v>43</v>
      </c>
      <c r="X193" s="5">
        <v>16</v>
      </c>
      <c r="Y193" s="5">
        <v>3</v>
      </c>
      <c r="Z193" s="5">
        <v>4</v>
      </c>
      <c r="AA193" s="5">
        <v>80</v>
      </c>
      <c r="AB193" s="5">
        <v>0</v>
      </c>
      <c r="AC193" s="5">
        <v>7</v>
      </c>
      <c r="AD193" s="5">
        <v>2</v>
      </c>
      <c r="AE193" s="5">
        <v>2</v>
      </c>
      <c r="AF193" s="5">
        <v>7</v>
      </c>
      <c r="AG193" s="5">
        <v>7</v>
      </c>
      <c r="AH193" s="5">
        <v>0</v>
      </c>
      <c r="AI193" s="5">
        <v>3</v>
      </c>
    </row>
    <row r="194" spans="1:35" x14ac:dyDescent="0.25">
      <c r="A194" s="5">
        <v>35</v>
      </c>
      <c r="B194" s="5" t="s">
        <v>35</v>
      </c>
      <c r="C194" s="5" t="s">
        <v>36</v>
      </c>
      <c r="D194" s="5">
        <v>556</v>
      </c>
      <c r="E194" s="5" t="s">
        <v>45</v>
      </c>
      <c r="F194" s="5">
        <v>23</v>
      </c>
      <c r="G194" s="5">
        <v>2</v>
      </c>
      <c r="H194" s="5" t="s">
        <v>38</v>
      </c>
      <c r="I194" s="5">
        <v>1</v>
      </c>
      <c r="J194" s="5">
        <v>261</v>
      </c>
      <c r="K194" s="5">
        <v>2</v>
      </c>
      <c r="L194" s="5" t="s">
        <v>46</v>
      </c>
      <c r="M194" s="5">
        <v>50</v>
      </c>
      <c r="N194" s="5">
        <v>2</v>
      </c>
      <c r="O194" s="5">
        <v>2</v>
      </c>
      <c r="P194" s="5" t="s">
        <v>53</v>
      </c>
      <c r="Q194" s="5">
        <v>3</v>
      </c>
      <c r="R194" s="5" t="s">
        <v>48</v>
      </c>
      <c r="S194" s="5">
        <v>5916</v>
      </c>
      <c r="T194" s="5">
        <v>15497</v>
      </c>
      <c r="U194" s="5">
        <v>3</v>
      </c>
      <c r="V194" s="5" t="s">
        <v>42</v>
      </c>
      <c r="W194" s="5" t="s">
        <v>35</v>
      </c>
      <c r="X194" s="5">
        <v>13</v>
      </c>
      <c r="Y194" s="5">
        <v>3</v>
      </c>
      <c r="Z194" s="5">
        <v>1</v>
      </c>
      <c r="AA194" s="5">
        <v>80</v>
      </c>
      <c r="AB194" s="5">
        <v>0</v>
      </c>
      <c r="AC194" s="5">
        <v>8</v>
      </c>
      <c r="AD194" s="5">
        <v>1</v>
      </c>
      <c r="AE194" s="5">
        <v>3</v>
      </c>
      <c r="AF194" s="5">
        <v>1</v>
      </c>
      <c r="AG194" s="5">
        <v>0</v>
      </c>
      <c r="AH194" s="5">
        <v>0</v>
      </c>
      <c r="AI194" s="5">
        <v>1</v>
      </c>
    </row>
    <row r="195" spans="1:35" x14ac:dyDescent="0.25">
      <c r="A195" s="5">
        <v>43</v>
      </c>
      <c r="B195" s="5" t="s">
        <v>43</v>
      </c>
      <c r="C195" s="5" t="s">
        <v>55</v>
      </c>
      <c r="D195" s="5">
        <v>1344</v>
      </c>
      <c r="E195" s="5" t="s">
        <v>45</v>
      </c>
      <c r="F195" s="5">
        <v>7</v>
      </c>
      <c r="G195" s="5">
        <v>3</v>
      </c>
      <c r="H195" s="5" t="s">
        <v>51</v>
      </c>
      <c r="I195" s="5">
        <v>1</v>
      </c>
      <c r="J195" s="5">
        <v>262</v>
      </c>
      <c r="K195" s="5">
        <v>4</v>
      </c>
      <c r="L195" s="5" t="s">
        <v>46</v>
      </c>
      <c r="M195" s="5">
        <v>37</v>
      </c>
      <c r="N195" s="5">
        <v>4</v>
      </c>
      <c r="O195" s="5">
        <v>1</v>
      </c>
      <c r="P195" s="5" t="s">
        <v>47</v>
      </c>
      <c r="Q195" s="5">
        <v>4</v>
      </c>
      <c r="R195" s="5" t="s">
        <v>52</v>
      </c>
      <c r="S195" s="5">
        <v>2089</v>
      </c>
      <c r="T195" s="5">
        <v>5228</v>
      </c>
      <c r="U195" s="5">
        <v>4</v>
      </c>
      <c r="V195" s="5" t="s">
        <v>42</v>
      </c>
      <c r="W195" s="5" t="s">
        <v>43</v>
      </c>
      <c r="X195" s="5">
        <v>14</v>
      </c>
      <c r="Y195" s="5">
        <v>3</v>
      </c>
      <c r="Z195" s="5">
        <v>4</v>
      </c>
      <c r="AA195" s="5">
        <v>80</v>
      </c>
      <c r="AB195" s="5">
        <v>3</v>
      </c>
      <c r="AC195" s="5">
        <v>7</v>
      </c>
      <c r="AD195" s="5">
        <v>3</v>
      </c>
      <c r="AE195" s="5">
        <v>4</v>
      </c>
      <c r="AF195" s="5">
        <v>5</v>
      </c>
      <c r="AG195" s="5">
        <v>4</v>
      </c>
      <c r="AH195" s="5">
        <v>2</v>
      </c>
      <c r="AI195" s="5">
        <v>2</v>
      </c>
    </row>
    <row r="196" spans="1:35" x14ac:dyDescent="0.25">
      <c r="A196" s="5">
        <v>45</v>
      </c>
      <c r="B196" s="5" t="s">
        <v>43</v>
      </c>
      <c r="C196" s="5" t="s">
        <v>55</v>
      </c>
      <c r="D196" s="5">
        <v>1195</v>
      </c>
      <c r="E196" s="5" t="s">
        <v>45</v>
      </c>
      <c r="F196" s="5">
        <v>2</v>
      </c>
      <c r="G196" s="5">
        <v>2</v>
      </c>
      <c r="H196" s="5" t="s">
        <v>51</v>
      </c>
      <c r="I196" s="5">
        <v>1</v>
      </c>
      <c r="J196" s="5">
        <v>264</v>
      </c>
      <c r="K196" s="5">
        <v>1</v>
      </c>
      <c r="L196" s="5" t="s">
        <v>46</v>
      </c>
      <c r="M196" s="5">
        <v>65</v>
      </c>
      <c r="N196" s="5">
        <v>2</v>
      </c>
      <c r="O196" s="5">
        <v>4</v>
      </c>
      <c r="P196" s="5" t="s">
        <v>56</v>
      </c>
      <c r="Q196" s="5">
        <v>4</v>
      </c>
      <c r="R196" s="5" t="s">
        <v>48</v>
      </c>
      <c r="S196" s="5">
        <v>16792</v>
      </c>
      <c r="T196" s="5">
        <v>20462</v>
      </c>
      <c r="U196" s="5">
        <v>9</v>
      </c>
      <c r="V196" s="5" t="s">
        <v>42</v>
      </c>
      <c r="W196" s="5" t="s">
        <v>43</v>
      </c>
      <c r="X196" s="5">
        <v>23</v>
      </c>
      <c r="Y196" s="5">
        <v>4</v>
      </c>
      <c r="Z196" s="5">
        <v>4</v>
      </c>
      <c r="AA196" s="5">
        <v>80</v>
      </c>
      <c r="AB196" s="5">
        <v>1</v>
      </c>
      <c r="AC196" s="5">
        <v>22</v>
      </c>
      <c r="AD196" s="5">
        <v>1</v>
      </c>
      <c r="AE196" s="5">
        <v>3</v>
      </c>
      <c r="AF196" s="5">
        <v>20</v>
      </c>
      <c r="AG196" s="5">
        <v>8</v>
      </c>
      <c r="AH196" s="5">
        <v>11</v>
      </c>
      <c r="AI196" s="5">
        <v>8</v>
      </c>
    </row>
    <row r="197" spans="1:35" x14ac:dyDescent="0.25">
      <c r="A197" s="5">
        <v>37</v>
      </c>
      <c r="B197" s="5" t="s">
        <v>43</v>
      </c>
      <c r="C197" s="5" t="s">
        <v>36</v>
      </c>
      <c r="D197" s="5">
        <v>290</v>
      </c>
      <c r="E197" s="5" t="s">
        <v>45</v>
      </c>
      <c r="F197" s="5">
        <v>21</v>
      </c>
      <c r="G197" s="5">
        <v>3</v>
      </c>
      <c r="H197" s="5" t="s">
        <v>38</v>
      </c>
      <c r="I197" s="5">
        <v>1</v>
      </c>
      <c r="J197" s="5">
        <v>267</v>
      </c>
      <c r="K197" s="5">
        <v>2</v>
      </c>
      <c r="L197" s="5" t="s">
        <v>46</v>
      </c>
      <c r="M197" s="5">
        <v>65</v>
      </c>
      <c r="N197" s="5">
        <v>4</v>
      </c>
      <c r="O197" s="5">
        <v>1</v>
      </c>
      <c r="P197" s="5" t="s">
        <v>47</v>
      </c>
      <c r="Q197" s="5">
        <v>1</v>
      </c>
      <c r="R197" s="5" t="s">
        <v>48</v>
      </c>
      <c r="S197" s="5">
        <v>3564</v>
      </c>
      <c r="T197" s="5">
        <v>22977</v>
      </c>
      <c r="U197" s="5">
        <v>1</v>
      </c>
      <c r="V197" s="5" t="s">
        <v>42</v>
      </c>
      <c r="W197" s="5" t="s">
        <v>35</v>
      </c>
      <c r="X197" s="5">
        <v>12</v>
      </c>
      <c r="Y197" s="5">
        <v>3</v>
      </c>
      <c r="Z197" s="5">
        <v>1</v>
      </c>
      <c r="AA197" s="5">
        <v>80</v>
      </c>
      <c r="AB197" s="5">
        <v>1</v>
      </c>
      <c r="AC197" s="5">
        <v>8</v>
      </c>
      <c r="AD197" s="5">
        <v>3</v>
      </c>
      <c r="AE197" s="5">
        <v>2</v>
      </c>
      <c r="AF197" s="5">
        <v>8</v>
      </c>
      <c r="AG197" s="5">
        <v>7</v>
      </c>
      <c r="AH197" s="5">
        <v>1</v>
      </c>
      <c r="AI197" s="5">
        <v>7</v>
      </c>
    </row>
    <row r="198" spans="1:35" x14ac:dyDescent="0.25">
      <c r="A198" s="5">
        <v>35</v>
      </c>
      <c r="B198" s="5" t="s">
        <v>43</v>
      </c>
      <c r="C198" s="5" t="s">
        <v>44</v>
      </c>
      <c r="D198" s="5">
        <v>138</v>
      </c>
      <c r="E198" s="5" t="s">
        <v>45</v>
      </c>
      <c r="F198" s="5">
        <v>2</v>
      </c>
      <c r="G198" s="5">
        <v>3</v>
      </c>
      <c r="H198" s="5" t="s">
        <v>51</v>
      </c>
      <c r="I198" s="5">
        <v>1</v>
      </c>
      <c r="J198" s="5">
        <v>269</v>
      </c>
      <c r="K198" s="5">
        <v>2</v>
      </c>
      <c r="L198" s="5" t="s">
        <v>39</v>
      </c>
      <c r="M198" s="5">
        <v>37</v>
      </c>
      <c r="N198" s="5">
        <v>3</v>
      </c>
      <c r="O198" s="5">
        <v>2</v>
      </c>
      <c r="P198" s="5" t="s">
        <v>50</v>
      </c>
      <c r="Q198" s="5">
        <v>2</v>
      </c>
      <c r="R198" s="5" t="s">
        <v>41</v>
      </c>
      <c r="S198" s="5">
        <v>4425</v>
      </c>
      <c r="T198" s="5">
        <v>15986</v>
      </c>
      <c r="U198" s="5">
        <v>5</v>
      </c>
      <c r="V198" s="5" t="s">
        <v>42</v>
      </c>
      <c r="W198" s="5" t="s">
        <v>43</v>
      </c>
      <c r="X198" s="5">
        <v>11</v>
      </c>
      <c r="Y198" s="5">
        <v>3</v>
      </c>
      <c r="Z198" s="5">
        <v>4</v>
      </c>
      <c r="AA198" s="5">
        <v>80</v>
      </c>
      <c r="AB198" s="5">
        <v>0</v>
      </c>
      <c r="AC198" s="5">
        <v>10</v>
      </c>
      <c r="AD198" s="5">
        <v>5</v>
      </c>
      <c r="AE198" s="5">
        <v>3</v>
      </c>
      <c r="AF198" s="5">
        <v>6</v>
      </c>
      <c r="AG198" s="5">
        <v>2</v>
      </c>
      <c r="AH198" s="5">
        <v>1</v>
      </c>
      <c r="AI198" s="5">
        <v>2</v>
      </c>
    </row>
    <row r="199" spans="1:35" x14ac:dyDescent="0.25">
      <c r="A199" s="5">
        <v>42</v>
      </c>
      <c r="B199" s="5" t="s">
        <v>43</v>
      </c>
      <c r="C199" s="5" t="s">
        <v>55</v>
      </c>
      <c r="D199" s="5">
        <v>926</v>
      </c>
      <c r="E199" s="5" t="s">
        <v>45</v>
      </c>
      <c r="F199" s="5">
        <v>21</v>
      </c>
      <c r="G199" s="5">
        <v>2</v>
      </c>
      <c r="H199" s="5" t="s">
        <v>51</v>
      </c>
      <c r="I199" s="5">
        <v>1</v>
      </c>
      <c r="J199" s="5">
        <v>270</v>
      </c>
      <c r="K199" s="5">
        <v>3</v>
      </c>
      <c r="L199" s="5" t="s">
        <v>39</v>
      </c>
      <c r="M199" s="5">
        <v>36</v>
      </c>
      <c r="N199" s="5">
        <v>3</v>
      </c>
      <c r="O199" s="5">
        <v>2</v>
      </c>
      <c r="P199" s="5" t="s">
        <v>53</v>
      </c>
      <c r="Q199" s="5">
        <v>3</v>
      </c>
      <c r="R199" s="5" t="s">
        <v>52</v>
      </c>
      <c r="S199" s="5">
        <v>5265</v>
      </c>
      <c r="T199" s="5">
        <v>16439</v>
      </c>
      <c r="U199" s="5">
        <v>2</v>
      </c>
      <c r="V199" s="5" t="s">
        <v>42</v>
      </c>
      <c r="W199" s="5" t="s">
        <v>43</v>
      </c>
      <c r="X199" s="5">
        <v>16</v>
      </c>
      <c r="Y199" s="5">
        <v>3</v>
      </c>
      <c r="Z199" s="5">
        <v>2</v>
      </c>
      <c r="AA199" s="5">
        <v>80</v>
      </c>
      <c r="AB199" s="5">
        <v>1</v>
      </c>
      <c r="AC199" s="5">
        <v>11</v>
      </c>
      <c r="AD199" s="5">
        <v>5</v>
      </c>
      <c r="AE199" s="5">
        <v>3</v>
      </c>
      <c r="AF199" s="5">
        <v>5</v>
      </c>
      <c r="AG199" s="5">
        <v>3</v>
      </c>
      <c r="AH199" s="5">
        <v>0</v>
      </c>
      <c r="AI199" s="5">
        <v>2</v>
      </c>
    </row>
    <row r="200" spans="1:35" x14ac:dyDescent="0.25">
      <c r="A200" s="5">
        <v>38</v>
      </c>
      <c r="B200" s="5" t="s">
        <v>43</v>
      </c>
      <c r="C200" s="5" t="s">
        <v>36</v>
      </c>
      <c r="D200" s="5">
        <v>1261</v>
      </c>
      <c r="E200" s="5" t="s">
        <v>45</v>
      </c>
      <c r="F200" s="5">
        <v>2</v>
      </c>
      <c r="G200" s="5">
        <v>4</v>
      </c>
      <c r="H200" s="5" t="s">
        <v>38</v>
      </c>
      <c r="I200" s="5">
        <v>1</v>
      </c>
      <c r="J200" s="5">
        <v>271</v>
      </c>
      <c r="K200" s="5">
        <v>4</v>
      </c>
      <c r="L200" s="5" t="s">
        <v>46</v>
      </c>
      <c r="M200" s="5">
        <v>88</v>
      </c>
      <c r="N200" s="5">
        <v>3</v>
      </c>
      <c r="O200" s="5">
        <v>2</v>
      </c>
      <c r="P200" s="5" t="s">
        <v>53</v>
      </c>
      <c r="Q200" s="5">
        <v>3</v>
      </c>
      <c r="R200" s="5" t="s">
        <v>48</v>
      </c>
      <c r="S200" s="5">
        <v>6553</v>
      </c>
      <c r="T200" s="5">
        <v>7259</v>
      </c>
      <c r="U200" s="5">
        <v>9</v>
      </c>
      <c r="V200" s="5" t="s">
        <v>42</v>
      </c>
      <c r="W200" s="5" t="s">
        <v>43</v>
      </c>
      <c r="X200" s="5">
        <v>14</v>
      </c>
      <c r="Y200" s="5">
        <v>3</v>
      </c>
      <c r="Z200" s="5">
        <v>2</v>
      </c>
      <c r="AA200" s="5">
        <v>80</v>
      </c>
      <c r="AB200" s="5">
        <v>0</v>
      </c>
      <c r="AC200" s="5">
        <v>14</v>
      </c>
      <c r="AD200" s="5">
        <v>3</v>
      </c>
      <c r="AE200" s="5">
        <v>3</v>
      </c>
      <c r="AF200" s="5">
        <v>1</v>
      </c>
      <c r="AG200" s="5">
        <v>0</v>
      </c>
      <c r="AH200" s="5">
        <v>0</v>
      </c>
      <c r="AI200" s="5">
        <v>0</v>
      </c>
    </row>
    <row r="201" spans="1:35" x14ac:dyDescent="0.25">
      <c r="A201" s="5">
        <v>38</v>
      </c>
      <c r="B201" s="5" t="s">
        <v>43</v>
      </c>
      <c r="C201" s="5" t="s">
        <v>36</v>
      </c>
      <c r="D201" s="5">
        <v>1084</v>
      </c>
      <c r="E201" s="5" t="s">
        <v>45</v>
      </c>
      <c r="F201" s="5">
        <v>29</v>
      </c>
      <c r="G201" s="5">
        <v>3</v>
      </c>
      <c r="H201" s="5" t="s">
        <v>60</v>
      </c>
      <c r="I201" s="5">
        <v>1</v>
      </c>
      <c r="J201" s="5">
        <v>273</v>
      </c>
      <c r="K201" s="5">
        <v>4</v>
      </c>
      <c r="L201" s="5" t="s">
        <v>46</v>
      </c>
      <c r="M201" s="5">
        <v>54</v>
      </c>
      <c r="N201" s="5">
        <v>3</v>
      </c>
      <c r="O201" s="5">
        <v>2</v>
      </c>
      <c r="P201" s="5" t="s">
        <v>53</v>
      </c>
      <c r="Q201" s="5">
        <v>4</v>
      </c>
      <c r="R201" s="5" t="s">
        <v>48</v>
      </c>
      <c r="S201" s="5">
        <v>6261</v>
      </c>
      <c r="T201" s="5">
        <v>4185</v>
      </c>
      <c r="U201" s="5">
        <v>3</v>
      </c>
      <c r="V201" s="5" t="s">
        <v>42</v>
      </c>
      <c r="W201" s="5" t="s">
        <v>43</v>
      </c>
      <c r="X201" s="5">
        <v>18</v>
      </c>
      <c r="Y201" s="5">
        <v>3</v>
      </c>
      <c r="Z201" s="5">
        <v>1</v>
      </c>
      <c r="AA201" s="5">
        <v>80</v>
      </c>
      <c r="AB201" s="5">
        <v>1</v>
      </c>
      <c r="AC201" s="5">
        <v>9</v>
      </c>
      <c r="AD201" s="5">
        <v>3</v>
      </c>
      <c r="AE201" s="5">
        <v>1</v>
      </c>
      <c r="AF201" s="5">
        <v>7</v>
      </c>
      <c r="AG201" s="5">
        <v>7</v>
      </c>
      <c r="AH201" s="5">
        <v>1</v>
      </c>
      <c r="AI201" s="5">
        <v>7</v>
      </c>
    </row>
    <row r="202" spans="1:35" x14ac:dyDescent="0.25">
      <c r="A202" s="5">
        <v>27</v>
      </c>
      <c r="B202" s="5" t="s">
        <v>43</v>
      </c>
      <c r="C202" s="5" t="s">
        <v>44</v>
      </c>
      <c r="D202" s="5">
        <v>472</v>
      </c>
      <c r="E202" s="5" t="s">
        <v>45</v>
      </c>
      <c r="F202" s="5">
        <v>1</v>
      </c>
      <c r="G202" s="5">
        <v>1</v>
      </c>
      <c r="H202" s="5" t="s">
        <v>60</v>
      </c>
      <c r="I202" s="5">
        <v>1</v>
      </c>
      <c r="J202" s="5">
        <v>274</v>
      </c>
      <c r="K202" s="5">
        <v>3</v>
      </c>
      <c r="L202" s="5" t="s">
        <v>46</v>
      </c>
      <c r="M202" s="5">
        <v>60</v>
      </c>
      <c r="N202" s="5">
        <v>2</v>
      </c>
      <c r="O202" s="5">
        <v>2</v>
      </c>
      <c r="P202" s="5" t="s">
        <v>53</v>
      </c>
      <c r="Q202" s="5">
        <v>1</v>
      </c>
      <c r="R202" s="5" t="s">
        <v>48</v>
      </c>
      <c r="S202" s="5">
        <v>4298</v>
      </c>
      <c r="T202" s="5">
        <v>9679</v>
      </c>
      <c r="U202" s="5">
        <v>5</v>
      </c>
      <c r="V202" s="5" t="s">
        <v>42</v>
      </c>
      <c r="W202" s="5" t="s">
        <v>43</v>
      </c>
      <c r="X202" s="5">
        <v>19</v>
      </c>
      <c r="Y202" s="5">
        <v>3</v>
      </c>
      <c r="Z202" s="5">
        <v>3</v>
      </c>
      <c r="AA202" s="5">
        <v>80</v>
      </c>
      <c r="AB202" s="5">
        <v>1</v>
      </c>
      <c r="AC202" s="5">
        <v>6</v>
      </c>
      <c r="AD202" s="5">
        <v>1</v>
      </c>
      <c r="AE202" s="5">
        <v>3</v>
      </c>
      <c r="AF202" s="5">
        <v>2</v>
      </c>
      <c r="AG202" s="5">
        <v>2</v>
      </c>
      <c r="AH202" s="5">
        <v>2</v>
      </c>
      <c r="AI202" s="5">
        <v>0</v>
      </c>
    </row>
    <row r="203" spans="1:35" x14ac:dyDescent="0.25">
      <c r="A203" s="5">
        <v>49</v>
      </c>
      <c r="B203" s="5" t="s">
        <v>43</v>
      </c>
      <c r="C203" s="5" t="s">
        <v>55</v>
      </c>
      <c r="D203" s="5">
        <v>1002</v>
      </c>
      <c r="E203" s="5" t="s">
        <v>45</v>
      </c>
      <c r="F203" s="5">
        <v>18</v>
      </c>
      <c r="G203" s="5">
        <v>4</v>
      </c>
      <c r="H203" s="5" t="s">
        <v>38</v>
      </c>
      <c r="I203" s="5">
        <v>1</v>
      </c>
      <c r="J203" s="5">
        <v>275</v>
      </c>
      <c r="K203" s="5">
        <v>4</v>
      </c>
      <c r="L203" s="5" t="s">
        <v>46</v>
      </c>
      <c r="M203" s="5">
        <v>92</v>
      </c>
      <c r="N203" s="5">
        <v>3</v>
      </c>
      <c r="O203" s="5">
        <v>2</v>
      </c>
      <c r="P203" s="5" t="s">
        <v>53</v>
      </c>
      <c r="Q203" s="5">
        <v>4</v>
      </c>
      <c r="R203" s="5" t="s">
        <v>52</v>
      </c>
      <c r="S203" s="5">
        <v>6804</v>
      </c>
      <c r="T203" s="5">
        <v>23793</v>
      </c>
      <c r="U203" s="5">
        <v>1</v>
      </c>
      <c r="V203" s="5" t="s">
        <v>42</v>
      </c>
      <c r="W203" s="5" t="s">
        <v>35</v>
      </c>
      <c r="X203" s="5">
        <v>15</v>
      </c>
      <c r="Y203" s="5">
        <v>3</v>
      </c>
      <c r="Z203" s="5">
        <v>1</v>
      </c>
      <c r="AA203" s="5">
        <v>80</v>
      </c>
      <c r="AB203" s="5">
        <v>2</v>
      </c>
      <c r="AC203" s="5">
        <v>7</v>
      </c>
      <c r="AD203" s="5">
        <v>0</v>
      </c>
      <c r="AE203" s="5">
        <v>3</v>
      </c>
      <c r="AF203" s="5">
        <v>7</v>
      </c>
      <c r="AG203" s="5">
        <v>7</v>
      </c>
      <c r="AH203" s="5">
        <v>1</v>
      </c>
      <c r="AI203" s="5">
        <v>7</v>
      </c>
    </row>
    <row r="204" spans="1:35" x14ac:dyDescent="0.25">
      <c r="A204" s="5">
        <v>34</v>
      </c>
      <c r="B204" s="5" t="s">
        <v>43</v>
      </c>
      <c r="C204" s="5" t="s">
        <v>44</v>
      </c>
      <c r="D204" s="5">
        <v>878</v>
      </c>
      <c r="E204" s="5" t="s">
        <v>45</v>
      </c>
      <c r="F204" s="5">
        <v>10</v>
      </c>
      <c r="G204" s="5">
        <v>4</v>
      </c>
      <c r="H204" s="5" t="s">
        <v>51</v>
      </c>
      <c r="I204" s="5">
        <v>1</v>
      </c>
      <c r="J204" s="5">
        <v>277</v>
      </c>
      <c r="K204" s="5">
        <v>4</v>
      </c>
      <c r="L204" s="5" t="s">
        <v>46</v>
      </c>
      <c r="M204" s="5">
        <v>43</v>
      </c>
      <c r="N204" s="5">
        <v>3</v>
      </c>
      <c r="O204" s="5">
        <v>1</v>
      </c>
      <c r="P204" s="5" t="s">
        <v>47</v>
      </c>
      <c r="Q204" s="5">
        <v>3</v>
      </c>
      <c r="R204" s="5" t="s">
        <v>52</v>
      </c>
      <c r="S204" s="5">
        <v>3815</v>
      </c>
      <c r="T204" s="5">
        <v>5972</v>
      </c>
      <c r="U204" s="5">
        <v>1</v>
      </c>
      <c r="V204" s="5" t="s">
        <v>42</v>
      </c>
      <c r="W204" s="5" t="s">
        <v>35</v>
      </c>
      <c r="X204" s="5">
        <v>17</v>
      </c>
      <c r="Y204" s="5">
        <v>3</v>
      </c>
      <c r="Z204" s="5">
        <v>4</v>
      </c>
      <c r="AA204" s="5">
        <v>80</v>
      </c>
      <c r="AB204" s="5">
        <v>1</v>
      </c>
      <c r="AC204" s="5">
        <v>5</v>
      </c>
      <c r="AD204" s="5">
        <v>4</v>
      </c>
      <c r="AE204" s="5">
        <v>4</v>
      </c>
      <c r="AF204" s="5">
        <v>5</v>
      </c>
      <c r="AG204" s="5">
        <v>3</v>
      </c>
      <c r="AH204" s="5">
        <v>2</v>
      </c>
      <c r="AI204" s="5">
        <v>0</v>
      </c>
    </row>
    <row r="205" spans="1:35" x14ac:dyDescent="0.25">
      <c r="A205" s="5">
        <v>40</v>
      </c>
      <c r="B205" s="5" t="s">
        <v>43</v>
      </c>
      <c r="C205" s="5" t="s">
        <v>36</v>
      </c>
      <c r="D205" s="5">
        <v>905</v>
      </c>
      <c r="E205" s="5" t="s">
        <v>45</v>
      </c>
      <c r="F205" s="5">
        <v>19</v>
      </c>
      <c r="G205" s="5">
        <v>2</v>
      </c>
      <c r="H205" s="5" t="s">
        <v>51</v>
      </c>
      <c r="I205" s="5">
        <v>1</v>
      </c>
      <c r="J205" s="5">
        <v>281</v>
      </c>
      <c r="K205" s="5">
        <v>3</v>
      </c>
      <c r="L205" s="5" t="s">
        <v>46</v>
      </c>
      <c r="M205" s="5">
        <v>99</v>
      </c>
      <c r="N205" s="5">
        <v>3</v>
      </c>
      <c r="O205" s="5">
        <v>2</v>
      </c>
      <c r="P205" s="5" t="s">
        <v>50</v>
      </c>
      <c r="Q205" s="5">
        <v>4</v>
      </c>
      <c r="R205" s="5" t="s">
        <v>48</v>
      </c>
      <c r="S205" s="5">
        <v>2741</v>
      </c>
      <c r="T205" s="5">
        <v>16523</v>
      </c>
      <c r="U205" s="5">
        <v>8</v>
      </c>
      <c r="V205" s="5" t="s">
        <v>42</v>
      </c>
      <c r="W205" s="5" t="s">
        <v>35</v>
      </c>
      <c r="X205" s="5">
        <v>15</v>
      </c>
      <c r="Y205" s="5">
        <v>3</v>
      </c>
      <c r="Z205" s="5">
        <v>3</v>
      </c>
      <c r="AA205" s="5">
        <v>80</v>
      </c>
      <c r="AB205" s="5">
        <v>1</v>
      </c>
      <c r="AC205" s="5">
        <v>15</v>
      </c>
      <c r="AD205" s="5">
        <v>2</v>
      </c>
      <c r="AE205" s="5">
        <v>4</v>
      </c>
      <c r="AF205" s="5">
        <v>7</v>
      </c>
      <c r="AG205" s="5">
        <v>2</v>
      </c>
      <c r="AH205" s="5">
        <v>3</v>
      </c>
      <c r="AI205" s="5">
        <v>7</v>
      </c>
    </row>
    <row r="206" spans="1:35" x14ac:dyDescent="0.25">
      <c r="A206" s="5">
        <v>38</v>
      </c>
      <c r="B206" s="5" t="s">
        <v>35</v>
      </c>
      <c r="C206" s="5" t="s">
        <v>36</v>
      </c>
      <c r="D206" s="5">
        <v>1180</v>
      </c>
      <c r="E206" s="5" t="s">
        <v>45</v>
      </c>
      <c r="F206" s="5">
        <v>29</v>
      </c>
      <c r="G206" s="5">
        <v>1</v>
      </c>
      <c r="H206" s="5" t="s">
        <v>51</v>
      </c>
      <c r="I206" s="5">
        <v>1</v>
      </c>
      <c r="J206" s="5">
        <v>282</v>
      </c>
      <c r="K206" s="5">
        <v>2</v>
      </c>
      <c r="L206" s="5" t="s">
        <v>46</v>
      </c>
      <c r="M206" s="5">
        <v>70</v>
      </c>
      <c r="N206" s="5">
        <v>3</v>
      </c>
      <c r="O206" s="5">
        <v>2</v>
      </c>
      <c r="P206" s="5" t="s">
        <v>54</v>
      </c>
      <c r="Q206" s="5">
        <v>1</v>
      </c>
      <c r="R206" s="5" t="s">
        <v>48</v>
      </c>
      <c r="S206" s="5">
        <v>6673</v>
      </c>
      <c r="T206" s="5">
        <v>11354</v>
      </c>
      <c r="U206" s="5">
        <v>7</v>
      </c>
      <c r="V206" s="5" t="s">
        <v>42</v>
      </c>
      <c r="W206" s="5" t="s">
        <v>35</v>
      </c>
      <c r="X206" s="5">
        <v>19</v>
      </c>
      <c r="Y206" s="5">
        <v>3</v>
      </c>
      <c r="Z206" s="5">
        <v>2</v>
      </c>
      <c r="AA206" s="5">
        <v>80</v>
      </c>
      <c r="AB206" s="5">
        <v>0</v>
      </c>
      <c r="AC206" s="5">
        <v>17</v>
      </c>
      <c r="AD206" s="5">
        <v>2</v>
      </c>
      <c r="AE206" s="5">
        <v>3</v>
      </c>
      <c r="AF206" s="5">
        <v>1</v>
      </c>
      <c r="AG206" s="5">
        <v>0</v>
      </c>
      <c r="AH206" s="5">
        <v>0</v>
      </c>
      <c r="AI206" s="5">
        <v>0</v>
      </c>
    </row>
    <row r="207" spans="1:35" x14ac:dyDescent="0.25">
      <c r="A207" s="5">
        <v>29</v>
      </c>
      <c r="B207" s="5" t="s">
        <v>35</v>
      </c>
      <c r="C207" s="5" t="s">
        <v>36</v>
      </c>
      <c r="D207" s="5">
        <v>121</v>
      </c>
      <c r="E207" s="5" t="s">
        <v>37</v>
      </c>
      <c r="F207" s="5">
        <v>27</v>
      </c>
      <c r="G207" s="5">
        <v>3</v>
      </c>
      <c r="H207" s="5" t="s">
        <v>59</v>
      </c>
      <c r="I207" s="5">
        <v>1</v>
      </c>
      <c r="J207" s="5">
        <v>283</v>
      </c>
      <c r="K207" s="5">
        <v>2</v>
      </c>
      <c r="L207" s="5" t="s">
        <v>39</v>
      </c>
      <c r="M207" s="5">
        <v>35</v>
      </c>
      <c r="N207" s="5">
        <v>3</v>
      </c>
      <c r="O207" s="5">
        <v>3</v>
      </c>
      <c r="P207" s="5" t="s">
        <v>40</v>
      </c>
      <c r="Q207" s="5">
        <v>4</v>
      </c>
      <c r="R207" s="5" t="s">
        <v>48</v>
      </c>
      <c r="S207" s="5">
        <v>7639</v>
      </c>
      <c r="T207" s="5">
        <v>24525</v>
      </c>
      <c r="U207" s="5">
        <v>1</v>
      </c>
      <c r="V207" s="5" t="s">
        <v>42</v>
      </c>
      <c r="W207" s="5" t="s">
        <v>43</v>
      </c>
      <c r="X207" s="5">
        <v>22</v>
      </c>
      <c r="Y207" s="5">
        <v>4</v>
      </c>
      <c r="Z207" s="5">
        <v>4</v>
      </c>
      <c r="AA207" s="5">
        <v>80</v>
      </c>
      <c r="AB207" s="5">
        <v>3</v>
      </c>
      <c r="AC207" s="5">
        <v>10</v>
      </c>
      <c r="AD207" s="5">
        <v>3</v>
      </c>
      <c r="AE207" s="5">
        <v>2</v>
      </c>
      <c r="AF207" s="5">
        <v>10</v>
      </c>
      <c r="AG207" s="5">
        <v>4</v>
      </c>
      <c r="AH207" s="5">
        <v>1</v>
      </c>
      <c r="AI207" s="5">
        <v>9</v>
      </c>
    </row>
    <row r="208" spans="1:35" x14ac:dyDescent="0.25">
      <c r="A208" s="5">
        <v>22</v>
      </c>
      <c r="B208" s="5" t="s">
        <v>43</v>
      </c>
      <c r="C208" s="5" t="s">
        <v>36</v>
      </c>
      <c r="D208" s="5">
        <v>1136</v>
      </c>
      <c r="E208" s="5" t="s">
        <v>45</v>
      </c>
      <c r="F208" s="5">
        <v>5</v>
      </c>
      <c r="G208" s="5">
        <v>3</v>
      </c>
      <c r="H208" s="5" t="s">
        <v>38</v>
      </c>
      <c r="I208" s="5">
        <v>1</v>
      </c>
      <c r="J208" s="5">
        <v>284</v>
      </c>
      <c r="K208" s="5">
        <v>4</v>
      </c>
      <c r="L208" s="5" t="s">
        <v>46</v>
      </c>
      <c r="M208" s="5">
        <v>60</v>
      </c>
      <c r="N208" s="5">
        <v>4</v>
      </c>
      <c r="O208" s="5">
        <v>1</v>
      </c>
      <c r="P208" s="5" t="s">
        <v>47</v>
      </c>
      <c r="Q208" s="5">
        <v>2</v>
      </c>
      <c r="R208" s="5" t="s">
        <v>52</v>
      </c>
      <c r="S208" s="5">
        <v>2328</v>
      </c>
      <c r="T208" s="5">
        <v>12392</v>
      </c>
      <c r="U208" s="5">
        <v>1</v>
      </c>
      <c r="V208" s="5" t="s">
        <v>42</v>
      </c>
      <c r="W208" s="5" t="s">
        <v>35</v>
      </c>
      <c r="X208" s="5">
        <v>16</v>
      </c>
      <c r="Y208" s="5">
        <v>3</v>
      </c>
      <c r="Z208" s="5">
        <v>1</v>
      </c>
      <c r="AA208" s="5">
        <v>80</v>
      </c>
      <c r="AB208" s="5">
        <v>1</v>
      </c>
      <c r="AC208" s="5">
        <v>4</v>
      </c>
      <c r="AD208" s="5">
        <v>2</v>
      </c>
      <c r="AE208" s="5">
        <v>2</v>
      </c>
      <c r="AF208" s="5">
        <v>4</v>
      </c>
      <c r="AG208" s="5">
        <v>2</v>
      </c>
      <c r="AH208" s="5">
        <v>2</v>
      </c>
      <c r="AI208" s="5">
        <v>2</v>
      </c>
    </row>
    <row r="209" spans="1:35" x14ac:dyDescent="0.25">
      <c r="A209" s="5">
        <v>36</v>
      </c>
      <c r="B209" s="5" t="s">
        <v>43</v>
      </c>
      <c r="C209" s="5" t="s">
        <v>44</v>
      </c>
      <c r="D209" s="5">
        <v>635</v>
      </c>
      <c r="E209" s="5" t="s">
        <v>45</v>
      </c>
      <c r="F209" s="5">
        <v>18</v>
      </c>
      <c r="G209" s="5">
        <v>1</v>
      </c>
      <c r="H209" s="5" t="s">
        <v>51</v>
      </c>
      <c r="I209" s="5">
        <v>1</v>
      </c>
      <c r="J209" s="5">
        <v>286</v>
      </c>
      <c r="K209" s="5">
        <v>2</v>
      </c>
      <c r="L209" s="5" t="s">
        <v>39</v>
      </c>
      <c r="M209" s="5">
        <v>73</v>
      </c>
      <c r="N209" s="5">
        <v>3</v>
      </c>
      <c r="O209" s="5">
        <v>1</v>
      </c>
      <c r="P209" s="5" t="s">
        <v>50</v>
      </c>
      <c r="Q209" s="5">
        <v>4</v>
      </c>
      <c r="R209" s="5" t="s">
        <v>41</v>
      </c>
      <c r="S209" s="5">
        <v>2153</v>
      </c>
      <c r="T209" s="5">
        <v>7703</v>
      </c>
      <c r="U209" s="5">
        <v>1</v>
      </c>
      <c r="V209" s="5" t="s">
        <v>42</v>
      </c>
      <c r="W209" s="5" t="s">
        <v>43</v>
      </c>
      <c r="X209" s="5">
        <v>13</v>
      </c>
      <c r="Y209" s="5">
        <v>3</v>
      </c>
      <c r="Z209" s="5">
        <v>1</v>
      </c>
      <c r="AA209" s="5">
        <v>80</v>
      </c>
      <c r="AB209" s="5">
        <v>0</v>
      </c>
      <c r="AC209" s="5">
        <v>8</v>
      </c>
      <c r="AD209" s="5">
        <v>2</v>
      </c>
      <c r="AE209" s="5">
        <v>3</v>
      </c>
      <c r="AF209" s="5">
        <v>8</v>
      </c>
      <c r="AG209" s="5">
        <v>1</v>
      </c>
      <c r="AH209" s="5">
        <v>1</v>
      </c>
      <c r="AI209" s="5">
        <v>7</v>
      </c>
    </row>
    <row r="210" spans="1:35" x14ac:dyDescent="0.25">
      <c r="A210" s="5">
        <v>40</v>
      </c>
      <c r="B210" s="5" t="s">
        <v>43</v>
      </c>
      <c r="C210" s="5" t="s">
        <v>55</v>
      </c>
      <c r="D210" s="5">
        <v>1151</v>
      </c>
      <c r="E210" s="5" t="s">
        <v>45</v>
      </c>
      <c r="F210" s="5">
        <v>9</v>
      </c>
      <c r="G210" s="5">
        <v>5</v>
      </c>
      <c r="H210" s="5" t="s">
        <v>38</v>
      </c>
      <c r="I210" s="5">
        <v>1</v>
      </c>
      <c r="J210" s="5">
        <v>287</v>
      </c>
      <c r="K210" s="5">
        <v>4</v>
      </c>
      <c r="L210" s="5" t="s">
        <v>46</v>
      </c>
      <c r="M210" s="5">
        <v>63</v>
      </c>
      <c r="N210" s="5">
        <v>2</v>
      </c>
      <c r="O210" s="5">
        <v>2</v>
      </c>
      <c r="P210" s="5" t="s">
        <v>54</v>
      </c>
      <c r="Q210" s="5">
        <v>4</v>
      </c>
      <c r="R210" s="5" t="s">
        <v>48</v>
      </c>
      <c r="S210" s="5">
        <v>4876</v>
      </c>
      <c r="T210" s="5">
        <v>14242</v>
      </c>
      <c r="U210" s="5">
        <v>9</v>
      </c>
      <c r="V210" s="5" t="s">
        <v>42</v>
      </c>
      <c r="W210" s="5" t="s">
        <v>43</v>
      </c>
      <c r="X210" s="5">
        <v>14</v>
      </c>
      <c r="Y210" s="5">
        <v>3</v>
      </c>
      <c r="Z210" s="5">
        <v>4</v>
      </c>
      <c r="AA210" s="5">
        <v>80</v>
      </c>
      <c r="AB210" s="5">
        <v>1</v>
      </c>
      <c r="AC210" s="5">
        <v>5</v>
      </c>
      <c r="AD210" s="5">
        <v>5</v>
      </c>
      <c r="AE210" s="5">
        <v>1</v>
      </c>
      <c r="AF210" s="5">
        <v>3</v>
      </c>
      <c r="AG210" s="5">
        <v>2</v>
      </c>
      <c r="AH210" s="5">
        <v>0</v>
      </c>
      <c r="AI210" s="5">
        <v>2</v>
      </c>
    </row>
    <row r="211" spans="1:35" x14ac:dyDescent="0.25">
      <c r="A211" s="5">
        <v>46</v>
      </c>
      <c r="B211" s="5" t="s">
        <v>43</v>
      </c>
      <c r="C211" s="5" t="s">
        <v>36</v>
      </c>
      <c r="D211" s="5">
        <v>644</v>
      </c>
      <c r="E211" s="5" t="s">
        <v>45</v>
      </c>
      <c r="F211" s="5">
        <v>1</v>
      </c>
      <c r="G211" s="5">
        <v>4</v>
      </c>
      <c r="H211" s="5" t="s">
        <v>51</v>
      </c>
      <c r="I211" s="5">
        <v>1</v>
      </c>
      <c r="J211" s="5">
        <v>288</v>
      </c>
      <c r="K211" s="5">
        <v>4</v>
      </c>
      <c r="L211" s="5" t="s">
        <v>46</v>
      </c>
      <c r="M211" s="5">
        <v>97</v>
      </c>
      <c r="N211" s="5">
        <v>3</v>
      </c>
      <c r="O211" s="5">
        <v>3</v>
      </c>
      <c r="P211" s="5" t="s">
        <v>54</v>
      </c>
      <c r="Q211" s="5">
        <v>1</v>
      </c>
      <c r="R211" s="5" t="s">
        <v>52</v>
      </c>
      <c r="S211" s="5">
        <v>9396</v>
      </c>
      <c r="T211" s="5">
        <v>12368</v>
      </c>
      <c r="U211" s="5">
        <v>7</v>
      </c>
      <c r="V211" s="5" t="s">
        <v>42</v>
      </c>
      <c r="W211" s="5" t="s">
        <v>43</v>
      </c>
      <c r="X211" s="5">
        <v>16</v>
      </c>
      <c r="Y211" s="5">
        <v>3</v>
      </c>
      <c r="Z211" s="5">
        <v>3</v>
      </c>
      <c r="AA211" s="5">
        <v>80</v>
      </c>
      <c r="AB211" s="5">
        <v>1</v>
      </c>
      <c r="AC211" s="5">
        <v>17</v>
      </c>
      <c r="AD211" s="5">
        <v>3</v>
      </c>
      <c r="AE211" s="5">
        <v>3</v>
      </c>
      <c r="AF211" s="5">
        <v>4</v>
      </c>
      <c r="AG211" s="5">
        <v>2</v>
      </c>
      <c r="AH211" s="5">
        <v>0</v>
      </c>
      <c r="AI211" s="5">
        <v>3</v>
      </c>
    </row>
    <row r="212" spans="1:35" x14ac:dyDescent="0.25">
      <c r="A212" s="5">
        <v>32</v>
      </c>
      <c r="B212" s="5" t="s">
        <v>35</v>
      </c>
      <c r="C212" s="5" t="s">
        <v>36</v>
      </c>
      <c r="D212" s="5">
        <v>1045</v>
      </c>
      <c r="E212" s="5" t="s">
        <v>37</v>
      </c>
      <c r="F212" s="5">
        <v>4</v>
      </c>
      <c r="G212" s="5">
        <v>4</v>
      </c>
      <c r="H212" s="5" t="s">
        <v>51</v>
      </c>
      <c r="I212" s="5">
        <v>1</v>
      </c>
      <c r="J212" s="5">
        <v>291</v>
      </c>
      <c r="K212" s="5">
        <v>4</v>
      </c>
      <c r="L212" s="5" t="s">
        <v>46</v>
      </c>
      <c r="M212" s="5">
        <v>32</v>
      </c>
      <c r="N212" s="5">
        <v>1</v>
      </c>
      <c r="O212" s="5">
        <v>3</v>
      </c>
      <c r="P212" s="5" t="s">
        <v>40</v>
      </c>
      <c r="Q212" s="5">
        <v>4</v>
      </c>
      <c r="R212" s="5" t="s">
        <v>48</v>
      </c>
      <c r="S212" s="5">
        <v>10400</v>
      </c>
      <c r="T212" s="5">
        <v>25812</v>
      </c>
      <c r="U212" s="5">
        <v>1</v>
      </c>
      <c r="V212" s="5" t="s">
        <v>42</v>
      </c>
      <c r="W212" s="5" t="s">
        <v>43</v>
      </c>
      <c r="X212" s="5">
        <v>11</v>
      </c>
      <c r="Y212" s="5">
        <v>3</v>
      </c>
      <c r="Z212" s="5">
        <v>3</v>
      </c>
      <c r="AA212" s="5">
        <v>80</v>
      </c>
      <c r="AB212" s="5">
        <v>0</v>
      </c>
      <c r="AC212" s="5">
        <v>14</v>
      </c>
      <c r="AD212" s="5">
        <v>2</v>
      </c>
      <c r="AE212" s="5">
        <v>2</v>
      </c>
      <c r="AF212" s="5">
        <v>14</v>
      </c>
      <c r="AG212" s="5">
        <v>8</v>
      </c>
      <c r="AH212" s="5">
        <v>9</v>
      </c>
      <c r="AI212" s="5">
        <v>8</v>
      </c>
    </row>
    <row r="213" spans="1:35" x14ac:dyDescent="0.25">
      <c r="A213" s="5">
        <v>30</v>
      </c>
      <c r="B213" s="5" t="s">
        <v>43</v>
      </c>
      <c r="C213" s="5" t="s">
        <v>55</v>
      </c>
      <c r="D213" s="5">
        <v>829</v>
      </c>
      <c r="E213" s="5" t="s">
        <v>45</v>
      </c>
      <c r="F213" s="5">
        <v>1</v>
      </c>
      <c r="G213" s="5">
        <v>1</v>
      </c>
      <c r="H213" s="5" t="s">
        <v>38</v>
      </c>
      <c r="I213" s="5">
        <v>1</v>
      </c>
      <c r="J213" s="5">
        <v>292</v>
      </c>
      <c r="K213" s="5">
        <v>3</v>
      </c>
      <c r="L213" s="5" t="s">
        <v>46</v>
      </c>
      <c r="M213" s="5">
        <v>88</v>
      </c>
      <c r="N213" s="5">
        <v>2</v>
      </c>
      <c r="O213" s="5">
        <v>3</v>
      </c>
      <c r="P213" s="5" t="s">
        <v>53</v>
      </c>
      <c r="Q213" s="5">
        <v>3</v>
      </c>
      <c r="R213" s="5" t="s">
        <v>41</v>
      </c>
      <c r="S213" s="5">
        <v>8474</v>
      </c>
      <c r="T213" s="5">
        <v>20925</v>
      </c>
      <c r="U213" s="5">
        <v>1</v>
      </c>
      <c r="V213" s="5" t="s">
        <v>42</v>
      </c>
      <c r="W213" s="5" t="s">
        <v>43</v>
      </c>
      <c r="X213" s="5">
        <v>22</v>
      </c>
      <c r="Y213" s="5">
        <v>4</v>
      </c>
      <c r="Z213" s="5">
        <v>3</v>
      </c>
      <c r="AA213" s="5">
        <v>80</v>
      </c>
      <c r="AB213" s="5">
        <v>0</v>
      </c>
      <c r="AC213" s="5">
        <v>12</v>
      </c>
      <c r="AD213" s="5">
        <v>2</v>
      </c>
      <c r="AE213" s="5">
        <v>3</v>
      </c>
      <c r="AF213" s="5">
        <v>11</v>
      </c>
      <c r="AG213" s="5">
        <v>8</v>
      </c>
      <c r="AH213" s="5">
        <v>5</v>
      </c>
      <c r="AI213" s="5">
        <v>8</v>
      </c>
    </row>
    <row r="214" spans="1:35" x14ac:dyDescent="0.25">
      <c r="A214" s="5">
        <v>27</v>
      </c>
      <c r="B214" s="5" t="s">
        <v>43</v>
      </c>
      <c r="C214" s="5" t="s">
        <v>44</v>
      </c>
      <c r="D214" s="5">
        <v>1242</v>
      </c>
      <c r="E214" s="5" t="s">
        <v>37</v>
      </c>
      <c r="F214" s="5">
        <v>20</v>
      </c>
      <c r="G214" s="5">
        <v>3</v>
      </c>
      <c r="H214" s="5" t="s">
        <v>38</v>
      </c>
      <c r="I214" s="5">
        <v>1</v>
      </c>
      <c r="J214" s="5">
        <v>293</v>
      </c>
      <c r="K214" s="5">
        <v>4</v>
      </c>
      <c r="L214" s="5" t="s">
        <v>39</v>
      </c>
      <c r="M214" s="5">
        <v>90</v>
      </c>
      <c r="N214" s="5">
        <v>3</v>
      </c>
      <c r="O214" s="5">
        <v>2</v>
      </c>
      <c r="P214" s="5" t="s">
        <v>40</v>
      </c>
      <c r="Q214" s="5">
        <v>3</v>
      </c>
      <c r="R214" s="5" t="s">
        <v>41</v>
      </c>
      <c r="S214" s="5">
        <v>9981</v>
      </c>
      <c r="T214" s="5">
        <v>12916</v>
      </c>
      <c r="U214" s="5">
        <v>1</v>
      </c>
      <c r="V214" s="5" t="s">
        <v>42</v>
      </c>
      <c r="W214" s="5" t="s">
        <v>43</v>
      </c>
      <c r="X214" s="5">
        <v>14</v>
      </c>
      <c r="Y214" s="5">
        <v>3</v>
      </c>
      <c r="Z214" s="5">
        <v>4</v>
      </c>
      <c r="AA214" s="5">
        <v>80</v>
      </c>
      <c r="AB214" s="5">
        <v>0</v>
      </c>
      <c r="AC214" s="5">
        <v>7</v>
      </c>
      <c r="AD214" s="5">
        <v>2</v>
      </c>
      <c r="AE214" s="5">
        <v>3</v>
      </c>
      <c r="AF214" s="5">
        <v>7</v>
      </c>
      <c r="AG214" s="5">
        <v>7</v>
      </c>
      <c r="AH214" s="5">
        <v>0</v>
      </c>
      <c r="AI214" s="5">
        <v>7</v>
      </c>
    </row>
    <row r="215" spans="1:35" x14ac:dyDescent="0.25">
      <c r="A215" s="5">
        <v>51</v>
      </c>
      <c r="B215" s="5" t="s">
        <v>43</v>
      </c>
      <c r="C215" s="5" t="s">
        <v>36</v>
      </c>
      <c r="D215" s="5">
        <v>1469</v>
      </c>
      <c r="E215" s="5" t="s">
        <v>45</v>
      </c>
      <c r="F215" s="5">
        <v>8</v>
      </c>
      <c r="G215" s="5">
        <v>4</v>
      </c>
      <c r="H215" s="5" t="s">
        <v>38</v>
      </c>
      <c r="I215" s="5">
        <v>1</v>
      </c>
      <c r="J215" s="5">
        <v>296</v>
      </c>
      <c r="K215" s="5">
        <v>2</v>
      </c>
      <c r="L215" s="5" t="s">
        <v>46</v>
      </c>
      <c r="M215" s="5">
        <v>81</v>
      </c>
      <c r="N215" s="5">
        <v>2</v>
      </c>
      <c r="O215" s="5">
        <v>3</v>
      </c>
      <c r="P215" s="5" t="s">
        <v>58</v>
      </c>
      <c r="Q215" s="5">
        <v>2</v>
      </c>
      <c r="R215" s="5" t="s">
        <v>48</v>
      </c>
      <c r="S215" s="5">
        <v>12490</v>
      </c>
      <c r="T215" s="5">
        <v>15736</v>
      </c>
      <c r="U215" s="5">
        <v>5</v>
      </c>
      <c r="V215" s="5" t="s">
        <v>42</v>
      </c>
      <c r="W215" s="5" t="s">
        <v>43</v>
      </c>
      <c r="X215" s="5">
        <v>16</v>
      </c>
      <c r="Y215" s="5">
        <v>3</v>
      </c>
      <c r="Z215" s="5">
        <v>4</v>
      </c>
      <c r="AA215" s="5">
        <v>80</v>
      </c>
      <c r="AB215" s="5">
        <v>2</v>
      </c>
      <c r="AC215" s="5">
        <v>16</v>
      </c>
      <c r="AD215" s="5">
        <v>5</v>
      </c>
      <c r="AE215" s="5">
        <v>1</v>
      </c>
      <c r="AF215" s="5">
        <v>10</v>
      </c>
      <c r="AG215" s="5">
        <v>9</v>
      </c>
      <c r="AH215" s="5">
        <v>4</v>
      </c>
      <c r="AI215" s="5">
        <v>7</v>
      </c>
    </row>
    <row r="216" spans="1:35" x14ac:dyDescent="0.25">
      <c r="A216" s="5">
        <v>30</v>
      </c>
      <c r="B216" s="5" t="s">
        <v>35</v>
      </c>
      <c r="C216" s="5" t="s">
        <v>36</v>
      </c>
      <c r="D216" s="5">
        <v>1005</v>
      </c>
      <c r="E216" s="5" t="s">
        <v>45</v>
      </c>
      <c r="F216" s="5">
        <v>3</v>
      </c>
      <c r="G216" s="5">
        <v>3</v>
      </c>
      <c r="H216" s="5" t="s">
        <v>60</v>
      </c>
      <c r="I216" s="5">
        <v>1</v>
      </c>
      <c r="J216" s="5">
        <v>297</v>
      </c>
      <c r="K216" s="5">
        <v>4</v>
      </c>
      <c r="L216" s="5" t="s">
        <v>39</v>
      </c>
      <c r="M216" s="5">
        <v>88</v>
      </c>
      <c r="N216" s="5">
        <v>3</v>
      </c>
      <c r="O216" s="5">
        <v>1</v>
      </c>
      <c r="P216" s="5" t="s">
        <v>47</v>
      </c>
      <c r="Q216" s="5">
        <v>1</v>
      </c>
      <c r="R216" s="5" t="s">
        <v>41</v>
      </c>
      <c r="S216" s="5">
        <v>2657</v>
      </c>
      <c r="T216" s="5">
        <v>8556</v>
      </c>
      <c r="U216" s="5">
        <v>5</v>
      </c>
      <c r="V216" s="5" t="s">
        <v>42</v>
      </c>
      <c r="W216" s="5" t="s">
        <v>35</v>
      </c>
      <c r="X216" s="5">
        <v>11</v>
      </c>
      <c r="Y216" s="5">
        <v>3</v>
      </c>
      <c r="Z216" s="5">
        <v>3</v>
      </c>
      <c r="AA216" s="5">
        <v>80</v>
      </c>
      <c r="AB216" s="5">
        <v>0</v>
      </c>
      <c r="AC216" s="5">
        <v>8</v>
      </c>
      <c r="AD216" s="5">
        <v>5</v>
      </c>
      <c r="AE216" s="5">
        <v>3</v>
      </c>
      <c r="AF216" s="5">
        <v>5</v>
      </c>
      <c r="AG216" s="5">
        <v>2</v>
      </c>
      <c r="AH216" s="5">
        <v>0</v>
      </c>
      <c r="AI216" s="5">
        <v>4</v>
      </c>
    </row>
    <row r="217" spans="1:35" x14ac:dyDescent="0.25">
      <c r="A217" s="5">
        <v>41</v>
      </c>
      <c r="B217" s="5" t="s">
        <v>43</v>
      </c>
      <c r="C217" s="5" t="s">
        <v>36</v>
      </c>
      <c r="D217" s="5">
        <v>896</v>
      </c>
      <c r="E217" s="5" t="s">
        <v>37</v>
      </c>
      <c r="F217" s="5">
        <v>6</v>
      </c>
      <c r="G217" s="5">
        <v>3</v>
      </c>
      <c r="H217" s="5" t="s">
        <v>38</v>
      </c>
      <c r="I217" s="5">
        <v>1</v>
      </c>
      <c r="J217" s="5">
        <v>298</v>
      </c>
      <c r="K217" s="5">
        <v>4</v>
      </c>
      <c r="L217" s="5" t="s">
        <v>39</v>
      </c>
      <c r="M217" s="5">
        <v>75</v>
      </c>
      <c r="N217" s="5">
        <v>3</v>
      </c>
      <c r="O217" s="5">
        <v>3</v>
      </c>
      <c r="P217" s="5" t="s">
        <v>56</v>
      </c>
      <c r="Q217" s="5">
        <v>4</v>
      </c>
      <c r="R217" s="5" t="s">
        <v>41</v>
      </c>
      <c r="S217" s="5">
        <v>13591</v>
      </c>
      <c r="T217" s="5">
        <v>14674</v>
      </c>
      <c r="U217" s="5">
        <v>3</v>
      </c>
      <c r="V217" s="5" t="s">
        <v>42</v>
      </c>
      <c r="W217" s="5" t="s">
        <v>35</v>
      </c>
      <c r="X217" s="5">
        <v>18</v>
      </c>
      <c r="Y217" s="5">
        <v>3</v>
      </c>
      <c r="Z217" s="5">
        <v>3</v>
      </c>
      <c r="AA217" s="5">
        <v>80</v>
      </c>
      <c r="AB217" s="5">
        <v>0</v>
      </c>
      <c r="AC217" s="5">
        <v>16</v>
      </c>
      <c r="AD217" s="5">
        <v>3</v>
      </c>
      <c r="AE217" s="5">
        <v>3</v>
      </c>
      <c r="AF217" s="5">
        <v>1</v>
      </c>
      <c r="AG217" s="5">
        <v>0</v>
      </c>
      <c r="AH217" s="5">
        <v>0</v>
      </c>
      <c r="AI217" s="5">
        <v>0</v>
      </c>
    </row>
    <row r="218" spans="1:35" x14ac:dyDescent="0.25">
      <c r="A218" s="5">
        <v>30</v>
      </c>
      <c r="B218" s="5" t="s">
        <v>35</v>
      </c>
      <c r="C218" s="5" t="s">
        <v>44</v>
      </c>
      <c r="D218" s="5">
        <v>334</v>
      </c>
      <c r="E218" s="5" t="s">
        <v>37</v>
      </c>
      <c r="F218" s="5">
        <v>26</v>
      </c>
      <c r="G218" s="5">
        <v>4</v>
      </c>
      <c r="H218" s="5" t="s">
        <v>59</v>
      </c>
      <c r="I218" s="5">
        <v>1</v>
      </c>
      <c r="J218" s="5">
        <v>299</v>
      </c>
      <c r="K218" s="5">
        <v>3</v>
      </c>
      <c r="L218" s="5" t="s">
        <v>39</v>
      </c>
      <c r="M218" s="5">
        <v>52</v>
      </c>
      <c r="N218" s="5">
        <v>2</v>
      </c>
      <c r="O218" s="5">
        <v>2</v>
      </c>
      <c r="P218" s="5" t="s">
        <v>40</v>
      </c>
      <c r="Q218" s="5">
        <v>1</v>
      </c>
      <c r="R218" s="5" t="s">
        <v>41</v>
      </c>
      <c r="S218" s="5">
        <v>6696</v>
      </c>
      <c r="T218" s="5">
        <v>22967</v>
      </c>
      <c r="U218" s="5">
        <v>5</v>
      </c>
      <c r="V218" s="5" t="s">
        <v>42</v>
      </c>
      <c r="W218" s="5" t="s">
        <v>43</v>
      </c>
      <c r="X218" s="5">
        <v>15</v>
      </c>
      <c r="Y218" s="5">
        <v>3</v>
      </c>
      <c r="Z218" s="5">
        <v>3</v>
      </c>
      <c r="AA218" s="5">
        <v>80</v>
      </c>
      <c r="AB218" s="5">
        <v>0</v>
      </c>
      <c r="AC218" s="5">
        <v>9</v>
      </c>
      <c r="AD218" s="5">
        <v>5</v>
      </c>
      <c r="AE218" s="5">
        <v>2</v>
      </c>
      <c r="AF218" s="5">
        <v>6</v>
      </c>
      <c r="AG218" s="5">
        <v>3</v>
      </c>
      <c r="AH218" s="5">
        <v>0</v>
      </c>
      <c r="AI218" s="5">
        <v>1</v>
      </c>
    </row>
    <row r="219" spans="1:35" x14ac:dyDescent="0.25">
      <c r="A219" s="5">
        <v>29</v>
      </c>
      <c r="B219" s="5" t="s">
        <v>35</v>
      </c>
      <c r="C219" s="5" t="s">
        <v>36</v>
      </c>
      <c r="D219" s="5">
        <v>992</v>
      </c>
      <c r="E219" s="5" t="s">
        <v>45</v>
      </c>
      <c r="F219" s="5">
        <v>1</v>
      </c>
      <c r="G219" s="5">
        <v>3</v>
      </c>
      <c r="H219" s="5" t="s">
        <v>60</v>
      </c>
      <c r="I219" s="5">
        <v>1</v>
      </c>
      <c r="J219" s="5">
        <v>300</v>
      </c>
      <c r="K219" s="5">
        <v>3</v>
      </c>
      <c r="L219" s="5" t="s">
        <v>46</v>
      </c>
      <c r="M219" s="5">
        <v>85</v>
      </c>
      <c r="N219" s="5">
        <v>3</v>
      </c>
      <c r="O219" s="5">
        <v>1</v>
      </c>
      <c r="P219" s="5" t="s">
        <v>47</v>
      </c>
      <c r="Q219" s="5">
        <v>3</v>
      </c>
      <c r="R219" s="5" t="s">
        <v>41</v>
      </c>
      <c r="S219" s="5">
        <v>2058</v>
      </c>
      <c r="T219" s="5">
        <v>19757</v>
      </c>
      <c r="U219" s="5">
        <v>0</v>
      </c>
      <c r="V219" s="5" t="s">
        <v>42</v>
      </c>
      <c r="W219" s="5" t="s">
        <v>43</v>
      </c>
      <c r="X219" s="5">
        <v>14</v>
      </c>
      <c r="Y219" s="5">
        <v>3</v>
      </c>
      <c r="Z219" s="5">
        <v>4</v>
      </c>
      <c r="AA219" s="5">
        <v>80</v>
      </c>
      <c r="AB219" s="5">
        <v>0</v>
      </c>
      <c r="AC219" s="5">
        <v>7</v>
      </c>
      <c r="AD219" s="5">
        <v>1</v>
      </c>
      <c r="AE219" s="5">
        <v>2</v>
      </c>
      <c r="AF219" s="5">
        <v>6</v>
      </c>
      <c r="AG219" s="5">
        <v>2</v>
      </c>
      <c r="AH219" s="5">
        <v>1</v>
      </c>
      <c r="AI219" s="5">
        <v>5</v>
      </c>
    </row>
    <row r="220" spans="1:35" x14ac:dyDescent="0.25">
      <c r="A220" s="5">
        <v>45</v>
      </c>
      <c r="B220" s="5" t="s">
        <v>43</v>
      </c>
      <c r="C220" s="5" t="s">
        <v>55</v>
      </c>
      <c r="D220" s="5">
        <v>1052</v>
      </c>
      <c r="E220" s="5" t="s">
        <v>37</v>
      </c>
      <c r="F220" s="5">
        <v>6</v>
      </c>
      <c r="G220" s="5">
        <v>3</v>
      </c>
      <c r="H220" s="5" t="s">
        <v>51</v>
      </c>
      <c r="I220" s="5">
        <v>1</v>
      </c>
      <c r="J220" s="5">
        <v>302</v>
      </c>
      <c r="K220" s="5">
        <v>4</v>
      </c>
      <c r="L220" s="5" t="s">
        <v>39</v>
      </c>
      <c r="M220" s="5">
        <v>57</v>
      </c>
      <c r="N220" s="5">
        <v>2</v>
      </c>
      <c r="O220" s="5">
        <v>3</v>
      </c>
      <c r="P220" s="5" t="s">
        <v>40</v>
      </c>
      <c r="Q220" s="5">
        <v>4</v>
      </c>
      <c r="R220" s="5" t="s">
        <v>41</v>
      </c>
      <c r="S220" s="5">
        <v>8865</v>
      </c>
      <c r="T220" s="5">
        <v>16840</v>
      </c>
      <c r="U220" s="5">
        <v>6</v>
      </c>
      <c r="V220" s="5" t="s">
        <v>42</v>
      </c>
      <c r="W220" s="5" t="s">
        <v>43</v>
      </c>
      <c r="X220" s="5">
        <v>12</v>
      </c>
      <c r="Y220" s="5">
        <v>3</v>
      </c>
      <c r="Z220" s="5">
        <v>4</v>
      </c>
      <c r="AA220" s="5">
        <v>80</v>
      </c>
      <c r="AB220" s="5">
        <v>0</v>
      </c>
      <c r="AC220" s="5">
        <v>23</v>
      </c>
      <c r="AD220" s="5">
        <v>2</v>
      </c>
      <c r="AE220" s="5">
        <v>3</v>
      </c>
      <c r="AF220" s="5">
        <v>19</v>
      </c>
      <c r="AG220" s="5">
        <v>7</v>
      </c>
      <c r="AH220" s="5">
        <v>12</v>
      </c>
      <c r="AI220" s="5">
        <v>8</v>
      </c>
    </row>
    <row r="221" spans="1:35" x14ac:dyDescent="0.25">
      <c r="A221" s="5">
        <v>54</v>
      </c>
      <c r="B221" s="5" t="s">
        <v>43</v>
      </c>
      <c r="C221" s="5" t="s">
        <v>36</v>
      </c>
      <c r="D221" s="5">
        <v>1147</v>
      </c>
      <c r="E221" s="5" t="s">
        <v>37</v>
      </c>
      <c r="F221" s="5">
        <v>3</v>
      </c>
      <c r="G221" s="5">
        <v>3</v>
      </c>
      <c r="H221" s="5" t="s">
        <v>59</v>
      </c>
      <c r="I221" s="5">
        <v>1</v>
      </c>
      <c r="J221" s="5">
        <v>303</v>
      </c>
      <c r="K221" s="5">
        <v>4</v>
      </c>
      <c r="L221" s="5" t="s">
        <v>39</v>
      </c>
      <c r="M221" s="5">
        <v>52</v>
      </c>
      <c r="N221" s="5">
        <v>3</v>
      </c>
      <c r="O221" s="5">
        <v>2</v>
      </c>
      <c r="P221" s="5" t="s">
        <v>40</v>
      </c>
      <c r="Q221" s="5">
        <v>1</v>
      </c>
      <c r="R221" s="5" t="s">
        <v>48</v>
      </c>
      <c r="S221" s="5">
        <v>5940</v>
      </c>
      <c r="T221" s="5">
        <v>17011</v>
      </c>
      <c r="U221" s="5">
        <v>2</v>
      </c>
      <c r="V221" s="5" t="s">
        <v>42</v>
      </c>
      <c r="W221" s="5" t="s">
        <v>43</v>
      </c>
      <c r="X221" s="5">
        <v>14</v>
      </c>
      <c r="Y221" s="5">
        <v>3</v>
      </c>
      <c r="Z221" s="5">
        <v>4</v>
      </c>
      <c r="AA221" s="5">
        <v>80</v>
      </c>
      <c r="AB221" s="5">
        <v>1</v>
      </c>
      <c r="AC221" s="5">
        <v>16</v>
      </c>
      <c r="AD221" s="5">
        <v>4</v>
      </c>
      <c r="AE221" s="5">
        <v>3</v>
      </c>
      <c r="AF221" s="5">
        <v>6</v>
      </c>
      <c r="AG221" s="5">
        <v>2</v>
      </c>
      <c r="AH221" s="5">
        <v>0</v>
      </c>
      <c r="AI221" s="5">
        <v>5</v>
      </c>
    </row>
    <row r="222" spans="1:35" x14ac:dyDescent="0.25">
      <c r="A222" s="5">
        <v>36</v>
      </c>
      <c r="B222" s="5" t="s">
        <v>43</v>
      </c>
      <c r="C222" s="5" t="s">
        <v>36</v>
      </c>
      <c r="D222" s="5">
        <v>1396</v>
      </c>
      <c r="E222" s="5" t="s">
        <v>45</v>
      </c>
      <c r="F222" s="5">
        <v>5</v>
      </c>
      <c r="G222" s="5">
        <v>2</v>
      </c>
      <c r="H222" s="5" t="s">
        <v>38</v>
      </c>
      <c r="I222" s="5">
        <v>1</v>
      </c>
      <c r="J222" s="5">
        <v>304</v>
      </c>
      <c r="K222" s="5">
        <v>4</v>
      </c>
      <c r="L222" s="5" t="s">
        <v>46</v>
      </c>
      <c r="M222" s="5">
        <v>62</v>
      </c>
      <c r="N222" s="5">
        <v>3</v>
      </c>
      <c r="O222" s="5">
        <v>2</v>
      </c>
      <c r="P222" s="5" t="s">
        <v>50</v>
      </c>
      <c r="Q222" s="5">
        <v>2</v>
      </c>
      <c r="R222" s="5" t="s">
        <v>41</v>
      </c>
      <c r="S222" s="5">
        <v>5914</v>
      </c>
      <c r="T222" s="5">
        <v>9945</v>
      </c>
      <c r="U222" s="5">
        <v>8</v>
      </c>
      <c r="V222" s="5" t="s">
        <v>42</v>
      </c>
      <c r="W222" s="5" t="s">
        <v>43</v>
      </c>
      <c r="X222" s="5">
        <v>16</v>
      </c>
      <c r="Y222" s="5">
        <v>3</v>
      </c>
      <c r="Z222" s="5">
        <v>4</v>
      </c>
      <c r="AA222" s="5">
        <v>80</v>
      </c>
      <c r="AB222" s="5">
        <v>0</v>
      </c>
      <c r="AC222" s="5">
        <v>16</v>
      </c>
      <c r="AD222" s="5">
        <v>3</v>
      </c>
      <c r="AE222" s="5">
        <v>4</v>
      </c>
      <c r="AF222" s="5">
        <v>13</v>
      </c>
      <c r="AG222" s="5">
        <v>11</v>
      </c>
      <c r="AH222" s="5">
        <v>3</v>
      </c>
      <c r="AI222" s="5">
        <v>7</v>
      </c>
    </row>
    <row r="223" spans="1:35" x14ac:dyDescent="0.25">
      <c r="A223" s="5">
        <v>33</v>
      </c>
      <c r="B223" s="5" t="s">
        <v>43</v>
      </c>
      <c r="C223" s="5" t="s">
        <v>36</v>
      </c>
      <c r="D223" s="5">
        <v>147</v>
      </c>
      <c r="E223" s="5" t="s">
        <v>45</v>
      </c>
      <c r="F223" s="5">
        <v>4</v>
      </c>
      <c r="G223" s="5">
        <v>4</v>
      </c>
      <c r="H223" s="5" t="s">
        <v>51</v>
      </c>
      <c r="I223" s="5">
        <v>1</v>
      </c>
      <c r="J223" s="5">
        <v>305</v>
      </c>
      <c r="K223" s="5">
        <v>3</v>
      </c>
      <c r="L223" s="5" t="s">
        <v>39</v>
      </c>
      <c r="M223" s="5">
        <v>47</v>
      </c>
      <c r="N223" s="5">
        <v>2</v>
      </c>
      <c r="O223" s="5">
        <v>1</v>
      </c>
      <c r="P223" s="5" t="s">
        <v>47</v>
      </c>
      <c r="Q223" s="5">
        <v>2</v>
      </c>
      <c r="R223" s="5" t="s">
        <v>48</v>
      </c>
      <c r="S223" s="5">
        <v>2622</v>
      </c>
      <c r="T223" s="5">
        <v>13248</v>
      </c>
      <c r="U223" s="5">
        <v>6</v>
      </c>
      <c r="V223" s="5" t="s">
        <v>42</v>
      </c>
      <c r="W223" s="5" t="s">
        <v>43</v>
      </c>
      <c r="X223" s="5">
        <v>21</v>
      </c>
      <c r="Y223" s="5">
        <v>4</v>
      </c>
      <c r="Z223" s="5">
        <v>4</v>
      </c>
      <c r="AA223" s="5">
        <v>80</v>
      </c>
      <c r="AB223" s="5">
        <v>0</v>
      </c>
      <c r="AC223" s="5">
        <v>7</v>
      </c>
      <c r="AD223" s="5">
        <v>3</v>
      </c>
      <c r="AE223" s="5">
        <v>3</v>
      </c>
      <c r="AF223" s="5">
        <v>3</v>
      </c>
      <c r="AG223" s="5">
        <v>2</v>
      </c>
      <c r="AH223" s="5">
        <v>1</v>
      </c>
      <c r="AI223" s="5">
        <v>1</v>
      </c>
    </row>
    <row r="224" spans="1:35" x14ac:dyDescent="0.25">
      <c r="A224" s="5">
        <v>37</v>
      </c>
      <c r="B224" s="5" t="s">
        <v>43</v>
      </c>
      <c r="C224" s="5" t="s">
        <v>44</v>
      </c>
      <c r="D224" s="5">
        <v>663</v>
      </c>
      <c r="E224" s="5" t="s">
        <v>45</v>
      </c>
      <c r="F224" s="5">
        <v>11</v>
      </c>
      <c r="G224" s="5">
        <v>3</v>
      </c>
      <c r="H224" s="5" t="s">
        <v>49</v>
      </c>
      <c r="I224" s="5">
        <v>1</v>
      </c>
      <c r="J224" s="5">
        <v>306</v>
      </c>
      <c r="K224" s="5">
        <v>2</v>
      </c>
      <c r="L224" s="5" t="s">
        <v>46</v>
      </c>
      <c r="M224" s="5">
        <v>47</v>
      </c>
      <c r="N224" s="5">
        <v>3</v>
      </c>
      <c r="O224" s="5">
        <v>3</v>
      </c>
      <c r="P224" s="5" t="s">
        <v>58</v>
      </c>
      <c r="Q224" s="5">
        <v>4</v>
      </c>
      <c r="R224" s="5" t="s">
        <v>52</v>
      </c>
      <c r="S224" s="5">
        <v>12185</v>
      </c>
      <c r="T224" s="5">
        <v>10056</v>
      </c>
      <c r="U224" s="5">
        <v>1</v>
      </c>
      <c r="V224" s="5" t="s">
        <v>42</v>
      </c>
      <c r="W224" s="5" t="s">
        <v>35</v>
      </c>
      <c r="X224" s="5">
        <v>14</v>
      </c>
      <c r="Y224" s="5">
        <v>3</v>
      </c>
      <c r="Z224" s="5">
        <v>3</v>
      </c>
      <c r="AA224" s="5">
        <v>80</v>
      </c>
      <c r="AB224" s="5">
        <v>3</v>
      </c>
      <c r="AC224" s="5">
        <v>10</v>
      </c>
      <c r="AD224" s="5">
        <v>1</v>
      </c>
      <c r="AE224" s="5">
        <v>3</v>
      </c>
      <c r="AF224" s="5">
        <v>10</v>
      </c>
      <c r="AG224" s="5">
        <v>8</v>
      </c>
      <c r="AH224" s="5">
        <v>0</v>
      </c>
      <c r="AI224" s="5">
        <v>7</v>
      </c>
    </row>
    <row r="225" spans="1:35" x14ac:dyDescent="0.25">
      <c r="A225" s="5">
        <v>38</v>
      </c>
      <c r="B225" s="5" t="s">
        <v>43</v>
      </c>
      <c r="C225" s="5" t="s">
        <v>36</v>
      </c>
      <c r="D225" s="5">
        <v>119</v>
      </c>
      <c r="E225" s="5" t="s">
        <v>37</v>
      </c>
      <c r="F225" s="5">
        <v>3</v>
      </c>
      <c r="G225" s="5">
        <v>3</v>
      </c>
      <c r="H225" s="5" t="s">
        <v>38</v>
      </c>
      <c r="I225" s="5">
        <v>1</v>
      </c>
      <c r="J225" s="5">
        <v>307</v>
      </c>
      <c r="K225" s="5">
        <v>1</v>
      </c>
      <c r="L225" s="5" t="s">
        <v>46</v>
      </c>
      <c r="M225" s="5">
        <v>76</v>
      </c>
      <c r="N225" s="5">
        <v>3</v>
      </c>
      <c r="O225" s="5">
        <v>3</v>
      </c>
      <c r="P225" s="5" t="s">
        <v>40</v>
      </c>
      <c r="Q225" s="5">
        <v>3</v>
      </c>
      <c r="R225" s="5" t="s">
        <v>52</v>
      </c>
      <c r="S225" s="5">
        <v>10609</v>
      </c>
      <c r="T225" s="5">
        <v>9647</v>
      </c>
      <c r="U225" s="5">
        <v>0</v>
      </c>
      <c r="V225" s="5" t="s">
        <v>42</v>
      </c>
      <c r="W225" s="5" t="s">
        <v>43</v>
      </c>
      <c r="X225" s="5">
        <v>12</v>
      </c>
      <c r="Y225" s="5">
        <v>3</v>
      </c>
      <c r="Z225" s="5">
        <v>3</v>
      </c>
      <c r="AA225" s="5">
        <v>80</v>
      </c>
      <c r="AB225" s="5">
        <v>2</v>
      </c>
      <c r="AC225" s="5">
        <v>17</v>
      </c>
      <c r="AD225" s="5">
        <v>6</v>
      </c>
      <c r="AE225" s="5">
        <v>2</v>
      </c>
      <c r="AF225" s="5">
        <v>16</v>
      </c>
      <c r="AG225" s="5">
        <v>10</v>
      </c>
      <c r="AH225" s="5">
        <v>5</v>
      </c>
      <c r="AI225" s="5">
        <v>13</v>
      </c>
    </row>
    <row r="226" spans="1:35" x14ac:dyDescent="0.25">
      <c r="A226" s="5">
        <v>31</v>
      </c>
      <c r="B226" s="5" t="s">
        <v>43</v>
      </c>
      <c r="C226" s="5" t="s">
        <v>55</v>
      </c>
      <c r="D226" s="5">
        <v>979</v>
      </c>
      <c r="E226" s="5" t="s">
        <v>45</v>
      </c>
      <c r="F226" s="5">
        <v>1</v>
      </c>
      <c r="G226" s="5">
        <v>4</v>
      </c>
      <c r="H226" s="5" t="s">
        <v>51</v>
      </c>
      <c r="I226" s="5">
        <v>1</v>
      </c>
      <c r="J226" s="5">
        <v>308</v>
      </c>
      <c r="K226" s="5">
        <v>3</v>
      </c>
      <c r="L226" s="5" t="s">
        <v>46</v>
      </c>
      <c r="M226" s="5">
        <v>90</v>
      </c>
      <c r="N226" s="5">
        <v>1</v>
      </c>
      <c r="O226" s="5">
        <v>2</v>
      </c>
      <c r="P226" s="5" t="s">
        <v>53</v>
      </c>
      <c r="Q226" s="5">
        <v>3</v>
      </c>
      <c r="R226" s="5" t="s">
        <v>48</v>
      </c>
      <c r="S226" s="5">
        <v>4345</v>
      </c>
      <c r="T226" s="5">
        <v>4381</v>
      </c>
      <c r="U226" s="5">
        <v>0</v>
      </c>
      <c r="V226" s="5" t="s">
        <v>42</v>
      </c>
      <c r="W226" s="5" t="s">
        <v>43</v>
      </c>
      <c r="X226" s="5">
        <v>12</v>
      </c>
      <c r="Y226" s="5">
        <v>3</v>
      </c>
      <c r="Z226" s="5">
        <v>4</v>
      </c>
      <c r="AA226" s="5">
        <v>80</v>
      </c>
      <c r="AB226" s="5">
        <v>1</v>
      </c>
      <c r="AC226" s="5">
        <v>6</v>
      </c>
      <c r="AD226" s="5">
        <v>2</v>
      </c>
      <c r="AE226" s="5">
        <v>3</v>
      </c>
      <c r="AF226" s="5">
        <v>5</v>
      </c>
      <c r="AG226" s="5">
        <v>4</v>
      </c>
      <c r="AH226" s="5">
        <v>1</v>
      </c>
      <c r="AI226" s="5">
        <v>4</v>
      </c>
    </row>
    <row r="227" spans="1:35" x14ac:dyDescent="0.25">
      <c r="A227" s="5">
        <v>59</v>
      </c>
      <c r="B227" s="5" t="s">
        <v>43</v>
      </c>
      <c r="C227" s="5" t="s">
        <v>36</v>
      </c>
      <c r="D227" s="5">
        <v>142</v>
      </c>
      <c r="E227" s="5" t="s">
        <v>45</v>
      </c>
      <c r="F227" s="5">
        <v>3</v>
      </c>
      <c r="G227" s="5">
        <v>3</v>
      </c>
      <c r="H227" s="5" t="s">
        <v>38</v>
      </c>
      <c r="I227" s="5">
        <v>1</v>
      </c>
      <c r="J227" s="5">
        <v>309</v>
      </c>
      <c r="K227" s="5">
        <v>3</v>
      </c>
      <c r="L227" s="5" t="s">
        <v>46</v>
      </c>
      <c r="M227" s="5">
        <v>70</v>
      </c>
      <c r="N227" s="5">
        <v>2</v>
      </c>
      <c r="O227" s="5">
        <v>1</v>
      </c>
      <c r="P227" s="5" t="s">
        <v>47</v>
      </c>
      <c r="Q227" s="5">
        <v>4</v>
      </c>
      <c r="R227" s="5" t="s">
        <v>48</v>
      </c>
      <c r="S227" s="5">
        <v>2177</v>
      </c>
      <c r="T227" s="5">
        <v>8456</v>
      </c>
      <c r="U227" s="5">
        <v>3</v>
      </c>
      <c r="V227" s="5" t="s">
        <v>42</v>
      </c>
      <c r="W227" s="5" t="s">
        <v>43</v>
      </c>
      <c r="X227" s="5">
        <v>17</v>
      </c>
      <c r="Y227" s="5">
        <v>3</v>
      </c>
      <c r="Z227" s="5">
        <v>1</v>
      </c>
      <c r="AA227" s="5">
        <v>80</v>
      </c>
      <c r="AB227" s="5">
        <v>1</v>
      </c>
      <c r="AC227" s="5">
        <v>7</v>
      </c>
      <c r="AD227" s="5">
        <v>6</v>
      </c>
      <c r="AE227" s="5">
        <v>3</v>
      </c>
      <c r="AF227" s="5">
        <v>1</v>
      </c>
      <c r="AG227" s="5">
        <v>0</v>
      </c>
      <c r="AH227" s="5">
        <v>0</v>
      </c>
      <c r="AI227" s="5">
        <v>0</v>
      </c>
    </row>
    <row r="228" spans="1:35" x14ac:dyDescent="0.25">
      <c r="A228" s="5">
        <v>37</v>
      </c>
      <c r="B228" s="5" t="s">
        <v>43</v>
      </c>
      <c r="C228" s="5" t="s">
        <v>44</v>
      </c>
      <c r="D228" s="5">
        <v>319</v>
      </c>
      <c r="E228" s="5" t="s">
        <v>37</v>
      </c>
      <c r="F228" s="5">
        <v>4</v>
      </c>
      <c r="G228" s="5">
        <v>4</v>
      </c>
      <c r="H228" s="5" t="s">
        <v>59</v>
      </c>
      <c r="I228" s="5">
        <v>1</v>
      </c>
      <c r="J228" s="5">
        <v>311</v>
      </c>
      <c r="K228" s="5">
        <v>1</v>
      </c>
      <c r="L228" s="5" t="s">
        <v>46</v>
      </c>
      <c r="M228" s="5">
        <v>41</v>
      </c>
      <c r="N228" s="5">
        <v>3</v>
      </c>
      <c r="O228" s="5">
        <v>1</v>
      </c>
      <c r="P228" s="5" t="s">
        <v>57</v>
      </c>
      <c r="Q228" s="5">
        <v>4</v>
      </c>
      <c r="R228" s="5" t="s">
        <v>52</v>
      </c>
      <c r="S228" s="5">
        <v>2793</v>
      </c>
      <c r="T228" s="5">
        <v>2539</v>
      </c>
      <c r="U228" s="5">
        <v>4</v>
      </c>
      <c r="V228" s="5" t="s">
        <v>42</v>
      </c>
      <c r="W228" s="5" t="s">
        <v>43</v>
      </c>
      <c r="X228" s="5">
        <v>17</v>
      </c>
      <c r="Y228" s="5">
        <v>3</v>
      </c>
      <c r="Z228" s="5">
        <v>3</v>
      </c>
      <c r="AA228" s="5">
        <v>80</v>
      </c>
      <c r="AB228" s="5">
        <v>1</v>
      </c>
      <c r="AC228" s="5">
        <v>13</v>
      </c>
      <c r="AD228" s="5">
        <v>2</v>
      </c>
      <c r="AE228" s="5">
        <v>3</v>
      </c>
      <c r="AF228" s="5">
        <v>9</v>
      </c>
      <c r="AG228" s="5">
        <v>8</v>
      </c>
      <c r="AH228" s="5">
        <v>5</v>
      </c>
      <c r="AI228" s="5">
        <v>8</v>
      </c>
    </row>
    <row r="229" spans="1:35" x14ac:dyDescent="0.25">
      <c r="A229" s="5">
        <v>29</v>
      </c>
      <c r="B229" s="5" t="s">
        <v>43</v>
      </c>
      <c r="C229" s="5" t="s">
        <v>44</v>
      </c>
      <c r="D229" s="5">
        <v>1413</v>
      </c>
      <c r="E229" s="5" t="s">
        <v>37</v>
      </c>
      <c r="F229" s="5">
        <v>1</v>
      </c>
      <c r="G229" s="5">
        <v>1</v>
      </c>
      <c r="H229" s="5" t="s">
        <v>51</v>
      </c>
      <c r="I229" s="5">
        <v>1</v>
      </c>
      <c r="J229" s="5">
        <v>312</v>
      </c>
      <c r="K229" s="5">
        <v>2</v>
      </c>
      <c r="L229" s="5" t="s">
        <v>39</v>
      </c>
      <c r="M229" s="5">
        <v>42</v>
      </c>
      <c r="N229" s="5">
        <v>3</v>
      </c>
      <c r="O229" s="5">
        <v>3</v>
      </c>
      <c r="P229" s="5" t="s">
        <v>40</v>
      </c>
      <c r="Q229" s="5">
        <v>4</v>
      </c>
      <c r="R229" s="5" t="s">
        <v>48</v>
      </c>
      <c r="S229" s="5">
        <v>7918</v>
      </c>
      <c r="T229" s="5">
        <v>6599</v>
      </c>
      <c r="U229" s="5">
        <v>1</v>
      </c>
      <c r="V229" s="5" t="s">
        <v>42</v>
      </c>
      <c r="W229" s="5" t="s">
        <v>43</v>
      </c>
      <c r="X229" s="5">
        <v>14</v>
      </c>
      <c r="Y229" s="5">
        <v>3</v>
      </c>
      <c r="Z229" s="5">
        <v>4</v>
      </c>
      <c r="AA229" s="5">
        <v>80</v>
      </c>
      <c r="AB229" s="5">
        <v>1</v>
      </c>
      <c r="AC229" s="5">
        <v>11</v>
      </c>
      <c r="AD229" s="5">
        <v>5</v>
      </c>
      <c r="AE229" s="5">
        <v>3</v>
      </c>
      <c r="AF229" s="5">
        <v>11</v>
      </c>
      <c r="AG229" s="5">
        <v>10</v>
      </c>
      <c r="AH229" s="5">
        <v>4</v>
      </c>
      <c r="AI229" s="5">
        <v>1</v>
      </c>
    </row>
    <row r="230" spans="1:35" x14ac:dyDescent="0.25">
      <c r="A230" s="5">
        <v>35</v>
      </c>
      <c r="B230" s="5" t="s">
        <v>43</v>
      </c>
      <c r="C230" s="5" t="s">
        <v>44</v>
      </c>
      <c r="D230" s="5">
        <v>944</v>
      </c>
      <c r="E230" s="5" t="s">
        <v>37</v>
      </c>
      <c r="F230" s="5">
        <v>1</v>
      </c>
      <c r="G230" s="5">
        <v>3</v>
      </c>
      <c r="H230" s="5" t="s">
        <v>59</v>
      </c>
      <c r="I230" s="5">
        <v>1</v>
      </c>
      <c r="J230" s="5">
        <v>314</v>
      </c>
      <c r="K230" s="5">
        <v>3</v>
      </c>
      <c r="L230" s="5" t="s">
        <v>39</v>
      </c>
      <c r="M230" s="5">
        <v>92</v>
      </c>
      <c r="N230" s="5">
        <v>3</v>
      </c>
      <c r="O230" s="5">
        <v>3</v>
      </c>
      <c r="P230" s="5" t="s">
        <v>40</v>
      </c>
      <c r="Q230" s="5">
        <v>3</v>
      </c>
      <c r="R230" s="5" t="s">
        <v>41</v>
      </c>
      <c r="S230" s="5">
        <v>8789</v>
      </c>
      <c r="T230" s="5">
        <v>9096</v>
      </c>
      <c r="U230" s="5">
        <v>1</v>
      </c>
      <c r="V230" s="5" t="s">
        <v>42</v>
      </c>
      <c r="W230" s="5" t="s">
        <v>43</v>
      </c>
      <c r="X230" s="5">
        <v>14</v>
      </c>
      <c r="Y230" s="5">
        <v>3</v>
      </c>
      <c r="Z230" s="5">
        <v>1</v>
      </c>
      <c r="AA230" s="5">
        <v>80</v>
      </c>
      <c r="AB230" s="5">
        <v>0</v>
      </c>
      <c r="AC230" s="5">
        <v>10</v>
      </c>
      <c r="AD230" s="5">
        <v>3</v>
      </c>
      <c r="AE230" s="5">
        <v>4</v>
      </c>
      <c r="AF230" s="5">
        <v>10</v>
      </c>
      <c r="AG230" s="5">
        <v>7</v>
      </c>
      <c r="AH230" s="5">
        <v>0</v>
      </c>
      <c r="AI230" s="5">
        <v>8</v>
      </c>
    </row>
    <row r="231" spans="1:35" x14ac:dyDescent="0.25">
      <c r="A231" s="5">
        <v>29</v>
      </c>
      <c r="B231" s="5" t="s">
        <v>35</v>
      </c>
      <c r="C231" s="5" t="s">
        <v>36</v>
      </c>
      <c r="D231" s="5">
        <v>896</v>
      </c>
      <c r="E231" s="5" t="s">
        <v>45</v>
      </c>
      <c r="F231" s="5">
        <v>18</v>
      </c>
      <c r="G231" s="5">
        <v>1</v>
      </c>
      <c r="H231" s="5" t="s">
        <v>51</v>
      </c>
      <c r="I231" s="5">
        <v>1</v>
      </c>
      <c r="J231" s="5">
        <v>315</v>
      </c>
      <c r="K231" s="5">
        <v>3</v>
      </c>
      <c r="L231" s="5" t="s">
        <v>46</v>
      </c>
      <c r="M231" s="5">
        <v>86</v>
      </c>
      <c r="N231" s="5">
        <v>2</v>
      </c>
      <c r="O231" s="5">
        <v>1</v>
      </c>
      <c r="P231" s="5" t="s">
        <v>47</v>
      </c>
      <c r="Q231" s="5">
        <v>4</v>
      </c>
      <c r="R231" s="5" t="s">
        <v>41</v>
      </c>
      <c r="S231" s="5">
        <v>2389</v>
      </c>
      <c r="T231" s="5">
        <v>14961</v>
      </c>
      <c r="U231" s="5">
        <v>1</v>
      </c>
      <c r="V231" s="5" t="s">
        <v>42</v>
      </c>
      <c r="W231" s="5" t="s">
        <v>35</v>
      </c>
      <c r="X231" s="5">
        <v>13</v>
      </c>
      <c r="Y231" s="5">
        <v>3</v>
      </c>
      <c r="Z231" s="5">
        <v>3</v>
      </c>
      <c r="AA231" s="5">
        <v>80</v>
      </c>
      <c r="AB231" s="5">
        <v>0</v>
      </c>
      <c r="AC231" s="5">
        <v>4</v>
      </c>
      <c r="AD231" s="5">
        <v>3</v>
      </c>
      <c r="AE231" s="5">
        <v>2</v>
      </c>
      <c r="AF231" s="5">
        <v>4</v>
      </c>
      <c r="AG231" s="5">
        <v>3</v>
      </c>
      <c r="AH231" s="5">
        <v>0</v>
      </c>
      <c r="AI231" s="5">
        <v>1</v>
      </c>
    </row>
    <row r="232" spans="1:35" x14ac:dyDescent="0.25">
      <c r="A232" s="5">
        <v>52</v>
      </c>
      <c r="B232" s="5" t="s">
        <v>43</v>
      </c>
      <c r="C232" s="5" t="s">
        <v>36</v>
      </c>
      <c r="D232" s="5">
        <v>1323</v>
      </c>
      <c r="E232" s="5" t="s">
        <v>45</v>
      </c>
      <c r="F232" s="5">
        <v>2</v>
      </c>
      <c r="G232" s="5">
        <v>3</v>
      </c>
      <c r="H232" s="5" t="s">
        <v>38</v>
      </c>
      <c r="I232" s="5">
        <v>1</v>
      </c>
      <c r="J232" s="5">
        <v>316</v>
      </c>
      <c r="K232" s="5">
        <v>3</v>
      </c>
      <c r="L232" s="5" t="s">
        <v>39</v>
      </c>
      <c r="M232" s="5">
        <v>89</v>
      </c>
      <c r="N232" s="5">
        <v>2</v>
      </c>
      <c r="O232" s="5">
        <v>1</v>
      </c>
      <c r="P232" s="5" t="s">
        <v>50</v>
      </c>
      <c r="Q232" s="5">
        <v>4</v>
      </c>
      <c r="R232" s="5" t="s">
        <v>41</v>
      </c>
      <c r="S232" s="5">
        <v>3212</v>
      </c>
      <c r="T232" s="5">
        <v>3300</v>
      </c>
      <c r="U232" s="5">
        <v>7</v>
      </c>
      <c r="V232" s="5" t="s">
        <v>42</v>
      </c>
      <c r="W232" s="5" t="s">
        <v>43</v>
      </c>
      <c r="X232" s="5">
        <v>15</v>
      </c>
      <c r="Y232" s="5">
        <v>3</v>
      </c>
      <c r="Z232" s="5">
        <v>2</v>
      </c>
      <c r="AA232" s="5">
        <v>80</v>
      </c>
      <c r="AB232" s="5">
        <v>0</v>
      </c>
      <c r="AC232" s="5">
        <v>6</v>
      </c>
      <c r="AD232" s="5">
        <v>3</v>
      </c>
      <c r="AE232" s="5">
        <v>2</v>
      </c>
      <c r="AF232" s="5">
        <v>2</v>
      </c>
      <c r="AG232" s="5">
        <v>2</v>
      </c>
      <c r="AH232" s="5">
        <v>2</v>
      </c>
      <c r="AI232" s="5">
        <v>2</v>
      </c>
    </row>
    <row r="233" spans="1:35" x14ac:dyDescent="0.25">
      <c r="A233" s="5">
        <v>42</v>
      </c>
      <c r="B233" s="5" t="s">
        <v>43</v>
      </c>
      <c r="C233" s="5" t="s">
        <v>36</v>
      </c>
      <c r="D233" s="5">
        <v>532</v>
      </c>
      <c r="E233" s="5" t="s">
        <v>45</v>
      </c>
      <c r="F233" s="5">
        <v>4</v>
      </c>
      <c r="G233" s="5">
        <v>2</v>
      </c>
      <c r="H233" s="5" t="s">
        <v>60</v>
      </c>
      <c r="I233" s="5">
        <v>1</v>
      </c>
      <c r="J233" s="5">
        <v>319</v>
      </c>
      <c r="K233" s="5">
        <v>3</v>
      </c>
      <c r="L233" s="5" t="s">
        <v>46</v>
      </c>
      <c r="M233" s="5">
        <v>58</v>
      </c>
      <c r="N233" s="5">
        <v>3</v>
      </c>
      <c r="O233" s="5">
        <v>5</v>
      </c>
      <c r="P233" s="5" t="s">
        <v>56</v>
      </c>
      <c r="Q233" s="5">
        <v>4</v>
      </c>
      <c r="R233" s="5" t="s">
        <v>48</v>
      </c>
      <c r="S233" s="5">
        <v>19232</v>
      </c>
      <c r="T233" s="5">
        <v>4933</v>
      </c>
      <c r="U233" s="5">
        <v>1</v>
      </c>
      <c r="V233" s="5" t="s">
        <v>42</v>
      </c>
      <c r="W233" s="5" t="s">
        <v>43</v>
      </c>
      <c r="X233" s="5">
        <v>11</v>
      </c>
      <c r="Y233" s="5">
        <v>3</v>
      </c>
      <c r="Z233" s="5">
        <v>4</v>
      </c>
      <c r="AA233" s="5">
        <v>80</v>
      </c>
      <c r="AB233" s="5">
        <v>0</v>
      </c>
      <c r="AC233" s="5">
        <v>22</v>
      </c>
      <c r="AD233" s="5">
        <v>3</v>
      </c>
      <c r="AE233" s="5">
        <v>3</v>
      </c>
      <c r="AF233" s="5">
        <v>22</v>
      </c>
      <c r="AG233" s="5">
        <v>17</v>
      </c>
      <c r="AH233" s="5">
        <v>11</v>
      </c>
      <c r="AI233" s="5">
        <v>15</v>
      </c>
    </row>
    <row r="234" spans="1:35" x14ac:dyDescent="0.25">
      <c r="A234" s="5">
        <v>59</v>
      </c>
      <c r="B234" s="5" t="s">
        <v>43</v>
      </c>
      <c r="C234" s="5" t="s">
        <v>36</v>
      </c>
      <c r="D234" s="5">
        <v>818</v>
      </c>
      <c r="E234" s="5" t="s">
        <v>61</v>
      </c>
      <c r="F234" s="5">
        <v>6</v>
      </c>
      <c r="G234" s="5">
        <v>2</v>
      </c>
      <c r="H234" s="5" t="s">
        <v>51</v>
      </c>
      <c r="I234" s="5">
        <v>1</v>
      </c>
      <c r="J234" s="5">
        <v>321</v>
      </c>
      <c r="K234" s="5">
        <v>2</v>
      </c>
      <c r="L234" s="5" t="s">
        <v>46</v>
      </c>
      <c r="M234" s="5">
        <v>52</v>
      </c>
      <c r="N234" s="5">
        <v>3</v>
      </c>
      <c r="O234" s="5">
        <v>1</v>
      </c>
      <c r="P234" s="5" t="s">
        <v>61</v>
      </c>
      <c r="Q234" s="5">
        <v>3</v>
      </c>
      <c r="R234" s="5" t="s">
        <v>48</v>
      </c>
      <c r="S234" s="5">
        <v>2267</v>
      </c>
      <c r="T234" s="5">
        <v>25657</v>
      </c>
      <c r="U234" s="5">
        <v>8</v>
      </c>
      <c r="V234" s="5" t="s">
        <v>42</v>
      </c>
      <c r="W234" s="5" t="s">
        <v>43</v>
      </c>
      <c r="X234" s="5">
        <v>17</v>
      </c>
      <c r="Y234" s="5">
        <v>3</v>
      </c>
      <c r="Z234" s="5">
        <v>4</v>
      </c>
      <c r="AA234" s="5">
        <v>80</v>
      </c>
      <c r="AB234" s="5">
        <v>0</v>
      </c>
      <c r="AC234" s="5">
        <v>7</v>
      </c>
      <c r="AD234" s="5">
        <v>2</v>
      </c>
      <c r="AE234" s="5">
        <v>2</v>
      </c>
      <c r="AF234" s="5">
        <v>2</v>
      </c>
      <c r="AG234" s="5">
        <v>2</v>
      </c>
      <c r="AH234" s="5">
        <v>2</v>
      </c>
      <c r="AI234" s="5">
        <v>2</v>
      </c>
    </row>
    <row r="235" spans="1:35" x14ac:dyDescent="0.25">
      <c r="A235" s="5">
        <v>50</v>
      </c>
      <c r="B235" s="5" t="s">
        <v>43</v>
      </c>
      <c r="C235" s="5" t="s">
        <v>36</v>
      </c>
      <c r="D235" s="5">
        <v>854</v>
      </c>
      <c r="E235" s="5" t="s">
        <v>37</v>
      </c>
      <c r="F235" s="5">
        <v>1</v>
      </c>
      <c r="G235" s="5">
        <v>4</v>
      </c>
      <c r="H235" s="5" t="s">
        <v>51</v>
      </c>
      <c r="I235" s="5">
        <v>1</v>
      </c>
      <c r="J235" s="5">
        <v>323</v>
      </c>
      <c r="K235" s="5">
        <v>4</v>
      </c>
      <c r="L235" s="5" t="s">
        <v>39</v>
      </c>
      <c r="M235" s="5">
        <v>68</v>
      </c>
      <c r="N235" s="5">
        <v>3</v>
      </c>
      <c r="O235" s="5">
        <v>5</v>
      </c>
      <c r="P235" s="5" t="s">
        <v>56</v>
      </c>
      <c r="Q235" s="5">
        <v>4</v>
      </c>
      <c r="R235" s="5" t="s">
        <v>52</v>
      </c>
      <c r="S235" s="5">
        <v>19517</v>
      </c>
      <c r="T235" s="5">
        <v>24118</v>
      </c>
      <c r="U235" s="5">
        <v>3</v>
      </c>
      <c r="V235" s="5" t="s">
        <v>42</v>
      </c>
      <c r="W235" s="5" t="s">
        <v>43</v>
      </c>
      <c r="X235" s="5">
        <v>11</v>
      </c>
      <c r="Y235" s="5">
        <v>3</v>
      </c>
      <c r="Z235" s="5">
        <v>3</v>
      </c>
      <c r="AA235" s="5">
        <v>80</v>
      </c>
      <c r="AB235" s="5">
        <v>1</v>
      </c>
      <c r="AC235" s="5">
        <v>32</v>
      </c>
      <c r="AD235" s="5">
        <v>3</v>
      </c>
      <c r="AE235" s="5">
        <v>2</v>
      </c>
      <c r="AF235" s="5">
        <v>7</v>
      </c>
      <c r="AG235" s="5">
        <v>0</v>
      </c>
      <c r="AH235" s="5">
        <v>0</v>
      </c>
      <c r="AI235" s="5">
        <v>6</v>
      </c>
    </row>
    <row r="236" spans="1:35" x14ac:dyDescent="0.25">
      <c r="A236" s="5">
        <v>33</v>
      </c>
      <c r="B236" s="5" t="s">
        <v>35</v>
      </c>
      <c r="C236" s="5" t="s">
        <v>36</v>
      </c>
      <c r="D236" s="5">
        <v>813</v>
      </c>
      <c r="E236" s="5" t="s">
        <v>45</v>
      </c>
      <c r="F236" s="5">
        <v>14</v>
      </c>
      <c r="G236" s="5">
        <v>3</v>
      </c>
      <c r="H236" s="5" t="s">
        <v>51</v>
      </c>
      <c r="I236" s="5">
        <v>1</v>
      </c>
      <c r="J236" s="5">
        <v>325</v>
      </c>
      <c r="K236" s="5">
        <v>3</v>
      </c>
      <c r="L236" s="5" t="s">
        <v>46</v>
      </c>
      <c r="M236" s="5">
        <v>58</v>
      </c>
      <c r="N236" s="5">
        <v>3</v>
      </c>
      <c r="O236" s="5">
        <v>1</v>
      </c>
      <c r="P236" s="5" t="s">
        <v>50</v>
      </c>
      <c r="Q236" s="5">
        <v>4</v>
      </c>
      <c r="R236" s="5" t="s">
        <v>48</v>
      </c>
      <c r="S236" s="5">
        <v>2436</v>
      </c>
      <c r="T236" s="5">
        <v>22149</v>
      </c>
      <c r="U236" s="5">
        <v>5</v>
      </c>
      <c r="V236" s="5" t="s">
        <v>42</v>
      </c>
      <c r="W236" s="5" t="s">
        <v>35</v>
      </c>
      <c r="X236" s="5">
        <v>13</v>
      </c>
      <c r="Y236" s="5">
        <v>3</v>
      </c>
      <c r="Z236" s="5">
        <v>3</v>
      </c>
      <c r="AA236" s="5">
        <v>80</v>
      </c>
      <c r="AB236" s="5">
        <v>1</v>
      </c>
      <c r="AC236" s="5">
        <v>8</v>
      </c>
      <c r="AD236" s="5">
        <v>2</v>
      </c>
      <c r="AE236" s="5">
        <v>1</v>
      </c>
      <c r="AF236" s="5">
        <v>5</v>
      </c>
      <c r="AG236" s="5">
        <v>4</v>
      </c>
      <c r="AH236" s="5">
        <v>0</v>
      </c>
      <c r="AI236" s="5">
        <v>4</v>
      </c>
    </row>
    <row r="237" spans="1:35" x14ac:dyDescent="0.25">
      <c r="A237" s="5">
        <v>43</v>
      </c>
      <c r="B237" s="5" t="s">
        <v>43</v>
      </c>
      <c r="C237" s="5" t="s">
        <v>36</v>
      </c>
      <c r="D237" s="5">
        <v>1034</v>
      </c>
      <c r="E237" s="5" t="s">
        <v>37</v>
      </c>
      <c r="F237" s="5">
        <v>16</v>
      </c>
      <c r="G237" s="5">
        <v>3</v>
      </c>
      <c r="H237" s="5" t="s">
        <v>59</v>
      </c>
      <c r="I237" s="5">
        <v>1</v>
      </c>
      <c r="J237" s="5">
        <v>327</v>
      </c>
      <c r="K237" s="5">
        <v>4</v>
      </c>
      <c r="L237" s="5" t="s">
        <v>39</v>
      </c>
      <c r="M237" s="5">
        <v>80</v>
      </c>
      <c r="N237" s="5">
        <v>3</v>
      </c>
      <c r="O237" s="5">
        <v>4</v>
      </c>
      <c r="P237" s="5" t="s">
        <v>56</v>
      </c>
      <c r="Q237" s="5">
        <v>4</v>
      </c>
      <c r="R237" s="5" t="s">
        <v>48</v>
      </c>
      <c r="S237" s="5">
        <v>16064</v>
      </c>
      <c r="T237" s="5">
        <v>7744</v>
      </c>
      <c r="U237" s="5">
        <v>5</v>
      </c>
      <c r="V237" s="5" t="s">
        <v>42</v>
      </c>
      <c r="W237" s="5" t="s">
        <v>35</v>
      </c>
      <c r="X237" s="5">
        <v>22</v>
      </c>
      <c r="Y237" s="5">
        <v>4</v>
      </c>
      <c r="Z237" s="5">
        <v>3</v>
      </c>
      <c r="AA237" s="5">
        <v>80</v>
      </c>
      <c r="AB237" s="5">
        <v>1</v>
      </c>
      <c r="AC237" s="5">
        <v>22</v>
      </c>
      <c r="AD237" s="5">
        <v>3</v>
      </c>
      <c r="AE237" s="5">
        <v>3</v>
      </c>
      <c r="AF237" s="5">
        <v>17</v>
      </c>
      <c r="AG237" s="5">
        <v>13</v>
      </c>
      <c r="AH237" s="5">
        <v>1</v>
      </c>
      <c r="AI237" s="5">
        <v>9</v>
      </c>
    </row>
    <row r="238" spans="1:35" x14ac:dyDescent="0.25">
      <c r="A238" s="5">
        <v>33</v>
      </c>
      <c r="B238" s="5" t="s">
        <v>35</v>
      </c>
      <c r="C238" s="5" t="s">
        <v>36</v>
      </c>
      <c r="D238" s="5">
        <v>465</v>
      </c>
      <c r="E238" s="5" t="s">
        <v>45</v>
      </c>
      <c r="F238" s="5">
        <v>2</v>
      </c>
      <c r="G238" s="5">
        <v>2</v>
      </c>
      <c r="H238" s="5" t="s">
        <v>38</v>
      </c>
      <c r="I238" s="5">
        <v>1</v>
      </c>
      <c r="J238" s="5">
        <v>328</v>
      </c>
      <c r="K238" s="5">
        <v>1</v>
      </c>
      <c r="L238" s="5" t="s">
        <v>39</v>
      </c>
      <c r="M238" s="5">
        <v>39</v>
      </c>
      <c r="N238" s="5">
        <v>3</v>
      </c>
      <c r="O238" s="5">
        <v>1</v>
      </c>
      <c r="P238" s="5" t="s">
        <v>50</v>
      </c>
      <c r="Q238" s="5">
        <v>1</v>
      </c>
      <c r="R238" s="5" t="s">
        <v>48</v>
      </c>
      <c r="S238" s="5">
        <v>2707</v>
      </c>
      <c r="T238" s="5">
        <v>21509</v>
      </c>
      <c r="U238" s="5">
        <v>7</v>
      </c>
      <c r="V238" s="5" t="s">
        <v>42</v>
      </c>
      <c r="W238" s="5" t="s">
        <v>43</v>
      </c>
      <c r="X238" s="5">
        <v>20</v>
      </c>
      <c r="Y238" s="5">
        <v>4</v>
      </c>
      <c r="Z238" s="5">
        <v>1</v>
      </c>
      <c r="AA238" s="5">
        <v>80</v>
      </c>
      <c r="AB238" s="5">
        <v>0</v>
      </c>
      <c r="AC238" s="5">
        <v>13</v>
      </c>
      <c r="AD238" s="5">
        <v>3</v>
      </c>
      <c r="AE238" s="5">
        <v>4</v>
      </c>
      <c r="AF238" s="5">
        <v>9</v>
      </c>
      <c r="AG238" s="5">
        <v>7</v>
      </c>
      <c r="AH238" s="5">
        <v>1</v>
      </c>
      <c r="AI238" s="5">
        <v>7</v>
      </c>
    </row>
    <row r="239" spans="1:35" x14ac:dyDescent="0.25">
      <c r="A239" s="5">
        <v>52</v>
      </c>
      <c r="B239" s="5" t="s">
        <v>43</v>
      </c>
      <c r="C239" s="5" t="s">
        <v>55</v>
      </c>
      <c r="D239" s="5">
        <v>771</v>
      </c>
      <c r="E239" s="5" t="s">
        <v>37</v>
      </c>
      <c r="F239" s="5">
        <v>2</v>
      </c>
      <c r="G239" s="5">
        <v>4</v>
      </c>
      <c r="H239" s="5" t="s">
        <v>38</v>
      </c>
      <c r="I239" s="5">
        <v>1</v>
      </c>
      <c r="J239" s="5">
        <v>329</v>
      </c>
      <c r="K239" s="5">
        <v>1</v>
      </c>
      <c r="L239" s="5" t="s">
        <v>46</v>
      </c>
      <c r="M239" s="5">
        <v>79</v>
      </c>
      <c r="N239" s="5">
        <v>2</v>
      </c>
      <c r="O239" s="5">
        <v>5</v>
      </c>
      <c r="P239" s="5" t="s">
        <v>56</v>
      </c>
      <c r="Q239" s="5">
        <v>3</v>
      </c>
      <c r="R239" s="5" t="s">
        <v>41</v>
      </c>
      <c r="S239" s="5">
        <v>19068</v>
      </c>
      <c r="T239" s="5">
        <v>21030</v>
      </c>
      <c r="U239" s="5">
        <v>1</v>
      </c>
      <c r="V239" s="5" t="s">
        <v>42</v>
      </c>
      <c r="W239" s="5" t="s">
        <v>35</v>
      </c>
      <c r="X239" s="5">
        <v>18</v>
      </c>
      <c r="Y239" s="5">
        <v>3</v>
      </c>
      <c r="Z239" s="5">
        <v>4</v>
      </c>
      <c r="AA239" s="5">
        <v>80</v>
      </c>
      <c r="AB239" s="5">
        <v>0</v>
      </c>
      <c r="AC239" s="5">
        <v>33</v>
      </c>
      <c r="AD239" s="5">
        <v>2</v>
      </c>
      <c r="AE239" s="5">
        <v>4</v>
      </c>
      <c r="AF239" s="5">
        <v>33</v>
      </c>
      <c r="AG239" s="5">
        <v>7</v>
      </c>
      <c r="AH239" s="5">
        <v>15</v>
      </c>
      <c r="AI239" s="5">
        <v>12</v>
      </c>
    </row>
    <row r="240" spans="1:35" x14ac:dyDescent="0.25">
      <c r="A240" s="5">
        <v>32</v>
      </c>
      <c r="B240" s="5" t="s">
        <v>43</v>
      </c>
      <c r="C240" s="5" t="s">
        <v>36</v>
      </c>
      <c r="D240" s="5">
        <v>1401</v>
      </c>
      <c r="E240" s="5" t="s">
        <v>37</v>
      </c>
      <c r="F240" s="5">
        <v>4</v>
      </c>
      <c r="G240" s="5">
        <v>2</v>
      </c>
      <c r="H240" s="5" t="s">
        <v>38</v>
      </c>
      <c r="I240" s="5">
        <v>1</v>
      </c>
      <c r="J240" s="5">
        <v>330</v>
      </c>
      <c r="K240" s="5">
        <v>3</v>
      </c>
      <c r="L240" s="5" t="s">
        <v>39</v>
      </c>
      <c r="M240" s="5">
        <v>56</v>
      </c>
      <c r="N240" s="5">
        <v>3</v>
      </c>
      <c r="O240" s="5">
        <v>1</v>
      </c>
      <c r="P240" s="5" t="s">
        <v>57</v>
      </c>
      <c r="Q240" s="5">
        <v>2</v>
      </c>
      <c r="R240" s="5" t="s">
        <v>48</v>
      </c>
      <c r="S240" s="5">
        <v>3931</v>
      </c>
      <c r="T240" s="5">
        <v>20990</v>
      </c>
      <c r="U240" s="5">
        <v>2</v>
      </c>
      <c r="V240" s="5" t="s">
        <v>42</v>
      </c>
      <c r="W240" s="5" t="s">
        <v>43</v>
      </c>
      <c r="X240" s="5">
        <v>11</v>
      </c>
      <c r="Y240" s="5">
        <v>3</v>
      </c>
      <c r="Z240" s="5">
        <v>1</v>
      </c>
      <c r="AA240" s="5">
        <v>80</v>
      </c>
      <c r="AB240" s="5">
        <v>1</v>
      </c>
      <c r="AC240" s="5">
        <v>6</v>
      </c>
      <c r="AD240" s="5">
        <v>5</v>
      </c>
      <c r="AE240" s="5">
        <v>3</v>
      </c>
      <c r="AF240" s="5">
        <v>4</v>
      </c>
      <c r="AG240" s="5">
        <v>3</v>
      </c>
      <c r="AH240" s="5">
        <v>1</v>
      </c>
      <c r="AI240" s="5">
        <v>2</v>
      </c>
    </row>
    <row r="241" spans="1:35" x14ac:dyDescent="0.25">
      <c r="A241" s="5">
        <v>32</v>
      </c>
      <c r="B241" s="5" t="s">
        <v>35</v>
      </c>
      <c r="C241" s="5" t="s">
        <v>36</v>
      </c>
      <c r="D241" s="5">
        <v>515</v>
      </c>
      <c r="E241" s="5" t="s">
        <v>45</v>
      </c>
      <c r="F241" s="5">
        <v>1</v>
      </c>
      <c r="G241" s="5">
        <v>3</v>
      </c>
      <c r="H241" s="5" t="s">
        <v>38</v>
      </c>
      <c r="I241" s="5">
        <v>1</v>
      </c>
      <c r="J241" s="5">
        <v>331</v>
      </c>
      <c r="K241" s="5">
        <v>4</v>
      </c>
      <c r="L241" s="5" t="s">
        <v>46</v>
      </c>
      <c r="M241" s="5">
        <v>62</v>
      </c>
      <c r="N241" s="5">
        <v>2</v>
      </c>
      <c r="O241" s="5">
        <v>1</v>
      </c>
      <c r="P241" s="5" t="s">
        <v>50</v>
      </c>
      <c r="Q241" s="5">
        <v>3</v>
      </c>
      <c r="R241" s="5" t="s">
        <v>41</v>
      </c>
      <c r="S241" s="5">
        <v>3730</v>
      </c>
      <c r="T241" s="5">
        <v>9571</v>
      </c>
      <c r="U241" s="5">
        <v>0</v>
      </c>
      <c r="V241" s="5" t="s">
        <v>42</v>
      </c>
      <c r="W241" s="5" t="s">
        <v>35</v>
      </c>
      <c r="X241" s="5">
        <v>14</v>
      </c>
      <c r="Y241" s="5">
        <v>3</v>
      </c>
      <c r="Z241" s="5">
        <v>4</v>
      </c>
      <c r="AA241" s="5">
        <v>80</v>
      </c>
      <c r="AB241" s="5">
        <v>0</v>
      </c>
      <c r="AC241" s="5">
        <v>4</v>
      </c>
      <c r="AD241" s="5">
        <v>2</v>
      </c>
      <c r="AE241" s="5">
        <v>1</v>
      </c>
      <c r="AF241" s="5">
        <v>3</v>
      </c>
      <c r="AG241" s="5">
        <v>2</v>
      </c>
      <c r="AH241" s="5">
        <v>1</v>
      </c>
      <c r="AI241" s="5">
        <v>2</v>
      </c>
    </row>
    <row r="242" spans="1:35" x14ac:dyDescent="0.25">
      <c r="A242" s="5">
        <v>39</v>
      </c>
      <c r="B242" s="5" t="s">
        <v>43</v>
      </c>
      <c r="C242" s="5" t="s">
        <v>36</v>
      </c>
      <c r="D242" s="5">
        <v>1431</v>
      </c>
      <c r="E242" s="5" t="s">
        <v>45</v>
      </c>
      <c r="F242" s="5">
        <v>1</v>
      </c>
      <c r="G242" s="5">
        <v>4</v>
      </c>
      <c r="H242" s="5" t="s">
        <v>51</v>
      </c>
      <c r="I242" s="5">
        <v>1</v>
      </c>
      <c r="J242" s="5">
        <v>332</v>
      </c>
      <c r="K242" s="5">
        <v>3</v>
      </c>
      <c r="L242" s="5" t="s">
        <v>39</v>
      </c>
      <c r="M242" s="5">
        <v>96</v>
      </c>
      <c r="N242" s="5">
        <v>3</v>
      </c>
      <c r="O242" s="5">
        <v>1</v>
      </c>
      <c r="P242" s="5" t="s">
        <v>50</v>
      </c>
      <c r="Q242" s="5">
        <v>3</v>
      </c>
      <c r="R242" s="5" t="s">
        <v>52</v>
      </c>
      <c r="S242" s="5">
        <v>2232</v>
      </c>
      <c r="T242" s="5">
        <v>15417</v>
      </c>
      <c r="U242" s="5">
        <v>7</v>
      </c>
      <c r="V242" s="5" t="s">
        <v>42</v>
      </c>
      <c r="W242" s="5" t="s">
        <v>43</v>
      </c>
      <c r="X242" s="5">
        <v>14</v>
      </c>
      <c r="Y242" s="5">
        <v>3</v>
      </c>
      <c r="Z242" s="5">
        <v>3</v>
      </c>
      <c r="AA242" s="5">
        <v>80</v>
      </c>
      <c r="AB242" s="5">
        <v>3</v>
      </c>
      <c r="AC242" s="5">
        <v>7</v>
      </c>
      <c r="AD242" s="5">
        <v>1</v>
      </c>
      <c r="AE242" s="5">
        <v>3</v>
      </c>
      <c r="AF242" s="5">
        <v>3</v>
      </c>
      <c r="AG242" s="5">
        <v>2</v>
      </c>
      <c r="AH242" s="5">
        <v>1</v>
      </c>
      <c r="AI242" s="5">
        <v>2</v>
      </c>
    </row>
    <row r="243" spans="1:35" x14ac:dyDescent="0.25">
      <c r="A243" s="5">
        <v>32</v>
      </c>
      <c r="B243" s="5" t="s">
        <v>43</v>
      </c>
      <c r="C243" s="5" t="s">
        <v>55</v>
      </c>
      <c r="D243" s="5">
        <v>976</v>
      </c>
      <c r="E243" s="5" t="s">
        <v>37</v>
      </c>
      <c r="F243" s="5">
        <v>26</v>
      </c>
      <c r="G243" s="5">
        <v>4</v>
      </c>
      <c r="H243" s="5" t="s">
        <v>59</v>
      </c>
      <c r="I243" s="5">
        <v>1</v>
      </c>
      <c r="J243" s="5">
        <v>333</v>
      </c>
      <c r="K243" s="5">
        <v>3</v>
      </c>
      <c r="L243" s="5" t="s">
        <v>46</v>
      </c>
      <c r="M243" s="5">
        <v>100</v>
      </c>
      <c r="N243" s="5">
        <v>3</v>
      </c>
      <c r="O243" s="5">
        <v>2</v>
      </c>
      <c r="P243" s="5" t="s">
        <v>40</v>
      </c>
      <c r="Q243" s="5">
        <v>4</v>
      </c>
      <c r="R243" s="5" t="s">
        <v>48</v>
      </c>
      <c r="S243" s="5">
        <v>4465</v>
      </c>
      <c r="T243" s="5">
        <v>12069</v>
      </c>
      <c r="U243" s="5">
        <v>0</v>
      </c>
      <c r="V243" s="5" t="s">
        <v>42</v>
      </c>
      <c r="W243" s="5" t="s">
        <v>43</v>
      </c>
      <c r="X243" s="5">
        <v>18</v>
      </c>
      <c r="Y243" s="5">
        <v>3</v>
      </c>
      <c r="Z243" s="5">
        <v>1</v>
      </c>
      <c r="AA243" s="5">
        <v>80</v>
      </c>
      <c r="AB243" s="5">
        <v>0</v>
      </c>
      <c r="AC243" s="5">
        <v>4</v>
      </c>
      <c r="AD243" s="5">
        <v>2</v>
      </c>
      <c r="AE243" s="5">
        <v>3</v>
      </c>
      <c r="AF243" s="5">
        <v>3</v>
      </c>
      <c r="AG243" s="5">
        <v>2</v>
      </c>
      <c r="AH243" s="5">
        <v>2</v>
      </c>
      <c r="AI243" s="5">
        <v>2</v>
      </c>
    </row>
    <row r="244" spans="1:35" x14ac:dyDescent="0.25">
      <c r="A244" s="5">
        <v>41</v>
      </c>
      <c r="B244" s="5" t="s">
        <v>43</v>
      </c>
      <c r="C244" s="5" t="s">
        <v>36</v>
      </c>
      <c r="D244" s="5">
        <v>1411</v>
      </c>
      <c r="E244" s="5" t="s">
        <v>45</v>
      </c>
      <c r="F244" s="5">
        <v>19</v>
      </c>
      <c r="G244" s="5">
        <v>2</v>
      </c>
      <c r="H244" s="5" t="s">
        <v>38</v>
      </c>
      <c r="I244" s="5">
        <v>1</v>
      </c>
      <c r="J244" s="5">
        <v>334</v>
      </c>
      <c r="K244" s="5">
        <v>3</v>
      </c>
      <c r="L244" s="5" t="s">
        <v>46</v>
      </c>
      <c r="M244" s="5">
        <v>36</v>
      </c>
      <c r="N244" s="5">
        <v>3</v>
      </c>
      <c r="O244" s="5">
        <v>2</v>
      </c>
      <c r="P244" s="5" t="s">
        <v>47</v>
      </c>
      <c r="Q244" s="5">
        <v>1</v>
      </c>
      <c r="R244" s="5" t="s">
        <v>52</v>
      </c>
      <c r="S244" s="5">
        <v>3072</v>
      </c>
      <c r="T244" s="5">
        <v>19877</v>
      </c>
      <c r="U244" s="5">
        <v>2</v>
      </c>
      <c r="V244" s="5" t="s">
        <v>42</v>
      </c>
      <c r="W244" s="5" t="s">
        <v>43</v>
      </c>
      <c r="X244" s="5">
        <v>16</v>
      </c>
      <c r="Y244" s="5">
        <v>3</v>
      </c>
      <c r="Z244" s="5">
        <v>1</v>
      </c>
      <c r="AA244" s="5">
        <v>80</v>
      </c>
      <c r="AB244" s="5">
        <v>2</v>
      </c>
      <c r="AC244" s="5">
        <v>17</v>
      </c>
      <c r="AD244" s="5">
        <v>2</v>
      </c>
      <c r="AE244" s="5">
        <v>2</v>
      </c>
      <c r="AF244" s="5">
        <v>1</v>
      </c>
      <c r="AG244" s="5">
        <v>0</v>
      </c>
      <c r="AH244" s="5">
        <v>0</v>
      </c>
      <c r="AI244" s="5">
        <v>0</v>
      </c>
    </row>
    <row r="245" spans="1:35" x14ac:dyDescent="0.25">
      <c r="A245" s="5">
        <v>40</v>
      </c>
      <c r="B245" s="5" t="s">
        <v>43</v>
      </c>
      <c r="C245" s="5" t="s">
        <v>36</v>
      </c>
      <c r="D245" s="5">
        <v>1300</v>
      </c>
      <c r="E245" s="5" t="s">
        <v>45</v>
      </c>
      <c r="F245" s="5">
        <v>24</v>
      </c>
      <c r="G245" s="5">
        <v>2</v>
      </c>
      <c r="H245" s="5" t="s">
        <v>60</v>
      </c>
      <c r="I245" s="5">
        <v>1</v>
      </c>
      <c r="J245" s="5">
        <v>335</v>
      </c>
      <c r="K245" s="5">
        <v>1</v>
      </c>
      <c r="L245" s="5" t="s">
        <v>46</v>
      </c>
      <c r="M245" s="5">
        <v>62</v>
      </c>
      <c r="N245" s="5">
        <v>3</v>
      </c>
      <c r="O245" s="5">
        <v>2</v>
      </c>
      <c r="P245" s="5" t="s">
        <v>47</v>
      </c>
      <c r="Q245" s="5">
        <v>4</v>
      </c>
      <c r="R245" s="5" t="s">
        <v>52</v>
      </c>
      <c r="S245" s="5">
        <v>3319</v>
      </c>
      <c r="T245" s="5">
        <v>24447</v>
      </c>
      <c r="U245" s="5">
        <v>1</v>
      </c>
      <c r="V245" s="5" t="s">
        <v>42</v>
      </c>
      <c r="W245" s="5" t="s">
        <v>43</v>
      </c>
      <c r="X245" s="5">
        <v>17</v>
      </c>
      <c r="Y245" s="5">
        <v>3</v>
      </c>
      <c r="Z245" s="5">
        <v>1</v>
      </c>
      <c r="AA245" s="5">
        <v>80</v>
      </c>
      <c r="AB245" s="5">
        <v>2</v>
      </c>
      <c r="AC245" s="5">
        <v>9</v>
      </c>
      <c r="AD245" s="5">
        <v>3</v>
      </c>
      <c r="AE245" s="5">
        <v>3</v>
      </c>
      <c r="AF245" s="5">
        <v>9</v>
      </c>
      <c r="AG245" s="5">
        <v>8</v>
      </c>
      <c r="AH245" s="5">
        <v>4</v>
      </c>
      <c r="AI245" s="5">
        <v>7</v>
      </c>
    </row>
    <row r="246" spans="1:35" x14ac:dyDescent="0.25">
      <c r="A246" s="5">
        <v>45</v>
      </c>
      <c r="B246" s="5" t="s">
        <v>43</v>
      </c>
      <c r="C246" s="5" t="s">
        <v>36</v>
      </c>
      <c r="D246" s="5">
        <v>252</v>
      </c>
      <c r="E246" s="5" t="s">
        <v>45</v>
      </c>
      <c r="F246" s="5">
        <v>1</v>
      </c>
      <c r="G246" s="5">
        <v>3</v>
      </c>
      <c r="H246" s="5" t="s">
        <v>49</v>
      </c>
      <c r="I246" s="5">
        <v>1</v>
      </c>
      <c r="J246" s="5">
        <v>336</v>
      </c>
      <c r="K246" s="5">
        <v>3</v>
      </c>
      <c r="L246" s="5" t="s">
        <v>46</v>
      </c>
      <c r="M246" s="5">
        <v>70</v>
      </c>
      <c r="N246" s="5">
        <v>4</v>
      </c>
      <c r="O246" s="5">
        <v>5</v>
      </c>
      <c r="P246" s="5" t="s">
        <v>56</v>
      </c>
      <c r="Q246" s="5">
        <v>4</v>
      </c>
      <c r="R246" s="5" t="s">
        <v>48</v>
      </c>
      <c r="S246" s="5">
        <v>19202</v>
      </c>
      <c r="T246" s="5">
        <v>15970</v>
      </c>
      <c r="U246" s="5">
        <v>0</v>
      </c>
      <c r="V246" s="5" t="s">
        <v>42</v>
      </c>
      <c r="W246" s="5" t="s">
        <v>43</v>
      </c>
      <c r="X246" s="5">
        <v>11</v>
      </c>
      <c r="Y246" s="5">
        <v>3</v>
      </c>
      <c r="Z246" s="5">
        <v>3</v>
      </c>
      <c r="AA246" s="5">
        <v>80</v>
      </c>
      <c r="AB246" s="5">
        <v>1</v>
      </c>
      <c r="AC246" s="5">
        <v>25</v>
      </c>
      <c r="AD246" s="5">
        <v>2</v>
      </c>
      <c r="AE246" s="5">
        <v>3</v>
      </c>
      <c r="AF246" s="5">
        <v>24</v>
      </c>
      <c r="AG246" s="5">
        <v>0</v>
      </c>
      <c r="AH246" s="5">
        <v>1</v>
      </c>
      <c r="AI246" s="5">
        <v>7</v>
      </c>
    </row>
    <row r="247" spans="1:35" x14ac:dyDescent="0.25">
      <c r="A247" s="5">
        <v>31</v>
      </c>
      <c r="B247" s="5" t="s">
        <v>43</v>
      </c>
      <c r="C247" s="5" t="s">
        <v>44</v>
      </c>
      <c r="D247" s="5">
        <v>1327</v>
      </c>
      <c r="E247" s="5" t="s">
        <v>45</v>
      </c>
      <c r="F247" s="5">
        <v>3</v>
      </c>
      <c r="G247" s="5">
        <v>4</v>
      </c>
      <c r="H247" s="5" t="s">
        <v>51</v>
      </c>
      <c r="I247" s="5">
        <v>1</v>
      </c>
      <c r="J247" s="5">
        <v>337</v>
      </c>
      <c r="K247" s="5">
        <v>2</v>
      </c>
      <c r="L247" s="5" t="s">
        <v>46</v>
      </c>
      <c r="M247" s="5">
        <v>73</v>
      </c>
      <c r="N247" s="5">
        <v>3</v>
      </c>
      <c r="O247" s="5">
        <v>3</v>
      </c>
      <c r="P247" s="5" t="s">
        <v>58</v>
      </c>
      <c r="Q247" s="5">
        <v>3</v>
      </c>
      <c r="R247" s="5" t="s">
        <v>52</v>
      </c>
      <c r="S247" s="5">
        <v>13675</v>
      </c>
      <c r="T247" s="5">
        <v>13523</v>
      </c>
      <c r="U247" s="5">
        <v>9</v>
      </c>
      <c r="V247" s="5" t="s">
        <v>42</v>
      </c>
      <c r="W247" s="5" t="s">
        <v>43</v>
      </c>
      <c r="X247" s="5">
        <v>12</v>
      </c>
      <c r="Y247" s="5">
        <v>3</v>
      </c>
      <c r="Z247" s="5">
        <v>1</v>
      </c>
      <c r="AA247" s="5">
        <v>80</v>
      </c>
      <c r="AB247" s="5">
        <v>1</v>
      </c>
      <c r="AC247" s="5">
        <v>9</v>
      </c>
      <c r="AD247" s="5">
        <v>3</v>
      </c>
      <c r="AE247" s="5">
        <v>3</v>
      </c>
      <c r="AF247" s="5">
        <v>2</v>
      </c>
      <c r="AG247" s="5">
        <v>2</v>
      </c>
      <c r="AH247" s="5">
        <v>2</v>
      </c>
      <c r="AI247" s="5">
        <v>2</v>
      </c>
    </row>
    <row r="248" spans="1:35" x14ac:dyDescent="0.25">
      <c r="A248" s="5">
        <v>33</v>
      </c>
      <c r="B248" s="5" t="s">
        <v>43</v>
      </c>
      <c r="C248" s="5" t="s">
        <v>36</v>
      </c>
      <c r="D248" s="5">
        <v>832</v>
      </c>
      <c r="E248" s="5" t="s">
        <v>45</v>
      </c>
      <c r="F248" s="5">
        <v>5</v>
      </c>
      <c r="G248" s="5">
        <v>4</v>
      </c>
      <c r="H248" s="5" t="s">
        <v>38</v>
      </c>
      <c r="I248" s="5">
        <v>1</v>
      </c>
      <c r="J248" s="5">
        <v>338</v>
      </c>
      <c r="K248" s="5">
        <v>3</v>
      </c>
      <c r="L248" s="5" t="s">
        <v>39</v>
      </c>
      <c r="M248" s="5">
        <v>63</v>
      </c>
      <c r="N248" s="5">
        <v>2</v>
      </c>
      <c r="O248" s="5">
        <v>1</v>
      </c>
      <c r="P248" s="5" t="s">
        <v>47</v>
      </c>
      <c r="Q248" s="5">
        <v>4</v>
      </c>
      <c r="R248" s="5" t="s">
        <v>48</v>
      </c>
      <c r="S248" s="5">
        <v>2911</v>
      </c>
      <c r="T248" s="5">
        <v>14776</v>
      </c>
      <c r="U248" s="5">
        <v>1</v>
      </c>
      <c r="V248" s="5" t="s">
        <v>42</v>
      </c>
      <c r="W248" s="5" t="s">
        <v>43</v>
      </c>
      <c r="X248" s="5">
        <v>13</v>
      </c>
      <c r="Y248" s="5">
        <v>3</v>
      </c>
      <c r="Z248" s="5">
        <v>3</v>
      </c>
      <c r="AA248" s="5">
        <v>80</v>
      </c>
      <c r="AB248" s="5">
        <v>1</v>
      </c>
      <c r="AC248" s="5">
        <v>2</v>
      </c>
      <c r="AD248" s="5">
        <v>2</v>
      </c>
      <c r="AE248" s="5">
        <v>2</v>
      </c>
      <c r="AF248" s="5">
        <v>2</v>
      </c>
      <c r="AG248" s="5">
        <v>2</v>
      </c>
      <c r="AH248" s="5">
        <v>0</v>
      </c>
      <c r="AI248" s="5">
        <v>2</v>
      </c>
    </row>
    <row r="249" spans="1:35" x14ac:dyDescent="0.25">
      <c r="A249" s="5">
        <v>34</v>
      </c>
      <c r="B249" s="5" t="s">
        <v>43</v>
      </c>
      <c r="C249" s="5" t="s">
        <v>36</v>
      </c>
      <c r="D249" s="5">
        <v>470</v>
      </c>
      <c r="E249" s="5" t="s">
        <v>45</v>
      </c>
      <c r="F249" s="5">
        <v>2</v>
      </c>
      <c r="G249" s="5">
        <v>4</v>
      </c>
      <c r="H249" s="5" t="s">
        <v>38</v>
      </c>
      <c r="I249" s="5">
        <v>1</v>
      </c>
      <c r="J249" s="5">
        <v>339</v>
      </c>
      <c r="K249" s="5">
        <v>4</v>
      </c>
      <c r="L249" s="5" t="s">
        <v>46</v>
      </c>
      <c r="M249" s="5">
        <v>84</v>
      </c>
      <c r="N249" s="5">
        <v>2</v>
      </c>
      <c r="O249" s="5">
        <v>2</v>
      </c>
      <c r="P249" s="5" t="s">
        <v>53</v>
      </c>
      <c r="Q249" s="5">
        <v>1</v>
      </c>
      <c r="R249" s="5" t="s">
        <v>48</v>
      </c>
      <c r="S249" s="5">
        <v>5957</v>
      </c>
      <c r="T249" s="5">
        <v>23687</v>
      </c>
      <c r="U249" s="5">
        <v>6</v>
      </c>
      <c r="V249" s="5" t="s">
        <v>42</v>
      </c>
      <c r="W249" s="5" t="s">
        <v>43</v>
      </c>
      <c r="X249" s="5">
        <v>13</v>
      </c>
      <c r="Y249" s="5">
        <v>3</v>
      </c>
      <c r="Z249" s="5">
        <v>2</v>
      </c>
      <c r="AA249" s="5">
        <v>80</v>
      </c>
      <c r="AB249" s="5">
        <v>1</v>
      </c>
      <c r="AC249" s="5">
        <v>13</v>
      </c>
      <c r="AD249" s="5">
        <v>3</v>
      </c>
      <c r="AE249" s="5">
        <v>3</v>
      </c>
      <c r="AF249" s="5">
        <v>11</v>
      </c>
      <c r="AG249" s="5">
        <v>9</v>
      </c>
      <c r="AH249" s="5">
        <v>5</v>
      </c>
      <c r="AI249" s="5">
        <v>9</v>
      </c>
    </row>
    <row r="250" spans="1:35" x14ac:dyDescent="0.25">
      <c r="A250" s="5">
        <v>37</v>
      </c>
      <c r="B250" s="5" t="s">
        <v>43</v>
      </c>
      <c r="C250" s="5" t="s">
        <v>36</v>
      </c>
      <c r="D250" s="5">
        <v>1017</v>
      </c>
      <c r="E250" s="5" t="s">
        <v>45</v>
      </c>
      <c r="F250" s="5">
        <v>1</v>
      </c>
      <c r="G250" s="5">
        <v>2</v>
      </c>
      <c r="H250" s="5" t="s">
        <v>51</v>
      </c>
      <c r="I250" s="5">
        <v>1</v>
      </c>
      <c r="J250" s="5">
        <v>340</v>
      </c>
      <c r="K250" s="5">
        <v>3</v>
      </c>
      <c r="L250" s="5" t="s">
        <v>39</v>
      </c>
      <c r="M250" s="5">
        <v>83</v>
      </c>
      <c r="N250" s="5">
        <v>2</v>
      </c>
      <c r="O250" s="5">
        <v>1</v>
      </c>
      <c r="P250" s="5" t="s">
        <v>47</v>
      </c>
      <c r="Q250" s="5">
        <v>1</v>
      </c>
      <c r="R250" s="5" t="s">
        <v>48</v>
      </c>
      <c r="S250" s="5">
        <v>3920</v>
      </c>
      <c r="T250" s="5">
        <v>18697</v>
      </c>
      <c r="U250" s="5">
        <v>2</v>
      </c>
      <c r="V250" s="5" t="s">
        <v>42</v>
      </c>
      <c r="W250" s="5" t="s">
        <v>43</v>
      </c>
      <c r="X250" s="5">
        <v>14</v>
      </c>
      <c r="Y250" s="5">
        <v>3</v>
      </c>
      <c r="Z250" s="5">
        <v>1</v>
      </c>
      <c r="AA250" s="5">
        <v>80</v>
      </c>
      <c r="AB250" s="5">
        <v>1</v>
      </c>
      <c r="AC250" s="5">
        <v>17</v>
      </c>
      <c r="AD250" s="5">
        <v>2</v>
      </c>
      <c r="AE250" s="5">
        <v>2</v>
      </c>
      <c r="AF250" s="5">
        <v>3</v>
      </c>
      <c r="AG250" s="5">
        <v>1</v>
      </c>
      <c r="AH250" s="5">
        <v>0</v>
      </c>
      <c r="AI250" s="5">
        <v>2</v>
      </c>
    </row>
    <row r="251" spans="1:35" x14ac:dyDescent="0.25">
      <c r="A251" s="5">
        <v>45</v>
      </c>
      <c r="B251" s="5" t="s">
        <v>43</v>
      </c>
      <c r="C251" s="5" t="s">
        <v>44</v>
      </c>
      <c r="D251" s="5">
        <v>1199</v>
      </c>
      <c r="E251" s="5" t="s">
        <v>45</v>
      </c>
      <c r="F251" s="5">
        <v>7</v>
      </c>
      <c r="G251" s="5">
        <v>4</v>
      </c>
      <c r="H251" s="5" t="s">
        <v>38</v>
      </c>
      <c r="I251" s="5">
        <v>1</v>
      </c>
      <c r="J251" s="5">
        <v>341</v>
      </c>
      <c r="K251" s="5">
        <v>1</v>
      </c>
      <c r="L251" s="5" t="s">
        <v>46</v>
      </c>
      <c r="M251" s="5">
        <v>77</v>
      </c>
      <c r="N251" s="5">
        <v>4</v>
      </c>
      <c r="O251" s="5">
        <v>2</v>
      </c>
      <c r="P251" s="5" t="s">
        <v>53</v>
      </c>
      <c r="Q251" s="5">
        <v>3</v>
      </c>
      <c r="R251" s="5" t="s">
        <v>48</v>
      </c>
      <c r="S251" s="5">
        <v>6434</v>
      </c>
      <c r="T251" s="5">
        <v>5118</v>
      </c>
      <c r="U251" s="5">
        <v>4</v>
      </c>
      <c r="V251" s="5" t="s">
        <v>42</v>
      </c>
      <c r="W251" s="5" t="s">
        <v>43</v>
      </c>
      <c r="X251" s="5">
        <v>17</v>
      </c>
      <c r="Y251" s="5">
        <v>3</v>
      </c>
      <c r="Z251" s="5">
        <v>4</v>
      </c>
      <c r="AA251" s="5">
        <v>80</v>
      </c>
      <c r="AB251" s="5">
        <v>1</v>
      </c>
      <c r="AC251" s="5">
        <v>9</v>
      </c>
      <c r="AD251" s="5">
        <v>1</v>
      </c>
      <c r="AE251" s="5">
        <v>3</v>
      </c>
      <c r="AF251" s="5">
        <v>3</v>
      </c>
      <c r="AG251" s="5">
        <v>2</v>
      </c>
      <c r="AH251" s="5">
        <v>0</v>
      </c>
      <c r="AI251" s="5">
        <v>2</v>
      </c>
    </row>
    <row r="252" spans="1:35" x14ac:dyDescent="0.25">
      <c r="A252" s="5">
        <v>37</v>
      </c>
      <c r="B252" s="5" t="s">
        <v>35</v>
      </c>
      <c r="C252" s="5" t="s">
        <v>44</v>
      </c>
      <c r="D252" s="5">
        <v>504</v>
      </c>
      <c r="E252" s="5" t="s">
        <v>45</v>
      </c>
      <c r="F252" s="5">
        <v>10</v>
      </c>
      <c r="G252" s="5">
        <v>3</v>
      </c>
      <c r="H252" s="5" t="s">
        <v>51</v>
      </c>
      <c r="I252" s="5">
        <v>1</v>
      </c>
      <c r="J252" s="5">
        <v>342</v>
      </c>
      <c r="K252" s="5">
        <v>1</v>
      </c>
      <c r="L252" s="5" t="s">
        <v>46</v>
      </c>
      <c r="M252" s="5">
        <v>61</v>
      </c>
      <c r="N252" s="5">
        <v>3</v>
      </c>
      <c r="O252" s="5">
        <v>3</v>
      </c>
      <c r="P252" s="5" t="s">
        <v>53</v>
      </c>
      <c r="Q252" s="5">
        <v>3</v>
      </c>
      <c r="R252" s="5" t="s">
        <v>52</v>
      </c>
      <c r="S252" s="5">
        <v>10048</v>
      </c>
      <c r="T252" s="5">
        <v>22573</v>
      </c>
      <c r="U252" s="5">
        <v>6</v>
      </c>
      <c r="V252" s="5" t="s">
        <v>42</v>
      </c>
      <c r="W252" s="5" t="s">
        <v>43</v>
      </c>
      <c r="X252" s="5">
        <v>11</v>
      </c>
      <c r="Y252" s="5">
        <v>3</v>
      </c>
      <c r="Z252" s="5">
        <v>2</v>
      </c>
      <c r="AA252" s="5">
        <v>80</v>
      </c>
      <c r="AB252" s="5">
        <v>2</v>
      </c>
      <c r="AC252" s="5">
        <v>17</v>
      </c>
      <c r="AD252" s="5">
        <v>5</v>
      </c>
      <c r="AE252" s="5">
        <v>3</v>
      </c>
      <c r="AF252" s="5">
        <v>1</v>
      </c>
      <c r="AG252" s="5">
        <v>0</v>
      </c>
      <c r="AH252" s="5">
        <v>0</v>
      </c>
      <c r="AI252" s="5">
        <v>0</v>
      </c>
    </row>
    <row r="253" spans="1:35" x14ac:dyDescent="0.25">
      <c r="A253" s="5">
        <v>39</v>
      </c>
      <c r="B253" s="5" t="s">
        <v>43</v>
      </c>
      <c r="C253" s="5" t="s">
        <v>44</v>
      </c>
      <c r="D253" s="5">
        <v>505</v>
      </c>
      <c r="E253" s="5" t="s">
        <v>45</v>
      </c>
      <c r="F253" s="5">
        <v>2</v>
      </c>
      <c r="G253" s="5">
        <v>4</v>
      </c>
      <c r="H253" s="5" t="s">
        <v>60</v>
      </c>
      <c r="I253" s="5">
        <v>1</v>
      </c>
      <c r="J253" s="5">
        <v>343</v>
      </c>
      <c r="K253" s="5">
        <v>3</v>
      </c>
      <c r="L253" s="5" t="s">
        <v>39</v>
      </c>
      <c r="M253" s="5">
        <v>64</v>
      </c>
      <c r="N253" s="5">
        <v>3</v>
      </c>
      <c r="O253" s="5">
        <v>3</v>
      </c>
      <c r="P253" s="5" t="s">
        <v>54</v>
      </c>
      <c r="Q253" s="5">
        <v>3</v>
      </c>
      <c r="R253" s="5" t="s">
        <v>41</v>
      </c>
      <c r="S253" s="5">
        <v>10938</v>
      </c>
      <c r="T253" s="5">
        <v>6420</v>
      </c>
      <c r="U253" s="5">
        <v>0</v>
      </c>
      <c r="V253" s="5" t="s">
        <v>42</v>
      </c>
      <c r="W253" s="5" t="s">
        <v>43</v>
      </c>
      <c r="X253" s="5">
        <v>25</v>
      </c>
      <c r="Y253" s="5">
        <v>4</v>
      </c>
      <c r="Z253" s="5">
        <v>4</v>
      </c>
      <c r="AA253" s="5">
        <v>80</v>
      </c>
      <c r="AB253" s="5">
        <v>0</v>
      </c>
      <c r="AC253" s="5">
        <v>20</v>
      </c>
      <c r="AD253" s="5">
        <v>1</v>
      </c>
      <c r="AE253" s="5">
        <v>3</v>
      </c>
      <c r="AF253" s="5">
        <v>19</v>
      </c>
      <c r="AG253" s="5">
        <v>6</v>
      </c>
      <c r="AH253" s="5">
        <v>11</v>
      </c>
      <c r="AI253" s="5">
        <v>8</v>
      </c>
    </row>
    <row r="254" spans="1:35" x14ac:dyDescent="0.25">
      <c r="A254" s="5">
        <v>29</v>
      </c>
      <c r="B254" s="5" t="s">
        <v>43</v>
      </c>
      <c r="C254" s="5" t="s">
        <v>36</v>
      </c>
      <c r="D254" s="5">
        <v>665</v>
      </c>
      <c r="E254" s="5" t="s">
        <v>45</v>
      </c>
      <c r="F254" s="5">
        <v>15</v>
      </c>
      <c r="G254" s="5">
        <v>3</v>
      </c>
      <c r="H254" s="5" t="s">
        <v>38</v>
      </c>
      <c r="I254" s="5">
        <v>1</v>
      </c>
      <c r="J254" s="5">
        <v>346</v>
      </c>
      <c r="K254" s="5">
        <v>3</v>
      </c>
      <c r="L254" s="5" t="s">
        <v>46</v>
      </c>
      <c r="M254" s="5">
        <v>60</v>
      </c>
      <c r="N254" s="5">
        <v>3</v>
      </c>
      <c r="O254" s="5">
        <v>1</v>
      </c>
      <c r="P254" s="5" t="s">
        <v>47</v>
      </c>
      <c r="Q254" s="5">
        <v>4</v>
      </c>
      <c r="R254" s="5" t="s">
        <v>41</v>
      </c>
      <c r="S254" s="5">
        <v>2340</v>
      </c>
      <c r="T254" s="5">
        <v>22673</v>
      </c>
      <c r="U254" s="5">
        <v>1</v>
      </c>
      <c r="V254" s="5" t="s">
        <v>42</v>
      </c>
      <c r="W254" s="5" t="s">
        <v>43</v>
      </c>
      <c r="X254" s="5">
        <v>19</v>
      </c>
      <c r="Y254" s="5">
        <v>3</v>
      </c>
      <c r="Z254" s="5">
        <v>1</v>
      </c>
      <c r="AA254" s="5">
        <v>80</v>
      </c>
      <c r="AB254" s="5">
        <v>0</v>
      </c>
      <c r="AC254" s="5">
        <v>6</v>
      </c>
      <c r="AD254" s="5">
        <v>1</v>
      </c>
      <c r="AE254" s="5">
        <v>3</v>
      </c>
      <c r="AF254" s="5">
        <v>6</v>
      </c>
      <c r="AG254" s="5">
        <v>5</v>
      </c>
      <c r="AH254" s="5">
        <v>1</v>
      </c>
      <c r="AI254" s="5">
        <v>5</v>
      </c>
    </row>
    <row r="255" spans="1:35" x14ac:dyDescent="0.25">
      <c r="A255" s="5">
        <v>42</v>
      </c>
      <c r="B255" s="5" t="s">
        <v>43</v>
      </c>
      <c r="C255" s="5" t="s">
        <v>36</v>
      </c>
      <c r="D255" s="5">
        <v>916</v>
      </c>
      <c r="E255" s="5" t="s">
        <v>45</v>
      </c>
      <c r="F255" s="5">
        <v>17</v>
      </c>
      <c r="G255" s="5">
        <v>2</v>
      </c>
      <c r="H255" s="5" t="s">
        <v>38</v>
      </c>
      <c r="I255" s="5">
        <v>1</v>
      </c>
      <c r="J255" s="5">
        <v>347</v>
      </c>
      <c r="K255" s="5">
        <v>4</v>
      </c>
      <c r="L255" s="5" t="s">
        <v>39</v>
      </c>
      <c r="M255" s="5">
        <v>82</v>
      </c>
      <c r="N255" s="5">
        <v>4</v>
      </c>
      <c r="O255" s="5">
        <v>2</v>
      </c>
      <c r="P255" s="5" t="s">
        <v>47</v>
      </c>
      <c r="Q255" s="5">
        <v>1</v>
      </c>
      <c r="R255" s="5" t="s">
        <v>41</v>
      </c>
      <c r="S255" s="5">
        <v>6545</v>
      </c>
      <c r="T255" s="5">
        <v>23016</v>
      </c>
      <c r="U255" s="5">
        <v>3</v>
      </c>
      <c r="V255" s="5" t="s">
        <v>42</v>
      </c>
      <c r="W255" s="5" t="s">
        <v>35</v>
      </c>
      <c r="X255" s="5">
        <v>13</v>
      </c>
      <c r="Y255" s="5">
        <v>3</v>
      </c>
      <c r="Z255" s="5">
        <v>3</v>
      </c>
      <c r="AA255" s="5">
        <v>80</v>
      </c>
      <c r="AB255" s="5">
        <v>0</v>
      </c>
      <c r="AC255" s="5">
        <v>10</v>
      </c>
      <c r="AD255" s="5">
        <v>1</v>
      </c>
      <c r="AE255" s="5">
        <v>3</v>
      </c>
      <c r="AF255" s="5">
        <v>3</v>
      </c>
      <c r="AG255" s="5">
        <v>2</v>
      </c>
      <c r="AH255" s="5">
        <v>0</v>
      </c>
      <c r="AI255" s="5">
        <v>2</v>
      </c>
    </row>
    <row r="256" spans="1:35" x14ac:dyDescent="0.25">
      <c r="A256" s="5">
        <v>29</v>
      </c>
      <c r="B256" s="5" t="s">
        <v>43</v>
      </c>
      <c r="C256" s="5" t="s">
        <v>36</v>
      </c>
      <c r="D256" s="5">
        <v>1247</v>
      </c>
      <c r="E256" s="5" t="s">
        <v>37</v>
      </c>
      <c r="F256" s="5">
        <v>20</v>
      </c>
      <c r="G256" s="5">
        <v>2</v>
      </c>
      <c r="H256" s="5" t="s">
        <v>59</v>
      </c>
      <c r="I256" s="5">
        <v>1</v>
      </c>
      <c r="J256" s="5">
        <v>349</v>
      </c>
      <c r="K256" s="5">
        <v>4</v>
      </c>
      <c r="L256" s="5" t="s">
        <v>46</v>
      </c>
      <c r="M256" s="5">
        <v>45</v>
      </c>
      <c r="N256" s="5">
        <v>3</v>
      </c>
      <c r="O256" s="5">
        <v>2</v>
      </c>
      <c r="P256" s="5" t="s">
        <v>40</v>
      </c>
      <c r="Q256" s="5">
        <v>4</v>
      </c>
      <c r="R256" s="5" t="s">
        <v>52</v>
      </c>
      <c r="S256" s="5">
        <v>6931</v>
      </c>
      <c r="T256" s="5">
        <v>10732</v>
      </c>
      <c r="U256" s="5">
        <v>2</v>
      </c>
      <c r="V256" s="5" t="s">
        <v>42</v>
      </c>
      <c r="W256" s="5" t="s">
        <v>43</v>
      </c>
      <c r="X256" s="5">
        <v>14</v>
      </c>
      <c r="Y256" s="5">
        <v>3</v>
      </c>
      <c r="Z256" s="5">
        <v>4</v>
      </c>
      <c r="AA256" s="5">
        <v>80</v>
      </c>
      <c r="AB256" s="5">
        <v>1</v>
      </c>
      <c r="AC256" s="5">
        <v>10</v>
      </c>
      <c r="AD256" s="5">
        <v>2</v>
      </c>
      <c r="AE256" s="5">
        <v>3</v>
      </c>
      <c r="AF256" s="5">
        <v>3</v>
      </c>
      <c r="AG256" s="5">
        <v>2</v>
      </c>
      <c r="AH256" s="5">
        <v>0</v>
      </c>
      <c r="AI256" s="5">
        <v>2</v>
      </c>
    </row>
    <row r="257" spans="1:35" x14ac:dyDescent="0.25">
      <c r="A257" s="5">
        <v>25</v>
      </c>
      <c r="B257" s="5" t="s">
        <v>43</v>
      </c>
      <c r="C257" s="5" t="s">
        <v>36</v>
      </c>
      <c r="D257" s="5">
        <v>685</v>
      </c>
      <c r="E257" s="5" t="s">
        <v>45</v>
      </c>
      <c r="F257" s="5">
        <v>1</v>
      </c>
      <c r="G257" s="5">
        <v>3</v>
      </c>
      <c r="H257" s="5" t="s">
        <v>38</v>
      </c>
      <c r="I257" s="5">
        <v>1</v>
      </c>
      <c r="J257" s="5">
        <v>350</v>
      </c>
      <c r="K257" s="5">
        <v>1</v>
      </c>
      <c r="L257" s="5" t="s">
        <v>39</v>
      </c>
      <c r="M257" s="5">
        <v>62</v>
      </c>
      <c r="N257" s="5">
        <v>3</v>
      </c>
      <c r="O257" s="5">
        <v>2</v>
      </c>
      <c r="P257" s="5" t="s">
        <v>53</v>
      </c>
      <c r="Q257" s="5">
        <v>3</v>
      </c>
      <c r="R257" s="5" t="s">
        <v>48</v>
      </c>
      <c r="S257" s="5">
        <v>4898</v>
      </c>
      <c r="T257" s="5">
        <v>7505</v>
      </c>
      <c r="U257" s="5">
        <v>0</v>
      </c>
      <c r="V257" s="5" t="s">
        <v>42</v>
      </c>
      <c r="W257" s="5" t="s">
        <v>43</v>
      </c>
      <c r="X257" s="5">
        <v>12</v>
      </c>
      <c r="Y257" s="5">
        <v>3</v>
      </c>
      <c r="Z257" s="5">
        <v>4</v>
      </c>
      <c r="AA257" s="5">
        <v>80</v>
      </c>
      <c r="AB257" s="5">
        <v>2</v>
      </c>
      <c r="AC257" s="5">
        <v>5</v>
      </c>
      <c r="AD257" s="5">
        <v>3</v>
      </c>
      <c r="AE257" s="5">
        <v>3</v>
      </c>
      <c r="AF257" s="5">
        <v>4</v>
      </c>
      <c r="AG257" s="5">
        <v>2</v>
      </c>
      <c r="AH257" s="5">
        <v>1</v>
      </c>
      <c r="AI257" s="5">
        <v>2</v>
      </c>
    </row>
    <row r="258" spans="1:35" x14ac:dyDescent="0.25">
      <c r="A258" s="5">
        <v>42</v>
      </c>
      <c r="B258" s="5" t="s">
        <v>43</v>
      </c>
      <c r="C258" s="5" t="s">
        <v>36</v>
      </c>
      <c r="D258" s="5">
        <v>269</v>
      </c>
      <c r="E258" s="5" t="s">
        <v>45</v>
      </c>
      <c r="F258" s="5">
        <v>2</v>
      </c>
      <c r="G258" s="5">
        <v>3</v>
      </c>
      <c r="H258" s="5" t="s">
        <v>51</v>
      </c>
      <c r="I258" s="5">
        <v>1</v>
      </c>
      <c r="J258" s="5">
        <v>351</v>
      </c>
      <c r="K258" s="5">
        <v>4</v>
      </c>
      <c r="L258" s="5" t="s">
        <v>39</v>
      </c>
      <c r="M258" s="5">
        <v>56</v>
      </c>
      <c r="N258" s="5">
        <v>2</v>
      </c>
      <c r="O258" s="5">
        <v>1</v>
      </c>
      <c r="P258" s="5" t="s">
        <v>50</v>
      </c>
      <c r="Q258" s="5">
        <v>1</v>
      </c>
      <c r="R258" s="5" t="s">
        <v>52</v>
      </c>
      <c r="S258" s="5">
        <v>2593</v>
      </c>
      <c r="T258" s="5">
        <v>8007</v>
      </c>
      <c r="U258" s="5">
        <v>0</v>
      </c>
      <c r="V258" s="5" t="s">
        <v>42</v>
      </c>
      <c r="W258" s="5" t="s">
        <v>35</v>
      </c>
      <c r="X258" s="5">
        <v>11</v>
      </c>
      <c r="Y258" s="5">
        <v>3</v>
      </c>
      <c r="Z258" s="5">
        <v>3</v>
      </c>
      <c r="AA258" s="5">
        <v>80</v>
      </c>
      <c r="AB258" s="5">
        <v>1</v>
      </c>
      <c r="AC258" s="5">
        <v>10</v>
      </c>
      <c r="AD258" s="5">
        <v>4</v>
      </c>
      <c r="AE258" s="5">
        <v>3</v>
      </c>
      <c r="AF258" s="5">
        <v>9</v>
      </c>
      <c r="AG258" s="5">
        <v>6</v>
      </c>
      <c r="AH258" s="5">
        <v>7</v>
      </c>
      <c r="AI258" s="5">
        <v>8</v>
      </c>
    </row>
    <row r="259" spans="1:35" x14ac:dyDescent="0.25">
      <c r="A259" s="5">
        <v>40</v>
      </c>
      <c r="B259" s="5" t="s">
        <v>43</v>
      </c>
      <c r="C259" s="5" t="s">
        <v>36</v>
      </c>
      <c r="D259" s="5">
        <v>1416</v>
      </c>
      <c r="E259" s="5" t="s">
        <v>45</v>
      </c>
      <c r="F259" s="5">
        <v>2</v>
      </c>
      <c r="G259" s="5">
        <v>2</v>
      </c>
      <c r="H259" s="5" t="s">
        <v>51</v>
      </c>
      <c r="I259" s="5">
        <v>1</v>
      </c>
      <c r="J259" s="5">
        <v>352</v>
      </c>
      <c r="K259" s="5">
        <v>1</v>
      </c>
      <c r="L259" s="5" t="s">
        <v>46</v>
      </c>
      <c r="M259" s="5">
        <v>49</v>
      </c>
      <c r="N259" s="5">
        <v>3</v>
      </c>
      <c r="O259" s="5">
        <v>5</v>
      </c>
      <c r="P259" s="5" t="s">
        <v>58</v>
      </c>
      <c r="Q259" s="5">
        <v>3</v>
      </c>
      <c r="R259" s="5" t="s">
        <v>52</v>
      </c>
      <c r="S259" s="5">
        <v>19436</v>
      </c>
      <c r="T259" s="5">
        <v>5949</v>
      </c>
      <c r="U259" s="5">
        <v>0</v>
      </c>
      <c r="V259" s="5" t="s">
        <v>42</v>
      </c>
      <c r="W259" s="5" t="s">
        <v>43</v>
      </c>
      <c r="X259" s="5">
        <v>19</v>
      </c>
      <c r="Y259" s="5">
        <v>3</v>
      </c>
      <c r="Z259" s="5">
        <v>4</v>
      </c>
      <c r="AA259" s="5">
        <v>80</v>
      </c>
      <c r="AB259" s="5">
        <v>1</v>
      </c>
      <c r="AC259" s="5">
        <v>22</v>
      </c>
      <c r="AD259" s="5">
        <v>5</v>
      </c>
      <c r="AE259" s="5">
        <v>3</v>
      </c>
      <c r="AF259" s="5">
        <v>21</v>
      </c>
      <c r="AG259" s="5">
        <v>7</v>
      </c>
      <c r="AH259" s="5">
        <v>3</v>
      </c>
      <c r="AI259" s="5">
        <v>9</v>
      </c>
    </row>
    <row r="260" spans="1:35" x14ac:dyDescent="0.25">
      <c r="A260" s="5">
        <v>51</v>
      </c>
      <c r="B260" s="5" t="s">
        <v>43</v>
      </c>
      <c r="C260" s="5" t="s">
        <v>36</v>
      </c>
      <c r="D260" s="5">
        <v>833</v>
      </c>
      <c r="E260" s="5" t="s">
        <v>45</v>
      </c>
      <c r="F260" s="5">
        <v>1</v>
      </c>
      <c r="G260" s="5">
        <v>3</v>
      </c>
      <c r="H260" s="5" t="s">
        <v>38</v>
      </c>
      <c r="I260" s="5">
        <v>1</v>
      </c>
      <c r="J260" s="5">
        <v>353</v>
      </c>
      <c r="K260" s="5">
        <v>3</v>
      </c>
      <c r="L260" s="5" t="s">
        <v>46</v>
      </c>
      <c r="M260" s="5">
        <v>96</v>
      </c>
      <c r="N260" s="5">
        <v>3</v>
      </c>
      <c r="O260" s="5">
        <v>1</v>
      </c>
      <c r="P260" s="5" t="s">
        <v>47</v>
      </c>
      <c r="Q260" s="5">
        <v>4</v>
      </c>
      <c r="R260" s="5" t="s">
        <v>48</v>
      </c>
      <c r="S260" s="5">
        <v>2723</v>
      </c>
      <c r="T260" s="5">
        <v>23231</v>
      </c>
      <c r="U260" s="5">
        <v>1</v>
      </c>
      <c r="V260" s="5" t="s">
        <v>42</v>
      </c>
      <c r="W260" s="5" t="s">
        <v>43</v>
      </c>
      <c r="X260" s="5">
        <v>11</v>
      </c>
      <c r="Y260" s="5">
        <v>3</v>
      </c>
      <c r="Z260" s="5">
        <v>2</v>
      </c>
      <c r="AA260" s="5">
        <v>80</v>
      </c>
      <c r="AB260" s="5">
        <v>0</v>
      </c>
      <c r="AC260" s="5">
        <v>1</v>
      </c>
      <c r="AD260" s="5">
        <v>0</v>
      </c>
      <c r="AE260" s="5">
        <v>2</v>
      </c>
      <c r="AF260" s="5">
        <v>1</v>
      </c>
      <c r="AG260" s="5">
        <v>0</v>
      </c>
      <c r="AH260" s="5">
        <v>0</v>
      </c>
      <c r="AI260" s="5">
        <v>0</v>
      </c>
    </row>
    <row r="261" spans="1:35" x14ac:dyDescent="0.25">
      <c r="A261" s="5">
        <v>31</v>
      </c>
      <c r="B261" s="5" t="s">
        <v>35</v>
      </c>
      <c r="C261" s="5" t="s">
        <v>44</v>
      </c>
      <c r="D261" s="5">
        <v>307</v>
      </c>
      <c r="E261" s="5" t="s">
        <v>45</v>
      </c>
      <c r="F261" s="5">
        <v>29</v>
      </c>
      <c r="G261" s="5">
        <v>2</v>
      </c>
      <c r="H261" s="5" t="s">
        <v>51</v>
      </c>
      <c r="I261" s="5">
        <v>1</v>
      </c>
      <c r="J261" s="5">
        <v>355</v>
      </c>
      <c r="K261" s="5">
        <v>3</v>
      </c>
      <c r="L261" s="5" t="s">
        <v>46</v>
      </c>
      <c r="M261" s="5">
        <v>71</v>
      </c>
      <c r="N261" s="5">
        <v>2</v>
      </c>
      <c r="O261" s="5">
        <v>1</v>
      </c>
      <c r="P261" s="5" t="s">
        <v>50</v>
      </c>
      <c r="Q261" s="5">
        <v>2</v>
      </c>
      <c r="R261" s="5" t="s">
        <v>41</v>
      </c>
      <c r="S261" s="5">
        <v>3479</v>
      </c>
      <c r="T261" s="5">
        <v>11652</v>
      </c>
      <c r="U261" s="5">
        <v>0</v>
      </c>
      <c r="V261" s="5" t="s">
        <v>42</v>
      </c>
      <c r="W261" s="5" t="s">
        <v>43</v>
      </c>
      <c r="X261" s="5">
        <v>11</v>
      </c>
      <c r="Y261" s="5">
        <v>3</v>
      </c>
      <c r="Z261" s="5">
        <v>2</v>
      </c>
      <c r="AA261" s="5">
        <v>80</v>
      </c>
      <c r="AB261" s="5">
        <v>0</v>
      </c>
      <c r="AC261" s="5">
        <v>6</v>
      </c>
      <c r="AD261" s="5">
        <v>2</v>
      </c>
      <c r="AE261" s="5">
        <v>4</v>
      </c>
      <c r="AF261" s="5">
        <v>5</v>
      </c>
      <c r="AG261" s="5">
        <v>4</v>
      </c>
      <c r="AH261" s="5">
        <v>1</v>
      </c>
      <c r="AI261" s="5">
        <v>4</v>
      </c>
    </row>
    <row r="262" spans="1:35" x14ac:dyDescent="0.25">
      <c r="A262" s="5">
        <v>32</v>
      </c>
      <c r="B262" s="5" t="s">
        <v>43</v>
      </c>
      <c r="C262" s="5" t="s">
        <v>44</v>
      </c>
      <c r="D262" s="5">
        <v>1311</v>
      </c>
      <c r="E262" s="5" t="s">
        <v>45</v>
      </c>
      <c r="F262" s="5">
        <v>7</v>
      </c>
      <c r="G262" s="5">
        <v>3</v>
      </c>
      <c r="H262" s="5" t="s">
        <v>38</v>
      </c>
      <c r="I262" s="5">
        <v>1</v>
      </c>
      <c r="J262" s="5">
        <v>359</v>
      </c>
      <c r="K262" s="5">
        <v>2</v>
      </c>
      <c r="L262" s="5" t="s">
        <v>46</v>
      </c>
      <c r="M262" s="5">
        <v>100</v>
      </c>
      <c r="N262" s="5">
        <v>4</v>
      </c>
      <c r="O262" s="5">
        <v>1</v>
      </c>
      <c r="P262" s="5" t="s">
        <v>50</v>
      </c>
      <c r="Q262" s="5">
        <v>2</v>
      </c>
      <c r="R262" s="5" t="s">
        <v>48</v>
      </c>
      <c r="S262" s="5">
        <v>2794</v>
      </c>
      <c r="T262" s="5">
        <v>26062</v>
      </c>
      <c r="U262" s="5">
        <v>1</v>
      </c>
      <c r="V262" s="5" t="s">
        <v>42</v>
      </c>
      <c r="W262" s="5" t="s">
        <v>43</v>
      </c>
      <c r="X262" s="5">
        <v>20</v>
      </c>
      <c r="Y262" s="5">
        <v>4</v>
      </c>
      <c r="Z262" s="5">
        <v>3</v>
      </c>
      <c r="AA262" s="5">
        <v>80</v>
      </c>
      <c r="AB262" s="5">
        <v>0</v>
      </c>
      <c r="AC262" s="5">
        <v>5</v>
      </c>
      <c r="AD262" s="5">
        <v>3</v>
      </c>
      <c r="AE262" s="5">
        <v>1</v>
      </c>
      <c r="AF262" s="5">
        <v>5</v>
      </c>
      <c r="AG262" s="5">
        <v>1</v>
      </c>
      <c r="AH262" s="5">
        <v>0</v>
      </c>
      <c r="AI262" s="5">
        <v>3</v>
      </c>
    </row>
    <row r="263" spans="1:35" x14ac:dyDescent="0.25">
      <c r="A263" s="5">
        <v>38</v>
      </c>
      <c r="B263" s="5" t="s">
        <v>43</v>
      </c>
      <c r="C263" s="5" t="s">
        <v>55</v>
      </c>
      <c r="D263" s="5">
        <v>1327</v>
      </c>
      <c r="E263" s="5" t="s">
        <v>37</v>
      </c>
      <c r="F263" s="5">
        <v>2</v>
      </c>
      <c r="G263" s="5">
        <v>2</v>
      </c>
      <c r="H263" s="5" t="s">
        <v>38</v>
      </c>
      <c r="I263" s="5">
        <v>1</v>
      </c>
      <c r="J263" s="5">
        <v>361</v>
      </c>
      <c r="K263" s="5">
        <v>4</v>
      </c>
      <c r="L263" s="5" t="s">
        <v>46</v>
      </c>
      <c r="M263" s="5">
        <v>39</v>
      </c>
      <c r="N263" s="5">
        <v>2</v>
      </c>
      <c r="O263" s="5">
        <v>2</v>
      </c>
      <c r="P263" s="5" t="s">
        <v>40</v>
      </c>
      <c r="Q263" s="5">
        <v>4</v>
      </c>
      <c r="R263" s="5" t="s">
        <v>48</v>
      </c>
      <c r="S263" s="5">
        <v>5249</v>
      </c>
      <c r="T263" s="5">
        <v>19682</v>
      </c>
      <c r="U263" s="5">
        <v>3</v>
      </c>
      <c r="V263" s="5" t="s">
        <v>42</v>
      </c>
      <c r="W263" s="5" t="s">
        <v>43</v>
      </c>
      <c r="X263" s="5">
        <v>18</v>
      </c>
      <c r="Y263" s="5">
        <v>3</v>
      </c>
      <c r="Z263" s="5">
        <v>4</v>
      </c>
      <c r="AA263" s="5">
        <v>80</v>
      </c>
      <c r="AB263" s="5">
        <v>1</v>
      </c>
      <c r="AC263" s="5">
        <v>13</v>
      </c>
      <c r="AD263" s="5">
        <v>0</v>
      </c>
      <c r="AE263" s="5">
        <v>3</v>
      </c>
      <c r="AF263" s="5">
        <v>8</v>
      </c>
      <c r="AG263" s="5">
        <v>7</v>
      </c>
      <c r="AH263" s="5">
        <v>7</v>
      </c>
      <c r="AI263" s="5">
        <v>5</v>
      </c>
    </row>
    <row r="264" spans="1:35" x14ac:dyDescent="0.25">
      <c r="A264" s="5">
        <v>32</v>
      </c>
      <c r="B264" s="5" t="s">
        <v>43</v>
      </c>
      <c r="C264" s="5" t="s">
        <v>36</v>
      </c>
      <c r="D264" s="5">
        <v>128</v>
      </c>
      <c r="E264" s="5" t="s">
        <v>45</v>
      </c>
      <c r="F264" s="5">
        <v>2</v>
      </c>
      <c r="G264" s="5">
        <v>1</v>
      </c>
      <c r="H264" s="5" t="s">
        <v>60</v>
      </c>
      <c r="I264" s="5">
        <v>1</v>
      </c>
      <c r="J264" s="5">
        <v>362</v>
      </c>
      <c r="K264" s="5">
        <v>4</v>
      </c>
      <c r="L264" s="5" t="s">
        <v>46</v>
      </c>
      <c r="M264" s="5">
        <v>84</v>
      </c>
      <c r="N264" s="5">
        <v>2</v>
      </c>
      <c r="O264" s="5">
        <v>2</v>
      </c>
      <c r="P264" s="5" t="s">
        <v>50</v>
      </c>
      <c r="Q264" s="5">
        <v>1</v>
      </c>
      <c r="R264" s="5" t="s">
        <v>41</v>
      </c>
      <c r="S264" s="5">
        <v>2176</v>
      </c>
      <c r="T264" s="5">
        <v>19737</v>
      </c>
      <c r="U264" s="5">
        <v>4</v>
      </c>
      <c r="V264" s="5" t="s">
        <v>42</v>
      </c>
      <c r="W264" s="5" t="s">
        <v>43</v>
      </c>
      <c r="X264" s="5">
        <v>13</v>
      </c>
      <c r="Y264" s="5">
        <v>3</v>
      </c>
      <c r="Z264" s="5">
        <v>4</v>
      </c>
      <c r="AA264" s="5">
        <v>80</v>
      </c>
      <c r="AB264" s="5">
        <v>0</v>
      </c>
      <c r="AC264" s="5">
        <v>9</v>
      </c>
      <c r="AD264" s="5">
        <v>5</v>
      </c>
      <c r="AE264" s="5">
        <v>3</v>
      </c>
      <c r="AF264" s="5">
        <v>6</v>
      </c>
      <c r="AG264" s="5">
        <v>2</v>
      </c>
      <c r="AH264" s="5">
        <v>0</v>
      </c>
      <c r="AI264" s="5">
        <v>4</v>
      </c>
    </row>
    <row r="265" spans="1:35" x14ac:dyDescent="0.25">
      <c r="A265" s="5">
        <v>46</v>
      </c>
      <c r="B265" s="5" t="s">
        <v>43</v>
      </c>
      <c r="C265" s="5" t="s">
        <v>36</v>
      </c>
      <c r="D265" s="5">
        <v>488</v>
      </c>
      <c r="E265" s="5" t="s">
        <v>37</v>
      </c>
      <c r="F265" s="5">
        <v>2</v>
      </c>
      <c r="G265" s="5">
        <v>3</v>
      </c>
      <c r="H265" s="5" t="s">
        <v>60</v>
      </c>
      <c r="I265" s="5">
        <v>1</v>
      </c>
      <c r="J265" s="5">
        <v>363</v>
      </c>
      <c r="K265" s="5">
        <v>3</v>
      </c>
      <c r="L265" s="5" t="s">
        <v>39</v>
      </c>
      <c r="M265" s="5">
        <v>75</v>
      </c>
      <c r="N265" s="5">
        <v>1</v>
      </c>
      <c r="O265" s="5">
        <v>4</v>
      </c>
      <c r="P265" s="5" t="s">
        <v>56</v>
      </c>
      <c r="Q265" s="5">
        <v>2</v>
      </c>
      <c r="R265" s="5" t="s">
        <v>48</v>
      </c>
      <c r="S265" s="5">
        <v>16872</v>
      </c>
      <c r="T265" s="5">
        <v>14977</v>
      </c>
      <c r="U265" s="5">
        <v>3</v>
      </c>
      <c r="V265" s="5" t="s">
        <v>42</v>
      </c>
      <c r="W265" s="5" t="s">
        <v>35</v>
      </c>
      <c r="X265" s="5">
        <v>12</v>
      </c>
      <c r="Y265" s="5">
        <v>3</v>
      </c>
      <c r="Z265" s="5">
        <v>2</v>
      </c>
      <c r="AA265" s="5">
        <v>80</v>
      </c>
      <c r="AB265" s="5">
        <v>1</v>
      </c>
      <c r="AC265" s="5">
        <v>28</v>
      </c>
      <c r="AD265" s="5">
        <v>2</v>
      </c>
      <c r="AE265" s="5">
        <v>2</v>
      </c>
      <c r="AF265" s="5">
        <v>7</v>
      </c>
      <c r="AG265" s="5">
        <v>7</v>
      </c>
      <c r="AH265" s="5">
        <v>7</v>
      </c>
      <c r="AI265" s="5">
        <v>7</v>
      </c>
    </row>
    <row r="266" spans="1:35" x14ac:dyDescent="0.25">
      <c r="A266" s="5">
        <v>28</v>
      </c>
      <c r="B266" s="5" t="s">
        <v>35</v>
      </c>
      <c r="C266" s="5" t="s">
        <v>36</v>
      </c>
      <c r="D266" s="5">
        <v>529</v>
      </c>
      <c r="E266" s="5" t="s">
        <v>45</v>
      </c>
      <c r="F266" s="5">
        <v>2</v>
      </c>
      <c r="G266" s="5">
        <v>4</v>
      </c>
      <c r="H266" s="5" t="s">
        <v>38</v>
      </c>
      <c r="I266" s="5">
        <v>1</v>
      </c>
      <c r="J266" s="5">
        <v>364</v>
      </c>
      <c r="K266" s="5">
        <v>1</v>
      </c>
      <c r="L266" s="5" t="s">
        <v>46</v>
      </c>
      <c r="M266" s="5">
        <v>79</v>
      </c>
      <c r="N266" s="5">
        <v>3</v>
      </c>
      <c r="O266" s="5">
        <v>1</v>
      </c>
      <c r="P266" s="5" t="s">
        <v>50</v>
      </c>
      <c r="Q266" s="5">
        <v>3</v>
      </c>
      <c r="R266" s="5" t="s">
        <v>41</v>
      </c>
      <c r="S266" s="5">
        <v>3485</v>
      </c>
      <c r="T266" s="5">
        <v>14935</v>
      </c>
      <c r="U266" s="5">
        <v>2</v>
      </c>
      <c r="V266" s="5" t="s">
        <v>42</v>
      </c>
      <c r="W266" s="5" t="s">
        <v>43</v>
      </c>
      <c r="X266" s="5">
        <v>11</v>
      </c>
      <c r="Y266" s="5">
        <v>3</v>
      </c>
      <c r="Z266" s="5">
        <v>3</v>
      </c>
      <c r="AA266" s="5">
        <v>80</v>
      </c>
      <c r="AB266" s="5">
        <v>0</v>
      </c>
      <c r="AC266" s="5">
        <v>5</v>
      </c>
      <c r="AD266" s="5">
        <v>5</v>
      </c>
      <c r="AE266" s="5">
        <v>1</v>
      </c>
      <c r="AF266" s="5">
        <v>0</v>
      </c>
      <c r="AG266" s="5">
        <v>0</v>
      </c>
      <c r="AH266" s="5">
        <v>0</v>
      </c>
      <c r="AI266" s="5">
        <v>0</v>
      </c>
    </row>
    <row r="267" spans="1:35" x14ac:dyDescent="0.25">
      <c r="A267" s="5">
        <v>29</v>
      </c>
      <c r="B267" s="5" t="s">
        <v>43</v>
      </c>
      <c r="C267" s="5" t="s">
        <v>36</v>
      </c>
      <c r="D267" s="5">
        <v>1210</v>
      </c>
      <c r="E267" s="5" t="s">
        <v>37</v>
      </c>
      <c r="F267" s="5">
        <v>2</v>
      </c>
      <c r="G267" s="5">
        <v>3</v>
      </c>
      <c r="H267" s="5" t="s">
        <v>51</v>
      </c>
      <c r="I267" s="5">
        <v>1</v>
      </c>
      <c r="J267" s="5">
        <v>366</v>
      </c>
      <c r="K267" s="5">
        <v>1</v>
      </c>
      <c r="L267" s="5" t="s">
        <v>46</v>
      </c>
      <c r="M267" s="5">
        <v>78</v>
      </c>
      <c r="N267" s="5">
        <v>2</v>
      </c>
      <c r="O267" s="5">
        <v>2</v>
      </c>
      <c r="P267" s="5" t="s">
        <v>40</v>
      </c>
      <c r="Q267" s="5">
        <v>2</v>
      </c>
      <c r="R267" s="5" t="s">
        <v>48</v>
      </c>
      <c r="S267" s="5">
        <v>6644</v>
      </c>
      <c r="T267" s="5">
        <v>3687</v>
      </c>
      <c r="U267" s="5">
        <v>2</v>
      </c>
      <c r="V267" s="5" t="s">
        <v>42</v>
      </c>
      <c r="W267" s="5" t="s">
        <v>43</v>
      </c>
      <c r="X267" s="5">
        <v>19</v>
      </c>
      <c r="Y267" s="5">
        <v>3</v>
      </c>
      <c r="Z267" s="5">
        <v>2</v>
      </c>
      <c r="AA267" s="5">
        <v>80</v>
      </c>
      <c r="AB267" s="5">
        <v>2</v>
      </c>
      <c r="AC267" s="5">
        <v>10</v>
      </c>
      <c r="AD267" s="5">
        <v>2</v>
      </c>
      <c r="AE267" s="5">
        <v>3</v>
      </c>
      <c r="AF267" s="5">
        <v>0</v>
      </c>
      <c r="AG267" s="5">
        <v>0</v>
      </c>
      <c r="AH267" s="5">
        <v>0</v>
      </c>
      <c r="AI267" s="5">
        <v>0</v>
      </c>
    </row>
    <row r="268" spans="1:35" x14ac:dyDescent="0.25">
      <c r="A268" s="5">
        <v>31</v>
      </c>
      <c r="B268" s="5" t="s">
        <v>43</v>
      </c>
      <c r="C268" s="5" t="s">
        <v>36</v>
      </c>
      <c r="D268" s="5">
        <v>1463</v>
      </c>
      <c r="E268" s="5" t="s">
        <v>45</v>
      </c>
      <c r="F268" s="5">
        <v>23</v>
      </c>
      <c r="G268" s="5">
        <v>3</v>
      </c>
      <c r="H268" s="5" t="s">
        <v>51</v>
      </c>
      <c r="I268" s="5">
        <v>1</v>
      </c>
      <c r="J268" s="5">
        <v>367</v>
      </c>
      <c r="K268" s="5">
        <v>2</v>
      </c>
      <c r="L268" s="5" t="s">
        <v>46</v>
      </c>
      <c r="M268" s="5">
        <v>64</v>
      </c>
      <c r="N268" s="5">
        <v>2</v>
      </c>
      <c r="O268" s="5">
        <v>2</v>
      </c>
      <c r="P268" s="5" t="s">
        <v>54</v>
      </c>
      <c r="Q268" s="5">
        <v>4</v>
      </c>
      <c r="R268" s="5" t="s">
        <v>48</v>
      </c>
      <c r="S268" s="5">
        <v>5582</v>
      </c>
      <c r="T268" s="5">
        <v>14408</v>
      </c>
      <c r="U268" s="5">
        <v>0</v>
      </c>
      <c r="V268" s="5" t="s">
        <v>42</v>
      </c>
      <c r="W268" s="5" t="s">
        <v>43</v>
      </c>
      <c r="X268" s="5">
        <v>21</v>
      </c>
      <c r="Y268" s="5">
        <v>4</v>
      </c>
      <c r="Z268" s="5">
        <v>2</v>
      </c>
      <c r="AA268" s="5">
        <v>80</v>
      </c>
      <c r="AB268" s="5">
        <v>1</v>
      </c>
      <c r="AC268" s="5">
        <v>10</v>
      </c>
      <c r="AD268" s="5">
        <v>2</v>
      </c>
      <c r="AE268" s="5">
        <v>3</v>
      </c>
      <c r="AF268" s="5">
        <v>9</v>
      </c>
      <c r="AG268" s="5">
        <v>0</v>
      </c>
      <c r="AH268" s="5">
        <v>7</v>
      </c>
      <c r="AI268" s="5">
        <v>8</v>
      </c>
    </row>
    <row r="269" spans="1:35" x14ac:dyDescent="0.25">
      <c r="A269" s="5">
        <v>25</v>
      </c>
      <c r="B269" s="5" t="s">
        <v>43</v>
      </c>
      <c r="C269" s="5" t="s">
        <v>55</v>
      </c>
      <c r="D269" s="5">
        <v>675</v>
      </c>
      <c r="E269" s="5" t="s">
        <v>45</v>
      </c>
      <c r="F269" s="5">
        <v>5</v>
      </c>
      <c r="G269" s="5">
        <v>2</v>
      </c>
      <c r="H269" s="5" t="s">
        <v>38</v>
      </c>
      <c r="I269" s="5">
        <v>1</v>
      </c>
      <c r="J269" s="5">
        <v>369</v>
      </c>
      <c r="K269" s="5">
        <v>2</v>
      </c>
      <c r="L269" s="5" t="s">
        <v>46</v>
      </c>
      <c r="M269" s="5">
        <v>85</v>
      </c>
      <c r="N269" s="5">
        <v>4</v>
      </c>
      <c r="O269" s="5">
        <v>2</v>
      </c>
      <c r="P269" s="5" t="s">
        <v>54</v>
      </c>
      <c r="Q269" s="5">
        <v>1</v>
      </c>
      <c r="R269" s="5" t="s">
        <v>52</v>
      </c>
      <c r="S269" s="5">
        <v>4000</v>
      </c>
      <c r="T269" s="5">
        <v>18384</v>
      </c>
      <c r="U269" s="5">
        <v>1</v>
      </c>
      <c r="V269" s="5" t="s">
        <v>42</v>
      </c>
      <c r="W269" s="5" t="s">
        <v>43</v>
      </c>
      <c r="X269" s="5">
        <v>12</v>
      </c>
      <c r="Y269" s="5">
        <v>3</v>
      </c>
      <c r="Z269" s="5">
        <v>4</v>
      </c>
      <c r="AA269" s="5">
        <v>80</v>
      </c>
      <c r="AB269" s="5">
        <v>2</v>
      </c>
      <c r="AC269" s="5">
        <v>6</v>
      </c>
      <c r="AD269" s="5">
        <v>2</v>
      </c>
      <c r="AE269" s="5">
        <v>3</v>
      </c>
      <c r="AF269" s="5">
        <v>6</v>
      </c>
      <c r="AG269" s="5">
        <v>3</v>
      </c>
      <c r="AH269" s="5">
        <v>1</v>
      </c>
      <c r="AI269" s="5">
        <v>5</v>
      </c>
    </row>
    <row r="270" spans="1:35" x14ac:dyDescent="0.25">
      <c r="A270" s="5">
        <v>45</v>
      </c>
      <c r="B270" s="5" t="s">
        <v>43</v>
      </c>
      <c r="C270" s="5" t="s">
        <v>36</v>
      </c>
      <c r="D270" s="5">
        <v>1385</v>
      </c>
      <c r="E270" s="5" t="s">
        <v>45</v>
      </c>
      <c r="F270" s="5">
        <v>20</v>
      </c>
      <c r="G270" s="5">
        <v>2</v>
      </c>
      <c r="H270" s="5" t="s">
        <v>51</v>
      </c>
      <c r="I270" s="5">
        <v>1</v>
      </c>
      <c r="J270" s="5">
        <v>372</v>
      </c>
      <c r="K270" s="5">
        <v>3</v>
      </c>
      <c r="L270" s="5" t="s">
        <v>46</v>
      </c>
      <c r="M270" s="5">
        <v>79</v>
      </c>
      <c r="N270" s="5">
        <v>3</v>
      </c>
      <c r="O270" s="5">
        <v>4</v>
      </c>
      <c r="P270" s="5" t="s">
        <v>54</v>
      </c>
      <c r="Q270" s="5">
        <v>4</v>
      </c>
      <c r="R270" s="5" t="s">
        <v>48</v>
      </c>
      <c r="S270" s="5">
        <v>13496</v>
      </c>
      <c r="T270" s="5">
        <v>7501</v>
      </c>
      <c r="U270" s="5">
        <v>0</v>
      </c>
      <c r="V270" s="5" t="s">
        <v>42</v>
      </c>
      <c r="W270" s="5" t="s">
        <v>35</v>
      </c>
      <c r="X270" s="5">
        <v>14</v>
      </c>
      <c r="Y270" s="5">
        <v>3</v>
      </c>
      <c r="Z270" s="5">
        <v>2</v>
      </c>
      <c r="AA270" s="5">
        <v>80</v>
      </c>
      <c r="AB270" s="5">
        <v>0</v>
      </c>
      <c r="AC270" s="5">
        <v>21</v>
      </c>
      <c r="AD270" s="5">
        <v>2</v>
      </c>
      <c r="AE270" s="5">
        <v>3</v>
      </c>
      <c r="AF270" s="5">
        <v>20</v>
      </c>
      <c r="AG270" s="5">
        <v>7</v>
      </c>
      <c r="AH270" s="5">
        <v>4</v>
      </c>
      <c r="AI270" s="5">
        <v>10</v>
      </c>
    </row>
    <row r="271" spans="1:35" x14ac:dyDescent="0.25">
      <c r="A271" s="5">
        <v>36</v>
      </c>
      <c r="B271" s="5" t="s">
        <v>43</v>
      </c>
      <c r="C271" s="5" t="s">
        <v>36</v>
      </c>
      <c r="D271" s="5">
        <v>1403</v>
      </c>
      <c r="E271" s="5" t="s">
        <v>45</v>
      </c>
      <c r="F271" s="5">
        <v>6</v>
      </c>
      <c r="G271" s="5">
        <v>3</v>
      </c>
      <c r="H271" s="5" t="s">
        <v>38</v>
      </c>
      <c r="I271" s="5">
        <v>1</v>
      </c>
      <c r="J271" s="5">
        <v>373</v>
      </c>
      <c r="K271" s="5">
        <v>4</v>
      </c>
      <c r="L271" s="5" t="s">
        <v>46</v>
      </c>
      <c r="M271" s="5">
        <v>47</v>
      </c>
      <c r="N271" s="5">
        <v>3</v>
      </c>
      <c r="O271" s="5">
        <v>1</v>
      </c>
      <c r="P271" s="5" t="s">
        <v>50</v>
      </c>
      <c r="Q271" s="5">
        <v>4</v>
      </c>
      <c r="R271" s="5" t="s">
        <v>48</v>
      </c>
      <c r="S271" s="5">
        <v>3210</v>
      </c>
      <c r="T271" s="5">
        <v>20251</v>
      </c>
      <c r="U271" s="5">
        <v>0</v>
      </c>
      <c r="V271" s="5" t="s">
        <v>42</v>
      </c>
      <c r="W271" s="5" t="s">
        <v>43</v>
      </c>
      <c r="X271" s="5">
        <v>11</v>
      </c>
      <c r="Y271" s="5">
        <v>3</v>
      </c>
      <c r="Z271" s="5">
        <v>3</v>
      </c>
      <c r="AA271" s="5">
        <v>80</v>
      </c>
      <c r="AB271" s="5">
        <v>1</v>
      </c>
      <c r="AC271" s="5">
        <v>16</v>
      </c>
      <c r="AD271" s="5">
        <v>4</v>
      </c>
      <c r="AE271" s="5">
        <v>3</v>
      </c>
      <c r="AF271" s="5">
        <v>15</v>
      </c>
      <c r="AG271" s="5">
        <v>13</v>
      </c>
      <c r="AH271" s="5">
        <v>10</v>
      </c>
      <c r="AI271" s="5">
        <v>11</v>
      </c>
    </row>
    <row r="272" spans="1:35" x14ac:dyDescent="0.25">
      <c r="A272" s="5">
        <v>55</v>
      </c>
      <c r="B272" s="5" t="s">
        <v>43</v>
      </c>
      <c r="C272" s="5" t="s">
        <v>36</v>
      </c>
      <c r="D272" s="5">
        <v>452</v>
      </c>
      <c r="E272" s="5" t="s">
        <v>45</v>
      </c>
      <c r="F272" s="5">
        <v>1</v>
      </c>
      <c r="G272" s="5">
        <v>3</v>
      </c>
      <c r="H272" s="5" t="s">
        <v>51</v>
      </c>
      <c r="I272" s="5">
        <v>1</v>
      </c>
      <c r="J272" s="5">
        <v>374</v>
      </c>
      <c r="K272" s="5">
        <v>4</v>
      </c>
      <c r="L272" s="5" t="s">
        <v>46</v>
      </c>
      <c r="M272" s="5">
        <v>81</v>
      </c>
      <c r="N272" s="5">
        <v>3</v>
      </c>
      <c r="O272" s="5">
        <v>5</v>
      </c>
      <c r="P272" s="5" t="s">
        <v>56</v>
      </c>
      <c r="Q272" s="5">
        <v>1</v>
      </c>
      <c r="R272" s="5" t="s">
        <v>41</v>
      </c>
      <c r="S272" s="5">
        <v>19045</v>
      </c>
      <c r="T272" s="5">
        <v>18938</v>
      </c>
      <c r="U272" s="5">
        <v>0</v>
      </c>
      <c r="V272" s="5" t="s">
        <v>42</v>
      </c>
      <c r="W272" s="5" t="s">
        <v>35</v>
      </c>
      <c r="X272" s="5">
        <v>14</v>
      </c>
      <c r="Y272" s="5">
        <v>3</v>
      </c>
      <c r="Z272" s="5">
        <v>3</v>
      </c>
      <c r="AA272" s="5">
        <v>80</v>
      </c>
      <c r="AB272" s="5">
        <v>0</v>
      </c>
      <c r="AC272" s="5">
        <v>37</v>
      </c>
      <c r="AD272" s="5">
        <v>2</v>
      </c>
      <c r="AE272" s="5">
        <v>3</v>
      </c>
      <c r="AF272" s="5">
        <v>36</v>
      </c>
      <c r="AG272" s="5">
        <v>10</v>
      </c>
      <c r="AH272" s="5">
        <v>4</v>
      </c>
      <c r="AI272" s="5">
        <v>13</v>
      </c>
    </row>
    <row r="273" spans="1:35" x14ac:dyDescent="0.25">
      <c r="A273" s="5">
        <v>47</v>
      </c>
      <c r="B273" s="5" t="s">
        <v>35</v>
      </c>
      <c r="C273" s="5" t="s">
        <v>55</v>
      </c>
      <c r="D273" s="5">
        <v>666</v>
      </c>
      <c r="E273" s="5" t="s">
        <v>45</v>
      </c>
      <c r="F273" s="5">
        <v>29</v>
      </c>
      <c r="G273" s="5">
        <v>4</v>
      </c>
      <c r="H273" s="5" t="s">
        <v>38</v>
      </c>
      <c r="I273" s="5">
        <v>1</v>
      </c>
      <c r="J273" s="5">
        <v>376</v>
      </c>
      <c r="K273" s="5">
        <v>1</v>
      </c>
      <c r="L273" s="5" t="s">
        <v>46</v>
      </c>
      <c r="M273" s="5">
        <v>88</v>
      </c>
      <c r="N273" s="5">
        <v>3</v>
      </c>
      <c r="O273" s="5">
        <v>3</v>
      </c>
      <c r="P273" s="5" t="s">
        <v>56</v>
      </c>
      <c r="Q273" s="5">
        <v>2</v>
      </c>
      <c r="R273" s="5" t="s">
        <v>48</v>
      </c>
      <c r="S273" s="5">
        <v>11849</v>
      </c>
      <c r="T273" s="5">
        <v>10268</v>
      </c>
      <c r="U273" s="5">
        <v>1</v>
      </c>
      <c r="V273" s="5" t="s">
        <v>42</v>
      </c>
      <c r="W273" s="5" t="s">
        <v>35</v>
      </c>
      <c r="X273" s="5">
        <v>12</v>
      </c>
      <c r="Y273" s="5">
        <v>3</v>
      </c>
      <c r="Z273" s="5">
        <v>4</v>
      </c>
      <c r="AA273" s="5">
        <v>80</v>
      </c>
      <c r="AB273" s="5">
        <v>1</v>
      </c>
      <c r="AC273" s="5">
        <v>10</v>
      </c>
      <c r="AD273" s="5">
        <v>2</v>
      </c>
      <c r="AE273" s="5">
        <v>2</v>
      </c>
      <c r="AF273" s="5">
        <v>10</v>
      </c>
      <c r="AG273" s="5">
        <v>7</v>
      </c>
      <c r="AH273" s="5">
        <v>9</v>
      </c>
      <c r="AI273" s="5">
        <v>9</v>
      </c>
    </row>
    <row r="274" spans="1:35" x14ac:dyDescent="0.25">
      <c r="A274" s="5">
        <v>28</v>
      </c>
      <c r="B274" s="5" t="s">
        <v>43</v>
      </c>
      <c r="C274" s="5" t="s">
        <v>36</v>
      </c>
      <c r="D274" s="5">
        <v>1158</v>
      </c>
      <c r="E274" s="5" t="s">
        <v>45</v>
      </c>
      <c r="F274" s="5">
        <v>9</v>
      </c>
      <c r="G274" s="5">
        <v>3</v>
      </c>
      <c r="H274" s="5" t="s">
        <v>51</v>
      </c>
      <c r="I274" s="5">
        <v>1</v>
      </c>
      <c r="J274" s="5">
        <v>377</v>
      </c>
      <c r="K274" s="5">
        <v>4</v>
      </c>
      <c r="L274" s="5" t="s">
        <v>46</v>
      </c>
      <c r="M274" s="5">
        <v>94</v>
      </c>
      <c r="N274" s="5">
        <v>3</v>
      </c>
      <c r="O274" s="5">
        <v>1</v>
      </c>
      <c r="P274" s="5" t="s">
        <v>47</v>
      </c>
      <c r="Q274" s="5">
        <v>4</v>
      </c>
      <c r="R274" s="5" t="s">
        <v>48</v>
      </c>
      <c r="S274" s="5">
        <v>2070</v>
      </c>
      <c r="T274" s="5">
        <v>2613</v>
      </c>
      <c r="U274" s="5">
        <v>1</v>
      </c>
      <c r="V274" s="5" t="s">
        <v>42</v>
      </c>
      <c r="W274" s="5" t="s">
        <v>43</v>
      </c>
      <c r="X274" s="5">
        <v>23</v>
      </c>
      <c r="Y274" s="5">
        <v>4</v>
      </c>
      <c r="Z274" s="5">
        <v>4</v>
      </c>
      <c r="AA274" s="5">
        <v>80</v>
      </c>
      <c r="AB274" s="5">
        <v>1</v>
      </c>
      <c r="AC274" s="5">
        <v>5</v>
      </c>
      <c r="AD274" s="5">
        <v>3</v>
      </c>
      <c r="AE274" s="5">
        <v>2</v>
      </c>
      <c r="AF274" s="5">
        <v>5</v>
      </c>
      <c r="AG274" s="5">
        <v>2</v>
      </c>
      <c r="AH274" s="5">
        <v>0</v>
      </c>
      <c r="AI274" s="5">
        <v>4</v>
      </c>
    </row>
    <row r="275" spans="1:35" x14ac:dyDescent="0.25">
      <c r="A275" s="5">
        <v>37</v>
      </c>
      <c r="B275" s="5" t="s">
        <v>43</v>
      </c>
      <c r="C275" s="5" t="s">
        <v>36</v>
      </c>
      <c r="D275" s="5">
        <v>228</v>
      </c>
      <c r="E275" s="5" t="s">
        <v>37</v>
      </c>
      <c r="F275" s="5">
        <v>6</v>
      </c>
      <c r="G275" s="5">
        <v>4</v>
      </c>
      <c r="H275" s="5" t="s">
        <v>51</v>
      </c>
      <c r="I275" s="5">
        <v>1</v>
      </c>
      <c r="J275" s="5">
        <v>378</v>
      </c>
      <c r="K275" s="5">
        <v>3</v>
      </c>
      <c r="L275" s="5" t="s">
        <v>46</v>
      </c>
      <c r="M275" s="5">
        <v>98</v>
      </c>
      <c r="N275" s="5">
        <v>3</v>
      </c>
      <c r="O275" s="5">
        <v>2</v>
      </c>
      <c r="P275" s="5" t="s">
        <v>40</v>
      </c>
      <c r="Q275" s="5">
        <v>4</v>
      </c>
      <c r="R275" s="5" t="s">
        <v>48</v>
      </c>
      <c r="S275" s="5">
        <v>6502</v>
      </c>
      <c r="T275" s="5">
        <v>22825</v>
      </c>
      <c r="U275" s="5">
        <v>4</v>
      </c>
      <c r="V275" s="5" t="s">
        <v>42</v>
      </c>
      <c r="W275" s="5" t="s">
        <v>43</v>
      </c>
      <c r="X275" s="5">
        <v>14</v>
      </c>
      <c r="Y275" s="5">
        <v>3</v>
      </c>
      <c r="Z275" s="5">
        <v>2</v>
      </c>
      <c r="AA275" s="5">
        <v>80</v>
      </c>
      <c r="AB275" s="5">
        <v>1</v>
      </c>
      <c r="AC275" s="5">
        <v>7</v>
      </c>
      <c r="AD275" s="5">
        <v>5</v>
      </c>
      <c r="AE275" s="5">
        <v>4</v>
      </c>
      <c r="AF275" s="5">
        <v>5</v>
      </c>
      <c r="AG275" s="5">
        <v>4</v>
      </c>
      <c r="AH275" s="5">
        <v>0</v>
      </c>
      <c r="AI275" s="5">
        <v>1</v>
      </c>
    </row>
    <row r="276" spans="1:35" x14ac:dyDescent="0.25">
      <c r="A276" s="5">
        <v>21</v>
      </c>
      <c r="B276" s="5" t="s">
        <v>43</v>
      </c>
      <c r="C276" s="5" t="s">
        <v>36</v>
      </c>
      <c r="D276" s="5">
        <v>996</v>
      </c>
      <c r="E276" s="5" t="s">
        <v>45</v>
      </c>
      <c r="F276" s="5">
        <v>3</v>
      </c>
      <c r="G276" s="5">
        <v>2</v>
      </c>
      <c r="H276" s="5" t="s">
        <v>51</v>
      </c>
      <c r="I276" s="5">
        <v>1</v>
      </c>
      <c r="J276" s="5">
        <v>379</v>
      </c>
      <c r="K276" s="5">
        <v>4</v>
      </c>
      <c r="L276" s="5" t="s">
        <v>46</v>
      </c>
      <c r="M276" s="5">
        <v>100</v>
      </c>
      <c r="N276" s="5">
        <v>2</v>
      </c>
      <c r="O276" s="5">
        <v>1</v>
      </c>
      <c r="P276" s="5" t="s">
        <v>47</v>
      </c>
      <c r="Q276" s="5">
        <v>3</v>
      </c>
      <c r="R276" s="5" t="s">
        <v>41</v>
      </c>
      <c r="S276" s="5">
        <v>3230</v>
      </c>
      <c r="T276" s="5">
        <v>10531</v>
      </c>
      <c r="U276" s="5">
        <v>1</v>
      </c>
      <c r="V276" s="5" t="s">
        <v>42</v>
      </c>
      <c r="W276" s="5" t="s">
        <v>43</v>
      </c>
      <c r="X276" s="5">
        <v>17</v>
      </c>
      <c r="Y276" s="5">
        <v>3</v>
      </c>
      <c r="Z276" s="5">
        <v>1</v>
      </c>
      <c r="AA276" s="5">
        <v>80</v>
      </c>
      <c r="AB276" s="5">
        <v>0</v>
      </c>
      <c r="AC276" s="5">
        <v>3</v>
      </c>
      <c r="AD276" s="5">
        <v>4</v>
      </c>
      <c r="AE276" s="5">
        <v>4</v>
      </c>
      <c r="AF276" s="5">
        <v>3</v>
      </c>
      <c r="AG276" s="5">
        <v>2</v>
      </c>
      <c r="AH276" s="5">
        <v>1</v>
      </c>
      <c r="AI276" s="5">
        <v>0</v>
      </c>
    </row>
    <row r="277" spans="1:35" x14ac:dyDescent="0.25">
      <c r="A277" s="5">
        <v>37</v>
      </c>
      <c r="B277" s="5" t="s">
        <v>43</v>
      </c>
      <c r="C277" s="5" t="s">
        <v>55</v>
      </c>
      <c r="D277" s="5">
        <v>728</v>
      </c>
      <c r="E277" s="5" t="s">
        <v>45</v>
      </c>
      <c r="F277" s="5">
        <v>1</v>
      </c>
      <c r="G277" s="5">
        <v>4</v>
      </c>
      <c r="H277" s="5" t="s">
        <v>51</v>
      </c>
      <c r="I277" s="5">
        <v>1</v>
      </c>
      <c r="J277" s="5">
        <v>380</v>
      </c>
      <c r="K277" s="5">
        <v>1</v>
      </c>
      <c r="L277" s="5" t="s">
        <v>39</v>
      </c>
      <c r="M277" s="5">
        <v>80</v>
      </c>
      <c r="N277" s="5">
        <v>3</v>
      </c>
      <c r="O277" s="5">
        <v>3</v>
      </c>
      <c r="P277" s="5" t="s">
        <v>58</v>
      </c>
      <c r="Q277" s="5">
        <v>4</v>
      </c>
      <c r="R277" s="5" t="s">
        <v>52</v>
      </c>
      <c r="S277" s="5">
        <v>13603</v>
      </c>
      <c r="T277" s="5">
        <v>11677</v>
      </c>
      <c r="U277" s="5">
        <v>2</v>
      </c>
      <c r="V277" s="5" t="s">
        <v>42</v>
      </c>
      <c r="W277" s="5" t="s">
        <v>35</v>
      </c>
      <c r="X277" s="5">
        <v>18</v>
      </c>
      <c r="Y277" s="5">
        <v>3</v>
      </c>
      <c r="Z277" s="5">
        <v>1</v>
      </c>
      <c r="AA277" s="5">
        <v>80</v>
      </c>
      <c r="AB277" s="5">
        <v>2</v>
      </c>
      <c r="AC277" s="5">
        <v>15</v>
      </c>
      <c r="AD277" s="5">
        <v>2</v>
      </c>
      <c r="AE277" s="5">
        <v>3</v>
      </c>
      <c r="AF277" s="5">
        <v>5</v>
      </c>
      <c r="AG277" s="5">
        <v>2</v>
      </c>
      <c r="AH277" s="5">
        <v>0</v>
      </c>
      <c r="AI277" s="5">
        <v>2</v>
      </c>
    </row>
    <row r="278" spans="1:35" x14ac:dyDescent="0.25">
      <c r="A278" s="5">
        <v>35</v>
      </c>
      <c r="B278" s="5" t="s">
        <v>43</v>
      </c>
      <c r="C278" s="5" t="s">
        <v>36</v>
      </c>
      <c r="D278" s="5">
        <v>1315</v>
      </c>
      <c r="E278" s="5" t="s">
        <v>45</v>
      </c>
      <c r="F278" s="5">
        <v>22</v>
      </c>
      <c r="G278" s="5">
        <v>3</v>
      </c>
      <c r="H278" s="5" t="s">
        <v>38</v>
      </c>
      <c r="I278" s="5">
        <v>1</v>
      </c>
      <c r="J278" s="5">
        <v>381</v>
      </c>
      <c r="K278" s="5">
        <v>2</v>
      </c>
      <c r="L278" s="5" t="s">
        <v>39</v>
      </c>
      <c r="M278" s="5">
        <v>71</v>
      </c>
      <c r="N278" s="5">
        <v>4</v>
      </c>
      <c r="O278" s="5">
        <v>3</v>
      </c>
      <c r="P278" s="5" t="s">
        <v>56</v>
      </c>
      <c r="Q278" s="5">
        <v>2</v>
      </c>
      <c r="R278" s="5" t="s">
        <v>52</v>
      </c>
      <c r="S278" s="5">
        <v>11996</v>
      </c>
      <c r="T278" s="5">
        <v>19100</v>
      </c>
      <c r="U278" s="5">
        <v>7</v>
      </c>
      <c r="V278" s="5" t="s">
        <v>42</v>
      </c>
      <c r="W278" s="5" t="s">
        <v>43</v>
      </c>
      <c r="X278" s="5">
        <v>18</v>
      </c>
      <c r="Y278" s="5">
        <v>3</v>
      </c>
      <c r="Z278" s="5">
        <v>2</v>
      </c>
      <c r="AA278" s="5">
        <v>80</v>
      </c>
      <c r="AB278" s="5">
        <v>1</v>
      </c>
      <c r="AC278" s="5">
        <v>10</v>
      </c>
      <c r="AD278" s="5">
        <v>6</v>
      </c>
      <c r="AE278" s="5">
        <v>2</v>
      </c>
      <c r="AF278" s="5">
        <v>7</v>
      </c>
      <c r="AG278" s="5">
        <v>7</v>
      </c>
      <c r="AH278" s="5">
        <v>6</v>
      </c>
      <c r="AI278" s="5">
        <v>2</v>
      </c>
    </row>
    <row r="279" spans="1:35" x14ac:dyDescent="0.25">
      <c r="A279" s="5">
        <v>38</v>
      </c>
      <c r="B279" s="5" t="s">
        <v>43</v>
      </c>
      <c r="C279" s="5" t="s">
        <v>36</v>
      </c>
      <c r="D279" s="5">
        <v>322</v>
      </c>
      <c r="E279" s="5" t="s">
        <v>37</v>
      </c>
      <c r="F279" s="5">
        <v>7</v>
      </c>
      <c r="G279" s="5">
        <v>2</v>
      </c>
      <c r="H279" s="5" t="s">
        <v>51</v>
      </c>
      <c r="I279" s="5">
        <v>1</v>
      </c>
      <c r="J279" s="5">
        <v>382</v>
      </c>
      <c r="K279" s="5">
        <v>1</v>
      </c>
      <c r="L279" s="5" t="s">
        <v>39</v>
      </c>
      <c r="M279" s="5">
        <v>44</v>
      </c>
      <c r="N279" s="5">
        <v>4</v>
      </c>
      <c r="O279" s="5">
        <v>2</v>
      </c>
      <c r="P279" s="5" t="s">
        <v>40</v>
      </c>
      <c r="Q279" s="5">
        <v>1</v>
      </c>
      <c r="R279" s="5" t="s">
        <v>52</v>
      </c>
      <c r="S279" s="5">
        <v>5605</v>
      </c>
      <c r="T279" s="5">
        <v>19191</v>
      </c>
      <c r="U279" s="5">
        <v>1</v>
      </c>
      <c r="V279" s="5" t="s">
        <v>42</v>
      </c>
      <c r="W279" s="5" t="s">
        <v>35</v>
      </c>
      <c r="X279" s="5">
        <v>24</v>
      </c>
      <c r="Y279" s="5">
        <v>4</v>
      </c>
      <c r="Z279" s="5">
        <v>3</v>
      </c>
      <c r="AA279" s="5">
        <v>80</v>
      </c>
      <c r="AB279" s="5">
        <v>1</v>
      </c>
      <c r="AC279" s="5">
        <v>8</v>
      </c>
      <c r="AD279" s="5">
        <v>3</v>
      </c>
      <c r="AE279" s="5">
        <v>3</v>
      </c>
      <c r="AF279" s="5">
        <v>8</v>
      </c>
      <c r="AG279" s="5">
        <v>0</v>
      </c>
      <c r="AH279" s="5">
        <v>7</v>
      </c>
      <c r="AI279" s="5">
        <v>7</v>
      </c>
    </row>
    <row r="280" spans="1:35" x14ac:dyDescent="0.25">
      <c r="A280" s="5">
        <v>26</v>
      </c>
      <c r="B280" s="5" t="s">
        <v>43</v>
      </c>
      <c r="C280" s="5" t="s">
        <v>44</v>
      </c>
      <c r="D280" s="5">
        <v>1479</v>
      </c>
      <c r="E280" s="5" t="s">
        <v>45</v>
      </c>
      <c r="F280" s="5">
        <v>1</v>
      </c>
      <c r="G280" s="5">
        <v>3</v>
      </c>
      <c r="H280" s="5" t="s">
        <v>38</v>
      </c>
      <c r="I280" s="5">
        <v>1</v>
      </c>
      <c r="J280" s="5">
        <v>384</v>
      </c>
      <c r="K280" s="5">
        <v>3</v>
      </c>
      <c r="L280" s="5" t="s">
        <v>39</v>
      </c>
      <c r="M280" s="5">
        <v>84</v>
      </c>
      <c r="N280" s="5">
        <v>3</v>
      </c>
      <c r="O280" s="5">
        <v>2</v>
      </c>
      <c r="P280" s="5" t="s">
        <v>53</v>
      </c>
      <c r="Q280" s="5">
        <v>2</v>
      </c>
      <c r="R280" s="5" t="s">
        <v>52</v>
      </c>
      <c r="S280" s="5">
        <v>6397</v>
      </c>
      <c r="T280" s="5">
        <v>26767</v>
      </c>
      <c r="U280" s="5">
        <v>1</v>
      </c>
      <c r="V280" s="5" t="s">
        <v>42</v>
      </c>
      <c r="W280" s="5" t="s">
        <v>43</v>
      </c>
      <c r="X280" s="5">
        <v>20</v>
      </c>
      <c r="Y280" s="5">
        <v>4</v>
      </c>
      <c r="Z280" s="5">
        <v>1</v>
      </c>
      <c r="AA280" s="5">
        <v>80</v>
      </c>
      <c r="AB280" s="5">
        <v>1</v>
      </c>
      <c r="AC280" s="5">
        <v>6</v>
      </c>
      <c r="AD280" s="5">
        <v>6</v>
      </c>
      <c r="AE280" s="5">
        <v>1</v>
      </c>
      <c r="AF280" s="5">
        <v>6</v>
      </c>
      <c r="AG280" s="5">
        <v>5</v>
      </c>
      <c r="AH280" s="5">
        <v>1</v>
      </c>
      <c r="AI280" s="5">
        <v>4</v>
      </c>
    </row>
    <row r="281" spans="1:35" x14ac:dyDescent="0.25">
      <c r="A281" s="5">
        <v>50</v>
      </c>
      <c r="B281" s="5" t="s">
        <v>43</v>
      </c>
      <c r="C281" s="5" t="s">
        <v>36</v>
      </c>
      <c r="D281" s="5">
        <v>797</v>
      </c>
      <c r="E281" s="5" t="s">
        <v>45</v>
      </c>
      <c r="F281" s="5">
        <v>4</v>
      </c>
      <c r="G281" s="5">
        <v>1</v>
      </c>
      <c r="H281" s="5" t="s">
        <v>38</v>
      </c>
      <c r="I281" s="5">
        <v>1</v>
      </c>
      <c r="J281" s="5">
        <v>385</v>
      </c>
      <c r="K281" s="5">
        <v>1</v>
      </c>
      <c r="L281" s="5" t="s">
        <v>46</v>
      </c>
      <c r="M281" s="5">
        <v>96</v>
      </c>
      <c r="N281" s="5">
        <v>3</v>
      </c>
      <c r="O281" s="5">
        <v>5</v>
      </c>
      <c r="P281" s="5" t="s">
        <v>58</v>
      </c>
      <c r="Q281" s="5">
        <v>2</v>
      </c>
      <c r="R281" s="5" t="s">
        <v>52</v>
      </c>
      <c r="S281" s="5">
        <v>19144</v>
      </c>
      <c r="T281" s="5">
        <v>15815</v>
      </c>
      <c r="U281" s="5">
        <v>3</v>
      </c>
      <c r="V281" s="5" t="s">
        <v>42</v>
      </c>
      <c r="W281" s="5" t="s">
        <v>43</v>
      </c>
      <c r="X281" s="5">
        <v>14</v>
      </c>
      <c r="Y281" s="5">
        <v>3</v>
      </c>
      <c r="Z281" s="5">
        <v>1</v>
      </c>
      <c r="AA281" s="5">
        <v>80</v>
      </c>
      <c r="AB281" s="5">
        <v>2</v>
      </c>
      <c r="AC281" s="5">
        <v>28</v>
      </c>
      <c r="AD281" s="5">
        <v>4</v>
      </c>
      <c r="AE281" s="5">
        <v>2</v>
      </c>
      <c r="AF281" s="5">
        <v>10</v>
      </c>
      <c r="AG281" s="5">
        <v>4</v>
      </c>
      <c r="AH281" s="5">
        <v>1</v>
      </c>
      <c r="AI281" s="5">
        <v>6</v>
      </c>
    </row>
    <row r="282" spans="1:35" x14ac:dyDescent="0.25">
      <c r="A282" s="5">
        <v>53</v>
      </c>
      <c r="B282" s="5" t="s">
        <v>43</v>
      </c>
      <c r="C282" s="5" t="s">
        <v>36</v>
      </c>
      <c r="D282" s="5">
        <v>1070</v>
      </c>
      <c r="E282" s="5" t="s">
        <v>45</v>
      </c>
      <c r="F282" s="5">
        <v>3</v>
      </c>
      <c r="G282" s="5">
        <v>4</v>
      </c>
      <c r="H282" s="5" t="s">
        <v>51</v>
      </c>
      <c r="I282" s="5">
        <v>1</v>
      </c>
      <c r="J282" s="5">
        <v>386</v>
      </c>
      <c r="K282" s="5">
        <v>3</v>
      </c>
      <c r="L282" s="5" t="s">
        <v>46</v>
      </c>
      <c r="M282" s="5">
        <v>45</v>
      </c>
      <c r="N282" s="5">
        <v>3</v>
      </c>
      <c r="O282" s="5">
        <v>4</v>
      </c>
      <c r="P282" s="5" t="s">
        <v>58</v>
      </c>
      <c r="Q282" s="5">
        <v>3</v>
      </c>
      <c r="R282" s="5" t="s">
        <v>48</v>
      </c>
      <c r="S282" s="5">
        <v>17584</v>
      </c>
      <c r="T282" s="5">
        <v>21016</v>
      </c>
      <c r="U282" s="5">
        <v>3</v>
      </c>
      <c r="V282" s="5" t="s">
        <v>42</v>
      </c>
      <c r="W282" s="5" t="s">
        <v>35</v>
      </c>
      <c r="X282" s="5">
        <v>16</v>
      </c>
      <c r="Y282" s="5">
        <v>3</v>
      </c>
      <c r="Z282" s="5">
        <v>4</v>
      </c>
      <c r="AA282" s="5">
        <v>80</v>
      </c>
      <c r="AB282" s="5">
        <v>3</v>
      </c>
      <c r="AC282" s="5">
        <v>21</v>
      </c>
      <c r="AD282" s="5">
        <v>5</v>
      </c>
      <c r="AE282" s="5">
        <v>2</v>
      </c>
      <c r="AF282" s="5">
        <v>5</v>
      </c>
      <c r="AG282" s="5">
        <v>3</v>
      </c>
      <c r="AH282" s="5">
        <v>1</v>
      </c>
      <c r="AI282" s="5">
        <v>3</v>
      </c>
    </row>
    <row r="283" spans="1:35" x14ac:dyDescent="0.25">
      <c r="A283" s="5">
        <v>42</v>
      </c>
      <c r="B283" s="5" t="s">
        <v>43</v>
      </c>
      <c r="C283" s="5" t="s">
        <v>36</v>
      </c>
      <c r="D283" s="5">
        <v>635</v>
      </c>
      <c r="E283" s="5" t="s">
        <v>37</v>
      </c>
      <c r="F283" s="5">
        <v>1</v>
      </c>
      <c r="G283" s="5">
        <v>1</v>
      </c>
      <c r="H283" s="5" t="s">
        <v>38</v>
      </c>
      <c r="I283" s="5">
        <v>1</v>
      </c>
      <c r="J283" s="5">
        <v>387</v>
      </c>
      <c r="K283" s="5">
        <v>2</v>
      </c>
      <c r="L283" s="5" t="s">
        <v>46</v>
      </c>
      <c r="M283" s="5">
        <v>99</v>
      </c>
      <c r="N283" s="5">
        <v>3</v>
      </c>
      <c r="O283" s="5">
        <v>2</v>
      </c>
      <c r="P283" s="5" t="s">
        <v>40</v>
      </c>
      <c r="Q283" s="5">
        <v>3</v>
      </c>
      <c r="R283" s="5" t="s">
        <v>48</v>
      </c>
      <c r="S283" s="5">
        <v>4907</v>
      </c>
      <c r="T283" s="5">
        <v>24532</v>
      </c>
      <c r="U283" s="5">
        <v>1</v>
      </c>
      <c r="V283" s="5" t="s">
        <v>42</v>
      </c>
      <c r="W283" s="5" t="s">
        <v>43</v>
      </c>
      <c r="X283" s="5">
        <v>25</v>
      </c>
      <c r="Y283" s="5">
        <v>4</v>
      </c>
      <c r="Z283" s="5">
        <v>3</v>
      </c>
      <c r="AA283" s="5">
        <v>80</v>
      </c>
      <c r="AB283" s="5">
        <v>0</v>
      </c>
      <c r="AC283" s="5">
        <v>20</v>
      </c>
      <c r="AD283" s="5">
        <v>3</v>
      </c>
      <c r="AE283" s="5">
        <v>3</v>
      </c>
      <c r="AF283" s="5">
        <v>20</v>
      </c>
      <c r="AG283" s="5">
        <v>16</v>
      </c>
      <c r="AH283" s="5">
        <v>11</v>
      </c>
      <c r="AI283" s="5">
        <v>6</v>
      </c>
    </row>
    <row r="284" spans="1:35" x14ac:dyDescent="0.25">
      <c r="A284" s="5">
        <v>29</v>
      </c>
      <c r="B284" s="5" t="s">
        <v>43</v>
      </c>
      <c r="C284" s="5" t="s">
        <v>44</v>
      </c>
      <c r="D284" s="5">
        <v>442</v>
      </c>
      <c r="E284" s="5" t="s">
        <v>37</v>
      </c>
      <c r="F284" s="5">
        <v>2</v>
      </c>
      <c r="G284" s="5">
        <v>2</v>
      </c>
      <c r="H284" s="5" t="s">
        <v>38</v>
      </c>
      <c r="I284" s="5">
        <v>1</v>
      </c>
      <c r="J284" s="5">
        <v>388</v>
      </c>
      <c r="K284" s="5">
        <v>2</v>
      </c>
      <c r="L284" s="5" t="s">
        <v>46</v>
      </c>
      <c r="M284" s="5">
        <v>44</v>
      </c>
      <c r="N284" s="5">
        <v>3</v>
      </c>
      <c r="O284" s="5">
        <v>2</v>
      </c>
      <c r="P284" s="5" t="s">
        <v>40</v>
      </c>
      <c r="Q284" s="5">
        <v>4</v>
      </c>
      <c r="R284" s="5" t="s">
        <v>41</v>
      </c>
      <c r="S284" s="5">
        <v>4554</v>
      </c>
      <c r="T284" s="5">
        <v>20260</v>
      </c>
      <c r="U284" s="5">
        <v>1</v>
      </c>
      <c r="V284" s="5" t="s">
        <v>42</v>
      </c>
      <c r="W284" s="5" t="s">
        <v>43</v>
      </c>
      <c r="X284" s="5">
        <v>18</v>
      </c>
      <c r="Y284" s="5">
        <v>3</v>
      </c>
      <c r="Z284" s="5">
        <v>1</v>
      </c>
      <c r="AA284" s="5">
        <v>80</v>
      </c>
      <c r="AB284" s="5">
        <v>0</v>
      </c>
      <c r="AC284" s="5">
        <v>10</v>
      </c>
      <c r="AD284" s="5">
        <v>3</v>
      </c>
      <c r="AE284" s="5">
        <v>2</v>
      </c>
      <c r="AF284" s="5">
        <v>10</v>
      </c>
      <c r="AG284" s="5">
        <v>7</v>
      </c>
      <c r="AH284" s="5">
        <v>0</v>
      </c>
      <c r="AI284" s="5">
        <v>9</v>
      </c>
    </row>
    <row r="285" spans="1:35" x14ac:dyDescent="0.25">
      <c r="A285" s="5">
        <v>55</v>
      </c>
      <c r="B285" s="5" t="s">
        <v>43</v>
      </c>
      <c r="C285" s="5" t="s">
        <v>36</v>
      </c>
      <c r="D285" s="5">
        <v>147</v>
      </c>
      <c r="E285" s="5" t="s">
        <v>45</v>
      </c>
      <c r="F285" s="5">
        <v>20</v>
      </c>
      <c r="G285" s="5">
        <v>2</v>
      </c>
      <c r="H285" s="5" t="s">
        <v>60</v>
      </c>
      <c r="I285" s="5">
        <v>1</v>
      </c>
      <c r="J285" s="5">
        <v>389</v>
      </c>
      <c r="K285" s="5">
        <v>2</v>
      </c>
      <c r="L285" s="5" t="s">
        <v>46</v>
      </c>
      <c r="M285" s="5">
        <v>37</v>
      </c>
      <c r="N285" s="5">
        <v>3</v>
      </c>
      <c r="O285" s="5">
        <v>2</v>
      </c>
      <c r="P285" s="5" t="s">
        <v>50</v>
      </c>
      <c r="Q285" s="5">
        <v>4</v>
      </c>
      <c r="R285" s="5" t="s">
        <v>48</v>
      </c>
      <c r="S285" s="5">
        <v>5415</v>
      </c>
      <c r="T285" s="5">
        <v>15972</v>
      </c>
      <c r="U285" s="5">
        <v>3</v>
      </c>
      <c r="V285" s="5" t="s">
        <v>42</v>
      </c>
      <c r="W285" s="5" t="s">
        <v>35</v>
      </c>
      <c r="X285" s="5">
        <v>19</v>
      </c>
      <c r="Y285" s="5">
        <v>3</v>
      </c>
      <c r="Z285" s="5">
        <v>4</v>
      </c>
      <c r="AA285" s="5">
        <v>80</v>
      </c>
      <c r="AB285" s="5">
        <v>1</v>
      </c>
      <c r="AC285" s="5">
        <v>12</v>
      </c>
      <c r="AD285" s="5">
        <v>4</v>
      </c>
      <c r="AE285" s="5">
        <v>3</v>
      </c>
      <c r="AF285" s="5">
        <v>10</v>
      </c>
      <c r="AG285" s="5">
        <v>7</v>
      </c>
      <c r="AH285" s="5">
        <v>0</v>
      </c>
      <c r="AI285" s="5">
        <v>8</v>
      </c>
    </row>
    <row r="286" spans="1:35" x14ac:dyDescent="0.25">
      <c r="A286" s="5">
        <v>26</v>
      </c>
      <c r="B286" s="5" t="s">
        <v>43</v>
      </c>
      <c r="C286" s="5" t="s">
        <v>44</v>
      </c>
      <c r="D286" s="5">
        <v>496</v>
      </c>
      <c r="E286" s="5" t="s">
        <v>45</v>
      </c>
      <c r="F286" s="5">
        <v>11</v>
      </c>
      <c r="G286" s="5">
        <v>2</v>
      </c>
      <c r="H286" s="5" t="s">
        <v>51</v>
      </c>
      <c r="I286" s="5">
        <v>1</v>
      </c>
      <c r="J286" s="5">
        <v>390</v>
      </c>
      <c r="K286" s="5">
        <v>1</v>
      </c>
      <c r="L286" s="5" t="s">
        <v>46</v>
      </c>
      <c r="M286" s="5">
        <v>60</v>
      </c>
      <c r="N286" s="5">
        <v>3</v>
      </c>
      <c r="O286" s="5">
        <v>2</v>
      </c>
      <c r="P286" s="5" t="s">
        <v>54</v>
      </c>
      <c r="Q286" s="5">
        <v>1</v>
      </c>
      <c r="R286" s="5" t="s">
        <v>48</v>
      </c>
      <c r="S286" s="5">
        <v>4741</v>
      </c>
      <c r="T286" s="5">
        <v>22722</v>
      </c>
      <c r="U286" s="5">
        <v>1</v>
      </c>
      <c r="V286" s="5" t="s">
        <v>42</v>
      </c>
      <c r="W286" s="5" t="s">
        <v>35</v>
      </c>
      <c r="X286" s="5">
        <v>13</v>
      </c>
      <c r="Y286" s="5">
        <v>3</v>
      </c>
      <c r="Z286" s="5">
        <v>3</v>
      </c>
      <c r="AA286" s="5">
        <v>80</v>
      </c>
      <c r="AB286" s="5">
        <v>1</v>
      </c>
      <c r="AC286" s="5">
        <v>5</v>
      </c>
      <c r="AD286" s="5">
        <v>3</v>
      </c>
      <c r="AE286" s="5">
        <v>3</v>
      </c>
      <c r="AF286" s="5">
        <v>5</v>
      </c>
      <c r="AG286" s="5">
        <v>3</v>
      </c>
      <c r="AH286" s="5">
        <v>3</v>
      </c>
      <c r="AI286" s="5">
        <v>3</v>
      </c>
    </row>
    <row r="287" spans="1:35" x14ac:dyDescent="0.25">
      <c r="A287" s="5">
        <v>37</v>
      </c>
      <c r="B287" s="5" t="s">
        <v>43</v>
      </c>
      <c r="C287" s="5" t="s">
        <v>36</v>
      </c>
      <c r="D287" s="5">
        <v>1372</v>
      </c>
      <c r="E287" s="5" t="s">
        <v>45</v>
      </c>
      <c r="F287" s="5">
        <v>1</v>
      </c>
      <c r="G287" s="5">
        <v>3</v>
      </c>
      <c r="H287" s="5" t="s">
        <v>38</v>
      </c>
      <c r="I287" s="5">
        <v>1</v>
      </c>
      <c r="J287" s="5">
        <v>391</v>
      </c>
      <c r="K287" s="5">
        <v>4</v>
      </c>
      <c r="L287" s="5" t="s">
        <v>39</v>
      </c>
      <c r="M287" s="5">
        <v>42</v>
      </c>
      <c r="N287" s="5">
        <v>3</v>
      </c>
      <c r="O287" s="5">
        <v>1</v>
      </c>
      <c r="P287" s="5" t="s">
        <v>47</v>
      </c>
      <c r="Q287" s="5">
        <v>4</v>
      </c>
      <c r="R287" s="5" t="s">
        <v>41</v>
      </c>
      <c r="S287" s="5">
        <v>2115</v>
      </c>
      <c r="T287" s="5">
        <v>15881</v>
      </c>
      <c r="U287" s="5">
        <v>1</v>
      </c>
      <c r="V287" s="5" t="s">
        <v>42</v>
      </c>
      <c r="W287" s="5" t="s">
        <v>43</v>
      </c>
      <c r="X287" s="5">
        <v>12</v>
      </c>
      <c r="Y287" s="5">
        <v>3</v>
      </c>
      <c r="Z287" s="5">
        <v>2</v>
      </c>
      <c r="AA287" s="5">
        <v>80</v>
      </c>
      <c r="AB287" s="5">
        <v>0</v>
      </c>
      <c r="AC287" s="5">
        <v>17</v>
      </c>
      <c r="AD287" s="5">
        <v>3</v>
      </c>
      <c r="AE287" s="5">
        <v>3</v>
      </c>
      <c r="AF287" s="5">
        <v>17</v>
      </c>
      <c r="AG287" s="5">
        <v>12</v>
      </c>
      <c r="AH287" s="5">
        <v>5</v>
      </c>
      <c r="AI287" s="5">
        <v>7</v>
      </c>
    </row>
    <row r="288" spans="1:35" x14ac:dyDescent="0.25">
      <c r="A288" s="5">
        <v>44</v>
      </c>
      <c r="B288" s="5" t="s">
        <v>35</v>
      </c>
      <c r="C288" s="5" t="s">
        <v>44</v>
      </c>
      <c r="D288" s="5">
        <v>920</v>
      </c>
      <c r="E288" s="5" t="s">
        <v>45</v>
      </c>
      <c r="F288" s="5">
        <v>24</v>
      </c>
      <c r="G288" s="5">
        <v>3</v>
      </c>
      <c r="H288" s="5" t="s">
        <v>38</v>
      </c>
      <c r="I288" s="5">
        <v>1</v>
      </c>
      <c r="J288" s="5">
        <v>392</v>
      </c>
      <c r="K288" s="5">
        <v>4</v>
      </c>
      <c r="L288" s="5" t="s">
        <v>46</v>
      </c>
      <c r="M288" s="5">
        <v>43</v>
      </c>
      <c r="N288" s="5">
        <v>3</v>
      </c>
      <c r="O288" s="5">
        <v>1</v>
      </c>
      <c r="P288" s="5" t="s">
        <v>50</v>
      </c>
      <c r="Q288" s="5">
        <v>3</v>
      </c>
      <c r="R288" s="5" t="s">
        <v>52</v>
      </c>
      <c r="S288" s="5">
        <v>3161</v>
      </c>
      <c r="T288" s="5">
        <v>19920</v>
      </c>
      <c r="U288" s="5">
        <v>3</v>
      </c>
      <c r="V288" s="5" t="s">
        <v>42</v>
      </c>
      <c r="W288" s="5" t="s">
        <v>35</v>
      </c>
      <c r="X288" s="5">
        <v>22</v>
      </c>
      <c r="Y288" s="5">
        <v>4</v>
      </c>
      <c r="Z288" s="5">
        <v>4</v>
      </c>
      <c r="AA288" s="5">
        <v>80</v>
      </c>
      <c r="AB288" s="5">
        <v>1</v>
      </c>
      <c r="AC288" s="5">
        <v>19</v>
      </c>
      <c r="AD288" s="5">
        <v>0</v>
      </c>
      <c r="AE288" s="5">
        <v>1</v>
      </c>
      <c r="AF288" s="5">
        <v>1</v>
      </c>
      <c r="AG288" s="5">
        <v>0</v>
      </c>
      <c r="AH288" s="5">
        <v>0</v>
      </c>
      <c r="AI288" s="5">
        <v>0</v>
      </c>
    </row>
    <row r="289" spans="1:35" x14ac:dyDescent="0.25">
      <c r="A289" s="5">
        <v>38</v>
      </c>
      <c r="B289" s="5" t="s">
        <v>43</v>
      </c>
      <c r="C289" s="5" t="s">
        <v>36</v>
      </c>
      <c r="D289" s="5">
        <v>688</v>
      </c>
      <c r="E289" s="5" t="s">
        <v>45</v>
      </c>
      <c r="F289" s="5">
        <v>23</v>
      </c>
      <c r="G289" s="5">
        <v>4</v>
      </c>
      <c r="H289" s="5" t="s">
        <v>38</v>
      </c>
      <c r="I289" s="5">
        <v>1</v>
      </c>
      <c r="J289" s="5">
        <v>393</v>
      </c>
      <c r="K289" s="5">
        <v>4</v>
      </c>
      <c r="L289" s="5" t="s">
        <v>46</v>
      </c>
      <c r="M289" s="5">
        <v>82</v>
      </c>
      <c r="N289" s="5">
        <v>3</v>
      </c>
      <c r="O289" s="5">
        <v>2</v>
      </c>
      <c r="P289" s="5" t="s">
        <v>54</v>
      </c>
      <c r="Q289" s="5">
        <v>4</v>
      </c>
      <c r="R289" s="5" t="s">
        <v>52</v>
      </c>
      <c r="S289" s="5">
        <v>5745</v>
      </c>
      <c r="T289" s="5">
        <v>18899</v>
      </c>
      <c r="U289" s="5">
        <v>9</v>
      </c>
      <c r="V289" s="5" t="s">
        <v>42</v>
      </c>
      <c r="W289" s="5" t="s">
        <v>43</v>
      </c>
      <c r="X289" s="5">
        <v>14</v>
      </c>
      <c r="Y289" s="5">
        <v>3</v>
      </c>
      <c r="Z289" s="5">
        <v>2</v>
      </c>
      <c r="AA289" s="5">
        <v>80</v>
      </c>
      <c r="AB289" s="5">
        <v>1</v>
      </c>
      <c r="AC289" s="5">
        <v>10</v>
      </c>
      <c r="AD289" s="5">
        <v>2</v>
      </c>
      <c r="AE289" s="5">
        <v>3</v>
      </c>
      <c r="AF289" s="5">
        <v>2</v>
      </c>
      <c r="AG289" s="5">
        <v>2</v>
      </c>
      <c r="AH289" s="5">
        <v>1</v>
      </c>
      <c r="AI289" s="5">
        <v>2</v>
      </c>
    </row>
    <row r="290" spans="1:35" x14ac:dyDescent="0.25">
      <c r="A290" s="5">
        <v>26</v>
      </c>
      <c r="B290" s="5" t="s">
        <v>35</v>
      </c>
      <c r="C290" s="5" t="s">
        <v>36</v>
      </c>
      <c r="D290" s="5">
        <v>1449</v>
      </c>
      <c r="E290" s="5" t="s">
        <v>45</v>
      </c>
      <c r="F290" s="5">
        <v>16</v>
      </c>
      <c r="G290" s="5">
        <v>4</v>
      </c>
      <c r="H290" s="5" t="s">
        <v>51</v>
      </c>
      <c r="I290" s="5">
        <v>1</v>
      </c>
      <c r="J290" s="5">
        <v>394</v>
      </c>
      <c r="K290" s="5">
        <v>1</v>
      </c>
      <c r="L290" s="5" t="s">
        <v>46</v>
      </c>
      <c r="M290" s="5">
        <v>45</v>
      </c>
      <c r="N290" s="5">
        <v>3</v>
      </c>
      <c r="O290" s="5">
        <v>1</v>
      </c>
      <c r="P290" s="5" t="s">
        <v>50</v>
      </c>
      <c r="Q290" s="5">
        <v>2</v>
      </c>
      <c r="R290" s="5" t="s">
        <v>52</v>
      </c>
      <c r="S290" s="5">
        <v>2373</v>
      </c>
      <c r="T290" s="5">
        <v>14180</v>
      </c>
      <c r="U290" s="5">
        <v>2</v>
      </c>
      <c r="V290" s="5" t="s">
        <v>42</v>
      </c>
      <c r="W290" s="5" t="s">
        <v>35</v>
      </c>
      <c r="X290" s="5">
        <v>13</v>
      </c>
      <c r="Y290" s="5">
        <v>3</v>
      </c>
      <c r="Z290" s="5">
        <v>4</v>
      </c>
      <c r="AA290" s="5">
        <v>80</v>
      </c>
      <c r="AB290" s="5">
        <v>1</v>
      </c>
      <c r="AC290" s="5">
        <v>5</v>
      </c>
      <c r="AD290" s="5">
        <v>2</v>
      </c>
      <c r="AE290" s="5">
        <v>3</v>
      </c>
      <c r="AF290" s="5">
        <v>3</v>
      </c>
      <c r="AG290" s="5">
        <v>2</v>
      </c>
      <c r="AH290" s="5">
        <v>0</v>
      </c>
      <c r="AI290" s="5">
        <v>2</v>
      </c>
    </row>
    <row r="291" spans="1:35" x14ac:dyDescent="0.25">
      <c r="A291" s="5">
        <v>28</v>
      </c>
      <c r="B291" s="5" t="s">
        <v>43</v>
      </c>
      <c r="C291" s="5" t="s">
        <v>36</v>
      </c>
      <c r="D291" s="5">
        <v>1117</v>
      </c>
      <c r="E291" s="5" t="s">
        <v>45</v>
      </c>
      <c r="F291" s="5">
        <v>8</v>
      </c>
      <c r="G291" s="5">
        <v>2</v>
      </c>
      <c r="H291" s="5" t="s">
        <v>38</v>
      </c>
      <c r="I291" s="5">
        <v>1</v>
      </c>
      <c r="J291" s="5">
        <v>395</v>
      </c>
      <c r="K291" s="5">
        <v>4</v>
      </c>
      <c r="L291" s="5" t="s">
        <v>39</v>
      </c>
      <c r="M291" s="5">
        <v>66</v>
      </c>
      <c r="N291" s="5">
        <v>3</v>
      </c>
      <c r="O291" s="5">
        <v>1</v>
      </c>
      <c r="P291" s="5" t="s">
        <v>47</v>
      </c>
      <c r="Q291" s="5">
        <v>4</v>
      </c>
      <c r="R291" s="5" t="s">
        <v>41</v>
      </c>
      <c r="S291" s="5">
        <v>3310</v>
      </c>
      <c r="T291" s="5">
        <v>4488</v>
      </c>
      <c r="U291" s="5">
        <v>1</v>
      </c>
      <c r="V291" s="5" t="s">
        <v>42</v>
      </c>
      <c r="W291" s="5" t="s">
        <v>43</v>
      </c>
      <c r="X291" s="5">
        <v>21</v>
      </c>
      <c r="Y291" s="5">
        <v>4</v>
      </c>
      <c r="Z291" s="5">
        <v>4</v>
      </c>
      <c r="AA291" s="5">
        <v>80</v>
      </c>
      <c r="AB291" s="5">
        <v>0</v>
      </c>
      <c r="AC291" s="5">
        <v>5</v>
      </c>
      <c r="AD291" s="5">
        <v>3</v>
      </c>
      <c r="AE291" s="5">
        <v>3</v>
      </c>
      <c r="AF291" s="5">
        <v>5</v>
      </c>
      <c r="AG291" s="5">
        <v>3</v>
      </c>
      <c r="AH291" s="5">
        <v>0</v>
      </c>
      <c r="AI291" s="5">
        <v>2</v>
      </c>
    </row>
    <row r="292" spans="1:35" x14ac:dyDescent="0.25">
      <c r="A292" s="5">
        <v>49</v>
      </c>
      <c r="B292" s="5" t="s">
        <v>43</v>
      </c>
      <c r="C292" s="5" t="s">
        <v>44</v>
      </c>
      <c r="D292" s="5">
        <v>636</v>
      </c>
      <c r="E292" s="5" t="s">
        <v>45</v>
      </c>
      <c r="F292" s="5">
        <v>10</v>
      </c>
      <c r="G292" s="5">
        <v>4</v>
      </c>
      <c r="H292" s="5" t="s">
        <v>38</v>
      </c>
      <c r="I292" s="5">
        <v>1</v>
      </c>
      <c r="J292" s="5">
        <v>396</v>
      </c>
      <c r="K292" s="5">
        <v>3</v>
      </c>
      <c r="L292" s="5" t="s">
        <v>39</v>
      </c>
      <c r="M292" s="5">
        <v>35</v>
      </c>
      <c r="N292" s="5">
        <v>3</v>
      </c>
      <c r="O292" s="5">
        <v>5</v>
      </c>
      <c r="P292" s="5" t="s">
        <v>58</v>
      </c>
      <c r="Q292" s="5">
        <v>1</v>
      </c>
      <c r="R292" s="5" t="s">
        <v>41</v>
      </c>
      <c r="S292" s="5">
        <v>18665</v>
      </c>
      <c r="T292" s="5">
        <v>25594</v>
      </c>
      <c r="U292" s="5">
        <v>9</v>
      </c>
      <c r="V292" s="5" t="s">
        <v>42</v>
      </c>
      <c r="W292" s="5" t="s">
        <v>35</v>
      </c>
      <c r="X292" s="5">
        <v>11</v>
      </c>
      <c r="Y292" s="5">
        <v>3</v>
      </c>
      <c r="Z292" s="5">
        <v>4</v>
      </c>
      <c r="AA292" s="5">
        <v>80</v>
      </c>
      <c r="AB292" s="5">
        <v>0</v>
      </c>
      <c r="AC292" s="5">
        <v>22</v>
      </c>
      <c r="AD292" s="5">
        <v>4</v>
      </c>
      <c r="AE292" s="5">
        <v>3</v>
      </c>
      <c r="AF292" s="5">
        <v>3</v>
      </c>
      <c r="AG292" s="5">
        <v>2</v>
      </c>
      <c r="AH292" s="5">
        <v>1</v>
      </c>
      <c r="AI292" s="5">
        <v>2</v>
      </c>
    </row>
    <row r="293" spans="1:35" x14ac:dyDescent="0.25">
      <c r="A293" s="5">
        <v>36</v>
      </c>
      <c r="B293" s="5" t="s">
        <v>43</v>
      </c>
      <c r="C293" s="5" t="s">
        <v>36</v>
      </c>
      <c r="D293" s="5">
        <v>506</v>
      </c>
      <c r="E293" s="5" t="s">
        <v>45</v>
      </c>
      <c r="F293" s="5">
        <v>3</v>
      </c>
      <c r="G293" s="5">
        <v>3</v>
      </c>
      <c r="H293" s="5" t="s">
        <v>60</v>
      </c>
      <c r="I293" s="5">
        <v>1</v>
      </c>
      <c r="J293" s="5">
        <v>397</v>
      </c>
      <c r="K293" s="5">
        <v>3</v>
      </c>
      <c r="L293" s="5" t="s">
        <v>46</v>
      </c>
      <c r="M293" s="5">
        <v>30</v>
      </c>
      <c r="N293" s="5">
        <v>3</v>
      </c>
      <c r="O293" s="5">
        <v>2</v>
      </c>
      <c r="P293" s="5" t="s">
        <v>47</v>
      </c>
      <c r="Q293" s="5">
        <v>2</v>
      </c>
      <c r="R293" s="5" t="s">
        <v>41</v>
      </c>
      <c r="S293" s="5">
        <v>4485</v>
      </c>
      <c r="T293" s="5">
        <v>26285</v>
      </c>
      <c r="U293" s="5">
        <v>4</v>
      </c>
      <c r="V293" s="5" t="s">
        <v>42</v>
      </c>
      <c r="W293" s="5" t="s">
        <v>43</v>
      </c>
      <c r="X293" s="5">
        <v>12</v>
      </c>
      <c r="Y293" s="5">
        <v>3</v>
      </c>
      <c r="Z293" s="5">
        <v>4</v>
      </c>
      <c r="AA293" s="5">
        <v>80</v>
      </c>
      <c r="AB293" s="5">
        <v>0</v>
      </c>
      <c r="AC293" s="5">
        <v>10</v>
      </c>
      <c r="AD293" s="5">
        <v>2</v>
      </c>
      <c r="AE293" s="5">
        <v>3</v>
      </c>
      <c r="AF293" s="5">
        <v>8</v>
      </c>
      <c r="AG293" s="5">
        <v>0</v>
      </c>
      <c r="AH293" s="5">
        <v>7</v>
      </c>
      <c r="AI293" s="5">
        <v>7</v>
      </c>
    </row>
    <row r="294" spans="1:35" x14ac:dyDescent="0.25">
      <c r="A294" s="5">
        <v>31</v>
      </c>
      <c r="B294" s="5" t="s">
        <v>43</v>
      </c>
      <c r="C294" s="5" t="s">
        <v>44</v>
      </c>
      <c r="D294" s="5">
        <v>444</v>
      </c>
      <c r="E294" s="5" t="s">
        <v>37</v>
      </c>
      <c r="F294" s="5">
        <v>5</v>
      </c>
      <c r="G294" s="5">
        <v>3</v>
      </c>
      <c r="H294" s="5" t="s">
        <v>59</v>
      </c>
      <c r="I294" s="5">
        <v>1</v>
      </c>
      <c r="J294" s="5">
        <v>399</v>
      </c>
      <c r="K294" s="5">
        <v>4</v>
      </c>
      <c r="L294" s="5" t="s">
        <v>39</v>
      </c>
      <c r="M294" s="5">
        <v>84</v>
      </c>
      <c r="N294" s="5">
        <v>3</v>
      </c>
      <c r="O294" s="5">
        <v>1</v>
      </c>
      <c r="P294" s="5" t="s">
        <v>57</v>
      </c>
      <c r="Q294" s="5">
        <v>2</v>
      </c>
      <c r="R294" s="5" t="s">
        <v>52</v>
      </c>
      <c r="S294" s="5">
        <v>2789</v>
      </c>
      <c r="T294" s="5">
        <v>3909</v>
      </c>
      <c r="U294" s="5">
        <v>1</v>
      </c>
      <c r="V294" s="5" t="s">
        <v>42</v>
      </c>
      <c r="W294" s="5" t="s">
        <v>43</v>
      </c>
      <c r="X294" s="5">
        <v>11</v>
      </c>
      <c r="Y294" s="5">
        <v>3</v>
      </c>
      <c r="Z294" s="5">
        <v>3</v>
      </c>
      <c r="AA294" s="5">
        <v>80</v>
      </c>
      <c r="AB294" s="5">
        <v>1</v>
      </c>
      <c r="AC294" s="5">
        <v>2</v>
      </c>
      <c r="AD294" s="5">
        <v>5</v>
      </c>
      <c r="AE294" s="5">
        <v>2</v>
      </c>
      <c r="AF294" s="5">
        <v>2</v>
      </c>
      <c r="AG294" s="5">
        <v>2</v>
      </c>
      <c r="AH294" s="5">
        <v>2</v>
      </c>
      <c r="AI294" s="5">
        <v>2</v>
      </c>
    </row>
    <row r="295" spans="1:35" x14ac:dyDescent="0.25">
      <c r="A295" s="5">
        <v>26</v>
      </c>
      <c r="B295" s="5" t="s">
        <v>35</v>
      </c>
      <c r="C295" s="5" t="s">
        <v>36</v>
      </c>
      <c r="D295" s="5">
        <v>950</v>
      </c>
      <c r="E295" s="5" t="s">
        <v>37</v>
      </c>
      <c r="F295" s="5">
        <v>4</v>
      </c>
      <c r="G295" s="5">
        <v>4</v>
      </c>
      <c r="H295" s="5" t="s">
        <v>59</v>
      </c>
      <c r="I295" s="5">
        <v>1</v>
      </c>
      <c r="J295" s="5">
        <v>401</v>
      </c>
      <c r="K295" s="5">
        <v>4</v>
      </c>
      <c r="L295" s="5" t="s">
        <v>46</v>
      </c>
      <c r="M295" s="5">
        <v>48</v>
      </c>
      <c r="N295" s="5">
        <v>2</v>
      </c>
      <c r="O295" s="5">
        <v>2</v>
      </c>
      <c r="P295" s="5" t="s">
        <v>40</v>
      </c>
      <c r="Q295" s="5">
        <v>4</v>
      </c>
      <c r="R295" s="5" t="s">
        <v>41</v>
      </c>
      <c r="S295" s="5">
        <v>5828</v>
      </c>
      <c r="T295" s="5">
        <v>8450</v>
      </c>
      <c r="U295" s="5">
        <v>1</v>
      </c>
      <c r="V295" s="5" t="s">
        <v>42</v>
      </c>
      <c r="W295" s="5" t="s">
        <v>35</v>
      </c>
      <c r="X295" s="5">
        <v>12</v>
      </c>
      <c r="Y295" s="5">
        <v>3</v>
      </c>
      <c r="Z295" s="5">
        <v>2</v>
      </c>
      <c r="AA295" s="5">
        <v>80</v>
      </c>
      <c r="AB295" s="5">
        <v>0</v>
      </c>
      <c r="AC295" s="5">
        <v>8</v>
      </c>
      <c r="AD295" s="5">
        <v>0</v>
      </c>
      <c r="AE295" s="5">
        <v>3</v>
      </c>
      <c r="AF295" s="5">
        <v>8</v>
      </c>
      <c r="AG295" s="5">
        <v>7</v>
      </c>
      <c r="AH295" s="5">
        <v>7</v>
      </c>
      <c r="AI295" s="5">
        <v>4</v>
      </c>
    </row>
    <row r="296" spans="1:35" x14ac:dyDescent="0.25">
      <c r="A296" s="5">
        <v>37</v>
      </c>
      <c r="B296" s="5" t="s">
        <v>43</v>
      </c>
      <c r="C296" s="5" t="s">
        <v>44</v>
      </c>
      <c r="D296" s="5">
        <v>889</v>
      </c>
      <c r="E296" s="5" t="s">
        <v>45</v>
      </c>
      <c r="F296" s="5">
        <v>9</v>
      </c>
      <c r="G296" s="5">
        <v>3</v>
      </c>
      <c r="H296" s="5" t="s">
        <v>51</v>
      </c>
      <c r="I296" s="5">
        <v>1</v>
      </c>
      <c r="J296" s="5">
        <v>403</v>
      </c>
      <c r="K296" s="5">
        <v>2</v>
      </c>
      <c r="L296" s="5" t="s">
        <v>46</v>
      </c>
      <c r="M296" s="5">
        <v>53</v>
      </c>
      <c r="N296" s="5">
        <v>3</v>
      </c>
      <c r="O296" s="5">
        <v>1</v>
      </c>
      <c r="P296" s="5" t="s">
        <v>47</v>
      </c>
      <c r="Q296" s="5">
        <v>4</v>
      </c>
      <c r="R296" s="5" t="s">
        <v>48</v>
      </c>
      <c r="S296" s="5">
        <v>2326</v>
      </c>
      <c r="T296" s="5">
        <v>11411</v>
      </c>
      <c r="U296" s="5">
        <v>1</v>
      </c>
      <c r="V296" s="5" t="s">
        <v>42</v>
      </c>
      <c r="W296" s="5" t="s">
        <v>35</v>
      </c>
      <c r="X296" s="5">
        <v>12</v>
      </c>
      <c r="Y296" s="5">
        <v>3</v>
      </c>
      <c r="Z296" s="5">
        <v>3</v>
      </c>
      <c r="AA296" s="5">
        <v>80</v>
      </c>
      <c r="AB296" s="5">
        <v>3</v>
      </c>
      <c r="AC296" s="5">
        <v>4</v>
      </c>
      <c r="AD296" s="5">
        <v>3</v>
      </c>
      <c r="AE296" s="5">
        <v>2</v>
      </c>
      <c r="AF296" s="5">
        <v>4</v>
      </c>
      <c r="AG296" s="5">
        <v>2</v>
      </c>
      <c r="AH296" s="5">
        <v>1</v>
      </c>
      <c r="AI296" s="5">
        <v>2</v>
      </c>
    </row>
    <row r="297" spans="1:35" x14ac:dyDescent="0.25">
      <c r="A297" s="5">
        <v>42</v>
      </c>
      <c r="B297" s="5" t="s">
        <v>43</v>
      </c>
      <c r="C297" s="5" t="s">
        <v>44</v>
      </c>
      <c r="D297" s="5">
        <v>555</v>
      </c>
      <c r="E297" s="5" t="s">
        <v>37</v>
      </c>
      <c r="F297" s="5">
        <v>26</v>
      </c>
      <c r="G297" s="5">
        <v>3</v>
      </c>
      <c r="H297" s="5" t="s">
        <v>59</v>
      </c>
      <c r="I297" s="5">
        <v>1</v>
      </c>
      <c r="J297" s="5">
        <v>404</v>
      </c>
      <c r="K297" s="5">
        <v>3</v>
      </c>
      <c r="L297" s="5" t="s">
        <v>39</v>
      </c>
      <c r="M297" s="5">
        <v>77</v>
      </c>
      <c r="N297" s="5">
        <v>3</v>
      </c>
      <c r="O297" s="5">
        <v>4</v>
      </c>
      <c r="P297" s="5" t="s">
        <v>40</v>
      </c>
      <c r="Q297" s="5">
        <v>2</v>
      </c>
      <c r="R297" s="5" t="s">
        <v>48</v>
      </c>
      <c r="S297" s="5">
        <v>13525</v>
      </c>
      <c r="T297" s="5">
        <v>14864</v>
      </c>
      <c r="U297" s="5">
        <v>5</v>
      </c>
      <c r="V297" s="5" t="s">
        <v>42</v>
      </c>
      <c r="W297" s="5" t="s">
        <v>43</v>
      </c>
      <c r="X297" s="5">
        <v>14</v>
      </c>
      <c r="Y297" s="5">
        <v>3</v>
      </c>
      <c r="Z297" s="5">
        <v>4</v>
      </c>
      <c r="AA297" s="5">
        <v>80</v>
      </c>
      <c r="AB297" s="5">
        <v>1</v>
      </c>
      <c r="AC297" s="5">
        <v>23</v>
      </c>
      <c r="AD297" s="5">
        <v>2</v>
      </c>
      <c r="AE297" s="5">
        <v>4</v>
      </c>
      <c r="AF297" s="5">
        <v>20</v>
      </c>
      <c r="AG297" s="5">
        <v>4</v>
      </c>
      <c r="AH297" s="5">
        <v>4</v>
      </c>
      <c r="AI297" s="5">
        <v>8</v>
      </c>
    </row>
    <row r="298" spans="1:35" x14ac:dyDescent="0.25">
      <c r="A298" s="5">
        <v>18</v>
      </c>
      <c r="B298" s="5" t="s">
        <v>35</v>
      </c>
      <c r="C298" s="5" t="s">
        <v>36</v>
      </c>
      <c r="D298" s="5">
        <v>230</v>
      </c>
      <c r="E298" s="5" t="s">
        <v>45</v>
      </c>
      <c r="F298" s="5">
        <v>3</v>
      </c>
      <c r="G298" s="5">
        <v>3</v>
      </c>
      <c r="H298" s="5" t="s">
        <v>38</v>
      </c>
      <c r="I298" s="5">
        <v>1</v>
      </c>
      <c r="J298" s="5">
        <v>405</v>
      </c>
      <c r="K298" s="5">
        <v>3</v>
      </c>
      <c r="L298" s="5" t="s">
        <v>46</v>
      </c>
      <c r="M298" s="5">
        <v>54</v>
      </c>
      <c r="N298" s="5">
        <v>3</v>
      </c>
      <c r="O298" s="5">
        <v>1</v>
      </c>
      <c r="P298" s="5" t="s">
        <v>50</v>
      </c>
      <c r="Q298" s="5">
        <v>3</v>
      </c>
      <c r="R298" s="5" t="s">
        <v>41</v>
      </c>
      <c r="S298" s="5">
        <v>1420</v>
      </c>
      <c r="T298" s="5">
        <v>25233</v>
      </c>
      <c r="U298" s="5">
        <v>1</v>
      </c>
      <c r="V298" s="5" t="s">
        <v>42</v>
      </c>
      <c r="W298" s="5" t="s">
        <v>43</v>
      </c>
      <c r="X298" s="5">
        <v>13</v>
      </c>
      <c r="Y298" s="5">
        <v>3</v>
      </c>
      <c r="Z298" s="5">
        <v>3</v>
      </c>
      <c r="AA298" s="5">
        <v>80</v>
      </c>
      <c r="AB298" s="5">
        <v>0</v>
      </c>
      <c r="AC298" s="5">
        <v>0</v>
      </c>
      <c r="AD298" s="5">
        <v>2</v>
      </c>
      <c r="AE298" s="5">
        <v>3</v>
      </c>
      <c r="AF298" s="5">
        <v>0</v>
      </c>
      <c r="AG298" s="5">
        <v>0</v>
      </c>
      <c r="AH298" s="5">
        <v>0</v>
      </c>
      <c r="AI298" s="5">
        <v>0</v>
      </c>
    </row>
    <row r="299" spans="1:35" x14ac:dyDescent="0.25">
      <c r="A299" s="5">
        <v>35</v>
      </c>
      <c r="B299" s="5" t="s">
        <v>43</v>
      </c>
      <c r="C299" s="5" t="s">
        <v>36</v>
      </c>
      <c r="D299" s="5">
        <v>1232</v>
      </c>
      <c r="E299" s="5" t="s">
        <v>37</v>
      </c>
      <c r="F299" s="5">
        <v>16</v>
      </c>
      <c r="G299" s="5">
        <v>3</v>
      </c>
      <c r="H299" s="5" t="s">
        <v>59</v>
      </c>
      <c r="I299" s="5">
        <v>1</v>
      </c>
      <c r="J299" s="5">
        <v>406</v>
      </c>
      <c r="K299" s="5">
        <v>3</v>
      </c>
      <c r="L299" s="5" t="s">
        <v>46</v>
      </c>
      <c r="M299" s="5">
        <v>96</v>
      </c>
      <c r="N299" s="5">
        <v>3</v>
      </c>
      <c r="O299" s="5">
        <v>3</v>
      </c>
      <c r="P299" s="5" t="s">
        <v>40</v>
      </c>
      <c r="Q299" s="5">
        <v>2</v>
      </c>
      <c r="R299" s="5" t="s">
        <v>48</v>
      </c>
      <c r="S299" s="5">
        <v>8020</v>
      </c>
      <c r="T299" s="5">
        <v>5100</v>
      </c>
      <c r="U299" s="5">
        <v>0</v>
      </c>
      <c r="V299" s="5" t="s">
        <v>42</v>
      </c>
      <c r="W299" s="5" t="s">
        <v>43</v>
      </c>
      <c r="X299" s="5">
        <v>15</v>
      </c>
      <c r="Y299" s="5">
        <v>3</v>
      </c>
      <c r="Z299" s="5">
        <v>3</v>
      </c>
      <c r="AA299" s="5">
        <v>80</v>
      </c>
      <c r="AB299" s="5">
        <v>2</v>
      </c>
      <c r="AC299" s="5">
        <v>12</v>
      </c>
      <c r="AD299" s="5">
        <v>3</v>
      </c>
      <c r="AE299" s="5">
        <v>2</v>
      </c>
      <c r="AF299" s="5">
        <v>11</v>
      </c>
      <c r="AG299" s="5">
        <v>9</v>
      </c>
      <c r="AH299" s="5">
        <v>6</v>
      </c>
      <c r="AI299" s="5">
        <v>9</v>
      </c>
    </row>
    <row r="300" spans="1:35" x14ac:dyDescent="0.25">
      <c r="A300" s="5">
        <v>36</v>
      </c>
      <c r="B300" s="5" t="s">
        <v>43</v>
      </c>
      <c r="C300" s="5" t="s">
        <v>44</v>
      </c>
      <c r="D300" s="5">
        <v>566</v>
      </c>
      <c r="E300" s="5" t="s">
        <v>45</v>
      </c>
      <c r="F300" s="5">
        <v>18</v>
      </c>
      <c r="G300" s="5">
        <v>4</v>
      </c>
      <c r="H300" s="5" t="s">
        <v>38</v>
      </c>
      <c r="I300" s="5">
        <v>1</v>
      </c>
      <c r="J300" s="5">
        <v>407</v>
      </c>
      <c r="K300" s="5">
        <v>3</v>
      </c>
      <c r="L300" s="5" t="s">
        <v>46</v>
      </c>
      <c r="M300" s="5">
        <v>81</v>
      </c>
      <c r="N300" s="5">
        <v>4</v>
      </c>
      <c r="O300" s="5">
        <v>1</v>
      </c>
      <c r="P300" s="5" t="s">
        <v>50</v>
      </c>
      <c r="Q300" s="5">
        <v>4</v>
      </c>
      <c r="R300" s="5" t="s">
        <v>48</v>
      </c>
      <c r="S300" s="5">
        <v>3688</v>
      </c>
      <c r="T300" s="5">
        <v>7122</v>
      </c>
      <c r="U300" s="5">
        <v>4</v>
      </c>
      <c r="V300" s="5" t="s">
        <v>42</v>
      </c>
      <c r="W300" s="5" t="s">
        <v>43</v>
      </c>
      <c r="X300" s="5">
        <v>18</v>
      </c>
      <c r="Y300" s="5">
        <v>3</v>
      </c>
      <c r="Z300" s="5">
        <v>4</v>
      </c>
      <c r="AA300" s="5">
        <v>80</v>
      </c>
      <c r="AB300" s="5">
        <v>2</v>
      </c>
      <c r="AC300" s="5">
        <v>4</v>
      </c>
      <c r="AD300" s="5">
        <v>2</v>
      </c>
      <c r="AE300" s="5">
        <v>3</v>
      </c>
      <c r="AF300" s="5">
        <v>1</v>
      </c>
      <c r="AG300" s="5">
        <v>0</v>
      </c>
      <c r="AH300" s="5">
        <v>0</v>
      </c>
      <c r="AI300" s="5">
        <v>0</v>
      </c>
    </row>
    <row r="301" spans="1:35" x14ac:dyDescent="0.25">
      <c r="A301" s="5">
        <v>51</v>
      </c>
      <c r="B301" s="5" t="s">
        <v>43</v>
      </c>
      <c r="C301" s="5" t="s">
        <v>36</v>
      </c>
      <c r="D301" s="5">
        <v>1302</v>
      </c>
      <c r="E301" s="5" t="s">
        <v>45</v>
      </c>
      <c r="F301" s="5">
        <v>2</v>
      </c>
      <c r="G301" s="5">
        <v>3</v>
      </c>
      <c r="H301" s="5" t="s">
        <v>51</v>
      </c>
      <c r="I301" s="5">
        <v>1</v>
      </c>
      <c r="J301" s="5">
        <v>408</v>
      </c>
      <c r="K301" s="5">
        <v>4</v>
      </c>
      <c r="L301" s="5" t="s">
        <v>46</v>
      </c>
      <c r="M301" s="5">
        <v>84</v>
      </c>
      <c r="N301" s="5">
        <v>1</v>
      </c>
      <c r="O301" s="5">
        <v>2</v>
      </c>
      <c r="P301" s="5" t="s">
        <v>53</v>
      </c>
      <c r="Q301" s="5">
        <v>2</v>
      </c>
      <c r="R301" s="5" t="s">
        <v>52</v>
      </c>
      <c r="S301" s="5">
        <v>5482</v>
      </c>
      <c r="T301" s="5">
        <v>16321</v>
      </c>
      <c r="U301" s="5">
        <v>5</v>
      </c>
      <c r="V301" s="5" t="s">
        <v>42</v>
      </c>
      <c r="W301" s="5" t="s">
        <v>43</v>
      </c>
      <c r="X301" s="5">
        <v>18</v>
      </c>
      <c r="Y301" s="5">
        <v>3</v>
      </c>
      <c r="Z301" s="5">
        <v>4</v>
      </c>
      <c r="AA301" s="5">
        <v>80</v>
      </c>
      <c r="AB301" s="5">
        <v>1</v>
      </c>
      <c r="AC301" s="5">
        <v>13</v>
      </c>
      <c r="AD301" s="5">
        <v>3</v>
      </c>
      <c r="AE301" s="5">
        <v>3</v>
      </c>
      <c r="AF301" s="5">
        <v>4</v>
      </c>
      <c r="AG301" s="5">
        <v>1</v>
      </c>
      <c r="AH301" s="5">
        <v>1</v>
      </c>
      <c r="AI301" s="5">
        <v>2</v>
      </c>
    </row>
    <row r="302" spans="1:35" x14ac:dyDescent="0.25">
      <c r="A302" s="5">
        <v>41</v>
      </c>
      <c r="B302" s="5" t="s">
        <v>43</v>
      </c>
      <c r="C302" s="5" t="s">
        <v>36</v>
      </c>
      <c r="D302" s="5">
        <v>334</v>
      </c>
      <c r="E302" s="5" t="s">
        <v>37</v>
      </c>
      <c r="F302" s="5">
        <v>2</v>
      </c>
      <c r="G302" s="5">
        <v>4</v>
      </c>
      <c r="H302" s="5" t="s">
        <v>38</v>
      </c>
      <c r="I302" s="5">
        <v>1</v>
      </c>
      <c r="J302" s="5">
        <v>410</v>
      </c>
      <c r="K302" s="5">
        <v>4</v>
      </c>
      <c r="L302" s="5" t="s">
        <v>46</v>
      </c>
      <c r="M302" s="5">
        <v>88</v>
      </c>
      <c r="N302" s="5">
        <v>3</v>
      </c>
      <c r="O302" s="5">
        <v>4</v>
      </c>
      <c r="P302" s="5" t="s">
        <v>56</v>
      </c>
      <c r="Q302" s="5">
        <v>2</v>
      </c>
      <c r="R302" s="5" t="s">
        <v>41</v>
      </c>
      <c r="S302" s="5">
        <v>16015</v>
      </c>
      <c r="T302" s="5">
        <v>15896</v>
      </c>
      <c r="U302" s="5">
        <v>1</v>
      </c>
      <c r="V302" s="5" t="s">
        <v>42</v>
      </c>
      <c r="W302" s="5" t="s">
        <v>43</v>
      </c>
      <c r="X302" s="5">
        <v>19</v>
      </c>
      <c r="Y302" s="5">
        <v>3</v>
      </c>
      <c r="Z302" s="5">
        <v>2</v>
      </c>
      <c r="AA302" s="5">
        <v>80</v>
      </c>
      <c r="AB302" s="5">
        <v>0</v>
      </c>
      <c r="AC302" s="5">
        <v>22</v>
      </c>
      <c r="AD302" s="5">
        <v>2</v>
      </c>
      <c r="AE302" s="5">
        <v>3</v>
      </c>
      <c r="AF302" s="5">
        <v>22</v>
      </c>
      <c r="AG302" s="5">
        <v>10</v>
      </c>
      <c r="AH302" s="5">
        <v>0</v>
      </c>
      <c r="AI302" s="5">
        <v>4</v>
      </c>
    </row>
    <row r="303" spans="1:35" x14ac:dyDescent="0.25">
      <c r="A303" s="5">
        <v>18</v>
      </c>
      <c r="B303" s="5" t="s">
        <v>43</v>
      </c>
      <c r="C303" s="5" t="s">
        <v>36</v>
      </c>
      <c r="D303" s="5">
        <v>812</v>
      </c>
      <c r="E303" s="5" t="s">
        <v>37</v>
      </c>
      <c r="F303" s="5">
        <v>10</v>
      </c>
      <c r="G303" s="5">
        <v>3</v>
      </c>
      <c r="H303" s="5" t="s">
        <v>51</v>
      </c>
      <c r="I303" s="5">
        <v>1</v>
      </c>
      <c r="J303" s="5">
        <v>411</v>
      </c>
      <c r="K303" s="5">
        <v>4</v>
      </c>
      <c r="L303" s="5" t="s">
        <v>39</v>
      </c>
      <c r="M303" s="5">
        <v>69</v>
      </c>
      <c r="N303" s="5">
        <v>2</v>
      </c>
      <c r="O303" s="5">
        <v>1</v>
      </c>
      <c r="P303" s="5" t="s">
        <v>57</v>
      </c>
      <c r="Q303" s="5">
        <v>3</v>
      </c>
      <c r="R303" s="5" t="s">
        <v>41</v>
      </c>
      <c r="S303" s="5">
        <v>1200</v>
      </c>
      <c r="T303" s="5">
        <v>9724</v>
      </c>
      <c r="U303" s="5">
        <v>1</v>
      </c>
      <c r="V303" s="5" t="s">
        <v>42</v>
      </c>
      <c r="W303" s="5" t="s">
        <v>43</v>
      </c>
      <c r="X303" s="5">
        <v>12</v>
      </c>
      <c r="Y303" s="5">
        <v>3</v>
      </c>
      <c r="Z303" s="5">
        <v>1</v>
      </c>
      <c r="AA303" s="5">
        <v>80</v>
      </c>
      <c r="AB303" s="5">
        <v>0</v>
      </c>
      <c r="AC303" s="5">
        <v>0</v>
      </c>
      <c r="AD303" s="5">
        <v>2</v>
      </c>
      <c r="AE303" s="5">
        <v>3</v>
      </c>
      <c r="AF303" s="5">
        <v>0</v>
      </c>
      <c r="AG303" s="5">
        <v>0</v>
      </c>
      <c r="AH303" s="5">
        <v>0</v>
      </c>
      <c r="AI303" s="5">
        <v>0</v>
      </c>
    </row>
    <row r="304" spans="1:35" x14ac:dyDescent="0.25">
      <c r="A304" s="5">
        <v>28</v>
      </c>
      <c r="B304" s="5" t="s">
        <v>43</v>
      </c>
      <c r="C304" s="5" t="s">
        <v>36</v>
      </c>
      <c r="D304" s="5">
        <v>1476</v>
      </c>
      <c r="E304" s="5" t="s">
        <v>45</v>
      </c>
      <c r="F304" s="5">
        <v>16</v>
      </c>
      <c r="G304" s="5">
        <v>2</v>
      </c>
      <c r="H304" s="5" t="s">
        <v>51</v>
      </c>
      <c r="I304" s="5">
        <v>1</v>
      </c>
      <c r="J304" s="5">
        <v>412</v>
      </c>
      <c r="K304" s="5">
        <v>2</v>
      </c>
      <c r="L304" s="5" t="s">
        <v>46</v>
      </c>
      <c r="M304" s="5">
        <v>68</v>
      </c>
      <c r="N304" s="5">
        <v>4</v>
      </c>
      <c r="O304" s="5">
        <v>2</v>
      </c>
      <c r="P304" s="5" t="s">
        <v>54</v>
      </c>
      <c r="Q304" s="5">
        <v>1</v>
      </c>
      <c r="R304" s="5" t="s">
        <v>41</v>
      </c>
      <c r="S304" s="5">
        <v>5661</v>
      </c>
      <c r="T304" s="5">
        <v>4824</v>
      </c>
      <c r="U304" s="5">
        <v>0</v>
      </c>
      <c r="V304" s="5" t="s">
        <v>42</v>
      </c>
      <c r="W304" s="5" t="s">
        <v>43</v>
      </c>
      <c r="X304" s="5">
        <v>19</v>
      </c>
      <c r="Y304" s="5">
        <v>3</v>
      </c>
      <c r="Z304" s="5">
        <v>3</v>
      </c>
      <c r="AA304" s="5">
        <v>80</v>
      </c>
      <c r="AB304" s="5">
        <v>0</v>
      </c>
      <c r="AC304" s="5">
        <v>9</v>
      </c>
      <c r="AD304" s="5">
        <v>2</v>
      </c>
      <c r="AE304" s="5">
        <v>3</v>
      </c>
      <c r="AF304" s="5">
        <v>8</v>
      </c>
      <c r="AG304" s="5">
        <v>3</v>
      </c>
      <c r="AH304" s="5">
        <v>0</v>
      </c>
      <c r="AI304" s="5">
        <v>7</v>
      </c>
    </row>
    <row r="305" spans="1:35" x14ac:dyDescent="0.25">
      <c r="A305" s="5">
        <v>31</v>
      </c>
      <c r="B305" s="5" t="s">
        <v>43</v>
      </c>
      <c r="C305" s="5" t="s">
        <v>36</v>
      </c>
      <c r="D305" s="5">
        <v>218</v>
      </c>
      <c r="E305" s="5" t="s">
        <v>37</v>
      </c>
      <c r="F305" s="5">
        <v>7</v>
      </c>
      <c r="G305" s="5">
        <v>3</v>
      </c>
      <c r="H305" s="5" t="s">
        <v>60</v>
      </c>
      <c r="I305" s="5">
        <v>1</v>
      </c>
      <c r="J305" s="5">
        <v>416</v>
      </c>
      <c r="K305" s="5">
        <v>2</v>
      </c>
      <c r="L305" s="5" t="s">
        <v>46</v>
      </c>
      <c r="M305" s="5">
        <v>100</v>
      </c>
      <c r="N305" s="5">
        <v>4</v>
      </c>
      <c r="O305" s="5">
        <v>2</v>
      </c>
      <c r="P305" s="5" t="s">
        <v>40</v>
      </c>
      <c r="Q305" s="5">
        <v>4</v>
      </c>
      <c r="R305" s="5" t="s">
        <v>48</v>
      </c>
      <c r="S305" s="5">
        <v>6929</v>
      </c>
      <c r="T305" s="5">
        <v>12241</v>
      </c>
      <c r="U305" s="5">
        <v>4</v>
      </c>
      <c r="V305" s="5" t="s">
        <v>42</v>
      </c>
      <c r="W305" s="5" t="s">
        <v>43</v>
      </c>
      <c r="X305" s="5">
        <v>11</v>
      </c>
      <c r="Y305" s="5">
        <v>3</v>
      </c>
      <c r="Z305" s="5">
        <v>2</v>
      </c>
      <c r="AA305" s="5">
        <v>80</v>
      </c>
      <c r="AB305" s="5">
        <v>1</v>
      </c>
      <c r="AC305" s="5">
        <v>10</v>
      </c>
      <c r="AD305" s="5">
        <v>3</v>
      </c>
      <c r="AE305" s="5">
        <v>2</v>
      </c>
      <c r="AF305" s="5">
        <v>8</v>
      </c>
      <c r="AG305" s="5">
        <v>7</v>
      </c>
      <c r="AH305" s="5">
        <v>7</v>
      </c>
      <c r="AI305" s="5">
        <v>7</v>
      </c>
    </row>
    <row r="306" spans="1:35" x14ac:dyDescent="0.25">
      <c r="A306" s="5">
        <v>39</v>
      </c>
      <c r="B306" s="5" t="s">
        <v>43</v>
      </c>
      <c r="C306" s="5" t="s">
        <v>36</v>
      </c>
      <c r="D306" s="5">
        <v>1132</v>
      </c>
      <c r="E306" s="5" t="s">
        <v>45</v>
      </c>
      <c r="F306" s="5">
        <v>1</v>
      </c>
      <c r="G306" s="5">
        <v>3</v>
      </c>
      <c r="H306" s="5" t="s">
        <v>51</v>
      </c>
      <c r="I306" s="5">
        <v>1</v>
      </c>
      <c r="J306" s="5">
        <v>417</v>
      </c>
      <c r="K306" s="5">
        <v>3</v>
      </c>
      <c r="L306" s="5" t="s">
        <v>46</v>
      </c>
      <c r="M306" s="5">
        <v>48</v>
      </c>
      <c r="N306" s="5">
        <v>4</v>
      </c>
      <c r="O306" s="5">
        <v>3</v>
      </c>
      <c r="P306" s="5" t="s">
        <v>54</v>
      </c>
      <c r="Q306" s="5">
        <v>4</v>
      </c>
      <c r="R306" s="5" t="s">
        <v>52</v>
      </c>
      <c r="S306" s="5">
        <v>9613</v>
      </c>
      <c r="T306" s="5">
        <v>10942</v>
      </c>
      <c r="U306" s="5">
        <v>0</v>
      </c>
      <c r="V306" s="5" t="s">
        <v>42</v>
      </c>
      <c r="W306" s="5" t="s">
        <v>43</v>
      </c>
      <c r="X306" s="5">
        <v>17</v>
      </c>
      <c r="Y306" s="5">
        <v>3</v>
      </c>
      <c r="Z306" s="5">
        <v>1</v>
      </c>
      <c r="AA306" s="5">
        <v>80</v>
      </c>
      <c r="AB306" s="5">
        <v>3</v>
      </c>
      <c r="AC306" s="5">
        <v>19</v>
      </c>
      <c r="AD306" s="5">
        <v>5</v>
      </c>
      <c r="AE306" s="5">
        <v>2</v>
      </c>
      <c r="AF306" s="5">
        <v>18</v>
      </c>
      <c r="AG306" s="5">
        <v>10</v>
      </c>
      <c r="AH306" s="5">
        <v>3</v>
      </c>
      <c r="AI306" s="5">
        <v>7</v>
      </c>
    </row>
    <row r="307" spans="1:35" x14ac:dyDescent="0.25">
      <c r="A307" s="5">
        <v>36</v>
      </c>
      <c r="B307" s="5" t="s">
        <v>43</v>
      </c>
      <c r="C307" s="5" t="s">
        <v>55</v>
      </c>
      <c r="D307" s="5">
        <v>1105</v>
      </c>
      <c r="E307" s="5" t="s">
        <v>45</v>
      </c>
      <c r="F307" s="5">
        <v>24</v>
      </c>
      <c r="G307" s="5">
        <v>4</v>
      </c>
      <c r="H307" s="5" t="s">
        <v>38</v>
      </c>
      <c r="I307" s="5">
        <v>1</v>
      </c>
      <c r="J307" s="5">
        <v>419</v>
      </c>
      <c r="K307" s="5">
        <v>2</v>
      </c>
      <c r="L307" s="5" t="s">
        <v>39</v>
      </c>
      <c r="M307" s="5">
        <v>47</v>
      </c>
      <c r="N307" s="5">
        <v>3</v>
      </c>
      <c r="O307" s="5">
        <v>2</v>
      </c>
      <c r="P307" s="5" t="s">
        <v>50</v>
      </c>
      <c r="Q307" s="5">
        <v>2</v>
      </c>
      <c r="R307" s="5" t="s">
        <v>48</v>
      </c>
      <c r="S307" s="5">
        <v>5674</v>
      </c>
      <c r="T307" s="5">
        <v>6927</v>
      </c>
      <c r="U307" s="5">
        <v>7</v>
      </c>
      <c r="V307" s="5" t="s">
        <v>42</v>
      </c>
      <c r="W307" s="5" t="s">
        <v>43</v>
      </c>
      <c r="X307" s="5">
        <v>15</v>
      </c>
      <c r="Y307" s="5">
        <v>3</v>
      </c>
      <c r="Z307" s="5">
        <v>3</v>
      </c>
      <c r="AA307" s="5">
        <v>80</v>
      </c>
      <c r="AB307" s="5">
        <v>1</v>
      </c>
      <c r="AC307" s="5">
        <v>11</v>
      </c>
      <c r="AD307" s="5">
        <v>3</v>
      </c>
      <c r="AE307" s="5">
        <v>3</v>
      </c>
      <c r="AF307" s="5">
        <v>9</v>
      </c>
      <c r="AG307" s="5">
        <v>8</v>
      </c>
      <c r="AH307" s="5">
        <v>0</v>
      </c>
      <c r="AI307" s="5">
        <v>8</v>
      </c>
    </row>
    <row r="308" spans="1:35" x14ac:dyDescent="0.25">
      <c r="A308" s="5">
        <v>32</v>
      </c>
      <c r="B308" s="5" t="s">
        <v>43</v>
      </c>
      <c r="C308" s="5" t="s">
        <v>36</v>
      </c>
      <c r="D308" s="5">
        <v>906</v>
      </c>
      <c r="E308" s="5" t="s">
        <v>37</v>
      </c>
      <c r="F308" s="5">
        <v>7</v>
      </c>
      <c r="G308" s="5">
        <v>3</v>
      </c>
      <c r="H308" s="5" t="s">
        <v>38</v>
      </c>
      <c r="I308" s="5">
        <v>1</v>
      </c>
      <c r="J308" s="5">
        <v>420</v>
      </c>
      <c r="K308" s="5">
        <v>4</v>
      </c>
      <c r="L308" s="5" t="s">
        <v>46</v>
      </c>
      <c r="M308" s="5">
        <v>91</v>
      </c>
      <c r="N308" s="5">
        <v>2</v>
      </c>
      <c r="O308" s="5">
        <v>2</v>
      </c>
      <c r="P308" s="5" t="s">
        <v>40</v>
      </c>
      <c r="Q308" s="5">
        <v>3</v>
      </c>
      <c r="R308" s="5" t="s">
        <v>48</v>
      </c>
      <c r="S308" s="5">
        <v>5484</v>
      </c>
      <c r="T308" s="5">
        <v>16985</v>
      </c>
      <c r="U308" s="5">
        <v>1</v>
      </c>
      <c r="V308" s="5" t="s">
        <v>42</v>
      </c>
      <c r="W308" s="5" t="s">
        <v>43</v>
      </c>
      <c r="X308" s="5">
        <v>14</v>
      </c>
      <c r="Y308" s="5">
        <v>3</v>
      </c>
      <c r="Z308" s="5">
        <v>3</v>
      </c>
      <c r="AA308" s="5">
        <v>80</v>
      </c>
      <c r="AB308" s="5">
        <v>1</v>
      </c>
      <c r="AC308" s="5">
        <v>13</v>
      </c>
      <c r="AD308" s="5">
        <v>3</v>
      </c>
      <c r="AE308" s="5">
        <v>2</v>
      </c>
      <c r="AF308" s="5">
        <v>13</v>
      </c>
      <c r="AG308" s="5">
        <v>8</v>
      </c>
      <c r="AH308" s="5">
        <v>4</v>
      </c>
      <c r="AI308" s="5">
        <v>8</v>
      </c>
    </row>
    <row r="309" spans="1:35" x14ac:dyDescent="0.25">
      <c r="A309" s="5">
        <v>38</v>
      </c>
      <c r="B309" s="5" t="s">
        <v>43</v>
      </c>
      <c r="C309" s="5" t="s">
        <v>36</v>
      </c>
      <c r="D309" s="5">
        <v>849</v>
      </c>
      <c r="E309" s="5" t="s">
        <v>45</v>
      </c>
      <c r="F309" s="5">
        <v>25</v>
      </c>
      <c r="G309" s="5">
        <v>2</v>
      </c>
      <c r="H309" s="5" t="s">
        <v>38</v>
      </c>
      <c r="I309" s="5">
        <v>1</v>
      </c>
      <c r="J309" s="5">
        <v>421</v>
      </c>
      <c r="K309" s="5">
        <v>1</v>
      </c>
      <c r="L309" s="5" t="s">
        <v>39</v>
      </c>
      <c r="M309" s="5">
        <v>81</v>
      </c>
      <c r="N309" s="5">
        <v>2</v>
      </c>
      <c r="O309" s="5">
        <v>3</v>
      </c>
      <c r="P309" s="5" t="s">
        <v>58</v>
      </c>
      <c r="Q309" s="5">
        <v>2</v>
      </c>
      <c r="R309" s="5" t="s">
        <v>48</v>
      </c>
      <c r="S309" s="5">
        <v>12061</v>
      </c>
      <c r="T309" s="5">
        <v>26707</v>
      </c>
      <c r="U309" s="5">
        <v>3</v>
      </c>
      <c r="V309" s="5" t="s">
        <v>42</v>
      </c>
      <c r="W309" s="5" t="s">
        <v>43</v>
      </c>
      <c r="X309" s="5">
        <v>17</v>
      </c>
      <c r="Y309" s="5">
        <v>3</v>
      </c>
      <c r="Z309" s="5">
        <v>3</v>
      </c>
      <c r="AA309" s="5">
        <v>80</v>
      </c>
      <c r="AB309" s="5">
        <v>1</v>
      </c>
      <c r="AC309" s="5">
        <v>19</v>
      </c>
      <c r="AD309" s="5">
        <v>2</v>
      </c>
      <c r="AE309" s="5">
        <v>3</v>
      </c>
      <c r="AF309" s="5">
        <v>10</v>
      </c>
      <c r="AG309" s="5">
        <v>8</v>
      </c>
      <c r="AH309" s="5">
        <v>0</v>
      </c>
      <c r="AI309" s="5">
        <v>1</v>
      </c>
    </row>
    <row r="310" spans="1:35" x14ac:dyDescent="0.25">
      <c r="A310" s="5">
        <v>58</v>
      </c>
      <c r="B310" s="5" t="s">
        <v>43</v>
      </c>
      <c r="C310" s="5" t="s">
        <v>55</v>
      </c>
      <c r="D310" s="5">
        <v>390</v>
      </c>
      <c r="E310" s="5" t="s">
        <v>45</v>
      </c>
      <c r="F310" s="5">
        <v>1</v>
      </c>
      <c r="G310" s="5">
        <v>4</v>
      </c>
      <c r="H310" s="5" t="s">
        <v>38</v>
      </c>
      <c r="I310" s="5">
        <v>1</v>
      </c>
      <c r="J310" s="5">
        <v>422</v>
      </c>
      <c r="K310" s="5">
        <v>4</v>
      </c>
      <c r="L310" s="5" t="s">
        <v>46</v>
      </c>
      <c r="M310" s="5">
        <v>32</v>
      </c>
      <c r="N310" s="5">
        <v>1</v>
      </c>
      <c r="O310" s="5">
        <v>2</v>
      </c>
      <c r="P310" s="5" t="s">
        <v>54</v>
      </c>
      <c r="Q310" s="5">
        <v>3</v>
      </c>
      <c r="R310" s="5" t="s">
        <v>52</v>
      </c>
      <c r="S310" s="5">
        <v>5660</v>
      </c>
      <c r="T310" s="5">
        <v>17056</v>
      </c>
      <c r="U310" s="5">
        <v>2</v>
      </c>
      <c r="V310" s="5" t="s">
        <v>42</v>
      </c>
      <c r="W310" s="5" t="s">
        <v>35</v>
      </c>
      <c r="X310" s="5">
        <v>13</v>
      </c>
      <c r="Y310" s="5">
        <v>3</v>
      </c>
      <c r="Z310" s="5">
        <v>4</v>
      </c>
      <c r="AA310" s="5">
        <v>80</v>
      </c>
      <c r="AB310" s="5">
        <v>1</v>
      </c>
      <c r="AC310" s="5">
        <v>12</v>
      </c>
      <c r="AD310" s="5">
        <v>2</v>
      </c>
      <c r="AE310" s="5">
        <v>3</v>
      </c>
      <c r="AF310" s="5">
        <v>5</v>
      </c>
      <c r="AG310" s="5">
        <v>3</v>
      </c>
      <c r="AH310" s="5">
        <v>1</v>
      </c>
      <c r="AI310" s="5">
        <v>2</v>
      </c>
    </row>
    <row r="311" spans="1:35" x14ac:dyDescent="0.25">
      <c r="A311" s="5">
        <v>31</v>
      </c>
      <c r="B311" s="5" t="s">
        <v>43</v>
      </c>
      <c r="C311" s="5" t="s">
        <v>36</v>
      </c>
      <c r="D311" s="5">
        <v>691</v>
      </c>
      <c r="E311" s="5" t="s">
        <v>45</v>
      </c>
      <c r="F311" s="5">
        <v>5</v>
      </c>
      <c r="G311" s="5">
        <v>4</v>
      </c>
      <c r="H311" s="5" t="s">
        <v>60</v>
      </c>
      <c r="I311" s="5">
        <v>1</v>
      </c>
      <c r="J311" s="5">
        <v>423</v>
      </c>
      <c r="K311" s="5">
        <v>3</v>
      </c>
      <c r="L311" s="5" t="s">
        <v>46</v>
      </c>
      <c r="M311" s="5">
        <v>86</v>
      </c>
      <c r="N311" s="5">
        <v>3</v>
      </c>
      <c r="O311" s="5">
        <v>1</v>
      </c>
      <c r="P311" s="5" t="s">
        <v>47</v>
      </c>
      <c r="Q311" s="5">
        <v>4</v>
      </c>
      <c r="R311" s="5" t="s">
        <v>48</v>
      </c>
      <c r="S311" s="5">
        <v>4821</v>
      </c>
      <c r="T311" s="5">
        <v>10077</v>
      </c>
      <c r="U311" s="5">
        <v>0</v>
      </c>
      <c r="V311" s="5" t="s">
        <v>42</v>
      </c>
      <c r="W311" s="5" t="s">
        <v>35</v>
      </c>
      <c r="X311" s="5">
        <v>12</v>
      </c>
      <c r="Y311" s="5">
        <v>3</v>
      </c>
      <c r="Z311" s="5">
        <v>3</v>
      </c>
      <c r="AA311" s="5">
        <v>80</v>
      </c>
      <c r="AB311" s="5">
        <v>1</v>
      </c>
      <c r="AC311" s="5">
        <v>6</v>
      </c>
      <c r="AD311" s="5">
        <v>4</v>
      </c>
      <c r="AE311" s="5">
        <v>3</v>
      </c>
      <c r="AF311" s="5">
        <v>5</v>
      </c>
      <c r="AG311" s="5">
        <v>2</v>
      </c>
      <c r="AH311" s="5">
        <v>0</v>
      </c>
      <c r="AI311" s="5">
        <v>3</v>
      </c>
    </row>
    <row r="312" spans="1:35" x14ac:dyDescent="0.25">
      <c r="A312" s="5">
        <v>31</v>
      </c>
      <c r="B312" s="5" t="s">
        <v>43</v>
      </c>
      <c r="C312" s="5" t="s">
        <v>36</v>
      </c>
      <c r="D312" s="5">
        <v>106</v>
      </c>
      <c r="E312" s="5" t="s">
        <v>61</v>
      </c>
      <c r="F312" s="5">
        <v>2</v>
      </c>
      <c r="G312" s="5">
        <v>3</v>
      </c>
      <c r="H312" s="5" t="s">
        <v>61</v>
      </c>
      <c r="I312" s="5">
        <v>1</v>
      </c>
      <c r="J312" s="5">
        <v>424</v>
      </c>
      <c r="K312" s="5">
        <v>1</v>
      </c>
      <c r="L312" s="5" t="s">
        <v>46</v>
      </c>
      <c r="M312" s="5">
        <v>62</v>
      </c>
      <c r="N312" s="5">
        <v>2</v>
      </c>
      <c r="O312" s="5">
        <v>2</v>
      </c>
      <c r="P312" s="5" t="s">
        <v>61</v>
      </c>
      <c r="Q312" s="5">
        <v>1</v>
      </c>
      <c r="R312" s="5" t="s">
        <v>48</v>
      </c>
      <c r="S312" s="5">
        <v>6410</v>
      </c>
      <c r="T312" s="5">
        <v>17822</v>
      </c>
      <c r="U312" s="5">
        <v>3</v>
      </c>
      <c r="V312" s="5" t="s">
        <v>42</v>
      </c>
      <c r="W312" s="5" t="s">
        <v>43</v>
      </c>
      <c r="X312" s="5">
        <v>12</v>
      </c>
      <c r="Y312" s="5">
        <v>3</v>
      </c>
      <c r="Z312" s="5">
        <v>4</v>
      </c>
      <c r="AA312" s="5">
        <v>80</v>
      </c>
      <c r="AB312" s="5">
        <v>0</v>
      </c>
      <c r="AC312" s="5">
        <v>9</v>
      </c>
      <c r="AD312" s="5">
        <v>1</v>
      </c>
      <c r="AE312" s="5">
        <v>3</v>
      </c>
      <c r="AF312" s="5">
        <v>2</v>
      </c>
      <c r="AG312" s="5">
        <v>2</v>
      </c>
      <c r="AH312" s="5">
        <v>1</v>
      </c>
      <c r="AI312" s="5">
        <v>0</v>
      </c>
    </row>
    <row r="313" spans="1:35" x14ac:dyDescent="0.25">
      <c r="A313" s="5">
        <v>45</v>
      </c>
      <c r="B313" s="5" t="s">
        <v>43</v>
      </c>
      <c r="C313" s="5" t="s">
        <v>44</v>
      </c>
      <c r="D313" s="5">
        <v>1249</v>
      </c>
      <c r="E313" s="5" t="s">
        <v>45</v>
      </c>
      <c r="F313" s="5">
        <v>7</v>
      </c>
      <c r="G313" s="5">
        <v>3</v>
      </c>
      <c r="H313" s="5" t="s">
        <v>38</v>
      </c>
      <c r="I313" s="5">
        <v>1</v>
      </c>
      <c r="J313" s="5">
        <v>425</v>
      </c>
      <c r="K313" s="5">
        <v>1</v>
      </c>
      <c r="L313" s="5" t="s">
        <v>46</v>
      </c>
      <c r="M313" s="5">
        <v>97</v>
      </c>
      <c r="N313" s="5">
        <v>3</v>
      </c>
      <c r="O313" s="5">
        <v>3</v>
      </c>
      <c r="P313" s="5" t="s">
        <v>50</v>
      </c>
      <c r="Q313" s="5">
        <v>1</v>
      </c>
      <c r="R313" s="5" t="s">
        <v>52</v>
      </c>
      <c r="S313" s="5">
        <v>5210</v>
      </c>
      <c r="T313" s="5">
        <v>20308</v>
      </c>
      <c r="U313" s="5">
        <v>1</v>
      </c>
      <c r="V313" s="5" t="s">
        <v>42</v>
      </c>
      <c r="W313" s="5" t="s">
        <v>43</v>
      </c>
      <c r="X313" s="5">
        <v>18</v>
      </c>
      <c r="Y313" s="5">
        <v>3</v>
      </c>
      <c r="Z313" s="5">
        <v>1</v>
      </c>
      <c r="AA313" s="5">
        <v>80</v>
      </c>
      <c r="AB313" s="5">
        <v>1</v>
      </c>
      <c r="AC313" s="5">
        <v>24</v>
      </c>
      <c r="AD313" s="5">
        <v>2</v>
      </c>
      <c r="AE313" s="5">
        <v>3</v>
      </c>
      <c r="AF313" s="5">
        <v>24</v>
      </c>
      <c r="AG313" s="5">
        <v>9</v>
      </c>
      <c r="AH313" s="5">
        <v>9</v>
      </c>
      <c r="AI313" s="5">
        <v>11</v>
      </c>
    </row>
    <row r="314" spans="1:35" x14ac:dyDescent="0.25">
      <c r="A314" s="5">
        <v>31</v>
      </c>
      <c r="B314" s="5" t="s">
        <v>43</v>
      </c>
      <c r="C314" s="5" t="s">
        <v>36</v>
      </c>
      <c r="D314" s="5">
        <v>192</v>
      </c>
      <c r="E314" s="5" t="s">
        <v>45</v>
      </c>
      <c r="F314" s="5">
        <v>2</v>
      </c>
      <c r="G314" s="5">
        <v>4</v>
      </c>
      <c r="H314" s="5" t="s">
        <v>38</v>
      </c>
      <c r="I314" s="5">
        <v>1</v>
      </c>
      <c r="J314" s="5">
        <v>426</v>
      </c>
      <c r="K314" s="5">
        <v>3</v>
      </c>
      <c r="L314" s="5" t="s">
        <v>46</v>
      </c>
      <c r="M314" s="5">
        <v>32</v>
      </c>
      <c r="N314" s="5">
        <v>3</v>
      </c>
      <c r="O314" s="5">
        <v>1</v>
      </c>
      <c r="P314" s="5" t="s">
        <v>47</v>
      </c>
      <c r="Q314" s="5">
        <v>4</v>
      </c>
      <c r="R314" s="5" t="s">
        <v>52</v>
      </c>
      <c r="S314" s="5">
        <v>2695</v>
      </c>
      <c r="T314" s="5">
        <v>7747</v>
      </c>
      <c r="U314" s="5">
        <v>0</v>
      </c>
      <c r="V314" s="5" t="s">
        <v>42</v>
      </c>
      <c r="W314" s="5" t="s">
        <v>35</v>
      </c>
      <c r="X314" s="5">
        <v>18</v>
      </c>
      <c r="Y314" s="5">
        <v>3</v>
      </c>
      <c r="Z314" s="5">
        <v>2</v>
      </c>
      <c r="AA314" s="5">
        <v>80</v>
      </c>
      <c r="AB314" s="5">
        <v>1</v>
      </c>
      <c r="AC314" s="5">
        <v>3</v>
      </c>
      <c r="AD314" s="5">
        <v>2</v>
      </c>
      <c r="AE314" s="5">
        <v>1</v>
      </c>
      <c r="AF314" s="5">
        <v>2</v>
      </c>
      <c r="AG314" s="5">
        <v>2</v>
      </c>
      <c r="AH314" s="5">
        <v>2</v>
      </c>
      <c r="AI314" s="5">
        <v>2</v>
      </c>
    </row>
    <row r="315" spans="1:35" x14ac:dyDescent="0.25">
      <c r="A315" s="5">
        <v>33</v>
      </c>
      <c r="B315" s="5" t="s">
        <v>43</v>
      </c>
      <c r="C315" s="5" t="s">
        <v>44</v>
      </c>
      <c r="D315" s="5">
        <v>553</v>
      </c>
      <c r="E315" s="5" t="s">
        <v>45</v>
      </c>
      <c r="F315" s="5">
        <v>5</v>
      </c>
      <c r="G315" s="5">
        <v>4</v>
      </c>
      <c r="H315" s="5" t="s">
        <v>38</v>
      </c>
      <c r="I315" s="5">
        <v>1</v>
      </c>
      <c r="J315" s="5">
        <v>428</v>
      </c>
      <c r="K315" s="5">
        <v>4</v>
      </c>
      <c r="L315" s="5" t="s">
        <v>39</v>
      </c>
      <c r="M315" s="5">
        <v>74</v>
      </c>
      <c r="N315" s="5">
        <v>3</v>
      </c>
      <c r="O315" s="5">
        <v>3</v>
      </c>
      <c r="P315" s="5" t="s">
        <v>56</v>
      </c>
      <c r="Q315" s="5">
        <v>2</v>
      </c>
      <c r="R315" s="5" t="s">
        <v>48</v>
      </c>
      <c r="S315" s="5">
        <v>11878</v>
      </c>
      <c r="T315" s="5">
        <v>23364</v>
      </c>
      <c r="U315" s="5">
        <v>6</v>
      </c>
      <c r="V315" s="5" t="s">
        <v>42</v>
      </c>
      <c r="W315" s="5" t="s">
        <v>43</v>
      </c>
      <c r="X315" s="5">
        <v>11</v>
      </c>
      <c r="Y315" s="5">
        <v>3</v>
      </c>
      <c r="Z315" s="5">
        <v>2</v>
      </c>
      <c r="AA315" s="5">
        <v>80</v>
      </c>
      <c r="AB315" s="5">
        <v>2</v>
      </c>
      <c r="AC315" s="5">
        <v>12</v>
      </c>
      <c r="AD315" s="5">
        <v>2</v>
      </c>
      <c r="AE315" s="5">
        <v>3</v>
      </c>
      <c r="AF315" s="5">
        <v>10</v>
      </c>
      <c r="AG315" s="5">
        <v>6</v>
      </c>
      <c r="AH315" s="5">
        <v>8</v>
      </c>
      <c r="AI315" s="5">
        <v>8</v>
      </c>
    </row>
    <row r="316" spans="1:35" x14ac:dyDescent="0.25">
      <c r="A316" s="5">
        <v>39</v>
      </c>
      <c r="B316" s="5" t="s">
        <v>43</v>
      </c>
      <c r="C316" s="5" t="s">
        <v>36</v>
      </c>
      <c r="D316" s="5">
        <v>117</v>
      </c>
      <c r="E316" s="5" t="s">
        <v>45</v>
      </c>
      <c r="F316" s="5">
        <v>10</v>
      </c>
      <c r="G316" s="5">
        <v>1</v>
      </c>
      <c r="H316" s="5" t="s">
        <v>51</v>
      </c>
      <c r="I316" s="5">
        <v>1</v>
      </c>
      <c r="J316" s="5">
        <v>429</v>
      </c>
      <c r="K316" s="5">
        <v>3</v>
      </c>
      <c r="L316" s="5" t="s">
        <v>46</v>
      </c>
      <c r="M316" s="5">
        <v>99</v>
      </c>
      <c r="N316" s="5">
        <v>3</v>
      </c>
      <c r="O316" s="5">
        <v>4</v>
      </c>
      <c r="P316" s="5" t="s">
        <v>56</v>
      </c>
      <c r="Q316" s="5">
        <v>1</v>
      </c>
      <c r="R316" s="5" t="s">
        <v>48</v>
      </c>
      <c r="S316" s="5">
        <v>17068</v>
      </c>
      <c r="T316" s="5">
        <v>5355</v>
      </c>
      <c r="U316" s="5">
        <v>1</v>
      </c>
      <c r="V316" s="5" t="s">
        <v>42</v>
      </c>
      <c r="W316" s="5" t="s">
        <v>35</v>
      </c>
      <c r="X316" s="5">
        <v>14</v>
      </c>
      <c r="Y316" s="5">
        <v>3</v>
      </c>
      <c r="Z316" s="5">
        <v>4</v>
      </c>
      <c r="AA316" s="5">
        <v>80</v>
      </c>
      <c r="AB316" s="5">
        <v>0</v>
      </c>
      <c r="AC316" s="5">
        <v>21</v>
      </c>
      <c r="AD316" s="5">
        <v>3</v>
      </c>
      <c r="AE316" s="5">
        <v>3</v>
      </c>
      <c r="AF316" s="5">
        <v>21</v>
      </c>
      <c r="AG316" s="5">
        <v>9</v>
      </c>
      <c r="AH316" s="5">
        <v>11</v>
      </c>
      <c r="AI316" s="5">
        <v>10</v>
      </c>
    </row>
    <row r="317" spans="1:35" x14ac:dyDescent="0.25">
      <c r="A317" s="5">
        <v>43</v>
      </c>
      <c r="B317" s="5" t="s">
        <v>43</v>
      </c>
      <c r="C317" s="5" t="s">
        <v>44</v>
      </c>
      <c r="D317" s="5">
        <v>185</v>
      </c>
      <c r="E317" s="5" t="s">
        <v>45</v>
      </c>
      <c r="F317" s="5">
        <v>10</v>
      </c>
      <c r="G317" s="5">
        <v>4</v>
      </c>
      <c r="H317" s="5" t="s">
        <v>38</v>
      </c>
      <c r="I317" s="5">
        <v>1</v>
      </c>
      <c r="J317" s="5">
        <v>430</v>
      </c>
      <c r="K317" s="5">
        <v>3</v>
      </c>
      <c r="L317" s="5" t="s">
        <v>39</v>
      </c>
      <c r="M317" s="5">
        <v>33</v>
      </c>
      <c r="N317" s="5">
        <v>3</v>
      </c>
      <c r="O317" s="5">
        <v>1</v>
      </c>
      <c r="P317" s="5" t="s">
        <v>50</v>
      </c>
      <c r="Q317" s="5">
        <v>4</v>
      </c>
      <c r="R317" s="5" t="s">
        <v>41</v>
      </c>
      <c r="S317" s="5">
        <v>2455</v>
      </c>
      <c r="T317" s="5">
        <v>10675</v>
      </c>
      <c r="U317" s="5">
        <v>0</v>
      </c>
      <c r="V317" s="5" t="s">
        <v>42</v>
      </c>
      <c r="W317" s="5" t="s">
        <v>43</v>
      </c>
      <c r="X317" s="5">
        <v>19</v>
      </c>
      <c r="Y317" s="5">
        <v>3</v>
      </c>
      <c r="Z317" s="5">
        <v>1</v>
      </c>
      <c r="AA317" s="5">
        <v>80</v>
      </c>
      <c r="AB317" s="5">
        <v>0</v>
      </c>
      <c r="AC317" s="5">
        <v>9</v>
      </c>
      <c r="AD317" s="5">
        <v>5</v>
      </c>
      <c r="AE317" s="5">
        <v>3</v>
      </c>
      <c r="AF317" s="5">
        <v>8</v>
      </c>
      <c r="AG317" s="5">
        <v>7</v>
      </c>
      <c r="AH317" s="5">
        <v>1</v>
      </c>
      <c r="AI317" s="5">
        <v>7</v>
      </c>
    </row>
    <row r="318" spans="1:35" x14ac:dyDescent="0.25">
      <c r="A318" s="5">
        <v>49</v>
      </c>
      <c r="B318" s="5" t="s">
        <v>43</v>
      </c>
      <c r="C318" s="5" t="s">
        <v>36</v>
      </c>
      <c r="D318" s="5">
        <v>1091</v>
      </c>
      <c r="E318" s="5" t="s">
        <v>45</v>
      </c>
      <c r="F318" s="5">
        <v>1</v>
      </c>
      <c r="G318" s="5">
        <v>2</v>
      </c>
      <c r="H318" s="5" t="s">
        <v>60</v>
      </c>
      <c r="I318" s="5">
        <v>1</v>
      </c>
      <c r="J318" s="5">
        <v>431</v>
      </c>
      <c r="K318" s="5">
        <v>3</v>
      </c>
      <c r="L318" s="5" t="s">
        <v>39</v>
      </c>
      <c r="M318" s="5">
        <v>90</v>
      </c>
      <c r="N318" s="5">
        <v>2</v>
      </c>
      <c r="O318" s="5">
        <v>4</v>
      </c>
      <c r="P318" s="5" t="s">
        <v>54</v>
      </c>
      <c r="Q318" s="5">
        <v>3</v>
      </c>
      <c r="R318" s="5" t="s">
        <v>41</v>
      </c>
      <c r="S318" s="5">
        <v>13964</v>
      </c>
      <c r="T318" s="5">
        <v>17810</v>
      </c>
      <c r="U318" s="5">
        <v>7</v>
      </c>
      <c r="V318" s="5" t="s">
        <v>42</v>
      </c>
      <c r="W318" s="5" t="s">
        <v>35</v>
      </c>
      <c r="X318" s="5">
        <v>12</v>
      </c>
      <c r="Y318" s="5">
        <v>3</v>
      </c>
      <c r="Z318" s="5">
        <v>4</v>
      </c>
      <c r="AA318" s="5">
        <v>80</v>
      </c>
      <c r="AB318" s="5">
        <v>0</v>
      </c>
      <c r="AC318" s="5">
        <v>25</v>
      </c>
      <c r="AD318" s="5">
        <v>2</v>
      </c>
      <c r="AE318" s="5">
        <v>3</v>
      </c>
      <c r="AF318" s="5">
        <v>7</v>
      </c>
      <c r="AG318" s="5">
        <v>1</v>
      </c>
      <c r="AH318" s="5">
        <v>0</v>
      </c>
      <c r="AI318" s="5">
        <v>7</v>
      </c>
    </row>
    <row r="319" spans="1:35" x14ac:dyDescent="0.25">
      <c r="A319" s="5">
        <v>52</v>
      </c>
      <c r="B319" s="5" t="s">
        <v>35</v>
      </c>
      <c r="C319" s="5" t="s">
        <v>36</v>
      </c>
      <c r="D319" s="5">
        <v>723</v>
      </c>
      <c r="E319" s="5" t="s">
        <v>45</v>
      </c>
      <c r="F319" s="5">
        <v>8</v>
      </c>
      <c r="G319" s="5">
        <v>4</v>
      </c>
      <c r="H319" s="5" t="s">
        <v>51</v>
      </c>
      <c r="I319" s="5">
        <v>1</v>
      </c>
      <c r="J319" s="5">
        <v>433</v>
      </c>
      <c r="K319" s="5">
        <v>3</v>
      </c>
      <c r="L319" s="5" t="s">
        <v>46</v>
      </c>
      <c r="M319" s="5">
        <v>85</v>
      </c>
      <c r="N319" s="5">
        <v>2</v>
      </c>
      <c r="O319" s="5">
        <v>2</v>
      </c>
      <c r="P319" s="5" t="s">
        <v>47</v>
      </c>
      <c r="Q319" s="5">
        <v>2</v>
      </c>
      <c r="R319" s="5" t="s">
        <v>48</v>
      </c>
      <c r="S319" s="5">
        <v>4941</v>
      </c>
      <c r="T319" s="5">
        <v>17747</v>
      </c>
      <c r="U319" s="5">
        <v>2</v>
      </c>
      <c r="V319" s="5" t="s">
        <v>42</v>
      </c>
      <c r="W319" s="5" t="s">
        <v>43</v>
      </c>
      <c r="X319" s="5">
        <v>15</v>
      </c>
      <c r="Y319" s="5">
        <v>3</v>
      </c>
      <c r="Z319" s="5">
        <v>1</v>
      </c>
      <c r="AA319" s="5">
        <v>80</v>
      </c>
      <c r="AB319" s="5">
        <v>0</v>
      </c>
      <c r="AC319" s="5">
        <v>11</v>
      </c>
      <c r="AD319" s="5">
        <v>3</v>
      </c>
      <c r="AE319" s="5">
        <v>2</v>
      </c>
      <c r="AF319" s="5">
        <v>8</v>
      </c>
      <c r="AG319" s="5">
        <v>2</v>
      </c>
      <c r="AH319" s="5">
        <v>7</v>
      </c>
      <c r="AI319" s="5">
        <v>7</v>
      </c>
    </row>
    <row r="320" spans="1:35" x14ac:dyDescent="0.25">
      <c r="A320" s="5">
        <v>27</v>
      </c>
      <c r="B320" s="5" t="s">
        <v>43</v>
      </c>
      <c r="C320" s="5" t="s">
        <v>36</v>
      </c>
      <c r="D320" s="5">
        <v>1220</v>
      </c>
      <c r="E320" s="5" t="s">
        <v>45</v>
      </c>
      <c r="F320" s="5">
        <v>5</v>
      </c>
      <c r="G320" s="5">
        <v>3</v>
      </c>
      <c r="H320" s="5" t="s">
        <v>38</v>
      </c>
      <c r="I320" s="5">
        <v>1</v>
      </c>
      <c r="J320" s="5">
        <v>434</v>
      </c>
      <c r="K320" s="5">
        <v>3</v>
      </c>
      <c r="L320" s="5" t="s">
        <v>39</v>
      </c>
      <c r="M320" s="5">
        <v>85</v>
      </c>
      <c r="N320" s="5">
        <v>3</v>
      </c>
      <c r="O320" s="5">
        <v>1</v>
      </c>
      <c r="P320" s="5" t="s">
        <v>47</v>
      </c>
      <c r="Q320" s="5">
        <v>2</v>
      </c>
      <c r="R320" s="5" t="s">
        <v>41</v>
      </c>
      <c r="S320" s="5">
        <v>2478</v>
      </c>
      <c r="T320" s="5">
        <v>20938</v>
      </c>
      <c r="U320" s="5">
        <v>1</v>
      </c>
      <c r="V320" s="5" t="s">
        <v>42</v>
      </c>
      <c r="W320" s="5" t="s">
        <v>35</v>
      </c>
      <c r="X320" s="5">
        <v>12</v>
      </c>
      <c r="Y320" s="5">
        <v>3</v>
      </c>
      <c r="Z320" s="5">
        <v>2</v>
      </c>
      <c r="AA320" s="5">
        <v>80</v>
      </c>
      <c r="AB320" s="5">
        <v>0</v>
      </c>
      <c r="AC320" s="5">
        <v>4</v>
      </c>
      <c r="AD320" s="5">
        <v>2</v>
      </c>
      <c r="AE320" s="5">
        <v>2</v>
      </c>
      <c r="AF320" s="5">
        <v>4</v>
      </c>
      <c r="AG320" s="5">
        <v>3</v>
      </c>
      <c r="AH320" s="5">
        <v>1</v>
      </c>
      <c r="AI320" s="5">
        <v>2</v>
      </c>
    </row>
    <row r="321" spans="1:35" x14ac:dyDescent="0.25">
      <c r="A321" s="5">
        <v>32</v>
      </c>
      <c r="B321" s="5" t="s">
        <v>43</v>
      </c>
      <c r="C321" s="5" t="s">
        <v>36</v>
      </c>
      <c r="D321" s="5">
        <v>588</v>
      </c>
      <c r="E321" s="5" t="s">
        <v>37</v>
      </c>
      <c r="F321" s="5">
        <v>8</v>
      </c>
      <c r="G321" s="5">
        <v>2</v>
      </c>
      <c r="H321" s="5" t="s">
        <v>60</v>
      </c>
      <c r="I321" s="5">
        <v>1</v>
      </c>
      <c r="J321" s="5">
        <v>436</v>
      </c>
      <c r="K321" s="5">
        <v>3</v>
      </c>
      <c r="L321" s="5" t="s">
        <v>39</v>
      </c>
      <c r="M321" s="5">
        <v>65</v>
      </c>
      <c r="N321" s="5">
        <v>2</v>
      </c>
      <c r="O321" s="5">
        <v>2</v>
      </c>
      <c r="P321" s="5" t="s">
        <v>40</v>
      </c>
      <c r="Q321" s="5">
        <v>2</v>
      </c>
      <c r="R321" s="5" t="s">
        <v>48</v>
      </c>
      <c r="S321" s="5">
        <v>5228</v>
      </c>
      <c r="T321" s="5">
        <v>24624</v>
      </c>
      <c r="U321" s="5">
        <v>1</v>
      </c>
      <c r="V321" s="5" t="s">
        <v>42</v>
      </c>
      <c r="W321" s="5" t="s">
        <v>35</v>
      </c>
      <c r="X321" s="5">
        <v>11</v>
      </c>
      <c r="Y321" s="5">
        <v>3</v>
      </c>
      <c r="Z321" s="5">
        <v>4</v>
      </c>
      <c r="AA321" s="5">
        <v>80</v>
      </c>
      <c r="AB321" s="5">
        <v>0</v>
      </c>
      <c r="AC321" s="5">
        <v>13</v>
      </c>
      <c r="AD321" s="5">
        <v>2</v>
      </c>
      <c r="AE321" s="5">
        <v>3</v>
      </c>
      <c r="AF321" s="5">
        <v>13</v>
      </c>
      <c r="AG321" s="5">
        <v>12</v>
      </c>
      <c r="AH321" s="5">
        <v>11</v>
      </c>
      <c r="AI321" s="5">
        <v>9</v>
      </c>
    </row>
    <row r="322" spans="1:35" x14ac:dyDescent="0.25">
      <c r="A322" s="5">
        <v>27</v>
      </c>
      <c r="B322" s="5" t="s">
        <v>43</v>
      </c>
      <c r="C322" s="5" t="s">
        <v>36</v>
      </c>
      <c r="D322" s="5">
        <v>1377</v>
      </c>
      <c r="E322" s="5" t="s">
        <v>37</v>
      </c>
      <c r="F322" s="5">
        <v>2</v>
      </c>
      <c r="G322" s="5">
        <v>3</v>
      </c>
      <c r="H322" s="5" t="s">
        <v>38</v>
      </c>
      <c r="I322" s="5">
        <v>1</v>
      </c>
      <c r="J322" s="5">
        <v>437</v>
      </c>
      <c r="K322" s="5">
        <v>4</v>
      </c>
      <c r="L322" s="5" t="s">
        <v>46</v>
      </c>
      <c r="M322" s="5">
        <v>74</v>
      </c>
      <c r="N322" s="5">
        <v>3</v>
      </c>
      <c r="O322" s="5">
        <v>2</v>
      </c>
      <c r="P322" s="5" t="s">
        <v>40</v>
      </c>
      <c r="Q322" s="5">
        <v>3</v>
      </c>
      <c r="R322" s="5" t="s">
        <v>41</v>
      </c>
      <c r="S322" s="5">
        <v>4478</v>
      </c>
      <c r="T322" s="5">
        <v>5242</v>
      </c>
      <c r="U322" s="5">
        <v>1</v>
      </c>
      <c r="V322" s="5" t="s">
        <v>42</v>
      </c>
      <c r="W322" s="5" t="s">
        <v>35</v>
      </c>
      <c r="X322" s="5">
        <v>11</v>
      </c>
      <c r="Y322" s="5">
        <v>3</v>
      </c>
      <c r="Z322" s="5">
        <v>1</v>
      </c>
      <c r="AA322" s="5">
        <v>80</v>
      </c>
      <c r="AB322" s="5">
        <v>0</v>
      </c>
      <c r="AC322" s="5">
        <v>5</v>
      </c>
      <c r="AD322" s="5">
        <v>3</v>
      </c>
      <c r="AE322" s="5">
        <v>3</v>
      </c>
      <c r="AF322" s="5">
        <v>5</v>
      </c>
      <c r="AG322" s="5">
        <v>4</v>
      </c>
      <c r="AH322" s="5">
        <v>0</v>
      </c>
      <c r="AI322" s="5">
        <v>4</v>
      </c>
    </row>
    <row r="323" spans="1:35" x14ac:dyDescent="0.25">
      <c r="A323" s="5">
        <v>31</v>
      </c>
      <c r="B323" s="5" t="s">
        <v>43</v>
      </c>
      <c r="C323" s="5" t="s">
        <v>36</v>
      </c>
      <c r="D323" s="5">
        <v>691</v>
      </c>
      <c r="E323" s="5" t="s">
        <v>37</v>
      </c>
      <c r="F323" s="5">
        <v>7</v>
      </c>
      <c r="G323" s="5">
        <v>3</v>
      </c>
      <c r="H323" s="5" t="s">
        <v>59</v>
      </c>
      <c r="I323" s="5">
        <v>1</v>
      </c>
      <c r="J323" s="5">
        <v>438</v>
      </c>
      <c r="K323" s="5">
        <v>4</v>
      </c>
      <c r="L323" s="5" t="s">
        <v>46</v>
      </c>
      <c r="M323" s="5">
        <v>73</v>
      </c>
      <c r="N323" s="5">
        <v>3</v>
      </c>
      <c r="O323" s="5">
        <v>2</v>
      </c>
      <c r="P323" s="5" t="s">
        <v>40</v>
      </c>
      <c r="Q323" s="5">
        <v>4</v>
      </c>
      <c r="R323" s="5" t="s">
        <v>52</v>
      </c>
      <c r="S323" s="5">
        <v>7547</v>
      </c>
      <c r="T323" s="5">
        <v>7143</v>
      </c>
      <c r="U323" s="5">
        <v>4</v>
      </c>
      <c r="V323" s="5" t="s">
        <v>42</v>
      </c>
      <c r="W323" s="5" t="s">
        <v>43</v>
      </c>
      <c r="X323" s="5">
        <v>12</v>
      </c>
      <c r="Y323" s="5">
        <v>3</v>
      </c>
      <c r="Z323" s="5">
        <v>4</v>
      </c>
      <c r="AA323" s="5">
        <v>80</v>
      </c>
      <c r="AB323" s="5">
        <v>3</v>
      </c>
      <c r="AC323" s="5">
        <v>13</v>
      </c>
      <c r="AD323" s="5">
        <v>3</v>
      </c>
      <c r="AE323" s="5">
        <v>3</v>
      </c>
      <c r="AF323" s="5">
        <v>7</v>
      </c>
      <c r="AG323" s="5">
        <v>7</v>
      </c>
      <c r="AH323" s="5">
        <v>1</v>
      </c>
      <c r="AI323" s="5">
        <v>7</v>
      </c>
    </row>
    <row r="324" spans="1:35" x14ac:dyDescent="0.25">
      <c r="A324" s="5">
        <v>32</v>
      </c>
      <c r="B324" s="5" t="s">
        <v>43</v>
      </c>
      <c r="C324" s="5" t="s">
        <v>36</v>
      </c>
      <c r="D324" s="5">
        <v>1018</v>
      </c>
      <c r="E324" s="5" t="s">
        <v>45</v>
      </c>
      <c r="F324" s="5">
        <v>2</v>
      </c>
      <c r="G324" s="5">
        <v>4</v>
      </c>
      <c r="H324" s="5" t="s">
        <v>51</v>
      </c>
      <c r="I324" s="5">
        <v>1</v>
      </c>
      <c r="J324" s="5">
        <v>439</v>
      </c>
      <c r="K324" s="5">
        <v>1</v>
      </c>
      <c r="L324" s="5" t="s">
        <v>39</v>
      </c>
      <c r="M324" s="5">
        <v>74</v>
      </c>
      <c r="N324" s="5">
        <v>4</v>
      </c>
      <c r="O324" s="5">
        <v>2</v>
      </c>
      <c r="P324" s="5" t="s">
        <v>47</v>
      </c>
      <c r="Q324" s="5">
        <v>4</v>
      </c>
      <c r="R324" s="5" t="s">
        <v>41</v>
      </c>
      <c r="S324" s="5">
        <v>5055</v>
      </c>
      <c r="T324" s="5">
        <v>10557</v>
      </c>
      <c r="U324" s="5">
        <v>7</v>
      </c>
      <c r="V324" s="5" t="s">
        <v>42</v>
      </c>
      <c r="W324" s="5" t="s">
        <v>43</v>
      </c>
      <c r="X324" s="5">
        <v>16</v>
      </c>
      <c r="Y324" s="5">
        <v>3</v>
      </c>
      <c r="Z324" s="5">
        <v>3</v>
      </c>
      <c r="AA324" s="5">
        <v>80</v>
      </c>
      <c r="AB324" s="5">
        <v>0</v>
      </c>
      <c r="AC324" s="5">
        <v>10</v>
      </c>
      <c r="AD324" s="5">
        <v>0</v>
      </c>
      <c r="AE324" s="5">
        <v>2</v>
      </c>
      <c r="AF324" s="5">
        <v>7</v>
      </c>
      <c r="AG324" s="5">
        <v>7</v>
      </c>
      <c r="AH324" s="5">
        <v>0</v>
      </c>
      <c r="AI324" s="5">
        <v>7</v>
      </c>
    </row>
    <row r="325" spans="1:35" x14ac:dyDescent="0.25">
      <c r="A325" s="5">
        <v>28</v>
      </c>
      <c r="B325" s="5" t="s">
        <v>35</v>
      </c>
      <c r="C325" s="5" t="s">
        <v>36</v>
      </c>
      <c r="D325" s="5">
        <v>1157</v>
      </c>
      <c r="E325" s="5" t="s">
        <v>45</v>
      </c>
      <c r="F325" s="5">
        <v>2</v>
      </c>
      <c r="G325" s="5">
        <v>4</v>
      </c>
      <c r="H325" s="5" t="s">
        <v>51</v>
      </c>
      <c r="I325" s="5">
        <v>1</v>
      </c>
      <c r="J325" s="5">
        <v>440</v>
      </c>
      <c r="K325" s="5">
        <v>1</v>
      </c>
      <c r="L325" s="5" t="s">
        <v>46</v>
      </c>
      <c r="M325" s="5">
        <v>84</v>
      </c>
      <c r="N325" s="5">
        <v>1</v>
      </c>
      <c r="O325" s="5">
        <v>1</v>
      </c>
      <c r="P325" s="5" t="s">
        <v>47</v>
      </c>
      <c r="Q325" s="5">
        <v>4</v>
      </c>
      <c r="R325" s="5" t="s">
        <v>48</v>
      </c>
      <c r="S325" s="5">
        <v>3464</v>
      </c>
      <c r="T325" s="5">
        <v>24737</v>
      </c>
      <c r="U325" s="5">
        <v>5</v>
      </c>
      <c r="V325" s="5" t="s">
        <v>42</v>
      </c>
      <c r="W325" s="5" t="s">
        <v>35</v>
      </c>
      <c r="X325" s="5">
        <v>13</v>
      </c>
      <c r="Y325" s="5">
        <v>3</v>
      </c>
      <c r="Z325" s="5">
        <v>4</v>
      </c>
      <c r="AA325" s="5">
        <v>80</v>
      </c>
      <c r="AB325" s="5">
        <v>0</v>
      </c>
      <c r="AC325" s="5">
        <v>5</v>
      </c>
      <c r="AD325" s="5">
        <v>4</v>
      </c>
      <c r="AE325" s="5">
        <v>2</v>
      </c>
      <c r="AF325" s="5">
        <v>3</v>
      </c>
      <c r="AG325" s="5">
        <v>2</v>
      </c>
      <c r="AH325" s="5">
        <v>2</v>
      </c>
      <c r="AI325" s="5">
        <v>2</v>
      </c>
    </row>
    <row r="326" spans="1:35" x14ac:dyDescent="0.25">
      <c r="A326" s="5">
        <v>30</v>
      </c>
      <c r="B326" s="5" t="s">
        <v>43</v>
      </c>
      <c r="C326" s="5" t="s">
        <v>36</v>
      </c>
      <c r="D326" s="5">
        <v>1275</v>
      </c>
      <c r="E326" s="5" t="s">
        <v>45</v>
      </c>
      <c r="F326" s="5">
        <v>28</v>
      </c>
      <c r="G326" s="5">
        <v>2</v>
      </c>
      <c r="H326" s="5" t="s">
        <v>51</v>
      </c>
      <c r="I326" s="5">
        <v>1</v>
      </c>
      <c r="J326" s="5">
        <v>441</v>
      </c>
      <c r="K326" s="5">
        <v>4</v>
      </c>
      <c r="L326" s="5" t="s">
        <v>39</v>
      </c>
      <c r="M326" s="5">
        <v>64</v>
      </c>
      <c r="N326" s="5">
        <v>3</v>
      </c>
      <c r="O326" s="5">
        <v>2</v>
      </c>
      <c r="P326" s="5" t="s">
        <v>47</v>
      </c>
      <c r="Q326" s="5">
        <v>4</v>
      </c>
      <c r="R326" s="5" t="s">
        <v>48</v>
      </c>
      <c r="S326" s="5">
        <v>5775</v>
      </c>
      <c r="T326" s="5">
        <v>11934</v>
      </c>
      <c r="U326" s="5">
        <v>1</v>
      </c>
      <c r="V326" s="5" t="s">
        <v>42</v>
      </c>
      <c r="W326" s="5" t="s">
        <v>43</v>
      </c>
      <c r="X326" s="5">
        <v>13</v>
      </c>
      <c r="Y326" s="5">
        <v>3</v>
      </c>
      <c r="Z326" s="5">
        <v>4</v>
      </c>
      <c r="AA326" s="5">
        <v>80</v>
      </c>
      <c r="AB326" s="5">
        <v>2</v>
      </c>
      <c r="AC326" s="5">
        <v>11</v>
      </c>
      <c r="AD326" s="5">
        <v>2</v>
      </c>
      <c r="AE326" s="5">
        <v>3</v>
      </c>
      <c r="AF326" s="5">
        <v>10</v>
      </c>
      <c r="AG326" s="5">
        <v>8</v>
      </c>
      <c r="AH326" s="5">
        <v>1</v>
      </c>
      <c r="AI326" s="5">
        <v>9</v>
      </c>
    </row>
    <row r="327" spans="1:35" x14ac:dyDescent="0.25">
      <c r="A327" s="5">
        <v>31</v>
      </c>
      <c r="B327" s="5" t="s">
        <v>43</v>
      </c>
      <c r="C327" s="5" t="s">
        <v>44</v>
      </c>
      <c r="D327" s="5">
        <v>798</v>
      </c>
      <c r="E327" s="5" t="s">
        <v>45</v>
      </c>
      <c r="F327" s="5">
        <v>7</v>
      </c>
      <c r="G327" s="5">
        <v>2</v>
      </c>
      <c r="H327" s="5" t="s">
        <v>38</v>
      </c>
      <c r="I327" s="5">
        <v>1</v>
      </c>
      <c r="J327" s="5">
        <v>442</v>
      </c>
      <c r="K327" s="5">
        <v>3</v>
      </c>
      <c r="L327" s="5" t="s">
        <v>39</v>
      </c>
      <c r="M327" s="5">
        <v>48</v>
      </c>
      <c r="N327" s="5">
        <v>2</v>
      </c>
      <c r="O327" s="5">
        <v>3</v>
      </c>
      <c r="P327" s="5" t="s">
        <v>53</v>
      </c>
      <c r="Q327" s="5">
        <v>3</v>
      </c>
      <c r="R327" s="5" t="s">
        <v>48</v>
      </c>
      <c r="S327" s="5">
        <v>8943</v>
      </c>
      <c r="T327" s="5">
        <v>14034</v>
      </c>
      <c r="U327" s="5">
        <v>1</v>
      </c>
      <c r="V327" s="5" t="s">
        <v>42</v>
      </c>
      <c r="W327" s="5" t="s">
        <v>43</v>
      </c>
      <c r="X327" s="5">
        <v>24</v>
      </c>
      <c r="Y327" s="5">
        <v>4</v>
      </c>
      <c r="Z327" s="5">
        <v>1</v>
      </c>
      <c r="AA327" s="5">
        <v>80</v>
      </c>
      <c r="AB327" s="5">
        <v>1</v>
      </c>
      <c r="AC327" s="5">
        <v>10</v>
      </c>
      <c r="AD327" s="5">
        <v>2</v>
      </c>
      <c r="AE327" s="5">
        <v>3</v>
      </c>
      <c r="AF327" s="5">
        <v>10</v>
      </c>
      <c r="AG327" s="5">
        <v>9</v>
      </c>
      <c r="AH327" s="5">
        <v>8</v>
      </c>
      <c r="AI327" s="5">
        <v>9</v>
      </c>
    </row>
    <row r="328" spans="1:35" x14ac:dyDescent="0.25">
      <c r="A328" s="5">
        <v>39</v>
      </c>
      <c r="B328" s="5" t="s">
        <v>43</v>
      </c>
      <c r="C328" s="5" t="s">
        <v>44</v>
      </c>
      <c r="D328" s="5">
        <v>672</v>
      </c>
      <c r="E328" s="5" t="s">
        <v>45</v>
      </c>
      <c r="F328" s="5">
        <v>7</v>
      </c>
      <c r="G328" s="5">
        <v>2</v>
      </c>
      <c r="H328" s="5" t="s">
        <v>51</v>
      </c>
      <c r="I328" s="5">
        <v>1</v>
      </c>
      <c r="J328" s="5">
        <v>444</v>
      </c>
      <c r="K328" s="5">
        <v>3</v>
      </c>
      <c r="L328" s="5" t="s">
        <v>46</v>
      </c>
      <c r="M328" s="5">
        <v>54</v>
      </c>
      <c r="N328" s="5">
        <v>2</v>
      </c>
      <c r="O328" s="5">
        <v>5</v>
      </c>
      <c r="P328" s="5" t="s">
        <v>56</v>
      </c>
      <c r="Q328" s="5">
        <v>4</v>
      </c>
      <c r="R328" s="5" t="s">
        <v>48</v>
      </c>
      <c r="S328" s="5">
        <v>19272</v>
      </c>
      <c r="T328" s="5">
        <v>21141</v>
      </c>
      <c r="U328" s="5">
        <v>1</v>
      </c>
      <c r="V328" s="5" t="s">
        <v>42</v>
      </c>
      <c r="W328" s="5" t="s">
        <v>43</v>
      </c>
      <c r="X328" s="5">
        <v>15</v>
      </c>
      <c r="Y328" s="5">
        <v>3</v>
      </c>
      <c r="Z328" s="5">
        <v>1</v>
      </c>
      <c r="AA328" s="5">
        <v>80</v>
      </c>
      <c r="AB328" s="5">
        <v>1</v>
      </c>
      <c r="AC328" s="5">
        <v>21</v>
      </c>
      <c r="AD328" s="5">
        <v>2</v>
      </c>
      <c r="AE328" s="5">
        <v>3</v>
      </c>
      <c r="AF328" s="5">
        <v>21</v>
      </c>
      <c r="AG328" s="5">
        <v>9</v>
      </c>
      <c r="AH328" s="5">
        <v>13</v>
      </c>
      <c r="AI328" s="5">
        <v>3</v>
      </c>
    </row>
    <row r="329" spans="1:35" x14ac:dyDescent="0.25">
      <c r="A329" s="5">
        <v>39</v>
      </c>
      <c r="B329" s="5" t="s">
        <v>35</v>
      </c>
      <c r="C329" s="5" t="s">
        <v>36</v>
      </c>
      <c r="D329" s="5">
        <v>1162</v>
      </c>
      <c r="E329" s="5" t="s">
        <v>37</v>
      </c>
      <c r="F329" s="5">
        <v>3</v>
      </c>
      <c r="G329" s="5">
        <v>2</v>
      </c>
      <c r="H329" s="5" t="s">
        <v>51</v>
      </c>
      <c r="I329" s="5">
        <v>1</v>
      </c>
      <c r="J329" s="5">
        <v>445</v>
      </c>
      <c r="K329" s="5">
        <v>4</v>
      </c>
      <c r="L329" s="5" t="s">
        <v>39</v>
      </c>
      <c r="M329" s="5">
        <v>41</v>
      </c>
      <c r="N329" s="5">
        <v>3</v>
      </c>
      <c r="O329" s="5">
        <v>2</v>
      </c>
      <c r="P329" s="5" t="s">
        <v>40</v>
      </c>
      <c r="Q329" s="5">
        <v>3</v>
      </c>
      <c r="R329" s="5" t="s">
        <v>48</v>
      </c>
      <c r="S329" s="5">
        <v>5238</v>
      </c>
      <c r="T329" s="5">
        <v>17778</v>
      </c>
      <c r="U329" s="5">
        <v>4</v>
      </c>
      <c r="V329" s="5" t="s">
        <v>42</v>
      </c>
      <c r="W329" s="5" t="s">
        <v>35</v>
      </c>
      <c r="X329" s="5">
        <v>18</v>
      </c>
      <c r="Y329" s="5">
        <v>3</v>
      </c>
      <c r="Z329" s="5">
        <v>1</v>
      </c>
      <c r="AA329" s="5">
        <v>80</v>
      </c>
      <c r="AB329" s="5">
        <v>0</v>
      </c>
      <c r="AC329" s="5">
        <v>12</v>
      </c>
      <c r="AD329" s="5">
        <v>3</v>
      </c>
      <c r="AE329" s="5">
        <v>2</v>
      </c>
      <c r="AF329" s="5">
        <v>1</v>
      </c>
      <c r="AG329" s="5">
        <v>0</v>
      </c>
      <c r="AH329" s="5">
        <v>0</v>
      </c>
      <c r="AI329" s="5">
        <v>0</v>
      </c>
    </row>
    <row r="330" spans="1:35" x14ac:dyDescent="0.25">
      <c r="A330" s="5">
        <v>33</v>
      </c>
      <c r="B330" s="5" t="s">
        <v>43</v>
      </c>
      <c r="C330" s="5" t="s">
        <v>44</v>
      </c>
      <c r="D330" s="5">
        <v>508</v>
      </c>
      <c r="E330" s="5" t="s">
        <v>37</v>
      </c>
      <c r="F330" s="5">
        <v>10</v>
      </c>
      <c r="G330" s="5">
        <v>3</v>
      </c>
      <c r="H330" s="5" t="s">
        <v>59</v>
      </c>
      <c r="I330" s="5">
        <v>1</v>
      </c>
      <c r="J330" s="5">
        <v>446</v>
      </c>
      <c r="K330" s="5">
        <v>2</v>
      </c>
      <c r="L330" s="5" t="s">
        <v>46</v>
      </c>
      <c r="M330" s="5">
        <v>46</v>
      </c>
      <c r="N330" s="5">
        <v>2</v>
      </c>
      <c r="O330" s="5">
        <v>2</v>
      </c>
      <c r="P330" s="5" t="s">
        <v>40</v>
      </c>
      <c r="Q330" s="5">
        <v>4</v>
      </c>
      <c r="R330" s="5" t="s">
        <v>41</v>
      </c>
      <c r="S330" s="5">
        <v>4682</v>
      </c>
      <c r="T330" s="5">
        <v>4317</v>
      </c>
      <c r="U330" s="5">
        <v>3</v>
      </c>
      <c r="V330" s="5" t="s">
        <v>42</v>
      </c>
      <c r="W330" s="5" t="s">
        <v>43</v>
      </c>
      <c r="X330" s="5">
        <v>14</v>
      </c>
      <c r="Y330" s="5">
        <v>3</v>
      </c>
      <c r="Z330" s="5">
        <v>3</v>
      </c>
      <c r="AA330" s="5">
        <v>80</v>
      </c>
      <c r="AB330" s="5">
        <v>0</v>
      </c>
      <c r="AC330" s="5">
        <v>9</v>
      </c>
      <c r="AD330" s="5">
        <v>6</v>
      </c>
      <c r="AE330" s="5">
        <v>2</v>
      </c>
      <c r="AF330" s="5">
        <v>7</v>
      </c>
      <c r="AG330" s="5">
        <v>7</v>
      </c>
      <c r="AH330" s="5">
        <v>0</v>
      </c>
      <c r="AI330" s="5">
        <v>1</v>
      </c>
    </row>
    <row r="331" spans="1:35" x14ac:dyDescent="0.25">
      <c r="A331" s="5">
        <v>47</v>
      </c>
      <c r="B331" s="5" t="s">
        <v>43</v>
      </c>
      <c r="C331" s="5" t="s">
        <v>36</v>
      </c>
      <c r="D331" s="5">
        <v>1482</v>
      </c>
      <c r="E331" s="5" t="s">
        <v>45</v>
      </c>
      <c r="F331" s="5">
        <v>5</v>
      </c>
      <c r="G331" s="5">
        <v>5</v>
      </c>
      <c r="H331" s="5" t="s">
        <v>38</v>
      </c>
      <c r="I331" s="5">
        <v>1</v>
      </c>
      <c r="J331" s="5">
        <v>447</v>
      </c>
      <c r="K331" s="5">
        <v>4</v>
      </c>
      <c r="L331" s="5" t="s">
        <v>46</v>
      </c>
      <c r="M331" s="5">
        <v>42</v>
      </c>
      <c r="N331" s="5">
        <v>3</v>
      </c>
      <c r="O331" s="5">
        <v>5</v>
      </c>
      <c r="P331" s="5" t="s">
        <v>58</v>
      </c>
      <c r="Q331" s="5">
        <v>3</v>
      </c>
      <c r="R331" s="5" t="s">
        <v>48</v>
      </c>
      <c r="S331" s="5">
        <v>18300</v>
      </c>
      <c r="T331" s="5">
        <v>16375</v>
      </c>
      <c r="U331" s="5">
        <v>4</v>
      </c>
      <c r="V331" s="5" t="s">
        <v>42</v>
      </c>
      <c r="W331" s="5" t="s">
        <v>43</v>
      </c>
      <c r="X331" s="5">
        <v>11</v>
      </c>
      <c r="Y331" s="5">
        <v>3</v>
      </c>
      <c r="Z331" s="5">
        <v>2</v>
      </c>
      <c r="AA331" s="5">
        <v>80</v>
      </c>
      <c r="AB331" s="5">
        <v>1</v>
      </c>
      <c r="AC331" s="5">
        <v>21</v>
      </c>
      <c r="AD331" s="5">
        <v>2</v>
      </c>
      <c r="AE331" s="5">
        <v>3</v>
      </c>
      <c r="AF331" s="5">
        <v>3</v>
      </c>
      <c r="AG331" s="5">
        <v>2</v>
      </c>
      <c r="AH331" s="5">
        <v>1</v>
      </c>
      <c r="AI331" s="5">
        <v>1</v>
      </c>
    </row>
    <row r="332" spans="1:35" x14ac:dyDescent="0.25">
      <c r="A332" s="5">
        <v>43</v>
      </c>
      <c r="B332" s="5" t="s">
        <v>43</v>
      </c>
      <c r="C332" s="5" t="s">
        <v>44</v>
      </c>
      <c r="D332" s="5">
        <v>559</v>
      </c>
      <c r="E332" s="5" t="s">
        <v>45</v>
      </c>
      <c r="F332" s="5">
        <v>10</v>
      </c>
      <c r="G332" s="5">
        <v>4</v>
      </c>
      <c r="H332" s="5" t="s">
        <v>38</v>
      </c>
      <c r="I332" s="5">
        <v>1</v>
      </c>
      <c r="J332" s="5">
        <v>448</v>
      </c>
      <c r="K332" s="5">
        <v>3</v>
      </c>
      <c r="L332" s="5" t="s">
        <v>39</v>
      </c>
      <c r="M332" s="5">
        <v>82</v>
      </c>
      <c r="N332" s="5">
        <v>2</v>
      </c>
      <c r="O332" s="5">
        <v>2</v>
      </c>
      <c r="P332" s="5" t="s">
        <v>50</v>
      </c>
      <c r="Q332" s="5">
        <v>3</v>
      </c>
      <c r="R332" s="5" t="s">
        <v>52</v>
      </c>
      <c r="S332" s="5">
        <v>5257</v>
      </c>
      <c r="T332" s="5">
        <v>6227</v>
      </c>
      <c r="U332" s="5">
        <v>1</v>
      </c>
      <c r="V332" s="5" t="s">
        <v>42</v>
      </c>
      <c r="W332" s="5" t="s">
        <v>43</v>
      </c>
      <c r="X332" s="5">
        <v>11</v>
      </c>
      <c r="Y332" s="5">
        <v>3</v>
      </c>
      <c r="Z332" s="5">
        <v>2</v>
      </c>
      <c r="AA332" s="5">
        <v>80</v>
      </c>
      <c r="AB332" s="5">
        <v>1</v>
      </c>
      <c r="AC332" s="5">
        <v>9</v>
      </c>
      <c r="AD332" s="5">
        <v>3</v>
      </c>
      <c r="AE332" s="5">
        <v>4</v>
      </c>
      <c r="AF332" s="5">
        <v>9</v>
      </c>
      <c r="AG332" s="5">
        <v>7</v>
      </c>
      <c r="AH332" s="5">
        <v>0</v>
      </c>
      <c r="AI332" s="5">
        <v>0</v>
      </c>
    </row>
    <row r="333" spans="1:35" x14ac:dyDescent="0.25">
      <c r="A333" s="5">
        <v>27</v>
      </c>
      <c r="B333" s="5" t="s">
        <v>43</v>
      </c>
      <c r="C333" s="5" t="s">
        <v>55</v>
      </c>
      <c r="D333" s="5">
        <v>210</v>
      </c>
      <c r="E333" s="5" t="s">
        <v>37</v>
      </c>
      <c r="F333" s="5">
        <v>1</v>
      </c>
      <c r="G333" s="5">
        <v>1</v>
      </c>
      <c r="H333" s="5" t="s">
        <v>59</v>
      </c>
      <c r="I333" s="5">
        <v>1</v>
      </c>
      <c r="J333" s="5">
        <v>449</v>
      </c>
      <c r="K333" s="5">
        <v>3</v>
      </c>
      <c r="L333" s="5" t="s">
        <v>46</v>
      </c>
      <c r="M333" s="5">
        <v>73</v>
      </c>
      <c r="N333" s="5">
        <v>3</v>
      </c>
      <c r="O333" s="5">
        <v>2</v>
      </c>
      <c r="P333" s="5" t="s">
        <v>40</v>
      </c>
      <c r="Q333" s="5">
        <v>2</v>
      </c>
      <c r="R333" s="5" t="s">
        <v>48</v>
      </c>
      <c r="S333" s="5">
        <v>6349</v>
      </c>
      <c r="T333" s="5">
        <v>22107</v>
      </c>
      <c r="U333" s="5">
        <v>0</v>
      </c>
      <c r="V333" s="5" t="s">
        <v>42</v>
      </c>
      <c r="W333" s="5" t="s">
        <v>35</v>
      </c>
      <c r="X333" s="5">
        <v>13</v>
      </c>
      <c r="Y333" s="5">
        <v>3</v>
      </c>
      <c r="Z333" s="5">
        <v>4</v>
      </c>
      <c r="AA333" s="5">
        <v>80</v>
      </c>
      <c r="AB333" s="5">
        <v>1</v>
      </c>
      <c r="AC333" s="5">
        <v>6</v>
      </c>
      <c r="AD333" s="5">
        <v>0</v>
      </c>
      <c r="AE333" s="5">
        <v>3</v>
      </c>
      <c r="AF333" s="5">
        <v>5</v>
      </c>
      <c r="AG333" s="5">
        <v>4</v>
      </c>
      <c r="AH333" s="5">
        <v>1</v>
      </c>
      <c r="AI333" s="5">
        <v>4</v>
      </c>
    </row>
    <row r="334" spans="1:35" x14ac:dyDescent="0.25">
      <c r="A334" s="5">
        <v>54</v>
      </c>
      <c r="B334" s="5" t="s">
        <v>43</v>
      </c>
      <c r="C334" s="5" t="s">
        <v>44</v>
      </c>
      <c r="D334" s="5">
        <v>928</v>
      </c>
      <c r="E334" s="5" t="s">
        <v>45</v>
      </c>
      <c r="F334" s="5">
        <v>20</v>
      </c>
      <c r="G334" s="5">
        <v>4</v>
      </c>
      <c r="H334" s="5" t="s">
        <v>38</v>
      </c>
      <c r="I334" s="5">
        <v>1</v>
      </c>
      <c r="J334" s="5">
        <v>450</v>
      </c>
      <c r="K334" s="5">
        <v>4</v>
      </c>
      <c r="L334" s="5" t="s">
        <v>39</v>
      </c>
      <c r="M334" s="5">
        <v>31</v>
      </c>
      <c r="N334" s="5">
        <v>3</v>
      </c>
      <c r="O334" s="5">
        <v>2</v>
      </c>
      <c r="P334" s="5" t="s">
        <v>47</v>
      </c>
      <c r="Q334" s="5">
        <v>3</v>
      </c>
      <c r="R334" s="5" t="s">
        <v>41</v>
      </c>
      <c r="S334" s="5">
        <v>4869</v>
      </c>
      <c r="T334" s="5">
        <v>16885</v>
      </c>
      <c r="U334" s="5">
        <v>3</v>
      </c>
      <c r="V334" s="5" t="s">
        <v>42</v>
      </c>
      <c r="W334" s="5" t="s">
        <v>43</v>
      </c>
      <c r="X334" s="5">
        <v>12</v>
      </c>
      <c r="Y334" s="5">
        <v>3</v>
      </c>
      <c r="Z334" s="5">
        <v>4</v>
      </c>
      <c r="AA334" s="5">
        <v>80</v>
      </c>
      <c r="AB334" s="5">
        <v>0</v>
      </c>
      <c r="AC334" s="5">
        <v>20</v>
      </c>
      <c r="AD334" s="5">
        <v>4</v>
      </c>
      <c r="AE334" s="5">
        <v>2</v>
      </c>
      <c r="AF334" s="5">
        <v>4</v>
      </c>
      <c r="AG334" s="5">
        <v>3</v>
      </c>
      <c r="AH334" s="5">
        <v>0</v>
      </c>
      <c r="AI334" s="5">
        <v>3</v>
      </c>
    </row>
    <row r="335" spans="1:35" x14ac:dyDescent="0.25">
      <c r="A335" s="5">
        <v>43</v>
      </c>
      <c r="B335" s="5" t="s">
        <v>43</v>
      </c>
      <c r="C335" s="5" t="s">
        <v>36</v>
      </c>
      <c r="D335" s="5">
        <v>1001</v>
      </c>
      <c r="E335" s="5" t="s">
        <v>45</v>
      </c>
      <c r="F335" s="5">
        <v>7</v>
      </c>
      <c r="G335" s="5">
        <v>3</v>
      </c>
      <c r="H335" s="5" t="s">
        <v>38</v>
      </c>
      <c r="I335" s="5">
        <v>1</v>
      </c>
      <c r="J335" s="5">
        <v>451</v>
      </c>
      <c r="K335" s="5">
        <v>3</v>
      </c>
      <c r="L335" s="5" t="s">
        <v>39</v>
      </c>
      <c r="M335" s="5">
        <v>43</v>
      </c>
      <c r="N335" s="5">
        <v>3</v>
      </c>
      <c r="O335" s="5">
        <v>3</v>
      </c>
      <c r="P335" s="5" t="s">
        <v>54</v>
      </c>
      <c r="Q335" s="5">
        <v>1</v>
      </c>
      <c r="R335" s="5" t="s">
        <v>48</v>
      </c>
      <c r="S335" s="5">
        <v>9985</v>
      </c>
      <c r="T335" s="5">
        <v>9262</v>
      </c>
      <c r="U335" s="5">
        <v>8</v>
      </c>
      <c r="V335" s="5" t="s">
        <v>42</v>
      </c>
      <c r="W335" s="5" t="s">
        <v>43</v>
      </c>
      <c r="X335" s="5">
        <v>16</v>
      </c>
      <c r="Y335" s="5">
        <v>3</v>
      </c>
      <c r="Z335" s="5">
        <v>1</v>
      </c>
      <c r="AA335" s="5">
        <v>80</v>
      </c>
      <c r="AB335" s="5">
        <v>1</v>
      </c>
      <c r="AC335" s="5">
        <v>10</v>
      </c>
      <c r="AD335" s="5">
        <v>1</v>
      </c>
      <c r="AE335" s="5">
        <v>2</v>
      </c>
      <c r="AF335" s="5">
        <v>1</v>
      </c>
      <c r="AG335" s="5">
        <v>0</v>
      </c>
      <c r="AH335" s="5">
        <v>0</v>
      </c>
      <c r="AI335" s="5">
        <v>0</v>
      </c>
    </row>
    <row r="336" spans="1:35" x14ac:dyDescent="0.25">
      <c r="A336" s="5">
        <v>45</v>
      </c>
      <c r="B336" s="5" t="s">
        <v>43</v>
      </c>
      <c r="C336" s="5" t="s">
        <v>36</v>
      </c>
      <c r="D336" s="5">
        <v>549</v>
      </c>
      <c r="E336" s="5" t="s">
        <v>45</v>
      </c>
      <c r="F336" s="5">
        <v>8</v>
      </c>
      <c r="G336" s="5">
        <v>4</v>
      </c>
      <c r="H336" s="5" t="s">
        <v>49</v>
      </c>
      <c r="I336" s="5">
        <v>1</v>
      </c>
      <c r="J336" s="5">
        <v>452</v>
      </c>
      <c r="K336" s="5">
        <v>4</v>
      </c>
      <c r="L336" s="5" t="s">
        <v>46</v>
      </c>
      <c r="M336" s="5">
        <v>75</v>
      </c>
      <c r="N336" s="5">
        <v>3</v>
      </c>
      <c r="O336" s="5">
        <v>2</v>
      </c>
      <c r="P336" s="5" t="s">
        <v>47</v>
      </c>
      <c r="Q336" s="5">
        <v>4</v>
      </c>
      <c r="R336" s="5" t="s">
        <v>48</v>
      </c>
      <c r="S336" s="5">
        <v>3697</v>
      </c>
      <c r="T336" s="5">
        <v>9278</v>
      </c>
      <c r="U336" s="5">
        <v>9</v>
      </c>
      <c r="V336" s="5" t="s">
        <v>42</v>
      </c>
      <c r="W336" s="5" t="s">
        <v>43</v>
      </c>
      <c r="X336" s="5">
        <v>14</v>
      </c>
      <c r="Y336" s="5">
        <v>3</v>
      </c>
      <c r="Z336" s="5">
        <v>1</v>
      </c>
      <c r="AA336" s="5">
        <v>80</v>
      </c>
      <c r="AB336" s="5">
        <v>2</v>
      </c>
      <c r="AC336" s="5">
        <v>12</v>
      </c>
      <c r="AD336" s="5">
        <v>3</v>
      </c>
      <c r="AE336" s="5">
        <v>3</v>
      </c>
      <c r="AF336" s="5">
        <v>10</v>
      </c>
      <c r="AG336" s="5">
        <v>9</v>
      </c>
      <c r="AH336" s="5">
        <v>9</v>
      </c>
      <c r="AI336" s="5">
        <v>8</v>
      </c>
    </row>
    <row r="337" spans="1:35" x14ac:dyDescent="0.25">
      <c r="A337" s="5">
        <v>40</v>
      </c>
      <c r="B337" s="5" t="s">
        <v>43</v>
      </c>
      <c r="C337" s="5" t="s">
        <v>36</v>
      </c>
      <c r="D337" s="5">
        <v>1124</v>
      </c>
      <c r="E337" s="5" t="s">
        <v>37</v>
      </c>
      <c r="F337" s="5">
        <v>1</v>
      </c>
      <c r="G337" s="5">
        <v>2</v>
      </c>
      <c r="H337" s="5" t="s">
        <v>51</v>
      </c>
      <c r="I337" s="5">
        <v>1</v>
      </c>
      <c r="J337" s="5">
        <v>453</v>
      </c>
      <c r="K337" s="5">
        <v>2</v>
      </c>
      <c r="L337" s="5" t="s">
        <v>46</v>
      </c>
      <c r="M337" s="5">
        <v>57</v>
      </c>
      <c r="N337" s="5">
        <v>1</v>
      </c>
      <c r="O337" s="5">
        <v>2</v>
      </c>
      <c r="P337" s="5" t="s">
        <v>40</v>
      </c>
      <c r="Q337" s="5">
        <v>4</v>
      </c>
      <c r="R337" s="5" t="s">
        <v>48</v>
      </c>
      <c r="S337" s="5">
        <v>7457</v>
      </c>
      <c r="T337" s="5">
        <v>13273</v>
      </c>
      <c r="U337" s="5">
        <v>2</v>
      </c>
      <c r="V337" s="5" t="s">
        <v>42</v>
      </c>
      <c r="W337" s="5" t="s">
        <v>35</v>
      </c>
      <c r="X337" s="5">
        <v>22</v>
      </c>
      <c r="Y337" s="5">
        <v>4</v>
      </c>
      <c r="Z337" s="5">
        <v>3</v>
      </c>
      <c r="AA337" s="5">
        <v>80</v>
      </c>
      <c r="AB337" s="5">
        <v>3</v>
      </c>
      <c r="AC337" s="5">
        <v>6</v>
      </c>
      <c r="AD337" s="5">
        <v>2</v>
      </c>
      <c r="AE337" s="5">
        <v>2</v>
      </c>
      <c r="AF337" s="5">
        <v>4</v>
      </c>
      <c r="AG337" s="5">
        <v>3</v>
      </c>
      <c r="AH337" s="5">
        <v>0</v>
      </c>
      <c r="AI337" s="5">
        <v>2</v>
      </c>
    </row>
    <row r="338" spans="1:35" x14ac:dyDescent="0.25">
      <c r="A338" s="5">
        <v>29</v>
      </c>
      <c r="B338" s="5" t="s">
        <v>35</v>
      </c>
      <c r="C338" s="5" t="s">
        <v>36</v>
      </c>
      <c r="D338" s="5">
        <v>318</v>
      </c>
      <c r="E338" s="5" t="s">
        <v>45</v>
      </c>
      <c r="F338" s="5">
        <v>8</v>
      </c>
      <c r="G338" s="5">
        <v>4</v>
      </c>
      <c r="H338" s="5" t="s">
        <v>49</v>
      </c>
      <c r="I338" s="5">
        <v>1</v>
      </c>
      <c r="J338" s="5">
        <v>454</v>
      </c>
      <c r="K338" s="5">
        <v>2</v>
      </c>
      <c r="L338" s="5" t="s">
        <v>46</v>
      </c>
      <c r="M338" s="5">
        <v>77</v>
      </c>
      <c r="N338" s="5">
        <v>1</v>
      </c>
      <c r="O338" s="5">
        <v>1</v>
      </c>
      <c r="P338" s="5" t="s">
        <v>50</v>
      </c>
      <c r="Q338" s="5">
        <v>1</v>
      </c>
      <c r="R338" s="5" t="s">
        <v>48</v>
      </c>
      <c r="S338" s="5">
        <v>2119</v>
      </c>
      <c r="T338" s="5">
        <v>4759</v>
      </c>
      <c r="U338" s="5">
        <v>1</v>
      </c>
      <c r="V338" s="5" t="s">
        <v>42</v>
      </c>
      <c r="W338" s="5" t="s">
        <v>35</v>
      </c>
      <c r="X338" s="5">
        <v>11</v>
      </c>
      <c r="Y338" s="5">
        <v>3</v>
      </c>
      <c r="Z338" s="5">
        <v>4</v>
      </c>
      <c r="AA338" s="5">
        <v>80</v>
      </c>
      <c r="AB338" s="5">
        <v>0</v>
      </c>
      <c r="AC338" s="5">
        <v>7</v>
      </c>
      <c r="AD338" s="5">
        <v>4</v>
      </c>
      <c r="AE338" s="5">
        <v>2</v>
      </c>
      <c r="AF338" s="5">
        <v>7</v>
      </c>
      <c r="AG338" s="5">
        <v>7</v>
      </c>
      <c r="AH338" s="5">
        <v>0</v>
      </c>
      <c r="AI338" s="5">
        <v>7</v>
      </c>
    </row>
    <row r="339" spans="1:35" x14ac:dyDescent="0.25">
      <c r="A339" s="5">
        <v>29</v>
      </c>
      <c r="B339" s="5" t="s">
        <v>43</v>
      </c>
      <c r="C339" s="5" t="s">
        <v>36</v>
      </c>
      <c r="D339" s="5">
        <v>738</v>
      </c>
      <c r="E339" s="5" t="s">
        <v>45</v>
      </c>
      <c r="F339" s="5">
        <v>9</v>
      </c>
      <c r="G339" s="5">
        <v>5</v>
      </c>
      <c r="H339" s="5" t="s">
        <v>49</v>
      </c>
      <c r="I339" s="5">
        <v>1</v>
      </c>
      <c r="J339" s="5">
        <v>455</v>
      </c>
      <c r="K339" s="5">
        <v>2</v>
      </c>
      <c r="L339" s="5" t="s">
        <v>46</v>
      </c>
      <c r="M339" s="5">
        <v>30</v>
      </c>
      <c r="N339" s="5">
        <v>2</v>
      </c>
      <c r="O339" s="5">
        <v>1</v>
      </c>
      <c r="P339" s="5" t="s">
        <v>50</v>
      </c>
      <c r="Q339" s="5">
        <v>4</v>
      </c>
      <c r="R339" s="5" t="s">
        <v>41</v>
      </c>
      <c r="S339" s="5">
        <v>3983</v>
      </c>
      <c r="T339" s="5">
        <v>7621</v>
      </c>
      <c r="U339" s="5">
        <v>0</v>
      </c>
      <c r="V339" s="5" t="s">
        <v>42</v>
      </c>
      <c r="W339" s="5" t="s">
        <v>43</v>
      </c>
      <c r="X339" s="5">
        <v>17</v>
      </c>
      <c r="Y339" s="5">
        <v>3</v>
      </c>
      <c r="Z339" s="5">
        <v>3</v>
      </c>
      <c r="AA339" s="5">
        <v>80</v>
      </c>
      <c r="AB339" s="5">
        <v>0</v>
      </c>
      <c r="AC339" s="5">
        <v>4</v>
      </c>
      <c r="AD339" s="5">
        <v>2</v>
      </c>
      <c r="AE339" s="5">
        <v>3</v>
      </c>
      <c r="AF339" s="5">
        <v>3</v>
      </c>
      <c r="AG339" s="5">
        <v>2</v>
      </c>
      <c r="AH339" s="5">
        <v>2</v>
      </c>
      <c r="AI339" s="5">
        <v>2</v>
      </c>
    </row>
    <row r="340" spans="1:35" x14ac:dyDescent="0.25">
      <c r="A340" s="5">
        <v>30</v>
      </c>
      <c r="B340" s="5" t="s">
        <v>43</v>
      </c>
      <c r="C340" s="5" t="s">
        <v>36</v>
      </c>
      <c r="D340" s="5">
        <v>570</v>
      </c>
      <c r="E340" s="5" t="s">
        <v>37</v>
      </c>
      <c r="F340" s="5">
        <v>5</v>
      </c>
      <c r="G340" s="5">
        <v>3</v>
      </c>
      <c r="H340" s="5" t="s">
        <v>59</v>
      </c>
      <c r="I340" s="5">
        <v>1</v>
      </c>
      <c r="J340" s="5">
        <v>456</v>
      </c>
      <c r="K340" s="5">
        <v>4</v>
      </c>
      <c r="L340" s="5" t="s">
        <v>39</v>
      </c>
      <c r="M340" s="5">
        <v>30</v>
      </c>
      <c r="N340" s="5">
        <v>2</v>
      </c>
      <c r="O340" s="5">
        <v>2</v>
      </c>
      <c r="P340" s="5" t="s">
        <v>40</v>
      </c>
      <c r="Q340" s="5">
        <v>3</v>
      </c>
      <c r="R340" s="5" t="s">
        <v>52</v>
      </c>
      <c r="S340" s="5">
        <v>6118</v>
      </c>
      <c r="T340" s="5">
        <v>5431</v>
      </c>
      <c r="U340" s="5">
        <v>1</v>
      </c>
      <c r="V340" s="5" t="s">
        <v>42</v>
      </c>
      <c r="W340" s="5" t="s">
        <v>43</v>
      </c>
      <c r="X340" s="5">
        <v>13</v>
      </c>
      <c r="Y340" s="5">
        <v>3</v>
      </c>
      <c r="Z340" s="5">
        <v>3</v>
      </c>
      <c r="AA340" s="5">
        <v>80</v>
      </c>
      <c r="AB340" s="5">
        <v>3</v>
      </c>
      <c r="AC340" s="5">
        <v>10</v>
      </c>
      <c r="AD340" s="5">
        <v>2</v>
      </c>
      <c r="AE340" s="5">
        <v>3</v>
      </c>
      <c r="AF340" s="5">
        <v>10</v>
      </c>
      <c r="AG340" s="5">
        <v>9</v>
      </c>
      <c r="AH340" s="5">
        <v>1</v>
      </c>
      <c r="AI340" s="5">
        <v>2</v>
      </c>
    </row>
    <row r="341" spans="1:35" x14ac:dyDescent="0.25">
      <c r="A341" s="5">
        <v>27</v>
      </c>
      <c r="B341" s="5" t="s">
        <v>43</v>
      </c>
      <c r="C341" s="5" t="s">
        <v>36</v>
      </c>
      <c r="D341" s="5">
        <v>1130</v>
      </c>
      <c r="E341" s="5" t="s">
        <v>37</v>
      </c>
      <c r="F341" s="5">
        <v>8</v>
      </c>
      <c r="G341" s="5">
        <v>4</v>
      </c>
      <c r="H341" s="5" t="s">
        <v>59</v>
      </c>
      <c r="I341" s="5">
        <v>1</v>
      </c>
      <c r="J341" s="5">
        <v>458</v>
      </c>
      <c r="K341" s="5">
        <v>2</v>
      </c>
      <c r="L341" s="5" t="s">
        <v>39</v>
      </c>
      <c r="M341" s="5">
        <v>56</v>
      </c>
      <c r="N341" s="5">
        <v>3</v>
      </c>
      <c r="O341" s="5">
        <v>2</v>
      </c>
      <c r="P341" s="5" t="s">
        <v>40</v>
      </c>
      <c r="Q341" s="5">
        <v>2</v>
      </c>
      <c r="R341" s="5" t="s">
        <v>48</v>
      </c>
      <c r="S341" s="5">
        <v>6214</v>
      </c>
      <c r="T341" s="5">
        <v>3415</v>
      </c>
      <c r="U341" s="5">
        <v>1</v>
      </c>
      <c r="V341" s="5" t="s">
        <v>42</v>
      </c>
      <c r="W341" s="5" t="s">
        <v>43</v>
      </c>
      <c r="X341" s="5">
        <v>18</v>
      </c>
      <c r="Y341" s="5">
        <v>3</v>
      </c>
      <c r="Z341" s="5">
        <v>1</v>
      </c>
      <c r="AA341" s="5">
        <v>80</v>
      </c>
      <c r="AB341" s="5">
        <v>1</v>
      </c>
      <c r="AC341" s="5">
        <v>8</v>
      </c>
      <c r="AD341" s="5">
        <v>3</v>
      </c>
      <c r="AE341" s="5">
        <v>3</v>
      </c>
      <c r="AF341" s="5">
        <v>8</v>
      </c>
      <c r="AG341" s="5">
        <v>7</v>
      </c>
      <c r="AH341" s="5">
        <v>0</v>
      </c>
      <c r="AI341" s="5">
        <v>7</v>
      </c>
    </row>
    <row r="342" spans="1:35" x14ac:dyDescent="0.25">
      <c r="A342" s="5">
        <v>37</v>
      </c>
      <c r="B342" s="5" t="s">
        <v>43</v>
      </c>
      <c r="C342" s="5" t="s">
        <v>36</v>
      </c>
      <c r="D342" s="5">
        <v>1192</v>
      </c>
      <c r="E342" s="5" t="s">
        <v>45</v>
      </c>
      <c r="F342" s="5">
        <v>5</v>
      </c>
      <c r="G342" s="5">
        <v>2</v>
      </c>
      <c r="H342" s="5" t="s">
        <v>51</v>
      </c>
      <c r="I342" s="5">
        <v>1</v>
      </c>
      <c r="J342" s="5">
        <v>460</v>
      </c>
      <c r="K342" s="5">
        <v>4</v>
      </c>
      <c r="L342" s="5" t="s">
        <v>46</v>
      </c>
      <c r="M342" s="5">
        <v>61</v>
      </c>
      <c r="N342" s="5">
        <v>3</v>
      </c>
      <c r="O342" s="5">
        <v>2</v>
      </c>
      <c r="P342" s="5" t="s">
        <v>53</v>
      </c>
      <c r="Q342" s="5">
        <v>4</v>
      </c>
      <c r="R342" s="5" t="s">
        <v>52</v>
      </c>
      <c r="S342" s="5">
        <v>6347</v>
      </c>
      <c r="T342" s="5">
        <v>23177</v>
      </c>
      <c r="U342" s="5">
        <v>7</v>
      </c>
      <c r="V342" s="5" t="s">
        <v>42</v>
      </c>
      <c r="W342" s="5" t="s">
        <v>43</v>
      </c>
      <c r="X342" s="5">
        <v>16</v>
      </c>
      <c r="Y342" s="5">
        <v>3</v>
      </c>
      <c r="Z342" s="5">
        <v>3</v>
      </c>
      <c r="AA342" s="5">
        <v>80</v>
      </c>
      <c r="AB342" s="5">
        <v>2</v>
      </c>
      <c r="AC342" s="5">
        <v>8</v>
      </c>
      <c r="AD342" s="5">
        <v>2</v>
      </c>
      <c r="AE342" s="5">
        <v>2</v>
      </c>
      <c r="AF342" s="5">
        <v>6</v>
      </c>
      <c r="AG342" s="5">
        <v>2</v>
      </c>
      <c r="AH342" s="5">
        <v>0</v>
      </c>
      <c r="AI342" s="5">
        <v>4</v>
      </c>
    </row>
    <row r="343" spans="1:35" x14ac:dyDescent="0.25">
      <c r="A343" s="5">
        <v>38</v>
      </c>
      <c r="B343" s="5" t="s">
        <v>43</v>
      </c>
      <c r="C343" s="5" t="s">
        <v>36</v>
      </c>
      <c r="D343" s="5">
        <v>343</v>
      </c>
      <c r="E343" s="5" t="s">
        <v>45</v>
      </c>
      <c r="F343" s="5">
        <v>15</v>
      </c>
      <c r="G343" s="5">
        <v>2</v>
      </c>
      <c r="H343" s="5" t="s">
        <v>38</v>
      </c>
      <c r="I343" s="5">
        <v>1</v>
      </c>
      <c r="J343" s="5">
        <v>461</v>
      </c>
      <c r="K343" s="5">
        <v>3</v>
      </c>
      <c r="L343" s="5" t="s">
        <v>46</v>
      </c>
      <c r="M343" s="5">
        <v>92</v>
      </c>
      <c r="N343" s="5">
        <v>2</v>
      </c>
      <c r="O343" s="5">
        <v>3</v>
      </c>
      <c r="P343" s="5" t="s">
        <v>58</v>
      </c>
      <c r="Q343" s="5">
        <v>4</v>
      </c>
      <c r="R343" s="5" t="s">
        <v>52</v>
      </c>
      <c r="S343" s="5">
        <v>11510</v>
      </c>
      <c r="T343" s="5">
        <v>15682</v>
      </c>
      <c r="U343" s="5">
        <v>0</v>
      </c>
      <c r="V343" s="5" t="s">
        <v>42</v>
      </c>
      <c r="W343" s="5" t="s">
        <v>35</v>
      </c>
      <c r="X343" s="5">
        <v>14</v>
      </c>
      <c r="Y343" s="5">
        <v>3</v>
      </c>
      <c r="Z343" s="5">
        <v>2</v>
      </c>
      <c r="AA343" s="5">
        <v>80</v>
      </c>
      <c r="AB343" s="5">
        <v>1</v>
      </c>
      <c r="AC343" s="5">
        <v>12</v>
      </c>
      <c r="AD343" s="5">
        <v>3</v>
      </c>
      <c r="AE343" s="5">
        <v>3</v>
      </c>
      <c r="AF343" s="5">
        <v>11</v>
      </c>
      <c r="AG343" s="5">
        <v>10</v>
      </c>
      <c r="AH343" s="5">
        <v>2</v>
      </c>
      <c r="AI343" s="5">
        <v>9</v>
      </c>
    </row>
    <row r="344" spans="1:35" x14ac:dyDescent="0.25">
      <c r="A344" s="5">
        <v>31</v>
      </c>
      <c r="B344" s="5" t="s">
        <v>43</v>
      </c>
      <c r="C344" s="5" t="s">
        <v>36</v>
      </c>
      <c r="D344" s="5">
        <v>1232</v>
      </c>
      <c r="E344" s="5" t="s">
        <v>45</v>
      </c>
      <c r="F344" s="5">
        <v>7</v>
      </c>
      <c r="G344" s="5">
        <v>4</v>
      </c>
      <c r="H344" s="5" t="s">
        <v>51</v>
      </c>
      <c r="I344" s="5">
        <v>1</v>
      </c>
      <c r="J344" s="5">
        <v>462</v>
      </c>
      <c r="K344" s="5">
        <v>3</v>
      </c>
      <c r="L344" s="5" t="s">
        <v>39</v>
      </c>
      <c r="M344" s="5">
        <v>39</v>
      </c>
      <c r="N344" s="5">
        <v>3</v>
      </c>
      <c r="O344" s="5">
        <v>3</v>
      </c>
      <c r="P344" s="5" t="s">
        <v>53</v>
      </c>
      <c r="Q344" s="5">
        <v>4</v>
      </c>
      <c r="R344" s="5" t="s">
        <v>41</v>
      </c>
      <c r="S344" s="5">
        <v>7143</v>
      </c>
      <c r="T344" s="5">
        <v>25713</v>
      </c>
      <c r="U344" s="5">
        <v>1</v>
      </c>
      <c r="V344" s="5" t="s">
        <v>42</v>
      </c>
      <c r="W344" s="5" t="s">
        <v>35</v>
      </c>
      <c r="X344" s="5">
        <v>14</v>
      </c>
      <c r="Y344" s="5">
        <v>3</v>
      </c>
      <c r="Z344" s="5">
        <v>3</v>
      </c>
      <c r="AA344" s="5">
        <v>80</v>
      </c>
      <c r="AB344" s="5">
        <v>0</v>
      </c>
      <c r="AC344" s="5">
        <v>11</v>
      </c>
      <c r="AD344" s="5">
        <v>2</v>
      </c>
      <c r="AE344" s="5">
        <v>2</v>
      </c>
      <c r="AF344" s="5">
        <v>11</v>
      </c>
      <c r="AG344" s="5">
        <v>9</v>
      </c>
      <c r="AH344" s="5">
        <v>4</v>
      </c>
      <c r="AI344" s="5">
        <v>10</v>
      </c>
    </row>
    <row r="345" spans="1:35" x14ac:dyDescent="0.25">
      <c r="A345" s="5">
        <v>29</v>
      </c>
      <c r="B345" s="5" t="s">
        <v>43</v>
      </c>
      <c r="C345" s="5" t="s">
        <v>36</v>
      </c>
      <c r="D345" s="5">
        <v>144</v>
      </c>
      <c r="E345" s="5" t="s">
        <v>37</v>
      </c>
      <c r="F345" s="5">
        <v>10</v>
      </c>
      <c r="G345" s="5">
        <v>1</v>
      </c>
      <c r="H345" s="5" t="s">
        <v>59</v>
      </c>
      <c r="I345" s="5">
        <v>1</v>
      </c>
      <c r="J345" s="5">
        <v>463</v>
      </c>
      <c r="K345" s="5">
        <v>4</v>
      </c>
      <c r="L345" s="5" t="s">
        <v>39</v>
      </c>
      <c r="M345" s="5">
        <v>39</v>
      </c>
      <c r="N345" s="5">
        <v>2</v>
      </c>
      <c r="O345" s="5">
        <v>2</v>
      </c>
      <c r="P345" s="5" t="s">
        <v>40</v>
      </c>
      <c r="Q345" s="5">
        <v>2</v>
      </c>
      <c r="R345" s="5" t="s">
        <v>52</v>
      </c>
      <c r="S345" s="5">
        <v>8268</v>
      </c>
      <c r="T345" s="5">
        <v>11866</v>
      </c>
      <c r="U345" s="5">
        <v>1</v>
      </c>
      <c r="V345" s="5" t="s">
        <v>42</v>
      </c>
      <c r="W345" s="5" t="s">
        <v>35</v>
      </c>
      <c r="X345" s="5">
        <v>14</v>
      </c>
      <c r="Y345" s="5">
        <v>3</v>
      </c>
      <c r="Z345" s="5">
        <v>1</v>
      </c>
      <c r="AA345" s="5">
        <v>80</v>
      </c>
      <c r="AB345" s="5">
        <v>2</v>
      </c>
      <c r="AC345" s="5">
        <v>7</v>
      </c>
      <c r="AD345" s="5">
        <v>2</v>
      </c>
      <c r="AE345" s="5">
        <v>3</v>
      </c>
      <c r="AF345" s="5">
        <v>7</v>
      </c>
      <c r="AG345" s="5">
        <v>7</v>
      </c>
      <c r="AH345" s="5">
        <v>1</v>
      </c>
      <c r="AI345" s="5">
        <v>7</v>
      </c>
    </row>
    <row r="346" spans="1:35" x14ac:dyDescent="0.25">
      <c r="A346" s="5">
        <v>35</v>
      </c>
      <c r="B346" s="5" t="s">
        <v>43</v>
      </c>
      <c r="C346" s="5" t="s">
        <v>36</v>
      </c>
      <c r="D346" s="5">
        <v>1296</v>
      </c>
      <c r="E346" s="5" t="s">
        <v>45</v>
      </c>
      <c r="F346" s="5">
        <v>5</v>
      </c>
      <c r="G346" s="5">
        <v>4</v>
      </c>
      <c r="H346" s="5" t="s">
        <v>60</v>
      </c>
      <c r="I346" s="5">
        <v>1</v>
      </c>
      <c r="J346" s="5">
        <v>464</v>
      </c>
      <c r="K346" s="5">
        <v>3</v>
      </c>
      <c r="L346" s="5" t="s">
        <v>46</v>
      </c>
      <c r="M346" s="5">
        <v>62</v>
      </c>
      <c r="N346" s="5">
        <v>3</v>
      </c>
      <c r="O346" s="5">
        <v>3</v>
      </c>
      <c r="P346" s="5" t="s">
        <v>53</v>
      </c>
      <c r="Q346" s="5">
        <v>2</v>
      </c>
      <c r="R346" s="5" t="s">
        <v>41</v>
      </c>
      <c r="S346" s="5">
        <v>8095</v>
      </c>
      <c r="T346" s="5">
        <v>18264</v>
      </c>
      <c r="U346" s="5">
        <v>0</v>
      </c>
      <c r="V346" s="5" t="s">
        <v>42</v>
      </c>
      <c r="W346" s="5" t="s">
        <v>43</v>
      </c>
      <c r="X346" s="5">
        <v>13</v>
      </c>
      <c r="Y346" s="5">
        <v>3</v>
      </c>
      <c r="Z346" s="5">
        <v>4</v>
      </c>
      <c r="AA346" s="5">
        <v>80</v>
      </c>
      <c r="AB346" s="5">
        <v>0</v>
      </c>
      <c r="AC346" s="5">
        <v>17</v>
      </c>
      <c r="AD346" s="5">
        <v>5</v>
      </c>
      <c r="AE346" s="5">
        <v>3</v>
      </c>
      <c r="AF346" s="5">
        <v>16</v>
      </c>
      <c r="AG346" s="5">
        <v>6</v>
      </c>
      <c r="AH346" s="5">
        <v>0</v>
      </c>
      <c r="AI346" s="5">
        <v>13</v>
      </c>
    </row>
    <row r="347" spans="1:35" x14ac:dyDescent="0.25">
      <c r="A347" s="5">
        <v>23</v>
      </c>
      <c r="B347" s="5" t="s">
        <v>43</v>
      </c>
      <c r="C347" s="5" t="s">
        <v>36</v>
      </c>
      <c r="D347" s="5">
        <v>1309</v>
      </c>
      <c r="E347" s="5" t="s">
        <v>45</v>
      </c>
      <c r="F347" s="5">
        <v>26</v>
      </c>
      <c r="G347" s="5">
        <v>1</v>
      </c>
      <c r="H347" s="5" t="s">
        <v>38</v>
      </c>
      <c r="I347" s="5">
        <v>1</v>
      </c>
      <c r="J347" s="5">
        <v>465</v>
      </c>
      <c r="K347" s="5">
        <v>3</v>
      </c>
      <c r="L347" s="5" t="s">
        <v>46</v>
      </c>
      <c r="M347" s="5">
        <v>83</v>
      </c>
      <c r="N347" s="5">
        <v>3</v>
      </c>
      <c r="O347" s="5">
        <v>1</v>
      </c>
      <c r="P347" s="5" t="s">
        <v>47</v>
      </c>
      <c r="Q347" s="5">
        <v>4</v>
      </c>
      <c r="R347" s="5" t="s">
        <v>52</v>
      </c>
      <c r="S347" s="5">
        <v>2904</v>
      </c>
      <c r="T347" s="5">
        <v>16092</v>
      </c>
      <c r="U347" s="5">
        <v>1</v>
      </c>
      <c r="V347" s="5" t="s">
        <v>42</v>
      </c>
      <c r="W347" s="5" t="s">
        <v>43</v>
      </c>
      <c r="X347" s="5">
        <v>12</v>
      </c>
      <c r="Y347" s="5">
        <v>3</v>
      </c>
      <c r="Z347" s="5">
        <v>3</v>
      </c>
      <c r="AA347" s="5">
        <v>80</v>
      </c>
      <c r="AB347" s="5">
        <v>2</v>
      </c>
      <c r="AC347" s="5">
        <v>4</v>
      </c>
      <c r="AD347" s="5">
        <v>2</v>
      </c>
      <c r="AE347" s="5">
        <v>2</v>
      </c>
      <c r="AF347" s="5">
        <v>4</v>
      </c>
      <c r="AG347" s="5">
        <v>2</v>
      </c>
      <c r="AH347" s="5">
        <v>0</v>
      </c>
      <c r="AI347" s="5">
        <v>2</v>
      </c>
    </row>
    <row r="348" spans="1:35" x14ac:dyDescent="0.25">
      <c r="A348" s="5">
        <v>41</v>
      </c>
      <c r="B348" s="5" t="s">
        <v>43</v>
      </c>
      <c r="C348" s="5" t="s">
        <v>36</v>
      </c>
      <c r="D348" s="5">
        <v>483</v>
      </c>
      <c r="E348" s="5" t="s">
        <v>45</v>
      </c>
      <c r="F348" s="5">
        <v>6</v>
      </c>
      <c r="G348" s="5">
        <v>3</v>
      </c>
      <c r="H348" s="5" t="s">
        <v>51</v>
      </c>
      <c r="I348" s="5">
        <v>1</v>
      </c>
      <c r="J348" s="5">
        <v>466</v>
      </c>
      <c r="K348" s="5">
        <v>4</v>
      </c>
      <c r="L348" s="5" t="s">
        <v>46</v>
      </c>
      <c r="M348" s="5">
        <v>95</v>
      </c>
      <c r="N348" s="5">
        <v>2</v>
      </c>
      <c r="O348" s="5">
        <v>2</v>
      </c>
      <c r="P348" s="5" t="s">
        <v>53</v>
      </c>
      <c r="Q348" s="5">
        <v>2</v>
      </c>
      <c r="R348" s="5" t="s">
        <v>41</v>
      </c>
      <c r="S348" s="5">
        <v>6032</v>
      </c>
      <c r="T348" s="5">
        <v>10110</v>
      </c>
      <c r="U348" s="5">
        <v>6</v>
      </c>
      <c r="V348" s="5" t="s">
        <v>42</v>
      </c>
      <c r="W348" s="5" t="s">
        <v>35</v>
      </c>
      <c r="X348" s="5">
        <v>15</v>
      </c>
      <c r="Y348" s="5">
        <v>3</v>
      </c>
      <c r="Z348" s="5">
        <v>4</v>
      </c>
      <c r="AA348" s="5">
        <v>80</v>
      </c>
      <c r="AB348" s="5">
        <v>0</v>
      </c>
      <c r="AC348" s="5">
        <v>8</v>
      </c>
      <c r="AD348" s="5">
        <v>3</v>
      </c>
      <c r="AE348" s="5">
        <v>3</v>
      </c>
      <c r="AF348" s="5">
        <v>5</v>
      </c>
      <c r="AG348" s="5">
        <v>4</v>
      </c>
      <c r="AH348" s="5">
        <v>1</v>
      </c>
      <c r="AI348" s="5">
        <v>2</v>
      </c>
    </row>
    <row r="349" spans="1:35" x14ac:dyDescent="0.25">
      <c r="A349" s="5">
        <v>47</v>
      </c>
      <c r="B349" s="5" t="s">
        <v>43</v>
      </c>
      <c r="C349" s="5" t="s">
        <v>44</v>
      </c>
      <c r="D349" s="5">
        <v>1309</v>
      </c>
      <c r="E349" s="5" t="s">
        <v>37</v>
      </c>
      <c r="F349" s="5">
        <v>4</v>
      </c>
      <c r="G349" s="5">
        <v>1</v>
      </c>
      <c r="H349" s="5" t="s">
        <v>51</v>
      </c>
      <c r="I349" s="5">
        <v>1</v>
      </c>
      <c r="J349" s="5">
        <v>467</v>
      </c>
      <c r="K349" s="5">
        <v>2</v>
      </c>
      <c r="L349" s="5" t="s">
        <v>46</v>
      </c>
      <c r="M349" s="5">
        <v>99</v>
      </c>
      <c r="N349" s="5">
        <v>3</v>
      </c>
      <c r="O349" s="5">
        <v>2</v>
      </c>
      <c r="P349" s="5" t="s">
        <v>57</v>
      </c>
      <c r="Q349" s="5">
        <v>3</v>
      </c>
      <c r="R349" s="5" t="s">
        <v>41</v>
      </c>
      <c r="S349" s="5">
        <v>2976</v>
      </c>
      <c r="T349" s="5">
        <v>25751</v>
      </c>
      <c r="U349" s="5">
        <v>3</v>
      </c>
      <c r="V349" s="5" t="s">
        <v>42</v>
      </c>
      <c r="W349" s="5" t="s">
        <v>43</v>
      </c>
      <c r="X349" s="5">
        <v>19</v>
      </c>
      <c r="Y349" s="5">
        <v>3</v>
      </c>
      <c r="Z349" s="5">
        <v>1</v>
      </c>
      <c r="AA349" s="5">
        <v>80</v>
      </c>
      <c r="AB349" s="5">
        <v>0</v>
      </c>
      <c r="AC349" s="5">
        <v>5</v>
      </c>
      <c r="AD349" s="5">
        <v>3</v>
      </c>
      <c r="AE349" s="5">
        <v>3</v>
      </c>
      <c r="AF349" s="5">
        <v>0</v>
      </c>
      <c r="AG349" s="5">
        <v>0</v>
      </c>
      <c r="AH349" s="5">
        <v>0</v>
      </c>
      <c r="AI349" s="5">
        <v>0</v>
      </c>
    </row>
    <row r="350" spans="1:35" x14ac:dyDescent="0.25">
      <c r="A350" s="5">
        <v>42</v>
      </c>
      <c r="B350" s="5" t="s">
        <v>43</v>
      </c>
      <c r="C350" s="5" t="s">
        <v>36</v>
      </c>
      <c r="D350" s="5">
        <v>810</v>
      </c>
      <c r="E350" s="5" t="s">
        <v>45</v>
      </c>
      <c r="F350" s="5">
        <v>23</v>
      </c>
      <c r="G350" s="5">
        <v>5</v>
      </c>
      <c r="H350" s="5" t="s">
        <v>38</v>
      </c>
      <c r="I350" s="5">
        <v>1</v>
      </c>
      <c r="J350" s="5">
        <v>468</v>
      </c>
      <c r="K350" s="5">
        <v>1</v>
      </c>
      <c r="L350" s="5" t="s">
        <v>39</v>
      </c>
      <c r="M350" s="5">
        <v>44</v>
      </c>
      <c r="N350" s="5">
        <v>3</v>
      </c>
      <c r="O350" s="5">
        <v>4</v>
      </c>
      <c r="P350" s="5" t="s">
        <v>58</v>
      </c>
      <c r="Q350" s="5">
        <v>4</v>
      </c>
      <c r="R350" s="5" t="s">
        <v>41</v>
      </c>
      <c r="S350" s="5">
        <v>15992</v>
      </c>
      <c r="T350" s="5">
        <v>15901</v>
      </c>
      <c r="U350" s="5">
        <v>2</v>
      </c>
      <c r="V350" s="5" t="s">
        <v>42</v>
      </c>
      <c r="W350" s="5" t="s">
        <v>43</v>
      </c>
      <c r="X350" s="5">
        <v>14</v>
      </c>
      <c r="Y350" s="5">
        <v>3</v>
      </c>
      <c r="Z350" s="5">
        <v>2</v>
      </c>
      <c r="AA350" s="5">
        <v>80</v>
      </c>
      <c r="AB350" s="5">
        <v>0</v>
      </c>
      <c r="AC350" s="5">
        <v>16</v>
      </c>
      <c r="AD350" s="5">
        <v>2</v>
      </c>
      <c r="AE350" s="5">
        <v>3</v>
      </c>
      <c r="AF350" s="5">
        <v>1</v>
      </c>
      <c r="AG350" s="5">
        <v>0</v>
      </c>
      <c r="AH350" s="5">
        <v>0</v>
      </c>
      <c r="AI350" s="5">
        <v>0</v>
      </c>
    </row>
    <row r="351" spans="1:35" x14ac:dyDescent="0.25">
      <c r="A351" s="5">
        <v>29</v>
      </c>
      <c r="B351" s="5" t="s">
        <v>43</v>
      </c>
      <c r="C351" s="5" t="s">
        <v>55</v>
      </c>
      <c r="D351" s="5">
        <v>746</v>
      </c>
      <c r="E351" s="5" t="s">
        <v>37</v>
      </c>
      <c r="F351" s="5">
        <v>2</v>
      </c>
      <c r="G351" s="5">
        <v>3</v>
      </c>
      <c r="H351" s="5" t="s">
        <v>38</v>
      </c>
      <c r="I351" s="5">
        <v>1</v>
      </c>
      <c r="J351" s="5">
        <v>469</v>
      </c>
      <c r="K351" s="5">
        <v>4</v>
      </c>
      <c r="L351" s="5" t="s">
        <v>46</v>
      </c>
      <c r="M351" s="5">
        <v>61</v>
      </c>
      <c r="N351" s="5">
        <v>3</v>
      </c>
      <c r="O351" s="5">
        <v>2</v>
      </c>
      <c r="P351" s="5" t="s">
        <v>40</v>
      </c>
      <c r="Q351" s="5">
        <v>3</v>
      </c>
      <c r="R351" s="5" t="s">
        <v>48</v>
      </c>
      <c r="S351" s="5">
        <v>4649</v>
      </c>
      <c r="T351" s="5">
        <v>16928</v>
      </c>
      <c r="U351" s="5">
        <v>1</v>
      </c>
      <c r="V351" s="5" t="s">
        <v>42</v>
      </c>
      <c r="W351" s="5" t="s">
        <v>43</v>
      </c>
      <c r="X351" s="5">
        <v>14</v>
      </c>
      <c r="Y351" s="5">
        <v>3</v>
      </c>
      <c r="Z351" s="5">
        <v>1</v>
      </c>
      <c r="AA351" s="5">
        <v>80</v>
      </c>
      <c r="AB351" s="5">
        <v>1</v>
      </c>
      <c r="AC351" s="5">
        <v>4</v>
      </c>
      <c r="AD351" s="5">
        <v>3</v>
      </c>
      <c r="AE351" s="5">
        <v>2</v>
      </c>
      <c r="AF351" s="5">
        <v>4</v>
      </c>
      <c r="AG351" s="5">
        <v>3</v>
      </c>
      <c r="AH351" s="5">
        <v>0</v>
      </c>
      <c r="AI351" s="5">
        <v>2</v>
      </c>
    </row>
    <row r="352" spans="1:35" x14ac:dyDescent="0.25">
      <c r="A352" s="5">
        <v>42</v>
      </c>
      <c r="B352" s="5" t="s">
        <v>43</v>
      </c>
      <c r="C352" s="5" t="s">
        <v>36</v>
      </c>
      <c r="D352" s="5">
        <v>544</v>
      </c>
      <c r="E352" s="5" t="s">
        <v>61</v>
      </c>
      <c r="F352" s="5">
        <v>2</v>
      </c>
      <c r="G352" s="5">
        <v>1</v>
      </c>
      <c r="H352" s="5" t="s">
        <v>60</v>
      </c>
      <c r="I352" s="5">
        <v>1</v>
      </c>
      <c r="J352" s="5">
        <v>470</v>
      </c>
      <c r="K352" s="5">
        <v>3</v>
      </c>
      <c r="L352" s="5" t="s">
        <v>46</v>
      </c>
      <c r="M352" s="5">
        <v>52</v>
      </c>
      <c r="N352" s="5">
        <v>3</v>
      </c>
      <c r="O352" s="5">
        <v>1</v>
      </c>
      <c r="P352" s="5" t="s">
        <v>61</v>
      </c>
      <c r="Q352" s="5">
        <v>3</v>
      </c>
      <c r="R352" s="5" t="s">
        <v>52</v>
      </c>
      <c r="S352" s="5">
        <v>2696</v>
      </c>
      <c r="T352" s="5">
        <v>24017</v>
      </c>
      <c r="U352" s="5">
        <v>0</v>
      </c>
      <c r="V352" s="5" t="s">
        <v>42</v>
      </c>
      <c r="W352" s="5" t="s">
        <v>35</v>
      </c>
      <c r="X352" s="5">
        <v>11</v>
      </c>
      <c r="Y352" s="5">
        <v>3</v>
      </c>
      <c r="Z352" s="5">
        <v>3</v>
      </c>
      <c r="AA352" s="5">
        <v>80</v>
      </c>
      <c r="AB352" s="5">
        <v>1</v>
      </c>
      <c r="AC352" s="5">
        <v>4</v>
      </c>
      <c r="AD352" s="5">
        <v>5</v>
      </c>
      <c r="AE352" s="5">
        <v>3</v>
      </c>
      <c r="AF352" s="5">
        <v>3</v>
      </c>
      <c r="AG352" s="5">
        <v>2</v>
      </c>
      <c r="AH352" s="5">
        <v>1</v>
      </c>
      <c r="AI352" s="5">
        <v>0</v>
      </c>
    </row>
    <row r="353" spans="1:35" x14ac:dyDescent="0.25">
      <c r="A353" s="5">
        <v>32</v>
      </c>
      <c r="B353" s="5" t="s">
        <v>43</v>
      </c>
      <c r="C353" s="5" t="s">
        <v>36</v>
      </c>
      <c r="D353" s="5">
        <v>1062</v>
      </c>
      <c r="E353" s="5" t="s">
        <v>45</v>
      </c>
      <c r="F353" s="5">
        <v>2</v>
      </c>
      <c r="G353" s="5">
        <v>3</v>
      </c>
      <c r="H353" s="5" t="s">
        <v>51</v>
      </c>
      <c r="I353" s="5">
        <v>1</v>
      </c>
      <c r="J353" s="5">
        <v>471</v>
      </c>
      <c r="K353" s="5">
        <v>3</v>
      </c>
      <c r="L353" s="5" t="s">
        <v>39</v>
      </c>
      <c r="M353" s="5">
        <v>75</v>
      </c>
      <c r="N353" s="5">
        <v>3</v>
      </c>
      <c r="O353" s="5">
        <v>1</v>
      </c>
      <c r="P353" s="5" t="s">
        <v>50</v>
      </c>
      <c r="Q353" s="5">
        <v>2</v>
      </c>
      <c r="R353" s="5" t="s">
        <v>48</v>
      </c>
      <c r="S353" s="5">
        <v>2370</v>
      </c>
      <c r="T353" s="5">
        <v>3956</v>
      </c>
      <c r="U353" s="5">
        <v>1</v>
      </c>
      <c r="V353" s="5" t="s">
        <v>42</v>
      </c>
      <c r="W353" s="5" t="s">
        <v>43</v>
      </c>
      <c r="X353" s="5">
        <v>13</v>
      </c>
      <c r="Y353" s="5">
        <v>3</v>
      </c>
      <c r="Z353" s="5">
        <v>3</v>
      </c>
      <c r="AA353" s="5">
        <v>80</v>
      </c>
      <c r="AB353" s="5">
        <v>1</v>
      </c>
      <c r="AC353" s="5">
        <v>8</v>
      </c>
      <c r="AD353" s="5">
        <v>4</v>
      </c>
      <c r="AE353" s="5">
        <v>3</v>
      </c>
      <c r="AF353" s="5">
        <v>8</v>
      </c>
      <c r="AG353" s="5">
        <v>0</v>
      </c>
      <c r="AH353" s="5">
        <v>0</v>
      </c>
      <c r="AI353" s="5">
        <v>7</v>
      </c>
    </row>
    <row r="354" spans="1:35" x14ac:dyDescent="0.25">
      <c r="A354" s="5">
        <v>48</v>
      </c>
      <c r="B354" s="5" t="s">
        <v>43</v>
      </c>
      <c r="C354" s="5" t="s">
        <v>36</v>
      </c>
      <c r="D354" s="5">
        <v>530</v>
      </c>
      <c r="E354" s="5" t="s">
        <v>37</v>
      </c>
      <c r="F354" s="5">
        <v>29</v>
      </c>
      <c r="G354" s="5">
        <v>1</v>
      </c>
      <c r="H354" s="5" t="s">
        <v>51</v>
      </c>
      <c r="I354" s="5">
        <v>1</v>
      </c>
      <c r="J354" s="5">
        <v>473</v>
      </c>
      <c r="K354" s="5">
        <v>1</v>
      </c>
      <c r="L354" s="5" t="s">
        <v>39</v>
      </c>
      <c r="M354" s="5">
        <v>91</v>
      </c>
      <c r="N354" s="5">
        <v>3</v>
      </c>
      <c r="O354" s="5">
        <v>3</v>
      </c>
      <c r="P354" s="5" t="s">
        <v>56</v>
      </c>
      <c r="Q354" s="5">
        <v>3</v>
      </c>
      <c r="R354" s="5" t="s">
        <v>48</v>
      </c>
      <c r="S354" s="5">
        <v>12504</v>
      </c>
      <c r="T354" s="5">
        <v>23978</v>
      </c>
      <c r="U354" s="5">
        <v>3</v>
      </c>
      <c r="V354" s="5" t="s">
        <v>42</v>
      </c>
      <c r="W354" s="5" t="s">
        <v>43</v>
      </c>
      <c r="X354" s="5">
        <v>21</v>
      </c>
      <c r="Y354" s="5">
        <v>4</v>
      </c>
      <c r="Z354" s="5">
        <v>2</v>
      </c>
      <c r="AA354" s="5">
        <v>80</v>
      </c>
      <c r="AB354" s="5">
        <v>1</v>
      </c>
      <c r="AC354" s="5">
        <v>15</v>
      </c>
      <c r="AD354" s="5">
        <v>3</v>
      </c>
      <c r="AE354" s="5">
        <v>1</v>
      </c>
      <c r="AF354" s="5">
        <v>0</v>
      </c>
      <c r="AG354" s="5">
        <v>0</v>
      </c>
      <c r="AH354" s="5">
        <v>0</v>
      </c>
      <c r="AI354" s="5">
        <v>0</v>
      </c>
    </row>
    <row r="355" spans="1:35" x14ac:dyDescent="0.25">
      <c r="A355" s="5">
        <v>37</v>
      </c>
      <c r="B355" s="5" t="s">
        <v>43</v>
      </c>
      <c r="C355" s="5" t="s">
        <v>36</v>
      </c>
      <c r="D355" s="5">
        <v>1319</v>
      </c>
      <c r="E355" s="5" t="s">
        <v>45</v>
      </c>
      <c r="F355" s="5">
        <v>6</v>
      </c>
      <c r="G355" s="5">
        <v>3</v>
      </c>
      <c r="H355" s="5" t="s">
        <v>51</v>
      </c>
      <c r="I355" s="5">
        <v>1</v>
      </c>
      <c r="J355" s="5">
        <v>474</v>
      </c>
      <c r="K355" s="5">
        <v>3</v>
      </c>
      <c r="L355" s="5" t="s">
        <v>46</v>
      </c>
      <c r="M355" s="5">
        <v>51</v>
      </c>
      <c r="N355" s="5">
        <v>4</v>
      </c>
      <c r="O355" s="5">
        <v>2</v>
      </c>
      <c r="P355" s="5" t="s">
        <v>47</v>
      </c>
      <c r="Q355" s="5">
        <v>1</v>
      </c>
      <c r="R355" s="5" t="s">
        <v>52</v>
      </c>
      <c r="S355" s="5">
        <v>5974</v>
      </c>
      <c r="T355" s="5">
        <v>17001</v>
      </c>
      <c r="U355" s="5">
        <v>4</v>
      </c>
      <c r="V355" s="5" t="s">
        <v>42</v>
      </c>
      <c r="W355" s="5" t="s">
        <v>35</v>
      </c>
      <c r="X355" s="5">
        <v>13</v>
      </c>
      <c r="Y355" s="5">
        <v>3</v>
      </c>
      <c r="Z355" s="5">
        <v>1</v>
      </c>
      <c r="AA355" s="5">
        <v>80</v>
      </c>
      <c r="AB355" s="5">
        <v>2</v>
      </c>
      <c r="AC355" s="5">
        <v>13</v>
      </c>
      <c r="AD355" s="5">
        <v>2</v>
      </c>
      <c r="AE355" s="5">
        <v>3</v>
      </c>
      <c r="AF355" s="5">
        <v>7</v>
      </c>
      <c r="AG355" s="5">
        <v>7</v>
      </c>
      <c r="AH355" s="5">
        <v>6</v>
      </c>
      <c r="AI355" s="5">
        <v>7</v>
      </c>
    </row>
    <row r="356" spans="1:35" x14ac:dyDescent="0.25">
      <c r="A356" s="5">
        <v>30</v>
      </c>
      <c r="B356" s="5" t="s">
        <v>43</v>
      </c>
      <c r="C356" s="5" t="s">
        <v>55</v>
      </c>
      <c r="D356" s="5">
        <v>641</v>
      </c>
      <c r="E356" s="5" t="s">
        <v>37</v>
      </c>
      <c r="F356" s="5">
        <v>25</v>
      </c>
      <c r="G356" s="5">
        <v>2</v>
      </c>
      <c r="H356" s="5" t="s">
        <v>60</v>
      </c>
      <c r="I356" s="5">
        <v>1</v>
      </c>
      <c r="J356" s="5">
        <v>475</v>
      </c>
      <c r="K356" s="5">
        <v>4</v>
      </c>
      <c r="L356" s="5" t="s">
        <v>39</v>
      </c>
      <c r="M356" s="5">
        <v>85</v>
      </c>
      <c r="N356" s="5">
        <v>3</v>
      </c>
      <c r="O356" s="5">
        <v>2</v>
      </c>
      <c r="P356" s="5" t="s">
        <v>40</v>
      </c>
      <c r="Q356" s="5">
        <v>3</v>
      </c>
      <c r="R356" s="5" t="s">
        <v>48</v>
      </c>
      <c r="S356" s="5">
        <v>4736</v>
      </c>
      <c r="T356" s="5">
        <v>6069</v>
      </c>
      <c r="U356" s="5">
        <v>7</v>
      </c>
      <c r="V356" s="5" t="s">
        <v>42</v>
      </c>
      <c r="W356" s="5" t="s">
        <v>35</v>
      </c>
      <c r="X356" s="5">
        <v>12</v>
      </c>
      <c r="Y356" s="5">
        <v>3</v>
      </c>
      <c r="Z356" s="5">
        <v>2</v>
      </c>
      <c r="AA356" s="5">
        <v>80</v>
      </c>
      <c r="AB356" s="5">
        <v>1</v>
      </c>
      <c r="AC356" s="5">
        <v>4</v>
      </c>
      <c r="AD356" s="5">
        <v>2</v>
      </c>
      <c r="AE356" s="5">
        <v>4</v>
      </c>
      <c r="AF356" s="5">
        <v>2</v>
      </c>
      <c r="AG356" s="5">
        <v>2</v>
      </c>
      <c r="AH356" s="5">
        <v>2</v>
      </c>
      <c r="AI356" s="5">
        <v>2</v>
      </c>
    </row>
    <row r="357" spans="1:35" x14ac:dyDescent="0.25">
      <c r="A357" s="5">
        <v>26</v>
      </c>
      <c r="B357" s="5" t="s">
        <v>43</v>
      </c>
      <c r="C357" s="5" t="s">
        <v>36</v>
      </c>
      <c r="D357" s="5">
        <v>933</v>
      </c>
      <c r="E357" s="5" t="s">
        <v>37</v>
      </c>
      <c r="F357" s="5">
        <v>1</v>
      </c>
      <c r="G357" s="5">
        <v>3</v>
      </c>
      <c r="H357" s="5" t="s">
        <v>38</v>
      </c>
      <c r="I357" s="5">
        <v>1</v>
      </c>
      <c r="J357" s="5">
        <v>476</v>
      </c>
      <c r="K357" s="5">
        <v>3</v>
      </c>
      <c r="L357" s="5" t="s">
        <v>46</v>
      </c>
      <c r="M357" s="5">
        <v>57</v>
      </c>
      <c r="N357" s="5">
        <v>3</v>
      </c>
      <c r="O357" s="5">
        <v>2</v>
      </c>
      <c r="P357" s="5" t="s">
        <v>40</v>
      </c>
      <c r="Q357" s="5">
        <v>3</v>
      </c>
      <c r="R357" s="5" t="s">
        <v>48</v>
      </c>
      <c r="S357" s="5">
        <v>5296</v>
      </c>
      <c r="T357" s="5">
        <v>20156</v>
      </c>
      <c r="U357" s="5">
        <v>1</v>
      </c>
      <c r="V357" s="5" t="s">
        <v>42</v>
      </c>
      <c r="W357" s="5" t="s">
        <v>43</v>
      </c>
      <c r="X357" s="5">
        <v>17</v>
      </c>
      <c r="Y357" s="5">
        <v>3</v>
      </c>
      <c r="Z357" s="5">
        <v>2</v>
      </c>
      <c r="AA357" s="5">
        <v>80</v>
      </c>
      <c r="AB357" s="5">
        <v>1</v>
      </c>
      <c r="AC357" s="5">
        <v>8</v>
      </c>
      <c r="AD357" s="5">
        <v>3</v>
      </c>
      <c r="AE357" s="5">
        <v>3</v>
      </c>
      <c r="AF357" s="5">
        <v>8</v>
      </c>
      <c r="AG357" s="5">
        <v>7</v>
      </c>
      <c r="AH357" s="5">
        <v>7</v>
      </c>
      <c r="AI357" s="5">
        <v>7</v>
      </c>
    </row>
    <row r="358" spans="1:35" x14ac:dyDescent="0.25">
      <c r="A358" s="5">
        <v>42</v>
      </c>
      <c r="B358" s="5" t="s">
        <v>43</v>
      </c>
      <c r="C358" s="5" t="s">
        <v>36</v>
      </c>
      <c r="D358" s="5">
        <v>1332</v>
      </c>
      <c r="E358" s="5" t="s">
        <v>45</v>
      </c>
      <c r="F358" s="5">
        <v>2</v>
      </c>
      <c r="G358" s="5">
        <v>4</v>
      </c>
      <c r="H358" s="5" t="s">
        <v>49</v>
      </c>
      <c r="I358" s="5">
        <v>1</v>
      </c>
      <c r="J358" s="5">
        <v>477</v>
      </c>
      <c r="K358" s="5">
        <v>1</v>
      </c>
      <c r="L358" s="5" t="s">
        <v>46</v>
      </c>
      <c r="M358" s="5">
        <v>98</v>
      </c>
      <c r="N358" s="5">
        <v>2</v>
      </c>
      <c r="O358" s="5">
        <v>2</v>
      </c>
      <c r="P358" s="5" t="s">
        <v>54</v>
      </c>
      <c r="Q358" s="5">
        <v>4</v>
      </c>
      <c r="R358" s="5" t="s">
        <v>41</v>
      </c>
      <c r="S358" s="5">
        <v>6781</v>
      </c>
      <c r="T358" s="5">
        <v>17078</v>
      </c>
      <c r="U358" s="5">
        <v>3</v>
      </c>
      <c r="V358" s="5" t="s">
        <v>42</v>
      </c>
      <c r="W358" s="5" t="s">
        <v>43</v>
      </c>
      <c r="X358" s="5">
        <v>23</v>
      </c>
      <c r="Y358" s="5">
        <v>4</v>
      </c>
      <c r="Z358" s="5">
        <v>2</v>
      </c>
      <c r="AA358" s="5">
        <v>80</v>
      </c>
      <c r="AB358" s="5">
        <v>0</v>
      </c>
      <c r="AC358" s="5">
        <v>14</v>
      </c>
      <c r="AD358" s="5">
        <v>6</v>
      </c>
      <c r="AE358" s="5">
        <v>3</v>
      </c>
      <c r="AF358" s="5">
        <v>1</v>
      </c>
      <c r="AG358" s="5">
        <v>0</v>
      </c>
      <c r="AH358" s="5">
        <v>0</v>
      </c>
      <c r="AI358" s="5">
        <v>0</v>
      </c>
    </row>
    <row r="359" spans="1:35" x14ac:dyDescent="0.25">
      <c r="A359" s="5">
        <v>21</v>
      </c>
      <c r="B359" s="5" t="s">
        <v>35</v>
      </c>
      <c r="C359" s="5" t="s">
        <v>44</v>
      </c>
      <c r="D359" s="5">
        <v>756</v>
      </c>
      <c r="E359" s="5" t="s">
        <v>37</v>
      </c>
      <c r="F359" s="5">
        <v>1</v>
      </c>
      <c r="G359" s="5">
        <v>1</v>
      </c>
      <c r="H359" s="5" t="s">
        <v>60</v>
      </c>
      <c r="I359" s="5">
        <v>1</v>
      </c>
      <c r="J359" s="5">
        <v>478</v>
      </c>
      <c r="K359" s="5">
        <v>1</v>
      </c>
      <c r="L359" s="5" t="s">
        <v>39</v>
      </c>
      <c r="M359" s="5">
        <v>99</v>
      </c>
      <c r="N359" s="5">
        <v>2</v>
      </c>
      <c r="O359" s="5">
        <v>1</v>
      </c>
      <c r="P359" s="5" t="s">
        <v>57</v>
      </c>
      <c r="Q359" s="5">
        <v>2</v>
      </c>
      <c r="R359" s="5" t="s">
        <v>41</v>
      </c>
      <c r="S359" s="5">
        <v>2174</v>
      </c>
      <c r="T359" s="5">
        <v>9150</v>
      </c>
      <c r="U359" s="5">
        <v>1</v>
      </c>
      <c r="V359" s="5" t="s">
        <v>42</v>
      </c>
      <c r="W359" s="5" t="s">
        <v>35</v>
      </c>
      <c r="X359" s="5">
        <v>11</v>
      </c>
      <c r="Y359" s="5">
        <v>3</v>
      </c>
      <c r="Z359" s="5">
        <v>3</v>
      </c>
      <c r="AA359" s="5">
        <v>80</v>
      </c>
      <c r="AB359" s="5">
        <v>0</v>
      </c>
      <c r="AC359" s="5">
        <v>3</v>
      </c>
      <c r="AD359" s="5">
        <v>3</v>
      </c>
      <c r="AE359" s="5">
        <v>3</v>
      </c>
      <c r="AF359" s="5">
        <v>3</v>
      </c>
      <c r="AG359" s="5">
        <v>2</v>
      </c>
      <c r="AH359" s="5">
        <v>1</v>
      </c>
      <c r="AI359" s="5">
        <v>2</v>
      </c>
    </row>
    <row r="360" spans="1:35" x14ac:dyDescent="0.25">
      <c r="A360" s="5">
        <v>36</v>
      </c>
      <c r="B360" s="5" t="s">
        <v>43</v>
      </c>
      <c r="C360" s="5" t="s">
        <v>55</v>
      </c>
      <c r="D360" s="5">
        <v>845</v>
      </c>
      <c r="E360" s="5" t="s">
        <v>37</v>
      </c>
      <c r="F360" s="5">
        <v>1</v>
      </c>
      <c r="G360" s="5">
        <v>5</v>
      </c>
      <c r="H360" s="5" t="s">
        <v>51</v>
      </c>
      <c r="I360" s="5">
        <v>1</v>
      </c>
      <c r="J360" s="5">
        <v>479</v>
      </c>
      <c r="K360" s="5">
        <v>4</v>
      </c>
      <c r="L360" s="5" t="s">
        <v>39</v>
      </c>
      <c r="M360" s="5">
        <v>45</v>
      </c>
      <c r="N360" s="5">
        <v>3</v>
      </c>
      <c r="O360" s="5">
        <v>2</v>
      </c>
      <c r="P360" s="5" t="s">
        <v>40</v>
      </c>
      <c r="Q360" s="5">
        <v>4</v>
      </c>
      <c r="R360" s="5" t="s">
        <v>41</v>
      </c>
      <c r="S360" s="5">
        <v>6653</v>
      </c>
      <c r="T360" s="5">
        <v>15276</v>
      </c>
      <c r="U360" s="5">
        <v>4</v>
      </c>
      <c r="V360" s="5" t="s">
        <v>42</v>
      </c>
      <c r="W360" s="5" t="s">
        <v>43</v>
      </c>
      <c r="X360" s="5">
        <v>15</v>
      </c>
      <c r="Y360" s="5">
        <v>3</v>
      </c>
      <c r="Z360" s="5">
        <v>2</v>
      </c>
      <c r="AA360" s="5">
        <v>80</v>
      </c>
      <c r="AB360" s="5">
        <v>0</v>
      </c>
      <c r="AC360" s="5">
        <v>7</v>
      </c>
      <c r="AD360" s="5">
        <v>6</v>
      </c>
      <c r="AE360" s="5">
        <v>3</v>
      </c>
      <c r="AF360" s="5">
        <v>1</v>
      </c>
      <c r="AG360" s="5">
        <v>0</v>
      </c>
      <c r="AH360" s="5">
        <v>0</v>
      </c>
      <c r="AI360" s="5">
        <v>0</v>
      </c>
    </row>
    <row r="361" spans="1:35" x14ac:dyDescent="0.25">
      <c r="A361" s="5">
        <v>36</v>
      </c>
      <c r="B361" s="5" t="s">
        <v>43</v>
      </c>
      <c r="C361" s="5" t="s">
        <v>44</v>
      </c>
      <c r="D361" s="5">
        <v>541</v>
      </c>
      <c r="E361" s="5" t="s">
        <v>37</v>
      </c>
      <c r="F361" s="5">
        <v>3</v>
      </c>
      <c r="G361" s="5">
        <v>4</v>
      </c>
      <c r="H361" s="5" t="s">
        <v>51</v>
      </c>
      <c r="I361" s="5">
        <v>1</v>
      </c>
      <c r="J361" s="5">
        <v>481</v>
      </c>
      <c r="K361" s="5">
        <v>1</v>
      </c>
      <c r="L361" s="5" t="s">
        <v>46</v>
      </c>
      <c r="M361" s="5">
        <v>48</v>
      </c>
      <c r="N361" s="5">
        <v>2</v>
      </c>
      <c r="O361" s="5">
        <v>3</v>
      </c>
      <c r="P361" s="5" t="s">
        <v>40</v>
      </c>
      <c r="Q361" s="5">
        <v>4</v>
      </c>
      <c r="R361" s="5" t="s">
        <v>48</v>
      </c>
      <c r="S361" s="5">
        <v>9699</v>
      </c>
      <c r="T361" s="5">
        <v>7246</v>
      </c>
      <c r="U361" s="5">
        <v>4</v>
      </c>
      <c r="V361" s="5" t="s">
        <v>42</v>
      </c>
      <c r="W361" s="5" t="s">
        <v>43</v>
      </c>
      <c r="X361" s="5">
        <v>11</v>
      </c>
      <c r="Y361" s="5">
        <v>3</v>
      </c>
      <c r="Z361" s="5">
        <v>1</v>
      </c>
      <c r="AA361" s="5">
        <v>80</v>
      </c>
      <c r="AB361" s="5">
        <v>1</v>
      </c>
      <c r="AC361" s="5">
        <v>16</v>
      </c>
      <c r="AD361" s="5">
        <v>2</v>
      </c>
      <c r="AE361" s="5">
        <v>3</v>
      </c>
      <c r="AF361" s="5">
        <v>13</v>
      </c>
      <c r="AG361" s="5">
        <v>9</v>
      </c>
      <c r="AH361" s="5">
        <v>1</v>
      </c>
      <c r="AI361" s="5">
        <v>12</v>
      </c>
    </row>
    <row r="362" spans="1:35" x14ac:dyDescent="0.25">
      <c r="A362" s="5">
        <v>57</v>
      </c>
      <c r="B362" s="5" t="s">
        <v>43</v>
      </c>
      <c r="C362" s="5" t="s">
        <v>36</v>
      </c>
      <c r="D362" s="5">
        <v>593</v>
      </c>
      <c r="E362" s="5" t="s">
        <v>45</v>
      </c>
      <c r="F362" s="5">
        <v>1</v>
      </c>
      <c r="G362" s="5">
        <v>4</v>
      </c>
      <c r="H362" s="5" t="s">
        <v>51</v>
      </c>
      <c r="I362" s="5">
        <v>1</v>
      </c>
      <c r="J362" s="5">
        <v>482</v>
      </c>
      <c r="K362" s="5">
        <v>4</v>
      </c>
      <c r="L362" s="5" t="s">
        <v>46</v>
      </c>
      <c r="M362" s="5">
        <v>88</v>
      </c>
      <c r="N362" s="5">
        <v>3</v>
      </c>
      <c r="O362" s="5">
        <v>2</v>
      </c>
      <c r="P362" s="5" t="s">
        <v>54</v>
      </c>
      <c r="Q362" s="5">
        <v>3</v>
      </c>
      <c r="R362" s="5" t="s">
        <v>48</v>
      </c>
      <c r="S362" s="5">
        <v>6755</v>
      </c>
      <c r="T362" s="5">
        <v>2967</v>
      </c>
      <c r="U362" s="5">
        <v>2</v>
      </c>
      <c r="V362" s="5" t="s">
        <v>42</v>
      </c>
      <c r="W362" s="5" t="s">
        <v>43</v>
      </c>
      <c r="X362" s="5">
        <v>11</v>
      </c>
      <c r="Y362" s="5">
        <v>3</v>
      </c>
      <c r="Z362" s="5">
        <v>3</v>
      </c>
      <c r="AA362" s="5">
        <v>80</v>
      </c>
      <c r="AB362" s="5">
        <v>0</v>
      </c>
      <c r="AC362" s="5">
        <v>15</v>
      </c>
      <c r="AD362" s="5">
        <v>2</v>
      </c>
      <c r="AE362" s="5">
        <v>3</v>
      </c>
      <c r="AF362" s="5">
        <v>3</v>
      </c>
      <c r="AG362" s="5">
        <v>2</v>
      </c>
      <c r="AH362" s="5">
        <v>1</v>
      </c>
      <c r="AI362" s="5">
        <v>2</v>
      </c>
    </row>
    <row r="363" spans="1:35" x14ac:dyDescent="0.25">
      <c r="A363" s="5">
        <v>40</v>
      </c>
      <c r="B363" s="5" t="s">
        <v>43</v>
      </c>
      <c r="C363" s="5" t="s">
        <v>36</v>
      </c>
      <c r="D363" s="5">
        <v>1171</v>
      </c>
      <c r="E363" s="5" t="s">
        <v>45</v>
      </c>
      <c r="F363" s="5">
        <v>10</v>
      </c>
      <c r="G363" s="5">
        <v>4</v>
      </c>
      <c r="H363" s="5" t="s">
        <v>38</v>
      </c>
      <c r="I363" s="5">
        <v>1</v>
      </c>
      <c r="J363" s="5">
        <v>483</v>
      </c>
      <c r="K363" s="5">
        <v>4</v>
      </c>
      <c r="L363" s="5" t="s">
        <v>39</v>
      </c>
      <c r="M363" s="5">
        <v>46</v>
      </c>
      <c r="N363" s="5">
        <v>4</v>
      </c>
      <c r="O363" s="5">
        <v>1</v>
      </c>
      <c r="P363" s="5" t="s">
        <v>50</v>
      </c>
      <c r="Q363" s="5">
        <v>3</v>
      </c>
      <c r="R363" s="5" t="s">
        <v>48</v>
      </c>
      <c r="S363" s="5">
        <v>2213</v>
      </c>
      <c r="T363" s="5">
        <v>22495</v>
      </c>
      <c r="U363" s="5">
        <v>3</v>
      </c>
      <c r="V363" s="5" t="s">
        <v>42</v>
      </c>
      <c r="W363" s="5" t="s">
        <v>35</v>
      </c>
      <c r="X363" s="5">
        <v>13</v>
      </c>
      <c r="Y363" s="5">
        <v>3</v>
      </c>
      <c r="Z363" s="5">
        <v>3</v>
      </c>
      <c r="AA363" s="5">
        <v>80</v>
      </c>
      <c r="AB363" s="5">
        <v>1</v>
      </c>
      <c r="AC363" s="5">
        <v>10</v>
      </c>
      <c r="AD363" s="5">
        <v>3</v>
      </c>
      <c r="AE363" s="5">
        <v>3</v>
      </c>
      <c r="AF363" s="5">
        <v>7</v>
      </c>
      <c r="AG363" s="5">
        <v>7</v>
      </c>
      <c r="AH363" s="5">
        <v>1</v>
      </c>
      <c r="AI363" s="5">
        <v>7</v>
      </c>
    </row>
    <row r="364" spans="1:35" x14ac:dyDescent="0.25">
      <c r="A364" s="5">
        <v>21</v>
      </c>
      <c r="B364" s="5" t="s">
        <v>43</v>
      </c>
      <c r="C364" s="5" t="s">
        <v>55</v>
      </c>
      <c r="D364" s="5">
        <v>895</v>
      </c>
      <c r="E364" s="5" t="s">
        <v>37</v>
      </c>
      <c r="F364" s="5">
        <v>9</v>
      </c>
      <c r="G364" s="5">
        <v>2</v>
      </c>
      <c r="H364" s="5" t="s">
        <v>51</v>
      </c>
      <c r="I364" s="5">
        <v>1</v>
      </c>
      <c r="J364" s="5">
        <v>484</v>
      </c>
      <c r="K364" s="5">
        <v>1</v>
      </c>
      <c r="L364" s="5" t="s">
        <v>46</v>
      </c>
      <c r="M364" s="5">
        <v>39</v>
      </c>
      <c r="N364" s="5">
        <v>3</v>
      </c>
      <c r="O364" s="5">
        <v>1</v>
      </c>
      <c r="P364" s="5" t="s">
        <v>57</v>
      </c>
      <c r="Q364" s="5">
        <v>4</v>
      </c>
      <c r="R364" s="5" t="s">
        <v>41</v>
      </c>
      <c r="S364" s="5">
        <v>2610</v>
      </c>
      <c r="T364" s="5">
        <v>2851</v>
      </c>
      <c r="U364" s="5">
        <v>1</v>
      </c>
      <c r="V364" s="5" t="s">
        <v>42</v>
      </c>
      <c r="W364" s="5" t="s">
        <v>43</v>
      </c>
      <c r="X364" s="5">
        <v>24</v>
      </c>
      <c r="Y364" s="5">
        <v>4</v>
      </c>
      <c r="Z364" s="5">
        <v>3</v>
      </c>
      <c r="AA364" s="5">
        <v>80</v>
      </c>
      <c r="AB364" s="5">
        <v>0</v>
      </c>
      <c r="AC364" s="5">
        <v>3</v>
      </c>
      <c r="AD364" s="5">
        <v>3</v>
      </c>
      <c r="AE364" s="5">
        <v>2</v>
      </c>
      <c r="AF364" s="5">
        <v>3</v>
      </c>
      <c r="AG364" s="5">
        <v>2</v>
      </c>
      <c r="AH364" s="5">
        <v>2</v>
      </c>
      <c r="AI364" s="5">
        <v>2</v>
      </c>
    </row>
    <row r="365" spans="1:35" x14ac:dyDescent="0.25">
      <c r="A365" s="5">
        <v>33</v>
      </c>
      <c r="B365" s="5" t="s">
        <v>35</v>
      </c>
      <c r="C365" s="5" t="s">
        <v>36</v>
      </c>
      <c r="D365" s="5">
        <v>350</v>
      </c>
      <c r="E365" s="5" t="s">
        <v>37</v>
      </c>
      <c r="F365" s="5">
        <v>5</v>
      </c>
      <c r="G365" s="5">
        <v>3</v>
      </c>
      <c r="H365" s="5" t="s">
        <v>59</v>
      </c>
      <c r="I365" s="5">
        <v>1</v>
      </c>
      <c r="J365" s="5">
        <v>485</v>
      </c>
      <c r="K365" s="5">
        <v>4</v>
      </c>
      <c r="L365" s="5" t="s">
        <v>39</v>
      </c>
      <c r="M365" s="5">
        <v>34</v>
      </c>
      <c r="N365" s="5">
        <v>3</v>
      </c>
      <c r="O365" s="5">
        <v>1</v>
      </c>
      <c r="P365" s="5" t="s">
        <v>57</v>
      </c>
      <c r="Q365" s="5">
        <v>3</v>
      </c>
      <c r="R365" s="5" t="s">
        <v>41</v>
      </c>
      <c r="S365" s="5">
        <v>2851</v>
      </c>
      <c r="T365" s="5">
        <v>9150</v>
      </c>
      <c r="U365" s="5">
        <v>1</v>
      </c>
      <c r="V365" s="5" t="s">
        <v>42</v>
      </c>
      <c r="W365" s="5" t="s">
        <v>35</v>
      </c>
      <c r="X365" s="5">
        <v>13</v>
      </c>
      <c r="Y365" s="5">
        <v>3</v>
      </c>
      <c r="Z365" s="5">
        <v>2</v>
      </c>
      <c r="AA365" s="5">
        <v>80</v>
      </c>
      <c r="AB365" s="5">
        <v>0</v>
      </c>
      <c r="AC365" s="5">
        <v>1</v>
      </c>
      <c r="AD365" s="5">
        <v>2</v>
      </c>
      <c r="AE365" s="5">
        <v>3</v>
      </c>
      <c r="AF365" s="5">
        <v>1</v>
      </c>
      <c r="AG365" s="5">
        <v>0</v>
      </c>
      <c r="AH365" s="5">
        <v>0</v>
      </c>
      <c r="AI365" s="5">
        <v>0</v>
      </c>
    </row>
    <row r="366" spans="1:35" x14ac:dyDescent="0.25">
      <c r="A366" s="5">
        <v>37</v>
      </c>
      <c r="B366" s="5" t="s">
        <v>43</v>
      </c>
      <c r="C366" s="5" t="s">
        <v>36</v>
      </c>
      <c r="D366" s="5">
        <v>921</v>
      </c>
      <c r="E366" s="5" t="s">
        <v>45</v>
      </c>
      <c r="F366" s="5">
        <v>10</v>
      </c>
      <c r="G366" s="5">
        <v>3</v>
      </c>
      <c r="H366" s="5" t="s">
        <v>51</v>
      </c>
      <c r="I366" s="5">
        <v>1</v>
      </c>
      <c r="J366" s="5">
        <v>486</v>
      </c>
      <c r="K366" s="5">
        <v>3</v>
      </c>
      <c r="L366" s="5" t="s">
        <v>39</v>
      </c>
      <c r="M366" s="5">
        <v>98</v>
      </c>
      <c r="N366" s="5">
        <v>3</v>
      </c>
      <c r="O366" s="5">
        <v>1</v>
      </c>
      <c r="P366" s="5" t="s">
        <v>50</v>
      </c>
      <c r="Q366" s="5">
        <v>1</v>
      </c>
      <c r="R366" s="5" t="s">
        <v>48</v>
      </c>
      <c r="S366" s="5">
        <v>3452</v>
      </c>
      <c r="T366" s="5">
        <v>17663</v>
      </c>
      <c r="U366" s="5">
        <v>6</v>
      </c>
      <c r="V366" s="5" t="s">
        <v>42</v>
      </c>
      <c r="W366" s="5" t="s">
        <v>43</v>
      </c>
      <c r="X366" s="5">
        <v>20</v>
      </c>
      <c r="Y366" s="5">
        <v>4</v>
      </c>
      <c r="Z366" s="5">
        <v>2</v>
      </c>
      <c r="AA366" s="5">
        <v>80</v>
      </c>
      <c r="AB366" s="5">
        <v>1</v>
      </c>
      <c r="AC366" s="5">
        <v>17</v>
      </c>
      <c r="AD366" s="5">
        <v>3</v>
      </c>
      <c r="AE366" s="5">
        <v>3</v>
      </c>
      <c r="AF366" s="5">
        <v>5</v>
      </c>
      <c r="AG366" s="5">
        <v>4</v>
      </c>
      <c r="AH366" s="5">
        <v>0</v>
      </c>
      <c r="AI366" s="5">
        <v>3</v>
      </c>
    </row>
    <row r="367" spans="1:35" x14ac:dyDescent="0.25">
      <c r="A367" s="5">
        <v>46</v>
      </c>
      <c r="B367" s="5" t="s">
        <v>43</v>
      </c>
      <c r="C367" s="5" t="s">
        <v>55</v>
      </c>
      <c r="D367" s="5">
        <v>1144</v>
      </c>
      <c r="E367" s="5" t="s">
        <v>45</v>
      </c>
      <c r="F367" s="5">
        <v>7</v>
      </c>
      <c r="G367" s="5">
        <v>4</v>
      </c>
      <c r="H367" s="5" t="s">
        <v>51</v>
      </c>
      <c r="I367" s="5">
        <v>1</v>
      </c>
      <c r="J367" s="5">
        <v>487</v>
      </c>
      <c r="K367" s="5">
        <v>3</v>
      </c>
      <c r="L367" s="5" t="s">
        <v>39</v>
      </c>
      <c r="M367" s="5">
        <v>30</v>
      </c>
      <c r="N367" s="5">
        <v>3</v>
      </c>
      <c r="O367" s="5">
        <v>2</v>
      </c>
      <c r="P367" s="5" t="s">
        <v>53</v>
      </c>
      <c r="Q367" s="5">
        <v>3</v>
      </c>
      <c r="R367" s="5" t="s">
        <v>48</v>
      </c>
      <c r="S367" s="5">
        <v>5258</v>
      </c>
      <c r="T367" s="5">
        <v>16044</v>
      </c>
      <c r="U367" s="5">
        <v>2</v>
      </c>
      <c r="V367" s="5" t="s">
        <v>42</v>
      </c>
      <c r="W367" s="5" t="s">
        <v>43</v>
      </c>
      <c r="X367" s="5">
        <v>14</v>
      </c>
      <c r="Y367" s="5">
        <v>3</v>
      </c>
      <c r="Z367" s="5">
        <v>3</v>
      </c>
      <c r="AA367" s="5">
        <v>80</v>
      </c>
      <c r="AB367" s="5">
        <v>0</v>
      </c>
      <c r="AC367" s="5">
        <v>7</v>
      </c>
      <c r="AD367" s="5">
        <v>2</v>
      </c>
      <c r="AE367" s="5">
        <v>4</v>
      </c>
      <c r="AF367" s="5">
        <v>1</v>
      </c>
      <c r="AG367" s="5">
        <v>0</v>
      </c>
      <c r="AH367" s="5">
        <v>0</v>
      </c>
      <c r="AI367" s="5">
        <v>0</v>
      </c>
    </row>
    <row r="368" spans="1:35" x14ac:dyDescent="0.25">
      <c r="A368" s="5">
        <v>41</v>
      </c>
      <c r="B368" s="5" t="s">
        <v>35</v>
      </c>
      <c r="C368" s="5" t="s">
        <v>44</v>
      </c>
      <c r="D368" s="5">
        <v>143</v>
      </c>
      <c r="E368" s="5" t="s">
        <v>37</v>
      </c>
      <c r="F368" s="5">
        <v>4</v>
      </c>
      <c r="G368" s="5">
        <v>3</v>
      </c>
      <c r="H368" s="5" t="s">
        <v>59</v>
      </c>
      <c r="I368" s="5">
        <v>1</v>
      </c>
      <c r="J368" s="5">
        <v>488</v>
      </c>
      <c r="K368" s="5">
        <v>1</v>
      </c>
      <c r="L368" s="5" t="s">
        <v>46</v>
      </c>
      <c r="M368" s="5">
        <v>56</v>
      </c>
      <c r="N368" s="5">
        <v>3</v>
      </c>
      <c r="O368" s="5">
        <v>2</v>
      </c>
      <c r="P368" s="5" t="s">
        <v>40</v>
      </c>
      <c r="Q368" s="5">
        <v>2</v>
      </c>
      <c r="R368" s="5" t="s">
        <v>41</v>
      </c>
      <c r="S368" s="5">
        <v>9355</v>
      </c>
      <c r="T368" s="5">
        <v>9558</v>
      </c>
      <c r="U368" s="5">
        <v>1</v>
      </c>
      <c r="V368" s="5" t="s">
        <v>42</v>
      </c>
      <c r="W368" s="5" t="s">
        <v>43</v>
      </c>
      <c r="X368" s="5">
        <v>18</v>
      </c>
      <c r="Y368" s="5">
        <v>3</v>
      </c>
      <c r="Z368" s="5">
        <v>3</v>
      </c>
      <c r="AA368" s="5">
        <v>80</v>
      </c>
      <c r="AB368" s="5">
        <v>0</v>
      </c>
      <c r="AC368" s="5">
        <v>8</v>
      </c>
      <c r="AD368" s="5">
        <v>5</v>
      </c>
      <c r="AE368" s="5">
        <v>3</v>
      </c>
      <c r="AF368" s="5">
        <v>8</v>
      </c>
      <c r="AG368" s="5">
        <v>7</v>
      </c>
      <c r="AH368" s="5">
        <v>7</v>
      </c>
      <c r="AI368" s="5">
        <v>7</v>
      </c>
    </row>
    <row r="369" spans="1:35" x14ac:dyDescent="0.25">
      <c r="A369" s="5">
        <v>50</v>
      </c>
      <c r="B369" s="5" t="s">
        <v>43</v>
      </c>
      <c r="C369" s="5" t="s">
        <v>36</v>
      </c>
      <c r="D369" s="5">
        <v>1046</v>
      </c>
      <c r="E369" s="5" t="s">
        <v>45</v>
      </c>
      <c r="F369" s="5">
        <v>10</v>
      </c>
      <c r="G369" s="5">
        <v>3</v>
      </c>
      <c r="H369" s="5" t="s">
        <v>60</v>
      </c>
      <c r="I369" s="5">
        <v>1</v>
      </c>
      <c r="J369" s="5">
        <v>491</v>
      </c>
      <c r="K369" s="5">
        <v>4</v>
      </c>
      <c r="L369" s="5" t="s">
        <v>46</v>
      </c>
      <c r="M369" s="5">
        <v>100</v>
      </c>
      <c r="N369" s="5">
        <v>2</v>
      </c>
      <c r="O369" s="5">
        <v>3</v>
      </c>
      <c r="P369" s="5" t="s">
        <v>54</v>
      </c>
      <c r="Q369" s="5">
        <v>4</v>
      </c>
      <c r="R369" s="5" t="s">
        <v>41</v>
      </c>
      <c r="S369" s="5">
        <v>10496</v>
      </c>
      <c r="T369" s="5">
        <v>2755</v>
      </c>
      <c r="U369" s="5">
        <v>6</v>
      </c>
      <c r="V369" s="5" t="s">
        <v>42</v>
      </c>
      <c r="W369" s="5" t="s">
        <v>43</v>
      </c>
      <c r="X369" s="5">
        <v>15</v>
      </c>
      <c r="Y369" s="5">
        <v>3</v>
      </c>
      <c r="Z369" s="5">
        <v>4</v>
      </c>
      <c r="AA369" s="5">
        <v>80</v>
      </c>
      <c r="AB369" s="5">
        <v>0</v>
      </c>
      <c r="AC369" s="5">
        <v>20</v>
      </c>
      <c r="AD369" s="5">
        <v>2</v>
      </c>
      <c r="AE369" s="5">
        <v>3</v>
      </c>
      <c r="AF369" s="5">
        <v>4</v>
      </c>
      <c r="AG369" s="5">
        <v>3</v>
      </c>
      <c r="AH369" s="5">
        <v>1</v>
      </c>
      <c r="AI369" s="5">
        <v>3</v>
      </c>
    </row>
    <row r="370" spans="1:35" x14ac:dyDescent="0.25">
      <c r="A370" s="5">
        <v>40</v>
      </c>
      <c r="B370" s="5" t="s">
        <v>35</v>
      </c>
      <c r="C370" s="5" t="s">
        <v>36</v>
      </c>
      <c r="D370" s="5">
        <v>575</v>
      </c>
      <c r="E370" s="5" t="s">
        <v>37</v>
      </c>
      <c r="F370" s="5">
        <v>22</v>
      </c>
      <c r="G370" s="5">
        <v>2</v>
      </c>
      <c r="H370" s="5" t="s">
        <v>59</v>
      </c>
      <c r="I370" s="5">
        <v>1</v>
      </c>
      <c r="J370" s="5">
        <v>492</v>
      </c>
      <c r="K370" s="5">
        <v>3</v>
      </c>
      <c r="L370" s="5" t="s">
        <v>46</v>
      </c>
      <c r="M370" s="5">
        <v>68</v>
      </c>
      <c r="N370" s="5">
        <v>2</v>
      </c>
      <c r="O370" s="5">
        <v>2</v>
      </c>
      <c r="P370" s="5" t="s">
        <v>40</v>
      </c>
      <c r="Q370" s="5">
        <v>3</v>
      </c>
      <c r="R370" s="5" t="s">
        <v>48</v>
      </c>
      <c r="S370" s="5">
        <v>6380</v>
      </c>
      <c r="T370" s="5">
        <v>6110</v>
      </c>
      <c r="U370" s="5">
        <v>2</v>
      </c>
      <c r="V370" s="5" t="s">
        <v>42</v>
      </c>
      <c r="W370" s="5" t="s">
        <v>35</v>
      </c>
      <c r="X370" s="5">
        <v>12</v>
      </c>
      <c r="Y370" s="5">
        <v>3</v>
      </c>
      <c r="Z370" s="5">
        <v>1</v>
      </c>
      <c r="AA370" s="5">
        <v>80</v>
      </c>
      <c r="AB370" s="5">
        <v>2</v>
      </c>
      <c r="AC370" s="5">
        <v>8</v>
      </c>
      <c r="AD370" s="5">
        <v>6</v>
      </c>
      <c r="AE370" s="5">
        <v>3</v>
      </c>
      <c r="AF370" s="5">
        <v>6</v>
      </c>
      <c r="AG370" s="5">
        <v>4</v>
      </c>
      <c r="AH370" s="5">
        <v>1</v>
      </c>
      <c r="AI370" s="5">
        <v>0</v>
      </c>
    </row>
    <row r="371" spans="1:35" x14ac:dyDescent="0.25">
      <c r="A371" s="5">
        <v>31</v>
      </c>
      <c r="B371" s="5" t="s">
        <v>43</v>
      </c>
      <c r="C371" s="5" t="s">
        <v>36</v>
      </c>
      <c r="D371" s="5">
        <v>408</v>
      </c>
      <c r="E371" s="5" t="s">
        <v>45</v>
      </c>
      <c r="F371" s="5">
        <v>9</v>
      </c>
      <c r="G371" s="5">
        <v>4</v>
      </c>
      <c r="H371" s="5" t="s">
        <v>38</v>
      </c>
      <c r="I371" s="5">
        <v>1</v>
      </c>
      <c r="J371" s="5">
        <v>493</v>
      </c>
      <c r="K371" s="5">
        <v>3</v>
      </c>
      <c r="L371" s="5" t="s">
        <v>46</v>
      </c>
      <c r="M371" s="5">
        <v>42</v>
      </c>
      <c r="N371" s="5">
        <v>2</v>
      </c>
      <c r="O371" s="5">
        <v>1</v>
      </c>
      <c r="P371" s="5" t="s">
        <v>47</v>
      </c>
      <c r="Q371" s="5">
        <v>2</v>
      </c>
      <c r="R371" s="5" t="s">
        <v>41</v>
      </c>
      <c r="S371" s="5">
        <v>2657</v>
      </c>
      <c r="T371" s="5">
        <v>7551</v>
      </c>
      <c r="U371" s="5">
        <v>0</v>
      </c>
      <c r="V371" s="5" t="s">
        <v>42</v>
      </c>
      <c r="W371" s="5" t="s">
        <v>35</v>
      </c>
      <c r="X371" s="5">
        <v>16</v>
      </c>
      <c r="Y371" s="5">
        <v>3</v>
      </c>
      <c r="Z371" s="5">
        <v>4</v>
      </c>
      <c r="AA371" s="5">
        <v>80</v>
      </c>
      <c r="AB371" s="5">
        <v>0</v>
      </c>
      <c r="AC371" s="5">
        <v>3</v>
      </c>
      <c r="AD371" s="5">
        <v>5</v>
      </c>
      <c r="AE371" s="5">
        <v>3</v>
      </c>
      <c r="AF371" s="5">
        <v>2</v>
      </c>
      <c r="AG371" s="5">
        <v>2</v>
      </c>
      <c r="AH371" s="5">
        <v>2</v>
      </c>
      <c r="AI371" s="5">
        <v>2</v>
      </c>
    </row>
    <row r="372" spans="1:35" x14ac:dyDescent="0.25">
      <c r="A372" s="5">
        <v>21</v>
      </c>
      <c r="B372" s="5" t="s">
        <v>35</v>
      </c>
      <c r="C372" s="5" t="s">
        <v>36</v>
      </c>
      <c r="D372" s="5">
        <v>156</v>
      </c>
      <c r="E372" s="5" t="s">
        <v>37</v>
      </c>
      <c r="F372" s="5">
        <v>12</v>
      </c>
      <c r="G372" s="5">
        <v>3</v>
      </c>
      <c r="H372" s="5" t="s">
        <v>38</v>
      </c>
      <c r="I372" s="5">
        <v>1</v>
      </c>
      <c r="J372" s="5">
        <v>494</v>
      </c>
      <c r="K372" s="5">
        <v>3</v>
      </c>
      <c r="L372" s="5" t="s">
        <v>39</v>
      </c>
      <c r="M372" s="5">
        <v>90</v>
      </c>
      <c r="N372" s="5">
        <v>4</v>
      </c>
      <c r="O372" s="5">
        <v>1</v>
      </c>
      <c r="P372" s="5" t="s">
        <v>57</v>
      </c>
      <c r="Q372" s="5">
        <v>2</v>
      </c>
      <c r="R372" s="5" t="s">
        <v>41</v>
      </c>
      <c r="S372" s="5">
        <v>2716</v>
      </c>
      <c r="T372" s="5">
        <v>25422</v>
      </c>
      <c r="U372" s="5">
        <v>1</v>
      </c>
      <c r="V372" s="5" t="s">
        <v>42</v>
      </c>
      <c r="W372" s="5" t="s">
        <v>43</v>
      </c>
      <c r="X372" s="5">
        <v>15</v>
      </c>
      <c r="Y372" s="5">
        <v>3</v>
      </c>
      <c r="Z372" s="5">
        <v>4</v>
      </c>
      <c r="AA372" s="5">
        <v>80</v>
      </c>
      <c r="AB372" s="5">
        <v>0</v>
      </c>
      <c r="AC372" s="5">
        <v>1</v>
      </c>
      <c r="AD372" s="5">
        <v>0</v>
      </c>
      <c r="AE372" s="5">
        <v>3</v>
      </c>
      <c r="AF372" s="5">
        <v>1</v>
      </c>
      <c r="AG372" s="5">
        <v>0</v>
      </c>
      <c r="AH372" s="5">
        <v>0</v>
      </c>
      <c r="AI372" s="5">
        <v>0</v>
      </c>
    </row>
    <row r="373" spans="1:35" x14ac:dyDescent="0.25">
      <c r="A373" s="5">
        <v>29</v>
      </c>
      <c r="B373" s="5" t="s">
        <v>43</v>
      </c>
      <c r="C373" s="5" t="s">
        <v>36</v>
      </c>
      <c r="D373" s="5">
        <v>1283</v>
      </c>
      <c r="E373" s="5" t="s">
        <v>45</v>
      </c>
      <c r="F373" s="5">
        <v>23</v>
      </c>
      <c r="G373" s="5">
        <v>3</v>
      </c>
      <c r="H373" s="5" t="s">
        <v>38</v>
      </c>
      <c r="I373" s="5">
        <v>1</v>
      </c>
      <c r="J373" s="5">
        <v>495</v>
      </c>
      <c r="K373" s="5">
        <v>4</v>
      </c>
      <c r="L373" s="5" t="s">
        <v>46</v>
      </c>
      <c r="M373" s="5">
        <v>54</v>
      </c>
      <c r="N373" s="5">
        <v>3</v>
      </c>
      <c r="O373" s="5">
        <v>1</v>
      </c>
      <c r="P373" s="5" t="s">
        <v>47</v>
      </c>
      <c r="Q373" s="5">
        <v>4</v>
      </c>
      <c r="R373" s="5" t="s">
        <v>41</v>
      </c>
      <c r="S373" s="5">
        <v>2201</v>
      </c>
      <c r="T373" s="5">
        <v>18168</v>
      </c>
      <c r="U373" s="5">
        <v>9</v>
      </c>
      <c r="V373" s="5" t="s">
        <v>42</v>
      </c>
      <c r="W373" s="5" t="s">
        <v>43</v>
      </c>
      <c r="X373" s="5">
        <v>16</v>
      </c>
      <c r="Y373" s="5">
        <v>3</v>
      </c>
      <c r="Z373" s="5">
        <v>4</v>
      </c>
      <c r="AA373" s="5">
        <v>80</v>
      </c>
      <c r="AB373" s="5">
        <v>0</v>
      </c>
      <c r="AC373" s="5">
        <v>6</v>
      </c>
      <c r="AD373" s="5">
        <v>4</v>
      </c>
      <c r="AE373" s="5">
        <v>3</v>
      </c>
      <c r="AF373" s="5">
        <v>3</v>
      </c>
      <c r="AG373" s="5">
        <v>2</v>
      </c>
      <c r="AH373" s="5">
        <v>1</v>
      </c>
      <c r="AI373" s="5">
        <v>2</v>
      </c>
    </row>
    <row r="374" spans="1:35" x14ac:dyDescent="0.25">
      <c r="A374" s="5">
        <v>35</v>
      </c>
      <c r="B374" s="5" t="s">
        <v>43</v>
      </c>
      <c r="C374" s="5" t="s">
        <v>36</v>
      </c>
      <c r="D374" s="5">
        <v>755</v>
      </c>
      <c r="E374" s="5" t="s">
        <v>45</v>
      </c>
      <c r="F374" s="5">
        <v>9</v>
      </c>
      <c r="G374" s="5">
        <v>4</v>
      </c>
      <c r="H374" s="5" t="s">
        <v>38</v>
      </c>
      <c r="I374" s="5">
        <v>1</v>
      </c>
      <c r="J374" s="5">
        <v>496</v>
      </c>
      <c r="K374" s="5">
        <v>3</v>
      </c>
      <c r="L374" s="5" t="s">
        <v>46</v>
      </c>
      <c r="M374" s="5">
        <v>97</v>
      </c>
      <c r="N374" s="5">
        <v>2</v>
      </c>
      <c r="O374" s="5">
        <v>2</v>
      </c>
      <c r="P374" s="5" t="s">
        <v>54</v>
      </c>
      <c r="Q374" s="5">
        <v>2</v>
      </c>
      <c r="R374" s="5" t="s">
        <v>41</v>
      </c>
      <c r="S374" s="5">
        <v>6540</v>
      </c>
      <c r="T374" s="5">
        <v>19394</v>
      </c>
      <c r="U374" s="5">
        <v>9</v>
      </c>
      <c r="V374" s="5" t="s">
        <v>42</v>
      </c>
      <c r="W374" s="5" t="s">
        <v>43</v>
      </c>
      <c r="X374" s="5">
        <v>19</v>
      </c>
      <c r="Y374" s="5">
        <v>3</v>
      </c>
      <c r="Z374" s="5">
        <v>3</v>
      </c>
      <c r="AA374" s="5">
        <v>80</v>
      </c>
      <c r="AB374" s="5">
        <v>0</v>
      </c>
      <c r="AC374" s="5">
        <v>10</v>
      </c>
      <c r="AD374" s="5">
        <v>5</v>
      </c>
      <c r="AE374" s="5">
        <v>3</v>
      </c>
      <c r="AF374" s="5">
        <v>1</v>
      </c>
      <c r="AG374" s="5">
        <v>1</v>
      </c>
      <c r="AH374" s="5">
        <v>0</v>
      </c>
      <c r="AI374" s="5">
        <v>0</v>
      </c>
    </row>
    <row r="375" spans="1:35" x14ac:dyDescent="0.25">
      <c r="A375" s="5">
        <v>27</v>
      </c>
      <c r="B375" s="5" t="s">
        <v>43</v>
      </c>
      <c r="C375" s="5" t="s">
        <v>36</v>
      </c>
      <c r="D375" s="5">
        <v>1469</v>
      </c>
      <c r="E375" s="5" t="s">
        <v>45</v>
      </c>
      <c r="F375" s="5">
        <v>1</v>
      </c>
      <c r="G375" s="5">
        <v>2</v>
      </c>
      <c r="H375" s="5" t="s">
        <v>51</v>
      </c>
      <c r="I375" s="5">
        <v>1</v>
      </c>
      <c r="J375" s="5">
        <v>497</v>
      </c>
      <c r="K375" s="5">
        <v>4</v>
      </c>
      <c r="L375" s="5" t="s">
        <v>46</v>
      </c>
      <c r="M375" s="5">
        <v>82</v>
      </c>
      <c r="N375" s="5">
        <v>3</v>
      </c>
      <c r="O375" s="5">
        <v>1</v>
      </c>
      <c r="P375" s="5" t="s">
        <v>50</v>
      </c>
      <c r="Q375" s="5">
        <v>2</v>
      </c>
      <c r="R375" s="5" t="s">
        <v>52</v>
      </c>
      <c r="S375" s="5">
        <v>3816</v>
      </c>
      <c r="T375" s="5">
        <v>17881</v>
      </c>
      <c r="U375" s="5">
        <v>1</v>
      </c>
      <c r="V375" s="5" t="s">
        <v>42</v>
      </c>
      <c r="W375" s="5" t="s">
        <v>43</v>
      </c>
      <c r="X375" s="5">
        <v>11</v>
      </c>
      <c r="Y375" s="5">
        <v>3</v>
      </c>
      <c r="Z375" s="5">
        <v>2</v>
      </c>
      <c r="AA375" s="5">
        <v>80</v>
      </c>
      <c r="AB375" s="5">
        <v>1</v>
      </c>
      <c r="AC375" s="5">
        <v>5</v>
      </c>
      <c r="AD375" s="5">
        <v>2</v>
      </c>
      <c r="AE375" s="5">
        <v>3</v>
      </c>
      <c r="AF375" s="5">
        <v>5</v>
      </c>
      <c r="AG375" s="5">
        <v>2</v>
      </c>
      <c r="AH375" s="5">
        <v>0</v>
      </c>
      <c r="AI375" s="5">
        <v>4</v>
      </c>
    </row>
    <row r="376" spans="1:35" x14ac:dyDescent="0.25">
      <c r="A376" s="5">
        <v>28</v>
      </c>
      <c r="B376" s="5" t="s">
        <v>43</v>
      </c>
      <c r="C376" s="5" t="s">
        <v>36</v>
      </c>
      <c r="D376" s="5">
        <v>304</v>
      </c>
      <c r="E376" s="5" t="s">
        <v>37</v>
      </c>
      <c r="F376" s="5">
        <v>9</v>
      </c>
      <c r="G376" s="5">
        <v>4</v>
      </c>
      <c r="H376" s="5" t="s">
        <v>38</v>
      </c>
      <c r="I376" s="5">
        <v>1</v>
      </c>
      <c r="J376" s="5">
        <v>498</v>
      </c>
      <c r="K376" s="5">
        <v>2</v>
      </c>
      <c r="L376" s="5" t="s">
        <v>46</v>
      </c>
      <c r="M376" s="5">
        <v>92</v>
      </c>
      <c r="N376" s="5">
        <v>3</v>
      </c>
      <c r="O376" s="5">
        <v>2</v>
      </c>
      <c r="P376" s="5" t="s">
        <v>40</v>
      </c>
      <c r="Q376" s="5">
        <v>4</v>
      </c>
      <c r="R376" s="5" t="s">
        <v>41</v>
      </c>
      <c r="S376" s="5">
        <v>5253</v>
      </c>
      <c r="T376" s="5">
        <v>20750</v>
      </c>
      <c r="U376" s="5">
        <v>1</v>
      </c>
      <c r="V376" s="5" t="s">
        <v>42</v>
      </c>
      <c r="W376" s="5" t="s">
        <v>43</v>
      </c>
      <c r="X376" s="5">
        <v>16</v>
      </c>
      <c r="Y376" s="5">
        <v>3</v>
      </c>
      <c r="Z376" s="5">
        <v>4</v>
      </c>
      <c r="AA376" s="5">
        <v>80</v>
      </c>
      <c r="AB376" s="5">
        <v>0</v>
      </c>
      <c r="AC376" s="5">
        <v>7</v>
      </c>
      <c r="AD376" s="5">
        <v>1</v>
      </c>
      <c r="AE376" s="5">
        <v>3</v>
      </c>
      <c r="AF376" s="5">
        <v>7</v>
      </c>
      <c r="AG376" s="5">
        <v>5</v>
      </c>
      <c r="AH376" s="5">
        <v>0</v>
      </c>
      <c r="AI376" s="5">
        <v>7</v>
      </c>
    </row>
    <row r="377" spans="1:35" x14ac:dyDescent="0.25">
      <c r="A377" s="5">
        <v>49</v>
      </c>
      <c r="B377" s="5" t="s">
        <v>43</v>
      </c>
      <c r="C377" s="5" t="s">
        <v>36</v>
      </c>
      <c r="D377" s="5">
        <v>1261</v>
      </c>
      <c r="E377" s="5" t="s">
        <v>45</v>
      </c>
      <c r="F377" s="5">
        <v>7</v>
      </c>
      <c r="G377" s="5">
        <v>3</v>
      </c>
      <c r="H377" s="5" t="s">
        <v>49</v>
      </c>
      <c r="I377" s="5">
        <v>1</v>
      </c>
      <c r="J377" s="5">
        <v>499</v>
      </c>
      <c r="K377" s="5">
        <v>2</v>
      </c>
      <c r="L377" s="5" t="s">
        <v>46</v>
      </c>
      <c r="M377" s="5">
        <v>31</v>
      </c>
      <c r="N377" s="5">
        <v>2</v>
      </c>
      <c r="O377" s="5">
        <v>3</v>
      </c>
      <c r="P377" s="5" t="s">
        <v>54</v>
      </c>
      <c r="Q377" s="5">
        <v>3</v>
      </c>
      <c r="R377" s="5" t="s">
        <v>41</v>
      </c>
      <c r="S377" s="5">
        <v>10965</v>
      </c>
      <c r="T377" s="5">
        <v>12066</v>
      </c>
      <c r="U377" s="5">
        <v>8</v>
      </c>
      <c r="V377" s="5" t="s">
        <v>42</v>
      </c>
      <c r="W377" s="5" t="s">
        <v>43</v>
      </c>
      <c r="X377" s="5">
        <v>24</v>
      </c>
      <c r="Y377" s="5">
        <v>4</v>
      </c>
      <c r="Z377" s="5">
        <v>3</v>
      </c>
      <c r="AA377" s="5">
        <v>80</v>
      </c>
      <c r="AB377" s="5">
        <v>0</v>
      </c>
      <c r="AC377" s="5">
        <v>26</v>
      </c>
      <c r="AD377" s="5">
        <v>2</v>
      </c>
      <c r="AE377" s="5">
        <v>3</v>
      </c>
      <c r="AF377" s="5">
        <v>5</v>
      </c>
      <c r="AG377" s="5">
        <v>2</v>
      </c>
      <c r="AH377" s="5">
        <v>0</v>
      </c>
      <c r="AI377" s="5">
        <v>0</v>
      </c>
    </row>
    <row r="378" spans="1:35" x14ac:dyDescent="0.25">
      <c r="A378" s="5">
        <v>51</v>
      </c>
      <c r="B378" s="5" t="s">
        <v>43</v>
      </c>
      <c r="C378" s="5" t="s">
        <v>36</v>
      </c>
      <c r="D378" s="5">
        <v>1178</v>
      </c>
      <c r="E378" s="5" t="s">
        <v>37</v>
      </c>
      <c r="F378" s="5">
        <v>14</v>
      </c>
      <c r="G378" s="5">
        <v>2</v>
      </c>
      <c r="H378" s="5" t="s">
        <v>38</v>
      </c>
      <c r="I378" s="5">
        <v>1</v>
      </c>
      <c r="J378" s="5">
        <v>500</v>
      </c>
      <c r="K378" s="5">
        <v>3</v>
      </c>
      <c r="L378" s="5" t="s">
        <v>39</v>
      </c>
      <c r="M378" s="5">
        <v>87</v>
      </c>
      <c r="N378" s="5">
        <v>3</v>
      </c>
      <c r="O378" s="5">
        <v>2</v>
      </c>
      <c r="P378" s="5" t="s">
        <v>40</v>
      </c>
      <c r="Q378" s="5">
        <v>4</v>
      </c>
      <c r="R378" s="5" t="s">
        <v>48</v>
      </c>
      <c r="S378" s="5">
        <v>4936</v>
      </c>
      <c r="T378" s="5">
        <v>14862</v>
      </c>
      <c r="U378" s="5">
        <v>4</v>
      </c>
      <c r="V378" s="5" t="s">
        <v>42</v>
      </c>
      <c r="W378" s="5" t="s">
        <v>43</v>
      </c>
      <c r="X378" s="5">
        <v>11</v>
      </c>
      <c r="Y378" s="5">
        <v>3</v>
      </c>
      <c r="Z378" s="5">
        <v>3</v>
      </c>
      <c r="AA378" s="5">
        <v>80</v>
      </c>
      <c r="AB378" s="5">
        <v>1</v>
      </c>
      <c r="AC378" s="5">
        <v>18</v>
      </c>
      <c r="AD378" s="5">
        <v>2</v>
      </c>
      <c r="AE378" s="5">
        <v>2</v>
      </c>
      <c r="AF378" s="5">
        <v>7</v>
      </c>
      <c r="AG378" s="5">
        <v>7</v>
      </c>
      <c r="AH378" s="5">
        <v>0</v>
      </c>
      <c r="AI378" s="5">
        <v>7</v>
      </c>
    </row>
    <row r="379" spans="1:35" x14ac:dyDescent="0.25">
      <c r="A379" s="5">
        <v>36</v>
      </c>
      <c r="B379" s="5" t="s">
        <v>43</v>
      </c>
      <c r="C379" s="5" t="s">
        <v>36</v>
      </c>
      <c r="D379" s="5">
        <v>329</v>
      </c>
      <c r="E379" s="5" t="s">
        <v>45</v>
      </c>
      <c r="F379" s="5">
        <v>2</v>
      </c>
      <c r="G379" s="5">
        <v>3</v>
      </c>
      <c r="H379" s="5" t="s">
        <v>38</v>
      </c>
      <c r="I379" s="5">
        <v>1</v>
      </c>
      <c r="J379" s="5">
        <v>501</v>
      </c>
      <c r="K379" s="5">
        <v>4</v>
      </c>
      <c r="L379" s="5" t="s">
        <v>39</v>
      </c>
      <c r="M379" s="5">
        <v>96</v>
      </c>
      <c r="N379" s="5">
        <v>3</v>
      </c>
      <c r="O379" s="5">
        <v>1</v>
      </c>
      <c r="P379" s="5" t="s">
        <v>47</v>
      </c>
      <c r="Q379" s="5">
        <v>3</v>
      </c>
      <c r="R379" s="5" t="s">
        <v>48</v>
      </c>
      <c r="S379" s="5">
        <v>2543</v>
      </c>
      <c r="T379" s="5">
        <v>11868</v>
      </c>
      <c r="U379" s="5">
        <v>4</v>
      </c>
      <c r="V379" s="5" t="s">
        <v>42</v>
      </c>
      <c r="W379" s="5" t="s">
        <v>43</v>
      </c>
      <c r="X379" s="5">
        <v>13</v>
      </c>
      <c r="Y379" s="5">
        <v>3</v>
      </c>
      <c r="Z379" s="5">
        <v>2</v>
      </c>
      <c r="AA379" s="5">
        <v>80</v>
      </c>
      <c r="AB379" s="5">
        <v>1</v>
      </c>
      <c r="AC379" s="5">
        <v>6</v>
      </c>
      <c r="AD379" s="5">
        <v>3</v>
      </c>
      <c r="AE379" s="5">
        <v>3</v>
      </c>
      <c r="AF379" s="5">
        <v>2</v>
      </c>
      <c r="AG379" s="5">
        <v>2</v>
      </c>
      <c r="AH379" s="5">
        <v>2</v>
      </c>
      <c r="AI379" s="5">
        <v>2</v>
      </c>
    </row>
    <row r="380" spans="1:35" x14ac:dyDescent="0.25">
      <c r="A380" s="5">
        <v>34</v>
      </c>
      <c r="B380" s="5" t="s">
        <v>35</v>
      </c>
      <c r="C380" s="5" t="s">
        <v>55</v>
      </c>
      <c r="D380" s="5">
        <v>1362</v>
      </c>
      <c r="E380" s="5" t="s">
        <v>37</v>
      </c>
      <c r="F380" s="5">
        <v>19</v>
      </c>
      <c r="G380" s="5">
        <v>3</v>
      </c>
      <c r="H380" s="5" t="s">
        <v>59</v>
      </c>
      <c r="I380" s="5">
        <v>1</v>
      </c>
      <c r="J380" s="5">
        <v>502</v>
      </c>
      <c r="K380" s="5">
        <v>1</v>
      </c>
      <c r="L380" s="5" t="s">
        <v>46</v>
      </c>
      <c r="M380" s="5">
        <v>67</v>
      </c>
      <c r="N380" s="5">
        <v>4</v>
      </c>
      <c r="O380" s="5">
        <v>2</v>
      </c>
      <c r="P380" s="5" t="s">
        <v>40</v>
      </c>
      <c r="Q380" s="5">
        <v>4</v>
      </c>
      <c r="R380" s="5" t="s">
        <v>41</v>
      </c>
      <c r="S380" s="5">
        <v>5304</v>
      </c>
      <c r="T380" s="5">
        <v>4652</v>
      </c>
      <c r="U380" s="5">
        <v>8</v>
      </c>
      <c r="V380" s="5" t="s">
        <v>42</v>
      </c>
      <c r="W380" s="5" t="s">
        <v>35</v>
      </c>
      <c r="X380" s="5">
        <v>13</v>
      </c>
      <c r="Y380" s="5">
        <v>3</v>
      </c>
      <c r="Z380" s="5">
        <v>2</v>
      </c>
      <c r="AA380" s="5">
        <v>80</v>
      </c>
      <c r="AB380" s="5">
        <v>0</v>
      </c>
      <c r="AC380" s="5">
        <v>9</v>
      </c>
      <c r="AD380" s="5">
        <v>3</v>
      </c>
      <c r="AE380" s="5">
        <v>2</v>
      </c>
      <c r="AF380" s="5">
        <v>5</v>
      </c>
      <c r="AG380" s="5">
        <v>2</v>
      </c>
      <c r="AH380" s="5">
        <v>0</v>
      </c>
      <c r="AI380" s="5">
        <v>4</v>
      </c>
    </row>
    <row r="381" spans="1:35" x14ac:dyDescent="0.25">
      <c r="A381" s="5">
        <v>55</v>
      </c>
      <c r="B381" s="5" t="s">
        <v>43</v>
      </c>
      <c r="C381" s="5" t="s">
        <v>36</v>
      </c>
      <c r="D381" s="5">
        <v>1311</v>
      </c>
      <c r="E381" s="5" t="s">
        <v>45</v>
      </c>
      <c r="F381" s="5">
        <v>2</v>
      </c>
      <c r="G381" s="5">
        <v>3</v>
      </c>
      <c r="H381" s="5" t="s">
        <v>38</v>
      </c>
      <c r="I381" s="5">
        <v>1</v>
      </c>
      <c r="J381" s="5">
        <v>505</v>
      </c>
      <c r="K381" s="5">
        <v>3</v>
      </c>
      <c r="L381" s="5" t="s">
        <v>39</v>
      </c>
      <c r="M381" s="5">
        <v>97</v>
      </c>
      <c r="N381" s="5">
        <v>3</v>
      </c>
      <c r="O381" s="5">
        <v>4</v>
      </c>
      <c r="P381" s="5" t="s">
        <v>56</v>
      </c>
      <c r="Q381" s="5">
        <v>4</v>
      </c>
      <c r="R381" s="5" t="s">
        <v>41</v>
      </c>
      <c r="S381" s="5">
        <v>16659</v>
      </c>
      <c r="T381" s="5">
        <v>23258</v>
      </c>
      <c r="U381" s="5">
        <v>2</v>
      </c>
      <c r="V381" s="5" t="s">
        <v>42</v>
      </c>
      <c r="W381" s="5" t="s">
        <v>35</v>
      </c>
      <c r="X381" s="5">
        <v>13</v>
      </c>
      <c r="Y381" s="5">
        <v>3</v>
      </c>
      <c r="Z381" s="5">
        <v>3</v>
      </c>
      <c r="AA381" s="5">
        <v>80</v>
      </c>
      <c r="AB381" s="5">
        <v>0</v>
      </c>
      <c r="AC381" s="5">
        <v>30</v>
      </c>
      <c r="AD381" s="5">
        <v>2</v>
      </c>
      <c r="AE381" s="5">
        <v>3</v>
      </c>
      <c r="AF381" s="5">
        <v>5</v>
      </c>
      <c r="AG381" s="5">
        <v>4</v>
      </c>
      <c r="AH381" s="5">
        <v>1</v>
      </c>
      <c r="AI381" s="5">
        <v>2</v>
      </c>
    </row>
    <row r="382" spans="1:35" x14ac:dyDescent="0.25">
      <c r="A382" s="5">
        <v>24</v>
      </c>
      <c r="B382" s="5" t="s">
        <v>43</v>
      </c>
      <c r="C382" s="5" t="s">
        <v>36</v>
      </c>
      <c r="D382" s="5">
        <v>1371</v>
      </c>
      <c r="E382" s="5" t="s">
        <v>37</v>
      </c>
      <c r="F382" s="5">
        <v>10</v>
      </c>
      <c r="G382" s="5">
        <v>4</v>
      </c>
      <c r="H382" s="5" t="s">
        <v>59</v>
      </c>
      <c r="I382" s="5">
        <v>1</v>
      </c>
      <c r="J382" s="5">
        <v>507</v>
      </c>
      <c r="K382" s="5">
        <v>4</v>
      </c>
      <c r="L382" s="5" t="s">
        <v>39</v>
      </c>
      <c r="M382" s="5">
        <v>77</v>
      </c>
      <c r="N382" s="5">
        <v>3</v>
      </c>
      <c r="O382" s="5">
        <v>2</v>
      </c>
      <c r="P382" s="5" t="s">
        <v>40</v>
      </c>
      <c r="Q382" s="5">
        <v>3</v>
      </c>
      <c r="R382" s="5" t="s">
        <v>52</v>
      </c>
      <c r="S382" s="5">
        <v>4260</v>
      </c>
      <c r="T382" s="5">
        <v>5915</v>
      </c>
      <c r="U382" s="5">
        <v>1</v>
      </c>
      <c r="V382" s="5" t="s">
        <v>42</v>
      </c>
      <c r="W382" s="5" t="s">
        <v>35</v>
      </c>
      <c r="X382" s="5">
        <v>12</v>
      </c>
      <c r="Y382" s="5">
        <v>3</v>
      </c>
      <c r="Z382" s="5">
        <v>4</v>
      </c>
      <c r="AA382" s="5">
        <v>80</v>
      </c>
      <c r="AB382" s="5">
        <v>1</v>
      </c>
      <c r="AC382" s="5">
        <v>5</v>
      </c>
      <c r="AD382" s="5">
        <v>2</v>
      </c>
      <c r="AE382" s="5">
        <v>4</v>
      </c>
      <c r="AF382" s="5">
        <v>5</v>
      </c>
      <c r="AG382" s="5">
        <v>2</v>
      </c>
      <c r="AH382" s="5">
        <v>0</v>
      </c>
      <c r="AI382" s="5">
        <v>3</v>
      </c>
    </row>
    <row r="383" spans="1:35" x14ac:dyDescent="0.25">
      <c r="A383" s="5">
        <v>30</v>
      </c>
      <c r="B383" s="5" t="s">
        <v>43</v>
      </c>
      <c r="C383" s="5" t="s">
        <v>36</v>
      </c>
      <c r="D383" s="5">
        <v>202</v>
      </c>
      <c r="E383" s="5" t="s">
        <v>37</v>
      </c>
      <c r="F383" s="5">
        <v>2</v>
      </c>
      <c r="G383" s="5">
        <v>1</v>
      </c>
      <c r="H383" s="5" t="s">
        <v>60</v>
      </c>
      <c r="I383" s="5">
        <v>1</v>
      </c>
      <c r="J383" s="5">
        <v>508</v>
      </c>
      <c r="K383" s="5">
        <v>3</v>
      </c>
      <c r="L383" s="5" t="s">
        <v>46</v>
      </c>
      <c r="M383" s="5">
        <v>72</v>
      </c>
      <c r="N383" s="5">
        <v>3</v>
      </c>
      <c r="O383" s="5">
        <v>1</v>
      </c>
      <c r="P383" s="5" t="s">
        <v>57</v>
      </c>
      <c r="Q383" s="5">
        <v>2</v>
      </c>
      <c r="R383" s="5" t="s">
        <v>48</v>
      </c>
      <c r="S383" s="5">
        <v>2476</v>
      </c>
      <c r="T383" s="5">
        <v>17434</v>
      </c>
      <c r="U383" s="5">
        <v>1</v>
      </c>
      <c r="V383" s="5" t="s">
        <v>42</v>
      </c>
      <c r="W383" s="5" t="s">
        <v>43</v>
      </c>
      <c r="X383" s="5">
        <v>18</v>
      </c>
      <c r="Y383" s="5">
        <v>3</v>
      </c>
      <c r="Z383" s="5">
        <v>1</v>
      </c>
      <c r="AA383" s="5">
        <v>80</v>
      </c>
      <c r="AB383" s="5">
        <v>1</v>
      </c>
      <c r="AC383" s="5">
        <v>1</v>
      </c>
      <c r="AD383" s="5">
        <v>3</v>
      </c>
      <c r="AE383" s="5">
        <v>3</v>
      </c>
      <c r="AF383" s="5">
        <v>1</v>
      </c>
      <c r="AG383" s="5">
        <v>0</v>
      </c>
      <c r="AH383" s="5">
        <v>0</v>
      </c>
      <c r="AI383" s="5">
        <v>0</v>
      </c>
    </row>
    <row r="384" spans="1:35" x14ac:dyDescent="0.25">
      <c r="A384" s="5">
        <v>26</v>
      </c>
      <c r="B384" s="5" t="s">
        <v>35</v>
      </c>
      <c r="C384" s="5" t="s">
        <v>44</v>
      </c>
      <c r="D384" s="5">
        <v>575</v>
      </c>
      <c r="E384" s="5" t="s">
        <v>45</v>
      </c>
      <c r="F384" s="5">
        <v>3</v>
      </c>
      <c r="G384" s="5">
        <v>1</v>
      </c>
      <c r="H384" s="5" t="s">
        <v>60</v>
      </c>
      <c r="I384" s="5">
        <v>1</v>
      </c>
      <c r="J384" s="5">
        <v>510</v>
      </c>
      <c r="K384" s="5">
        <v>3</v>
      </c>
      <c r="L384" s="5" t="s">
        <v>46</v>
      </c>
      <c r="M384" s="5">
        <v>73</v>
      </c>
      <c r="N384" s="5">
        <v>3</v>
      </c>
      <c r="O384" s="5">
        <v>1</v>
      </c>
      <c r="P384" s="5" t="s">
        <v>47</v>
      </c>
      <c r="Q384" s="5">
        <v>1</v>
      </c>
      <c r="R384" s="5" t="s">
        <v>41</v>
      </c>
      <c r="S384" s="5">
        <v>3102</v>
      </c>
      <c r="T384" s="5">
        <v>6582</v>
      </c>
      <c r="U384" s="5">
        <v>0</v>
      </c>
      <c r="V384" s="5" t="s">
        <v>42</v>
      </c>
      <c r="W384" s="5" t="s">
        <v>43</v>
      </c>
      <c r="X384" s="5">
        <v>22</v>
      </c>
      <c r="Y384" s="5">
        <v>4</v>
      </c>
      <c r="Z384" s="5">
        <v>3</v>
      </c>
      <c r="AA384" s="5">
        <v>80</v>
      </c>
      <c r="AB384" s="5">
        <v>0</v>
      </c>
      <c r="AC384" s="5">
        <v>7</v>
      </c>
      <c r="AD384" s="5">
        <v>2</v>
      </c>
      <c r="AE384" s="5">
        <v>3</v>
      </c>
      <c r="AF384" s="5">
        <v>6</v>
      </c>
      <c r="AG384" s="5">
        <v>4</v>
      </c>
      <c r="AH384" s="5">
        <v>0</v>
      </c>
      <c r="AI384" s="5">
        <v>4</v>
      </c>
    </row>
    <row r="385" spans="1:35" x14ac:dyDescent="0.25">
      <c r="A385" s="5">
        <v>22</v>
      </c>
      <c r="B385" s="5" t="s">
        <v>43</v>
      </c>
      <c r="C385" s="5" t="s">
        <v>36</v>
      </c>
      <c r="D385" s="5">
        <v>253</v>
      </c>
      <c r="E385" s="5" t="s">
        <v>45</v>
      </c>
      <c r="F385" s="5">
        <v>11</v>
      </c>
      <c r="G385" s="5">
        <v>3</v>
      </c>
      <c r="H385" s="5" t="s">
        <v>51</v>
      </c>
      <c r="I385" s="5">
        <v>1</v>
      </c>
      <c r="J385" s="5">
        <v>511</v>
      </c>
      <c r="K385" s="5">
        <v>1</v>
      </c>
      <c r="L385" s="5" t="s">
        <v>39</v>
      </c>
      <c r="M385" s="5">
        <v>43</v>
      </c>
      <c r="N385" s="5">
        <v>3</v>
      </c>
      <c r="O385" s="5">
        <v>1</v>
      </c>
      <c r="P385" s="5" t="s">
        <v>47</v>
      </c>
      <c r="Q385" s="5">
        <v>2</v>
      </c>
      <c r="R385" s="5" t="s">
        <v>48</v>
      </c>
      <c r="S385" s="5">
        <v>2244</v>
      </c>
      <c r="T385" s="5">
        <v>24440</v>
      </c>
      <c r="U385" s="5">
        <v>1</v>
      </c>
      <c r="V385" s="5" t="s">
        <v>42</v>
      </c>
      <c r="W385" s="5" t="s">
        <v>43</v>
      </c>
      <c r="X385" s="5">
        <v>13</v>
      </c>
      <c r="Y385" s="5">
        <v>3</v>
      </c>
      <c r="Z385" s="5">
        <v>4</v>
      </c>
      <c r="AA385" s="5">
        <v>80</v>
      </c>
      <c r="AB385" s="5">
        <v>1</v>
      </c>
      <c r="AC385" s="5">
        <v>2</v>
      </c>
      <c r="AD385" s="5">
        <v>1</v>
      </c>
      <c r="AE385" s="5">
        <v>3</v>
      </c>
      <c r="AF385" s="5">
        <v>2</v>
      </c>
      <c r="AG385" s="5">
        <v>1</v>
      </c>
      <c r="AH385" s="5">
        <v>1</v>
      </c>
      <c r="AI385" s="5">
        <v>2</v>
      </c>
    </row>
    <row r="386" spans="1:35" x14ac:dyDescent="0.25">
      <c r="A386" s="5">
        <v>36</v>
      </c>
      <c r="B386" s="5" t="s">
        <v>43</v>
      </c>
      <c r="C386" s="5" t="s">
        <v>36</v>
      </c>
      <c r="D386" s="5">
        <v>164</v>
      </c>
      <c r="E386" s="5" t="s">
        <v>37</v>
      </c>
      <c r="F386" s="5">
        <v>2</v>
      </c>
      <c r="G386" s="5">
        <v>2</v>
      </c>
      <c r="H386" s="5" t="s">
        <v>51</v>
      </c>
      <c r="I386" s="5">
        <v>1</v>
      </c>
      <c r="J386" s="5">
        <v>513</v>
      </c>
      <c r="K386" s="5">
        <v>2</v>
      </c>
      <c r="L386" s="5" t="s">
        <v>46</v>
      </c>
      <c r="M386" s="5">
        <v>61</v>
      </c>
      <c r="N386" s="5">
        <v>2</v>
      </c>
      <c r="O386" s="5">
        <v>3</v>
      </c>
      <c r="P386" s="5" t="s">
        <v>40</v>
      </c>
      <c r="Q386" s="5">
        <v>3</v>
      </c>
      <c r="R386" s="5" t="s">
        <v>48</v>
      </c>
      <c r="S386" s="5">
        <v>7596</v>
      </c>
      <c r="T386" s="5">
        <v>3809</v>
      </c>
      <c r="U386" s="5">
        <v>1</v>
      </c>
      <c r="V386" s="5" t="s">
        <v>42</v>
      </c>
      <c r="W386" s="5" t="s">
        <v>43</v>
      </c>
      <c r="X386" s="5">
        <v>13</v>
      </c>
      <c r="Y386" s="5">
        <v>3</v>
      </c>
      <c r="Z386" s="5">
        <v>2</v>
      </c>
      <c r="AA386" s="5">
        <v>80</v>
      </c>
      <c r="AB386" s="5">
        <v>2</v>
      </c>
      <c r="AC386" s="5">
        <v>10</v>
      </c>
      <c r="AD386" s="5">
        <v>2</v>
      </c>
      <c r="AE386" s="5">
        <v>3</v>
      </c>
      <c r="AF386" s="5">
        <v>10</v>
      </c>
      <c r="AG386" s="5">
        <v>9</v>
      </c>
      <c r="AH386" s="5">
        <v>9</v>
      </c>
      <c r="AI386" s="5">
        <v>0</v>
      </c>
    </row>
    <row r="387" spans="1:35" x14ac:dyDescent="0.25">
      <c r="A387" s="5">
        <v>30</v>
      </c>
      <c r="B387" s="5" t="s">
        <v>35</v>
      </c>
      <c r="C387" s="5" t="s">
        <v>44</v>
      </c>
      <c r="D387" s="5">
        <v>464</v>
      </c>
      <c r="E387" s="5" t="s">
        <v>45</v>
      </c>
      <c r="F387" s="5">
        <v>4</v>
      </c>
      <c r="G387" s="5">
        <v>3</v>
      </c>
      <c r="H387" s="5" t="s">
        <v>60</v>
      </c>
      <c r="I387" s="5">
        <v>1</v>
      </c>
      <c r="J387" s="5">
        <v>514</v>
      </c>
      <c r="K387" s="5">
        <v>3</v>
      </c>
      <c r="L387" s="5" t="s">
        <v>46</v>
      </c>
      <c r="M387" s="5">
        <v>40</v>
      </c>
      <c r="N387" s="5">
        <v>3</v>
      </c>
      <c r="O387" s="5">
        <v>1</v>
      </c>
      <c r="P387" s="5" t="s">
        <v>47</v>
      </c>
      <c r="Q387" s="5">
        <v>4</v>
      </c>
      <c r="R387" s="5" t="s">
        <v>41</v>
      </c>
      <c r="S387" s="5">
        <v>2285</v>
      </c>
      <c r="T387" s="5">
        <v>3427</v>
      </c>
      <c r="U387" s="5">
        <v>9</v>
      </c>
      <c r="V387" s="5" t="s">
        <v>42</v>
      </c>
      <c r="W387" s="5" t="s">
        <v>35</v>
      </c>
      <c r="X387" s="5">
        <v>23</v>
      </c>
      <c r="Y387" s="5">
        <v>4</v>
      </c>
      <c r="Z387" s="5">
        <v>3</v>
      </c>
      <c r="AA387" s="5">
        <v>80</v>
      </c>
      <c r="AB387" s="5">
        <v>0</v>
      </c>
      <c r="AC387" s="5">
        <v>3</v>
      </c>
      <c r="AD387" s="5">
        <v>4</v>
      </c>
      <c r="AE387" s="5">
        <v>3</v>
      </c>
      <c r="AF387" s="5">
        <v>1</v>
      </c>
      <c r="AG387" s="5">
        <v>0</v>
      </c>
      <c r="AH387" s="5">
        <v>0</v>
      </c>
      <c r="AI387" s="5">
        <v>0</v>
      </c>
    </row>
    <row r="388" spans="1:35" x14ac:dyDescent="0.25">
      <c r="A388" s="5">
        <v>37</v>
      </c>
      <c r="B388" s="5" t="s">
        <v>43</v>
      </c>
      <c r="C388" s="5" t="s">
        <v>36</v>
      </c>
      <c r="D388" s="5">
        <v>1107</v>
      </c>
      <c r="E388" s="5" t="s">
        <v>45</v>
      </c>
      <c r="F388" s="5">
        <v>14</v>
      </c>
      <c r="G388" s="5">
        <v>3</v>
      </c>
      <c r="H388" s="5" t="s">
        <v>38</v>
      </c>
      <c r="I388" s="5">
        <v>1</v>
      </c>
      <c r="J388" s="5">
        <v>515</v>
      </c>
      <c r="K388" s="5">
        <v>4</v>
      </c>
      <c r="L388" s="5" t="s">
        <v>39</v>
      </c>
      <c r="M388" s="5">
        <v>95</v>
      </c>
      <c r="N388" s="5">
        <v>3</v>
      </c>
      <c r="O388" s="5">
        <v>1</v>
      </c>
      <c r="P388" s="5" t="s">
        <v>50</v>
      </c>
      <c r="Q388" s="5">
        <v>1</v>
      </c>
      <c r="R388" s="5" t="s">
        <v>52</v>
      </c>
      <c r="S388" s="5">
        <v>3034</v>
      </c>
      <c r="T388" s="5">
        <v>26914</v>
      </c>
      <c r="U388" s="5">
        <v>1</v>
      </c>
      <c r="V388" s="5" t="s">
        <v>42</v>
      </c>
      <c r="W388" s="5" t="s">
        <v>43</v>
      </c>
      <c r="X388" s="5">
        <v>12</v>
      </c>
      <c r="Y388" s="5">
        <v>3</v>
      </c>
      <c r="Z388" s="5">
        <v>3</v>
      </c>
      <c r="AA388" s="5">
        <v>80</v>
      </c>
      <c r="AB388" s="5">
        <v>1</v>
      </c>
      <c r="AC388" s="5">
        <v>18</v>
      </c>
      <c r="AD388" s="5">
        <v>2</v>
      </c>
      <c r="AE388" s="5">
        <v>2</v>
      </c>
      <c r="AF388" s="5">
        <v>18</v>
      </c>
      <c r="AG388" s="5">
        <v>7</v>
      </c>
      <c r="AH388" s="5">
        <v>12</v>
      </c>
      <c r="AI388" s="5">
        <v>17</v>
      </c>
    </row>
    <row r="389" spans="1:35" x14ac:dyDescent="0.25">
      <c r="A389" s="5">
        <v>40</v>
      </c>
      <c r="B389" s="5" t="s">
        <v>43</v>
      </c>
      <c r="C389" s="5" t="s">
        <v>36</v>
      </c>
      <c r="D389" s="5">
        <v>759</v>
      </c>
      <c r="E389" s="5" t="s">
        <v>37</v>
      </c>
      <c r="F389" s="5">
        <v>2</v>
      </c>
      <c r="G389" s="5">
        <v>2</v>
      </c>
      <c r="H389" s="5" t="s">
        <v>59</v>
      </c>
      <c r="I389" s="5">
        <v>1</v>
      </c>
      <c r="J389" s="5">
        <v>516</v>
      </c>
      <c r="K389" s="5">
        <v>4</v>
      </c>
      <c r="L389" s="5" t="s">
        <v>39</v>
      </c>
      <c r="M389" s="5">
        <v>46</v>
      </c>
      <c r="N389" s="5">
        <v>3</v>
      </c>
      <c r="O389" s="5">
        <v>2</v>
      </c>
      <c r="P389" s="5" t="s">
        <v>40</v>
      </c>
      <c r="Q389" s="5">
        <v>2</v>
      </c>
      <c r="R389" s="5" t="s">
        <v>52</v>
      </c>
      <c r="S389" s="5">
        <v>5715</v>
      </c>
      <c r="T389" s="5">
        <v>22553</v>
      </c>
      <c r="U389" s="5">
        <v>7</v>
      </c>
      <c r="V389" s="5" t="s">
        <v>42</v>
      </c>
      <c r="W389" s="5" t="s">
        <v>43</v>
      </c>
      <c r="X389" s="5">
        <v>12</v>
      </c>
      <c r="Y389" s="5">
        <v>3</v>
      </c>
      <c r="Z389" s="5">
        <v>3</v>
      </c>
      <c r="AA389" s="5">
        <v>80</v>
      </c>
      <c r="AB389" s="5">
        <v>2</v>
      </c>
      <c r="AC389" s="5">
        <v>8</v>
      </c>
      <c r="AD389" s="5">
        <v>5</v>
      </c>
      <c r="AE389" s="5">
        <v>3</v>
      </c>
      <c r="AF389" s="5">
        <v>5</v>
      </c>
      <c r="AG389" s="5">
        <v>4</v>
      </c>
      <c r="AH389" s="5">
        <v>1</v>
      </c>
      <c r="AI389" s="5">
        <v>3</v>
      </c>
    </row>
    <row r="390" spans="1:35" x14ac:dyDescent="0.25">
      <c r="A390" s="5">
        <v>42</v>
      </c>
      <c r="B390" s="5" t="s">
        <v>43</v>
      </c>
      <c r="C390" s="5" t="s">
        <v>36</v>
      </c>
      <c r="D390" s="5">
        <v>201</v>
      </c>
      <c r="E390" s="5" t="s">
        <v>45</v>
      </c>
      <c r="F390" s="5">
        <v>1</v>
      </c>
      <c r="G390" s="5">
        <v>4</v>
      </c>
      <c r="H390" s="5" t="s">
        <v>38</v>
      </c>
      <c r="I390" s="5">
        <v>1</v>
      </c>
      <c r="J390" s="5">
        <v>517</v>
      </c>
      <c r="K390" s="5">
        <v>2</v>
      </c>
      <c r="L390" s="5" t="s">
        <v>39</v>
      </c>
      <c r="M390" s="5">
        <v>95</v>
      </c>
      <c r="N390" s="5">
        <v>3</v>
      </c>
      <c r="O390" s="5">
        <v>1</v>
      </c>
      <c r="P390" s="5" t="s">
        <v>50</v>
      </c>
      <c r="Q390" s="5">
        <v>1</v>
      </c>
      <c r="R390" s="5" t="s">
        <v>52</v>
      </c>
      <c r="S390" s="5">
        <v>2576</v>
      </c>
      <c r="T390" s="5">
        <v>20490</v>
      </c>
      <c r="U390" s="5">
        <v>3</v>
      </c>
      <c r="V390" s="5" t="s">
        <v>42</v>
      </c>
      <c r="W390" s="5" t="s">
        <v>43</v>
      </c>
      <c r="X390" s="5">
        <v>16</v>
      </c>
      <c r="Y390" s="5">
        <v>3</v>
      </c>
      <c r="Z390" s="5">
        <v>2</v>
      </c>
      <c r="AA390" s="5">
        <v>80</v>
      </c>
      <c r="AB390" s="5">
        <v>1</v>
      </c>
      <c r="AC390" s="5">
        <v>8</v>
      </c>
      <c r="AD390" s="5">
        <v>5</v>
      </c>
      <c r="AE390" s="5">
        <v>3</v>
      </c>
      <c r="AF390" s="5">
        <v>5</v>
      </c>
      <c r="AG390" s="5">
        <v>2</v>
      </c>
      <c r="AH390" s="5">
        <v>1</v>
      </c>
      <c r="AI390" s="5">
        <v>2</v>
      </c>
    </row>
    <row r="391" spans="1:35" x14ac:dyDescent="0.25">
      <c r="A391" s="5">
        <v>37</v>
      </c>
      <c r="B391" s="5" t="s">
        <v>43</v>
      </c>
      <c r="C391" s="5" t="s">
        <v>36</v>
      </c>
      <c r="D391" s="5">
        <v>1305</v>
      </c>
      <c r="E391" s="5" t="s">
        <v>45</v>
      </c>
      <c r="F391" s="5">
        <v>10</v>
      </c>
      <c r="G391" s="5">
        <v>4</v>
      </c>
      <c r="H391" s="5" t="s">
        <v>38</v>
      </c>
      <c r="I391" s="5">
        <v>1</v>
      </c>
      <c r="J391" s="5">
        <v>518</v>
      </c>
      <c r="K391" s="5">
        <v>3</v>
      </c>
      <c r="L391" s="5" t="s">
        <v>46</v>
      </c>
      <c r="M391" s="5">
        <v>49</v>
      </c>
      <c r="N391" s="5">
        <v>3</v>
      </c>
      <c r="O391" s="5">
        <v>2</v>
      </c>
      <c r="P391" s="5" t="s">
        <v>53</v>
      </c>
      <c r="Q391" s="5">
        <v>2</v>
      </c>
      <c r="R391" s="5" t="s">
        <v>41</v>
      </c>
      <c r="S391" s="5">
        <v>4197</v>
      </c>
      <c r="T391" s="5">
        <v>21123</v>
      </c>
      <c r="U391" s="5">
        <v>2</v>
      </c>
      <c r="V391" s="5" t="s">
        <v>42</v>
      </c>
      <c r="W391" s="5" t="s">
        <v>35</v>
      </c>
      <c r="X391" s="5">
        <v>12</v>
      </c>
      <c r="Y391" s="5">
        <v>3</v>
      </c>
      <c r="Z391" s="5">
        <v>4</v>
      </c>
      <c r="AA391" s="5">
        <v>80</v>
      </c>
      <c r="AB391" s="5">
        <v>0</v>
      </c>
      <c r="AC391" s="5">
        <v>18</v>
      </c>
      <c r="AD391" s="5">
        <v>2</v>
      </c>
      <c r="AE391" s="5">
        <v>2</v>
      </c>
      <c r="AF391" s="5">
        <v>1</v>
      </c>
      <c r="AG391" s="5">
        <v>0</v>
      </c>
      <c r="AH391" s="5">
        <v>0</v>
      </c>
      <c r="AI391" s="5">
        <v>1</v>
      </c>
    </row>
    <row r="392" spans="1:35" x14ac:dyDescent="0.25">
      <c r="A392" s="5">
        <v>43</v>
      </c>
      <c r="B392" s="5" t="s">
        <v>43</v>
      </c>
      <c r="C392" s="5" t="s">
        <v>36</v>
      </c>
      <c r="D392" s="5">
        <v>982</v>
      </c>
      <c r="E392" s="5" t="s">
        <v>45</v>
      </c>
      <c r="F392" s="5">
        <v>12</v>
      </c>
      <c r="G392" s="5">
        <v>3</v>
      </c>
      <c r="H392" s="5" t="s">
        <v>38</v>
      </c>
      <c r="I392" s="5">
        <v>1</v>
      </c>
      <c r="J392" s="5">
        <v>520</v>
      </c>
      <c r="K392" s="5">
        <v>1</v>
      </c>
      <c r="L392" s="5" t="s">
        <v>46</v>
      </c>
      <c r="M392" s="5">
        <v>59</v>
      </c>
      <c r="N392" s="5">
        <v>2</v>
      </c>
      <c r="O392" s="5">
        <v>4</v>
      </c>
      <c r="P392" s="5" t="s">
        <v>58</v>
      </c>
      <c r="Q392" s="5">
        <v>2</v>
      </c>
      <c r="R392" s="5" t="s">
        <v>52</v>
      </c>
      <c r="S392" s="5">
        <v>14336</v>
      </c>
      <c r="T392" s="5">
        <v>4345</v>
      </c>
      <c r="U392" s="5">
        <v>1</v>
      </c>
      <c r="V392" s="5" t="s">
        <v>42</v>
      </c>
      <c r="W392" s="5" t="s">
        <v>43</v>
      </c>
      <c r="X392" s="5">
        <v>11</v>
      </c>
      <c r="Y392" s="5">
        <v>3</v>
      </c>
      <c r="Z392" s="5">
        <v>3</v>
      </c>
      <c r="AA392" s="5">
        <v>80</v>
      </c>
      <c r="AB392" s="5">
        <v>1</v>
      </c>
      <c r="AC392" s="5">
        <v>25</v>
      </c>
      <c r="AD392" s="5">
        <v>3</v>
      </c>
      <c r="AE392" s="5">
        <v>3</v>
      </c>
      <c r="AF392" s="5">
        <v>25</v>
      </c>
      <c r="AG392" s="5">
        <v>10</v>
      </c>
      <c r="AH392" s="5">
        <v>3</v>
      </c>
      <c r="AI392" s="5">
        <v>9</v>
      </c>
    </row>
    <row r="393" spans="1:35" x14ac:dyDescent="0.25">
      <c r="A393" s="5">
        <v>40</v>
      </c>
      <c r="B393" s="5" t="s">
        <v>43</v>
      </c>
      <c r="C393" s="5" t="s">
        <v>36</v>
      </c>
      <c r="D393" s="5">
        <v>555</v>
      </c>
      <c r="E393" s="5" t="s">
        <v>45</v>
      </c>
      <c r="F393" s="5">
        <v>2</v>
      </c>
      <c r="G393" s="5">
        <v>3</v>
      </c>
      <c r="H393" s="5" t="s">
        <v>51</v>
      </c>
      <c r="I393" s="5">
        <v>1</v>
      </c>
      <c r="J393" s="5">
        <v>521</v>
      </c>
      <c r="K393" s="5">
        <v>2</v>
      </c>
      <c r="L393" s="5" t="s">
        <v>39</v>
      </c>
      <c r="M393" s="5">
        <v>78</v>
      </c>
      <c r="N393" s="5">
        <v>2</v>
      </c>
      <c r="O393" s="5">
        <v>2</v>
      </c>
      <c r="P393" s="5" t="s">
        <v>50</v>
      </c>
      <c r="Q393" s="5">
        <v>3</v>
      </c>
      <c r="R393" s="5" t="s">
        <v>48</v>
      </c>
      <c r="S393" s="5">
        <v>3448</v>
      </c>
      <c r="T393" s="5">
        <v>13436</v>
      </c>
      <c r="U393" s="5">
        <v>6</v>
      </c>
      <c r="V393" s="5" t="s">
        <v>42</v>
      </c>
      <c r="W393" s="5" t="s">
        <v>43</v>
      </c>
      <c r="X393" s="5">
        <v>22</v>
      </c>
      <c r="Y393" s="5">
        <v>4</v>
      </c>
      <c r="Z393" s="5">
        <v>2</v>
      </c>
      <c r="AA393" s="5">
        <v>80</v>
      </c>
      <c r="AB393" s="5">
        <v>1</v>
      </c>
      <c r="AC393" s="5">
        <v>20</v>
      </c>
      <c r="AD393" s="5">
        <v>3</v>
      </c>
      <c r="AE393" s="5">
        <v>3</v>
      </c>
      <c r="AF393" s="5">
        <v>1</v>
      </c>
      <c r="AG393" s="5">
        <v>0</v>
      </c>
      <c r="AH393" s="5">
        <v>0</v>
      </c>
      <c r="AI393" s="5">
        <v>0</v>
      </c>
    </row>
    <row r="394" spans="1:35" x14ac:dyDescent="0.25">
      <c r="A394" s="5">
        <v>54</v>
      </c>
      <c r="B394" s="5" t="s">
        <v>43</v>
      </c>
      <c r="C394" s="5" t="s">
        <v>36</v>
      </c>
      <c r="D394" s="5">
        <v>821</v>
      </c>
      <c r="E394" s="5" t="s">
        <v>45</v>
      </c>
      <c r="F394" s="5">
        <v>5</v>
      </c>
      <c r="G394" s="5">
        <v>2</v>
      </c>
      <c r="H394" s="5" t="s">
        <v>51</v>
      </c>
      <c r="I394" s="5">
        <v>1</v>
      </c>
      <c r="J394" s="5">
        <v>522</v>
      </c>
      <c r="K394" s="5">
        <v>1</v>
      </c>
      <c r="L394" s="5" t="s">
        <v>46</v>
      </c>
      <c r="M394" s="5">
        <v>86</v>
      </c>
      <c r="N394" s="5">
        <v>3</v>
      </c>
      <c r="O394" s="5">
        <v>5</v>
      </c>
      <c r="P394" s="5" t="s">
        <v>58</v>
      </c>
      <c r="Q394" s="5">
        <v>1</v>
      </c>
      <c r="R394" s="5" t="s">
        <v>48</v>
      </c>
      <c r="S394" s="5">
        <v>19406</v>
      </c>
      <c r="T394" s="5">
        <v>8509</v>
      </c>
      <c r="U394" s="5">
        <v>4</v>
      </c>
      <c r="V394" s="5" t="s">
        <v>42</v>
      </c>
      <c r="W394" s="5" t="s">
        <v>43</v>
      </c>
      <c r="X394" s="5">
        <v>11</v>
      </c>
      <c r="Y394" s="5">
        <v>3</v>
      </c>
      <c r="Z394" s="5">
        <v>3</v>
      </c>
      <c r="AA394" s="5">
        <v>80</v>
      </c>
      <c r="AB394" s="5">
        <v>1</v>
      </c>
      <c r="AC394" s="5">
        <v>24</v>
      </c>
      <c r="AD394" s="5">
        <v>4</v>
      </c>
      <c r="AE394" s="5">
        <v>2</v>
      </c>
      <c r="AF394" s="5">
        <v>4</v>
      </c>
      <c r="AG394" s="5">
        <v>2</v>
      </c>
      <c r="AH394" s="5">
        <v>1</v>
      </c>
      <c r="AI394" s="5">
        <v>2</v>
      </c>
    </row>
    <row r="395" spans="1:35" x14ac:dyDescent="0.25">
      <c r="A395" s="5">
        <v>34</v>
      </c>
      <c r="B395" s="5" t="s">
        <v>43</v>
      </c>
      <c r="C395" s="5" t="s">
        <v>55</v>
      </c>
      <c r="D395" s="5">
        <v>1381</v>
      </c>
      <c r="E395" s="5" t="s">
        <v>37</v>
      </c>
      <c r="F395" s="5">
        <v>4</v>
      </c>
      <c r="G395" s="5">
        <v>4</v>
      </c>
      <c r="H395" s="5" t="s">
        <v>59</v>
      </c>
      <c r="I395" s="5">
        <v>1</v>
      </c>
      <c r="J395" s="5">
        <v>523</v>
      </c>
      <c r="K395" s="5">
        <v>3</v>
      </c>
      <c r="L395" s="5" t="s">
        <v>39</v>
      </c>
      <c r="M395" s="5">
        <v>72</v>
      </c>
      <c r="N395" s="5">
        <v>3</v>
      </c>
      <c r="O395" s="5">
        <v>2</v>
      </c>
      <c r="P395" s="5" t="s">
        <v>40</v>
      </c>
      <c r="Q395" s="5">
        <v>3</v>
      </c>
      <c r="R395" s="5" t="s">
        <v>48</v>
      </c>
      <c r="S395" s="5">
        <v>6538</v>
      </c>
      <c r="T395" s="5">
        <v>12740</v>
      </c>
      <c r="U395" s="5">
        <v>9</v>
      </c>
      <c r="V395" s="5" t="s">
        <v>42</v>
      </c>
      <c r="W395" s="5" t="s">
        <v>43</v>
      </c>
      <c r="X395" s="5">
        <v>15</v>
      </c>
      <c r="Y395" s="5">
        <v>3</v>
      </c>
      <c r="Z395" s="5">
        <v>1</v>
      </c>
      <c r="AA395" s="5">
        <v>80</v>
      </c>
      <c r="AB395" s="5">
        <v>1</v>
      </c>
      <c r="AC395" s="5">
        <v>6</v>
      </c>
      <c r="AD395" s="5">
        <v>3</v>
      </c>
      <c r="AE395" s="5">
        <v>3</v>
      </c>
      <c r="AF395" s="5">
        <v>3</v>
      </c>
      <c r="AG395" s="5">
        <v>2</v>
      </c>
      <c r="AH395" s="5">
        <v>1</v>
      </c>
      <c r="AI395" s="5">
        <v>2</v>
      </c>
    </row>
    <row r="396" spans="1:35" x14ac:dyDescent="0.25">
      <c r="A396" s="5">
        <v>31</v>
      </c>
      <c r="B396" s="5" t="s">
        <v>43</v>
      </c>
      <c r="C396" s="5" t="s">
        <v>36</v>
      </c>
      <c r="D396" s="5">
        <v>480</v>
      </c>
      <c r="E396" s="5" t="s">
        <v>45</v>
      </c>
      <c r="F396" s="5">
        <v>7</v>
      </c>
      <c r="G396" s="5">
        <v>2</v>
      </c>
      <c r="H396" s="5" t="s">
        <v>51</v>
      </c>
      <c r="I396" s="5">
        <v>1</v>
      </c>
      <c r="J396" s="5">
        <v>524</v>
      </c>
      <c r="K396" s="5">
        <v>2</v>
      </c>
      <c r="L396" s="5" t="s">
        <v>39</v>
      </c>
      <c r="M396" s="5">
        <v>31</v>
      </c>
      <c r="N396" s="5">
        <v>3</v>
      </c>
      <c r="O396" s="5">
        <v>2</v>
      </c>
      <c r="P396" s="5" t="s">
        <v>53</v>
      </c>
      <c r="Q396" s="5">
        <v>1</v>
      </c>
      <c r="R396" s="5" t="s">
        <v>48</v>
      </c>
      <c r="S396" s="5">
        <v>4306</v>
      </c>
      <c r="T396" s="5">
        <v>4156</v>
      </c>
      <c r="U396" s="5">
        <v>1</v>
      </c>
      <c r="V396" s="5" t="s">
        <v>42</v>
      </c>
      <c r="W396" s="5" t="s">
        <v>43</v>
      </c>
      <c r="X396" s="5">
        <v>12</v>
      </c>
      <c r="Y396" s="5">
        <v>3</v>
      </c>
      <c r="Z396" s="5">
        <v>2</v>
      </c>
      <c r="AA396" s="5">
        <v>80</v>
      </c>
      <c r="AB396" s="5">
        <v>1</v>
      </c>
      <c r="AC396" s="5">
        <v>13</v>
      </c>
      <c r="AD396" s="5">
        <v>5</v>
      </c>
      <c r="AE396" s="5">
        <v>1</v>
      </c>
      <c r="AF396" s="5">
        <v>13</v>
      </c>
      <c r="AG396" s="5">
        <v>10</v>
      </c>
      <c r="AH396" s="5">
        <v>3</v>
      </c>
      <c r="AI396" s="5">
        <v>12</v>
      </c>
    </row>
    <row r="397" spans="1:35" x14ac:dyDescent="0.25">
      <c r="A397" s="5">
        <v>43</v>
      </c>
      <c r="B397" s="5" t="s">
        <v>43</v>
      </c>
      <c r="C397" s="5" t="s">
        <v>44</v>
      </c>
      <c r="D397" s="5">
        <v>313</v>
      </c>
      <c r="E397" s="5" t="s">
        <v>45</v>
      </c>
      <c r="F397" s="5">
        <v>21</v>
      </c>
      <c r="G397" s="5">
        <v>3</v>
      </c>
      <c r="H397" s="5" t="s">
        <v>51</v>
      </c>
      <c r="I397" s="5">
        <v>1</v>
      </c>
      <c r="J397" s="5">
        <v>525</v>
      </c>
      <c r="K397" s="5">
        <v>4</v>
      </c>
      <c r="L397" s="5" t="s">
        <v>46</v>
      </c>
      <c r="M397" s="5">
        <v>61</v>
      </c>
      <c r="N397" s="5">
        <v>3</v>
      </c>
      <c r="O397" s="5">
        <v>1</v>
      </c>
      <c r="P397" s="5" t="s">
        <v>50</v>
      </c>
      <c r="Q397" s="5">
        <v>4</v>
      </c>
      <c r="R397" s="5" t="s">
        <v>48</v>
      </c>
      <c r="S397" s="5">
        <v>2258</v>
      </c>
      <c r="T397" s="5">
        <v>15238</v>
      </c>
      <c r="U397" s="5">
        <v>7</v>
      </c>
      <c r="V397" s="5" t="s">
        <v>42</v>
      </c>
      <c r="W397" s="5" t="s">
        <v>43</v>
      </c>
      <c r="X397" s="5">
        <v>20</v>
      </c>
      <c r="Y397" s="5">
        <v>4</v>
      </c>
      <c r="Z397" s="5">
        <v>1</v>
      </c>
      <c r="AA397" s="5">
        <v>80</v>
      </c>
      <c r="AB397" s="5">
        <v>1</v>
      </c>
      <c r="AC397" s="5">
        <v>8</v>
      </c>
      <c r="AD397" s="5">
        <v>1</v>
      </c>
      <c r="AE397" s="5">
        <v>3</v>
      </c>
      <c r="AF397" s="5">
        <v>3</v>
      </c>
      <c r="AG397" s="5">
        <v>2</v>
      </c>
      <c r="AH397" s="5">
        <v>1</v>
      </c>
      <c r="AI397" s="5">
        <v>2</v>
      </c>
    </row>
    <row r="398" spans="1:35" x14ac:dyDescent="0.25">
      <c r="A398" s="5">
        <v>43</v>
      </c>
      <c r="B398" s="5" t="s">
        <v>43</v>
      </c>
      <c r="C398" s="5" t="s">
        <v>36</v>
      </c>
      <c r="D398" s="5">
        <v>1473</v>
      </c>
      <c r="E398" s="5" t="s">
        <v>45</v>
      </c>
      <c r="F398" s="5">
        <v>8</v>
      </c>
      <c r="G398" s="5">
        <v>4</v>
      </c>
      <c r="H398" s="5" t="s">
        <v>49</v>
      </c>
      <c r="I398" s="5">
        <v>1</v>
      </c>
      <c r="J398" s="5">
        <v>526</v>
      </c>
      <c r="K398" s="5">
        <v>3</v>
      </c>
      <c r="L398" s="5" t="s">
        <v>39</v>
      </c>
      <c r="M398" s="5">
        <v>74</v>
      </c>
      <c r="N398" s="5">
        <v>3</v>
      </c>
      <c r="O398" s="5">
        <v>2</v>
      </c>
      <c r="P398" s="5" t="s">
        <v>54</v>
      </c>
      <c r="Q398" s="5">
        <v>3</v>
      </c>
      <c r="R398" s="5" t="s">
        <v>52</v>
      </c>
      <c r="S398" s="5">
        <v>4522</v>
      </c>
      <c r="T398" s="5">
        <v>2227</v>
      </c>
      <c r="U398" s="5">
        <v>4</v>
      </c>
      <c r="V398" s="5" t="s">
        <v>42</v>
      </c>
      <c r="W398" s="5" t="s">
        <v>35</v>
      </c>
      <c r="X398" s="5">
        <v>14</v>
      </c>
      <c r="Y398" s="5">
        <v>3</v>
      </c>
      <c r="Z398" s="5">
        <v>4</v>
      </c>
      <c r="AA398" s="5">
        <v>80</v>
      </c>
      <c r="AB398" s="5">
        <v>0</v>
      </c>
      <c r="AC398" s="5">
        <v>8</v>
      </c>
      <c r="AD398" s="5">
        <v>3</v>
      </c>
      <c r="AE398" s="5">
        <v>3</v>
      </c>
      <c r="AF398" s="5">
        <v>5</v>
      </c>
      <c r="AG398" s="5">
        <v>2</v>
      </c>
      <c r="AH398" s="5">
        <v>0</v>
      </c>
      <c r="AI398" s="5">
        <v>2</v>
      </c>
    </row>
    <row r="399" spans="1:35" x14ac:dyDescent="0.25">
      <c r="A399" s="5">
        <v>25</v>
      </c>
      <c r="B399" s="5" t="s">
        <v>43</v>
      </c>
      <c r="C399" s="5" t="s">
        <v>36</v>
      </c>
      <c r="D399" s="5">
        <v>891</v>
      </c>
      <c r="E399" s="5" t="s">
        <v>37</v>
      </c>
      <c r="F399" s="5">
        <v>4</v>
      </c>
      <c r="G399" s="5">
        <v>2</v>
      </c>
      <c r="H399" s="5" t="s">
        <v>38</v>
      </c>
      <c r="I399" s="5">
        <v>1</v>
      </c>
      <c r="J399" s="5">
        <v>527</v>
      </c>
      <c r="K399" s="5">
        <v>2</v>
      </c>
      <c r="L399" s="5" t="s">
        <v>39</v>
      </c>
      <c r="M399" s="5">
        <v>99</v>
      </c>
      <c r="N399" s="5">
        <v>2</v>
      </c>
      <c r="O399" s="5">
        <v>2</v>
      </c>
      <c r="P399" s="5" t="s">
        <v>40</v>
      </c>
      <c r="Q399" s="5">
        <v>4</v>
      </c>
      <c r="R399" s="5" t="s">
        <v>41</v>
      </c>
      <c r="S399" s="5">
        <v>4487</v>
      </c>
      <c r="T399" s="5">
        <v>12090</v>
      </c>
      <c r="U399" s="5">
        <v>1</v>
      </c>
      <c r="V399" s="5" t="s">
        <v>42</v>
      </c>
      <c r="W399" s="5" t="s">
        <v>35</v>
      </c>
      <c r="X399" s="5">
        <v>11</v>
      </c>
      <c r="Y399" s="5">
        <v>3</v>
      </c>
      <c r="Z399" s="5">
        <v>2</v>
      </c>
      <c r="AA399" s="5">
        <v>80</v>
      </c>
      <c r="AB399" s="5">
        <v>0</v>
      </c>
      <c r="AC399" s="5">
        <v>5</v>
      </c>
      <c r="AD399" s="5">
        <v>3</v>
      </c>
      <c r="AE399" s="5">
        <v>3</v>
      </c>
      <c r="AF399" s="5">
        <v>5</v>
      </c>
      <c r="AG399" s="5">
        <v>4</v>
      </c>
      <c r="AH399" s="5">
        <v>1</v>
      </c>
      <c r="AI399" s="5">
        <v>3</v>
      </c>
    </row>
    <row r="400" spans="1:35" x14ac:dyDescent="0.25">
      <c r="A400" s="5">
        <v>37</v>
      </c>
      <c r="B400" s="5" t="s">
        <v>43</v>
      </c>
      <c r="C400" s="5" t="s">
        <v>55</v>
      </c>
      <c r="D400" s="5">
        <v>1063</v>
      </c>
      <c r="E400" s="5" t="s">
        <v>45</v>
      </c>
      <c r="F400" s="5">
        <v>25</v>
      </c>
      <c r="G400" s="5">
        <v>5</v>
      </c>
      <c r="H400" s="5" t="s">
        <v>51</v>
      </c>
      <c r="I400" s="5">
        <v>1</v>
      </c>
      <c r="J400" s="5">
        <v>529</v>
      </c>
      <c r="K400" s="5">
        <v>2</v>
      </c>
      <c r="L400" s="5" t="s">
        <v>39</v>
      </c>
      <c r="M400" s="5">
        <v>72</v>
      </c>
      <c r="N400" s="5">
        <v>3</v>
      </c>
      <c r="O400" s="5">
        <v>2</v>
      </c>
      <c r="P400" s="5" t="s">
        <v>47</v>
      </c>
      <c r="Q400" s="5">
        <v>3</v>
      </c>
      <c r="R400" s="5" t="s">
        <v>48</v>
      </c>
      <c r="S400" s="5">
        <v>4449</v>
      </c>
      <c r="T400" s="5">
        <v>23866</v>
      </c>
      <c r="U400" s="5">
        <v>3</v>
      </c>
      <c r="V400" s="5" t="s">
        <v>42</v>
      </c>
      <c r="W400" s="5" t="s">
        <v>35</v>
      </c>
      <c r="X400" s="5">
        <v>15</v>
      </c>
      <c r="Y400" s="5">
        <v>3</v>
      </c>
      <c r="Z400" s="5">
        <v>1</v>
      </c>
      <c r="AA400" s="5">
        <v>80</v>
      </c>
      <c r="AB400" s="5">
        <v>2</v>
      </c>
      <c r="AC400" s="5">
        <v>15</v>
      </c>
      <c r="AD400" s="5">
        <v>2</v>
      </c>
      <c r="AE400" s="5">
        <v>3</v>
      </c>
      <c r="AF400" s="5">
        <v>13</v>
      </c>
      <c r="AG400" s="5">
        <v>11</v>
      </c>
      <c r="AH400" s="5">
        <v>10</v>
      </c>
      <c r="AI400" s="5">
        <v>7</v>
      </c>
    </row>
    <row r="401" spans="1:35" x14ac:dyDescent="0.25">
      <c r="A401" s="5">
        <v>31</v>
      </c>
      <c r="B401" s="5" t="s">
        <v>43</v>
      </c>
      <c r="C401" s="5" t="s">
        <v>36</v>
      </c>
      <c r="D401" s="5">
        <v>329</v>
      </c>
      <c r="E401" s="5" t="s">
        <v>45</v>
      </c>
      <c r="F401" s="5">
        <v>1</v>
      </c>
      <c r="G401" s="5">
        <v>2</v>
      </c>
      <c r="H401" s="5" t="s">
        <v>38</v>
      </c>
      <c r="I401" s="5">
        <v>1</v>
      </c>
      <c r="J401" s="5">
        <v>530</v>
      </c>
      <c r="K401" s="5">
        <v>4</v>
      </c>
      <c r="L401" s="5" t="s">
        <v>46</v>
      </c>
      <c r="M401" s="5">
        <v>98</v>
      </c>
      <c r="N401" s="5">
        <v>2</v>
      </c>
      <c r="O401" s="5">
        <v>1</v>
      </c>
      <c r="P401" s="5" t="s">
        <v>50</v>
      </c>
      <c r="Q401" s="5">
        <v>1</v>
      </c>
      <c r="R401" s="5" t="s">
        <v>48</v>
      </c>
      <c r="S401" s="5">
        <v>2218</v>
      </c>
      <c r="T401" s="5">
        <v>16193</v>
      </c>
      <c r="U401" s="5">
        <v>1</v>
      </c>
      <c r="V401" s="5" t="s">
        <v>42</v>
      </c>
      <c r="W401" s="5" t="s">
        <v>43</v>
      </c>
      <c r="X401" s="5">
        <v>12</v>
      </c>
      <c r="Y401" s="5">
        <v>3</v>
      </c>
      <c r="Z401" s="5">
        <v>3</v>
      </c>
      <c r="AA401" s="5">
        <v>80</v>
      </c>
      <c r="AB401" s="5">
        <v>1</v>
      </c>
      <c r="AC401" s="5">
        <v>4</v>
      </c>
      <c r="AD401" s="5">
        <v>3</v>
      </c>
      <c r="AE401" s="5">
        <v>3</v>
      </c>
      <c r="AF401" s="5">
        <v>4</v>
      </c>
      <c r="AG401" s="5">
        <v>2</v>
      </c>
      <c r="AH401" s="5">
        <v>3</v>
      </c>
      <c r="AI401" s="5">
        <v>2</v>
      </c>
    </row>
    <row r="402" spans="1:35" x14ac:dyDescent="0.25">
      <c r="A402" s="5">
        <v>39</v>
      </c>
      <c r="B402" s="5" t="s">
        <v>43</v>
      </c>
      <c r="C402" s="5" t="s">
        <v>44</v>
      </c>
      <c r="D402" s="5">
        <v>1218</v>
      </c>
      <c r="E402" s="5" t="s">
        <v>45</v>
      </c>
      <c r="F402" s="5">
        <v>1</v>
      </c>
      <c r="G402" s="5">
        <v>1</v>
      </c>
      <c r="H402" s="5" t="s">
        <v>38</v>
      </c>
      <c r="I402" s="5">
        <v>1</v>
      </c>
      <c r="J402" s="5">
        <v>531</v>
      </c>
      <c r="K402" s="5">
        <v>2</v>
      </c>
      <c r="L402" s="5" t="s">
        <v>46</v>
      </c>
      <c r="M402" s="5">
        <v>52</v>
      </c>
      <c r="N402" s="5">
        <v>3</v>
      </c>
      <c r="O402" s="5">
        <v>5</v>
      </c>
      <c r="P402" s="5" t="s">
        <v>56</v>
      </c>
      <c r="Q402" s="5">
        <v>3</v>
      </c>
      <c r="R402" s="5" t="s">
        <v>52</v>
      </c>
      <c r="S402" s="5">
        <v>19197</v>
      </c>
      <c r="T402" s="5">
        <v>8213</v>
      </c>
      <c r="U402" s="5">
        <v>1</v>
      </c>
      <c r="V402" s="5" t="s">
        <v>42</v>
      </c>
      <c r="W402" s="5" t="s">
        <v>35</v>
      </c>
      <c r="X402" s="5">
        <v>14</v>
      </c>
      <c r="Y402" s="5">
        <v>3</v>
      </c>
      <c r="Z402" s="5">
        <v>3</v>
      </c>
      <c r="AA402" s="5">
        <v>80</v>
      </c>
      <c r="AB402" s="5">
        <v>1</v>
      </c>
      <c r="AC402" s="5">
        <v>21</v>
      </c>
      <c r="AD402" s="5">
        <v>3</v>
      </c>
      <c r="AE402" s="5">
        <v>3</v>
      </c>
      <c r="AF402" s="5">
        <v>21</v>
      </c>
      <c r="AG402" s="5">
        <v>8</v>
      </c>
      <c r="AH402" s="5">
        <v>1</v>
      </c>
      <c r="AI402" s="5">
        <v>6</v>
      </c>
    </row>
    <row r="403" spans="1:35" x14ac:dyDescent="0.25">
      <c r="A403" s="5">
        <v>56</v>
      </c>
      <c r="B403" s="5" t="s">
        <v>43</v>
      </c>
      <c r="C403" s="5" t="s">
        <v>44</v>
      </c>
      <c r="D403" s="5">
        <v>906</v>
      </c>
      <c r="E403" s="5" t="s">
        <v>37</v>
      </c>
      <c r="F403" s="5">
        <v>6</v>
      </c>
      <c r="G403" s="5">
        <v>3</v>
      </c>
      <c r="H403" s="5" t="s">
        <v>38</v>
      </c>
      <c r="I403" s="5">
        <v>1</v>
      </c>
      <c r="J403" s="5">
        <v>532</v>
      </c>
      <c r="K403" s="5">
        <v>3</v>
      </c>
      <c r="L403" s="5" t="s">
        <v>39</v>
      </c>
      <c r="M403" s="5">
        <v>86</v>
      </c>
      <c r="N403" s="5">
        <v>4</v>
      </c>
      <c r="O403" s="5">
        <v>4</v>
      </c>
      <c r="P403" s="5" t="s">
        <v>40</v>
      </c>
      <c r="Q403" s="5">
        <v>1</v>
      </c>
      <c r="R403" s="5" t="s">
        <v>48</v>
      </c>
      <c r="S403" s="5">
        <v>13212</v>
      </c>
      <c r="T403" s="5">
        <v>18256</v>
      </c>
      <c r="U403" s="5">
        <v>9</v>
      </c>
      <c r="V403" s="5" t="s">
        <v>42</v>
      </c>
      <c r="W403" s="5" t="s">
        <v>43</v>
      </c>
      <c r="X403" s="5">
        <v>11</v>
      </c>
      <c r="Y403" s="5">
        <v>3</v>
      </c>
      <c r="Z403" s="5">
        <v>4</v>
      </c>
      <c r="AA403" s="5">
        <v>80</v>
      </c>
      <c r="AB403" s="5">
        <v>3</v>
      </c>
      <c r="AC403" s="5">
        <v>36</v>
      </c>
      <c r="AD403" s="5">
        <v>0</v>
      </c>
      <c r="AE403" s="5">
        <v>2</v>
      </c>
      <c r="AF403" s="5">
        <v>7</v>
      </c>
      <c r="AG403" s="5">
        <v>7</v>
      </c>
      <c r="AH403" s="5">
        <v>7</v>
      </c>
      <c r="AI403" s="5">
        <v>7</v>
      </c>
    </row>
    <row r="404" spans="1:35" x14ac:dyDescent="0.25">
      <c r="A404" s="5">
        <v>30</v>
      </c>
      <c r="B404" s="5" t="s">
        <v>43</v>
      </c>
      <c r="C404" s="5" t="s">
        <v>36</v>
      </c>
      <c r="D404" s="5">
        <v>1082</v>
      </c>
      <c r="E404" s="5" t="s">
        <v>37</v>
      </c>
      <c r="F404" s="5">
        <v>12</v>
      </c>
      <c r="G404" s="5">
        <v>3</v>
      </c>
      <c r="H404" s="5" t="s">
        <v>60</v>
      </c>
      <c r="I404" s="5">
        <v>1</v>
      </c>
      <c r="J404" s="5">
        <v>533</v>
      </c>
      <c r="K404" s="5">
        <v>2</v>
      </c>
      <c r="L404" s="5" t="s">
        <v>39</v>
      </c>
      <c r="M404" s="5">
        <v>83</v>
      </c>
      <c r="N404" s="5">
        <v>3</v>
      </c>
      <c r="O404" s="5">
        <v>2</v>
      </c>
      <c r="P404" s="5" t="s">
        <v>40</v>
      </c>
      <c r="Q404" s="5">
        <v>3</v>
      </c>
      <c r="R404" s="5" t="s">
        <v>41</v>
      </c>
      <c r="S404" s="5">
        <v>6577</v>
      </c>
      <c r="T404" s="5">
        <v>19558</v>
      </c>
      <c r="U404" s="5">
        <v>0</v>
      </c>
      <c r="V404" s="5" t="s">
        <v>42</v>
      </c>
      <c r="W404" s="5" t="s">
        <v>43</v>
      </c>
      <c r="X404" s="5">
        <v>11</v>
      </c>
      <c r="Y404" s="5">
        <v>3</v>
      </c>
      <c r="Z404" s="5">
        <v>2</v>
      </c>
      <c r="AA404" s="5">
        <v>80</v>
      </c>
      <c r="AB404" s="5">
        <v>0</v>
      </c>
      <c r="AC404" s="5">
        <v>6</v>
      </c>
      <c r="AD404" s="5">
        <v>6</v>
      </c>
      <c r="AE404" s="5">
        <v>3</v>
      </c>
      <c r="AF404" s="5">
        <v>5</v>
      </c>
      <c r="AG404" s="5">
        <v>4</v>
      </c>
      <c r="AH404" s="5">
        <v>4</v>
      </c>
      <c r="AI404" s="5">
        <v>4</v>
      </c>
    </row>
    <row r="405" spans="1:35" x14ac:dyDescent="0.25">
      <c r="A405" s="5">
        <v>41</v>
      </c>
      <c r="B405" s="5" t="s">
        <v>43</v>
      </c>
      <c r="C405" s="5" t="s">
        <v>36</v>
      </c>
      <c r="D405" s="5">
        <v>645</v>
      </c>
      <c r="E405" s="5" t="s">
        <v>37</v>
      </c>
      <c r="F405" s="5">
        <v>1</v>
      </c>
      <c r="G405" s="5">
        <v>3</v>
      </c>
      <c r="H405" s="5" t="s">
        <v>59</v>
      </c>
      <c r="I405" s="5">
        <v>1</v>
      </c>
      <c r="J405" s="5">
        <v>534</v>
      </c>
      <c r="K405" s="5">
        <v>2</v>
      </c>
      <c r="L405" s="5" t="s">
        <v>46</v>
      </c>
      <c r="M405" s="5">
        <v>49</v>
      </c>
      <c r="N405" s="5">
        <v>4</v>
      </c>
      <c r="O405" s="5">
        <v>3</v>
      </c>
      <c r="P405" s="5" t="s">
        <v>40</v>
      </c>
      <c r="Q405" s="5">
        <v>1</v>
      </c>
      <c r="R405" s="5" t="s">
        <v>48</v>
      </c>
      <c r="S405" s="5">
        <v>8392</v>
      </c>
      <c r="T405" s="5">
        <v>19566</v>
      </c>
      <c r="U405" s="5">
        <v>1</v>
      </c>
      <c r="V405" s="5" t="s">
        <v>42</v>
      </c>
      <c r="W405" s="5" t="s">
        <v>43</v>
      </c>
      <c r="X405" s="5">
        <v>16</v>
      </c>
      <c r="Y405" s="5">
        <v>3</v>
      </c>
      <c r="Z405" s="5">
        <v>3</v>
      </c>
      <c r="AA405" s="5">
        <v>80</v>
      </c>
      <c r="AB405" s="5">
        <v>1</v>
      </c>
      <c r="AC405" s="5">
        <v>10</v>
      </c>
      <c r="AD405" s="5">
        <v>2</v>
      </c>
      <c r="AE405" s="5">
        <v>3</v>
      </c>
      <c r="AF405" s="5">
        <v>10</v>
      </c>
      <c r="AG405" s="5">
        <v>7</v>
      </c>
      <c r="AH405" s="5">
        <v>0</v>
      </c>
      <c r="AI405" s="5">
        <v>7</v>
      </c>
    </row>
    <row r="406" spans="1:35" x14ac:dyDescent="0.25">
      <c r="A406" s="5">
        <v>28</v>
      </c>
      <c r="B406" s="5" t="s">
        <v>43</v>
      </c>
      <c r="C406" s="5" t="s">
        <v>36</v>
      </c>
      <c r="D406" s="5">
        <v>1300</v>
      </c>
      <c r="E406" s="5" t="s">
        <v>45</v>
      </c>
      <c r="F406" s="5">
        <v>17</v>
      </c>
      <c r="G406" s="5">
        <v>2</v>
      </c>
      <c r="H406" s="5" t="s">
        <v>51</v>
      </c>
      <c r="I406" s="5">
        <v>1</v>
      </c>
      <c r="J406" s="5">
        <v>536</v>
      </c>
      <c r="K406" s="5">
        <v>3</v>
      </c>
      <c r="L406" s="5" t="s">
        <v>46</v>
      </c>
      <c r="M406" s="5">
        <v>79</v>
      </c>
      <c r="N406" s="5">
        <v>3</v>
      </c>
      <c r="O406" s="5">
        <v>2</v>
      </c>
      <c r="P406" s="5" t="s">
        <v>50</v>
      </c>
      <c r="Q406" s="5">
        <v>1</v>
      </c>
      <c r="R406" s="5" t="s">
        <v>52</v>
      </c>
      <c r="S406" s="5">
        <v>4558</v>
      </c>
      <c r="T406" s="5">
        <v>13535</v>
      </c>
      <c r="U406" s="5">
        <v>1</v>
      </c>
      <c r="V406" s="5" t="s">
        <v>42</v>
      </c>
      <c r="W406" s="5" t="s">
        <v>43</v>
      </c>
      <c r="X406" s="5">
        <v>12</v>
      </c>
      <c r="Y406" s="5">
        <v>3</v>
      </c>
      <c r="Z406" s="5">
        <v>4</v>
      </c>
      <c r="AA406" s="5">
        <v>80</v>
      </c>
      <c r="AB406" s="5">
        <v>1</v>
      </c>
      <c r="AC406" s="5">
        <v>10</v>
      </c>
      <c r="AD406" s="5">
        <v>2</v>
      </c>
      <c r="AE406" s="5">
        <v>3</v>
      </c>
      <c r="AF406" s="5">
        <v>10</v>
      </c>
      <c r="AG406" s="5">
        <v>0</v>
      </c>
      <c r="AH406" s="5">
        <v>1</v>
      </c>
      <c r="AI406" s="5">
        <v>8</v>
      </c>
    </row>
    <row r="407" spans="1:35" x14ac:dyDescent="0.25">
      <c r="A407" s="5">
        <v>25</v>
      </c>
      <c r="B407" s="5" t="s">
        <v>35</v>
      </c>
      <c r="C407" s="5" t="s">
        <v>36</v>
      </c>
      <c r="D407" s="5">
        <v>688</v>
      </c>
      <c r="E407" s="5" t="s">
        <v>45</v>
      </c>
      <c r="F407" s="5">
        <v>3</v>
      </c>
      <c r="G407" s="5">
        <v>3</v>
      </c>
      <c r="H407" s="5" t="s">
        <v>51</v>
      </c>
      <c r="I407" s="5">
        <v>1</v>
      </c>
      <c r="J407" s="5">
        <v>538</v>
      </c>
      <c r="K407" s="5">
        <v>1</v>
      </c>
      <c r="L407" s="5" t="s">
        <v>46</v>
      </c>
      <c r="M407" s="5">
        <v>91</v>
      </c>
      <c r="N407" s="5">
        <v>3</v>
      </c>
      <c r="O407" s="5">
        <v>1</v>
      </c>
      <c r="P407" s="5" t="s">
        <v>50</v>
      </c>
      <c r="Q407" s="5">
        <v>1</v>
      </c>
      <c r="R407" s="5" t="s">
        <v>48</v>
      </c>
      <c r="S407" s="5">
        <v>4031</v>
      </c>
      <c r="T407" s="5">
        <v>9396</v>
      </c>
      <c r="U407" s="5">
        <v>5</v>
      </c>
      <c r="V407" s="5" t="s">
        <v>42</v>
      </c>
      <c r="W407" s="5" t="s">
        <v>43</v>
      </c>
      <c r="X407" s="5">
        <v>13</v>
      </c>
      <c r="Y407" s="5">
        <v>3</v>
      </c>
      <c r="Z407" s="5">
        <v>3</v>
      </c>
      <c r="AA407" s="5">
        <v>80</v>
      </c>
      <c r="AB407" s="5">
        <v>1</v>
      </c>
      <c r="AC407" s="5">
        <v>6</v>
      </c>
      <c r="AD407" s="5">
        <v>5</v>
      </c>
      <c r="AE407" s="5">
        <v>3</v>
      </c>
      <c r="AF407" s="5">
        <v>2</v>
      </c>
      <c r="AG407" s="5">
        <v>2</v>
      </c>
      <c r="AH407" s="5">
        <v>0</v>
      </c>
      <c r="AI407" s="5">
        <v>2</v>
      </c>
    </row>
    <row r="408" spans="1:35" x14ac:dyDescent="0.25">
      <c r="A408" s="5">
        <v>52</v>
      </c>
      <c r="B408" s="5" t="s">
        <v>43</v>
      </c>
      <c r="C408" s="5" t="s">
        <v>36</v>
      </c>
      <c r="D408" s="5">
        <v>319</v>
      </c>
      <c r="E408" s="5" t="s">
        <v>45</v>
      </c>
      <c r="F408" s="5">
        <v>3</v>
      </c>
      <c r="G408" s="5">
        <v>3</v>
      </c>
      <c r="H408" s="5" t="s">
        <v>51</v>
      </c>
      <c r="I408" s="5">
        <v>1</v>
      </c>
      <c r="J408" s="5">
        <v>543</v>
      </c>
      <c r="K408" s="5">
        <v>4</v>
      </c>
      <c r="L408" s="5" t="s">
        <v>46</v>
      </c>
      <c r="M408" s="5">
        <v>39</v>
      </c>
      <c r="N408" s="5">
        <v>2</v>
      </c>
      <c r="O408" s="5">
        <v>3</v>
      </c>
      <c r="P408" s="5" t="s">
        <v>53</v>
      </c>
      <c r="Q408" s="5">
        <v>3</v>
      </c>
      <c r="R408" s="5" t="s">
        <v>48</v>
      </c>
      <c r="S408" s="5">
        <v>7969</v>
      </c>
      <c r="T408" s="5">
        <v>19609</v>
      </c>
      <c r="U408" s="5">
        <v>2</v>
      </c>
      <c r="V408" s="5" t="s">
        <v>42</v>
      </c>
      <c r="W408" s="5" t="s">
        <v>35</v>
      </c>
      <c r="X408" s="5">
        <v>14</v>
      </c>
      <c r="Y408" s="5">
        <v>3</v>
      </c>
      <c r="Z408" s="5">
        <v>3</v>
      </c>
      <c r="AA408" s="5">
        <v>80</v>
      </c>
      <c r="AB408" s="5">
        <v>0</v>
      </c>
      <c r="AC408" s="5">
        <v>28</v>
      </c>
      <c r="AD408" s="5">
        <v>4</v>
      </c>
      <c r="AE408" s="5">
        <v>3</v>
      </c>
      <c r="AF408" s="5">
        <v>5</v>
      </c>
      <c r="AG408" s="5">
        <v>4</v>
      </c>
      <c r="AH408" s="5">
        <v>0</v>
      </c>
      <c r="AI408" s="5">
        <v>4</v>
      </c>
    </row>
    <row r="409" spans="1:35" x14ac:dyDescent="0.25">
      <c r="A409" s="5">
        <v>45</v>
      </c>
      <c r="B409" s="5" t="s">
        <v>43</v>
      </c>
      <c r="C409" s="5" t="s">
        <v>36</v>
      </c>
      <c r="D409" s="5">
        <v>192</v>
      </c>
      <c r="E409" s="5" t="s">
        <v>45</v>
      </c>
      <c r="F409" s="5">
        <v>10</v>
      </c>
      <c r="G409" s="5">
        <v>2</v>
      </c>
      <c r="H409" s="5" t="s">
        <v>38</v>
      </c>
      <c r="I409" s="5">
        <v>1</v>
      </c>
      <c r="J409" s="5">
        <v>544</v>
      </c>
      <c r="K409" s="5">
        <v>1</v>
      </c>
      <c r="L409" s="5" t="s">
        <v>46</v>
      </c>
      <c r="M409" s="5">
        <v>69</v>
      </c>
      <c r="N409" s="5">
        <v>3</v>
      </c>
      <c r="O409" s="5">
        <v>1</v>
      </c>
      <c r="P409" s="5" t="s">
        <v>47</v>
      </c>
      <c r="Q409" s="5">
        <v>4</v>
      </c>
      <c r="R409" s="5" t="s">
        <v>48</v>
      </c>
      <c r="S409" s="5">
        <v>2654</v>
      </c>
      <c r="T409" s="5">
        <v>9655</v>
      </c>
      <c r="U409" s="5">
        <v>3</v>
      </c>
      <c r="V409" s="5" t="s">
        <v>42</v>
      </c>
      <c r="W409" s="5" t="s">
        <v>43</v>
      </c>
      <c r="X409" s="5">
        <v>21</v>
      </c>
      <c r="Y409" s="5">
        <v>4</v>
      </c>
      <c r="Z409" s="5">
        <v>4</v>
      </c>
      <c r="AA409" s="5">
        <v>80</v>
      </c>
      <c r="AB409" s="5">
        <v>2</v>
      </c>
      <c r="AC409" s="5">
        <v>8</v>
      </c>
      <c r="AD409" s="5">
        <v>3</v>
      </c>
      <c r="AE409" s="5">
        <v>2</v>
      </c>
      <c r="AF409" s="5">
        <v>2</v>
      </c>
      <c r="AG409" s="5">
        <v>2</v>
      </c>
      <c r="AH409" s="5">
        <v>0</v>
      </c>
      <c r="AI409" s="5">
        <v>2</v>
      </c>
    </row>
    <row r="410" spans="1:35" x14ac:dyDescent="0.25">
      <c r="A410" s="5">
        <v>52</v>
      </c>
      <c r="B410" s="5" t="s">
        <v>43</v>
      </c>
      <c r="C410" s="5" t="s">
        <v>36</v>
      </c>
      <c r="D410" s="5">
        <v>1490</v>
      </c>
      <c r="E410" s="5" t="s">
        <v>45</v>
      </c>
      <c r="F410" s="5">
        <v>4</v>
      </c>
      <c r="G410" s="5">
        <v>2</v>
      </c>
      <c r="H410" s="5" t="s">
        <v>38</v>
      </c>
      <c r="I410" s="5">
        <v>1</v>
      </c>
      <c r="J410" s="5">
        <v>546</v>
      </c>
      <c r="K410" s="5">
        <v>4</v>
      </c>
      <c r="L410" s="5" t="s">
        <v>39</v>
      </c>
      <c r="M410" s="5">
        <v>30</v>
      </c>
      <c r="N410" s="5">
        <v>3</v>
      </c>
      <c r="O410" s="5">
        <v>4</v>
      </c>
      <c r="P410" s="5" t="s">
        <v>56</v>
      </c>
      <c r="Q410" s="5">
        <v>4</v>
      </c>
      <c r="R410" s="5" t="s">
        <v>48</v>
      </c>
      <c r="S410" s="5">
        <v>16555</v>
      </c>
      <c r="T410" s="5">
        <v>10310</v>
      </c>
      <c r="U410" s="5">
        <v>2</v>
      </c>
      <c r="V410" s="5" t="s">
        <v>42</v>
      </c>
      <c r="W410" s="5" t="s">
        <v>43</v>
      </c>
      <c r="X410" s="5">
        <v>13</v>
      </c>
      <c r="Y410" s="5">
        <v>3</v>
      </c>
      <c r="Z410" s="5">
        <v>4</v>
      </c>
      <c r="AA410" s="5">
        <v>80</v>
      </c>
      <c r="AB410" s="5">
        <v>0</v>
      </c>
      <c r="AC410" s="5">
        <v>31</v>
      </c>
      <c r="AD410" s="5">
        <v>2</v>
      </c>
      <c r="AE410" s="5">
        <v>1</v>
      </c>
      <c r="AF410" s="5">
        <v>5</v>
      </c>
      <c r="AG410" s="5">
        <v>2</v>
      </c>
      <c r="AH410" s="5">
        <v>1</v>
      </c>
      <c r="AI410" s="5">
        <v>4</v>
      </c>
    </row>
    <row r="411" spans="1:35" x14ac:dyDescent="0.25">
      <c r="A411" s="5">
        <v>42</v>
      </c>
      <c r="B411" s="5" t="s">
        <v>43</v>
      </c>
      <c r="C411" s="5" t="s">
        <v>44</v>
      </c>
      <c r="D411" s="5">
        <v>532</v>
      </c>
      <c r="E411" s="5" t="s">
        <v>45</v>
      </c>
      <c r="F411" s="5">
        <v>29</v>
      </c>
      <c r="G411" s="5">
        <v>2</v>
      </c>
      <c r="H411" s="5" t="s">
        <v>38</v>
      </c>
      <c r="I411" s="5">
        <v>1</v>
      </c>
      <c r="J411" s="5">
        <v>547</v>
      </c>
      <c r="K411" s="5">
        <v>1</v>
      </c>
      <c r="L411" s="5" t="s">
        <v>39</v>
      </c>
      <c r="M411" s="5">
        <v>92</v>
      </c>
      <c r="N411" s="5">
        <v>3</v>
      </c>
      <c r="O411" s="5">
        <v>2</v>
      </c>
      <c r="P411" s="5" t="s">
        <v>47</v>
      </c>
      <c r="Q411" s="5">
        <v>3</v>
      </c>
      <c r="R411" s="5" t="s">
        <v>52</v>
      </c>
      <c r="S411" s="5">
        <v>4556</v>
      </c>
      <c r="T411" s="5">
        <v>12932</v>
      </c>
      <c r="U411" s="5">
        <v>2</v>
      </c>
      <c r="V411" s="5" t="s">
        <v>42</v>
      </c>
      <c r="W411" s="5" t="s">
        <v>43</v>
      </c>
      <c r="X411" s="5">
        <v>11</v>
      </c>
      <c r="Y411" s="5">
        <v>3</v>
      </c>
      <c r="Z411" s="5">
        <v>2</v>
      </c>
      <c r="AA411" s="5">
        <v>80</v>
      </c>
      <c r="AB411" s="5">
        <v>1</v>
      </c>
      <c r="AC411" s="5">
        <v>19</v>
      </c>
      <c r="AD411" s="5">
        <v>3</v>
      </c>
      <c r="AE411" s="5">
        <v>3</v>
      </c>
      <c r="AF411" s="5">
        <v>5</v>
      </c>
      <c r="AG411" s="5">
        <v>4</v>
      </c>
      <c r="AH411" s="5">
        <v>0</v>
      </c>
      <c r="AI411" s="5">
        <v>2</v>
      </c>
    </row>
    <row r="412" spans="1:35" x14ac:dyDescent="0.25">
      <c r="A412" s="5">
        <v>30</v>
      </c>
      <c r="B412" s="5" t="s">
        <v>43</v>
      </c>
      <c r="C412" s="5" t="s">
        <v>36</v>
      </c>
      <c r="D412" s="5">
        <v>317</v>
      </c>
      <c r="E412" s="5" t="s">
        <v>45</v>
      </c>
      <c r="F412" s="5">
        <v>2</v>
      </c>
      <c r="G412" s="5">
        <v>3</v>
      </c>
      <c r="H412" s="5" t="s">
        <v>38</v>
      </c>
      <c r="I412" s="5">
        <v>1</v>
      </c>
      <c r="J412" s="5">
        <v>548</v>
      </c>
      <c r="K412" s="5">
        <v>3</v>
      </c>
      <c r="L412" s="5" t="s">
        <v>39</v>
      </c>
      <c r="M412" s="5">
        <v>43</v>
      </c>
      <c r="N412" s="5">
        <v>1</v>
      </c>
      <c r="O412" s="5">
        <v>2</v>
      </c>
      <c r="P412" s="5" t="s">
        <v>53</v>
      </c>
      <c r="Q412" s="5">
        <v>4</v>
      </c>
      <c r="R412" s="5" t="s">
        <v>41</v>
      </c>
      <c r="S412" s="5">
        <v>6091</v>
      </c>
      <c r="T412" s="5">
        <v>24793</v>
      </c>
      <c r="U412" s="5">
        <v>2</v>
      </c>
      <c r="V412" s="5" t="s">
        <v>42</v>
      </c>
      <c r="W412" s="5" t="s">
        <v>43</v>
      </c>
      <c r="X412" s="5">
        <v>20</v>
      </c>
      <c r="Y412" s="5">
        <v>4</v>
      </c>
      <c r="Z412" s="5">
        <v>3</v>
      </c>
      <c r="AA412" s="5">
        <v>80</v>
      </c>
      <c r="AB412" s="5">
        <v>0</v>
      </c>
      <c r="AC412" s="5">
        <v>11</v>
      </c>
      <c r="AD412" s="5">
        <v>2</v>
      </c>
      <c r="AE412" s="5">
        <v>3</v>
      </c>
      <c r="AF412" s="5">
        <v>5</v>
      </c>
      <c r="AG412" s="5">
        <v>4</v>
      </c>
      <c r="AH412" s="5">
        <v>0</v>
      </c>
      <c r="AI412" s="5">
        <v>2</v>
      </c>
    </row>
    <row r="413" spans="1:35" x14ac:dyDescent="0.25">
      <c r="A413" s="5">
        <v>60</v>
      </c>
      <c r="B413" s="5" t="s">
        <v>43</v>
      </c>
      <c r="C413" s="5" t="s">
        <v>36</v>
      </c>
      <c r="D413" s="5">
        <v>422</v>
      </c>
      <c r="E413" s="5" t="s">
        <v>45</v>
      </c>
      <c r="F413" s="5">
        <v>7</v>
      </c>
      <c r="G413" s="5">
        <v>3</v>
      </c>
      <c r="H413" s="5" t="s">
        <v>38</v>
      </c>
      <c r="I413" s="5">
        <v>1</v>
      </c>
      <c r="J413" s="5">
        <v>549</v>
      </c>
      <c r="K413" s="5">
        <v>1</v>
      </c>
      <c r="L413" s="5" t="s">
        <v>39</v>
      </c>
      <c r="M413" s="5">
        <v>41</v>
      </c>
      <c r="N413" s="5">
        <v>3</v>
      </c>
      <c r="O413" s="5">
        <v>5</v>
      </c>
      <c r="P413" s="5" t="s">
        <v>56</v>
      </c>
      <c r="Q413" s="5">
        <v>1</v>
      </c>
      <c r="R413" s="5" t="s">
        <v>48</v>
      </c>
      <c r="S413" s="5">
        <v>19566</v>
      </c>
      <c r="T413" s="5">
        <v>3854</v>
      </c>
      <c r="U413" s="5">
        <v>5</v>
      </c>
      <c r="V413" s="5" t="s">
        <v>42</v>
      </c>
      <c r="W413" s="5" t="s">
        <v>43</v>
      </c>
      <c r="X413" s="5">
        <v>11</v>
      </c>
      <c r="Y413" s="5">
        <v>3</v>
      </c>
      <c r="Z413" s="5">
        <v>4</v>
      </c>
      <c r="AA413" s="5">
        <v>80</v>
      </c>
      <c r="AB413" s="5">
        <v>0</v>
      </c>
      <c r="AC413" s="5">
        <v>33</v>
      </c>
      <c r="AD413" s="5">
        <v>5</v>
      </c>
      <c r="AE413" s="5">
        <v>1</v>
      </c>
      <c r="AF413" s="5">
        <v>29</v>
      </c>
      <c r="AG413" s="5">
        <v>8</v>
      </c>
      <c r="AH413" s="5">
        <v>11</v>
      </c>
      <c r="AI413" s="5">
        <v>10</v>
      </c>
    </row>
    <row r="414" spans="1:35" x14ac:dyDescent="0.25">
      <c r="A414" s="5">
        <v>46</v>
      </c>
      <c r="B414" s="5" t="s">
        <v>43</v>
      </c>
      <c r="C414" s="5" t="s">
        <v>36</v>
      </c>
      <c r="D414" s="5">
        <v>1485</v>
      </c>
      <c r="E414" s="5" t="s">
        <v>45</v>
      </c>
      <c r="F414" s="5">
        <v>18</v>
      </c>
      <c r="G414" s="5">
        <v>3</v>
      </c>
      <c r="H414" s="5" t="s">
        <v>51</v>
      </c>
      <c r="I414" s="5">
        <v>1</v>
      </c>
      <c r="J414" s="5">
        <v>550</v>
      </c>
      <c r="K414" s="5">
        <v>3</v>
      </c>
      <c r="L414" s="5" t="s">
        <v>39</v>
      </c>
      <c r="M414" s="5">
        <v>87</v>
      </c>
      <c r="N414" s="5">
        <v>3</v>
      </c>
      <c r="O414" s="5">
        <v>2</v>
      </c>
      <c r="P414" s="5" t="s">
        <v>53</v>
      </c>
      <c r="Q414" s="5">
        <v>3</v>
      </c>
      <c r="R414" s="5" t="s">
        <v>52</v>
      </c>
      <c r="S414" s="5">
        <v>4810</v>
      </c>
      <c r="T414" s="5">
        <v>26314</v>
      </c>
      <c r="U414" s="5">
        <v>2</v>
      </c>
      <c r="V414" s="5" t="s">
        <v>42</v>
      </c>
      <c r="W414" s="5" t="s">
        <v>43</v>
      </c>
      <c r="X414" s="5">
        <v>14</v>
      </c>
      <c r="Y414" s="5">
        <v>3</v>
      </c>
      <c r="Z414" s="5">
        <v>3</v>
      </c>
      <c r="AA414" s="5">
        <v>80</v>
      </c>
      <c r="AB414" s="5">
        <v>1</v>
      </c>
      <c r="AC414" s="5">
        <v>19</v>
      </c>
      <c r="AD414" s="5">
        <v>5</v>
      </c>
      <c r="AE414" s="5">
        <v>2</v>
      </c>
      <c r="AF414" s="5">
        <v>10</v>
      </c>
      <c r="AG414" s="5">
        <v>7</v>
      </c>
      <c r="AH414" s="5">
        <v>0</v>
      </c>
      <c r="AI414" s="5">
        <v>8</v>
      </c>
    </row>
    <row r="415" spans="1:35" x14ac:dyDescent="0.25">
      <c r="A415" s="5">
        <v>42</v>
      </c>
      <c r="B415" s="5" t="s">
        <v>43</v>
      </c>
      <c r="C415" s="5" t="s">
        <v>44</v>
      </c>
      <c r="D415" s="5">
        <v>1368</v>
      </c>
      <c r="E415" s="5" t="s">
        <v>45</v>
      </c>
      <c r="F415" s="5">
        <v>28</v>
      </c>
      <c r="G415" s="5">
        <v>4</v>
      </c>
      <c r="H415" s="5" t="s">
        <v>60</v>
      </c>
      <c r="I415" s="5">
        <v>1</v>
      </c>
      <c r="J415" s="5">
        <v>551</v>
      </c>
      <c r="K415" s="5">
        <v>4</v>
      </c>
      <c r="L415" s="5" t="s">
        <v>39</v>
      </c>
      <c r="M415" s="5">
        <v>88</v>
      </c>
      <c r="N415" s="5">
        <v>2</v>
      </c>
      <c r="O415" s="5">
        <v>2</v>
      </c>
      <c r="P415" s="5" t="s">
        <v>54</v>
      </c>
      <c r="Q415" s="5">
        <v>4</v>
      </c>
      <c r="R415" s="5" t="s">
        <v>48</v>
      </c>
      <c r="S415" s="5">
        <v>4523</v>
      </c>
      <c r="T415" s="5">
        <v>4386</v>
      </c>
      <c r="U415" s="5">
        <v>0</v>
      </c>
      <c r="V415" s="5" t="s">
        <v>42</v>
      </c>
      <c r="W415" s="5" t="s">
        <v>43</v>
      </c>
      <c r="X415" s="5">
        <v>11</v>
      </c>
      <c r="Y415" s="5">
        <v>3</v>
      </c>
      <c r="Z415" s="5">
        <v>4</v>
      </c>
      <c r="AA415" s="5">
        <v>80</v>
      </c>
      <c r="AB415" s="5">
        <v>3</v>
      </c>
      <c r="AC415" s="5">
        <v>7</v>
      </c>
      <c r="AD415" s="5">
        <v>4</v>
      </c>
      <c r="AE415" s="5">
        <v>4</v>
      </c>
      <c r="AF415" s="5">
        <v>6</v>
      </c>
      <c r="AG415" s="5">
        <v>5</v>
      </c>
      <c r="AH415" s="5">
        <v>0</v>
      </c>
      <c r="AI415" s="5">
        <v>4</v>
      </c>
    </row>
    <row r="416" spans="1:35" x14ac:dyDescent="0.25">
      <c r="A416" s="5">
        <v>24</v>
      </c>
      <c r="B416" s="5" t="s">
        <v>35</v>
      </c>
      <c r="C416" s="5" t="s">
        <v>36</v>
      </c>
      <c r="D416" s="5">
        <v>1448</v>
      </c>
      <c r="E416" s="5" t="s">
        <v>37</v>
      </c>
      <c r="F416" s="5">
        <v>1</v>
      </c>
      <c r="G416" s="5">
        <v>1</v>
      </c>
      <c r="H416" s="5" t="s">
        <v>60</v>
      </c>
      <c r="I416" s="5">
        <v>1</v>
      </c>
      <c r="J416" s="5">
        <v>554</v>
      </c>
      <c r="K416" s="5">
        <v>1</v>
      </c>
      <c r="L416" s="5" t="s">
        <v>39</v>
      </c>
      <c r="M416" s="5">
        <v>62</v>
      </c>
      <c r="N416" s="5">
        <v>3</v>
      </c>
      <c r="O416" s="5">
        <v>1</v>
      </c>
      <c r="P416" s="5" t="s">
        <v>57</v>
      </c>
      <c r="Q416" s="5">
        <v>2</v>
      </c>
      <c r="R416" s="5" t="s">
        <v>41</v>
      </c>
      <c r="S416" s="5">
        <v>3202</v>
      </c>
      <c r="T416" s="5">
        <v>21972</v>
      </c>
      <c r="U416" s="5">
        <v>1</v>
      </c>
      <c r="V416" s="5" t="s">
        <v>42</v>
      </c>
      <c r="W416" s="5" t="s">
        <v>35</v>
      </c>
      <c r="X416" s="5">
        <v>16</v>
      </c>
      <c r="Y416" s="5">
        <v>3</v>
      </c>
      <c r="Z416" s="5">
        <v>2</v>
      </c>
      <c r="AA416" s="5">
        <v>80</v>
      </c>
      <c r="AB416" s="5">
        <v>0</v>
      </c>
      <c r="AC416" s="5">
        <v>6</v>
      </c>
      <c r="AD416" s="5">
        <v>4</v>
      </c>
      <c r="AE416" s="5">
        <v>3</v>
      </c>
      <c r="AF416" s="5">
        <v>5</v>
      </c>
      <c r="AG416" s="5">
        <v>3</v>
      </c>
      <c r="AH416" s="5">
        <v>1</v>
      </c>
      <c r="AI416" s="5">
        <v>4</v>
      </c>
    </row>
    <row r="417" spans="1:35" x14ac:dyDescent="0.25">
      <c r="A417" s="5">
        <v>34</v>
      </c>
      <c r="B417" s="5" t="s">
        <v>35</v>
      </c>
      <c r="C417" s="5" t="s">
        <v>44</v>
      </c>
      <c r="D417" s="5">
        <v>296</v>
      </c>
      <c r="E417" s="5" t="s">
        <v>37</v>
      </c>
      <c r="F417" s="5">
        <v>6</v>
      </c>
      <c r="G417" s="5">
        <v>2</v>
      </c>
      <c r="H417" s="5" t="s">
        <v>59</v>
      </c>
      <c r="I417" s="5">
        <v>1</v>
      </c>
      <c r="J417" s="5">
        <v>555</v>
      </c>
      <c r="K417" s="5">
        <v>4</v>
      </c>
      <c r="L417" s="5" t="s">
        <v>39</v>
      </c>
      <c r="M417" s="5">
        <v>33</v>
      </c>
      <c r="N417" s="5">
        <v>1</v>
      </c>
      <c r="O417" s="5">
        <v>1</v>
      </c>
      <c r="P417" s="5" t="s">
        <v>57</v>
      </c>
      <c r="Q417" s="5">
        <v>3</v>
      </c>
      <c r="R417" s="5" t="s">
        <v>52</v>
      </c>
      <c r="S417" s="5">
        <v>2351</v>
      </c>
      <c r="T417" s="5">
        <v>12253</v>
      </c>
      <c r="U417" s="5">
        <v>0</v>
      </c>
      <c r="V417" s="5" t="s">
        <v>42</v>
      </c>
      <c r="W417" s="5" t="s">
        <v>43</v>
      </c>
      <c r="X417" s="5">
        <v>16</v>
      </c>
      <c r="Y417" s="5">
        <v>3</v>
      </c>
      <c r="Z417" s="5">
        <v>4</v>
      </c>
      <c r="AA417" s="5">
        <v>80</v>
      </c>
      <c r="AB417" s="5">
        <v>1</v>
      </c>
      <c r="AC417" s="5">
        <v>3</v>
      </c>
      <c r="AD417" s="5">
        <v>3</v>
      </c>
      <c r="AE417" s="5">
        <v>2</v>
      </c>
      <c r="AF417" s="5">
        <v>2</v>
      </c>
      <c r="AG417" s="5">
        <v>2</v>
      </c>
      <c r="AH417" s="5">
        <v>1</v>
      </c>
      <c r="AI417" s="5">
        <v>0</v>
      </c>
    </row>
    <row r="418" spans="1:35" x14ac:dyDescent="0.25">
      <c r="A418" s="5">
        <v>38</v>
      </c>
      <c r="B418" s="5" t="s">
        <v>43</v>
      </c>
      <c r="C418" s="5" t="s">
        <v>44</v>
      </c>
      <c r="D418" s="5">
        <v>1490</v>
      </c>
      <c r="E418" s="5" t="s">
        <v>45</v>
      </c>
      <c r="F418" s="5">
        <v>2</v>
      </c>
      <c r="G418" s="5">
        <v>2</v>
      </c>
      <c r="H418" s="5" t="s">
        <v>38</v>
      </c>
      <c r="I418" s="5">
        <v>1</v>
      </c>
      <c r="J418" s="5">
        <v>556</v>
      </c>
      <c r="K418" s="5">
        <v>4</v>
      </c>
      <c r="L418" s="5" t="s">
        <v>46</v>
      </c>
      <c r="M418" s="5">
        <v>42</v>
      </c>
      <c r="N418" s="5">
        <v>3</v>
      </c>
      <c r="O418" s="5">
        <v>1</v>
      </c>
      <c r="P418" s="5" t="s">
        <v>50</v>
      </c>
      <c r="Q418" s="5">
        <v>4</v>
      </c>
      <c r="R418" s="5" t="s">
        <v>48</v>
      </c>
      <c r="S418" s="5">
        <v>1702</v>
      </c>
      <c r="T418" s="5">
        <v>12106</v>
      </c>
      <c r="U418" s="5">
        <v>1</v>
      </c>
      <c r="V418" s="5" t="s">
        <v>42</v>
      </c>
      <c r="W418" s="5" t="s">
        <v>35</v>
      </c>
      <c r="X418" s="5">
        <v>23</v>
      </c>
      <c r="Y418" s="5">
        <v>4</v>
      </c>
      <c r="Z418" s="5">
        <v>3</v>
      </c>
      <c r="AA418" s="5">
        <v>80</v>
      </c>
      <c r="AB418" s="5">
        <v>1</v>
      </c>
      <c r="AC418" s="5">
        <v>1</v>
      </c>
      <c r="AD418" s="5">
        <v>3</v>
      </c>
      <c r="AE418" s="5">
        <v>3</v>
      </c>
      <c r="AF418" s="5">
        <v>1</v>
      </c>
      <c r="AG418" s="5">
        <v>0</v>
      </c>
      <c r="AH418" s="5">
        <v>0</v>
      </c>
      <c r="AI418" s="5">
        <v>0</v>
      </c>
    </row>
    <row r="419" spans="1:35" x14ac:dyDescent="0.25">
      <c r="A419" s="5">
        <v>40</v>
      </c>
      <c r="B419" s="5" t="s">
        <v>43</v>
      </c>
      <c r="C419" s="5" t="s">
        <v>36</v>
      </c>
      <c r="D419" s="5">
        <v>1398</v>
      </c>
      <c r="E419" s="5" t="s">
        <v>37</v>
      </c>
      <c r="F419" s="5">
        <v>2</v>
      </c>
      <c r="G419" s="5">
        <v>4</v>
      </c>
      <c r="H419" s="5" t="s">
        <v>38</v>
      </c>
      <c r="I419" s="5">
        <v>1</v>
      </c>
      <c r="J419" s="5">
        <v>558</v>
      </c>
      <c r="K419" s="5">
        <v>3</v>
      </c>
      <c r="L419" s="5" t="s">
        <v>39</v>
      </c>
      <c r="M419" s="5">
        <v>79</v>
      </c>
      <c r="N419" s="5">
        <v>3</v>
      </c>
      <c r="O419" s="5">
        <v>5</v>
      </c>
      <c r="P419" s="5" t="s">
        <v>56</v>
      </c>
      <c r="Q419" s="5">
        <v>3</v>
      </c>
      <c r="R419" s="5" t="s">
        <v>48</v>
      </c>
      <c r="S419" s="5">
        <v>18041</v>
      </c>
      <c r="T419" s="5">
        <v>13022</v>
      </c>
      <c r="U419" s="5">
        <v>0</v>
      </c>
      <c r="V419" s="5" t="s">
        <v>42</v>
      </c>
      <c r="W419" s="5" t="s">
        <v>43</v>
      </c>
      <c r="X419" s="5">
        <v>14</v>
      </c>
      <c r="Y419" s="5">
        <v>3</v>
      </c>
      <c r="Z419" s="5">
        <v>4</v>
      </c>
      <c r="AA419" s="5">
        <v>80</v>
      </c>
      <c r="AB419" s="5">
        <v>0</v>
      </c>
      <c r="AC419" s="5">
        <v>21</v>
      </c>
      <c r="AD419" s="5">
        <v>2</v>
      </c>
      <c r="AE419" s="5">
        <v>3</v>
      </c>
      <c r="AF419" s="5">
        <v>20</v>
      </c>
      <c r="AG419" s="5">
        <v>15</v>
      </c>
      <c r="AH419" s="5">
        <v>1</v>
      </c>
      <c r="AI419" s="5">
        <v>12</v>
      </c>
    </row>
    <row r="420" spans="1:35" x14ac:dyDescent="0.25">
      <c r="A420" s="5">
        <v>26</v>
      </c>
      <c r="B420" s="5" t="s">
        <v>43</v>
      </c>
      <c r="C420" s="5" t="s">
        <v>36</v>
      </c>
      <c r="D420" s="5">
        <v>1349</v>
      </c>
      <c r="E420" s="5" t="s">
        <v>45</v>
      </c>
      <c r="F420" s="5">
        <v>23</v>
      </c>
      <c r="G420" s="5">
        <v>3</v>
      </c>
      <c r="H420" s="5" t="s">
        <v>38</v>
      </c>
      <c r="I420" s="5">
        <v>1</v>
      </c>
      <c r="J420" s="5">
        <v>560</v>
      </c>
      <c r="K420" s="5">
        <v>1</v>
      </c>
      <c r="L420" s="5" t="s">
        <v>39</v>
      </c>
      <c r="M420" s="5">
        <v>90</v>
      </c>
      <c r="N420" s="5">
        <v>3</v>
      </c>
      <c r="O420" s="5">
        <v>1</v>
      </c>
      <c r="P420" s="5" t="s">
        <v>47</v>
      </c>
      <c r="Q420" s="5">
        <v>4</v>
      </c>
      <c r="R420" s="5" t="s">
        <v>52</v>
      </c>
      <c r="S420" s="5">
        <v>2886</v>
      </c>
      <c r="T420" s="5">
        <v>3032</v>
      </c>
      <c r="U420" s="5">
        <v>1</v>
      </c>
      <c r="V420" s="5" t="s">
        <v>42</v>
      </c>
      <c r="W420" s="5" t="s">
        <v>43</v>
      </c>
      <c r="X420" s="5">
        <v>22</v>
      </c>
      <c r="Y420" s="5">
        <v>4</v>
      </c>
      <c r="Z420" s="5">
        <v>2</v>
      </c>
      <c r="AA420" s="5">
        <v>80</v>
      </c>
      <c r="AB420" s="5">
        <v>2</v>
      </c>
      <c r="AC420" s="5">
        <v>3</v>
      </c>
      <c r="AD420" s="5">
        <v>3</v>
      </c>
      <c r="AE420" s="5">
        <v>1</v>
      </c>
      <c r="AF420" s="5">
        <v>3</v>
      </c>
      <c r="AG420" s="5">
        <v>2</v>
      </c>
      <c r="AH420" s="5">
        <v>0</v>
      </c>
      <c r="AI420" s="5">
        <v>2</v>
      </c>
    </row>
    <row r="421" spans="1:35" x14ac:dyDescent="0.25">
      <c r="A421" s="5">
        <v>30</v>
      </c>
      <c r="B421" s="5" t="s">
        <v>43</v>
      </c>
      <c r="C421" s="5" t="s">
        <v>55</v>
      </c>
      <c r="D421" s="5">
        <v>1400</v>
      </c>
      <c r="E421" s="5" t="s">
        <v>45</v>
      </c>
      <c r="F421" s="5">
        <v>3</v>
      </c>
      <c r="G421" s="5">
        <v>3</v>
      </c>
      <c r="H421" s="5" t="s">
        <v>38</v>
      </c>
      <c r="I421" s="5">
        <v>1</v>
      </c>
      <c r="J421" s="5">
        <v>562</v>
      </c>
      <c r="K421" s="5">
        <v>3</v>
      </c>
      <c r="L421" s="5" t="s">
        <v>46</v>
      </c>
      <c r="M421" s="5">
        <v>53</v>
      </c>
      <c r="N421" s="5">
        <v>3</v>
      </c>
      <c r="O421" s="5">
        <v>1</v>
      </c>
      <c r="P421" s="5" t="s">
        <v>50</v>
      </c>
      <c r="Q421" s="5">
        <v>4</v>
      </c>
      <c r="R421" s="5" t="s">
        <v>48</v>
      </c>
      <c r="S421" s="5">
        <v>2097</v>
      </c>
      <c r="T421" s="5">
        <v>16734</v>
      </c>
      <c r="U421" s="5">
        <v>4</v>
      </c>
      <c r="V421" s="5" t="s">
        <v>42</v>
      </c>
      <c r="W421" s="5" t="s">
        <v>43</v>
      </c>
      <c r="X421" s="5">
        <v>15</v>
      </c>
      <c r="Y421" s="5">
        <v>3</v>
      </c>
      <c r="Z421" s="5">
        <v>3</v>
      </c>
      <c r="AA421" s="5">
        <v>80</v>
      </c>
      <c r="AB421" s="5">
        <v>1</v>
      </c>
      <c r="AC421" s="5">
        <v>9</v>
      </c>
      <c r="AD421" s="5">
        <v>3</v>
      </c>
      <c r="AE421" s="5">
        <v>1</v>
      </c>
      <c r="AF421" s="5">
        <v>5</v>
      </c>
      <c r="AG421" s="5">
        <v>3</v>
      </c>
      <c r="AH421" s="5">
        <v>1</v>
      </c>
      <c r="AI421" s="5">
        <v>4</v>
      </c>
    </row>
    <row r="422" spans="1:35" x14ac:dyDescent="0.25">
      <c r="A422" s="5">
        <v>29</v>
      </c>
      <c r="B422" s="5" t="s">
        <v>43</v>
      </c>
      <c r="C422" s="5" t="s">
        <v>36</v>
      </c>
      <c r="D422" s="5">
        <v>986</v>
      </c>
      <c r="E422" s="5" t="s">
        <v>45</v>
      </c>
      <c r="F422" s="5">
        <v>3</v>
      </c>
      <c r="G422" s="5">
        <v>4</v>
      </c>
      <c r="H422" s="5" t="s">
        <v>51</v>
      </c>
      <c r="I422" s="5">
        <v>1</v>
      </c>
      <c r="J422" s="5">
        <v>564</v>
      </c>
      <c r="K422" s="5">
        <v>2</v>
      </c>
      <c r="L422" s="5" t="s">
        <v>46</v>
      </c>
      <c r="M422" s="5">
        <v>93</v>
      </c>
      <c r="N422" s="5">
        <v>2</v>
      </c>
      <c r="O422" s="5">
        <v>3</v>
      </c>
      <c r="P422" s="5" t="s">
        <v>58</v>
      </c>
      <c r="Q422" s="5">
        <v>3</v>
      </c>
      <c r="R422" s="5" t="s">
        <v>48</v>
      </c>
      <c r="S422" s="5">
        <v>11935</v>
      </c>
      <c r="T422" s="5">
        <v>21526</v>
      </c>
      <c r="U422" s="5">
        <v>1</v>
      </c>
      <c r="V422" s="5" t="s">
        <v>42</v>
      </c>
      <c r="W422" s="5" t="s">
        <v>43</v>
      </c>
      <c r="X422" s="5">
        <v>18</v>
      </c>
      <c r="Y422" s="5">
        <v>3</v>
      </c>
      <c r="Z422" s="5">
        <v>3</v>
      </c>
      <c r="AA422" s="5">
        <v>80</v>
      </c>
      <c r="AB422" s="5">
        <v>0</v>
      </c>
      <c r="AC422" s="5">
        <v>10</v>
      </c>
      <c r="AD422" s="5">
        <v>2</v>
      </c>
      <c r="AE422" s="5">
        <v>3</v>
      </c>
      <c r="AF422" s="5">
        <v>10</v>
      </c>
      <c r="AG422" s="5">
        <v>2</v>
      </c>
      <c r="AH422" s="5">
        <v>0</v>
      </c>
      <c r="AI422" s="5">
        <v>7</v>
      </c>
    </row>
    <row r="423" spans="1:35" x14ac:dyDescent="0.25">
      <c r="A423" s="5">
        <v>29</v>
      </c>
      <c r="B423" s="5" t="s">
        <v>35</v>
      </c>
      <c r="C423" s="5" t="s">
        <v>36</v>
      </c>
      <c r="D423" s="5">
        <v>408</v>
      </c>
      <c r="E423" s="5" t="s">
        <v>45</v>
      </c>
      <c r="F423" s="5">
        <v>25</v>
      </c>
      <c r="G423" s="5">
        <v>5</v>
      </c>
      <c r="H423" s="5" t="s">
        <v>60</v>
      </c>
      <c r="I423" s="5">
        <v>1</v>
      </c>
      <c r="J423" s="5">
        <v>565</v>
      </c>
      <c r="K423" s="5">
        <v>3</v>
      </c>
      <c r="L423" s="5" t="s">
        <v>39</v>
      </c>
      <c r="M423" s="5">
        <v>71</v>
      </c>
      <c r="N423" s="5">
        <v>2</v>
      </c>
      <c r="O423" s="5">
        <v>1</v>
      </c>
      <c r="P423" s="5" t="s">
        <v>47</v>
      </c>
      <c r="Q423" s="5">
        <v>2</v>
      </c>
      <c r="R423" s="5" t="s">
        <v>48</v>
      </c>
      <c r="S423" s="5">
        <v>2546</v>
      </c>
      <c r="T423" s="5">
        <v>18300</v>
      </c>
      <c r="U423" s="5">
        <v>5</v>
      </c>
      <c r="V423" s="5" t="s">
        <v>42</v>
      </c>
      <c r="W423" s="5" t="s">
        <v>43</v>
      </c>
      <c r="X423" s="5">
        <v>16</v>
      </c>
      <c r="Y423" s="5">
        <v>3</v>
      </c>
      <c r="Z423" s="5">
        <v>2</v>
      </c>
      <c r="AA423" s="5">
        <v>80</v>
      </c>
      <c r="AB423" s="5">
        <v>0</v>
      </c>
      <c r="AC423" s="5">
        <v>6</v>
      </c>
      <c r="AD423" s="5">
        <v>2</v>
      </c>
      <c r="AE423" s="5">
        <v>4</v>
      </c>
      <c r="AF423" s="5">
        <v>2</v>
      </c>
      <c r="AG423" s="5">
        <v>2</v>
      </c>
      <c r="AH423" s="5">
        <v>1</v>
      </c>
      <c r="AI423" s="5">
        <v>1</v>
      </c>
    </row>
    <row r="424" spans="1:35" x14ac:dyDescent="0.25">
      <c r="A424" s="5">
        <v>19</v>
      </c>
      <c r="B424" s="5" t="s">
        <v>35</v>
      </c>
      <c r="C424" s="5" t="s">
        <v>36</v>
      </c>
      <c r="D424" s="5">
        <v>489</v>
      </c>
      <c r="E424" s="5" t="s">
        <v>61</v>
      </c>
      <c r="F424" s="5">
        <v>2</v>
      </c>
      <c r="G424" s="5">
        <v>2</v>
      </c>
      <c r="H424" s="5" t="s">
        <v>60</v>
      </c>
      <c r="I424" s="5">
        <v>1</v>
      </c>
      <c r="J424" s="5">
        <v>566</v>
      </c>
      <c r="K424" s="5">
        <v>1</v>
      </c>
      <c r="L424" s="5" t="s">
        <v>46</v>
      </c>
      <c r="M424" s="5">
        <v>52</v>
      </c>
      <c r="N424" s="5">
        <v>2</v>
      </c>
      <c r="O424" s="5">
        <v>1</v>
      </c>
      <c r="P424" s="5" t="s">
        <v>61</v>
      </c>
      <c r="Q424" s="5">
        <v>4</v>
      </c>
      <c r="R424" s="5" t="s">
        <v>41</v>
      </c>
      <c r="S424" s="5">
        <v>2564</v>
      </c>
      <c r="T424" s="5">
        <v>18437</v>
      </c>
      <c r="U424" s="5">
        <v>1</v>
      </c>
      <c r="V424" s="5" t="s">
        <v>42</v>
      </c>
      <c r="W424" s="5" t="s">
        <v>43</v>
      </c>
      <c r="X424" s="5">
        <v>12</v>
      </c>
      <c r="Y424" s="5">
        <v>3</v>
      </c>
      <c r="Z424" s="5">
        <v>3</v>
      </c>
      <c r="AA424" s="5">
        <v>80</v>
      </c>
      <c r="AB424" s="5">
        <v>0</v>
      </c>
      <c r="AC424" s="5">
        <v>1</v>
      </c>
      <c r="AD424" s="5">
        <v>3</v>
      </c>
      <c r="AE424" s="5">
        <v>4</v>
      </c>
      <c r="AF424" s="5">
        <v>1</v>
      </c>
      <c r="AG424" s="5">
        <v>0</v>
      </c>
      <c r="AH424" s="5">
        <v>0</v>
      </c>
      <c r="AI424" s="5">
        <v>0</v>
      </c>
    </row>
    <row r="425" spans="1:35" x14ac:dyDescent="0.25">
      <c r="A425" s="5">
        <v>30</v>
      </c>
      <c r="B425" s="5" t="s">
        <v>43</v>
      </c>
      <c r="C425" s="5" t="s">
        <v>55</v>
      </c>
      <c r="D425" s="5">
        <v>1398</v>
      </c>
      <c r="E425" s="5" t="s">
        <v>37</v>
      </c>
      <c r="F425" s="5">
        <v>22</v>
      </c>
      <c r="G425" s="5">
        <v>4</v>
      </c>
      <c r="H425" s="5" t="s">
        <v>49</v>
      </c>
      <c r="I425" s="5">
        <v>1</v>
      </c>
      <c r="J425" s="5">
        <v>567</v>
      </c>
      <c r="K425" s="5">
        <v>3</v>
      </c>
      <c r="L425" s="5" t="s">
        <v>39</v>
      </c>
      <c r="M425" s="5">
        <v>69</v>
      </c>
      <c r="N425" s="5">
        <v>3</v>
      </c>
      <c r="O425" s="5">
        <v>3</v>
      </c>
      <c r="P425" s="5" t="s">
        <v>40</v>
      </c>
      <c r="Q425" s="5">
        <v>1</v>
      </c>
      <c r="R425" s="5" t="s">
        <v>48</v>
      </c>
      <c r="S425" s="5">
        <v>8412</v>
      </c>
      <c r="T425" s="5">
        <v>2890</v>
      </c>
      <c r="U425" s="5">
        <v>0</v>
      </c>
      <c r="V425" s="5" t="s">
        <v>42</v>
      </c>
      <c r="W425" s="5" t="s">
        <v>43</v>
      </c>
      <c r="X425" s="5">
        <v>11</v>
      </c>
      <c r="Y425" s="5">
        <v>3</v>
      </c>
      <c r="Z425" s="5">
        <v>3</v>
      </c>
      <c r="AA425" s="5">
        <v>80</v>
      </c>
      <c r="AB425" s="5">
        <v>0</v>
      </c>
      <c r="AC425" s="5">
        <v>10</v>
      </c>
      <c r="AD425" s="5">
        <v>3</v>
      </c>
      <c r="AE425" s="5">
        <v>3</v>
      </c>
      <c r="AF425" s="5">
        <v>9</v>
      </c>
      <c r="AG425" s="5">
        <v>8</v>
      </c>
      <c r="AH425" s="5">
        <v>7</v>
      </c>
      <c r="AI425" s="5">
        <v>8</v>
      </c>
    </row>
    <row r="426" spans="1:35" x14ac:dyDescent="0.25">
      <c r="A426" s="5">
        <v>57</v>
      </c>
      <c r="B426" s="5" t="s">
        <v>43</v>
      </c>
      <c r="C426" s="5" t="s">
        <v>36</v>
      </c>
      <c r="D426" s="5">
        <v>210</v>
      </c>
      <c r="E426" s="5" t="s">
        <v>37</v>
      </c>
      <c r="F426" s="5">
        <v>29</v>
      </c>
      <c r="G426" s="5">
        <v>3</v>
      </c>
      <c r="H426" s="5" t="s">
        <v>59</v>
      </c>
      <c r="I426" s="5">
        <v>1</v>
      </c>
      <c r="J426" s="5">
        <v>568</v>
      </c>
      <c r="K426" s="5">
        <v>1</v>
      </c>
      <c r="L426" s="5" t="s">
        <v>46</v>
      </c>
      <c r="M426" s="5">
        <v>56</v>
      </c>
      <c r="N426" s="5">
        <v>2</v>
      </c>
      <c r="O426" s="5">
        <v>4</v>
      </c>
      <c r="P426" s="5" t="s">
        <v>56</v>
      </c>
      <c r="Q426" s="5">
        <v>4</v>
      </c>
      <c r="R426" s="5" t="s">
        <v>52</v>
      </c>
      <c r="S426" s="5">
        <v>14118</v>
      </c>
      <c r="T426" s="5">
        <v>22102</v>
      </c>
      <c r="U426" s="5">
        <v>3</v>
      </c>
      <c r="V426" s="5" t="s">
        <v>42</v>
      </c>
      <c r="W426" s="5" t="s">
        <v>43</v>
      </c>
      <c r="X426" s="5">
        <v>12</v>
      </c>
      <c r="Y426" s="5">
        <v>3</v>
      </c>
      <c r="Z426" s="5">
        <v>3</v>
      </c>
      <c r="AA426" s="5">
        <v>80</v>
      </c>
      <c r="AB426" s="5">
        <v>1</v>
      </c>
      <c r="AC426" s="5">
        <v>32</v>
      </c>
      <c r="AD426" s="5">
        <v>3</v>
      </c>
      <c r="AE426" s="5">
        <v>2</v>
      </c>
      <c r="AF426" s="5">
        <v>1</v>
      </c>
      <c r="AG426" s="5">
        <v>0</v>
      </c>
      <c r="AH426" s="5">
        <v>0</v>
      </c>
      <c r="AI426" s="5">
        <v>0</v>
      </c>
    </row>
    <row r="427" spans="1:35" x14ac:dyDescent="0.25">
      <c r="A427" s="5">
        <v>50</v>
      </c>
      <c r="B427" s="5" t="s">
        <v>43</v>
      </c>
      <c r="C427" s="5" t="s">
        <v>36</v>
      </c>
      <c r="D427" s="5">
        <v>1099</v>
      </c>
      <c r="E427" s="5" t="s">
        <v>45</v>
      </c>
      <c r="F427" s="5">
        <v>29</v>
      </c>
      <c r="G427" s="5">
        <v>4</v>
      </c>
      <c r="H427" s="5" t="s">
        <v>38</v>
      </c>
      <c r="I427" s="5">
        <v>1</v>
      </c>
      <c r="J427" s="5">
        <v>569</v>
      </c>
      <c r="K427" s="5">
        <v>2</v>
      </c>
      <c r="L427" s="5" t="s">
        <v>46</v>
      </c>
      <c r="M427" s="5">
        <v>88</v>
      </c>
      <c r="N427" s="5">
        <v>2</v>
      </c>
      <c r="O427" s="5">
        <v>4</v>
      </c>
      <c r="P427" s="5" t="s">
        <v>56</v>
      </c>
      <c r="Q427" s="5">
        <v>3</v>
      </c>
      <c r="R427" s="5" t="s">
        <v>48</v>
      </c>
      <c r="S427" s="5">
        <v>17046</v>
      </c>
      <c r="T427" s="5">
        <v>9314</v>
      </c>
      <c r="U427" s="5">
        <v>0</v>
      </c>
      <c r="V427" s="5" t="s">
        <v>42</v>
      </c>
      <c r="W427" s="5" t="s">
        <v>43</v>
      </c>
      <c r="X427" s="5">
        <v>15</v>
      </c>
      <c r="Y427" s="5">
        <v>3</v>
      </c>
      <c r="Z427" s="5">
        <v>2</v>
      </c>
      <c r="AA427" s="5">
        <v>80</v>
      </c>
      <c r="AB427" s="5">
        <v>1</v>
      </c>
      <c r="AC427" s="5">
        <v>28</v>
      </c>
      <c r="AD427" s="5">
        <v>2</v>
      </c>
      <c r="AE427" s="5">
        <v>3</v>
      </c>
      <c r="AF427" s="5">
        <v>27</v>
      </c>
      <c r="AG427" s="5">
        <v>10</v>
      </c>
      <c r="AH427" s="5">
        <v>15</v>
      </c>
      <c r="AI427" s="5">
        <v>7</v>
      </c>
    </row>
    <row r="428" spans="1:35" x14ac:dyDescent="0.25">
      <c r="A428" s="5">
        <v>30</v>
      </c>
      <c r="B428" s="5" t="s">
        <v>43</v>
      </c>
      <c r="C428" s="5" t="s">
        <v>55</v>
      </c>
      <c r="D428" s="5">
        <v>1116</v>
      </c>
      <c r="E428" s="5" t="s">
        <v>45</v>
      </c>
      <c r="F428" s="5">
        <v>2</v>
      </c>
      <c r="G428" s="5">
        <v>3</v>
      </c>
      <c r="H428" s="5" t="s">
        <v>51</v>
      </c>
      <c r="I428" s="5">
        <v>1</v>
      </c>
      <c r="J428" s="5">
        <v>571</v>
      </c>
      <c r="K428" s="5">
        <v>3</v>
      </c>
      <c r="L428" s="5" t="s">
        <v>39</v>
      </c>
      <c r="M428" s="5">
        <v>49</v>
      </c>
      <c r="N428" s="5">
        <v>3</v>
      </c>
      <c r="O428" s="5">
        <v>1</v>
      </c>
      <c r="P428" s="5" t="s">
        <v>50</v>
      </c>
      <c r="Q428" s="5">
        <v>4</v>
      </c>
      <c r="R428" s="5" t="s">
        <v>41</v>
      </c>
      <c r="S428" s="5">
        <v>2564</v>
      </c>
      <c r="T428" s="5">
        <v>7181</v>
      </c>
      <c r="U428" s="5">
        <v>0</v>
      </c>
      <c r="V428" s="5" t="s">
        <v>42</v>
      </c>
      <c r="W428" s="5" t="s">
        <v>43</v>
      </c>
      <c r="X428" s="5">
        <v>14</v>
      </c>
      <c r="Y428" s="5">
        <v>3</v>
      </c>
      <c r="Z428" s="5">
        <v>3</v>
      </c>
      <c r="AA428" s="5">
        <v>80</v>
      </c>
      <c r="AB428" s="5">
        <v>0</v>
      </c>
      <c r="AC428" s="5">
        <v>12</v>
      </c>
      <c r="AD428" s="5">
        <v>2</v>
      </c>
      <c r="AE428" s="5">
        <v>2</v>
      </c>
      <c r="AF428" s="5">
        <v>11</v>
      </c>
      <c r="AG428" s="5">
        <v>7</v>
      </c>
      <c r="AH428" s="5">
        <v>6</v>
      </c>
      <c r="AI428" s="5">
        <v>7</v>
      </c>
    </row>
    <row r="429" spans="1:35" x14ac:dyDescent="0.25">
      <c r="A429" s="5">
        <v>60</v>
      </c>
      <c r="B429" s="5" t="s">
        <v>43</v>
      </c>
      <c r="C429" s="5" t="s">
        <v>44</v>
      </c>
      <c r="D429" s="5">
        <v>1499</v>
      </c>
      <c r="E429" s="5" t="s">
        <v>37</v>
      </c>
      <c r="F429" s="5">
        <v>28</v>
      </c>
      <c r="G429" s="5">
        <v>3</v>
      </c>
      <c r="H429" s="5" t="s">
        <v>59</v>
      </c>
      <c r="I429" s="5">
        <v>1</v>
      </c>
      <c r="J429" s="5">
        <v>573</v>
      </c>
      <c r="K429" s="5">
        <v>3</v>
      </c>
      <c r="L429" s="5" t="s">
        <v>39</v>
      </c>
      <c r="M429" s="5">
        <v>80</v>
      </c>
      <c r="N429" s="5">
        <v>2</v>
      </c>
      <c r="O429" s="5">
        <v>3</v>
      </c>
      <c r="P429" s="5" t="s">
        <v>40</v>
      </c>
      <c r="Q429" s="5">
        <v>1</v>
      </c>
      <c r="R429" s="5" t="s">
        <v>48</v>
      </c>
      <c r="S429" s="5">
        <v>10266</v>
      </c>
      <c r="T429" s="5">
        <v>2845</v>
      </c>
      <c r="U429" s="5">
        <v>4</v>
      </c>
      <c r="V429" s="5" t="s">
        <v>42</v>
      </c>
      <c r="W429" s="5" t="s">
        <v>43</v>
      </c>
      <c r="X429" s="5">
        <v>19</v>
      </c>
      <c r="Y429" s="5">
        <v>3</v>
      </c>
      <c r="Z429" s="5">
        <v>4</v>
      </c>
      <c r="AA429" s="5">
        <v>80</v>
      </c>
      <c r="AB429" s="5">
        <v>0</v>
      </c>
      <c r="AC429" s="5">
        <v>22</v>
      </c>
      <c r="AD429" s="5">
        <v>5</v>
      </c>
      <c r="AE429" s="5">
        <v>4</v>
      </c>
      <c r="AF429" s="5">
        <v>18</v>
      </c>
      <c r="AG429" s="5">
        <v>13</v>
      </c>
      <c r="AH429" s="5">
        <v>13</v>
      </c>
      <c r="AI429" s="5">
        <v>11</v>
      </c>
    </row>
    <row r="430" spans="1:35" x14ac:dyDescent="0.25">
      <c r="A430" s="5">
        <v>47</v>
      </c>
      <c r="B430" s="5" t="s">
        <v>43</v>
      </c>
      <c r="C430" s="5" t="s">
        <v>36</v>
      </c>
      <c r="D430" s="5">
        <v>983</v>
      </c>
      <c r="E430" s="5" t="s">
        <v>45</v>
      </c>
      <c r="F430" s="5">
        <v>2</v>
      </c>
      <c r="G430" s="5">
        <v>2</v>
      </c>
      <c r="H430" s="5" t="s">
        <v>51</v>
      </c>
      <c r="I430" s="5">
        <v>1</v>
      </c>
      <c r="J430" s="5">
        <v>574</v>
      </c>
      <c r="K430" s="5">
        <v>1</v>
      </c>
      <c r="L430" s="5" t="s">
        <v>39</v>
      </c>
      <c r="M430" s="5">
        <v>65</v>
      </c>
      <c r="N430" s="5">
        <v>3</v>
      </c>
      <c r="O430" s="5">
        <v>2</v>
      </c>
      <c r="P430" s="5" t="s">
        <v>53</v>
      </c>
      <c r="Q430" s="5">
        <v>4</v>
      </c>
      <c r="R430" s="5" t="s">
        <v>52</v>
      </c>
      <c r="S430" s="5">
        <v>5070</v>
      </c>
      <c r="T430" s="5">
        <v>7389</v>
      </c>
      <c r="U430" s="5">
        <v>5</v>
      </c>
      <c r="V430" s="5" t="s">
        <v>42</v>
      </c>
      <c r="W430" s="5" t="s">
        <v>43</v>
      </c>
      <c r="X430" s="5">
        <v>13</v>
      </c>
      <c r="Y430" s="5">
        <v>3</v>
      </c>
      <c r="Z430" s="5">
        <v>3</v>
      </c>
      <c r="AA430" s="5">
        <v>80</v>
      </c>
      <c r="AB430" s="5">
        <v>3</v>
      </c>
      <c r="AC430" s="5">
        <v>20</v>
      </c>
      <c r="AD430" s="5">
        <v>2</v>
      </c>
      <c r="AE430" s="5">
        <v>3</v>
      </c>
      <c r="AF430" s="5">
        <v>5</v>
      </c>
      <c r="AG430" s="5">
        <v>0</v>
      </c>
      <c r="AH430" s="5">
        <v>0</v>
      </c>
      <c r="AI430" s="5">
        <v>4</v>
      </c>
    </row>
    <row r="431" spans="1:35" x14ac:dyDescent="0.25">
      <c r="A431" s="5">
        <v>46</v>
      </c>
      <c r="B431" s="5" t="s">
        <v>43</v>
      </c>
      <c r="C431" s="5" t="s">
        <v>36</v>
      </c>
      <c r="D431" s="5">
        <v>1009</v>
      </c>
      <c r="E431" s="5" t="s">
        <v>45</v>
      </c>
      <c r="F431" s="5">
        <v>2</v>
      </c>
      <c r="G431" s="5">
        <v>3</v>
      </c>
      <c r="H431" s="5" t="s">
        <v>38</v>
      </c>
      <c r="I431" s="5">
        <v>1</v>
      </c>
      <c r="J431" s="5">
        <v>575</v>
      </c>
      <c r="K431" s="5">
        <v>1</v>
      </c>
      <c r="L431" s="5" t="s">
        <v>46</v>
      </c>
      <c r="M431" s="5">
        <v>51</v>
      </c>
      <c r="N431" s="5">
        <v>3</v>
      </c>
      <c r="O431" s="5">
        <v>4</v>
      </c>
      <c r="P431" s="5" t="s">
        <v>58</v>
      </c>
      <c r="Q431" s="5">
        <v>3</v>
      </c>
      <c r="R431" s="5" t="s">
        <v>48</v>
      </c>
      <c r="S431" s="5">
        <v>17861</v>
      </c>
      <c r="T431" s="5">
        <v>2288</v>
      </c>
      <c r="U431" s="5">
        <v>6</v>
      </c>
      <c r="V431" s="5" t="s">
        <v>42</v>
      </c>
      <c r="W431" s="5" t="s">
        <v>43</v>
      </c>
      <c r="X431" s="5">
        <v>13</v>
      </c>
      <c r="Y431" s="5">
        <v>3</v>
      </c>
      <c r="Z431" s="5">
        <v>3</v>
      </c>
      <c r="AA431" s="5">
        <v>80</v>
      </c>
      <c r="AB431" s="5">
        <v>0</v>
      </c>
      <c r="AC431" s="5">
        <v>26</v>
      </c>
      <c r="AD431" s="5">
        <v>2</v>
      </c>
      <c r="AE431" s="5">
        <v>1</v>
      </c>
      <c r="AF431" s="5">
        <v>3</v>
      </c>
      <c r="AG431" s="5">
        <v>2</v>
      </c>
      <c r="AH431" s="5">
        <v>0</v>
      </c>
      <c r="AI431" s="5">
        <v>1</v>
      </c>
    </row>
    <row r="432" spans="1:35" x14ac:dyDescent="0.25">
      <c r="A432" s="5">
        <v>35</v>
      </c>
      <c r="B432" s="5" t="s">
        <v>43</v>
      </c>
      <c r="C432" s="5" t="s">
        <v>36</v>
      </c>
      <c r="D432" s="5">
        <v>144</v>
      </c>
      <c r="E432" s="5" t="s">
        <v>45</v>
      </c>
      <c r="F432" s="5">
        <v>22</v>
      </c>
      <c r="G432" s="5">
        <v>3</v>
      </c>
      <c r="H432" s="5" t="s">
        <v>38</v>
      </c>
      <c r="I432" s="5">
        <v>1</v>
      </c>
      <c r="J432" s="5">
        <v>577</v>
      </c>
      <c r="K432" s="5">
        <v>4</v>
      </c>
      <c r="L432" s="5" t="s">
        <v>46</v>
      </c>
      <c r="M432" s="5">
        <v>46</v>
      </c>
      <c r="N432" s="5">
        <v>1</v>
      </c>
      <c r="O432" s="5">
        <v>1</v>
      </c>
      <c r="P432" s="5" t="s">
        <v>50</v>
      </c>
      <c r="Q432" s="5">
        <v>3</v>
      </c>
      <c r="R432" s="5" t="s">
        <v>41</v>
      </c>
      <c r="S432" s="5">
        <v>4230</v>
      </c>
      <c r="T432" s="5">
        <v>19225</v>
      </c>
      <c r="U432" s="5">
        <v>0</v>
      </c>
      <c r="V432" s="5" t="s">
        <v>42</v>
      </c>
      <c r="W432" s="5" t="s">
        <v>43</v>
      </c>
      <c r="X432" s="5">
        <v>15</v>
      </c>
      <c r="Y432" s="5">
        <v>3</v>
      </c>
      <c r="Z432" s="5">
        <v>3</v>
      </c>
      <c r="AA432" s="5">
        <v>80</v>
      </c>
      <c r="AB432" s="5">
        <v>0</v>
      </c>
      <c r="AC432" s="5">
        <v>6</v>
      </c>
      <c r="AD432" s="5">
        <v>2</v>
      </c>
      <c r="AE432" s="5">
        <v>3</v>
      </c>
      <c r="AF432" s="5">
        <v>5</v>
      </c>
      <c r="AG432" s="5">
        <v>4</v>
      </c>
      <c r="AH432" s="5">
        <v>4</v>
      </c>
      <c r="AI432" s="5">
        <v>3</v>
      </c>
    </row>
    <row r="433" spans="1:35" x14ac:dyDescent="0.25">
      <c r="A433" s="5">
        <v>54</v>
      </c>
      <c r="B433" s="5" t="s">
        <v>43</v>
      </c>
      <c r="C433" s="5" t="s">
        <v>36</v>
      </c>
      <c r="D433" s="5">
        <v>548</v>
      </c>
      <c r="E433" s="5" t="s">
        <v>45</v>
      </c>
      <c r="F433" s="5">
        <v>8</v>
      </c>
      <c r="G433" s="5">
        <v>4</v>
      </c>
      <c r="H433" s="5" t="s">
        <v>38</v>
      </c>
      <c r="I433" s="5">
        <v>1</v>
      </c>
      <c r="J433" s="5">
        <v>578</v>
      </c>
      <c r="K433" s="5">
        <v>3</v>
      </c>
      <c r="L433" s="5" t="s">
        <v>39</v>
      </c>
      <c r="M433" s="5">
        <v>42</v>
      </c>
      <c r="N433" s="5">
        <v>3</v>
      </c>
      <c r="O433" s="5">
        <v>2</v>
      </c>
      <c r="P433" s="5" t="s">
        <v>50</v>
      </c>
      <c r="Q433" s="5">
        <v>3</v>
      </c>
      <c r="R433" s="5" t="s">
        <v>41</v>
      </c>
      <c r="S433" s="5">
        <v>3780</v>
      </c>
      <c r="T433" s="5">
        <v>23428</v>
      </c>
      <c r="U433" s="5">
        <v>7</v>
      </c>
      <c r="V433" s="5" t="s">
        <v>42</v>
      </c>
      <c r="W433" s="5" t="s">
        <v>43</v>
      </c>
      <c r="X433" s="5">
        <v>11</v>
      </c>
      <c r="Y433" s="5">
        <v>3</v>
      </c>
      <c r="Z433" s="5">
        <v>3</v>
      </c>
      <c r="AA433" s="5">
        <v>80</v>
      </c>
      <c r="AB433" s="5">
        <v>0</v>
      </c>
      <c r="AC433" s="5">
        <v>19</v>
      </c>
      <c r="AD433" s="5">
        <v>3</v>
      </c>
      <c r="AE433" s="5">
        <v>3</v>
      </c>
      <c r="AF433" s="5">
        <v>1</v>
      </c>
      <c r="AG433" s="5">
        <v>0</v>
      </c>
      <c r="AH433" s="5">
        <v>0</v>
      </c>
      <c r="AI433" s="5">
        <v>0</v>
      </c>
    </row>
    <row r="434" spans="1:35" x14ac:dyDescent="0.25">
      <c r="A434" s="5">
        <v>34</v>
      </c>
      <c r="B434" s="5" t="s">
        <v>43</v>
      </c>
      <c r="C434" s="5" t="s">
        <v>36</v>
      </c>
      <c r="D434" s="5">
        <v>1303</v>
      </c>
      <c r="E434" s="5" t="s">
        <v>45</v>
      </c>
      <c r="F434" s="5">
        <v>2</v>
      </c>
      <c r="G434" s="5">
        <v>4</v>
      </c>
      <c r="H434" s="5" t="s">
        <v>38</v>
      </c>
      <c r="I434" s="5">
        <v>1</v>
      </c>
      <c r="J434" s="5">
        <v>579</v>
      </c>
      <c r="K434" s="5">
        <v>4</v>
      </c>
      <c r="L434" s="5" t="s">
        <v>46</v>
      </c>
      <c r="M434" s="5">
        <v>62</v>
      </c>
      <c r="N434" s="5">
        <v>2</v>
      </c>
      <c r="O434" s="5">
        <v>1</v>
      </c>
      <c r="P434" s="5" t="s">
        <v>47</v>
      </c>
      <c r="Q434" s="5">
        <v>3</v>
      </c>
      <c r="R434" s="5" t="s">
        <v>52</v>
      </c>
      <c r="S434" s="5">
        <v>2768</v>
      </c>
      <c r="T434" s="5">
        <v>8416</v>
      </c>
      <c r="U434" s="5">
        <v>3</v>
      </c>
      <c r="V434" s="5" t="s">
        <v>42</v>
      </c>
      <c r="W434" s="5" t="s">
        <v>43</v>
      </c>
      <c r="X434" s="5">
        <v>12</v>
      </c>
      <c r="Y434" s="5">
        <v>3</v>
      </c>
      <c r="Z434" s="5">
        <v>3</v>
      </c>
      <c r="AA434" s="5">
        <v>80</v>
      </c>
      <c r="AB434" s="5">
        <v>1</v>
      </c>
      <c r="AC434" s="5">
        <v>14</v>
      </c>
      <c r="AD434" s="5">
        <v>3</v>
      </c>
      <c r="AE434" s="5">
        <v>3</v>
      </c>
      <c r="AF434" s="5">
        <v>7</v>
      </c>
      <c r="AG434" s="5">
        <v>3</v>
      </c>
      <c r="AH434" s="5">
        <v>5</v>
      </c>
      <c r="AI434" s="5">
        <v>7</v>
      </c>
    </row>
    <row r="435" spans="1:35" x14ac:dyDescent="0.25">
      <c r="A435" s="5">
        <v>46</v>
      </c>
      <c r="B435" s="5" t="s">
        <v>43</v>
      </c>
      <c r="C435" s="5" t="s">
        <v>36</v>
      </c>
      <c r="D435" s="5">
        <v>1125</v>
      </c>
      <c r="E435" s="5" t="s">
        <v>37</v>
      </c>
      <c r="F435" s="5">
        <v>10</v>
      </c>
      <c r="G435" s="5">
        <v>3</v>
      </c>
      <c r="H435" s="5" t="s">
        <v>59</v>
      </c>
      <c r="I435" s="5">
        <v>1</v>
      </c>
      <c r="J435" s="5">
        <v>580</v>
      </c>
      <c r="K435" s="5">
        <v>3</v>
      </c>
      <c r="L435" s="5" t="s">
        <v>39</v>
      </c>
      <c r="M435" s="5">
        <v>94</v>
      </c>
      <c r="N435" s="5">
        <v>2</v>
      </c>
      <c r="O435" s="5">
        <v>3</v>
      </c>
      <c r="P435" s="5" t="s">
        <v>40</v>
      </c>
      <c r="Q435" s="5">
        <v>4</v>
      </c>
      <c r="R435" s="5" t="s">
        <v>48</v>
      </c>
      <c r="S435" s="5">
        <v>9071</v>
      </c>
      <c r="T435" s="5">
        <v>11563</v>
      </c>
      <c r="U435" s="5">
        <v>2</v>
      </c>
      <c r="V435" s="5" t="s">
        <v>42</v>
      </c>
      <c r="W435" s="5" t="s">
        <v>35</v>
      </c>
      <c r="X435" s="5">
        <v>19</v>
      </c>
      <c r="Y435" s="5">
        <v>3</v>
      </c>
      <c r="Z435" s="5">
        <v>3</v>
      </c>
      <c r="AA435" s="5">
        <v>80</v>
      </c>
      <c r="AB435" s="5">
        <v>1</v>
      </c>
      <c r="AC435" s="5">
        <v>15</v>
      </c>
      <c r="AD435" s="5">
        <v>3</v>
      </c>
      <c r="AE435" s="5">
        <v>3</v>
      </c>
      <c r="AF435" s="5">
        <v>3</v>
      </c>
      <c r="AG435" s="5">
        <v>2</v>
      </c>
      <c r="AH435" s="5">
        <v>1</v>
      </c>
      <c r="AI435" s="5">
        <v>2</v>
      </c>
    </row>
    <row r="436" spans="1:35" x14ac:dyDescent="0.25">
      <c r="A436" s="5">
        <v>31</v>
      </c>
      <c r="B436" s="5" t="s">
        <v>43</v>
      </c>
      <c r="C436" s="5" t="s">
        <v>36</v>
      </c>
      <c r="D436" s="5">
        <v>1274</v>
      </c>
      <c r="E436" s="5" t="s">
        <v>45</v>
      </c>
      <c r="F436" s="5">
        <v>9</v>
      </c>
      <c r="G436" s="5">
        <v>1</v>
      </c>
      <c r="H436" s="5" t="s">
        <v>38</v>
      </c>
      <c r="I436" s="5">
        <v>1</v>
      </c>
      <c r="J436" s="5">
        <v>581</v>
      </c>
      <c r="K436" s="5">
        <v>3</v>
      </c>
      <c r="L436" s="5" t="s">
        <v>46</v>
      </c>
      <c r="M436" s="5">
        <v>33</v>
      </c>
      <c r="N436" s="5">
        <v>3</v>
      </c>
      <c r="O436" s="5">
        <v>3</v>
      </c>
      <c r="P436" s="5" t="s">
        <v>53</v>
      </c>
      <c r="Q436" s="5">
        <v>2</v>
      </c>
      <c r="R436" s="5" t="s">
        <v>52</v>
      </c>
      <c r="S436" s="5">
        <v>10648</v>
      </c>
      <c r="T436" s="5">
        <v>14394</v>
      </c>
      <c r="U436" s="5">
        <v>1</v>
      </c>
      <c r="V436" s="5" t="s">
        <v>42</v>
      </c>
      <c r="W436" s="5" t="s">
        <v>43</v>
      </c>
      <c r="X436" s="5">
        <v>25</v>
      </c>
      <c r="Y436" s="5">
        <v>4</v>
      </c>
      <c r="Z436" s="5">
        <v>4</v>
      </c>
      <c r="AA436" s="5">
        <v>80</v>
      </c>
      <c r="AB436" s="5">
        <v>1</v>
      </c>
      <c r="AC436" s="5">
        <v>13</v>
      </c>
      <c r="AD436" s="5">
        <v>6</v>
      </c>
      <c r="AE436" s="5">
        <v>4</v>
      </c>
      <c r="AF436" s="5">
        <v>13</v>
      </c>
      <c r="AG436" s="5">
        <v>8</v>
      </c>
      <c r="AH436" s="5">
        <v>0</v>
      </c>
      <c r="AI436" s="5">
        <v>8</v>
      </c>
    </row>
    <row r="437" spans="1:35" x14ac:dyDescent="0.25">
      <c r="A437" s="5">
        <v>33</v>
      </c>
      <c r="B437" s="5" t="s">
        <v>35</v>
      </c>
      <c r="C437" s="5" t="s">
        <v>36</v>
      </c>
      <c r="D437" s="5">
        <v>1277</v>
      </c>
      <c r="E437" s="5" t="s">
        <v>45</v>
      </c>
      <c r="F437" s="5">
        <v>15</v>
      </c>
      <c r="G437" s="5">
        <v>1</v>
      </c>
      <c r="H437" s="5" t="s">
        <v>51</v>
      </c>
      <c r="I437" s="5">
        <v>1</v>
      </c>
      <c r="J437" s="5">
        <v>582</v>
      </c>
      <c r="K437" s="5">
        <v>2</v>
      </c>
      <c r="L437" s="5" t="s">
        <v>46</v>
      </c>
      <c r="M437" s="5">
        <v>56</v>
      </c>
      <c r="N437" s="5">
        <v>3</v>
      </c>
      <c r="O437" s="5">
        <v>3</v>
      </c>
      <c r="P437" s="5" t="s">
        <v>56</v>
      </c>
      <c r="Q437" s="5">
        <v>3</v>
      </c>
      <c r="R437" s="5" t="s">
        <v>48</v>
      </c>
      <c r="S437" s="5">
        <v>13610</v>
      </c>
      <c r="T437" s="5">
        <v>24619</v>
      </c>
      <c r="U437" s="5">
        <v>7</v>
      </c>
      <c r="V437" s="5" t="s">
        <v>42</v>
      </c>
      <c r="W437" s="5" t="s">
        <v>35</v>
      </c>
      <c r="X437" s="5">
        <v>12</v>
      </c>
      <c r="Y437" s="5">
        <v>3</v>
      </c>
      <c r="Z437" s="5">
        <v>4</v>
      </c>
      <c r="AA437" s="5">
        <v>80</v>
      </c>
      <c r="AB437" s="5">
        <v>0</v>
      </c>
      <c r="AC437" s="5">
        <v>15</v>
      </c>
      <c r="AD437" s="5">
        <v>2</v>
      </c>
      <c r="AE437" s="5">
        <v>4</v>
      </c>
      <c r="AF437" s="5">
        <v>7</v>
      </c>
      <c r="AG437" s="5">
        <v>6</v>
      </c>
      <c r="AH437" s="5">
        <v>7</v>
      </c>
      <c r="AI437" s="5">
        <v>7</v>
      </c>
    </row>
    <row r="438" spans="1:35" x14ac:dyDescent="0.25">
      <c r="A438" s="5">
        <v>33</v>
      </c>
      <c r="B438" s="5" t="s">
        <v>35</v>
      </c>
      <c r="C438" s="5" t="s">
        <v>36</v>
      </c>
      <c r="D438" s="5">
        <v>587</v>
      </c>
      <c r="E438" s="5" t="s">
        <v>45</v>
      </c>
      <c r="F438" s="5">
        <v>10</v>
      </c>
      <c r="G438" s="5">
        <v>1</v>
      </c>
      <c r="H438" s="5" t="s">
        <v>51</v>
      </c>
      <c r="I438" s="5">
        <v>1</v>
      </c>
      <c r="J438" s="5">
        <v>584</v>
      </c>
      <c r="K438" s="5">
        <v>1</v>
      </c>
      <c r="L438" s="5" t="s">
        <v>46</v>
      </c>
      <c r="M438" s="5">
        <v>38</v>
      </c>
      <c r="N438" s="5">
        <v>1</v>
      </c>
      <c r="O438" s="5">
        <v>1</v>
      </c>
      <c r="P438" s="5" t="s">
        <v>50</v>
      </c>
      <c r="Q438" s="5">
        <v>4</v>
      </c>
      <c r="R438" s="5" t="s">
        <v>52</v>
      </c>
      <c r="S438" s="5">
        <v>3408</v>
      </c>
      <c r="T438" s="5">
        <v>6705</v>
      </c>
      <c r="U438" s="5">
        <v>7</v>
      </c>
      <c r="V438" s="5" t="s">
        <v>42</v>
      </c>
      <c r="W438" s="5" t="s">
        <v>43</v>
      </c>
      <c r="X438" s="5">
        <v>13</v>
      </c>
      <c r="Y438" s="5">
        <v>3</v>
      </c>
      <c r="Z438" s="5">
        <v>1</v>
      </c>
      <c r="AA438" s="5">
        <v>80</v>
      </c>
      <c r="AB438" s="5">
        <v>3</v>
      </c>
      <c r="AC438" s="5">
        <v>8</v>
      </c>
      <c r="AD438" s="5">
        <v>2</v>
      </c>
      <c r="AE438" s="5">
        <v>3</v>
      </c>
      <c r="AF438" s="5">
        <v>4</v>
      </c>
      <c r="AG438" s="5">
        <v>3</v>
      </c>
      <c r="AH438" s="5">
        <v>1</v>
      </c>
      <c r="AI438" s="5">
        <v>3</v>
      </c>
    </row>
    <row r="439" spans="1:35" x14ac:dyDescent="0.25">
      <c r="A439" s="5">
        <v>30</v>
      </c>
      <c r="B439" s="5" t="s">
        <v>43</v>
      </c>
      <c r="C439" s="5" t="s">
        <v>36</v>
      </c>
      <c r="D439" s="5">
        <v>413</v>
      </c>
      <c r="E439" s="5" t="s">
        <v>37</v>
      </c>
      <c r="F439" s="5">
        <v>7</v>
      </c>
      <c r="G439" s="5">
        <v>1</v>
      </c>
      <c r="H439" s="5" t="s">
        <v>59</v>
      </c>
      <c r="I439" s="5">
        <v>1</v>
      </c>
      <c r="J439" s="5">
        <v>585</v>
      </c>
      <c r="K439" s="5">
        <v>4</v>
      </c>
      <c r="L439" s="5" t="s">
        <v>46</v>
      </c>
      <c r="M439" s="5">
        <v>57</v>
      </c>
      <c r="N439" s="5">
        <v>3</v>
      </c>
      <c r="O439" s="5">
        <v>1</v>
      </c>
      <c r="P439" s="5" t="s">
        <v>57</v>
      </c>
      <c r="Q439" s="5">
        <v>2</v>
      </c>
      <c r="R439" s="5" t="s">
        <v>41</v>
      </c>
      <c r="S439" s="5">
        <v>2983</v>
      </c>
      <c r="T439" s="5">
        <v>18398</v>
      </c>
      <c r="U439" s="5">
        <v>0</v>
      </c>
      <c r="V439" s="5" t="s">
        <v>42</v>
      </c>
      <c r="W439" s="5" t="s">
        <v>43</v>
      </c>
      <c r="X439" s="5">
        <v>14</v>
      </c>
      <c r="Y439" s="5">
        <v>3</v>
      </c>
      <c r="Z439" s="5">
        <v>1</v>
      </c>
      <c r="AA439" s="5">
        <v>80</v>
      </c>
      <c r="AB439" s="5">
        <v>0</v>
      </c>
      <c r="AC439" s="5">
        <v>4</v>
      </c>
      <c r="AD439" s="5">
        <v>3</v>
      </c>
      <c r="AE439" s="5">
        <v>3</v>
      </c>
      <c r="AF439" s="5">
        <v>3</v>
      </c>
      <c r="AG439" s="5">
        <v>2</v>
      </c>
      <c r="AH439" s="5">
        <v>1</v>
      </c>
      <c r="AI439" s="5">
        <v>2</v>
      </c>
    </row>
    <row r="440" spans="1:35" x14ac:dyDescent="0.25">
      <c r="A440" s="5">
        <v>35</v>
      </c>
      <c r="B440" s="5" t="s">
        <v>43</v>
      </c>
      <c r="C440" s="5" t="s">
        <v>36</v>
      </c>
      <c r="D440" s="5">
        <v>1276</v>
      </c>
      <c r="E440" s="5" t="s">
        <v>45</v>
      </c>
      <c r="F440" s="5">
        <v>16</v>
      </c>
      <c r="G440" s="5">
        <v>3</v>
      </c>
      <c r="H440" s="5" t="s">
        <v>38</v>
      </c>
      <c r="I440" s="5">
        <v>1</v>
      </c>
      <c r="J440" s="5">
        <v>586</v>
      </c>
      <c r="K440" s="5">
        <v>4</v>
      </c>
      <c r="L440" s="5" t="s">
        <v>46</v>
      </c>
      <c r="M440" s="5">
        <v>72</v>
      </c>
      <c r="N440" s="5">
        <v>3</v>
      </c>
      <c r="O440" s="5">
        <v>3</v>
      </c>
      <c r="P440" s="5" t="s">
        <v>54</v>
      </c>
      <c r="Q440" s="5">
        <v>3</v>
      </c>
      <c r="R440" s="5" t="s">
        <v>48</v>
      </c>
      <c r="S440" s="5">
        <v>7632</v>
      </c>
      <c r="T440" s="5">
        <v>14295</v>
      </c>
      <c r="U440" s="5">
        <v>4</v>
      </c>
      <c r="V440" s="5" t="s">
        <v>42</v>
      </c>
      <c r="W440" s="5" t="s">
        <v>35</v>
      </c>
      <c r="X440" s="5">
        <v>12</v>
      </c>
      <c r="Y440" s="5">
        <v>3</v>
      </c>
      <c r="Z440" s="5">
        <v>3</v>
      </c>
      <c r="AA440" s="5">
        <v>80</v>
      </c>
      <c r="AB440" s="5">
        <v>0</v>
      </c>
      <c r="AC440" s="5">
        <v>10</v>
      </c>
      <c r="AD440" s="5">
        <v>2</v>
      </c>
      <c r="AE440" s="5">
        <v>3</v>
      </c>
      <c r="AF440" s="5">
        <v>8</v>
      </c>
      <c r="AG440" s="5">
        <v>7</v>
      </c>
      <c r="AH440" s="5">
        <v>0</v>
      </c>
      <c r="AI440" s="5">
        <v>0</v>
      </c>
    </row>
    <row r="441" spans="1:35" x14ac:dyDescent="0.25">
      <c r="A441" s="5">
        <v>31</v>
      </c>
      <c r="B441" s="5" t="s">
        <v>35</v>
      </c>
      <c r="C441" s="5" t="s">
        <v>44</v>
      </c>
      <c r="D441" s="5">
        <v>534</v>
      </c>
      <c r="E441" s="5" t="s">
        <v>45</v>
      </c>
      <c r="F441" s="5">
        <v>20</v>
      </c>
      <c r="G441" s="5">
        <v>3</v>
      </c>
      <c r="H441" s="5" t="s">
        <v>38</v>
      </c>
      <c r="I441" s="5">
        <v>1</v>
      </c>
      <c r="J441" s="5">
        <v>587</v>
      </c>
      <c r="K441" s="5">
        <v>1</v>
      </c>
      <c r="L441" s="5" t="s">
        <v>46</v>
      </c>
      <c r="M441" s="5">
        <v>66</v>
      </c>
      <c r="N441" s="5">
        <v>3</v>
      </c>
      <c r="O441" s="5">
        <v>3</v>
      </c>
      <c r="P441" s="5" t="s">
        <v>54</v>
      </c>
      <c r="Q441" s="5">
        <v>3</v>
      </c>
      <c r="R441" s="5" t="s">
        <v>48</v>
      </c>
      <c r="S441" s="5">
        <v>9824</v>
      </c>
      <c r="T441" s="5">
        <v>22908</v>
      </c>
      <c r="U441" s="5">
        <v>3</v>
      </c>
      <c r="V441" s="5" t="s">
        <v>42</v>
      </c>
      <c r="W441" s="5" t="s">
        <v>43</v>
      </c>
      <c r="X441" s="5">
        <v>12</v>
      </c>
      <c r="Y441" s="5">
        <v>3</v>
      </c>
      <c r="Z441" s="5">
        <v>1</v>
      </c>
      <c r="AA441" s="5">
        <v>80</v>
      </c>
      <c r="AB441" s="5">
        <v>0</v>
      </c>
      <c r="AC441" s="5">
        <v>12</v>
      </c>
      <c r="AD441" s="5">
        <v>2</v>
      </c>
      <c r="AE441" s="5">
        <v>3</v>
      </c>
      <c r="AF441" s="5">
        <v>1</v>
      </c>
      <c r="AG441" s="5">
        <v>0</v>
      </c>
      <c r="AH441" s="5">
        <v>0</v>
      </c>
      <c r="AI441" s="5">
        <v>0</v>
      </c>
    </row>
    <row r="442" spans="1:35" x14ac:dyDescent="0.25">
      <c r="A442" s="5">
        <v>34</v>
      </c>
      <c r="B442" s="5" t="s">
        <v>35</v>
      </c>
      <c r="C442" s="5" t="s">
        <v>44</v>
      </c>
      <c r="D442" s="5">
        <v>988</v>
      </c>
      <c r="E442" s="5" t="s">
        <v>61</v>
      </c>
      <c r="F442" s="5">
        <v>23</v>
      </c>
      <c r="G442" s="5">
        <v>3</v>
      </c>
      <c r="H442" s="5" t="s">
        <v>61</v>
      </c>
      <c r="I442" s="5">
        <v>1</v>
      </c>
      <c r="J442" s="5">
        <v>590</v>
      </c>
      <c r="K442" s="5">
        <v>2</v>
      </c>
      <c r="L442" s="5" t="s">
        <v>39</v>
      </c>
      <c r="M442" s="5">
        <v>43</v>
      </c>
      <c r="N442" s="5">
        <v>3</v>
      </c>
      <c r="O442" s="5">
        <v>3</v>
      </c>
      <c r="P442" s="5" t="s">
        <v>61</v>
      </c>
      <c r="Q442" s="5">
        <v>1</v>
      </c>
      <c r="R442" s="5" t="s">
        <v>52</v>
      </c>
      <c r="S442" s="5">
        <v>9950</v>
      </c>
      <c r="T442" s="5">
        <v>11533</v>
      </c>
      <c r="U442" s="5">
        <v>9</v>
      </c>
      <c r="V442" s="5" t="s">
        <v>42</v>
      </c>
      <c r="W442" s="5" t="s">
        <v>35</v>
      </c>
      <c r="X442" s="5">
        <v>15</v>
      </c>
      <c r="Y442" s="5">
        <v>3</v>
      </c>
      <c r="Z442" s="5">
        <v>3</v>
      </c>
      <c r="AA442" s="5">
        <v>80</v>
      </c>
      <c r="AB442" s="5">
        <v>3</v>
      </c>
      <c r="AC442" s="5">
        <v>11</v>
      </c>
      <c r="AD442" s="5">
        <v>2</v>
      </c>
      <c r="AE442" s="5">
        <v>3</v>
      </c>
      <c r="AF442" s="5">
        <v>3</v>
      </c>
      <c r="AG442" s="5">
        <v>2</v>
      </c>
      <c r="AH442" s="5">
        <v>0</v>
      </c>
      <c r="AI442" s="5">
        <v>2</v>
      </c>
    </row>
    <row r="443" spans="1:35" x14ac:dyDescent="0.25">
      <c r="A443" s="5">
        <v>42</v>
      </c>
      <c r="B443" s="5" t="s">
        <v>43</v>
      </c>
      <c r="C443" s="5" t="s">
        <v>44</v>
      </c>
      <c r="D443" s="5">
        <v>1474</v>
      </c>
      <c r="E443" s="5" t="s">
        <v>45</v>
      </c>
      <c r="F443" s="5">
        <v>5</v>
      </c>
      <c r="G443" s="5">
        <v>2</v>
      </c>
      <c r="H443" s="5" t="s">
        <v>49</v>
      </c>
      <c r="I443" s="5">
        <v>1</v>
      </c>
      <c r="J443" s="5">
        <v>591</v>
      </c>
      <c r="K443" s="5">
        <v>2</v>
      </c>
      <c r="L443" s="5" t="s">
        <v>46</v>
      </c>
      <c r="M443" s="5">
        <v>97</v>
      </c>
      <c r="N443" s="5">
        <v>3</v>
      </c>
      <c r="O443" s="5">
        <v>1</v>
      </c>
      <c r="P443" s="5" t="s">
        <v>50</v>
      </c>
      <c r="Q443" s="5">
        <v>3</v>
      </c>
      <c r="R443" s="5" t="s">
        <v>48</v>
      </c>
      <c r="S443" s="5">
        <v>2093</v>
      </c>
      <c r="T443" s="5">
        <v>9260</v>
      </c>
      <c r="U443" s="5">
        <v>4</v>
      </c>
      <c r="V443" s="5" t="s">
        <v>42</v>
      </c>
      <c r="W443" s="5" t="s">
        <v>43</v>
      </c>
      <c r="X443" s="5">
        <v>17</v>
      </c>
      <c r="Y443" s="5">
        <v>3</v>
      </c>
      <c r="Z443" s="5">
        <v>4</v>
      </c>
      <c r="AA443" s="5">
        <v>80</v>
      </c>
      <c r="AB443" s="5">
        <v>1</v>
      </c>
      <c r="AC443" s="5">
        <v>8</v>
      </c>
      <c r="AD443" s="5">
        <v>4</v>
      </c>
      <c r="AE443" s="5">
        <v>3</v>
      </c>
      <c r="AF443" s="5">
        <v>2</v>
      </c>
      <c r="AG443" s="5">
        <v>2</v>
      </c>
      <c r="AH443" s="5">
        <v>2</v>
      </c>
      <c r="AI443" s="5">
        <v>0</v>
      </c>
    </row>
    <row r="444" spans="1:35" x14ac:dyDescent="0.25">
      <c r="A444" s="5">
        <v>36</v>
      </c>
      <c r="B444" s="5" t="s">
        <v>43</v>
      </c>
      <c r="C444" s="5" t="s">
        <v>55</v>
      </c>
      <c r="D444" s="5">
        <v>635</v>
      </c>
      <c r="E444" s="5" t="s">
        <v>37</v>
      </c>
      <c r="F444" s="5">
        <v>10</v>
      </c>
      <c r="G444" s="5">
        <v>4</v>
      </c>
      <c r="H444" s="5" t="s">
        <v>51</v>
      </c>
      <c r="I444" s="5">
        <v>1</v>
      </c>
      <c r="J444" s="5">
        <v>592</v>
      </c>
      <c r="K444" s="5">
        <v>2</v>
      </c>
      <c r="L444" s="5" t="s">
        <v>46</v>
      </c>
      <c r="M444" s="5">
        <v>32</v>
      </c>
      <c r="N444" s="5">
        <v>3</v>
      </c>
      <c r="O444" s="5">
        <v>3</v>
      </c>
      <c r="P444" s="5" t="s">
        <v>40</v>
      </c>
      <c r="Q444" s="5">
        <v>4</v>
      </c>
      <c r="R444" s="5" t="s">
        <v>41</v>
      </c>
      <c r="S444" s="5">
        <v>9980</v>
      </c>
      <c r="T444" s="5">
        <v>15318</v>
      </c>
      <c r="U444" s="5">
        <v>1</v>
      </c>
      <c r="V444" s="5" t="s">
        <v>42</v>
      </c>
      <c r="W444" s="5" t="s">
        <v>43</v>
      </c>
      <c r="X444" s="5">
        <v>14</v>
      </c>
      <c r="Y444" s="5">
        <v>3</v>
      </c>
      <c r="Z444" s="5">
        <v>4</v>
      </c>
      <c r="AA444" s="5">
        <v>80</v>
      </c>
      <c r="AB444" s="5">
        <v>0</v>
      </c>
      <c r="AC444" s="5">
        <v>10</v>
      </c>
      <c r="AD444" s="5">
        <v>3</v>
      </c>
      <c r="AE444" s="5">
        <v>2</v>
      </c>
      <c r="AF444" s="5">
        <v>10</v>
      </c>
      <c r="AG444" s="5">
        <v>3</v>
      </c>
      <c r="AH444" s="5">
        <v>9</v>
      </c>
      <c r="AI444" s="5">
        <v>7</v>
      </c>
    </row>
    <row r="445" spans="1:35" x14ac:dyDescent="0.25">
      <c r="A445" s="5">
        <v>22</v>
      </c>
      <c r="B445" s="5" t="s">
        <v>35</v>
      </c>
      <c r="C445" s="5" t="s">
        <v>44</v>
      </c>
      <c r="D445" s="5">
        <v>1368</v>
      </c>
      <c r="E445" s="5" t="s">
        <v>45</v>
      </c>
      <c r="F445" s="5">
        <v>4</v>
      </c>
      <c r="G445" s="5">
        <v>1</v>
      </c>
      <c r="H445" s="5" t="s">
        <v>60</v>
      </c>
      <c r="I445" s="5">
        <v>1</v>
      </c>
      <c r="J445" s="5">
        <v>593</v>
      </c>
      <c r="K445" s="5">
        <v>3</v>
      </c>
      <c r="L445" s="5" t="s">
        <v>46</v>
      </c>
      <c r="M445" s="5">
        <v>99</v>
      </c>
      <c r="N445" s="5">
        <v>2</v>
      </c>
      <c r="O445" s="5">
        <v>1</v>
      </c>
      <c r="P445" s="5" t="s">
        <v>50</v>
      </c>
      <c r="Q445" s="5">
        <v>3</v>
      </c>
      <c r="R445" s="5" t="s">
        <v>41</v>
      </c>
      <c r="S445" s="5">
        <v>3894</v>
      </c>
      <c r="T445" s="5">
        <v>9129</v>
      </c>
      <c r="U445" s="5">
        <v>5</v>
      </c>
      <c r="V445" s="5" t="s">
        <v>42</v>
      </c>
      <c r="W445" s="5" t="s">
        <v>43</v>
      </c>
      <c r="X445" s="5">
        <v>16</v>
      </c>
      <c r="Y445" s="5">
        <v>3</v>
      </c>
      <c r="Z445" s="5">
        <v>3</v>
      </c>
      <c r="AA445" s="5">
        <v>80</v>
      </c>
      <c r="AB445" s="5">
        <v>0</v>
      </c>
      <c r="AC445" s="5">
        <v>4</v>
      </c>
      <c r="AD445" s="5">
        <v>3</v>
      </c>
      <c r="AE445" s="5">
        <v>3</v>
      </c>
      <c r="AF445" s="5">
        <v>2</v>
      </c>
      <c r="AG445" s="5">
        <v>2</v>
      </c>
      <c r="AH445" s="5">
        <v>1</v>
      </c>
      <c r="AI445" s="5">
        <v>2</v>
      </c>
    </row>
    <row r="446" spans="1:35" x14ac:dyDescent="0.25">
      <c r="A446" s="5">
        <v>48</v>
      </c>
      <c r="B446" s="5" t="s">
        <v>43</v>
      </c>
      <c r="C446" s="5" t="s">
        <v>36</v>
      </c>
      <c r="D446" s="5">
        <v>163</v>
      </c>
      <c r="E446" s="5" t="s">
        <v>37</v>
      </c>
      <c r="F446" s="5">
        <v>2</v>
      </c>
      <c r="G446" s="5">
        <v>5</v>
      </c>
      <c r="H446" s="5" t="s">
        <v>59</v>
      </c>
      <c r="I446" s="5">
        <v>1</v>
      </c>
      <c r="J446" s="5">
        <v>595</v>
      </c>
      <c r="K446" s="5">
        <v>2</v>
      </c>
      <c r="L446" s="5" t="s">
        <v>39</v>
      </c>
      <c r="M446" s="5">
        <v>37</v>
      </c>
      <c r="N446" s="5">
        <v>3</v>
      </c>
      <c r="O446" s="5">
        <v>2</v>
      </c>
      <c r="P446" s="5" t="s">
        <v>40</v>
      </c>
      <c r="Q446" s="5">
        <v>4</v>
      </c>
      <c r="R446" s="5" t="s">
        <v>48</v>
      </c>
      <c r="S446" s="5">
        <v>4051</v>
      </c>
      <c r="T446" s="5">
        <v>19658</v>
      </c>
      <c r="U446" s="5">
        <v>2</v>
      </c>
      <c r="V446" s="5" t="s">
        <v>42</v>
      </c>
      <c r="W446" s="5" t="s">
        <v>43</v>
      </c>
      <c r="X446" s="5">
        <v>14</v>
      </c>
      <c r="Y446" s="5">
        <v>3</v>
      </c>
      <c r="Z446" s="5">
        <v>1</v>
      </c>
      <c r="AA446" s="5">
        <v>80</v>
      </c>
      <c r="AB446" s="5">
        <v>1</v>
      </c>
      <c r="AC446" s="5">
        <v>14</v>
      </c>
      <c r="AD446" s="5">
        <v>2</v>
      </c>
      <c r="AE446" s="5">
        <v>3</v>
      </c>
      <c r="AF446" s="5">
        <v>9</v>
      </c>
      <c r="AG446" s="5">
        <v>7</v>
      </c>
      <c r="AH446" s="5">
        <v>6</v>
      </c>
      <c r="AI446" s="5">
        <v>7</v>
      </c>
    </row>
    <row r="447" spans="1:35" x14ac:dyDescent="0.25">
      <c r="A447" s="5">
        <v>55</v>
      </c>
      <c r="B447" s="5" t="s">
        <v>43</v>
      </c>
      <c r="C447" s="5" t="s">
        <v>36</v>
      </c>
      <c r="D447" s="5">
        <v>1117</v>
      </c>
      <c r="E447" s="5" t="s">
        <v>37</v>
      </c>
      <c r="F447" s="5">
        <v>18</v>
      </c>
      <c r="G447" s="5">
        <v>5</v>
      </c>
      <c r="H447" s="5" t="s">
        <v>38</v>
      </c>
      <c r="I447" s="5">
        <v>1</v>
      </c>
      <c r="J447" s="5">
        <v>597</v>
      </c>
      <c r="K447" s="5">
        <v>1</v>
      </c>
      <c r="L447" s="5" t="s">
        <v>39</v>
      </c>
      <c r="M447" s="5">
        <v>83</v>
      </c>
      <c r="N447" s="5">
        <v>3</v>
      </c>
      <c r="O447" s="5">
        <v>4</v>
      </c>
      <c r="P447" s="5" t="s">
        <v>56</v>
      </c>
      <c r="Q447" s="5">
        <v>2</v>
      </c>
      <c r="R447" s="5" t="s">
        <v>41</v>
      </c>
      <c r="S447" s="5">
        <v>16835</v>
      </c>
      <c r="T447" s="5">
        <v>9873</v>
      </c>
      <c r="U447" s="5">
        <v>3</v>
      </c>
      <c r="V447" s="5" t="s">
        <v>42</v>
      </c>
      <c r="W447" s="5" t="s">
        <v>43</v>
      </c>
      <c r="X447" s="5">
        <v>23</v>
      </c>
      <c r="Y447" s="5">
        <v>4</v>
      </c>
      <c r="Z447" s="5">
        <v>4</v>
      </c>
      <c r="AA447" s="5">
        <v>80</v>
      </c>
      <c r="AB447" s="5">
        <v>0</v>
      </c>
      <c r="AC447" s="5">
        <v>37</v>
      </c>
      <c r="AD447" s="5">
        <v>2</v>
      </c>
      <c r="AE447" s="5">
        <v>3</v>
      </c>
      <c r="AF447" s="5">
        <v>10</v>
      </c>
      <c r="AG447" s="5">
        <v>9</v>
      </c>
      <c r="AH447" s="5">
        <v>7</v>
      </c>
      <c r="AI447" s="5">
        <v>7</v>
      </c>
    </row>
    <row r="448" spans="1:35" x14ac:dyDescent="0.25">
      <c r="A448" s="5">
        <v>41</v>
      </c>
      <c r="B448" s="5" t="s">
        <v>43</v>
      </c>
      <c r="C448" s="5" t="s">
        <v>55</v>
      </c>
      <c r="D448" s="5">
        <v>267</v>
      </c>
      <c r="E448" s="5" t="s">
        <v>37</v>
      </c>
      <c r="F448" s="5">
        <v>10</v>
      </c>
      <c r="G448" s="5">
        <v>2</v>
      </c>
      <c r="H448" s="5" t="s">
        <v>38</v>
      </c>
      <c r="I448" s="5">
        <v>1</v>
      </c>
      <c r="J448" s="5">
        <v>599</v>
      </c>
      <c r="K448" s="5">
        <v>4</v>
      </c>
      <c r="L448" s="5" t="s">
        <v>46</v>
      </c>
      <c r="M448" s="5">
        <v>56</v>
      </c>
      <c r="N448" s="5">
        <v>3</v>
      </c>
      <c r="O448" s="5">
        <v>2</v>
      </c>
      <c r="P448" s="5" t="s">
        <v>40</v>
      </c>
      <c r="Q448" s="5">
        <v>4</v>
      </c>
      <c r="R448" s="5" t="s">
        <v>41</v>
      </c>
      <c r="S448" s="5">
        <v>6230</v>
      </c>
      <c r="T448" s="5">
        <v>13430</v>
      </c>
      <c r="U448" s="5">
        <v>7</v>
      </c>
      <c r="V448" s="5" t="s">
        <v>42</v>
      </c>
      <c r="W448" s="5" t="s">
        <v>43</v>
      </c>
      <c r="X448" s="5">
        <v>14</v>
      </c>
      <c r="Y448" s="5">
        <v>3</v>
      </c>
      <c r="Z448" s="5">
        <v>4</v>
      </c>
      <c r="AA448" s="5">
        <v>80</v>
      </c>
      <c r="AB448" s="5">
        <v>0</v>
      </c>
      <c r="AC448" s="5">
        <v>16</v>
      </c>
      <c r="AD448" s="5">
        <v>3</v>
      </c>
      <c r="AE448" s="5">
        <v>3</v>
      </c>
      <c r="AF448" s="5">
        <v>14</v>
      </c>
      <c r="AG448" s="5">
        <v>3</v>
      </c>
      <c r="AH448" s="5">
        <v>1</v>
      </c>
      <c r="AI448" s="5">
        <v>10</v>
      </c>
    </row>
    <row r="449" spans="1:35" x14ac:dyDescent="0.25">
      <c r="A449" s="5">
        <v>35</v>
      </c>
      <c r="B449" s="5" t="s">
        <v>43</v>
      </c>
      <c r="C449" s="5" t="s">
        <v>36</v>
      </c>
      <c r="D449" s="5">
        <v>619</v>
      </c>
      <c r="E449" s="5" t="s">
        <v>37</v>
      </c>
      <c r="F449" s="5">
        <v>1</v>
      </c>
      <c r="G449" s="5">
        <v>3</v>
      </c>
      <c r="H449" s="5" t="s">
        <v>59</v>
      </c>
      <c r="I449" s="5">
        <v>1</v>
      </c>
      <c r="J449" s="5">
        <v>600</v>
      </c>
      <c r="K449" s="5">
        <v>2</v>
      </c>
      <c r="L449" s="5" t="s">
        <v>46</v>
      </c>
      <c r="M449" s="5">
        <v>85</v>
      </c>
      <c r="N449" s="5">
        <v>3</v>
      </c>
      <c r="O449" s="5">
        <v>2</v>
      </c>
      <c r="P449" s="5" t="s">
        <v>40</v>
      </c>
      <c r="Q449" s="5">
        <v>3</v>
      </c>
      <c r="R449" s="5" t="s">
        <v>48</v>
      </c>
      <c r="S449" s="5">
        <v>4717</v>
      </c>
      <c r="T449" s="5">
        <v>18659</v>
      </c>
      <c r="U449" s="5">
        <v>9</v>
      </c>
      <c r="V449" s="5" t="s">
        <v>42</v>
      </c>
      <c r="W449" s="5" t="s">
        <v>43</v>
      </c>
      <c r="X449" s="5">
        <v>11</v>
      </c>
      <c r="Y449" s="5">
        <v>3</v>
      </c>
      <c r="Z449" s="5">
        <v>3</v>
      </c>
      <c r="AA449" s="5">
        <v>80</v>
      </c>
      <c r="AB449" s="5">
        <v>0</v>
      </c>
      <c r="AC449" s="5">
        <v>15</v>
      </c>
      <c r="AD449" s="5">
        <v>2</v>
      </c>
      <c r="AE449" s="5">
        <v>3</v>
      </c>
      <c r="AF449" s="5">
        <v>11</v>
      </c>
      <c r="AG449" s="5">
        <v>9</v>
      </c>
      <c r="AH449" s="5">
        <v>6</v>
      </c>
      <c r="AI449" s="5">
        <v>9</v>
      </c>
    </row>
    <row r="450" spans="1:35" x14ac:dyDescent="0.25">
      <c r="A450" s="5">
        <v>40</v>
      </c>
      <c r="B450" s="5" t="s">
        <v>43</v>
      </c>
      <c r="C450" s="5" t="s">
        <v>36</v>
      </c>
      <c r="D450" s="5">
        <v>302</v>
      </c>
      <c r="E450" s="5" t="s">
        <v>45</v>
      </c>
      <c r="F450" s="5">
        <v>6</v>
      </c>
      <c r="G450" s="5">
        <v>3</v>
      </c>
      <c r="H450" s="5" t="s">
        <v>38</v>
      </c>
      <c r="I450" s="5">
        <v>1</v>
      </c>
      <c r="J450" s="5">
        <v>601</v>
      </c>
      <c r="K450" s="5">
        <v>2</v>
      </c>
      <c r="L450" s="5" t="s">
        <v>39</v>
      </c>
      <c r="M450" s="5">
        <v>75</v>
      </c>
      <c r="N450" s="5">
        <v>3</v>
      </c>
      <c r="O450" s="5">
        <v>4</v>
      </c>
      <c r="P450" s="5" t="s">
        <v>53</v>
      </c>
      <c r="Q450" s="5">
        <v>3</v>
      </c>
      <c r="R450" s="5" t="s">
        <v>41</v>
      </c>
      <c r="S450" s="5">
        <v>13237</v>
      </c>
      <c r="T450" s="5">
        <v>20364</v>
      </c>
      <c r="U450" s="5">
        <v>7</v>
      </c>
      <c r="V450" s="5" t="s">
        <v>42</v>
      </c>
      <c r="W450" s="5" t="s">
        <v>43</v>
      </c>
      <c r="X450" s="5">
        <v>15</v>
      </c>
      <c r="Y450" s="5">
        <v>3</v>
      </c>
      <c r="Z450" s="5">
        <v>3</v>
      </c>
      <c r="AA450" s="5">
        <v>80</v>
      </c>
      <c r="AB450" s="5">
        <v>0</v>
      </c>
      <c r="AC450" s="5">
        <v>22</v>
      </c>
      <c r="AD450" s="5">
        <v>3</v>
      </c>
      <c r="AE450" s="5">
        <v>3</v>
      </c>
      <c r="AF450" s="5">
        <v>20</v>
      </c>
      <c r="AG450" s="5">
        <v>6</v>
      </c>
      <c r="AH450" s="5">
        <v>5</v>
      </c>
      <c r="AI450" s="5">
        <v>13</v>
      </c>
    </row>
    <row r="451" spans="1:35" x14ac:dyDescent="0.25">
      <c r="A451" s="5">
        <v>39</v>
      </c>
      <c r="B451" s="5" t="s">
        <v>43</v>
      </c>
      <c r="C451" s="5" t="s">
        <v>44</v>
      </c>
      <c r="D451" s="5">
        <v>443</v>
      </c>
      <c r="E451" s="5" t="s">
        <v>45</v>
      </c>
      <c r="F451" s="5">
        <v>8</v>
      </c>
      <c r="G451" s="5">
        <v>1</v>
      </c>
      <c r="H451" s="5" t="s">
        <v>38</v>
      </c>
      <c r="I451" s="5">
        <v>1</v>
      </c>
      <c r="J451" s="5">
        <v>602</v>
      </c>
      <c r="K451" s="5">
        <v>3</v>
      </c>
      <c r="L451" s="5" t="s">
        <v>39</v>
      </c>
      <c r="M451" s="5">
        <v>48</v>
      </c>
      <c r="N451" s="5">
        <v>3</v>
      </c>
      <c r="O451" s="5">
        <v>1</v>
      </c>
      <c r="P451" s="5" t="s">
        <v>50</v>
      </c>
      <c r="Q451" s="5">
        <v>3</v>
      </c>
      <c r="R451" s="5" t="s">
        <v>48</v>
      </c>
      <c r="S451" s="5">
        <v>3755</v>
      </c>
      <c r="T451" s="5">
        <v>17872</v>
      </c>
      <c r="U451" s="5">
        <v>1</v>
      </c>
      <c r="V451" s="5" t="s">
        <v>42</v>
      </c>
      <c r="W451" s="5" t="s">
        <v>43</v>
      </c>
      <c r="X451" s="5">
        <v>11</v>
      </c>
      <c r="Y451" s="5">
        <v>3</v>
      </c>
      <c r="Z451" s="5">
        <v>1</v>
      </c>
      <c r="AA451" s="5">
        <v>80</v>
      </c>
      <c r="AB451" s="5">
        <v>1</v>
      </c>
      <c r="AC451" s="5">
        <v>8</v>
      </c>
      <c r="AD451" s="5">
        <v>3</v>
      </c>
      <c r="AE451" s="5">
        <v>3</v>
      </c>
      <c r="AF451" s="5">
        <v>8</v>
      </c>
      <c r="AG451" s="5">
        <v>3</v>
      </c>
      <c r="AH451" s="5">
        <v>0</v>
      </c>
      <c r="AI451" s="5">
        <v>7</v>
      </c>
    </row>
    <row r="452" spans="1:35" x14ac:dyDescent="0.25">
      <c r="A452" s="5">
        <v>31</v>
      </c>
      <c r="B452" s="5" t="s">
        <v>43</v>
      </c>
      <c r="C452" s="5" t="s">
        <v>36</v>
      </c>
      <c r="D452" s="5">
        <v>828</v>
      </c>
      <c r="E452" s="5" t="s">
        <v>37</v>
      </c>
      <c r="F452" s="5">
        <v>2</v>
      </c>
      <c r="G452" s="5">
        <v>1</v>
      </c>
      <c r="H452" s="5" t="s">
        <v>38</v>
      </c>
      <c r="I452" s="5">
        <v>1</v>
      </c>
      <c r="J452" s="5">
        <v>604</v>
      </c>
      <c r="K452" s="5">
        <v>2</v>
      </c>
      <c r="L452" s="5" t="s">
        <v>46</v>
      </c>
      <c r="M452" s="5">
        <v>77</v>
      </c>
      <c r="N452" s="5">
        <v>3</v>
      </c>
      <c r="O452" s="5">
        <v>2</v>
      </c>
      <c r="P452" s="5" t="s">
        <v>40</v>
      </c>
      <c r="Q452" s="5">
        <v>4</v>
      </c>
      <c r="R452" s="5" t="s">
        <v>41</v>
      </c>
      <c r="S452" s="5">
        <v>6582</v>
      </c>
      <c r="T452" s="5">
        <v>8346</v>
      </c>
      <c r="U452" s="5">
        <v>4</v>
      </c>
      <c r="V452" s="5" t="s">
        <v>42</v>
      </c>
      <c r="W452" s="5" t="s">
        <v>35</v>
      </c>
      <c r="X452" s="5">
        <v>13</v>
      </c>
      <c r="Y452" s="5">
        <v>3</v>
      </c>
      <c r="Z452" s="5">
        <v>3</v>
      </c>
      <c r="AA452" s="5">
        <v>80</v>
      </c>
      <c r="AB452" s="5">
        <v>0</v>
      </c>
      <c r="AC452" s="5">
        <v>10</v>
      </c>
      <c r="AD452" s="5">
        <v>2</v>
      </c>
      <c r="AE452" s="5">
        <v>4</v>
      </c>
      <c r="AF452" s="5">
        <v>6</v>
      </c>
      <c r="AG452" s="5">
        <v>5</v>
      </c>
      <c r="AH452" s="5">
        <v>0</v>
      </c>
      <c r="AI452" s="5">
        <v>5</v>
      </c>
    </row>
    <row r="453" spans="1:35" x14ac:dyDescent="0.25">
      <c r="A453" s="5">
        <v>42</v>
      </c>
      <c r="B453" s="5" t="s">
        <v>43</v>
      </c>
      <c r="C453" s="5" t="s">
        <v>36</v>
      </c>
      <c r="D453" s="5">
        <v>319</v>
      </c>
      <c r="E453" s="5" t="s">
        <v>45</v>
      </c>
      <c r="F453" s="5">
        <v>24</v>
      </c>
      <c r="G453" s="5">
        <v>3</v>
      </c>
      <c r="H453" s="5" t="s">
        <v>51</v>
      </c>
      <c r="I453" s="5">
        <v>1</v>
      </c>
      <c r="J453" s="5">
        <v>605</v>
      </c>
      <c r="K453" s="5">
        <v>4</v>
      </c>
      <c r="L453" s="5" t="s">
        <v>46</v>
      </c>
      <c r="M453" s="5">
        <v>56</v>
      </c>
      <c r="N453" s="5">
        <v>3</v>
      </c>
      <c r="O453" s="5">
        <v>3</v>
      </c>
      <c r="P453" s="5" t="s">
        <v>53</v>
      </c>
      <c r="Q453" s="5">
        <v>1</v>
      </c>
      <c r="R453" s="5" t="s">
        <v>48</v>
      </c>
      <c r="S453" s="5">
        <v>7406</v>
      </c>
      <c r="T453" s="5">
        <v>6950</v>
      </c>
      <c r="U453" s="5">
        <v>1</v>
      </c>
      <c r="V453" s="5" t="s">
        <v>42</v>
      </c>
      <c r="W453" s="5" t="s">
        <v>35</v>
      </c>
      <c r="X453" s="5">
        <v>21</v>
      </c>
      <c r="Y453" s="5">
        <v>4</v>
      </c>
      <c r="Z453" s="5">
        <v>4</v>
      </c>
      <c r="AA453" s="5">
        <v>80</v>
      </c>
      <c r="AB453" s="5">
        <v>1</v>
      </c>
      <c r="AC453" s="5">
        <v>10</v>
      </c>
      <c r="AD453" s="5">
        <v>5</v>
      </c>
      <c r="AE453" s="5">
        <v>2</v>
      </c>
      <c r="AF453" s="5">
        <v>10</v>
      </c>
      <c r="AG453" s="5">
        <v>9</v>
      </c>
      <c r="AH453" s="5">
        <v>5</v>
      </c>
      <c r="AI453" s="5">
        <v>8</v>
      </c>
    </row>
    <row r="454" spans="1:35" x14ac:dyDescent="0.25">
      <c r="A454" s="5">
        <v>45</v>
      </c>
      <c r="B454" s="5" t="s">
        <v>43</v>
      </c>
      <c r="C454" s="5" t="s">
        <v>36</v>
      </c>
      <c r="D454" s="5">
        <v>561</v>
      </c>
      <c r="E454" s="5" t="s">
        <v>37</v>
      </c>
      <c r="F454" s="5">
        <v>2</v>
      </c>
      <c r="G454" s="5">
        <v>3</v>
      </c>
      <c r="H454" s="5" t="s">
        <v>49</v>
      </c>
      <c r="I454" s="5">
        <v>1</v>
      </c>
      <c r="J454" s="5">
        <v>606</v>
      </c>
      <c r="K454" s="5">
        <v>4</v>
      </c>
      <c r="L454" s="5" t="s">
        <v>46</v>
      </c>
      <c r="M454" s="5">
        <v>61</v>
      </c>
      <c r="N454" s="5">
        <v>3</v>
      </c>
      <c r="O454" s="5">
        <v>2</v>
      </c>
      <c r="P454" s="5" t="s">
        <v>40</v>
      </c>
      <c r="Q454" s="5">
        <v>2</v>
      </c>
      <c r="R454" s="5" t="s">
        <v>48</v>
      </c>
      <c r="S454" s="5">
        <v>4805</v>
      </c>
      <c r="T454" s="5">
        <v>16177</v>
      </c>
      <c r="U454" s="5">
        <v>0</v>
      </c>
      <c r="V454" s="5" t="s">
        <v>42</v>
      </c>
      <c r="W454" s="5" t="s">
        <v>43</v>
      </c>
      <c r="X454" s="5">
        <v>19</v>
      </c>
      <c r="Y454" s="5">
        <v>3</v>
      </c>
      <c r="Z454" s="5">
        <v>2</v>
      </c>
      <c r="AA454" s="5">
        <v>80</v>
      </c>
      <c r="AB454" s="5">
        <v>1</v>
      </c>
      <c r="AC454" s="5">
        <v>9</v>
      </c>
      <c r="AD454" s="5">
        <v>3</v>
      </c>
      <c r="AE454" s="5">
        <v>4</v>
      </c>
      <c r="AF454" s="5">
        <v>8</v>
      </c>
      <c r="AG454" s="5">
        <v>7</v>
      </c>
      <c r="AH454" s="5">
        <v>3</v>
      </c>
      <c r="AI454" s="5">
        <v>7</v>
      </c>
    </row>
    <row r="455" spans="1:35" x14ac:dyDescent="0.25">
      <c r="A455" s="5">
        <v>26</v>
      </c>
      <c r="B455" s="5" t="s">
        <v>35</v>
      </c>
      <c r="C455" s="5" t="s">
        <v>44</v>
      </c>
      <c r="D455" s="5">
        <v>426</v>
      </c>
      <c r="E455" s="5" t="s">
        <v>61</v>
      </c>
      <c r="F455" s="5">
        <v>17</v>
      </c>
      <c r="G455" s="5">
        <v>4</v>
      </c>
      <c r="H455" s="5" t="s">
        <v>38</v>
      </c>
      <c r="I455" s="5">
        <v>1</v>
      </c>
      <c r="J455" s="5">
        <v>608</v>
      </c>
      <c r="K455" s="5">
        <v>2</v>
      </c>
      <c r="L455" s="5" t="s">
        <v>39</v>
      </c>
      <c r="M455" s="5">
        <v>58</v>
      </c>
      <c r="N455" s="5">
        <v>3</v>
      </c>
      <c r="O455" s="5">
        <v>1</v>
      </c>
      <c r="P455" s="5" t="s">
        <v>61</v>
      </c>
      <c r="Q455" s="5">
        <v>3</v>
      </c>
      <c r="R455" s="5" t="s">
        <v>52</v>
      </c>
      <c r="S455" s="5">
        <v>2741</v>
      </c>
      <c r="T455" s="5">
        <v>22808</v>
      </c>
      <c r="U455" s="5">
        <v>0</v>
      </c>
      <c r="V455" s="5" t="s">
        <v>42</v>
      </c>
      <c r="W455" s="5" t="s">
        <v>35</v>
      </c>
      <c r="X455" s="5">
        <v>11</v>
      </c>
      <c r="Y455" s="5">
        <v>3</v>
      </c>
      <c r="Z455" s="5">
        <v>2</v>
      </c>
      <c r="AA455" s="5">
        <v>80</v>
      </c>
      <c r="AB455" s="5">
        <v>1</v>
      </c>
      <c r="AC455" s="5">
        <v>8</v>
      </c>
      <c r="AD455" s="5">
        <v>2</v>
      </c>
      <c r="AE455" s="5">
        <v>2</v>
      </c>
      <c r="AF455" s="5">
        <v>7</v>
      </c>
      <c r="AG455" s="5">
        <v>7</v>
      </c>
      <c r="AH455" s="5">
        <v>1</v>
      </c>
      <c r="AI455" s="5">
        <v>0</v>
      </c>
    </row>
    <row r="456" spans="1:35" x14ac:dyDescent="0.25">
      <c r="A456" s="5">
        <v>29</v>
      </c>
      <c r="B456" s="5" t="s">
        <v>43</v>
      </c>
      <c r="C456" s="5" t="s">
        <v>36</v>
      </c>
      <c r="D456" s="5">
        <v>232</v>
      </c>
      <c r="E456" s="5" t="s">
        <v>45</v>
      </c>
      <c r="F456" s="5">
        <v>19</v>
      </c>
      <c r="G456" s="5">
        <v>3</v>
      </c>
      <c r="H456" s="5" t="s">
        <v>60</v>
      </c>
      <c r="I456" s="5">
        <v>1</v>
      </c>
      <c r="J456" s="5">
        <v>611</v>
      </c>
      <c r="K456" s="5">
        <v>4</v>
      </c>
      <c r="L456" s="5" t="s">
        <v>46</v>
      </c>
      <c r="M456" s="5">
        <v>34</v>
      </c>
      <c r="N456" s="5">
        <v>3</v>
      </c>
      <c r="O456" s="5">
        <v>2</v>
      </c>
      <c r="P456" s="5" t="s">
        <v>53</v>
      </c>
      <c r="Q456" s="5">
        <v>4</v>
      </c>
      <c r="R456" s="5" t="s">
        <v>52</v>
      </c>
      <c r="S456" s="5">
        <v>4262</v>
      </c>
      <c r="T456" s="5">
        <v>22645</v>
      </c>
      <c r="U456" s="5">
        <v>4</v>
      </c>
      <c r="V456" s="5" t="s">
        <v>42</v>
      </c>
      <c r="W456" s="5" t="s">
        <v>43</v>
      </c>
      <c r="X456" s="5">
        <v>12</v>
      </c>
      <c r="Y456" s="5">
        <v>3</v>
      </c>
      <c r="Z456" s="5">
        <v>2</v>
      </c>
      <c r="AA456" s="5">
        <v>80</v>
      </c>
      <c r="AB456" s="5">
        <v>2</v>
      </c>
      <c r="AC456" s="5">
        <v>8</v>
      </c>
      <c r="AD456" s="5">
        <v>2</v>
      </c>
      <c r="AE456" s="5">
        <v>4</v>
      </c>
      <c r="AF456" s="5">
        <v>3</v>
      </c>
      <c r="AG456" s="5">
        <v>2</v>
      </c>
      <c r="AH456" s="5">
        <v>1</v>
      </c>
      <c r="AI456" s="5">
        <v>2</v>
      </c>
    </row>
    <row r="457" spans="1:35" x14ac:dyDescent="0.25">
      <c r="A457" s="5">
        <v>33</v>
      </c>
      <c r="B457" s="5" t="s">
        <v>43</v>
      </c>
      <c r="C457" s="5" t="s">
        <v>36</v>
      </c>
      <c r="D457" s="5">
        <v>922</v>
      </c>
      <c r="E457" s="5" t="s">
        <v>45</v>
      </c>
      <c r="F457" s="5">
        <v>1</v>
      </c>
      <c r="G457" s="5">
        <v>5</v>
      </c>
      <c r="H457" s="5" t="s">
        <v>51</v>
      </c>
      <c r="I457" s="5">
        <v>1</v>
      </c>
      <c r="J457" s="5">
        <v>612</v>
      </c>
      <c r="K457" s="5">
        <v>1</v>
      </c>
      <c r="L457" s="5" t="s">
        <v>39</v>
      </c>
      <c r="M457" s="5">
        <v>95</v>
      </c>
      <c r="N457" s="5">
        <v>4</v>
      </c>
      <c r="O457" s="5">
        <v>4</v>
      </c>
      <c r="P457" s="5" t="s">
        <v>58</v>
      </c>
      <c r="Q457" s="5">
        <v>3</v>
      </c>
      <c r="R457" s="5" t="s">
        <v>52</v>
      </c>
      <c r="S457" s="5">
        <v>16184</v>
      </c>
      <c r="T457" s="5">
        <v>22578</v>
      </c>
      <c r="U457" s="5">
        <v>4</v>
      </c>
      <c r="V457" s="5" t="s">
        <v>42</v>
      </c>
      <c r="W457" s="5" t="s">
        <v>43</v>
      </c>
      <c r="X457" s="5">
        <v>19</v>
      </c>
      <c r="Y457" s="5">
        <v>3</v>
      </c>
      <c r="Z457" s="5">
        <v>3</v>
      </c>
      <c r="AA457" s="5">
        <v>80</v>
      </c>
      <c r="AB457" s="5">
        <v>1</v>
      </c>
      <c r="AC457" s="5">
        <v>10</v>
      </c>
      <c r="AD457" s="5">
        <v>2</v>
      </c>
      <c r="AE457" s="5">
        <v>3</v>
      </c>
      <c r="AF457" s="5">
        <v>6</v>
      </c>
      <c r="AG457" s="5">
        <v>1</v>
      </c>
      <c r="AH457" s="5">
        <v>0</v>
      </c>
      <c r="AI457" s="5">
        <v>5</v>
      </c>
    </row>
    <row r="458" spans="1:35" x14ac:dyDescent="0.25">
      <c r="A458" s="5">
        <v>31</v>
      </c>
      <c r="B458" s="5" t="s">
        <v>43</v>
      </c>
      <c r="C458" s="5" t="s">
        <v>36</v>
      </c>
      <c r="D458" s="5">
        <v>688</v>
      </c>
      <c r="E458" s="5" t="s">
        <v>37</v>
      </c>
      <c r="F458" s="5">
        <v>7</v>
      </c>
      <c r="G458" s="5">
        <v>3</v>
      </c>
      <c r="H458" s="5" t="s">
        <v>38</v>
      </c>
      <c r="I458" s="5">
        <v>1</v>
      </c>
      <c r="J458" s="5">
        <v>613</v>
      </c>
      <c r="K458" s="5">
        <v>3</v>
      </c>
      <c r="L458" s="5" t="s">
        <v>46</v>
      </c>
      <c r="M458" s="5">
        <v>44</v>
      </c>
      <c r="N458" s="5">
        <v>2</v>
      </c>
      <c r="O458" s="5">
        <v>3</v>
      </c>
      <c r="P458" s="5" t="s">
        <v>56</v>
      </c>
      <c r="Q458" s="5">
        <v>4</v>
      </c>
      <c r="R458" s="5" t="s">
        <v>52</v>
      </c>
      <c r="S458" s="5">
        <v>11557</v>
      </c>
      <c r="T458" s="5">
        <v>25291</v>
      </c>
      <c r="U458" s="5">
        <v>9</v>
      </c>
      <c r="V458" s="5" t="s">
        <v>42</v>
      </c>
      <c r="W458" s="5" t="s">
        <v>43</v>
      </c>
      <c r="X458" s="5">
        <v>21</v>
      </c>
      <c r="Y458" s="5">
        <v>4</v>
      </c>
      <c r="Z458" s="5">
        <v>3</v>
      </c>
      <c r="AA458" s="5">
        <v>80</v>
      </c>
      <c r="AB458" s="5">
        <v>1</v>
      </c>
      <c r="AC458" s="5">
        <v>10</v>
      </c>
      <c r="AD458" s="5">
        <v>3</v>
      </c>
      <c r="AE458" s="5">
        <v>2</v>
      </c>
      <c r="AF458" s="5">
        <v>5</v>
      </c>
      <c r="AG458" s="5">
        <v>4</v>
      </c>
      <c r="AH458" s="5">
        <v>0</v>
      </c>
      <c r="AI458" s="5">
        <v>1</v>
      </c>
    </row>
    <row r="459" spans="1:35" x14ac:dyDescent="0.25">
      <c r="A459" s="5">
        <v>18</v>
      </c>
      <c r="B459" s="5" t="s">
        <v>35</v>
      </c>
      <c r="C459" s="5" t="s">
        <v>44</v>
      </c>
      <c r="D459" s="5">
        <v>1306</v>
      </c>
      <c r="E459" s="5" t="s">
        <v>37</v>
      </c>
      <c r="F459" s="5">
        <v>5</v>
      </c>
      <c r="G459" s="5">
        <v>3</v>
      </c>
      <c r="H459" s="5" t="s">
        <v>59</v>
      </c>
      <c r="I459" s="5">
        <v>1</v>
      </c>
      <c r="J459" s="5">
        <v>614</v>
      </c>
      <c r="K459" s="5">
        <v>2</v>
      </c>
      <c r="L459" s="5" t="s">
        <v>46</v>
      </c>
      <c r="M459" s="5">
        <v>69</v>
      </c>
      <c r="N459" s="5">
        <v>3</v>
      </c>
      <c r="O459" s="5">
        <v>1</v>
      </c>
      <c r="P459" s="5" t="s">
        <v>57</v>
      </c>
      <c r="Q459" s="5">
        <v>2</v>
      </c>
      <c r="R459" s="5" t="s">
        <v>41</v>
      </c>
      <c r="S459" s="5">
        <v>1878</v>
      </c>
      <c r="T459" s="5">
        <v>8059</v>
      </c>
      <c r="U459" s="5">
        <v>1</v>
      </c>
      <c r="V459" s="5" t="s">
        <v>42</v>
      </c>
      <c r="W459" s="5" t="s">
        <v>35</v>
      </c>
      <c r="X459" s="5">
        <v>14</v>
      </c>
      <c r="Y459" s="5">
        <v>3</v>
      </c>
      <c r="Z459" s="5">
        <v>4</v>
      </c>
      <c r="AA459" s="5">
        <v>80</v>
      </c>
      <c r="AB459" s="5">
        <v>0</v>
      </c>
      <c r="AC459" s="5">
        <v>0</v>
      </c>
      <c r="AD459" s="5">
        <v>3</v>
      </c>
      <c r="AE459" s="5">
        <v>3</v>
      </c>
      <c r="AF459" s="5">
        <v>0</v>
      </c>
      <c r="AG459" s="5">
        <v>0</v>
      </c>
      <c r="AH459" s="5">
        <v>0</v>
      </c>
      <c r="AI459" s="5">
        <v>0</v>
      </c>
    </row>
    <row r="460" spans="1:35" x14ac:dyDescent="0.25">
      <c r="A460" s="5">
        <v>40</v>
      </c>
      <c r="B460" s="5" t="s">
        <v>43</v>
      </c>
      <c r="C460" s="5" t="s">
        <v>55</v>
      </c>
      <c r="D460" s="5">
        <v>1094</v>
      </c>
      <c r="E460" s="5" t="s">
        <v>37</v>
      </c>
      <c r="F460" s="5">
        <v>28</v>
      </c>
      <c r="G460" s="5">
        <v>3</v>
      </c>
      <c r="H460" s="5" t="s">
        <v>49</v>
      </c>
      <c r="I460" s="5">
        <v>1</v>
      </c>
      <c r="J460" s="5">
        <v>615</v>
      </c>
      <c r="K460" s="5">
        <v>3</v>
      </c>
      <c r="L460" s="5" t="s">
        <v>46</v>
      </c>
      <c r="M460" s="5">
        <v>58</v>
      </c>
      <c r="N460" s="5">
        <v>1</v>
      </c>
      <c r="O460" s="5">
        <v>3</v>
      </c>
      <c r="P460" s="5" t="s">
        <v>40</v>
      </c>
      <c r="Q460" s="5">
        <v>1</v>
      </c>
      <c r="R460" s="5" t="s">
        <v>52</v>
      </c>
      <c r="S460" s="5">
        <v>10932</v>
      </c>
      <c r="T460" s="5">
        <v>11373</v>
      </c>
      <c r="U460" s="5">
        <v>3</v>
      </c>
      <c r="V460" s="5" t="s">
        <v>42</v>
      </c>
      <c r="W460" s="5" t="s">
        <v>43</v>
      </c>
      <c r="X460" s="5">
        <v>15</v>
      </c>
      <c r="Y460" s="5">
        <v>3</v>
      </c>
      <c r="Z460" s="5">
        <v>3</v>
      </c>
      <c r="AA460" s="5">
        <v>80</v>
      </c>
      <c r="AB460" s="5">
        <v>1</v>
      </c>
      <c r="AC460" s="5">
        <v>20</v>
      </c>
      <c r="AD460" s="5">
        <v>2</v>
      </c>
      <c r="AE460" s="5">
        <v>3</v>
      </c>
      <c r="AF460" s="5">
        <v>1</v>
      </c>
      <c r="AG460" s="5">
        <v>0</v>
      </c>
      <c r="AH460" s="5">
        <v>0</v>
      </c>
      <c r="AI460" s="5">
        <v>1</v>
      </c>
    </row>
    <row r="461" spans="1:35" x14ac:dyDescent="0.25">
      <c r="A461" s="5">
        <v>41</v>
      </c>
      <c r="B461" s="5" t="s">
        <v>43</v>
      </c>
      <c r="C461" s="5" t="s">
        <v>55</v>
      </c>
      <c r="D461" s="5">
        <v>509</v>
      </c>
      <c r="E461" s="5" t="s">
        <v>45</v>
      </c>
      <c r="F461" s="5">
        <v>2</v>
      </c>
      <c r="G461" s="5">
        <v>4</v>
      </c>
      <c r="H461" s="5" t="s">
        <v>49</v>
      </c>
      <c r="I461" s="5">
        <v>1</v>
      </c>
      <c r="J461" s="5">
        <v>616</v>
      </c>
      <c r="K461" s="5">
        <v>1</v>
      </c>
      <c r="L461" s="5" t="s">
        <v>39</v>
      </c>
      <c r="M461" s="5">
        <v>62</v>
      </c>
      <c r="N461" s="5">
        <v>2</v>
      </c>
      <c r="O461" s="5">
        <v>2</v>
      </c>
      <c r="P461" s="5" t="s">
        <v>54</v>
      </c>
      <c r="Q461" s="5">
        <v>3</v>
      </c>
      <c r="R461" s="5" t="s">
        <v>41</v>
      </c>
      <c r="S461" s="5">
        <v>6811</v>
      </c>
      <c r="T461" s="5">
        <v>2112</v>
      </c>
      <c r="U461" s="5">
        <v>2</v>
      </c>
      <c r="V461" s="5" t="s">
        <v>42</v>
      </c>
      <c r="W461" s="5" t="s">
        <v>35</v>
      </c>
      <c r="X461" s="5">
        <v>17</v>
      </c>
      <c r="Y461" s="5">
        <v>3</v>
      </c>
      <c r="Z461" s="5">
        <v>1</v>
      </c>
      <c r="AA461" s="5">
        <v>80</v>
      </c>
      <c r="AB461" s="5">
        <v>0</v>
      </c>
      <c r="AC461" s="5">
        <v>10</v>
      </c>
      <c r="AD461" s="5">
        <v>3</v>
      </c>
      <c r="AE461" s="5">
        <v>3</v>
      </c>
      <c r="AF461" s="5">
        <v>8</v>
      </c>
      <c r="AG461" s="5">
        <v>7</v>
      </c>
      <c r="AH461" s="5">
        <v>0</v>
      </c>
      <c r="AI461" s="5">
        <v>7</v>
      </c>
    </row>
    <row r="462" spans="1:35" x14ac:dyDescent="0.25">
      <c r="A462" s="5">
        <v>26</v>
      </c>
      <c r="B462" s="5" t="s">
        <v>43</v>
      </c>
      <c r="C462" s="5" t="s">
        <v>36</v>
      </c>
      <c r="D462" s="5">
        <v>775</v>
      </c>
      <c r="E462" s="5" t="s">
        <v>37</v>
      </c>
      <c r="F462" s="5">
        <v>29</v>
      </c>
      <c r="G462" s="5">
        <v>2</v>
      </c>
      <c r="H462" s="5" t="s">
        <v>51</v>
      </c>
      <c r="I462" s="5">
        <v>1</v>
      </c>
      <c r="J462" s="5">
        <v>618</v>
      </c>
      <c r="K462" s="5">
        <v>1</v>
      </c>
      <c r="L462" s="5" t="s">
        <v>46</v>
      </c>
      <c r="M462" s="5">
        <v>45</v>
      </c>
      <c r="N462" s="5">
        <v>3</v>
      </c>
      <c r="O462" s="5">
        <v>2</v>
      </c>
      <c r="P462" s="5" t="s">
        <v>40</v>
      </c>
      <c r="Q462" s="5">
        <v>3</v>
      </c>
      <c r="R462" s="5" t="s">
        <v>52</v>
      </c>
      <c r="S462" s="5">
        <v>4306</v>
      </c>
      <c r="T462" s="5">
        <v>4267</v>
      </c>
      <c r="U462" s="5">
        <v>5</v>
      </c>
      <c r="V462" s="5" t="s">
        <v>42</v>
      </c>
      <c r="W462" s="5" t="s">
        <v>43</v>
      </c>
      <c r="X462" s="5">
        <v>12</v>
      </c>
      <c r="Y462" s="5">
        <v>3</v>
      </c>
      <c r="Z462" s="5">
        <v>1</v>
      </c>
      <c r="AA462" s="5">
        <v>80</v>
      </c>
      <c r="AB462" s="5">
        <v>2</v>
      </c>
      <c r="AC462" s="5">
        <v>8</v>
      </c>
      <c r="AD462" s="5">
        <v>5</v>
      </c>
      <c r="AE462" s="5">
        <v>3</v>
      </c>
      <c r="AF462" s="5">
        <v>0</v>
      </c>
      <c r="AG462" s="5">
        <v>0</v>
      </c>
      <c r="AH462" s="5">
        <v>0</v>
      </c>
      <c r="AI462" s="5">
        <v>0</v>
      </c>
    </row>
    <row r="463" spans="1:35" x14ac:dyDescent="0.25">
      <c r="A463" s="5">
        <v>35</v>
      </c>
      <c r="B463" s="5" t="s">
        <v>43</v>
      </c>
      <c r="C463" s="5" t="s">
        <v>36</v>
      </c>
      <c r="D463" s="5">
        <v>195</v>
      </c>
      <c r="E463" s="5" t="s">
        <v>37</v>
      </c>
      <c r="F463" s="5">
        <v>1</v>
      </c>
      <c r="G463" s="5">
        <v>3</v>
      </c>
      <c r="H463" s="5" t="s">
        <v>51</v>
      </c>
      <c r="I463" s="5">
        <v>1</v>
      </c>
      <c r="J463" s="5">
        <v>620</v>
      </c>
      <c r="K463" s="5">
        <v>1</v>
      </c>
      <c r="L463" s="5" t="s">
        <v>39</v>
      </c>
      <c r="M463" s="5">
        <v>80</v>
      </c>
      <c r="N463" s="5">
        <v>3</v>
      </c>
      <c r="O463" s="5">
        <v>2</v>
      </c>
      <c r="P463" s="5" t="s">
        <v>40</v>
      </c>
      <c r="Q463" s="5">
        <v>3</v>
      </c>
      <c r="R463" s="5" t="s">
        <v>41</v>
      </c>
      <c r="S463" s="5">
        <v>4859</v>
      </c>
      <c r="T463" s="5">
        <v>6698</v>
      </c>
      <c r="U463" s="5">
        <v>1</v>
      </c>
      <c r="V463" s="5" t="s">
        <v>42</v>
      </c>
      <c r="W463" s="5" t="s">
        <v>43</v>
      </c>
      <c r="X463" s="5">
        <v>16</v>
      </c>
      <c r="Y463" s="5">
        <v>3</v>
      </c>
      <c r="Z463" s="5">
        <v>4</v>
      </c>
      <c r="AA463" s="5">
        <v>80</v>
      </c>
      <c r="AB463" s="5">
        <v>0</v>
      </c>
      <c r="AC463" s="5">
        <v>5</v>
      </c>
      <c r="AD463" s="5">
        <v>3</v>
      </c>
      <c r="AE463" s="5">
        <v>3</v>
      </c>
      <c r="AF463" s="5">
        <v>5</v>
      </c>
      <c r="AG463" s="5">
        <v>4</v>
      </c>
      <c r="AH463" s="5">
        <v>0</v>
      </c>
      <c r="AI463" s="5">
        <v>3</v>
      </c>
    </row>
    <row r="464" spans="1:35" x14ac:dyDescent="0.25">
      <c r="A464" s="5">
        <v>34</v>
      </c>
      <c r="B464" s="5" t="s">
        <v>43</v>
      </c>
      <c r="C464" s="5" t="s">
        <v>36</v>
      </c>
      <c r="D464" s="5">
        <v>258</v>
      </c>
      <c r="E464" s="5" t="s">
        <v>37</v>
      </c>
      <c r="F464" s="5">
        <v>21</v>
      </c>
      <c r="G464" s="5">
        <v>4</v>
      </c>
      <c r="H464" s="5" t="s">
        <v>38</v>
      </c>
      <c r="I464" s="5">
        <v>1</v>
      </c>
      <c r="J464" s="5">
        <v>621</v>
      </c>
      <c r="K464" s="5">
        <v>4</v>
      </c>
      <c r="L464" s="5" t="s">
        <v>46</v>
      </c>
      <c r="M464" s="5">
        <v>74</v>
      </c>
      <c r="N464" s="5">
        <v>4</v>
      </c>
      <c r="O464" s="5">
        <v>2</v>
      </c>
      <c r="P464" s="5" t="s">
        <v>40</v>
      </c>
      <c r="Q464" s="5">
        <v>4</v>
      </c>
      <c r="R464" s="5" t="s">
        <v>41</v>
      </c>
      <c r="S464" s="5">
        <v>5337</v>
      </c>
      <c r="T464" s="5">
        <v>19921</v>
      </c>
      <c r="U464" s="5">
        <v>1</v>
      </c>
      <c r="V464" s="5" t="s">
        <v>42</v>
      </c>
      <c r="W464" s="5" t="s">
        <v>43</v>
      </c>
      <c r="X464" s="5">
        <v>12</v>
      </c>
      <c r="Y464" s="5">
        <v>3</v>
      </c>
      <c r="Z464" s="5">
        <v>4</v>
      </c>
      <c r="AA464" s="5">
        <v>80</v>
      </c>
      <c r="AB464" s="5">
        <v>0</v>
      </c>
      <c r="AC464" s="5">
        <v>10</v>
      </c>
      <c r="AD464" s="5">
        <v>3</v>
      </c>
      <c r="AE464" s="5">
        <v>3</v>
      </c>
      <c r="AF464" s="5">
        <v>10</v>
      </c>
      <c r="AG464" s="5">
        <v>7</v>
      </c>
      <c r="AH464" s="5">
        <v>5</v>
      </c>
      <c r="AI464" s="5">
        <v>7</v>
      </c>
    </row>
    <row r="465" spans="1:35" x14ac:dyDescent="0.25">
      <c r="A465" s="5">
        <v>26</v>
      </c>
      <c r="B465" s="5" t="s">
        <v>35</v>
      </c>
      <c r="C465" s="5" t="s">
        <v>36</v>
      </c>
      <c r="D465" s="5">
        <v>471</v>
      </c>
      <c r="E465" s="5" t="s">
        <v>45</v>
      </c>
      <c r="F465" s="5">
        <v>24</v>
      </c>
      <c r="G465" s="5">
        <v>3</v>
      </c>
      <c r="H465" s="5" t="s">
        <v>60</v>
      </c>
      <c r="I465" s="5">
        <v>1</v>
      </c>
      <c r="J465" s="5">
        <v>622</v>
      </c>
      <c r="K465" s="5">
        <v>3</v>
      </c>
      <c r="L465" s="5" t="s">
        <v>46</v>
      </c>
      <c r="M465" s="5">
        <v>66</v>
      </c>
      <c r="N465" s="5">
        <v>1</v>
      </c>
      <c r="O465" s="5">
        <v>1</v>
      </c>
      <c r="P465" s="5" t="s">
        <v>50</v>
      </c>
      <c r="Q465" s="5">
        <v>4</v>
      </c>
      <c r="R465" s="5" t="s">
        <v>41</v>
      </c>
      <c r="S465" s="5">
        <v>2340</v>
      </c>
      <c r="T465" s="5">
        <v>23213</v>
      </c>
      <c r="U465" s="5">
        <v>1</v>
      </c>
      <c r="V465" s="5" t="s">
        <v>42</v>
      </c>
      <c r="W465" s="5" t="s">
        <v>35</v>
      </c>
      <c r="X465" s="5">
        <v>18</v>
      </c>
      <c r="Y465" s="5">
        <v>3</v>
      </c>
      <c r="Z465" s="5">
        <v>2</v>
      </c>
      <c r="AA465" s="5">
        <v>80</v>
      </c>
      <c r="AB465" s="5">
        <v>0</v>
      </c>
      <c r="AC465" s="5">
        <v>1</v>
      </c>
      <c r="AD465" s="5">
        <v>3</v>
      </c>
      <c r="AE465" s="5">
        <v>1</v>
      </c>
      <c r="AF465" s="5">
        <v>1</v>
      </c>
      <c r="AG465" s="5">
        <v>0</v>
      </c>
      <c r="AH465" s="5">
        <v>0</v>
      </c>
      <c r="AI465" s="5">
        <v>0</v>
      </c>
    </row>
    <row r="466" spans="1:35" x14ac:dyDescent="0.25">
      <c r="A466" s="5">
        <v>37</v>
      </c>
      <c r="B466" s="5" t="s">
        <v>43</v>
      </c>
      <c r="C466" s="5" t="s">
        <v>36</v>
      </c>
      <c r="D466" s="5">
        <v>799</v>
      </c>
      <c r="E466" s="5" t="s">
        <v>45</v>
      </c>
      <c r="F466" s="5">
        <v>1</v>
      </c>
      <c r="G466" s="5">
        <v>3</v>
      </c>
      <c r="H466" s="5" t="s">
        <v>60</v>
      </c>
      <c r="I466" s="5">
        <v>1</v>
      </c>
      <c r="J466" s="5">
        <v>623</v>
      </c>
      <c r="K466" s="5">
        <v>2</v>
      </c>
      <c r="L466" s="5" t="s">
        <v>39</v>
      </c>
      <c r="M466" s="5">
        <v>59</v>
      </c>
      <c r="N466" s="5">
        <v>3</v>
      </c>
      <c r="O466" s="5">
        <v>3</v>
      </c>
      <c r="P466" s="5" t="s">
        <v>53</v>
      </c>
      <c r="Q466" s="5">
        <v>4</v>
      </c>
      <c r="R466" s="5" t="s">
        <v>41</v>
      </c>
      <c r="S466" s="5">
        <v>7491</v>
      </c>
      <c r="T466" s="5">
        <v>23848</v>
      </c>
      <c r="U466" s="5">
        <v>4</v>
      </c>
      <c r="V466" s="5" t="s">
        <v>42</v>
      </c>
      <c r="W466" s="5" t="s">
        <v>43</v>
      </c>
      <c r="X466" s="5">
        <v>17</v>
      </c>
      <c r="Y466" s="5">
        <v>3</v>
      </c>
      <c r="Z466" s="5">
        <v>4</v>
      </c>
      <c r="AA466" s="5">
        <v>80</v>
      </c>
      <c r="AB466" s="5">
        <v>0</v>
      </c>
      <c r="AC466" s="5">
        <v>12</v>
      </c>
      <c r="AD466" s="5">
        <v>3</v>
      </c>
      <c r="AE466" s="5">
        <v>4</v>
      </c>
      <c r="AF466" s="5">
        <v>6</v>
      </c>
      <c r="AG466" s="5">
        <v>5</v>
      </c>
      <c r="AH466" s="5">
        <v>1</v>
      </c>
      <c r="AI466" s="5">
        <v>2</v>
      </c>
    </row>
    <row r="467" spans="1:35" x14ac:dyDescent="0.25">
      <c r="A467" s="5">
        <v>46</v>
      </c>
      <c r="B467" s="5" t="s">
        <v>43</v>
      </c>
      <c r="C467" s="5" t="s">
        <v>44</v>
      </c>
      <c r="D467" s="5">
        <v>1034</v>
      </c>
      <c r="E467" s="5" t="s">
        <v>45</v>
      </c>
      <c r="F467" s="5">
        <v>18</v>
      </c>
      <c r="G467" s="5">
        <v>1</v>
      </c>
      <c r="H467" s="5" t="s">
        <v>51</v>
      </c>
      <c r="I467" s="5">
        <v>1</v>
      </c>
      <c r="J467" s="5">
        <v>624</v>
      </c>
      <c r="K467" s="5">
        <v>1</v>
      </c>
      <c r="L467" s="5" t="s">
        <v>39</v>
      </c>
      <c r="M467" s="5">
        <v>86</v>
      </c>
      <c r="N467" s="5">
        <v>3</v>
      </c>
      <c r="O467" s="5">
        <v>3</v>
      </c>
      <c r="P467" s="5" t="s">
        <v>54</v>
      </c>
      <c r="Q467" s="5">
        <v>3</v>
      </c>
      <c r="R467" s="5" t="s">
        <v>48</v>
      </c>
      <c r="S467" s="5">
        <v>10527</v>
      </c>
      <c r="T467" s="5">
        <v>8984</v>
      </c>
      <c r="U467" s="5">
        <v>5</v>
      </c>
      <c r="V467" s="5" t="s">
        <v>42</v>
      </c>
      <c r="W467" s="5" t="s">
        <v>43</v>
      </c>
      <c r="X467" s="5">
        <v>11</v>
      </c>
      <c r="Y467" s="5">
        <v>3</v>
      </c>
      <c r="Z467" s="5">
        <v>4</v>
      </c>
      <c r="AA467" s="5">
        <v>80</v>
      </c>
      <c r="AB467" s="5">
        <v>0</v>
      </c>
      <c r="AC467" s="5">
        <v>28</v>
      </c>
      <c r="AD467" s="5">
        <v>3</v>
      </c>
      <c r="AE467" s="5">
        <v>2</v>
      </c>
      <c r="AF467" s="5">
        <v>2</v>
      </c>
      <c r="AG467" s="5">
        <v>2</v>
      </c>
      <c r="AH467" s="5">
        <v>1</v>
      </c>
      <c r="AI467" s="5">
        <v>2</v>
      </c>
    </row>
    <row r="468" spans="1:35" x14ac:dyDescent="0.25">
      <c r="A468" s="5">
        <v>41</v>
      </c>
      <c r="B468" s="5" t="s">
        <v>43</v>
      </c>
      <c r="C468" s="5" t="s">
        <v>36</v>
      </c>
      <c r="D468" s="5">
        <v>1276</v>
      </c>
      <c r="E468" s="5" t="s">
        <v>37</v>
      </c>
      <c r="F468" s="5">
        <v>2</v>
      </c>
      <c r="G468" s="5">
        <v>5</v>
      </c>
      <c r="H468" s="5" t="s">
        <v>38</v>
      </c>
      <c r="I468" s="5">
        <v>1</v>
      </c>
      <c r="J468" s="5">
        <v>625</v>
      </c>
      <c r="K468" s="5">
        <v>2</v>
      </c>
      <c r="L468" s="5" t="s">
        <v>39</v>
      </c>
      <c r="M468" s="5">
        <v>91</v>
      </c>
      <c r="N468" s="5">
        <v>3</v>
      </c>
      <c r="O468" s="5">
        <v>4</v>
      </c>
      <c r="P468" s="5" t="s">
        <v>56</v>
      </c>
      <c r="Q468" s="5">
        <v>1</v>
      </c>
      <c r="R468" s="5" t="s">
        <v>48</v>
      </c>
      <c r="S468" s="5">
        <v>16595</v>
      </c>
      <c r="T468" s="5">
        <v>5626</v>
      </c>
      <c r="U468" s="5">
        <v>7</v>
      </c>
      <c r="V468" s="5" t="s">
        <v>42</v>
      </c>
      <c r="W468" s="5" t="s">
        <v>43</v>
      </c>
      <c r="X468" s="5">
        <v>16</v>
      </c>
      <c r="Y468" s="5">
        <v>3</v>
      </c>
      <c r="Z468" s="5">
        <v>2</v>
      </c>
      <c r="AA468" s="5">
        <v>80</v>
      </c>
      <c r="AB468" s="5">
        <v>1</v>
      </c>
      <c r="AC468" s="5">
        <v>22</v>
      </c>
      <c r="AD468" s="5">
        <v>2</v>
      </c>
      <c r="AE468" s="5">
        <v>3</v>
      </c>
      <c r="AF468" s="5">
        <v>18</v>
      </c>
      <c r="AG468" s="5">
        <v>16</v>
      </c>
      <c r="AH468" s="5">
        <v>11</v>
      </c>
      <c r="AI468" s="5">
        <v>8</v>
      </c>
    </row>
    <row r="469" spans="1:35" x14ac:dyDescent="0.25">
      <c r="A469" s="5">
        <v>37</v>
      </c>
      <c r="B469" s="5" t="s">
        <v>43</v>
      </c>
      <c r="C469" s="5" t="s">
        <v>55</v>
      </c>
      <c r="D469" s="5">
        <v>142</v>
      </c>
      <c r="E469" s="5" t="s">
        <v>37</v>
      </c>
      <c r="F469" s="5">
        <v>9</v>
      </c>
      <c r="G469" s="5">
        <v>4</v>
      </c>
      <c r="H469" s="5" t="s">
        <v>51</v>
      </c>
      <c r="I469" s="5">
        <v>1</v>
      </c>
      <c r="J469" s="5">
        <v>626</v>
      </c>
      <c r="K469" s="5">
        <v>1</v>
      </c>
      <c r="L469" s="5" t="s">
        <v>46</v>
      </c>
      <c r="M469" s="5">
        <v>69</v>
      </c>
      <c r="N469" s="5">
        <v>3</v>
      </c>
      <c r="O469" s="5">
        <v>3</v>
      </c>
      <c r="P469" s="5" t="s">
        <v>40</v>
      </c>
      <c r="Q469" s="5">
        <v>2</v>
      </c>
      <c r="R469" s="5" t="s">
        <v>52</v>
      </c>
      <c r="S469" s="5">
        <v>8834</v>
      </c>
      <c r="T469" s="5">
        <v>24666</v>
      </c>
      <c r="U469" s="5">
        <v>1</v>
      </c>
      <c r="V469" s="5" t="s">
        <v>42</v>
      </c>
      <c r="W469" s="5" t="s">
        <v>43</v>
      </c>
      <c r="X469" s="5">
        <v>13</v>
      </c>
      <c r="Y469" s="5">
        <v>3</v>
      </c>
      <c r="Z469" s="5">
        <v>4</v>
      </c>
      <c r="AA469" s="5">
        <v>80</v>
      </c>
      <c r="AB469" s="5">
        <v>1</v>
      </c>
      <c r="AC469" s="5">
        <v>9</v>
      </c>
      <c r="AD469" s="5">
        <v>6</v>
      </c>
      <c r="AE469" s="5">
        <v>3</v>
      </c>
      <c r="AF469" s="5">
        <v>9</v>
      </c>
      <c r="AG469" s="5">
        <v>5</v>
      </c>
      <c r="AH469" s="5">
        <v>7</v>
      </c>
      <c r="AI469" s="5">
        <v>7</v>
      </c>
    </row>
    <row r="470" spans="1:35" x14ac:dyDescent="0.25">
      <c r="A470" s="5">
        <v>52</v>
      </c>
      <c r="B470" s="5" t="s">
        <v>43</v>
      </c>
      <c r="C470" s="5" t="s">
        <v>36</v>
      </c>
      <c r="D470" s="5">
        <v>956</v>
      </c>
      <c r="E470" s="5" t="s">
        <v>45</v>
      </c>
      <c r="F470" s="5">
        <v>6</v>
      </c>
      <c r="G470" s="5">
        <v>2</v>
      </c>
      <c r="H470" s="5" t="s">
        <v>60</v>
      </c>
      <c r="I470" s="5">
        <v>1</v>
      </c>
      <c r="J470" s="5">
        <v>630</v>
      </c>
      <c r="K470" s="5">
        <v>4</v>
      </c>
      <c r="L470" s="5" t="s">
        <v>46</v>
      </c>
      <c r="M470" s="5">
        <v>78</v>
      </c>
      <c r="N470" s="5">
        <v>3</v>
      </c>
      <c r="O470" s="5">
        <v>2</v>
      </c>
      <c r="P470" s="5" t="s">
        <v>47</v>
      </c>
      <c r="Q470" s="5">
        <v>1</v>
      </c>
      <c r="R470" s="5" t="s">
        <v>52</v>
      </c>
      <c r="S470" s="5">
        <v>5577</v>
      </c>
      <c r="T470" s="5">
        <v>22087</v>
      </c>
      <c r="U470" s="5">
        <v>3</v>
      </c>
      <c r="V470" s="5" t="s">
        <v>42</v>
      </c>
      <c r="W470" s="5" t="s">
        <v>35</v>
      </c>
      <c r="X470" s="5">
        <v>12</v>
      </c>
      <c r="Y470" s="5">
        <v>3</v>
      </c>
      <c r="Z470" s="5">
        <v>2</v>
      </c>
      <c r="AA470" s="5">
        <v>80</v>
      </c>
      <c r="AB470" s="5">
        <v>2</v>
      </c>
      <c r="AC470" s="5">
        <v>18</v>
      </c>
      <c r="AD470" s="5">
        <v>3</v>
      </c>
      <c r="AE470" s="5">
        <v>3</v>
      </c>
      <c r="AF470" s="5">
        <v>10</v>
      </c>
      <c r="AG470" s="5">
        <v>9</v>
      </c>
      <c r="AH470" s="5">
        <v>6</v>
      </c>
      <c r="AI470" s="5">
        <v>9</v>
      </c>
    </row>
    <row r="471" spans="1:35" x14ac:dyDescent="0.25">
      <c r="A471" s="5">
        <v>32</v>
      </c>
      <c r="B471" s="5" t="s">
        <v>35</v>
      </c>
      <c r="C471" s="5" t="s">
        <v>55</v>
      </c>
      <c r="D471" s="5">
        <v>1474</v>
      </c>
      <c r="E471" s="5" t="s">
        <v>37</v>
      </c>
      <c r="F471" s="5">
        <v>11</v>
      </c>
      <c r="G471" s="5">
        <v>4</v>
      </c>
      <c r="H471" s="5" t="s">
        <v>49</v>
      </c>
      <c r="I471" s="5">
        <v>1</v>
      </c>
      <c r="J471" s="5">
        <v>631</v>
      </c>
      <c r="K471" s="5">
        <v>4</v>
      </c>
      <c r="L471" s="5" t="s">
        <v>46</v>
      </c>
      <c r="M471" s="5">
        <v>60</v>
      </c>
      <c r="N471" s="5">
        <v>4</v>
      </c>
      <c r="O471" s="5">
        <v>2</v>
      </c>
      <c r="P471" s="5" t="s">
        <v>40</v>
      </c>
      <c r="Q471" s="5">
        <v>3</v>
      </c>
      <c r="R471" s="5" t="s">
        <v>48</v>
      </c>
      <c r="S471" s="5">
        <v>4707</v>
      </c>
      <c r="T471" s="5">
        <v>23914</v>
      </c>
      <c r="U471" s="5">
        <v>8</v>
      </c>
      <c r="V471" s="5" t="s">
        <v>42</v>
      </c>
      <c r="W471" s="5" t="s">
        <v>43</v>
      </c>
      <c r="X471" s="5">
        <v>12</v>
      </c>
      <c r="Y471" s="5">
        <v>3</v>
      </c>
      <c r="Z471" s="5">
        <v>4</v>
      </c>
      <c r="AA471" s="5">
        <v>80</v>
      </c>
      <c r="AB471" s="5">
        <v>0</v>
      </c>
      <c r="AC471" s="5">
        <v>6</v>
      </c>
      <c r="AD471" s="5">
        <v>2</v>
      </c>
      <c r="AE471" s="5">
        <v>3</v>
      </c>
      <c r="AF471" s="5">
        <v>4</v>
      </c>
      <c r="AG471" s="5">
        <v>2</v>
      </c>
      <c r="AH471" s="5">
        <v>1</v>
      </c>
      <c r="AI471" s="5">
        <v>2</v>
      </c>
    </row>
    <row r="472" spans="1:35" x14ac:dyDescent="0.25">
      <c r="A472" s="5">
        <v>24</v>
      </c>
      <c r="B472" s="5" t="s">
        <v>43</v>
      </c>
      <c r="C472" s="5" t="s">
        <v>44</v>
      </c>
      <c r="D472" s="5">
        <v>535</v>
      </c>
      <c r="E472" s="5" t="s">
        <v>37</v>
      </c>
      <c r="F472" s="5">
        <v>24</v>
      </c>
      <c r="G472" s="5">
        <v>3</v>
      </c>
      <c r="H472" s="5" t="s">
        <v>51</v>
      </c>
      <c r="I472" s="5">
        <v>1</v>
      </c>
      <c r="J472" s="5">
        <v>632</v>
      </c>
      <c r="K472" s="5">
        <v>4</v>
      </c>
      <c r="L472" s="5" t="s">
        <v>46</v>
      </c>
      <c r="M472" s="5">
        <v>38</v>
      </c>
      <c r="N472" s="5">
        <v>3</v>
      </c>
      <c r="O472" s="5">
        <v>1</v>
      </c>
      <c r="P472" s="5" t="s">
        <v>57</v>
      </c>
      <c r="Q472" s="5">
        <v>4</v>
      </c>
      <c r="R472" s="5" t="s">
        <v>48</v>
      </c>
      <c r="S472" s="5">
        <v>2400</v>
      </c>
      <c r="T472" s="5">
        <v>5530</v>
      </c>
      <c r="U472" s="5">
        <v>0</v>
      </c>
      <c r="V472" s="5" t="s">
        <v>42</v>
      </c>
      <c r="W472" s="5" t="s">
        <v>43</v>
      </c>
      <c r="X472" s="5">
        <v>13</v>
      </c>
      <c r="Y472" s="5">
        <v>3</v>
      </c>
      <c r="Z472" s="5">
        <v>3</v>
      </c>
      <c r="AA472" s="5">
        <v>80</v>
      </c>
      <c r="AB472" s="5">
        <v>2</v>
      </c>
      <c r="AC472" s="5">
        <v>3</v>
      </c>
      <c r="AD472" s="5">
        <v>3</v>
      </c>
      <c r="AE472" s="5">
        <v>3</v>
      </c>
      <c r="AF472" s="5">
        <v>2</v>
      </c>
      <c r="AG472" s="5">
        <v>2</v>
      </c>
      <c r="AH472" s="5">
        <v>2</v>
      </c>
      <c r="AI472" s="5">
        <v>1</v>
      </c>
    </row>
    <row r="473" spans="1:35" x14ac:dyDescent="0.25">
      <c r="A473" s="5">
        <v>38</v>
      </c>
      <c r="B473" s="5" t="s">
        <v>43</v>
      </c>
      <c r="C473" s="5" t="s">
        <v>36</v>
      </c>
      <c r="D473" s="5">
        <v>1495</v>
      </c>
      <c r="E473" s="5" t="s">
        <v>45</v>
      </c>
      <c r="F473" s="5">
        <v>10</v>
      </c>
      <c r="G473" s="5">
        <v>3</v>
      </c>
      <c r="H473" s="5" t="s">
        <v>51</v>
      </c>
      <c r="I473" s="5">
        <v>1</v>
      </c>
      <c r="J473" s="5">
        <v>634</v>
      </c>
      <c r="K473" s="5">
        <v>3</v>
      </c>
      <c r="L473" s="5" t="s">
        <v>39</v>
      </c>
      <c r="M473" s="5">
        <v>76</v>
      </c>
      <c r="N473" s="5">
        <v>3</v>
      </c>
      <c r="O473" s="5">
        <v>2</v>
      </c>
      <c r="P473" s="5" t="s">
        <v>54</v>
      </c>
      <c r="Q473" s="5">
        <v>3</v>
      </c>
      <c r="R473" s="5" t="s">
        <v>48</v>
      </c>
      <c r="S473" s="5">
        <v>9824</v>
      </c>
      <c r="T473" s="5">
        <v>22174</v>
      </c>
      <c r="U473" s="5">
        <v>3</v>
      </c>
      <c r="V473" s="5" t="s">
        <v>42</v>
      </c>
      <c r="W473" s="5" t="s">
        <v>43</v>
      </c>
      <c r="X473" s="5">
        <v>19</v>
      </c>
      <c r="Y473" s="5">
        <v>3</v>
      </c>
      <c r="Z473" s="5">
        <v>3</v>
      </c>
      <c r="AA473" s="5">
        <v>80</v>
      </c>
      <c r="AB473" s="5">
        <v>1</v>
      </c>
      <c r="AC473" s="5">
        <v>18</v>
      </c>
      <c r="AD473" s="5">
        <v>4</v>
      </c>
      <c r="AE473" s="5">
        <v>3</v>
      </c>
      <c r="AF473" s="5">
        <v>1</v>
      </c>
      <c r="AG473" s="5">
        <v>0</v>
      </c>
      <c r="AH473" s="5">
        <v>0</v>
      </c>
      <c r="AI473" s="5">
        <v>0</v>
      </c>
    </row>
    <row r="474" spans="1:35" x14ac:dyDescent="0.25">
      <c r="A474" s="5">
        <v>37</v>
      </c>
      <c r="B474" s="5" t="s">
        <v>43</v>
      </c>
      <c r="C474" s="5" t="s">
        <v>36</v>
      </c>
      <c r="D474" s="5">
        <v>446</v>
      </c>
      <c r="E474" s="5" t="s">
        <v>45</v>
      </c>
      <c r="F474" s="5">
        <v>1</v>
      </c>
      <c r="G474" s="5">
        <v>4</v>
      </c>
      <c r="H474" s="5" t="s">
        <v>38</v>
      </c>
      <c r="I474" s="5">
        <v>1</v>
      </c>
      <c r="J474" s="5">
        <v>635</v>
      </c>
      <c r="K474" s="5">
        <v>2</v>
      </c>
      <c r="L474" s="5" t="s">
        <v>39</v>
      </c>
      <c r="M474" s="5">
        <v>65</v>
      </c>
      <c r="N474" s="5">
        <v>3</v>
      </c>
      <c r="O474" s="5">
        <v>2</v>
      </c>
      <c r="P474" s="5" t="s">
        <v>53</v>
      </c>
      <c r="Q474" s="5">
        <v>2</v>
      </c>
      <c r="R474" s="5" t="s">
        <v>48</v>
      </c>
      <c r="S474" s="5">
        <v>6447</v>
      </c>
      <c r="T474" s="5">
        <v>15701</v>
      </c>
      <c r="U474" s="5">
        <v>6</v>
      </c>
      <c r="V474" s="5" t="s">
        <v>42</v>
      </c>
      <c r="W474" s="5" t="s">
        <v>43</v>
      </c>
      <c r="X474" s="5">
        <v>12</v>
      </c>
      <c r="Y474" s="5">
        <v>3</v>
      </c>
      <c r="Z474" s="5">
        <v>2</v>
      </c>
      <c r="AA474" s="5">
        <v>80</v>
      </c>
      <c r="AB474" s="5">
        <v>1</v>
      </c>
      <c r="AC474" s="5">
        <v>8</v>
      </c>
      <c r="AD474" s="5">
        <v>2</v>
      </c>
      <c r="AE474" s="5">
        <v>2</v>
      </c>
      <c r="AF474" s="5">
        <v>6</v>
      </c>
      <c r="AG474" s="5">
        <v>5</v>
      </c>
      <c r="AH474" s="5">
        <v>4</v>
      </c>
      <c r="AI474" s="5">
        <v>3</v>
      </c>
    </row>
    <row r="475" spans="1:35" x14ac:dyDescent="0.25">
      <c r="A475" s="5">
        <v>49</v>
      </c>
      <c r="B475" s="5" t="s">
        <v>43</v>
      </c>
      <c r="C475" s="5" t="s">
        <v>36</v>
      </c>
      <c r="D475" s="5">
        <v>1245</v>
      </c>
      <c r="E475" s="5" t="s">
        <v>45</v>
      </c>
      <c r="F475" s="5">
        <v>18</v>
      </c>
      <c r="G475" s="5">
        <v>4</v>
      </c>
      <c r="H475" s="5" t="s">
        <v>38</v>
      </c>
      <c r="I475" s="5">
        <v>1</v>
      </c>
      <c r="J475" s="5">
        <v>638</v>
      </c>
      <c r="K475" s="5">
        <v>4</v>
      </c>
      <c r="L475" s="5" t="s">
        <v>46</v>
      </c>
      <c r="M475" s="5">
        <v>58</v>
      </c>
      <c r="N475" s="5">
        <v>2</v>
      </c>
      <c r="O475" s="5">
        <v>5</v>
      </c>
      <c r="P475" s="5" t="s">
        <v>58</v>
      </c>
      <c r="Q475" s="5">
        <v>3</v>
      </c>
      <c r="R475" s="5" t="s">
        <v>52</v>
      </c>
      <c r="S475" s="5">
        <v>19502</v>
      </c>
      <c r="T475" s="5">
        <v>2125</v>
      </c>
      <c r="U475" s="5">
        <v>1</v>
      </c>
      <c r="V475" s="5" t="s">
        <v>42</v>
      </c>
      <c r="W475" s="5" t="s">
        <v>35</v>
      </c>
      <c r="X475" s="5">
        <v>17</v>
      </c>
      <c r="Y475" s="5">
        <v>3</v>
      </c>
      <c r="Z475" s="5">
        <v>3</v>
      </c>
      <c r="AA475" s="5">
        <v>80</v>
      </c>
      <c r="AB475" s="5">
        <v>1</v>
      </c>
      <c r="AC475" s="5">
        <v>31</v>
      </c>
      <c r="AD475" s="5">
        <v>5</v>
      </c>
      <c r="AE475" s="5">
        <v>3</v>
      </c>
      <c r="AF475" s="5">
        <v>31</v>
      </c>
      <c r="AG475" s="5">
        <v>9</v>
      </c>
      <c r="AH475" s="5">
        <v>0</v>
      </c>
      <c r="AI475" s="5">
        <v>9</v>
      </c>
    </row>
    <row r="476" spans="1:35" x14ac:dyDescent="0.25">
      <c r="A476" s="5">
        <v>24</v>
      </c>
      <c r="B476" s="5" t="s">
        <v>43</v>
      </c>
      <c r="C476" s="5" t="s">
        <v>36</v>
      </c>
      <c r="D476" s="5">
        <v>691</v>
      </c>
      <c r="E476" s="5" t="s">
        <v>45</v>
      </c>
      <c r="F476" s="5">
        <v>23</v>
      </c>
      <c r="G476" s="5">
        <v>3</v>
      </c>
      <c r="H476" s="5" t="s">
        <v>51</v>
      </c>
      <c r="I476" s="5">
        <v>1</v>
      </c>
      <c r="J476" s="5">
        <v>639</v>
      </c>
      <c r="K476" s="5">
        <v>2</v>
      </c>
      <c r="L476" s="5" t="s">
        <v>46</v>
      </c>
      <c r="M476" s="5">
        <v>89</v>
      </c>
      <c r="N476" s="5">
        <v>4</v>
      </c>
      <c r="O476" s="5">
        <v>1</v>
      </c>
      <c r="P476" s="5" t="s">
        <v>47</v>
      </c>
      <c r="Q476" s="5">
        <v>4</v>
      </c>
      <c r="R476" s="5" t="s">
        <v>48</v>
      </c>
      <c r="S476" s="5">
        <v>2725</v>
      </c>
      <c r="T476" s="5">
        <v>21630</v>
      </c>
      <c r="U476" s="5">
        <v>1</v>
      </c>
      <c r="V476" s="5" t="s">
        <v>42</v>
      </c>
      <c r="W476" s="5" t="s">
        <v>35</v>
      </c>
      <c r="X476" s="5">
        <v>11</v>
      </c>
      <c r="Y476" s="5">
        <v>3</v>
      </c>
      <c r="Z476" s="5">
        <v>2</v>
      </c>
      <c r="AA476" s="5">
        <v>80</v>
      </c>
      <c r="AB476" s="5">
        <v>2</v>
      </c>
      <c r="AC476" s="5">
        <v>6</v>
      </c>
      <c r="AD476" s="5">
        <v>3</v>
      </c>
      <c r="AE476" s="5">
        <v>3</v>
      </c>
      <c r="AF476" s="5">
        <v>6</v>
      </c>
      <c r="AG476" s="5">
        <v>5</v>
      </c>
      <c r="AH476" s="5">
        <v>1</v>
      </c>
      <c r="AI476" s="5">
        <v>4</v>
      </c>
    </row>
    <row r="477" spans="1:35" x14ac:dyDescent="0.25">
      <c r="A477" s="5">
        <v>26</v>
      </c>
      <c r="B477" s="5" t="s">
        <v>43</v>
      </c>
      <c r="C477" s="5" t="s">
        <v>36</v>
      </c>
      <c r="D477" s="5">
        <v>703</v>
      </c>
      <c r="E477" s="5" t="s">
        <v>37</v>
      </c>
      <c r="F477" s="5">
        <v>28</v>
      </c>
      <c r="G477" s="5">
        <v>2</v>
      </c>
      <c r="H477" s="5" t="s">
        <v>59</v>
      </c>
      <c r="I477" s="5">
        <v>1</v>
      </c>
      <c r="J477" s="5">
        <v>641</v>
      </c>
      <c r="K477" s="5">
        <v>1</v>
      </c>
      <c r="L477" s="5" t="s">
        <v>46</v>
      </c>
      <c r="M477" s="5">
        <v>66</v>
      </c>
      <c r="N477" s="5">
        <v>3</v>
      </c>
      <c r="O477" s="5">
        <v>2</v>
      </c>
      <c r="P477" s="5" t="s">
        <v>40</v>
      </c>
      <c r="Q477" s="5">
        <v>2</v>
      </c>
      <c r="R477" s="5" t="s">
        <v>48</v>
      </c>
      <c r="S477" s="5">
        <v>6272</v>
      </c>
      <c r="T477" s="5">
        <v>7428</v>
      </c>
      <c r="U477" s="5">
        <v>1</v>
      </c>
      <c r="V477" s="5" t="s">
        <v>42</v>
      </c>
      <c r="W477" s="5" t="s">
        <v>43</v>
      </c>
      <c r="X477" s="5">
        <v>20</v>
      </c>
      <c r="Y477" s="5">
        <v>4</v>
      </c>
      <c r="Z477" s="5">
        <v>4</v>
      </c>
      <c r="AA477" s="5">
        <v>80</v>
      </c>
      <c r="AB477" s="5">
        <v>2</v>
      </c>
      <c r="AC477" s="5">
        <v>6</v>
      </c>
      <c r="AD477" s="5">
        <v>5</v>
      </c>
      <c r="AE477" s="5">
        <v>4</v>
      </c>
      <c r="AF477" s="5">
        <v>5</v>
      </c>
      <c r="AG477" s="5">
        <v>3</v>
      </c>
      <c r="AH477" s="5">
        <v>1</v>
      </c>
      <c r="AI477" s="5">
        <v>4</v>
      </c>
    </row>
    <row r="478" spans="1:35" x14ac:dyDescent="0.25">
      <c r="A478" s="5">
        <v>24</v>
      </c>
      <c r="B478" s="5" t="s">
        <v>43</v>
      </c>
      <c r="C478" s="5" t="s">
        <v>36</v>
      </c>
      <c r="D478" s="5">
        <v>823</v>
      </c>
      <c r="E478" s="5" t="s">
        <v>45</v>
      </c>
      <c r="F478" s="5">
        <v>17</v>
      </c>
      <c r="G478" s="5">
        <v>2</v>
      </c>
      <c r="H478" s="5" t="s">
        <v>49</v>
      </c>
      <c r="I478" s="5">
        <v>1</v>
      </c>
      <c r="J478" s="5">
        <v>643</v>
      </c>
      <c r="K478" s="5">
        <v>4</v>
      </c>
      <c r="L478" s="5" t="s">
        <v>46</v>
      </c>
      <c r="M478" s="5">
        <v>94</v>
      </c>
      <c r="N478" s="5">
        <v>2</v>
      </c>
      <c r="O478" s="5">
        <v>1</v>
      </c>
      <c r="P478" s="5" t="s">
        <v>50</v>
      </c>
      <c r="Q478" s="5">
        <v>2</v>
      </c>
      <c r="R478" s="5" t="s">
        <v>48</v>
      </c>
      <c r="S478" s="5">
        <v>2127</v>
      </c>
      <c r="T478" s="5">
        <v>9100</v>
      </c>
      <c r="U478" s="5">
        <v>1</v>
      </c>
      <c r="V478" s="5" t="s">
        <v>42</v>
      </c>
      <c r="W478" s="5" t="s">
        <v>43</v>
      </c>
      <c r="X478" s="5">
        <v>21</v>
      </c>
      <c r="Y478" s="5">
        <v>4</v>
      </c>
      <c r="Z478" s="5">
        <v>4</v>
      </c>
      <c r="AA478" s="5">
        <v>80</v>
      </c>
      <c r="AB478" s="5">
        <v>1</v>
      </c>
      <c r="AC478" s="5">
        <v>1</v>
      </c>
      <c r="AD478" s="5">
        <v>2</v>
      </c>
      <c r="AE478" s="5">
        <v>3</v>
      </c>
      <c r="AF478" s="5">
        <v>1</v>
      </c>
      <c r="AG478" s="5">
        <v>0</v>
      </c>
      <c r="AH478" s="5">
        <v>0</v>
      </c>
      <c r="AI478" s="5">
        <v>0</v>
      </c>
    </row>
    <row r="479" spans="1:35" x14ac:dyDescent="0.25">
      <c r="A479" s="5">
        <v>50</v>
      </c>
      <c r="B479" s="5" t="s">
        <v>43</v>
      </c>
      <c r="C479" s="5" t="s">
        <v>44</v>
      </c>
      <c r="D479" s="5">
        <v>1246</v>
      </c>
      <c r="E479" s="5" t="s">
        <v>61</v>
      </c>
      <c r="F479" s="5">
        <v>3</v>
      </c>
      <c r="G479" s="5">
        <v>3</v>
      </c>
      <c r="H479" s="5" t="s">
        <v>51</v>
      </c>
      <c r="I479" s="5">
        <v>1</v>
      </c>
      <c r="J479" s="5">
        <v>644</v>
      </c>
      <c r="K479" s="5">
        <v>1</v>
      </c>
      <c r="L479" s="5" t="s">
        <v>46</v>
      </c>
      <c r="M479" s="5">
        <v>99</v>
      </c>
      <c r="N479" s="5">
        <v>3</v>
      </c>
      <c r="O479" s="5">
        <v>5</v>
      </c>
      <c r="P479" s="5" t="s">
        <v>56</v>
      </c>
      <c r="Q479" s="5">
        <v>2</v>
      </c>
      <c r="R479" s="5" t="s">
        <v>48</v>
      </c>
      <c r="S479" s="5">
        <v>18200</v>
      </c>
      <c r="T479" s="5">
        <v>7999</v>
      </c>
      <c r="U479" s="5">
        <v>1</v>
      </c>
      <c r="V479" s="5" t="s">
        <v>42</v>
      </c>
      <c r="W479" s="5" t="s">
        <v>43</v>
      </c>
      <c r="X479" s="5">
        <v>11</v>
      </c>
      <c r="Y479" s="5">
        <v>3</v>
      </c>
      <c r="Z479" s="5">
        <v>3</v>
      </c>
      <c r="AA479" s="5">
        <v>80</v>
      </c>
      <c r="AB479" s="5">
        <v>1</v>
      </c>
      <c r="AC479" s="5">
        <v>32</v>
      </c>
      <c r="AD479" s="5">
        <v>2</v>
      </c>
      <c r="AE479" s="5">
        <v>3</v>
      </c>
      <c r="AF479" s="5">
        <v>32</v>
      </c>
      <c r="AG479" s="5">
        <v>5</v>
      </c>
      <c r="AH479" s="5">
        <v>10</v>
      </c>
      <c r="AI479" s="5">
        <v>7</v>
      </c>
    </row>
    <row r="480" spans="1:35" x14ac:dyDescent="0.25">
      <c r="A480" s="5">
        <v>25</v>
      </c>
      <c r="B480" s="5" t="s">
        <v>43</v>
      </c>
      <c r="C480" s="5" t="s">
        <v>36</v>
      </c>
      <c r="D480" s="5">
        <v>622</v>
      </c>
      <c r="E480" s="5" t="s">
        <v>37</v>
      </c>
      <c r="F480" s="5">
        <v>13</v>
      </c>
      <c r="G480" s="5">
        <v>1</v>
      </c>
      <c r="H480" s="5" t="s">
        <v>51</v>
      </c>
      <c r="I480" s="5">
        <v>1</v>
      </c>
      <c r="J480" s="5">
        <v>645</v>
      </c>
      <c r="K480" s="5">
        <v>2</v>
      </c>
      <c r="L480" s="5" t="s">
        <v>46</v>
      </c>
      <c r="M480" s="5">
        <v>40</v>
      </c>
      <c r="N480" s="5">
        <v>3</v>
      </c>
      <c r="O480" s="5">
        <v>1</v>
      </c>
      <c r="P480" s="5" t="s">
        <v>57</v>
      </c>
      <c r="Q480" s="5">
        <v>3</v>
      </c>
      <c r="R480" s="5" t="s">
        <v>48</v>
      </c>
      <c r="S480" s="5">
        <v>2096</v>
      </c>
      <c r="T480" s="5">
        <v>26376</v>
      </c>
      <c r="U480" s="5">
        <v>1</v>
      </c>
      <c r="V480" s="5" t="s">
        <v>42</v>
      </c>
      <c r="W480" s="5" t="s">
        <v>43</v>
      </c>
      <c r="X480" s="5">
        <v>11</v>
      </c>
      <c r="Y480" s="5">
        <v>3</v>
      </c>
      <c r="Z480" s="5">
        <v>3</v>
      </c>
      <c r="AA480" s="5">
        <v>80</v>
      </c>
      <c r="AB480" s="5">
        <v>0</v>
      </c>
      <c r="AC480" s="5">
        <v>7</v>
      </c>
      <c r="AD480" s="5">
        <v>1</v>
      </c>
      <c r="AE480" s="5">
        <v>3</v>
      </c>
      <c r="AF480" s="5">
        <v>7</v>
      </c>
      <c r="AG480" s="5">
        <v>4</v>
      </c>
      <c r="AH480" s="5">
        <v>0</v>
      </c>
      <c r="AI480" s="5">
        <v>6</v>
      </c>
    </row>
    <row r="481" spans="1:35" x14ac:dyDescent="0.25">
      <c r="A481" s="5">
        <v>24</v>
      </c>
      <c r="B481" s="5" t="s">
        <v>35</v>
      </c>
      <c r="C481" s="5" t="s">
        <v>44</v>
      </c>
      <c r="D481" s="5">
        <v>1287</v>
      </c>
      <c r="E481" s="5" t="s">
        <v>45</v>
      </c>
      <c r="F481" s="5">
        <v>7</v>
      </c>
      <c r="G481" s="5">
        <v>3</v>
      </c>
      <c r="H481" s="5" t="s">
        <v>38</v>
      </c>
      <c r="I481" s="5">
        <v>1</v>
      </c>
      <c r="J481" s="5">
        <v>647</v>
      </c>
      <c r="K481" s="5">
        <v>1</v>
      </c>
      <c r="L481" s="5" t="s">
        <v>39</v>
      </c>
      <c r="M481" s="5">
        <v>55</v>
      </c>
      <c r="N481" s="5">
        <v>3</v>
      </c>
      <c r="O481" s="5">
        <v>1</v>
      </c>
      <c r="P481" s="5" t="s">
        <v>50</v>
      </c>
      <c r="Q481" s="5">
        <v>3</v>
      </c>
      <c r="R481" s="5" t="s">
        <v>48</v>
      </c>
      <c r="S481" s="5">
        <v>2886</v>
      </c>
      <c r="T481" s="5">
        <v>14168</v>
      </c>
      <c r="U481" s="5">
        <v>1</v>
      </c>
      <c r="V481" s="5" t="s">
        <v>42</v>
      </c>
      <c r="W481" s="5" t="s">
        <v>35</v>
      </c>
      <c r="X481" s="5">
        <v>16</v>
      </c>
      <c r="Y481" s="5">
        <v>3</v>
      </c>
      <c r="Z481" s="5">
        <v>4</v>
      </c>
      <c r="AA481" s="5">
        <v>80</v>
      </c>
      <c r="AB481" s="5">
        <v>1</v>
      </c>
      <c r="AC481" s="5">
        <v>6</v>
      </c>
      <c r="AD481" s="5">
        <v>4</v>
      </c>
      <c r="AE481" s="5">
        <v>3</v>
      </c>
      <c r="AF481" s="5">
        <v>6</v>
      </c>
      <c r="AG481" s="5">
        <v>3</v>
      </c>
      <c r="AH481" s="5">
        <v>1</v>
      </c>
      <c r="AI481" s="5">
        <v>2</v>
      </c>
    </row>
    <row r="482" spans="1:35" x14ac:dyDescent="0.25">
      <c r="A482" s="5">
        <v>30</v>
      </c>
      <c r="B482" s="5" t="s">
        <v>35</v>
      </c>
      <c r="C482" s="5" t="s">
        <v>44</v>
      </c>
      <c r="D482" s="5">
        <v>448</v>
      </c>
      <c r="E482" s="5" t="s">
        <v>37</v>
      </c>
      <c r="F482" s="5">
        <v>12</v>
      </c>
      <c r="G482" s="5">
        <v>4</v>
      </c>
      <c r="H482" s="5" t="s">
        <v>38</v>
      </c>
      <c r="I482" s="5">
        <v>1</v>
      </c>
      <c r="J482" s="5">
        <v>648</v>
      </c>
      <c r="K482" s="5">
        <v>2</v>
      </c>
      <c r="L482" s="5" t="s">
        <v>46</v>
      </c>
      <c r="M482" s="5">
        <v>74</v>
      </c>
      <c r="N482" s="5">
        <v>2</v>
      </c>
      <c r="O482" s="5">
        <v>1</v>
      </c>
      <c r="P482" s="5" t="s">
        <v>57</v>
      </c>
      <c r="Q482" s="5">
        <v>1</v>
      </c>
      <c r="R482" s="5" t="s">
        <v>48</v>
      </c>
      <c r="S482" s="5">
        <v>2033</v>
      </c>
      <c r="T482" s="5">
        <v>14470</v>
      </c>
      <c r="U482" s="5">
        <v>1</v>
      </c>
      <c r="V482" s="5" t="s">
        <v>42</v>
      </c>
      <c r="W482" s="5" t="s">
        <v>43</v>
      </c>
      <c r="X482" s="5">
        <v>18</v>
      </c>
      <c r="Y482" s="5">
        <v>3</v>
      </c>
      <c r="Z482" s="5">
        <v>3</v>
      </c>
      <c r="AA482" s="5">
        <v>80</v>
      </c>
      <c r="AB482" s="5">
        <v>1</v>
      </c>
      <c r="AC482" s="5">
        <v>1</v>
      </c>
      <c r="AD482" s="5">
        <v>2</v>
      </c>
      <c r="AE482" s="5">
        <v>4</v>
      </c>
      <c r="AF482" s="5">
        <v>1</v>
      </c>
      <c r="AG482" s="5">
        <v>0</v>
      </c>
      <c r="AH482" s="5">
        <v>0</v>
      </c>
      <c r="AI482" s="5">
        <v>0</v>
      </c>
    </row>
    <row r="483" spans="1:35" x14ac:dyDescent="0.25">
      <c r="A483" s="5">
        <v>34</v>
      </c>
      <c r="B483" s="5" t="s">
        <v>43</v>
      </c>
      <c r="C483" s="5" t="s">
        <v>36</v>
      </c>
      <c r="D483" s="5">
        <v>254</v>
      </c>
      <c r="E483" s="5" t="s">
        <v>45</v>
      </c>
      <c r="F483" s="5">
        <v>1</v>
      </c>
      <c r="G483" s="5">
        <v>2</v>
      </c>
      <c r="H483" s="5" t="s">
        <v>38</v>
      </c>
      <c r="I483" s="5">
        <v>1</v>
      </c>
      <c r="J483" s="5">
        <v>649</v>
      </c>
      <c r="K483" s="5">
        <v>2</v>
      </c>
      <c r="L483" s="5" t="s">
        <v>46</v>
      </c>
      <c r="M483" s="5">
        <v>83</v>
      </c>
      <c r="N483" s="5">
        <v>2</v>
      </c>
      <c r="O483" s="5">
        <v>1</v>
      </c>
      <c r="P483" s="5" t="s">
        <v>47</v>
      </c>
      <c r="Q483" s="5">
        <v>4</v>
      </c>
      <c r="R483" s="5" t="s">
        <v>48</v>
      </c>
      <c r="S483" s="5">
        <v>3622</v>
      </c>
      <c r="T483" s="5">
        <v>22794</v>
      </c>
      <c r="U483" s="5">
        <v>1</v>
      </c>
      <c r="V483" s="5" t="s">
        <v>42</v>
      </c>
      <c r="W483" s="5" t="s">
        <v>35</v>
      </c>
      <c r="X483" s="5">
        <v>13</v>
      </c>
      <c r="Y483" s="5">
        <v>3</v>
      </c>
      <c r="Z483" s="5">
        <v>4</v>
      </c>
      <c r="AA483" s="5">
        <v>80</v>
      </c>
      <c r="AB483" s="5">
        <v>1</v>
      </c>
      <c r="AC483" s="5">
        <v>6</v>
      </c>
      <c r="AD483" s="5">
        <v>3</v>
      </c>
      <c r="AE483" s="5">
        <v>3</v>
      </c>
      <c r="AF483" s="5">
        <v>6</v>
      </c>
      <c r="AG483" s="5">
        <v>5</v>
      </c>
      <c r="AH483" s="5">
        <v>1</v>
      </c>
      <c r="AI483" s="5">
        <v>3</v>
      </c>
    </row>
    <row r="484" spans="1:35" x14ac:dyDescent="0.25">
      <c r="A484" s="5">
        <v>31</v>
      </c>
      <c r="B484" s="5" t="s">
        <v>35</v>
      </c>
      <c r="C484" s="5" t="s">
        <v>36</v>
      </c>
      <c r="D484" s="5">
        <v>1365</v>
      </c>
      <c r="E484" s="5" t="s">
        <v>37</v>
      </c>
      <c r="F484" s="5">
        <v>13</v>
      </c>
      <c r="G484" s="5">
        <v>4</v>
      </c>
      <c r="H484" s="5" t="s">
        <v>51</v>
      </c>
      <c r="I484" s="5">
        <v>1</v>
      </c>
      <c r="J484" s="5">
        <v>650</v>
      </c>
      <c r="K484" s="5">
        <v>2</v>
      </c>
      <c r="L484" s="5" t="s">
        <v>46</v>
      </c>
      <c r="M484" s="5">
        <v>46</v>
      </c>
      <c r="N484" s="5">
        <v>3</v>
      </c>
      <c r="O484" s="5">
        <v>2</v>
      </c>
      <c r="P484" s="5" t="s">
        <v>40</v>
      </c>
      <c r="Q484" s="5">
        <v>1</v>
      </c>
      <c r="R484" s="5" t="s">
        <v>52</v>
      </c>
      <c r="S484" s="5">
        <v>4233</v>
      </c>
      <c r="T484" s="5">
        <v>11512</v>
      </c>
      <c r="U484" s="5">
        <v>2</v>
      </c>
      <c r="V484" s="5" t="s">
        <v>42</v>
      </c>
      <c r="W484" s="5" t="s">
        <v>43</v>
      </c>
      <c r="X484" s="5">
        <v>17</v>
      </c>
      <c r="Y484" s="5">
        <v>3</v>
      </c>
      <c r="Z484" s="5">
        <v>3</v>
      </c>
      <c r="AA484" s="5">
        <v>80</v>
      </c>
      <c r="AB484" s="5">
        <v>0</v>
      </c>
      <c r="AC484" s="5">
        <v>9</v>
      </c>
      <c r="AD484" s="5">
        <v>2</v>
      </c>
      <c r="AE484" s="5">
        <v>1</v>
      </c>
      <c r="AF484" s="5">
        <v>3</v>
      </c>
      <c r="AG484" s="5">
        <v>1</v>
      </c>
      <c r="AH484" s="5">
        <v>1</v>
      </c>
      <c r="AI484" s="5">
        <v>2</v>
      </c>
    </row>
    <row r="485" spans="1:35" x14ac:dyDescent="0.25">
      <c r="A485" s="5">
        <v>35</v>
      </c>
      <c r="B485" s="5" t="s">
        <v>43</v>
      </c>
      <c r="C485" s="5" t="s">
        <v>36</v>
      </c>
      <c r="D485" s="5">
        <v>538</v>
      </c>
      <c r="E485" s="5" t="s">
        <v>45</v>
      </c>
      <c r="F485" s="5">
        <v>25</v>
      </c>
      <c r="G485" s="5">
        <v>2</v>
      </c>
      <c r="H485" s="5" t="s">
        <v>49</v>
      </c>
      <c r="I485" s="5">
        <v>1</v>
      </c>
      <c r="J485" s="5">
        <v>652</v>
      </c>
      <c r="K485" s="5">
        <v>1</v>
      </c>
      <c r="L485" s="5" t="s">
        <v>46</v>
      </c>
      <c r="M485" s="5">
        <v>54</v>
      </c>
      <c r="N485" s="5">
        <v>2</v>
      </c>
      <c r="O485" s="5">
        <v>2</v>
      </c>
      <c r="P485" s="5" t="s">
        <v>50</v>
      </c>
      <c r="Q485" s="5">
        <v>4</v>
      </c>
      <c r="R485" s="5" t="s">
        <v>41</v>
      </c>
      <c r="S485" s="5">
        <v>3681</v>
      </c>
      <c r="T485" s="5">
        <v>14004</v>
      </c>
      <c r="U485" s="5">
        <v>4</v>
      </c>
      <c r="V485" s="5" t="s">
        <v>42</v>
      </c>
      <c r="W485" s="5" t="s">
        <v>43</v>
      </c>
      <c r="X485" s="5">
        <v>14</v>
      </c>
      <c r="Y485" s="5">
        <v>3</v>
      </c>
      <c r="Z485" s="5">
        <v>4</v>
      </c>
      <c r="AA485" s="5">
        <v>80</v>
      </c>
      <c r="AB485" s="5">
        <v>0</v>
      </c>
      <c r="AC485" s="5">
        <v>9</v>
      </c>
      <c r="AD485" s="5">
        <v>3</v>
      </c>
      <c r="AE485" s="5">
        <v>3</v>
      </c>
      <c r="AF485" s="5">
        <v>3</v>
      </c>
      <c r="AG485" s="5">
        <v>2</v>
      </c>
      <c r="AH485" s="5">
        <v>0</v>
      </c>
      <c r="AI485" s="5">
        <v>2</v>
      </c>
    </row>
    <row r="486" spans="1:35" x14ac:dyDescent="0.25">
      <c r="A486" s="5">
        <v>31</v>
      </c>
      <c r="B486" s="5" t="s">
        <v>43</v>
      </c>
      <c r="C486" s="5" t="s">
        <v>36</v>
      </c>
      <c r="D486" s="5">
        <v>525</v>
      </c>
      <c r="E486" s="5" t="s">
        <v>37</v>
      </c>
      <c r="F486" s="5">
        <v>6</v>
      </c>
      <c r="G486" s="5">
        <v>4</v>
      </c>
      <c r="H486" s="5" t="s">
        <v>51</v>
      </c>
      <c r="I486" s="5">
        <v>1</v>
      </c>
      <c r="J486" s="5">
        <v>653</v>
      </c>
      <c r="K486" s="5">
        <v>1</v>
      </c>
      <c r="L486" s="5" t="s">
        <v>46</v>
      </c>
      <c r="M486" s="5">
        <v>66</v>
      </c>
      <c r="N486" s="5">
        <v>4</v>
      </c>
      <c r="O486" s="5">
        <v>2</v>
      </c>
      <c r="P486" s="5" t="s">
        <v>40</v>
      </c>
      <c r="Q486" s="5">
        <v>4</v>
      </c>
      <c r="R486" s="5" t="s">
        <v>52</v>
      </c>
      <c r="S486" s="5">
        <v>5460</v>
      </c>
      <c r="T486" s="5">
        <v>6219</v>
      </c>
      <c r="U486" s="5">
        <v>4</v>
      </c>
      <c r="V486" s="5" t="s">
        <v>42</v>
      </c>
      <c r="W486" s="5" t="s">
        <v>43</v>
      </c>
      <c r="X486" s="5">
        <v>22</v>
      </c>
      <c r="Y486" s="5">
        <v>4</v>
      </c>
      <c r="Z486" s="5">
        <v>4</v>
      </c>
      <c r="AA486" s="5">
        <v>80</v>
      </c>
      <c r="AB486" s="5">
        <v>2</v>
      </c>
      <c r="AC486" s="5">
        <v>13</v>
      </c>
      <c r="AD486" s="5">
        <v>4</v>
      </c>
      <c r="AE486" s="5">
        <v>4</v>
      </c>
      <c r="AF486" s="5">
        <v>7</v>
      </c>
      <c r="AG486" s="5">
        <v>7</v>
      </c>
      <c r="AH486" s="5">
        <v>5</v>
      </c>
      <c r="AI486" s="5">
        <v>7</v>
      </c>
    </row>
    <row r="487" spans="1:35" x14ac:dyDescent="0.25">
      <c r="A487" s="5">
        <v>27</v>
      </c>
      <c r="B487" s="5" t="s">
        <v>43</v>
      </c>
      <c r="C487" s="5" t="s">
        <v>36</v>
      </c>
      <c r="D487" s="5">
        <v>798</v>
      </c>
      <c r="E487" s="5" t="s">
        <v>45</v>
      </c>
      <c r="F487" s="5">
        <v>6</v>
      </c>
      <c r="G487" s="5">
        <v>4</v>
      </c>
      <c r="H487" s="5" t="s">
        <v>51</v>
      </c>
      <c r="I487" s="5">
        <v>1</v>
      </c>
      <c r="J487" s="5">
        <v>655</v>
      </c>
      <c r="K487" s="5">
        <v>1</v>
      </c>
      <c r="L487" s="5" t="s">
        <v>39</v>
      </c>
      <c r="M487" s="5">
        <v>66</v>
      </c>
      <c r="N487" s="5">
        <v>2</v>
      </c>
      <c r="O487" s="5">
        <v>1</v>
      </c>
      <c r="P487" s="5" t="s">
        <v>47</v>
      </c>
      <c r="Q487" s="5">
        <v>3</v>
      </c>
      <c r="R487" s="5" t="s">
        <v>52</v>
      </c>
      <c r="S487" s="5">
        <v>2187</v>
      </c>
      <c r="T487" s="5">
        <v>5013</v>
      </c>
      <c r="U487" s="5">
        <v>0</v>
      </c>
      <c r="V487" s="5" t="s">
        <v>42</v>
      </c>
      <c r="W487" s="5" t="s">
        <v>43</v>
      </c>
      <c r="X487" s="5">
        <v>12</v>
      </c>
      <c r="Y487" s="5">
        <v>3</v>
      </c>
      <c r="Z487" s="5">
        <v>3</v>
      </c>
      <c r="AA487" s="5">
        <v>80</v>
      </c>
      <c r="AB487" s="5">
        <v>2</v>
      </c>
      <c r="AC487" s="5">
        <v>6</v>
      </c>
      <c r="AD487" s="5">
        <v>5</v>
      </c>
      <c r="AE487" s="5">
        <v>2</v>
      </c>
      <c r="AF487" s="5">
        <v>5</v>
      </c>
      <c r="AG487" s="5">
        <v>3</v>
      </c>
      <c r="AH487" s="5">
        <v>0</v>
      </c>
      <c r="AI487" s="5">
        <v>3</v>
      </c>
    </row>
    <row r="488" spans="1:35" x14ac:dyDescent="0.25">
      <c r="A488" s="5">
        <v>37</v>
      </c>
      <c r="B488" s="5" t="s">
        <v>43</v>
      </c>
      <c r="C488" s="5" t="s">
        <v>36</v>
      </c>
      <c r="D488" s="5">
        <v>558</v>
      </c>
      <c r="E488" s="5" t="s">
        <v>37</v>
      </c>
      <c r="F488" s="5">
        <v>2</v>
      </c>
      <c r="G488" s="5">
        <v>3</v>
      </c>
      <c r="H488" s="5" t="s">
        <v>59</v>
      </c>
      <c r="I488" s="5">
        <v>1</v>
      </c>
      <c r="J488" s="5">
        <v>656</v>
      </c>
      <c r="K488" s="5">
        <v>4</v>
      </c>
      <c r="L488" s="5" t="s">
        <v>46</v>
      </c>
      <c r="M488" s="5">
        <v>75</v>
      </c>
      <c r="N488" s="5">
        <v>3</v>
      </c>
      <c r="O488" s="5">
        <v>2</v>
      </c>
      <c r="P488" s="5" t="s">
        <v>40</v>
      </c>
      <c r="Q488" s="5">
        <v>3</v>
      </c>
      <c r="R488" s="5" t="s">
        <v>48</v>
      </c>
      <c r="S488" s="5">
        <v>9602</v>
      </c>
      <c r="T488" s="5">
        <v>3010</v>
      </c>
      <c r="U488" s="5">
        <v>4</v>
      </c>
      <c r="V488" s="5" t="s">
        <v>42</v>
      </c>
      <c r="W488" s="5" t="s">
        <v>35</v>
      </c>
      <c r="X488" s="5">
        <v>11</v>
      </c>
      <c r="Y488" s="5">
        <v>3</v>
      </c>
      <c r="Z488" s="5">
        <v>3</v>
      </c>
      <c r="AA488" s="5">
        <v>80</v>
      </c>
      <c r="AB488" s="5">
        <v>1</v>
      </c>
      <c r="AC488" s="5">
        <v>17</v>
      </c>
      <c r="AD488" s="5">
        <v>3</v>
      </c>
      <c r="AE488" s="5">
        <v>2</v>
      </c>
      <c r="AF488" s="5">
        <v>3</v>
      </c>
      <c r="AG488" s="5">
        <v>0</v>
      </c>
      <c r="AH488" s="5">
        <v>1</v>
      </c>
      <c r="AI488" s="5">
        <v>0</v>
      </c>
    </row>
    <row r="489" spans="1:35" x14ac:dyDescent="0.25">
      <c r="A489" s="5">
        <v>20</v>
      </c>
      <c r="B489" s="5" t="s">
        <v>43</v>
      </c>
      <c r="C489" s="5" t="s">
        <v>36</v>
      </c>
      <c r="D489" s="5">
        <v>959</v>
      </c>
      <c r="E489" s="5" t="s">
        <v>45</v>
      </c>
      <c r="F489" s="5">
        <v>1</v>
      </c>
      <c r="G489" s="5">
        <v>3</v>
      </c>
      <c r="H489" s="5" t="s">
        <v>38</v>
      </c>
      <c r="I489" s="5">
        <v>1</v>
      </c>
      <c r="J489" s="5">
        <v>657</v>
      </c>
      <c r="K489" s="5">
        <v>4</v>
      </c>
      <c r="L489" s="5" t="s">
        <v>39</v>
      </c>
      <c r="M489" s="5">
        <v>83</v>
      </c>
      <c r="N489" s="5">
        <v>2</v>
      </c>
      <c r="O489" s="5">
        <v>1</v>
      </c>
      <c r="P489" s="5" t="s">
        <v>47</v>
      </c>
      <c r="Q489" s="5">
        <v>2</v>
      </c>
      <c r="R489" s="5" t="s">
        <v>41</v>
      </c>
      <c r="S489" s="5">
        <v>2836</v>
      </c>
      <c r="T489" s="5">
        <v>11757</v>
      </c>
      <c r="U489" s="5">
        <v>1</v>
      </c>
      <c r="V489" s="5" t="s">
        <v>42</v>
      </c>
      <c r="W489" s="5" t="s">
        <v>43</v>
      </c>
      <c r="X489" s="5">
        <v>13</v>
      </c>
      <c r="Y489" s="5">
        <v>3</v>
      </c>
      <c r="Z489" s="5">
        <v>4</v>
      </c>
      <c r="AA489" s="5">
        <v>80</v>
      </c>
      <c r="AB489" s="5">
        <v>0</v>
      </c>
      <c r="AC489" s="5">
        <v>1</v>
      </c>
      <c r="AD489" s="5">
        <v>0</v>
      </c>
      <c r="AE489" s="5">
        <v>4</v>
      </c>
      <c r="AF489" s="5">
        <v>1</v>
      </c>
      <c r="AG489" s="5">
        <v>0</v>
      </c>
      <c r="AH489" s="5">
        <v>0</v>
      </c>
      <c r="AI489" s="5">
        <v>0</v>
      </c>
    </row>
    <row r="490" spans="1:35" x14ac:dyDescent="0.25">
      <c r="A490" s="5">
        <v>42</v>
      </c>
      <c r="B490" s="5" t="s">
        <v>43</v>
      </c>
      <c r="C490" s="5" t="s">
        <v>36</v>
      </c>
      <c r="D490" s="5">
        <v>622</v>
      </c>
      <c r="E490" s="5" t="s">
        <v>45</v>
      </c>
      <c r="F490" s="5">
        <v>2</v>
      </c>
      <c r="G490" s="5">
        <v>4</v>
      </c>
      <c r="H490" s="5" t="s">
        <v>38</v>
      </c>
      <c r="I490" s="5">
        <v>1</v>
      </c>
      <c r="J490" s="5">
        <v>659</v>
      </c>
      <c r="K490" s="5">
        <v>3</v>
      </c>
      <c r="L490" s="5" t="s">
        <v>39</v>
      </c>
      <c r="M490" s="5">
        <v>81</v>
      </c>
      <c r="N490" s="5">
        <v>3</v>
      </c>
      <c r="O490" s="5">
        <v>2</v>
      </c>
      <c r="P490" s="5" t="s">
        <v>54</v>
      </c>
      <c r="Q490" s="5">
        <v>4</v>
      </c>
      <c r="R490" s="5" t="s">
        <v>48</v>
      </c>
      <c r="S490" s="5">
        <v>4089</v>
      </c>
      <c r="T490" s="5">
        <v>5718</v>
      </c>
      <c r="U490" s="5">
        <v>1</v>
      </c>
      <c r="V490" s="5" t="s">
        <v>42</v>
      </c>
      <c r="W490" s="5" t="s">
        <v>43</v>
      </c>
      <c r="X490" s="5">
        <v>13</v>
      </c>
      <c r="Y490" s="5">
        <v>3</v>
      </c>
      <c r="Z490" s="5">
        <v>2</v>
      </c>
      <c r="AA490" s="5">
        <v>80</v>
      </c>
      <c r="AB490" s="5">
        <v>2</v>
      </c>
      <c r="AC490" s="5">
        <v>10</v>
      </c>
      <c r="AD490" s="5">
        <v>4</v>
      </c>
      <c r="AE490" s="5">
        <v>3</v>
      </c>
      <c r="AF490" s="5">
        <v>10</v>
      </c>
      <c r="AG490" s="5">
        <v>2</v>
      </c>
      <c r="AH490" s="5">
        <v>2</v>
      </c>
      <c r="AI490" s="5">
        <v>2</v>
      </c>
    </row>
    <row r="491" spans="1:35" x14ac:dyDescent="0.25">
      <c r="A491" s="5">
        <v>43</v>
      </c>
      <c r="B491" s="5" t="s">
        <v>43</v>
      </c>
      <c r="C491" s="5" t="s">
        <v>36</v>
      </c>
      <c r="D491" s="5">
        <v>782</v>
      </c>
      <c r="E491" s="5" t="s">
        <v>45</v>
      </c>
      <c r="F491" s="5">
        <v>6</v>
      </c>
      <c r="G491" s="5">
        <v>4</v>
      </c>
      <c r="H491" s="5" t="s">
        <v>49</v>
      </c>
      <c r="I491" s="5">
        <v>1</v>
      </c>
      <c r="J491" s="5">
        <v>661</v>
      </c>
      <c r="K491" s="5">
        <v>2</v>
      </c>
      <c r="L491" s="5" t="s">
        <v>46</v>
      </c>
      <c r="M491" s="5">
        <v>50</v>
      </c>
      <c r="N491" s="5">
        <v>2</v>
      </c>
      <c r="O491" s="5">
        <v>4</v>
      </c>
      <c r="P491" s="5" t="s">
        <v>58</v>
      </c>
      <c r="Q491" s="5">
        <v>4</v>
      </c>
      <c r="R491" s="5" t="s">
        <v>52</v>
      </c>
      <c r="S491" s="5">
        <v>16627</v>
      </c>
      <c r="T491" s="5">
        <v>2671</v>
      </c>
      <c r="U491" s="5">
        <v>4</v>
      </c>
      <c r="V491" s="5" t="s">
        <v>42</v>
      </c>
      <c r="W491" s="5" t="s">
        <v>35</v>
      </c>
      <c r="X491" s="5">
        <v>14</v>
      </c>
      <c r="Y491" s="5">
        <v>3</v>
      </c>
      <c r="Z491" s="5">
        <v>3</v>
      </c>
      <c r="AA491" s="5">
        <v>80</v>
      </c>
      <c r="AB491" s="5">
        <v>1</v>
      </c>
      <c r="AC491" s="5">
        <v>21</v>
      </c>
      <c r="AD491" s="5">
        <v>3</v>
      </c>
      <c r="AE491" s="5">
        <v>2</v>
      </c>
      <c r="AF491" s="5">
        <v>1</v>
      </c>
      <c r="AG491" s="5">
        <v>0</v>
      </c>
      <c r="AH491" s="5">
        <v>0</v>
      </c>
      <c r="AI491" s="5">
        <v>0</v>
      </c>
    </row>
    <row r="492" spans="1:35" x14ac:dyDescent="0.25">
      <c r="A492" s="5">
        <v>38</v>
      </c>
      <c r="B492" s="5" t="s">
        <v>43</v>
      </c>
      <c r="C492" s="5" t="s">
        <v>36</v>
      </c>
      <c r="D492" s="5">
        <v>362</v>
      </c>
      <c r="E492" s="5" t="s">
        <v>45</v>
      </c>
      <c r="F492" s="5">
        <v>1</v>
      </c>
      <c r="G492" s="5">
        <v>1</v>
      </c>
      <c r="H492" s="5" t="s">
        <v>38</v>
      </c>
      <c r="I492" s="5">
        <v>1</v>
      </c>
      <c r="J492" s="5">
        <v>662</v>
      </c>
      <c r="K492" s="5">
        <v>3</v>
      </c>
      <c r="L492" s="5" t="s">
        <v>39</v>
      </c>
      <c r="M492" s="5">
        <v>43</v>
      </c>
      <c r="N492" s="5">
        <v>3</v>
      </c>
      <c r="O492" s="5">
        <v>1</v>
      </c>
      <c r="P492" s="5" t="s">
        <v>47</v>
      </c>
      <c r="Q492" s="5">
        <v>1</v>
      </c>
      <c r="R492" s="5" t="s">
        <v>41</v>
      </c>
      <c r="S492" s="5">
        <v>2619</v>
      </c>
      <c r="T492" s="5">
        <v>14561</v>
      </c>
      <c r="U492" s="5">
        <v>3</v>
      </c>
      <c r="V492" s="5" t="s">
        <v>42</v>
      </c>
      <c r="W492" s="5" t="s">
        <v>43</v>
      </c>
      <c r="X492" s="5">
        <v>17</v>
      </c>
      <c r="Y492" s="5">
        <v>3</v>
      </c>
      <c r="Z492" s="5">
        <v>4</v>
      </c>
      <c r="AA492" s="5">
        <v>80</v>
      </c>
      <c r="AB492" s="5">
        <v>0</v>
      </c>
      <c r="AC492" s="5">
        <v>8</v>
      </c>
      <c r="AD492" s="5">
        <v>3</v>
      </c>
      <c r="AE492" s="5">
        <v>2</v>
      </c>
      <c r="AF492" s="5">
        <v>0</v>
      </c>
      <c r="AG492" s="5">
        <v>0</v>
      </c>
      <c r="AH492" s="5">
        <v>0</v>
      </c>
      <c r="AI492" s="5">
        <v>0</v>
      </c>
    </row>
    <row r="493" spans="1:35" x14ac:dyDescent="0.25">
      <c r="A493" s="5">
        <v>43</v>
      </c>
      <c r="B493" s="5" t="s">
        <v>43</v>
      </c>
      <c r="C493" s="5" t="s">
        <v>44</v>
      </c>
      <c r="D493" s="5">
        <v>1001</v>
      </c>
      <c r="E493" s="5" t="s">
        <v>45</v>
      </c>
      <c r="F493" s="5">
        <v>9</v>
      </c>
      <c r="G493" s="5">
        <v>5</v>
      </c>
      <c r="H493" s="5" t="s">
        <v>51</v>
      </c>
      <c r="I493" s="5">
        <v>1</v>
      </c>
      <c r="J493" s="5">
        <v>663</v>
      </c>
      <c r="K493" s="5">
        <v>4</v>
      </c>
      <c r="L493" s="5" t="s">
        <v>46</v>
      </c>
      <c r="M493" s="5">
        <v>72</v>
      </c>
      <c r="N493" s="5">
        <v>3</v>
      </c>
      <c r="O493" s="5">
        <v>2</v>
      </c>
      <c r="P493" s="5" t="s">
        <v>50</v>
      </c>
      <c r="Q493" s="5">
        <v>3</v>
      </c>
      <c r="R493" s="5" t="s">
        <v>52</v>
      </c>
      <c r="S493" s="5">
        <v>5679</v>
      </c>
      <c r="T493" s="5">
        <v>19627</v>
      </c>
      <c r="U493" s="5">
        <v>3</v>
      </c>
      <c r="V493" s="5" t="s">
        <v>42</v>
      </c>
      <c r="W493" s="5" t="s">
        <v>35</v>
      </c>
      <c r="X493" s="5">
        <v>13</v>
      </c>
      <c r="Y493" s="5">
        <v>3</v>
      </c>
      <c r="Z493" s="5">
        <v>2</v>
      </c>
      <c r="AA493" s="5">
        <v>80</v>
      </c>
      <c r="AB493" s="5">
        <v>1</v>
      </c>
      <c r="AC493" s="5">
        <v>10</v>
      </c>
      <c r="AD493" s="5">
        <v>3</v>
      </c>
      <c r="AE493" s="5">
        <v>3</v>
      </c>
      <c r="AF493" s="5">
        <v>8</v>
      </c>
      <c r="AG493" s="5">
        <v>7</v>
      </c>
      <c r="AH493" s="5">
        <v>4</v>
      </c>
      <c r="AI493" s="5">
        <v>7</v>
      </c>
    </row>
    <row r="494" spans="1:35" x14ac:dyDescent="0.25">
      <c r="A494" s="5">
        <v>48</v>
      </c>
      <c r="B494" s="5" t="s">
        <v>43</v>
      </c>
      <c r="C494" s="5" t="s">
        <v>36</v>
      </c>
      <c r="D494" s="5">
        <v>1236</v>
      </c>
      <c r="E494" s="5" t="s">
        <v>45</v>
      </c>
      <c r="F494" s="5">
        <v>1</v>
      </c>
      <c r="G494" s="5">
        <v>4</v>
      </c>
      <c r="H494" s="5" t="s">
        <v>38</v>
      </c>
      <c r="I494" s="5">
        <v>1</v>
      </c>
      <c r="J494" s="5">
        <v>664</v>
      </c>
      <c r="K494" s="5">
        <v>4</v>
      </c>
      <c r="L494" s="5" t="s">
        <v>39</v>
      </c>
      <c r="M494" s="5">
        <v>40</v>
      </c>
      <c r="N494" s="5">
        <v>2</v>
      </c>
      <c r="O494" s="5">
        <v>4</v>
      </c>
      <c r="P494" s="5" t="s">
        <v>56</v>
      </c>
      <c r="Q494" s="5">
        <v>1</v>
      </c>
      <c r="R494" s="5" t="s">
        <v>48</v>
      </c>
      <c r="S494" s="5">
        <v>15402</v>
      </c>
      <c r="T494" s="5">
        <v>17997</v>
      </c>
      <c r="U494" s="5">
        <v>7</v>
      </c>
      <c r="V494" s="5" t="s">
        <v>42</v>
      </c>
      <c r="W494" s="5" t="s">
        <v>43</v>
      </c>
      <c r="X494" s="5">
        <v>11</v>
      </c>
      <c r="Y494" s="5">
        <v>3</v>
      </c>
      <c r="Z494" s="5">
        <v>1</v>
      </c>
      <c r="AA494" s="5">
        <v>80</v>
      </c>
      <c r="AB494" s="5">
        <v>1</v>
      </c>
      <c r="AC494" s="5">
        <v>21</v>
      </c>
      <c r="AD494" s="5">
        <v>3</v>
      </c>
      <c r="AE494" s="5">
        <v>1</v>
      </c>
      <c r="AF494" s="5">
        <v>3</v>
      </c>
      <c r="AG494" s="5">
        <v>2</v>
      </c>
      <c r="AH494" s="5">
        <v>0</v>
      </c>
      <c r="AI494" s="5">
        <v>2</v>
      </c>
    </row>
    <row r="495" spans="1:35" x14ac:dyDescent="0.25">
      <c r="A495" s="5">
        <v>44</v>
      </c>
      <c r="B495" s="5" t="s">
        <v>43</v>
      </c>
      <c r="C495" s="5" t="s">
        <v>36</v>
      </c>
      <c r="D495" s="5">
        <v>1112</v>
      </c>
      <c r="E495" s="5" t="s">
        <v>61</v>
      </c>
      <c r="F495" s="5">
        <v>1</v>
      </c>
      <c r="G495" s="5">
        <v>4</v>
      </c>
      <c r="H495" s="5" t="s">
        <v>38</v>
      </c>
      <c r="I495" s="5">
        <v>1</v>
      </c>
      <c r="J495" s="5">
        <v>665</v>
      </c>
      <c r="K495" s="5">
        <v>1</v>
      </c>
      <c r="L495" s="5" t="s">
        <v>39</v>
      </c>
      <c r="M495" s="5">
        <v>50</v>
      </c>
      <c r="N495" s="5">
        <v>2</v>
      </c>
      <c r="O495" s="5">
        <v>2</v>
      </c>
      <c r="P495" s="5" t="s">
        <v>61</v>
      </c>
      <c r="Q495" s="5">
        <v>3</v>
      </c>
      <c r="R495" s="5" t="s">
        <v>41</v>
      </c>
      <c r="S495" s="5">
        <v>5985</v>
      </c>
      <c r="T495" s="5">
        <v>26894</v>
      </c>
      <c r="U495" s="5">
        <v>4</v>
      </c>
      <c r="V495" s="5" t="s">
        <v>42</v>
      </c>
      <c r="W495" s="5" t="s">
        <v>43</v>
      </c>
      <c r="X495" s="5">
        <v>11</v>
      </c>
      <c r="Y495" s="5">
        <v>3</v>
      </c>
      <c r="Z495" s="5">
        <v>2</v>
      </c>
      <c r="AA495" s="5">
        <v>80</v>
      </c>
      <c r="AB495" s="5">
        <v>0</v>
      </c>
      <c r="AC495" s="5">
        <v>10</v>
      </c>
      <c r="AD495" s="5">
        <v>1</v>
      </c>
      <c r="AE495" s="5">
        <v>4</v>
      </c>
      <c r="AF495" s="5">
        <v>2</v>
      </c>
      <c r="AG495" s="5">
        <v>2</v>
      </c>
      <c r="AH495" s="5">
        <v>0</v>
      </c>
      <c r="AI495" s="5">
        <v>2</v>
      </c>
    </row>
    <row r="496" spans="1:35" x14ac:dyDescent="0.25">
      <c r="A496" s="5">
        <v>34</v>
      </c>
      <c r="B496" s="5" t="s">
        <v>43</v>
      </c>
      <c r="C496" s="5" t="s">
        <v>36</v>
      </c>
      <c r="D496" s="5">
        <v>204</v>
      </c>
      <c r="E496" s="5" t="s">
        <v>37</v>
      </c>
      <c r="F496" s="5">
        <v>14</v>
      </c>
      <c r="G496" s="5">
        <v>3</v>
      </c>
      <c r="H496" s="5" t="s">
        <v>60</v>
      </c>
      <c r="I496" s="5">
        <v>1</v>
      </c>
      <c r="J496" s="5">
        <v>666</v>
      </c>
      <c r="K496" s="5">
        <v>3</v>
      </c>
      <c r="L496" s="5" t="s">
        <v>39</v>
      </c>
      <c r="M496" s="5">
        <v>31</v>
      </c>
      <c r="N496" s="5">
        <v>3</v>
      </c>
      <c r="O496" s="5">
        <v>1</v>
      </c>
      <c r="P496" s="5" t="s">
        <v>57</v>
      </c>
      <c r="Q496" s="5">
        <v>3</v>
      </c>
      <c r="R496" s="5" t="s">
        <v>52</v>
      </c>
      <c r="S496" s="5">
        <v>2579</v>
      </c>
      <c r="T496" s="5">
        <v>2912</v>
      </c>
      <c r="U496" s="5">
        <v>1</v>
      </c>
      <c r="V496" s="5" t="s">
        <v>42</v>
      </c>
      <c r="W496" s="5" t="s">
        <v>35</v>
      </c>
      <c r="X496" s="5">
        <v>18</v>
      </c>
      <c r="Y496" s="5">
        <v>3</v>
      </c>
      <c r="Z496" s="5">
        <v>4</v>
      </c>
      <c r="AA496" s="5">
        <v>80</v>
      </c>
      <c r="AB496" s="5">
        <v>2</v>
      </c>
      <c r="AC496" s="5">
        <v>8</v>
      </c>
      <c r="AD496" s="5">
        <v>3</v>
      </c>
      <c r="AE496" s="5">
        <v>3</v>
      </c>
      <c r="AF496" s="5">
        <v>8</v>
      </c>
      <c r="AG496" s="5">
        <v>2</v>
      </c>
      <c r="AH496" s="5">
        <v>0</v>
      </c>
      <c r="AI496" s="5">
        <v>6</v>
      </c>
    </row>
    <row r="497" spans="1:35" x14ac:dyDescent="0.25">
      <c r="A497" s="5">
        <v>27</v>
      </c>
      <c r="B497" s="5" t="s">
        <v>35</v>
      </c>
      <c r="C497" s="5" t="s">
        <v>36</v>
      </c>
      <c r="D497" s="5">
        <v>1420</v>
      </c>
      <c r="E497" s="5" t="s">
        <v>37</v>
      </c>
      <c r="F497" s="5">
        <v>2</v>
      </c>
      <c r="G497" s="5">
        <v>1</v>
      </c>
      <c r="H497" s="5" t="s">
        <v>59</v>
      </c>
      <c r="I497" s="5">
        <v>1</v>
      </c>
      <c r="J497" s="5">
        <v>667</v>
      </c>
      <c r="K497" s="5">
        <v>3</v>
      </c>
      <c r="L497" s="5" t="s">
        <v>46</v>
      </c>
      <c r="M497" s="5">
        <v>85</v>
      </c>
      <c r="N497" s="5">
        <v>3</v>
      </c>
      <c r="O497" s="5">
        <v>1</v>
      </c>
      <c r="P497" s="5" t="s">
        <v>57</v>
      </c>
      <c r="Q497" s="5">
        <v>1</v>
      </c>
      <c r="R497" s="5" t="s">
        <v>52</v>
      </c>
      <c r="S497" s="5">
        <v>3041</v>
      </c>
      <c r="T497" s="5">
        <v>16346</v>
      </c>
      <c r="U497" s="5">
        <v>0</v>
      </c>
      <c r="V497" s="5" t="s">
        <v>42</v>
      </c>
      <c r="W497" s="5" t="s">
        <v>43</v>
      </c>
      <c r="X497" s="5">
        <v>11</v>
      </c>
      <c r="Y497" s="5">
        <v>3</v>
      </c>
      <c r="Z497" s="5">
        <v>2</v>
      </c>
      <c r="AA497" s="5">
        <v>80</v>
      </c>
      <c r="AB497" s="5">
        <v>1</v>
      </c>
      <c r="AC497" s="5">
        <v>5</v>
      </c>
      <c r="AD497" s="5">
        <v>3</v>
      </c>
      <c r="AE497" s="5">
        <v>3</v>
      </c>
      <c r="AF497" s="5">
        <v>4</v>
      </c>
      <c r="AG497" s="5">
        <v>3</v>
      </c>
      <c r="AH497" s="5">
        <v>0</v>
      </c>
      <c r="AI497" s="5">
        <v>2</v>
      </c>
    </row>
    <row r="498" spans="1:35" x14ac:dyDescent="0.25">
      <c r="A498" s="5">
        <v>21</v>
      </c>
      <c r="B498" s="5" t="s">
        <v>43</v>
      </c>
      <c r="C498" s="5" t="s">
        <v>36</v>
      </c>
      <c r="D498" s="5">
        <v>1343</v>
      </c>
      <c r="E498" s="5" t="s">
        <v>37</v>
      </c>
      <c r="F498" s="5">
        <v>22</v>
      </c>
      <c r="G498" s="5">
        <v>1</v>
      </c>
      <c r="H498" s="5" t="s">
        <v>60</v>
      </c>
      <c r="I498" s="5">
        <v>1</v>
      </c>
      <c r="J498" s="5">
        <v>669</v>
      </c>
      <c r="K498" s="5">
        <v>3</v>
      </c>
      <c r="L498" s="5" t="s">
        <v>46</v>
      </c>
      <c r="M498" s="5">
        <v>49</v>
      </c>
      <c r="N498" s="5">
        <v>3</v>
      </c>
      <c r="O498" s="5">
        <v>1</v>
      </c>
      <c r="P498" s="5" t="s">
        <v>57</v>
      </c>
      <c r="Q498" s="5">
        <v>3</v>
      </c>
      <c r="R498" s="5" t="s">
        <v>41</v>
      </c>
      <c r="S498" s="5">
        <v>3447</v>
      </c>
      <c r="T498" s="5">
        <v>24444</v>
      </c>
      <c r="U498" s="5">
        <v>1</v>
      </c>
      <c r="V498" s="5" t="s">
        <v>42</v>
      </c>
      <c r="W498" s="5" t="s">
        <v>43</v>
      </c>
      <c r="X498" s="5">
        <v>11</v>
      </c>
      <c r="Y498" s="5">
        <v>3</v>
      </c>
      <c r="Z498" s="5">
        <v>3</v>
      </c>
      <c r="AA498" s="5">
        <v>80</v>
      </c>
      <c r="AB498" s="5">
        <v>0</v>
      </c>
      <c r="AC498" s="5">
        <v>3</v>
      </c>
      <c r="AD498" s="5">
        <v>2</v>
      </c>
      <c r="AE498" s="5">
        <v>3</v>
      </c>
      <c r="AF498" s="5">
        <v>3</v>
      </c>
      <c r="AG498" s="5">
        <v>2</v>
      </c>
      <c r="AH498" s="5">
        <v>1</v>
      </c>
      <c r="AI498" s="5">
        <v>2</v>
      </c>
    </row>
    <row r="499" spans="1:35" x14ac:dyDescent="0.25">
      <c r="A499" s="5">
        <v>44</v>
      </c>
      <c r="B499" s="5" t="s">
        <v>43</v>
      </c>
      <c r="C499" s="5" t="s">
        <v>36</v>
      </c>
      <c r="D499" s="5">
        <v>1315</v>
      </c>
      <c r="E499" s="5" t="s">
        <v>45</v>
      </c>
      <c r="F499" s="5">
        <v>3</v>
      </c>
      <c r="G499" s="5">
        <v>4</v>
      </c>
      <c r="H499" s="5" t="s">
        <v>49</v>
      </c>
      <c r="I499" s="5">
        <v>1</v>
      </c>
      <c r="J499" s="5">
        <v>671</v>
      </c>
      <c r="K499" s="5">
        <v>4</v>
      </c>
      <c r="L499" s="5" t="s">
        <v>46</v>
      </c>
      <c r="M499" s="5">
        <v>35</v>
      </c>
      <c r="N499" s="5">
        <v>3</v>
      </c>
      <c r="O499" s="5">
        <v>5</v>
      </c>
      <c r="P499" s="5" t="s">
        <v>56</v>
      </c>
      <c r="Q499" s="5">
        <v>4</v>
      </c>
      <c r="R499" s="5" t="s">
        <v>48</v>
      </c>
      <c r="S499" s="5">
        <v>19513</v>
      </c>
      <c r="T499" s="5">
        <v>9358</v>
      </c>
      <c r="U499" s="5">
        <v>4</v>
      </c>
      <c r="V499" s="5" t="s">
        <v>42</v>
      </c>
      <c r="W499" s="5" t="s">
        <v>35</v>
      </c>
      <c r="X499" s="5">
        <v>12</v>
      </c>
      <c r="Y499" s="5">
        <v>3</v>
      </c>
      <c r="Z499" s="5">
        <v>1</v>
      </c>
      <c r="AA499" s="5">
        <v>80</v>
      </c>
      <c r="AB499" s="5">
        <v>1</v>
      </c>
      <c r="AC499" s="5">
        <v>26</v>
      </c>
      <c r="AD499" s="5">
        <v>2</v>
      </c>
      <c r="AE499" s="5">
        <v>4</v>
      </c>
      <c r="AF499" s="5">
        <v>2</v>
      </c>
      <c r="AG499" s="5">
        <v>2</v>
      </c>
      <c r="AH499" s="5">
        <v>0</v>
      </c>
      <c r="AI499" s="5">
        <v>1</v>
      </c>
    </row>
    <row r="500" spans="1:35" x14ac:dyDescent="0.25">
      <c r="A500" s="5">
        <v>22</v>
      </c>
      <c r="B500" s="5" t="s">
        <v>43</v>
      </c>
      <c r="C500" s="5" t="s">
        <v>36</v>
      </c>
      <c r="D500" s="5">
        <v>604</v>
      </c>
      <c r="E500" s="5" t="s">
        <v>45</v>
      </c>
      <c r="F500" s="5">
        <v>6</v>
      </c>
      <c r="G500" s="5">
        <v>1</v>
      </c>
      <c r="H500" s="5" t="s">
        <v>51</v>
      </c>
      <c r="I500" s="5">
        <v>1</v>
      </c>
      <c r="J500" s="5">
        <v>675</v>
      </c>
      <c r="K500" s="5">
        <v>1</v>
      </c>
      <c r="L500" s="5" t="s">
        <v>46</v>
      </c>
      <c r="M500" s="5">
        <v>69</v>
      </c>
      <c r="N500" s="5">
        <v>3</v>
      </c>
      <c r="O500" s="5">
        <v>1</v>
      </c>
      <c r="P500" s="5" t="s">
        <v>47</v>
      </c>
      <c r="Q500" s="5">
        <v>3</v>
      </c>
      <c r="R500" s="5" t="s">
        <v>48</v>
      </c>
      <c r="S500" s="5">
        <v>2773</v>
      </c>
      <c r="T500" s="5">
        <v>12145</v>
      </c>
      <c r="U500" s="5">
        <v>0</v>
      </c>
      <c r="V500" s="5" t="s">
        <v>42</v>
      </c>
      <c r="W500" s="5" t="s">
        <v>43</v>
      </c>
      <c r="X500" s="5">
        <v>20</v>
      </c>
      <c r="Y500" s="5">
        <v>4</v>
      </c>
      <c r="Z500" s="5">
        <v>4</v>
      </c>
      <c r="AA500" s="5">
        <v>80</v>
      </c>
      <c r="AB500" s="5">
        <v>0</v>
      </c>
      <c r="AC500" s="5">
        <v>3</v>
      </c>
      <c r="AD500" s="5">
        <v>3</v>
      </c>
      <c r="AE500" s="5">
        <v>3</v>
      </c>
      <c r="AF500" s="5">
        <v>2</v>
      </c>
      <c r="AG500" s="5">
        <v>2</v>
      </c>
      <c r="AH500" s="5">
        <v>2</v>
      </c>
      <c r="AI500" s="5">
        <v>2</v>
      </c>
    </row>
    <row r="501" spans="1:35" x14ac:dyDescent="0.25">
      <c r="A501" s="5">
        <v>33</v>
      </c>
      <c r="B501" s="5" t="s">
        <v>43</v>
      </c>
      <c r="C501" s="5" t="s">
        <v>36</v>
      </c>
      <c r="D501" s="5">
        <v>1216</v>
      </c>
      <c r="E501" s="5" t="s">
        <v>37</v>
      </c>
      <c r="F501" s="5">
        <v>8</v>
      </c>
      <c r="G501" s="5">
        <v>4</v>
      </c>
      <c r="H501" s="5" t="s">
        <v>59</v>
      </c>
      <c r="I501" s="5">
        <v>1</v>
      </c>
      <c r="J501" s="5">
        <v>677</v>
      </c>
      <c r="K501" s="5">
        <v>3</v>
      </c>
      <c r="L501" s="5" t="s">
        <v>46</v>
      </c>
      <c r="M501" s="5">
        <v>39</v>
      </c>
      <c r="N501" s="5">
        <v>3</v>
      </c>
      <c r="O501" s="5">
        <v>2</v>
      </c>
      <c r="P501" s="5" t="s">
        <v>40</v>
      </c>
      <c r="Q501" s="5">
        <v>3</v>
      </c>
      <c r="R501" s="5" t="s">
        <v>52</v>
      </c>
      <c r="S501" s="5">
        <v>7104</v>
      </c>
      <c r="T501" s="5">
        <v>20431</v>
      </c>
      <c r="U501" s="5">
        <v>0</v>
      </c>
      <c r="V501" s="5" t="s">
        <v>42</v>
      </c>
      <c r="W501" s="5" t="s">
        <v>43</v>
      </c>
      <c r="X501" s="5">
        <v>12</v>
      </c>
      <c r="Y501" s="5">
        <v>3</v>
      </c>
      <c r="Z501" s="5">
        <v>4</v>
      </c>
      <c r="AA501" s="5">
        <v>80</v>
      </c>
      <c r="AB501" s="5">
        <v>0</v>
      </c>
      <c r="AC501" s="5">
        <v>6</v>
      </c>
      <c r="AD501" s="5">
        <v>3</v>
      </c>
      <c r="AE501" s="5">
        <v>3</v>
      </c>
      <c r="AF501" s="5">
        <v>5</v>
      </c>
      <c r="AG501" s="5">
        <v>0</v>
      </c>
      <c r="AH501" s="5">
        <v>1</v>
      </c>
      <c r="AI501" s="5">
        <v>2</v>
      </c>
    </row>
    <row r="502" spans="1:35" x14ac:dyDescent="0.25">
      <c r="A502" s="5">
        <v>32</v>
      </c>
      <c r="B502" s="5" t="s">
        <v>43</v>
      </c>
      <c r="C502" s="5" t="s">
        <v>36</v>
      </c>
      <c r="D502" s="5">
        <v>646</v>
      </c>
      <c r="E502" s="5" t="s">
        <v>45</v>
      </c>
      <c r="F502" s="5">
        <v>9</v>
      </c>
      <c r="G502" s="5">
        <v>4</v>
      </c>
      <c r="H502" s="5" t="s">
        <v>38</v>
      </c>
      <c r="I502" s="5">
        <v>1</v>
      </c>
      <c r="J502" s="5">
        <v>679</v>
      </c>
      <c r="K502" s="5">
        <v>1</v>
      </c>
      <c r="L502" s="5" t="s">
        <v>39</v>
      </c>
      <c r="M502" s="5">
        <v>92</v>
      </c>
      <c r="N502" s="5">
        <v>3</v>
      </c>
      <c r="O502" s="5">
        <v>2</v>
      </c>
      <c r="P502" s="5" t="s">
        <v>47</v>
      </c>
      <c r="Q502" s="5">
        <v>4</v>
      </c>
      <c r="R502" s="5" t="s">
        <v>48</v>
      </c>
      <c r="S502" s="5">
        <v>6322</v>
      </c>
      <c r="T502" s="5">
        <v>18089</v>
      </c>
      <c r="U502" s="5">
        <v>1</v>
      </c>
      <c r="V502" s="5" t="s">
        <v>42</v>
      </c>
      <c r="W502" s="5" t="s">
        <v>35</v>
      </c>
      <c r="X502" s="5">
        <v>12</v>
      </c>
      <c r="Y502" s="5">
        <v>3</v>
      </c>
      <c r="Z502" s="5">
        <v>4</v>
      </c>
      <c r="AA502" s="5">
        <v>80</v>
      </c>
      <c r="AB502" s="5">
        <v>1</v>
      </c>
      <c r="AC502" s="5">
        <v>6</v>
      </c>
      <c r="AD502" s="5">
        <v>2</v>
      </c>
      <c r="AE502" s="5">
        <v>2</v>
      </c>
      <c r="AF502" s="5">
        <v>6</v>
      </c>
      <c r="AG502" s="5">
        <v>4</v>
      </c>
      <c r="AH502" s="5">
        <v>0</v>
      </c>
      <c r="AI502" s="5">
        <v>5</v>
      </c>
    </row>
    <row r="503" spans="1:35" x14ac:dyDescent="0.25">
      <c r="A503" s="5">
        <v>30</v>
      </c>
      <c r="B503" s="5" t="s">
        <v>43</v>
      </c>
      <c r="C503" s="5" t="s">
        <v>44</v>
      </c>
      <c r="D503" s="5">
        <v>160</v>
      </c>
      <c r="E503" s="5" t="s">
        <v>45</v>
      </c>
      <c r="F503" s="5">
        <v>3</v>
      </c>
      <c r="G503" s="5">
        <v>3</v>
      </c>
      <c r="H503" s="5" t="s">
        <v>51</v>
      </c>
      <c r="I503" s="5">
        <v>1</v>
      </c>
      <c r="J503" s="5">
        <v>680</v>
      </c>
      <c r="K503" s="5">
        <v>3</v>
      </c>
      <c r="L503" s="5" t="s">
        <v>39</v>
      </c>
      <c r="M503" s="5">
        <v>71</v>
      </c>
      <c r="N503" s="5">
        <v>3</v>
      </c>
      <c r="O503" s="5">
        <v>1</v>
      </c>
      <c r="P503" s="5" t="s">
        <v>47</v>
      </c>
      <c r="Q503" s="5">
        <v>3</v>
      </c>
      <c r="R503" s="5" t="s">
        <v>52</v>
      </c>
      <c r="S503" s="5">
        <v>2083</v>
      </c>
      <c r="T503" s="5">
        <v>22653</v>
      </c>
      <c r="U503" s="5">
        <v>1</v>
      </c>
      <c r="V503" s="5" t="s">
        <v>42</v>
      </c>
      <c r="W503" s="5" t="s">
        <v>43</v>
      </c>
      <c r="X503" s="5">
        <v>20</v>
      </c>
      <c r="Y503" s="5">
        <v>4</v>
      </c>
      <c r="Z503" s="5">
        <v>3</v>
      </c>
      <c r="AA503" s="5">
        <v>80</v>
      </c>
      <c r="AB503" s="5">
        <v>1</v>
      </c>
      <c r="AC503" s="5">
        <v>1</v>
      </c>
      <c r="AD503" s="5">
        <v>2</v>
      </c>
      <c r="AE503" s="5">
        <v>3</v>
      </c>
      <c r="AF503" s="5">
        <v>1</v>
      </c>
      <c r="AG503" s="5">
        <v>0</v>
      </c>
      <c r="AH503" s="5">
        <v>0</v>
      </c>
      <c r="AI503" s="5">
        <v>0</v>
      </c>
    </row>
    <row r="504" spans="1:35" x14ac:dyDescent="0.25">
      <c r="A504" s="5">
        <v>53</v>
      </c>
      <c r="B504" s="5" t="s">
        <v>43</v>
      </c>
      <c r="C504" s="5" t="s">
        <v>36</v>
      </c>
      <c r="D504" s="5">
        <v>238</v>
      </c>
      <c r="E504" s="5" t="s">
        <v>37</v>
      </c>
      <c r="F504" s="5">
        <v>1</v>
      </c>
      <c r="G504" s="5">
        <v>1</v>
      </c>
      <c r="H504" s="5" t="s">
        <v>51</v>
      </c>
      <c r="I504" s="5">
        <v>1</v>
      </c>
      <c r="J504" s="5">
        <v>682</v>
      </c>
      <c r="K504" s="5">
        <v>4</v>
      </c>
      <c r="L504" s="5" t="s">
        <v>39</v>
      </c>
      <c r="M504" s="5">
        <v>34</v>
      </c>
      <c r="N504" s="5">
        <v>3</v>
      </c>
      <c r="O504" s="5">
        <v>2</v>
      </c>
      <c r="P504" s="5" t="s">
        <v>40</v>
      </c>
      <c r="Q504" s="5">
        <v>1</v>
      </c>
      <c r="R504" s="5" t="s">
        <v>41</v>
      </c>
      <c r="S504" s="5">
        <v>8381</v>
      </c>
      <c r="T504" s="5">
        <v>7507</v>
      </c>
      <c r="U504" s="5">
        <v>7</v>
      </c>
      <c r="V504" s="5" t="s">
        <v>42</v>
      </c>
      <c r="W504" s="5" t="s">
        <v>43</v>
      </c>
      <c r="X504" s="5">
        <v>20</v>
      </c>
      <c r="Y504" s="5">
        <v>4</v>
      </c>
      <c r="Z504" s="5">
        <v>4</v>
      </c>
      <c r="AA504" s="5">
        <v>80</v>
      </c>
      <c r="AB504" s="5">
        <v>0</v>
      </c>
      <c r="AC504" s="5">
        <v>18</v>
      </c>
      <c r="AD504" s="5">
        <v>2</v>
      </c>
      <c r="AE504" s="5">
        <v>4</v>
      </c>
      <c r="AF504" s="5">
        <v>14</v>
      </c>
      <c r="AG504" s="5">
        <v>7</v>
      </c>
      <c r="AH504" s="5">
        <v>8</v>
      </c>
      <c r="AI504" s="5">
        <v>10</v>
      </c>
    </row>
    <row r="505" spans="1:35" x14ac:dyDescent="0.25">
      <c r="A505" s="5">
        <v>34</v>
      </c>
      <c r="B505" s="5" t="s">
        <v>43</v>
      </c>
      <c r="C505" s="5" t="s">
        <v>36</v>
      </c>
      <c r="D505" s="5">
        <v>1397</v>
      </c>
      <c r="E505" s="5" t="s">
        <v>45</v>
      </c>
      <c r="F505" s="5">
        <v>1</v>
      </c>
      <c r="G505" s="5">
        <v>5</v>
      </c>
      <c r="H505" s="5" t="s">
        <v>38</v>
      </c>
      <c r="I505" s="5">
        <v>1</v>
      </c>
      <c r="J505" s="5">
        <v>683</v>
      </c>
      <c r="K505" s="5">
        <v>2</v>
      </c>
      <c r="L505" s="5" t="s">
        <v>46</v>
      </c>
      <c r="M505" s="5">
        <v>42</v>
      </c>
      <c r="N505" s="5">
        <v>3</v>
      </c>
      <c r="O505" s="5">
        <v>1</v>
      </c>
      <c r="P505" s="5" t="s">
        <v>47</v>
      </c>
      <c r="Q505" s="5">
        <v>4</v>
      </c>
      <c r="R505" s="5" t="s">
        <v>48</v>
      </c>
      <c r="S505" s="5">
        <v>2691</v>
      </c>
      <c r="T505" s="5">
        <v>7660</v>
      </c>
      <c r="U505" s="5">
        <v>1</v>
      </c>
      <c r="V505" s="5" t="s">
        <v>42</v>
      </c>
      <c r="W505" s="5" t="s">
        <v>43</v>
      </c>
      <c r="X505" s="5">
        <v>12</v>
      </c>
      <c r="Y505" s="5">
        <v>3</v>
      </c>
      <c r="Z505" s="5">
        <v>4</v>
      </c>
      <c r="AA505" s="5">
        <v>80</v>
      </c>
      <c r="AB505" s="5">
        <v>1</v>
      </c>
      <c r="AC505" s="5">
        <v>10</v>
      </c>
      <c r="AD505" s="5">
        <v>4</v>
      </c>
      <c r="AE505" s="5">
        <v>2</v>
      </c>
      <c r="AF505" s="5">
        <v>10</v>
      </c>
      <c r="AG505" s="5">
        <v>9</v>
      </c>
      <c r="AH505" s="5">
        <v>8</v>
      </c>
      <c r="AI505" s="5">
        <v>8</v>
      </c>
    </row>
    <row r="506" spans="1:35" x14ac:dyDescent="0.25">
      <c r="A506" s="5">
        <v>45</v>
      </c>
      <c r="B506" s="5" t="s">
        <v>35</v>
      </c>
      <c r="C506" s="5" t="s">
        <v>44</v>
      </c>
      <c r="D506" s="5">
        <v>306</v>
      </c>
      <c r="E506" s="5" t="s">
        <v>37</v>
      </c>
      <c r="F506" s="5">
        <v>26</v>
      </c>
      <c r="G506" s="5">
        <v>4</v>
      </c>
      <c r="H506" s="5" t="s">
        <v>38</v>
      </c>
      <c r="I506" s="5">
        <v>1</v>
      </c>
      <c r="J506" s="5">
        <v>684</v>
      </c>
      <c r="K506" s="5">
        <v>1</v>
      </c>
      <c r="L506" s="5" t="s">
        <v>39</v>
      </c>
      <c r="M506" s="5">
        <v>100</v>
      </c>
      <c r="N506" s="5">
        <v>3</v>
      </c>
      <c r="O506" s="5">
        <v>2</v>
      </c>
      <c r="P506" s="5" t="s">
        <v>40</v>
      </c>
      <c r="Q506" s="5">
        <v>1</v>
      </c>
      <c r="R506" s="5" t="s">
        <v>48</v>
      </c>
      <c r="S506" s="5">
        <v>4286</v>
      </c>
      <c r="T506" s="5">
        <v>5630</v>
      </c>
      <c r="U506" s="5">
        <v>2</v>
      </c>
      <c r="V506" s="5" t="s">
        <v>42</v>
      </c>
      <c r="W506" s="5" t="s">
        <v>43</v>
      </c>
      <c r="X506" s="5">
        <v>14</v>
      </c>
      <c r="Y506" s="5">
        <v>3</v>
      </c>
      <c r="Z506" s="5">
        <v>4</v>
      </c>
      <c r="AA506" s="5">
        <v>80</v>
      </c>
      <c r="AB506" s="5">
        <v>2</v>
      </c>
      <c r="AC506" s="5">
        <v>5</v>
      </c>
      <c r="AD506" s="5">
        <v>4</v>
      </c>
      <c r="AE506" s="5">
        <v>3</v>
      </c>
      <c r="AF506" s="5">
        <v>1</v>
      </c>
      <c r="AG506" s="5">
        <v>1</v>
      </c>
      <c r="AH506" s="5">
        <v>0</v>
      </c>
      <c r="AI506" s="5">
        <v>0</v>
      </c>
    </row>
    <row r="507" spans="1:35" x14ac:dyDescent="0.25">
      <c r="A507" s="5">
        <v>26</v>
      </c>
      <c r="B507" s="5" t="s">
        <v>43</v>
      </c>
      <c r="C507" s="5" t="s">
        <v>36</v>
      </c>
      <c r="D507" s="5">
        <v>991</v>
      </c>
      <c r="E507" s="5" t="s">
        <v>45</v>
      </c>
      <c r="F507" s="5">
        <v>6</v>
      </c>
      <c r="G507" s="5">
        <v>3</v>
      </c>
      <c r="H507" s="5" t="s">
        <v>38</v>
      </c>
      <c r="I507" s="5">
        <v>1</v>
      </c>
      <c r="J507" s="5">
        <v>686</v>
      </c>
      <c r="K507" s="5">
        <v>3</v>
      </c>
      <c r="L507" s="5" t="s">
        <v>39</v>
      </c>
      <c r="M507" s="5">
        <v>71</v>
      </c>
      <c r="N507" s="5">
        <v>3</v>
      </c>
      <c r="O507" s="5">
        <v>1</v>
      </c>
      <c r="P507" s="5" t="s">
        <v>50</v>
      </c>
      <c r="Q507" s="5">
        <v>4</v>
      </c>
      <c r="R507" s="5" t="s">
        <v>48</v>
      </c>
      <c r="S507" s="5">
        <v>2659</v>
      </c>
      <c r="T507" s="5">
        <v>17759</v>
      </c>
      <c r="U507" s="5">
        <v>1</v>
      </c>
      <c r="V507" s="5" t="s">
        <v>42</v>
      </c>
      <c r="W507" s="5" t="s">
        <v>35</v>
      </c>
      <c r="X507" s="5">
        <v>13</v>
      </c>
      <c r="Y507" s="5">
        <v>3</v>
      </c>
      <c r="Z507" s="5">
        <v>3</v>
      </c>
      <c r="AA507" s="5">
        <v>80</v>
      </c>
      <c r="AB507" s="5">
        <v>1</v>
      </c>
      <c r="AC507" s="5">
        <v>3</v>
      </c>
      <c r="AD507" s="5">
        <v>2</v>
      </c>
      <c r="AE507" s="5">
        <v>3</v>
      </c>
      <c r="AF507" s="5">
        <v>3</v>
      </c>
      <c r="AG507" s="5">
        <v>2</v>
      </c>
      <c r="AH507" s="5">
        <v>0</v>
      </c>
      <c r="AI507" s="5">
        <v>2</v>
      </c>
    </row>
    <row r="508" spans="1:35" x14ac:dyDescent="0.25">
      <c r="A508" s="5">
        <v>37</v>
      </c>
      <c r="B508" s="5" t="s">
        <v>43</v>
      </c>
      <c r="C508" s="5" t="s">
        <v>36</v>
      </c>
      <c r="D508" s="5">
        <v>482</v>
      </c>
      <c r="E508" s="5" t="s">
        <v>45</v>
      </c>
      <c r="F508" s="5">
        <v>3</v>
      </c>
      <c r="G508" s="5">
        <v>3</v>
      </c>
      <c r="H508" s="5" t="s">
        <v>49</v>
      </c>
      <c r="I508" s="5">
        <v>1</v>
      </c>
      <c r="J508" s="5">
        <v>689</v>
      </c>
      <c r="K508" s="5">
        <v>3</v>
      </c>
      <c r="L508" s="5" t="s">
        <v>46</v>
      </c>
      <c r="M508" s="5">
        <v>36</v>
      </c>
      <c r="N508" s="5">
        <v>3</v>
      </c>
      <c r="O508" s="5">
        <v>3</v>
      </c>
      <c r="P508" s="5" t="s">
        <v>53</v>
      </c>
      <c r="Q508" s="5">
        <v>3</v>
      </c>
      <c r="R508" s="5" t="s">
        <v>48</v>
      </c>
      <c r="S508" s="5">
        <v>9434</v>
      </c>
      <c r="T508" s="5">
        <v>9606</v>
      </c>
      <c r="U508" s="5">
        <v>1</v>
      </c>
      <c r="V508" s="5" t="s">
        <v>42</v>
      </c>
      <c r="W508" s="5" t="s">
        <v>43</v>
      </c>
      <c r="X508" s="5">
        <v>15</v>
      </c>
      <c r="Y508" s="5">
        <v>3</v>
      </c>
      <c r="Z508" s="5">
        <v>3</v>
      </c>
      <c r="AA508" s="5">
        <v>80</v>
      </c>
      <c r="AB508" s="5">
        <v>1</v>
      </c>
      <c r="AC508" s="5">
        <v>10</v>
      </c>
      <c r="AD508" s="5">
        <v>2</v>
      </c>
      <c r="AE508" s="5">
        <v>3</v>
      </c>
      <c r="AF508" s="5">
        <v>10</v>
      </c>
      <c r="AG508" s="5">
        <v>7</v>
      </c>
      <c r="AH508" s="5">
        <v>7</v>
      </c>
      <c r="AI508" s="5">
        <v>8</v>
      </c>
    </row>
    <row r="509" spans="1:35" x14ac:dyDescent="0.25">
      <c r="A509" s="5">
        <v>29</v>
      </c>
      <c r="B509" s="5" t="s">
        <v>43</v>
      </c>
      <c r="C509" s="5" t="s">
        <v>36</v>
      </c>
      <c r="D509" s="5">
        <v>1176</v>
      </c>
      <c r="E509" s="5" t="s">
        <v>37</v>
      </c>
      <c r="F509" s="5">
        <v>3</v>
      </c>
      <c r="G509" s="5">
        <v>2</v>
      </c>
      <c r="H509" s="5" t="s">
        <v>51</v>
      </c>
      <c r="I509" s="5">
        <v>1</v>
      </c>
      <c r="J509" s="5">
        <v>690</v>
      </c>
      <c r="K509" s="5">
        <v>2</v>
      </c>
      <c r="L509" s="5" t="s">
        <v>39</v>
      </c>
      <c r="M509" s="5">
        <v>62</v>
      </c>
      <c r="N509" s="5">
        <v>3</v>
      </c>
      <c r="O509" s="5">
        <v>2</v>
      </c>
      <c r="P509" s="5" t="s">
        <v>40</v>
      </c>
      <c r="Q509" s="5">
        <v>3</v>
      </c>
      <c r="R509" s="5" t="s">
        <v>48</v>
      </c>
      <c r="S509" s="5">
        <v>5561</v>
      </c>
      <c r="T509" s="5">
        <v>3487</v>
      </c>
      <c r="U509" s="5">
        <v>1</v>
      </c>
      <c r="V509" s="5" t="s">
        <v>42</v>
      </c>
      <c r="W509" s="5" t="s">
        <v>43</v>
      </c>
      <c r="X509" s="5">
        <v>14</v>
      </c>
      <c r="Y509" s="5">
        <v>3</v>
      </c>
      <c r="Z509" s="5">
        <v>1</v>
      </c>
      <c r="AA509" s="5">
        <v>80</v>
      </c>
      <c r="AB509" s="5">
        <v>1</v>
      </c>
      <c r="AC509" s="5">
        <v>6</v>
      </c>
      <c r="AD509" s="5">
        <v>5</v>
      </c>
      <c r="AE509" s="5">
        <v>2</v>
      </c>
      <c r="AF509" s="5">
        <v>6</v>
      </c>
      <c r="AG509" s="5">
        <v>0</v>
      </c>
      <c r="AH509" s="5">
        <v>1</v>
      </c>
      <c r="AI509" s="5">
        <v>2</v>
      </c>
    </row>
    <row r="510" spans="1:35" x14ac:dyDescent="0.25">
      <c r="A510" s="5">
        <v>35</v>
      </c>
      <c r="B510" s="5" t="s">
        <v>43</v>
      </c>
      <c r="C510" s="5" t="s">
        <v>36</v>
      </c>
      <c r="D510" s="5">
        <v>1017</v>
      </c>
      <c r="E510" s="5" t="s">
        <v>45</v>
      </c>
      <c r="F510" s="5">
        <v>6</v>
      </c>
      <c r="G510" s="5">
        <v>4</v>
      </c>
      <c r="H510" s="5" t="s">
        <v>38</v>
      </c>
      <c r="I510" s="5">
        <v>1</v>
      </c>
      <c r="J510" s="5">
        <v>691</v>
      </c>
      <c r="K510" s="5">
        <v>2</v>
      </c>
      <c r="L510" s="5" t="s">
        <v>46</v>
      </c>
      <c r="M510" s="5">
        <v>82</v>
      </c>
      <c r="N510" s="5">
        <v>1</v>
      </c>
      <c r="O510" s="5">
        <v>2</v>
      </c>
      <c r="P510" s="5" t="s">
        <v>47</v>
      </c>
      <c r="Q510" s="5">
        <v>4</v>
      </c>
      <c r="R510" s="5" t="s">
        <v>41</v>
      </c>
      <c r="S510" s="5">
        <v>6646</v>
      </c>
      <c r="T510" s="5">
        <v>19368</v>
      </c>
      <c r="U510" s="5">
        <v>1</v>
      </c>
      <c r="V510" s="5" t="s">
        <v>42</v>
      </c>
      <c r="W510" s="5" t="s">
        <v>43</v>
      </c>
      <c r="X510" s="5">
        <v>13</v>
      </c>
      <c r="Y510" s="5">
        <v>3</v>
      </c>
      <c r="Z510" s="5">
        <v>2</v>
      </c>
      <c r="AA510" s="5">
        <v>80</v>
      </c>
      <c r="AB510" s="5">
        <v>0</v>
      </c>
      <c r="AC510" s="5">
        <v>17</v>
      </c>
      <c r="AD510" s="5">
        <v>3</v>
      </c>
      <c r="AE510" s="5">
        <v>3</v>
      </c>
      <c r="AF510" s="5">
        <v>17</v>
      </c>
      <c r="AG510" s="5">
        <v>11</v>
      </c>
      <c r="AH510" s="5">
        <v>11</v>
      </c>
      <c r="AI510" s="5">
        <v>8</v>
      </c>
    </row>
    <row r="511" spans="1:35" x14ac:dyDescent="0.25">
      <c r="A511" s="5">
        <v>33</v>
      </c>
      <c r="B511" s="5" t="s">
        <v>43</v>
      </c>
      <c r="C511" s="5" t="s">
        <v>44</v>
      </c>
      <c r="D511" s="5">
        <v>1296</v>
      </c>
      <c r="E511" s="5" t="s">
        <v>45</v>
      </c>
      <c r="F511" s="5">
        <v>6</v>
      </c>
      <c r="G511" s="5">
        <v>3</v>
      </c>
      <c r="H511" s="5" t="s">
        <v>38</v>
      </c>
      <c r="I511" s="5">
        <v>1</v>
      </c>
      <c r="J511" s="5">
        <v>692</v>
      </c>
      <c r="K511" s="5">
        <v>3</v>
      </c>
      <c r="L511" s="5" t="s">
        <v>46</v>
      </c>
      <c r="M511" s="5">
        <v>30</v>
      </c>
      <c r="N511" s="5">
        <v>3</v>
      </c>
      <c r="O511" s="5">
        <v>2</v>
      </c>
      <c r="P511" s="5" t="s">
        <v>54</v>
      </c>
      <c r="Q511" s="5">
        <v>4</v>
      </c>
      <c r="R511" s="5" t="s">
        <v>52</v>
      </c>
      <c r="S511" s="5">
        <v>7725</v>
      </c>
      <c r="T511" s="5">
        <v>5335</v>
      </c>
      <c r="U511" s="5">
        <v>3</v>
      </c>
      <c r="V511" s="5" t="s">
        <v>42</v>
      </c>
      <c r="W511" s="5" t="s">
        <v>43</v>
      </c>
      <c r="X511" s="5">
        <v>23</v>
      </c>
      <c r="Y511" s="5">
        <v>4</v>
      </c>
      <c r="Z511" s="5">
        <v>3</v>
      </c>
      <c r="AA511" s="5">
        <v>80</v>
      </c>
      <c r="AB511" s="5">
        <v>1</v>
      </c>
      <c r="AC511" s="5">
        <v>15</v>
      </c>
      <c r="AD511" s="5">
        <v>2</v>
      </c>
      <c r="AE511" s="5">
        <v>1</v>
      </c>
      <c r="AF511" s="5">
        <v>13</v>
      </c>
      <c r="AG511" s="5">
        <v>11</v>
      </c>
      <c r="AH511" s="5">
        <v>4</v>
      </c>
      <c r="AI511" s="5">
        <v>7</v>
      </c>
    </row>
    <row r="512" spans="1:35" x14ac:dyDescent="0.25">
      <c r="A512" s="5">
        <v>54</v>
      </c>
      <c r="B512" s="5" t="s">
        <v>43</v>
      </c>
      <c r="C512" s="5" t="s">
        <v>36</v>
      </c>
      <c r="D512" s="5">
        <v>397</v>
      </c>
      <c r="E512" s="5" t="s">
        <v>61</v>
      </c>
      <c r="F512" s="5">
        <v>19</v>
      </c>
      <c r="G512" s="5">
        <v>4</v>
      </c>
      <c r="H512" s="5" t="s">
        <v>51</v>
      </c>
      <c r="I512" s="5">
        <v>1</v>
      </c>
      <c r="J512" s="5">
        <v>698</v>
      </c>
      <c r="K512" s="5">
        <v>3</v>
      </c>
      <c r="L512" s="5" t="s">
        <v>46</v>
      </c>
      <c r="M512" s="5">
        <v>88</v>
      </c>
      <c r="N512" s="5">
        <v>3</v>
      </c>
      <c r="O512" s="5">
        <v>3</v>
      </c>
      <c r="P512" s="5" t="s">
        <v>61</v>
      </c>
      <c r="Q512" s="5">
        <v>2</v>
      </c>
      <c r="R512" s="5" t="s">
        <v>48</v>
      </c>
      <c r="S512" s="5">
        <v>10725</v>
      </c>
      <c r="T512" s="5">
        <v>6729</v>
      </c>
      <c r="U512" s="5">
        <v>2</v>
      </c>
      <c r="V512" s="5" t="s">
        <v>42</v>
      </c>
      <c r="W512" s="5" t="s">
        <v>43</v>
      </c>
      <c r="X512" s="5">
        <v>15</v>
      </c>
      <c r="Y512" s="5">
        <v>3</v>
      </c>
      <c r="Z512" s="5">
        <v>3</v>
      </c>
      <c r="AA512" s="5">
        <v>80</v>
      </c>
      <c r="AB512" s="5">
        <v>1</v>
      </c>
      <c r="AC512" s="5">
        <v>16</v>
      </c>
      <c r="AD512" s="5">
        <v>1</v>
      </c>
      <c r="AE512" s="5">
        <v>4</v>
      </c>
      <c r="AF512" s="5">
        <v>9</v>
      </c>
      <c r="AG512" s="5">
        <v>7</v>
      </c>
      <c r="AH512" s="5">
        <v>7</v>
      </c>
      <c r="AI512" s="5">
        <v>1</v>
      </c>
    </row>
    <row r="513" spans="1:35" x14ac:dyDescent="0.25">
      <c r="A513" s="5">
        <v>36</v>
      </c>
      <c r="B513" s="5" t="s">
        <v>43</v>
      </c>
      <c r="C513" s="5" t="s">
        <v>36</v>
      </c>
      <c r="D513" s="5">
        <v>913</v>
      </c>
      <c r="E513" s="5" t="s">
        <v>45</v>
      </c>
      <c r="F513" s="5">
        <v>9</v>
      </c>
      <c r="G513" s="5">
        <v>2</v>
      </c>
      <c r="H513" s="5" t="s">
        <v>51</v>
      </c>
      <c r="I513" s="5">
        <v>1</v>
      </c>
      <c r="J513" s="5">
        <v>699</v>
      </c>
      <c r="K513" s="5">
        <v>2</v>
      </c>
      <c r="L513" s="5" t="s">
        <v>46</v>
      </c>
      <c r="M513" s="5">
        <v>48</v>
      </c>
      <c r="N513" s="5">
        <v>2</v>
      </c>
      <c r="O513" s="5">
        <v>2</v>
      </c>
      <c r="P513" s="5" t="s">
        <v>53</v>
      </c>
      <c r="Q513" s="5">
        <v>2</v>
      </c>
      <c r="R513" s="5" t="s">
        <v>52</v>
      </c>
      <c r="S513" s="5">
        <v>8847</v>
      </c>
      <c r="T513" s="5">
        <v>13934</v>
      </c>
      <c r="U513" s="5">
        <v>2</v>
      </c>
      <c r="V513" s="5" t="s">
        <v>42</v>
      </c>
      <c r="W513" s="5" t="s">
        <v>35</v>
      </c>
      <c r="X513" s="5">
        <v>11</v>
      </c>
      <c r="Y513" s="5">
        <v>3</v>
      </c>
      <c r="Z513" s="5">
        <v>3</v>
      </c>
      <c r="AA513" s="5">
        <v>80</v>
      </c>
      <c r="AB513" s="5">
        <v>1</v>
      </c>
      <c r="AC513" s="5">
        <v>13</v>
      </c>
      <c r="AD513" s="5">
        <v>2</v>
      </c>
      <c r="AE513" s="5">
        <v>3</v>
      </c>
      <c r="AF513" s="5">
        <v>3</v>
      </c>
      <c r="AG513" s="5">
        <v>2</v>
      </c>
      <c r="AH513" s="5">
        <v>0</v>
      </c>
      <c r="AI513" s="5">
        <v>2</v>
      </c>
    </row>
    <row r="514" spans="1:35" x14ac:dyDescent="0.25">
      <c r="A514" s="5">
        <v>27</v>
      </c>
      <c r="B514" s="5" t="s">
        <v>43</v>
      </c>
      <c r="C514" s="5" t="s">
        <v>36</v>
      </c>
      <c r="D514" s="5">
        <v>1115</v>
      </c>
      <c r="E514" s="5" t="s">
        <v>45</v>
      </c>
      <c r="F514" s="5">
        <v>3</v>
      </c>
      <c r="G514" s="5">
        <v>4</v>
      </c>
      <c r="H514" s="5" t="s">
        <v>51</v>
      </c>
      <c r="I514" s="5">
        <v>1</v>
      </c>
      <c r="J514" s="5">
        <v>700</v>
      </c>
      <c r="K514" s="5">
        <v>1</v>
      </c>
      <c r="L514" s="5" t="s">
        <v>46</v>
      </c>
      <c r="M514" s="5">
        <v>54</v>
      </c>
      <c r="N514" s="5">
        <v>2</v>
      </c>
      <c r="O514" s="5">
        <v>1</v>
      </c>
      <c r="P514" s="5" t="s">
        <v>47</v>
      </c>
      <c r="Q514" s="5">
        <v>4</v>
      </c>
      <c r="R514" s="5" t="s">
        <v>41</v>
      </c>
      <c r="S514" s="5">
        <v>2045</v>
      </c>
      <c r="T514" s="5">
        <v>15174</v>
      </c>
      <c r="U514" s="5">
        <v>0</v>
      </c>
      <c r="V514" s="5" t="s">
        <v>42</v>
      </c>
      <c r="W514" s="5" t="s">
        <v>43</v>
      </c>
      <c r="X514" s="5">
        <v>13</v>
      </c>
      <c r="Y514" s="5">
        <v>3</v>
      </c>
      <c r="Z514" s="5">
        <v>4</v>
      </c>
      <c r="AA514" s="5">
        <v>80</v>
      </c>
      <c r="AB514" s="5">
        <v>0</v>
      </c>
      <c r="AC514" s="5">
        <v>5</v>
      </c>
      <c r="AD514" s="5">
        <v>0</v>
      </c>
      <c r="AE514" s="5">
        <v>3</v>
      </c>
      <c r="AF514" s="5">
        <v>4</v>
      </c>
      <c r="AG514" s="5">
        <v>2</v>
      </c>
      <c r="AH514" s="5">
        <v>1</v>
      </c>
      <c r="AI514" s="5">
        <v>1</v>
      </c>
    </row>
    <row r="515" spans="1:35" x14ac:dyDescent="0.25">
      <c r="A515" s="5">
        <v>20</v>
      </c>
      <c r="B515" s="5" t="s">
        <v>35</v>
      </c>
      <c r="C515" s="5" t="s">
        <v>36</v>
      </c>
      <c r="D515" s="5">
        <v>1362</v>
      </c>
      <c r="E515" s="5" t="s">
        <v>45</v>
      </c>
      <c r="F515" s="5">
        <v>10</v>
      </c>
      <c r="G515" s="5">
        <v>1</v>
      </c>
      <c r="H515" s="5" t="s">
        <v>51</v>
      </c>
      <c r="I515" s="5">
        <v>1</v>
      </c>
      <c r="J515" s="5">
        <v>701</v>
      </c>
      <c r="K515" s="5">
        <v>4</v>
      </c>
      <c r="L515" s="5" t="s">
        <v>46</v>
      </c>
      <c r="M515" s="5">
        <v>32</v>
      </c>
      <c r="N515" s="5">
        <v>3</v>
      </c>
      <c r="O515" s="5">
        <v>1</v>
      </c>
      <c r="P515" s="5" t="s">
        <v>47</v>
      </c>
      <c r="Q515" s="5">
        <v>3</v>
      </c>
      <c r="R515" s="5" t="s">
        <v>41</v>
      </c>
      <c r="S515" s="5">
        <v>1009</v>
      </c>
      <c r="T515" s="5">
        <v>26999</v>
      </c>
      <c r="U515" s="5">
        <v>1</v>
      </c>
      <c r="V515" s="5" t="s">
        <v>42</v>
      </c>
      <c r="W515" s="5" t="s">
        <v>35</v>
      </c>
      <c r="X515" s="5">
        <v>11</v>
      </c>
      <c r="Y515" s="5">
        <v>3</v>
      </c>
      <c r="Z515" s="5">
        <v>4</v>
      </c>
      <c r="AA515" s="5">
        <v>80</v>
      </c>
      <c r="AB515" s="5">
        <v>0</v>
      </c>
      <c r="AC515" s="5">
        <v>1</v>
      </c>
      <c r="AD515" s="5">
        <v>5</v>
      </c>
      <c r="AE515" s="5">
        <v>3</v>
      </c>
      <c r="AF515" s="5">
        <v>1</v>
      </c>
      <c r="AG515" s="5">
        <v>0</v>
      </c>
      <c r="AH515" s="5">
        <v>1</v>
      </c>
      <c r="AI515" s="5">
        <v>1</v>
      </c>
    </row>
    <row r="516" spans="1:35" x14ac:dyDescent="0.25">
      <c r="A516" s="5">
        <v>33</v>
      </c>
      <c r="B516" s="5" t="s">
        <v>35</v>
      </c>
      <c r="C516" s="5" t="s">
        <v>44</v>
      </c>
      <c r="D516" s="5">
        <v>1076</v>
      </c>
      <c r="E516" s="5" t="s">
        <v>45</v>
      </c>
      <c r="F516" s="5">
        <v>3</v>
      </c>
      <c r="G516" s="5">
        <v>3</v>
      </c>
      <c r="H516" s="5" t="s">
        <v>38</v>
      </c>
      <c r="I516" s="5">
        <v>1</v>
      </c>
      <c r="J516" s="5">
        <v>702</v>
      </c>
      <c r="K516" s="5">
        <v>1</v>
      </c>
      <c r="L516" s="5" t="s">
        <v>46</v>
      </c>
      <c r="M516" s="5">
        <v>70</v>
      </c>
      <c r="N516" s="5">
        <v>3</v>
      </c>
      <c r="O516" s="5">
        <v>1</v>
      </c>
      <c r="P516" s="5" t="s">
        <v>47</v>
      </c>
      <c r="Q516" s="5">
        <v>1</v>
      </c>
      <c r="R516" s="5" t="s">
        <v>41</v>
      </c>
      <c r="S516" s="5">
        <v>3348</v>
      </c>
      <c r="T516" s="5">
        <v>3164</v>
      </c>
      <c r="U516" s="5">
        <v>1</v>
      </c>
      <c r="V516" s="5" t="s">
        <v>42</v>
      </c>
      <c r="W516" s="5" t="s">
        <v>35</v>
      </c>
      <c r="X516" s="5">
        <v>11</v>
      </c>
      <c r="Y516" s="5">
        <v>3</v>
      </c>
      <c r="Z516" s="5">
        <v>1</v>
      </c>
      <c r="AA516" s="5">
        <v>80</v>
      </c>
      <c r="AB516" s="5">
        <v>0</v>
      </c>
      <c r="AC516" s="5">
        <v>10</v>
      </c>
      <c r="AD516" s="5">
        <v>3</v>
      </c>
      <c r="AE516" s="5">
        <v>3</v>
      </c>
      <c r="AF516" s="5">
        <v>10</v>
      </c>
      <c r="AG516" s="5">
        <v>8</v>
      </c>
      <c r="AH516" s="5">
        <v>9</v>
      </c>
      <c r="AI516" s="5">
        <v>7</v>
      </c>
    </row>
    <row r="517" spans="1:35" x14ac:dyDescent="0.25">
      <c r="A517" s="5">
        <v>35</v>
      </c>
      <c r="B517" s="5" t="s">
        <v>43</v>
      </c>
      <c r="C517" s="5" t="s">
        <v>55</v>
      </c>
      <c r="D517" s="5">
        <v>727</v>
      </c>
      <c r="E517" s="5" t="s">
        <v>45</v>
      </c>
      <c r="F517" s="5">
        <v>3</v>
      </c>
      <c r="G517" s="5">
        <v>3</v>
      </c>
      <c r="H517" s="5" t="s">
        <v>38</v>
      </c>
      <c r="I517" s="5">
        <v>1</v>
      </c>
      <c r="J517" s="5">
        <v>704</v>
      </c>
      <c r="K517" s="5">
        <v>3</v>
      </c>
      <c r="L517" s="5" t="s">
        <v>46</v>
      </c>
      <c r="M517" s="5">
        <v>41</v>
      </c>
      <c r="N517" s="5">
        <v>2</v>
      </c>
      <c r="O517" s="5">
        <v>1</v>
      </c>
      <c r="P517" s="5" t="s">
        <v>50</v>
      </c>
      <c r="Q517" s="5">
        <v>3</v>
      </c>
      <c r="R517" s="5" t="s">
        <v>48</v>
      </c>
      <c r="S517" s="5">
        <v>1281</v>
      </c>
      <c r="T517" s="5">
        <v>16900</v>
      </c>
      <c r="U517" s="5">
        <v>1</v>
      </c>
      <c r="V517" s="5" t="s">
        <v>42</v>
      </c>
      <c r="W517" s="5" t="s">
        <v>43</v>
      </c>
      <c r="X517" s="5">
        <v>18</v>
      </c>
      <c r="Y517" s="5">
        <v>3</v>
      </c>
      <c r="Z517" s="5">
        <v>3</v>
      </c>
      <c r="AA517" s="5">
        <v>80</v>
      </c>
      <c r="AB517" s="5">
        <v>2</v>
      </c>
      <c r="AC517" s="5">
        <v>1</v>
      </c>
      <c r="AD517" s="5">
        <v>3</v>
      </c>
      <c r="AE517" s="5">
        <v>3</v>
      </c>
      <c r="AF517" s="5">
        <v>1</v>
      </c>
      <c r="AG517" s="5">
        <v>0</v>
      </c>
      <c r="AH517" s="5">
        <v>0</v>
      </c>
      <c r="AI517" s="5">
        <v>0</v>
      </c>
    </row>
    <row r="518" spans="1:35" x14ac:dyDescent="0.25">
      <c r="A518" s="5">
        <v>23</v>
      </c>
      <c r="B518" s="5" t="s">
        <v>43</v>
      </c>
      <c r="C518" s="5" t="s">
        <v>36</v>
      </c>
      <c r="D518" s="5">
        <v>885</v>
      </c>
      <c r="E518" s="5" t="s">
        <v>45</v>
      </c>
      <c r="F518" s="5">
        <v>4</v>
      </c>
      <c r="G518" s="5">
        <v>3</v>
      </c>
      <c r="H518" s="5" t="s">
        <v>51</v>
      </c>
      <c r="I518" s="5">
        <v>1</v>
      </c>
      <c r="J518" s="5">
        <v>705</v>
      </c>
      <c r="K518" s="5">
        <v>1</v>
      </c>
      <c r="L518" s="5" t="s">
        <v>46</v>
      </c>
      <c r="M518" s="5">
        <v>58</v>
      </c>
      <c r="N518" s="5">
        <v>4</v>
      </c>
      <c r="O518" s="5">
        <v>1</v>
      </c>
      <c r="P518" s="5" t="s">
        <v>47</v>
      </c>
      <c r="Q518" s="5">
        <v>1</v>
      </c>
      <c r="R518" s="5" t="s">
        <v>48</v>
      </c>
      <c r="S518" s="5">
        <v>2819</v>
      </c>
      <c r="T518" s="5">
        <v>8544</v>
      </c>
      <c r="U518" s="5">
        <v>2</v>
      </c>
      <c r="V518" s="5" t="s">
        <v>42</v>
      </c>
      <c r="W518" s="5" t="s">
        <v>43</v>
      </c>
      <c r="X518" s="5">
        <v>16</v>
      </c>
      <c r="Y518" s="5">
        <v>3</v>
      </c>
      <c r="Z518" s="5">
        <v>1</v>
      </c>
      <c r="AA518" s="5">
        <v>80</v>
      </c>
      <c r="AB518" s="5">
        <v>1</v>
      </c>
      <c r="AC518" s="5">
        <v>5</v>
      </c>
      <c r="AD518" s="5">
        <v>3</v>
      </c>
      <c r="AE518" s="5">
        <v>4</v>
      </c>
      <c r="AF518" s="5">
        <v>3</v>
      </c>
      <c r="AG518" s="5">
        <v>2</v>
      </c>
      <c r="AH518" s="5">
        <v>0</v>
      </c>
      <c r="AI518" s="5">
        <v>2</v>
      </c>
    </row>
    <row r="519" spans="1:35" x14ac:dyDescent="0.25">
      <c r="A519" s="5">
        <v>25</v>
      </c>
      <c r="B519" s="5" t="s">
        <v>43</v>
      </c>
      <c r="C519" s="5" t="s">
        <v>36</v>
      </c>
      <c r="D519" s="5">
        <v>810</v>
      </c>
      <c r="E519" s="5" t="s">
        <v>37</v>
      </c>
      <c r="F519" s="5">
        <v>8</v>
      </c>
      <c r="G519" s="5">
        <v>3</v>
      </c>
      <c r="H519" s="5" t="s">
        <v>38</v>
      </c>
      <c r="I519" s="5">
        <v>1</v>
      </c>
      <c r="J519" s="5">
        <v>707</v>
      </c>
      <c r="K519" s="5">
        <v>4</v>
      </c>
      <c r="L519" s="5" t="s">
        <v>46</v>
      </c>
      <c r="M519" s="5">
        <v>57</v>
      </c>
      <c r="N519" s="5">
        <v>4</v>
      </c>
      <c r="O519" s="5">
        <v>2</v>
      </c>
      <c r="P519" s="5" t="s">
        <v>40</v>
      </c>
      <c r="Q519" s="5">
        <v>2</v>
      </c>
      <c r="R519" s="5" t="s">
        <v>48</v>
      </c>
      <c r="S519" s="5">
        <v>4851</v>
      </c>
      <c r="T519" s="5">
        <v>15678</v>
      </c>
      <c r="U519" s="5">
        <v>0</v>
      </c>
      <c r="V519" s="5" t="s">
        <v>42</v>
      </c>
      <c r="W519" s="5" t="s">
        <v>43</v>
      </c>
      <c r="X519" s="5">
        <v>22</v>
      </c>
      <c r="Y519" s="5">
        <v>4</v>
      </c>
      <c r="Z519" s="5">
        <v>3</v>
      </c>
      <c r="AA519" s="5">
        <v>80</v>
      </c>
      <c r="AB519" s="5">
        <v>1</v>
      </c>
      <c r="AC519" s="5">
        <v>4</v>
      </c>
      <c r="AD519" s="5">
        <v>4</v>
      </c>
      <c r="AE519" s="5">
        <v>3</v>
      </c>
      <c r="AF519" s="5">
        <v>3</v>
      </c>
      <c r="AG519" s="5">
        <v>2</v>
      </c>
      <c r="AH519" s="5">
        <v>1</v>
      </c>
      <c r="AI519" s="5">
        <v>2</v>
      </c>
    </row>
    <row r="520" spans="1:35" x14ac:dyDescent="0.25">
      <c r="A520" s="5">
        <v>38</v>
      </c>
      <c r="B520" s="5" t="s">
        <v>43</v>
      </c>
      <c r="C520" s="5" t="s">
        <v>36</v>
      </c>
      <c r="D520" s="5">
        <v>243</v>
      </c>
      <c r="E520" s="5" t="s">
        <v>37</v>
      </c>
      <c r="F520" s="5">
        <v>7</v>
      </c>
      <c r="G520" s="5">
        <v>4</v>
      </c>
      <c r="H520" s="5" t="s">
        <v>59</v>
      </c>
      <c r="I520" s="5">
        <v>1</v>
      </c>
      <c r="J520" s="5">
        <v>709</v>
      </c>
      <c r="K520" s="5">
        <v>4</v>
      </c>
      <c r="L520" s="5" t="s">
        <v>39</v>
      </c>
      <c r="M520" s="5">
        <v>46</v>
      </c>
      <c r="N520" s="5">
        <v>2</v>
      </c>
      <c r="O520" s="5">
        <v>2</v>
      </c>
      <c r="P520" s="5" t="s">
        <v>40</v>
      </c>
      <c r="Q520" s="5">
        <v>4</v>
      </c>
      <c r="R520" s="5" t="s">
        <v>41</v>
      </c>
      <c r="S520" s="5">
        <v>4028</v>
      </c>
      <c r="T520" s="5">
        <v>7791</v>
      </c>
      <c r="U520" s="5">
        <v>0</v>
      </c>
      <c r="V520" s="5" t="s">
        <v>42</v>
      </c>
      <c r="W520" s="5" t="s">
        <v>43</v>
      </c>
      <c r="X520" s="5">
        <v>20</v>
      </c>
      <c r="Y520" s="5">
        <v>4</v>
      </c>
      <c r="Z520" s="5">
        <v>1</v>
      </c>
      <c r="AA520" s="5">
        <v>80</v>
      </c>
      <c r="AB520" s="5">
        <v>0</v>
      </c>
      <c r="AC520" s="5">
        <v>8</v>
      </c>
      <c r="AD520" s="5">
        <v>2</v>
      </c>
      <c r="AE520" s="5">
        <v>3</v>
      </c>
      <c r="AF520" s="5">
        <v>7</v>
      </c>
      <c r="AG520" s="5">
        <v>7</v>
      </c>
      <c r="AH520" s="5">
        <v>0</v>
      </c>
      <c r="AI520" s="5">
        <v>5</v>
      </c>
    </row>
    <row r="521" spans="1:35" x14ac:dyDescent="0.25">
      <c r="A521" s="5">
        <v>29</v>
      </c>
      <c r="B521" s="5" t="s">
        <v>43</v>
      </c>
      <c r="C521" s="5" t="s">
        <v>44</v>
      </c>
      <c r="D521" s="5">
        <v>806</v>
      </c>
      <c r="E521" s="5" t="s">
        <v>45</v>
      </c>
      <c r="F521" s="5">
        <v>1</v>
      </c>
      <c r="G521" s="5">
        <v>4</v>
      </c>
      <c r="H521" s="5" t="s">
        <v>38</v>
      </c>
      <c r="I521" s="5">
        <v>1</v>
      </c>
      <c r="J521" s="5">
        <v>710</v>
      </c>
      <c r="K521" s="5">
        <v>2</v>
      </c>
      <c r="L521" s="5" t="s">
        <v>46</v>
      </c>
      <c r="M521" s="5">
        <v>76</v>
      </c>
      <c r="N521" s="5">
        <v>1</v>
      </c>
      <c r="O521" s="5">
        <v>1</v>
      </c>
      <c r="P521" s="5" t="s">
        <v>47</v>
      </c>
      <c r="Q521" s="5">
        <v>4</v>
      </c>
      <c r="R521" s="5" t="s">
        <v>52</v>
      </c>
      <c r="S521" s="5">
        <v>2720</v>
      </c>
      <c r="T521" s="5">
        <v>18959</v>
      </c>
      <c r="U521" s="5">
        <v>1</v>
      </c>
      <c r="V521" s="5" t="s">
        <v>42</v>
      </c>
      <c r="W521" s="5" t="s">
        <v>43</v>
      </c>
      <c r="X521" s="5">
        <v>18</v>
      </c>
      <c r="Y521" s="5">
        <v>3</v>
      </c>
      <c r="Z521" s="5">
        <v>4</v>
      </c>
      <c r="AA521" s="5">
        <v>80</v>
      </c>
      <c r="AB521" s="5">
        <v>1</v>
      </c>
      <c r="AC521" s="5">
        <v>10</v>
      </c>
      <c r="AD521" s="5">
        <v>5</v>
      </c>
      <c r="AE521" s="5">
        <v>3</v>
      </c>
      <c r="AF521" s="5">
        <v>10</v>
      </c>
      <c r="AG521" s="5">
        <v>7</v>
      </c>
      <c r="AH521" s="5">
        <v>2</v>
      </c>
      <c r="AI521" s="5">
        <v>8</v>
      </c>
    </row>
    <row r="522" spans="1:35" x14ac:dyDescent="0.25">
      <c r="A522" s="5">
        <v>48</v>
      </c>
      <c r="B522" s="5" t="s">
        <v>43</v>
      </c>
      <c r="C522" s="5" t="s">
        <v>36</v>
      </c>
      <c r="D522" s="5">
        <v>817</v>
      </c>
      <c r="E522" s="5" t="s">
        <v>37</v>
      </c>
      <c r="F522" s="5">
        <v>2</v>
      </c>
      <c r="G522" s="5">
        <v>1</v>
      </c>
      <c r="H522" s="5" t="s">
        <v>59</v>
      </c>
      <c r="I522" s="5">
        <v>1</v>
      </c>
      <c r="J522" s="5">
        <v>712</v>
      </c>
      <c r="K522" s="5">
        <v>2</v>
      </c>
      <c r="L522" s="5" t="s">
        <v>46</v>
      </c>
      <c r="M522" s="5">
        <v>56</v>
      </c>
      <c r="N522" s="5">
        <v>4</v>
      </c>
      <c r="O522" s="5">
        <v>2</v>
      </c>
      <c r="P522" s="5" t="s">
        <v>40</v>
      </c>
      <c r="Q522" s="5">
        <v>2</v>
      </c>
      <c r="R522" s="5" t="s">
        <v>48</v>
      </c>
      <c r="S522" s="5">
        <v>8120</v>
      </c>
      <c r="T522" s="5">
        <v>18597</v>
      </c>
      <c r="U522" s="5">
        <v>3</v>
      </c>
      <c r="V522" s="5" t="s">
        <v>42</v>
      </c>
      <c r="W522" s="5" t="s">
        <v>43</v>
      </c>
      <c r="X522" s="5">
        <v>12</v>
      </c>
      <c r="Y522" s="5">
        <v>3</v>
      </c>
      <c r="Z522" s="5">
        <v>4</v>
      </c>
      <c r="AA522" s="5">
        <v>80</v>
      </c>
      <c r="AB522" s="5">
        <v>0</v>
      </c>
      <c r="AC522" s="5">
        <v>12</v>
      </c>
      <c r="AD522" s="5">
        <v>3</v>
      </c>
      <c r="AE522" s="5">
        <v>3</v>
      </c>
      <c r="AF522" s="5">
        <v>2</v>
      </c>
      <c r="AG522" s="5">
        <v>2</v>
      </c>
      <c r="AH522" s="5">
        <v>2</v>
      </c>
      <c r="AI522" s="5">
        <v>2</v>
      </c>
    </row>
    <row r="523" spans="1:35" x14ac:dyDescent="0.25">
      <c r="A523" s="5">
        <v>27</v>
      </c>
      <c r="B523" s="5" t="s">
        <v>43</v>
      </c>
      <c r="C523" s="5" t="s">
        <v>44</v>
      </c>
      <c r="D523" s="5">
        <v>1410</v>
      </c>
      <c r="E523" s="5" t="s">
        <v>37</v>
      </c>
      <c r="F523" s="5">
        <v>3</v>
      </c>
      <c r="G523" s="5">
        <v>1</v>
      </c>
      <c r="H523" s="5" t="s">
        <v>51</v>
      </c>
      <c r="I523" s="5">
        <v>1</v>
      </c>
      <c r="J523" s="5">
        <v>714</v>
      </c>
      <c r="K523" s="5">
        <v>4</v>
      </c>
      <c r="L523" s="5" t="s">
        <v>39</v>
      </c>
      <c r="M523" s="5">
        <v>71</v>
      </c>
      <c r="N523" s="5">
        <v>4</v>
      </c>
      <c r="O523" s="5">
        <v>2</v>
      </c>
      <c r="P523" s="5" t="s">
        <v>40</v>
      </c>
      <c r="Q523" s="5">
        <v>4</v>
      </c>
      <c r="R523" s="5" t="s">
        <v>52</v>
      </c>
      <c r="S523" s="5">
        <v>4647</v>
      </c>
      <c r="T523" s="5">
        <v>16673</v>
      </c>
      <c r="U523" s="5">
        <v>1</v>
      </c>
      <c r="V523" s="5" t="s">
        <v>42</v>
      </c>
      <c r="W523" s="5" t="s">
        <v>35</v>
      </c>
      <c r="X523" s="5">
        <v>20</v>
      </c>
      <c r="Y523" s="5">
        <v>4</v>
      </c>
      <c r="Z523" s="5">
        <v>2</v>
      </c>
      <c r="AA523" s="5">
        <v>80</v>
      </c>
      <c r="AB523" s="5">
        <v>2</v>
      </c>
      <c r="AC523" s="5">
        <v>6</v>
      </c>
      <c r="AD523" s="5">
        <v>3</v>
      </c>
      <c r="AE523" s="5">
        <v>3</v>
      </c>
      <c r="AF523" s="5">
        <v>6</v>
      </c>
      <c r="AG523" s="5">
        <v>5</v>
      </c>
      <c r="AH523" s="5">
        <v>0</v>
      </c>
      <c r="AI523" s="5">
        <v>4</v>
      </c>
    </row>
    <row r="524" spans="1:35" x14ac:dyDescent="0.25">
      <c r="A524" s="5">
        <v>37</v>
      </c>
      <c r="B524" s="5" t="s">
        <v>43</v>
      </c>
      <c r="C524" s="5" t="s">
        <v>36</v>
      </c>
      <c r="D524" s="5">
        <v>1225</v>
      </c>
      <c r="E524" s="5" t="s">
        <v>45</v>
      </c>
      <c r="F524" s="5">
        <v>10</v>
      </c>
      <c r="G524" s="5">
        <v>2</v>
      </c>
      <c r="H524" s="5" t="s">
        <v>38</v>
      </c>
      <c r="I524" s="5">
        <v>1</v>
      </c>
      <c r="J524" s="5">
        <v>715</v>
      </c>
      <c r="K524" s="5">
        <v>4</v>
      </c>
      <c r="L524" s="5" t="s">
        <v>46</v>
      </c>
      <c r="M524" s="5">
        <v>80</v>
      </c>
      <c r="N524" s="5">
        <v>4</v>
      </c>
      <c r="O524" s="5">
        <v>1</v>
      </c>
      <c r="P524" s="5" t="s">
        <v>47</v>
      </c>
      <c r="Q524" s="5">
        <v>4</v>
      </c>
      <c r="R524" s="5" t="s">
        <v>41</v>
      </c>
      <c r="S524" s="5">
        <v>4680</v>
      </c>
      <c r="T524" s="5">
        <v>15232</v>
      </c>
      <c r="U524" s="5">
        <v>3</v>
      </c>
      <c r="V524" s="5" t="s">
        <v>42</v>
      </c>
      <c r="W524" s="5" t="s">
        <v>43</v>
      </c>
      <c r="X524" s="5">
        <v>17</v>
      </c>
      <c r="Y524" s="5">
        <v>3</v>
      </c>
      <c r="Z524" s="5">
        <v>1</v>
      </c>
      <c r="AA524" s="5">
        <v>80</v>
      </c>
      <c r="AB524" s="5">
        <v>0</v>
      </c>
      <c r="AC524" s="5">
        <v>4</v>
      </c>
      <c r="AD524" s="5">
        <v>2</v>
      </c>
      <c r="AE524" s="5">
        <v>3</v>
      </c>
      <c r="AF524" s="5">
        <v>1</v>
      </c>
      <c r="AG524" s="5">
        <v>0</v>
      </c>
      <c r="AH524" s="5">
        <v>0</v>
      </c>
      <c r="AI524" s="5">
        <v>0</v>
      </c>
    </row>
    <row r="525" spans="1:35" x14ac:dyDescent="0.25">
      <c r="A525" s="5">
        <v>50</v>
      </c>
      <c r="B525" s="5" t="s">
        <v>43</v>
      </c>
      <c r="C525" s="5" t="s">
        <v>36</v>
      </c>
      <c r="D525" s="5">
        <v>1207</v>
      </c>
      <c r="E525" s="5" t="s">
        <v>45</v>
      </c>
      <c r="F525" s="5">
        <v>28</v>
      </c>
      <c r="G525" s="5">
        <v>1</v>
      </c>
      <c r="H525" s="5" t="s">
        <v>51</v>
      </c>
      <c r="I525" s="5">
        <v>1</v>
      </c>
      <c r="J525" s="5">
        <v>716</v>
      </c>
      <c r="K525" s="5">
        <v>4</v>
      </c>
      <c r="L525" s="5" t="s">
        <v>46</v>
      </c>
      <c r="M525" s="5">
        <v>74</v>
      </c>
      <c r="N525" s="5">
        <v>4</v>
      </c>
      <c r="O525" s="5">
        <v>1</v>
      </c>
      <c r="P525" s="5" t="s">
        <v>50</v>
      </c>
      <c r="Q525" s="5">
        <v>3</v>
      </c>
      <c r="R525" s="5" t="s">
        <v>48</v>
      </c>
      <c r="S525" s="5">
        <v>3221</v>
      </c>
      <c r="T525" s="5">
        <v>3297</v>
      </c>
      <c r="U525" s="5">
        <v>1</v>
      </c>
      <c r="V525" s="5" t="s">
        <v>42</v>
      </c>
      <c r="W525" s="5" t="s">
        <v>35</v>
      </c>
      <c r="X525" s="5">
        <v>11</v>
      </c>
      <c r="Y525" s="5">
        <v>3</v>
      </c>
      <c r="Z525" s="5">
        <v>3</v>
      </c>
      <c r="AA525" s="5">
        <v>80</v>
      </c>
      <c r="AB525" s="5">
        <v>3</v>
      </c>
      <c r="AC525" s="5">
        <v>20</v>
      </c>
      <c r="AD525" s="5">
        <v>3</v>
      </c>
      <c r="AE525" s="5">
        <v>3</v>
      </c>
      <c r="AF525" s="5">
        <v>20</v>
      </c>
      <c r="AG525" s="5">
        <v>8</v>
      </c>
      <c r="AH525" s="5">
        <v>3</v>
      </c>
      <c r="AI525" s="5">
        <v>8</v>
      </c>
    </row>
    <row r="526" spans="1:35" x14ac:dyDescent="0.25">
      <c r="A526" s="5">
        <v>34</v>
      </c>
      <c r="B526" s="5" t="s">
        <v>43</v>
      </c>
      <c r="C526" s="5" t="s">
        <v>36</v>
      </c>
      <c r="D526" s="5">
        <v>1442</v>
      </c>
      <c r="E526" s="5" t="s">
        <v>45</v>
      </c>
      <c r="F526" s="5">
        <v>9</v>
      </c>
      <c r="G526" s="5">
        <v>3</v>
      </c>
      <c r="H526" s="5" t="s">
        <v>51</v>
      </c>
      <c r="I526" s="5">
        <v>1</v>
      </c>
      <c r="J526" s="5">
        <v>717</v>
      </c>
      <c r="K526" s="5">
        <v>4</v>
      </c>
      <c r="L526" s="5" t="s">
        <v>39</v>
      </c>
      <c r="M526" s="5">
        <v>46</v>
      </c>
      <c r="N526" s="5">
        <v>2</v>
      </c>
      <c r="O526" s="5">
        <v>3</v>
      </c>
      <c r="P526" s="5" t="s">
        <v>54</v>
      </c>
      <c r="Q526" s="5">
        <v>2</v>
      </c>
      <c r="R526" s="5" t="s">
        <v>41</v>
      </c>
      <c r="S526" s="5">
        <v>8621</v>
      </c>
      <c r="T526" s="5">
        <v>17654</v>
      </c>
      <c r="U526" s="5">
        <v>1</v>
      </c>
      <c r="V526" s="5" t="s">
        <v>42</v>
      </c>
      <c r="W526" s="5" t="s">
        <v>43</v>
      </c>
      <c r="X526" s="5">
        <v>14</v>
      </c>
      <c r="Y526" s="5">
        <v>3</v>
      </c>
      <c r="Z526" s="5">
        <v>2</v>
      </c>
      <c r="AA526" s="5">
        <v>80</v>
      </c>
      <c r="AB526" s="5">
        <v>0</v>
      </c>
      <c r="AC526" s="5">
        <v>9</v>
      </c>
      <c r="AD526" s="5">
        <v>3</v>
      </c>
      <c r="AE526" s="5">
        <v>4</v>
      </c>
      <c r="AF526" s="5">
        <v>8</v>
      </c>
      <c r="AG526" s="5">
        <v>7</v>
      </c>
      <c r="AH526" s="5">
        <v>7</v>
      </c>
      <c r="AI526" s="5">
        <v>7</v>
      </c>
    </row>
    <row r="527" spans="1:35" x14ac:dyDescent="0.25">
      <c r="A527" s="5">
        <v>24</v>
      </c>
      <c r="B527" s="5" t="s">
        <v>35</v>
      </c>
      <c r="C527" s="5" t="s">
        <v>36</v>
      </c>
      <c r="D527" s="5">
        <v>693</v>
      </c>
      <c r="E527" s="5" t="s">
        <v>37</v>
      </c>
      <c r="F527" s="5">
        <v>3</v>
      </c>
      <c r="G527" s="5">
        <v>2</v>
      </c>
      <c r="H527" s="5" t="s">
        <v>38</v>
      </c>
      <c r="I527" s="5">
        <v>1</v>
      </c>
      <c r="J527" s="5">
        <v>720</v>
      </c>
      <c r="K527" s="5">
        <v>1</v>
      </c>
      <c r="L527" s="5" t="s">
        <v>39</v>
      </c>
      <c r="M527" s="5">
        <v>65</v>
      </c>
      <c r="N527" s="5">
        <v>3</v>
      </c>
      <c r="O527" s="5">
        <v>2</v>
      </c>
      <c r="P527" s="5" t="s">
        <v>40</v>
      </c>
      <c r="Q527" s="5">
        <v>3</v>
      </c>
      <c r="R527" s="5" t="s">
        <v>41</v>
      </c>
      <c r="S527" s="5">
        <v>4577</v>
      </c>
      <c r="T527" s="5">
        <v>24785</v>
      </c>
      <c r="U527" s="5">
        <v>9</v>
      </c>
      <c r="V527" s="5" t="s">
        <v>42</v>
      </c>
      <c r="W527" s="5" t="s">
        <v>43</v>
      </c>
      <c r="X527" s="5">
        <v>14</v>
      </c>
      <c r="Y527" s="5">
        <v>3</v>
      </c>
      <c r="Z527" s="5">
        <v>1</v>
      </c>
      <c r="AA527" s="5">
        <v>80</v>
      </c>
      <c r="AB527" s="5">
        <v>0</v>
      </c>
      <c r="AC527" s="5">
        <v>4</v>
      </c>
      <c r="AD527" s="5">
        <v>3</v>
      </c>
      <c r="AE527" s="5">
        <v>3</v>
      </c>
      <c r="AF527" s="5">
        <v>2</v>
      </c>
      <c r="AG527" s="5">
        <v>2</v>
      </c>
      <c r="AH527" s="5">
        <v>2</v>
      </c>
      <c r="AI527" s="5">
        <v>0</v>
      </c>
    </row>
    <row r="528" spans="1:35" x14ac:dyDescent="0.25">
      <c r="A528" s="5">
        <v>39</v>
      </c>
      <c r="B528" s="5" t="s">
        <v>43</v>
      </c>
      <c r="C528" s="5" t="s">
        <v>36</v>
      </c>
      <c r="D528" s="5">
        <v>408</v>
      </c>
      <c r="E528" s="5" t="s">
        <v>45</v>
      </c>
      <c r="F528" s="5">
        <v>2</v>
      </c>
      <c r="G528" s="5">
        <v>4</v>
      </c>
      <c r="H528" s="5" t="s">
        <v>60</v>
      </c>
      <c r="I528" s="5">
        <v>1</v>
      </c>
      <c r="J528" s="5">
        <v>721</v>
      </c>
      <c r="K528" s="5">
        <v>4</v>
      </c>
      <c r="L528" s="5" t="s">
        <v>39</v>
      </c>
      <c r="M528" s="5">
        <v>80</v>
      </c>
      <c r="N528" s="5">
        <v>2</v>
      </c>
      <c r="O528" s="5">
        <v>2</v>
      </c>
      <c r="P528" s="5" t="s">
        <v>54</v>
      </c>
      <c r="Q528" s="5">
        <v>3</v>
      </c>
      <c r="R528" s="5" t="s">
        <v>41</v>
      </c>
      <c r="S528" s="5">
        <v>4553</v>
      </c>
      <c r="T528" s="5">
        <v>20978</v>
      </c>
      <c r="U528" s="5">
        <v>1</v>
      </c>
      <c r="V528" s="5" t="s">
        <v>42</v>
      </c>
      <c r="W528" s="5" t="s">
        <v>43</v>
      </c>
      <c r="X528" s="5">
        <v>11</v>
      </c>
      <c r="Y528" s="5">
        <v>3</v>
      </c>
      <c r="Z528" s="5">
        <v>1</v>
      </c>
      <c r="AA528" s="5">
        <v>80</v>
      </c>
      <c r="AB528" s="5">
        <v>0</v>
      </c>
      <c r="AC528" s="5">
        <v>20</v>
      </c>
      <c r="AD528" s="5">
        <v>4</v>
      </c>
      <c r="AE528" s="5">
        <v>3</v>
      </c>
      <c r="AF528" s="5">
        <v>20</v>
      </c>
      <c r="AG528" s="5">
        <v>7</v>
      </c>
      <c r="AH528" s="5">
        <v>11</v>
      </c>
      <c r="AI528" s="5">
        <v>10</v>
      </c>
    </row>
    <row r="529" spans="1:35" x14ac:dyDescent="0.25">
      <c r="A529" s="5">
        <v>32</v>
      </c>
      <c r="B529" s="5" t="s">
        <v>43</v>
      </c>
      <c r="C529" s="5" t="s">
        <v>36</v>
      </c>
      <c r="D529" s="5">
        <v>929</v>
      </c>
      <c r="E529" s="5" t="s">
        <v>37</v>
      </c>
      <c r="F529" s="5">
        <v>10</v>
      </c>
      <c r="G529" s="5">
        <v>3</v>
      </c>
      <c r="H529" s="5" t="s">
        <v>59</v>
      </c>
      <c r="I529" s="5">
        <v>1</v>
      </c>
      <c r="J529" s="5">
        <v>722</v>
      </c>
      <c r="K529" s="5">
        <v>4</v>
      </c>
      <c r="L529" s="5" t="s">
        <v>46</v>
      </c>
      <c r="M529" s="5">
        <v>55</v>
      </c>
      <c r="N529" s="5">
        <v>3</v>
      </c>
      <c r="O529" s="5">
        <v>2</v>
      </c>
      <c r="P529" s="5" t="s">
        <v>40</v>
      </c>
      <c r="Q529" s="5">
        <v>4</v>
      </c>
      <c r="R529" s="5" t="s">
        <v>41</v>
      </c>
      <c r="S529" s="5">
        <v>5396</v>
      </c>
      <c r="T529" s="5">
        <v>21703</v>
      </c>
      <c r="U529" s="5">
        <v>1</v>
      </c>
      <c r="V529" s="5" t="s">
        <v>42</v>
      </c>
      <c r="W529" s="5" t="s">
        <v>43</v>
      </c>
      <c r="X529" s="5">
        <v>12</v>
      </c>
      <c r="Y529" s="5">
        <v>3</v>
      </c>
      <c r="Z529" s="5">
        <v>4</v>
      </c>
      <c r="AA529" s="5">
        <v>80</v>
      </c>
      <c r="AB529" s="5">
        <v>0</v>
      </c>
      <c r="AC529" s="5">
        <v>10</v>
      </c>
      <c r="AD529" s="5">
        <v>2</v>
      </c>
      <c r="AE529" s="5">
        <v>2</v>
      </c>
      <c r="AF529" s="5">
        <v>10</v>
      </c>
      <c r="AG529" s="5">
        <v>7</v>
      </c>
      <c r="AH529" s="5">
        <v>0</v>
      </c>
      <c r="AI529" s="5">
        <v>8</v>
      </c>
    </row>
    <row r="530" spans="1:35" x14ac:dyDescent="0.25">
      <c r="A530" s="5">
        <v>50</v>
      </c>
      <c r="B530" s="5" t="s">
        <v>35</v>
      </c>
      <c r="C530" s="5" t="s">
        <v>44</v>
      </c>
      <c r="D530" s="5">
        <v>562</v>
      </c>
      <c r="E530" s="5" t="s">
        <v>37</v>
      </c>
      <c r="F530" s="5">
        <v>8</v>
      </c>
      <c r="G530" s="5">
        <v>2</v>
      </c>
      <c r="H530" s="5" t="s">
        <v>60</v>
      </c>
      <c r="I530" s="5">
        <v>1</v>
      </c>
      <c r="J530" s="5">
        <v>723</v>
      </c>
      <c r="K530" s="5">
        <v>2</v>
      </c>
      <c r="L530" s="5" t="s">
        <v>46</v>
      </c>
      <c r="M530" s="5">
        <v>50</v>
      </c>
      <c r="N530" s="5">
        <v>3</v>
      </c>
      <c r="O530" s="5">
        <v>2</v>
      </c>
      <c r="P530" s="5" t="s">
        <v>40</v>
      </c>
      <c r="Q530" s="5">
        <v>3</v>
      </c>
      <c r="R530" s="5" t="s">
        <v>48</v>
      </c>
      <c r="S530" s="5">
        <v>6796</v>
      </c>
      <c r="T530" s="5">
        <v>23452</v>
      </c>
      <c r="U530" s="5">
        <v>3</v>
      </c>
      <c r="V530" s="5" t="s">
        <v>42</v>
      </c>
      <c r="W530" s="5" t="s">
        <v>35</v>
      </c>
      <c r="X530" s="5">
        <v>14</v>
      </c>
      <c r="Y530" s="5">
        <v>3</v>
      </c>
      <c r="Z530" s="5">
        <v>1</v>
      </c>
      <c r="AA530" s="5">
        <v>80</v>
      </c>
      <c r="AB530" s="5">
        <v>1</v>
      </c>
      <c r="AC530" s="5">
        <v>18</v>
      </c>
      <c r="AD530" s="5">
        <v>4</v>
      </c>
      <c r="AE530" s="5">
        <v>3</v>
      </c>
      <c r="AF530" s="5">
        <v>4</v>
      </c>
      <c r="AG530" s="5">
        <v>3</v>
      </c>
      <c r="AH530" s="5">
        <v>1</v>
      </c>
      <c r="AI530" s="5">
        <v>3</v>
      </c>
    </row>
    <row r="531" spans="1:35" x14ac:dyDescent="0.25">
      <c r="A531" s="5">
        <v>38</v>
      </c>
      <c r="B531" s="5" t="s">
        <v>43</v>
      </c>
      <c r="C531" s="5" t="s">
        <v>36</v>
      </c>
      <c r="D531" s="5">
        <v>827</v>
      </c>
      <c r="E531" s="5" t="s">
        <v>45</v>
      </c>
      <c r="F531" s="5">
        <v>1</v>
      </c>
      <c r="G531" s="5">
        <v>4</v>
      </c>
      <c r="H531" s="5" t="s">
        <v>38</v>
      </c>
      <c r="I531" s="5">
        <v>1</v>
      </c>
      <c r="J531" s="5">
        <v>724</v>
      </c>
      <c r="K531" s="5">
        <v>2</v>
      </c>
      <c r="L531" s="5" t="s">
        <v>39</v>
      </c>
      <c r="M531" s="5">
        <v>33</v>
      </c>
      <c r="N531" s="5">
        <v>4</v>
      </c>
      <c r="O531" s="5">
        <v>2</v>
      </c>
      <c r="P531" s="5" t="s">
        <v>54</v>
      </c>
      <c r="Q531" s="5">
        <v>4</v>
      </c>
      <c r="R531" s="5" t="s">
        <v>41</v>
      </c>
      <c r="S531" s="5">
        <v>7625</v>
      </c>
      <c r="T531" s="5">
        <v>19383</v>
      </c>
      <c r="U531" s="5">
        <v>0</v>
      </c>
      <c r="V531" s="5" t="s">
        <v>42</v>
      </c>
      <c r="W531" s="5" t="s">
        <v>43</v>
      </c>
      <c r="X531" s="5">
        <v>13</v>
      </c>
      <c r="Y531" s="5">
        <v>3</v>
      </c>
      <c r="Z531" s="5">
        <v>3</v>
      </c>
      <c r="AA531" s="5">
        <v>80</v>
      </c>
      <c r="AB531" s="5">
        <v>0</v>
      </c>
      <c r="AC531" s="5">
        <v>10</v>
      </c>
      <c r="AD531" s="5">
        <v>4</v>
      </c>
      <c r="AE531" s="5">
        <v>2</v>
      </c>
      <c r="AF531" s="5">
        <v>9</v>
      </c>
      <c r="AG531" s="5">
        <v>7</v>
      </c>
      <c r="AH531" s="5">
        <v>1</v>
      </c>
      <c r="AI531" s="5">
        <v>8</v>
      </c>
    </row>
    <row r="532" spans="1:35" x14ac:dyDescent="0.25">
      <c r="A532" s="5">
        <v>27</v>
      </c>
      <c r="B532" s="5" t="s">
        <v>43</v>
      </c>
      <c r="C532" s="5" t="s">
        <v>36</v>
      </c>
      <c r="D532" s="5">
        <v>608</v>
      </c>
      <c r="E532" s="5" t="s">
        <v>45</v>
      </c>
      <c r="F532" s="5">
        <v>1</v>
      </c>
      <c r="G532" s="5">
        <v>2</v>
      </c>
      <c r="H532" s="5" t="s">
        <v>38</v>
      </c>
      <c r="I532" s="5">
        <v>1</v>
      </c>
      <c r="J532" s="5">
        <v>725</v>
      </c>
      <c r="K532" s="5">
        <v>3</v>
      </c>
      <c r="L532" s="5" t="s">
        <v>39</v>
      </c>
      <c r="M532" s="5">
        <v>68</v>
      </c>
      <c r="N532" s="5">
        <v>3</v>
      </c>
      <c r="O532" s="5">
        <v>3</v>
      </c>
      <c r="P532" s="5" t="s">
        <v>53</v>
      </c>
      <c r="Q532" s="5">
        <v>1</v>
      </c>
      <c r="R532" s="5" t="s">
        <v>48</v>
      </c>
      <c r="S532" s="5">
        <v>7412</v>
      </c>
      <c r="T532" s="5">
        <v>6009</v>
      </c>
      <c r="U532" s="5">
        <v>1</v>
      </c>
      <c r="V532" s="5" t="s">
        <v>42</v>
      </c>
      <c r="W532" s="5" t="s">
        <v>43</v>
      </c>
      <c r="X532" s="5">
        <v>11</v>
      </c>
      <c r="Y532" s="5">
        <v>3</v>
      </c>
      <c r="Z532" s="5">
        <v>4</v>
      </c>
      <c r="AA532" s="5">
        <v>80</v>
      </c>
      <c r="AB532" s="5">
        <v>0</v>
      </c>
      <c r="AC532" s="5">
        <v>9</v>
      </c>
      <c r="AD532" s="5">
        <v>3</v>
      </c>
      <c r="AE532" s="5">
        <v>3</v>
      </c>
      <c r="AF532" s="5">
        <v>9</v>
      </c>
      <c r="AG532" s="5">
        <v>7</v>
      </c>
      <c r="AH532" s="5">
        <v>0</v>
      </c>
      <c r="AI532" s="5">
        <v>7</v>
      </c>
    </row>
    <row r="533" spans="1:35" x14ac:dyDescent="0.25">
      <c r="A533" s="5">
        <v>32</v>
      </c>
      <c r="B533" s="5" t="s">
        <v>43</v>
      </c>
      <c r="C533" s="5" t="s">
        <v>36</v>
      </c>
      <c r="D533" s="5">
        <v>1018</v>
      </c>
      <c r="E533" s="5" t="s">
        <v>45</v>
      </c>
      <c r="F533" s="5">
        <v>3</v>
      </c>
      <c r="G533" s="5">
        <v>2</v>
      </c>
      <c r="H533" s="5" t="s">
        <v>38</v>
      </c>
      <c r="I533" s="5">
        <v>1</v>
      </c>
      <c r="J533" s="5">
        <v>727</v>
      </c>
      <c r="K533" s="5">
        <v>3</v>
      </c>
      <c r="L533" s="5" t="s">
        <v>39</v>
      </c>
      <c r="M533" s="5">
        <v>39</v>
      </c>
      <c r="N533" s="5">
        <v>3</v>
      </c>
      <c r="O533" s="5">
        <v>3</v>
      </c>
      <c r="P533" s="5" t="s">
        <v>58</v>
      </c>
      <c r="Q533" s="5">
        <v>4</v>
      </c>
      <c r="R533" s="5" t="s">
        <v>41</v>
      </c>
      <c r="S533" s="5">
        <v>11159</v>
      </c>
      <c r="T533" s="5">
        <v>19373</v>
      </c>
      <c r="U533" s="5">
        <v>3</v>
      </c>
      <c r="V533" s="5" t="s">
        <v>42</v>
      </c>
      <c r="W533" s="5" t="s">
        <v>43</v>
      </c>
      <c r="X533" s="5">
        <v>15</v>
      </c>
      <c r="Y533" s="5">
        <v>3</v>
      </c>
      <c r="Z533" s="5">
        <v>4</v>
      </c>
      <c r="AA533" s="5">
        <v>80</v>
      </c>
      <c r="AB533" s="5">
        <v>0</v>
      </c>
      <c r="AC533" s="5">
        <v>10</v>
      </c>
      <c r="AD533" s="5">
        <v>6</v>
      </c>
      <c r="AE533" s="5">
        <v>3</v>
      </c>
      <c r="AF533" s="5">
        <v>7</v>
      </c>
      <c r="AG533" s="5">
        <v>7</v>
      </c>
      <c r="AH533" s="5">
        <v>7</v>
      </c>
      <c r="AI533" s="5">
        <v>7</v>
      </c>
    </row>
    <row r="534" spans="1:35" x14ac:dyDescent="0.25">
      <c r="A534" s="5">
        <v>47</v>
      </c>
      <c r="B534" s="5" t="s">
        <v>43</v>
      </c>
      <c r="C534" s="5" t="s">
        <v>36</v>
      </c>
      <c r="D534" s="5">
        <v>703</v>
      </c>
      <c r="E534" s="5" t="s">
        <v>37</v>
      </c>
      <c r="F534" s="5">
        <v>14</v>
      </c>
      <c r="G534" s="5">
        <v>4</v>
      </c>
      <c r="H534" s="5" t="s">
        <v>59</v>
      </c>
      <c r="I534" s="5">
        <v>1</v>
      </c>
      <c r="J534" s="5">
        <v>728</v>
      </c>
      <c r="K534" s="5">
        <v>4</v>
      </c>
      <c r="L534" s="5" t="s">
        <v>46</v>
      </c>
      <c r="M534" s="5">
        <v>42</v>
      </c>
      <c r="N534" s="5">
        <v>3</v>
      </c>
      <c r="O534" s="5">
        <v>2</v>
      </c>
      <c r="P534" s="5" t="s">
        <v>40</v>
      </c>
      <c r="Q534" s="5">
        <v>1</v>
      </c>
      <c r="R534" s="5" t="s">
        <v>41</v>
      </c>
      <c r="S534" s="5">
        <v>4960</v>
      </c>
      <c r="T534" s="5">
        <v>11825</v>
      </c>
      <c r="U534" s="5">
        <v>2</v>
      </c>
      <c r="V534" s="5" t="s">
        <v>42</v>
      </c>
      <c r="W534" s="5" t="s">
        <v>43</v>
      </c>
      <c r="X534" s="5">
        <v>12</v>
      </c>
      <c r="Y534" s="5">
        <v>3</v>
      </c>
      <c r="Z534" s="5">
        <v>4</v>
      </c>
      <c r="AA534" s="5">
        <v>80</v>
      </c>
      <c r="AB534" s="5">
        <v>0</v>
      </c>
      <c r="AC534" s="5">
        <v>20</v>
      </c>
      <c r="AD534" s="5">
        <v>2</v>
      </c>
      <c r="AE534" s="5">
        <v>3</v>
      </c>
      <c r="AF534" s="5">
        <v>7</v>
      </c>
      <c r="AG534" s="5">
        <v>7</v>
      </c>
      <c r="AH534" s="5">
        <v>1</v>
      </c>
      <c r="AI534" s="5">
        <v>7</v>
      </c>
    </row>
    <row r="535" spans="1:35" x14ac:dyDescent="0.25">
      <c r="A535" s="5">
        <v>40</v>
      </c>
      <c r="B535" s="5" t="s">
        <v>43</v>
      </c>
      <c r="C535" s="5" t="s">
        <v>44</v>
      </c>
      <c r="D535" s="5">
        <v>580</v>
      </c>
      <c r="E535" s="5" t="s">
        <v>37</v>
      </c>
      <c r="F535" s="5">
        <v>5</v>
      </c>
      <c r="G535" s="5">
        <v>4</v>
      </c>
      <c r="H535" s="5" t="s">
        <v>38</v>
      </c>
      <c r="I535" s="5">
        <v>1</v>
      </c>
      <c r="J535" s="5">
        <v>729</v>
      </c>
      <c r="K535" s="5">
        <v>4</v>
      </c>
      <c r="L535" s="5" t="s">
        <v>46</v>
      </c>
      <c r="M535" s="5">
        <v>48</v>
      </c>
      <c r="N535" s="5">
        <v>2</v>
      </c>
      <c r="O535" s="5">
        <v>3</v>
      </c>
      <c r="P535" s="5" t="s">
        <v>40</v>
      </c>
      <c r="Q535" s="5">
        <v>1</v>
      </c>
      <c r="R535" s="5" t="s">
        <v>48</v>
      </c>
      <c r="S535" s="5">
        <v>10475</v>
      </c>
      <c r="T535" s="5">
        <v>23772</v>
      </c>
      <c r="U535" s="5">
        <v>5</v>
      </c>
      <c r="V535" s="5" t="s">
        <v>42</v>
      </c>
      <c r="W535" s="5" t="s">
        <v>35</v>
      </c>
      <c r="X535" s="5">
        <v>21</v>
      </c>
      <c r="Y535" s="5">
        <v>4</v>
      </c>
      <c r="Z535" s="5">
        <v>3</v>
      </c>
      <c r="AA535" s="5">
        <v>80</v>
      </c>
      <c r="AB535" s="5">
        <v>1</v>
      </c>
      <c r="AC535" s="5">
        <v>20</v>
      </c>
      <c r="AD535" s="5">
        <v>2</v>
      </c>
      <c r="AE535" s="5">
        <v>3</v>
      </c>
      <c r="AF535" s="5">
        <v>18</v>
      </c>
      <c r="AG535" s="5">
        <v>13</v>
      </c>
      <c r="AH535" s="5">
        <v>1</v>
      </c>
      <c r="AI535" s="5">
        <v>12</v>
      </c>
    </row>
    <row r="536" spans="1:35" x14ac:dyDescent="0.25">
      <c r="A536" s="5">
        <v>53</v>
      </c>
      <c r="B536" s="5" t="s">
        <v>43</v>
      </c>
      <c r="C536" s="5" t="s">
        <v>36</v>
      </c>
      <c r="D536" s="5">
        <v>970</v>
      </c>
      <c r="E536" s="5" t="s">
        <v>45</v>
      </c>
      <c r="F536" s="5">
        <v>7</v>
      </c>
      <c r="G536" s="5">
        <v>3</v>
      </c>
      <c r="H536" s="5" t="s">
        <v>38</v>
      </c>
      <c r="I536" s="5">
        <v>1</v>
      </c>
      <c r="J536" s="5">
        <v>730</v>
      </c>
      <c r="K536" s="5">
        <v>3</v>
      </c>
      <c r="L536" s="5" t="s">
        <v>46</v>
      </c>
      <c r="M536" s="5">
        <v>59</v>
      </c>
      <c r="N536" s="5">
        <v>4</v>
      </c>
      <c r="O536" s="5">
        <v>4</v>
      </c>
      <c r="P536" s="5" t="s">
        <v>58</v>
      </c>
      <c r="Q536" s="5">
        <v>3</v>
      </c>
      <c r="R536" s="5" t="s">
        <v>48</v>
      </c>
      <c r="S536" s="5">
        <v>14814</v>
      </c>
      <c r="T536" s="5">
        <v>13514</v>
      </c>
      <c r="U536" s="5">
        <v>3</v>
      </c>
      <c r="V536" s="5" t="s">
        <v>42</v>
      </c>
      <c r="W536" s="5" t="s">
        <v>43</v>
      </c>
      <c r="X536" s="5">
        <v>19</v>
      </c>
      <c r="Y536" s="5">
        <v>3</v>
      </c>
      <c r="Z536" s="5">
        <v>3</v>
      </c>
      <c r="AA536" s="5">
        <v>80</v>
      </c>
      <c r="AB536" s="5">
        <v>0</v>
      </c>
      <c r="AC536" s="5">
        <v>32</v>
      </c>
      <c r="AD536" s="5">
        <v>3</v>
      </c>
      <c r="AE536" s="5">
        <v>3</v>
      </c>
      <c r="AF536" s="5">
        <v>5</v>
      </c>
      <c r="AG536" s="5">
        <v>1</v>
      </c>
      <c r="AH536" s="5">
        <v>1</v>
      </c>
      <c r="AI536" s="5">
        <v>3</v>
      </c>
    </row>
    <row r="537" spans="1:35" x14ac:dyDescent="0.25">
      <c r="A537" s="5">
        <v>41</v>
      </c>
      <c r="B537" s="5" t="s">
        <v>43</v>
      </c>
      <c r="C537" s="5" t="s">
        <v>36</v>
      </c>
      <c r="D537" s="5">
        <v>427</v>
      </c>
      <c r="E537" s="5" t="s">
        <v>61</v>
      </c>
      <c r="F537" s="5">
        <v>10</v>
      </c>
      <c r="G537" s="5">
        <v>4</v>
      </c>
      <c r="H537" s="5" t="s">
        <v>61</v>
      </c>
      <c r="I537" s="5">
        <v>1</v>
      </c>
      <c r="J537" s="5">
        <v>731</v>
      </c>
      <c r="K537" s="5">
        <v>2</v>
      </c>
      <c r="L537" s="5" t="s">
        <v>46</v>
      </c>
      <c r="M537" s="5">
        <v>73</v>
      </c>
      <c r="N537" s="5">
        <v>2</v>
      </c>
      <c r="O537" s="5">
        <v>5</v>
      </c>
      <c r="P537" s="5" t="s">
        <v>56</v>
      </c>
      <c r="Q537" s="5">
        <v>4</v>
      </c>
      <c r="R537" s="5" t="s">
        <v>52</v>
      </c>
      <c r="S537" s="5">
        <v>19141</v>
      </c>
      <c r="T537" s="5">
        <v>8861</v>
      </c>
      <c r="U537" s="5">
        <v>3</v>
      </c>
      <c r="V537" s="5" t="s">
        <v>42</v>
      </c>
      <c r="W537" s="5" t="s">
        <v>43</v>
      </c>
      <c r="X537" s="5">
        <v>15</v>
      </c>
      <c r="Y537" s="5">
        <v>3</v>
      </c>
      <c r="Z537" s="5">
        <v>2</v>
      </c>
      <c r="AA537" s="5">
        <v>80</v>
      </c>
      <c r="AB537" s="5">
        <v>3</v>
      </c>
      <c r="AC537" s="5">
        <v>23</v>
      </c>
      <c r="AD537" s="5">
        <v>2</v>
      </c>
      <c r="AE537" s="5">
        <v>2</v>
      </c>
      <c r="AF537" s="5">
        <v>21</v>
      </c>
      <c r="AG537" s="5">
        <v>6</v>
      </c>
      <c r="AH537" s="5">
        <v>12</v>
      </c>
      <c r="AI537" s="5">
        <v>6</v>
      </c>
    </row>
    <row r="538" spans="1:35" x14ac:dyDescent="0.25">
      <c r="A538" s="5">
        <v>60</v>
      </c>
      <c r="B538" s="5" t="s">
        <v>43</v>
      </c>
      <c r="C538" s="5" t="s">
        <v>36</v>
      </c>
      <c r="D538" s="5">
        <v>1179</v>
      </c>
      <c r="E538" s="5" t="s">
        <v>37</v>
      </c>
      <c r="F538" s="5">
        <v>16</v>
      </c>
      <c r="G538" s="5">
        <v>4</v>
      </c>
      <c r="H538" s="5" t="s">
        <v>59</v>
      </c>
      <c r="I538" s="5">
        <v>1</v>
      </c>
      <c r="J538" s="5">
        <v>732</v>
      </c>
      <c r="K538" s="5">
        <v>1</v>
      </c>
      <c r="L538" s="5" t="s">
        <v>46</v>
      </c>
      <c r="M538" s="5">
        <v>84</v>
      </c>
      <c r="N538" s="5">
        <v>3</v>
      </c>
      <c r="O538" s="5">
        <v>2</v>
      </c>
      <c r="P538" s="5" t="s">
        <v>40</v>
      </c>
      <c r="Q538" s="5">
        <v>1</v>
      </c>
      <c r="R538" s="5" t="s">
        <v>41</v>
      </c>
      <c r="S538" s="5">
        <v>5405</v>
      </c>
      <c r="T538" s="5">
        <v>11924</v>
      </c>
      <c r="U538" s="5">
        <v>8</v>
      </c>
      <c r="V538" s="5" t="s">
        <v>42</v>
      </c>
      <c r="W538" s="5" t="s">
        <v>43</v>
      </c>
      <c r="X538" s="5">
        <v>14</v>
      </c>
      <c r="Y538" s="5">
        <v>3</v>
      </c>
      <c r="Z538" s="5">
        <v>4</v>
      </c>
      <c r="AA538" s="5">
        <v>80</v>
      </c>
      <c r="AB538" s="5">
        <v>0</v>
      </c>
      <c r="AC538" s="5">
        <v>10</v>
      </c>
      <c r="AD538" s="5">
        <v>1</v>
      </c>
      <c r="AE538" s="5">
        <v>3</v>
      </c>
      <c r="AF538" s="5">
        <v>2</v>
      </c>
      <c r="AG538" s="5">
        <v>2</v>
      </c>
      <c r="AH538" s="5">
        <v>2</v>
      </c>
      <c r="AI538" s="5">
        <v>2</v>
      </c>
    </row>
    <row r="539" spans="1:35" x14ac:dyDescent="0.25">
      <c r="A539" s="5">
        <v>27</v>
      </c>
      <c r="B539" s="5" t="s">
        <v>43</v>
      </c>
      <c r="C539" s="5" t="s">
        <v>44</v>
      </c>
      <c r="D539" s="5">
        <v>294</v>
      </c>
      <c r="E539" s="5" t="s">
        <v>45</v>
      </c>
      <c r="F539" s="5">
        <v>10</v>
      </c>
      <c r="G539" s="5">
        <v>2</v>
      </c>
      <c r="H539" s="5" t="s">
        <v>38</v>
      </c>
      <c r="I539" s="5">
        <v>1</v>
      </c>
      <c r="J539" s="5">
        <v>733</v>
      </c>
      <c r="K539" s="5">
        <v>4</v>
      </c>
      <c r="L539" s="5" t="s">
        <v>46</v>
      </c>
      <c r="M539" s="5">
        <v>32</v>
      </c>
      <c r="N539" s="5">
        <v>3</v>
      </c>
      <c r="O539" s="5">
        <v>3</v>
      </c>
      <c r="P539" s="5" t="s">
        <v>53</v>
      </c>
      <c r="Q539" s="5">
        <v>1</v>
      </c>
      <c r="R539" s="5" t="s">
        <v>52</v>
      </c>
      <c r="S539" s="5">
        <v>8793</v>
      </c>
      <c r="T539" s="5">
        <v>4809</v>
      </c>
      <c r="U539" s="5">
        <v>1</v>
      </c>
      <c r="V539" s="5" t="s">
        <v>42</v>
      </c>
      <c r="W539" s="5" t="s">
        <v>43</v>
      </c>
      <c r="X539" s="5">
        <v>21</v>
      </c>
      <c r="Y539" s="5">
        <v>4</v>
      </c>
      <c r="Z539" s="5">
        <v>3</v>
      </c>
      <c r="AA539" s="5">
        <v>80</v>
      </c>
      <c r="AB539" s="5">
        <v>2</v>
      </c>
      <c r="AC539" s="5">
        <v>9</v>
      </c>
      <c r="AD539" s="5">
        <v>4</v>
      </c>
      <c r="AE539" s="5">
        <v>2</v>
      </c>
      <c r="AF539" s="5">
        <v>9</v>
      </c>
      <c r="AG539" s="5">
        <v>7</v>
      </c>
      <c r="AH539" s="5">
        <v>1</v>
      </c>
      <c r="AI539" s="5">
        <v>7</v>
      </c>
    </row>
    <row r="540" spans="1:35" x14ac:dyDescent="0.25">
      <c r="A540" s="5">
        <v>41</v>
      </c>
      <c r="B540" s="5" t="s">
        <v>43</v>
      </c>
      <c r="C540" s="5" t="s">
        <v>36</v>
      </c>
      <c r="D540" s="5">
        <v>314</v>
      </c>
      <c r="E540" s="5" t="s">
        <v>61</v>
      </c>
      <c r="F540" s="5">
        <v>1</v>
      </c>
      <c r="G540" s="5">
        <v>3</v>
      </c>
      <c r="H540" s="5" t="s">
        <v>61</v>
      </c>
      <c r="I540" s="5">
        <v>1</v>
      </c>
      <c r="J540" s="5">
        <v>734</v>
      </c>
      <c r="K540" s="5">
        <v>4</v>
      </c>
      <c r="L540" s="5" t="s">
        <v>46</v>
      </c>
      <c r="M540" s="5">
        <v>59</v>
      </c>
      <c r="N540" s="5">
        <v>2</v>
      </c>
      <c r="O540" s="5">
        <v>5</v>
      </c>
      <c r="P540" s="5" t="s">
        <v>56</v>
      </c>
      <c r="Q540" s="5">
        <v>3</v>
      </c>
      <c r="R540" s="5" t="s">
        <v>48</v>
      </c>
      <c r="S540" s="5">
        <v>19189</v>
      </c>
      <c r="T540" s="5">
        <v>19562</v>
      </c>
      <c r="U540" s="5">
        <v>1</v>
      </c>
      <c r="V540" s="5" t="s">
        <v>42</v>
      </c>
      <c r="W540" s="5" t="s">
        <v>43</v>
      </c>
      <c r="X540" s="5">
        <v>12</v>
      </c>
      <c r="Y540" s="5">
        <v>3</v>
      </c>
      <c r="Z540" s="5">
        <v>2</v>
      </c>
      <c r="AA540" s="5">
        <v>80</v>
      </c>
      <c r="AB540" s="5">
        <v>1</v>
      </c>
      <c r="AC540" s="5">
        <v>22</v>
      </c>
      <c r="AD540" s="5">
        <v>3</v>
      </c>
      <c r="AE540" s="5">
        <v>3</v>
      </c>
      <c r="AF540" s="5">
        <v>22</v>
      </c>
      <c r="AG540" s="5">
        <v>7</v>
      </c>
      <c r="AH540" s="5">
        <v>2</v>
      </c>
      <c r="AI540" s="5">
        <v>10</v>
      </c>
    </row>
    <row r="541" spans="1:35" x14ac:dyDescent="0.25">
      <c r="A541" s="5">
        <v>50</v>
      </c>
      <c r="B541" s="5" t="s">
        <v>43</v>
      </c>
      <c r="C541" s="5" t="s">
        <v>36</v>
      </c>
      <c r="D541" s="5">
        <v>316</v>
      </c>
      <c r="E541" s="5" t="s">
        <v>37</v>
      </c>
      <c r="F541" s="5">
        <v>8</v>
      </c>
      <c r="G541" s="5">
        <v>4</v>
      </c>
      <c r="H541" s="5" t="s">
        <v>59</v>
      </c>
      <c r="I541" s="5">
        <v>1</v>
      </c>
      <c r="J541" s="5">
        <v>738</v>
      </c>
      <c r="K541" s="5">
        <v>4</v>
      </c>
      <c r="L541" s="5" t="s">
        <v>46</v>
      </c>
      <c r="M541" s="5">
        <v>54</v>
      </c>
      <c r="N541" s="5">
        <v>3</v>
      </c>
      <c r="O541" s="5">
        <v>1</v>
      </c>
      <c r="P541" s="5" t="s">
        <v>57</v>
      </c>
      <c r="Q541" s="5">
        <v>2</v>
      </c>
      <c r="R541" s="5" t="s">
        <v>48</v>
      </c>
      <c r="S541" s="5">
        <v>3875</v>
      </c>
      <c r="T541" s="5">
        <v>9983</v>
      </c>
      <c r="U541" s="5">
        <v>7</v>
      </c>
      <c r="V541" s="5" t="s">
        <v>42</v>
      </c>
      <c r="W541" s="5" t="s">
        <v>43</v>
      </c>
      <c r="X541" s="5">
        <v>15</v>
      </c>
      <c r="Y541" s="5">
        <v>3</v>
      </c>
      <c r="Z541" s="5">
        <v>4</v>
      </c>
      <c r="AA541" s="5">
        <v>80</v>
      </c>
      <c r="AB541" s="5">
        <v>1</v>
      </c>
      <c r="AC541" s="5">
        <v>4</v>
      </c>
      <c r="AD541" s="5">
        <v>2</v>
      </c>
      <c r="AE541" s="5">
        <v>3</v>
      </c>
      <c r="AF541" s="5">
        <v>2</v>
      </c>
      <c r="AG541" s="5">
        <v>2</v>
      </c>
      <c r="AH541" s="5">
        <v>2</v>
      </c>
      <c r="AI541" s="5">
        <v>2</v>
      </c>
    </row>
    <row r="542" spans="1:35" x14ac:dyDescent="0.25">
      <c r="A542" s="5">
        <v>28</v>
      </c>
      <c r="B542" s="5" t="s">
        <v>35</v>
      </c>
      <c r="C542" s="5" t="s">
        <v>36</v>
      </c>
      <c r="D542" s="5">
        <v>654</v>
      </c>
      <c r="E542" s="5" t="s">
        <v>45</v>
      </c>
      <c r="F542" s="5">
        <v>1</v>
      </c>
      <c r="G542" s="5">
        <v>2</v>
      </c>
      <c r="H542" s="5" t="s">
        <v>38</v>
      </c>
      <c r="I542" s="5">
        <v>1</v>
      </c>
      <c r="J542" s="5">
        <v>741</v>
      </c>
      <c r="K542" s="5">
        <v>1</v>
      </c>
      <c r="L542" s="5" t="s">
        <v>39</v>
      </c>
      <c r="M542" s="5">
        <v>67</v>
      </c>
      <c r="N542" s="5">
        <v>1</v>
      </c>
      <c r="O542" s="5">
        <v>1</v>
      </c>
      <c r="P542" s="5" t="s">
        <v>47</v>
      </c>
      <c r="Q542" s="5">
        <v>2</v>
      </c>
      <c r="R542" s="5" t="s">
        <v>41</v>
      </c>
      <c r="S542" s="5">
        <v>2216</v>
      </c>
      <c r="T542" s="5">
        <v>3872</v>
      </c>
      <c r="U542" s="5">
        <v>7</v>
      </c>
      <c r="V542" s="5" t="s">
        <v>42</v>
      </c>
      <c r="W542" s="5" t="s">
        <v>35</v>
      </c>
      <c r="X542" s="5">
        <v>13</v>
      </c>
      <c r="Y542" s="5">
        <v>3</v>
      </c>
      <c r="Z542" s="5">
        <v>4</v>
      </c>
      <c r="AA542" s="5">
        <v>80</v>
      </c>
      <c r="AB542" s="5">
        <v>0</v>
      </c>
      <c r="AC542" s="5">
        <v>10</v>
      </c>
      <c r="AD542" s="5">
        <v>4</v>
      </c>
      <c r="AE542" s="5">
        <v>3</v>
      </c>
      <c r="AF542" s="5">
        <v>7</v>
      </c>
      <c r="AG542" s="5">
        <v>7</v>
      </c>
      <c r="AH542" s="5">
        <v>3</v>
      </c>
      <c r="AI542" s="5">
        <v>7</v>
      </c>
    </row>
    <row r="543" spans="1:35" x14ac:dyDescent="0.25">
      <c r="A543" s="5">
        <v>36</v>
      </c>
      <c r="B543" s="5" t="s">
        <v>43</v>
      </c>
      <c r="C543" s="5" t="s">
        <v>55</v>
      </c>
      <c r="D543" s="5">
        <v>427</v>
      </c>
      <c r="E543" s="5" t="s">
        <v>45</v>
      </c>
      <c r="F543" s="5">
        <v>8</v>
      </c>
      <c r="G543" s="5">
        <v>3</v>
      </c>
      <c r="H543" s="5" t="s">
        <v>38</v>
      </c>
      <c r="I543" s="5">
        <v>1</v>
      </c>
      <c r="J543" s="5">
        <v>742</v>
      </c>
      <c r="K543" s="5">
        <v>1</v>
      </c>
      <c r="L543" s="5" t="s">
        <v>39</v>
      </c>
      <c r="M543" s="5">
        <v>63</v>
      </c>
      <c r="N543" s="5">
        <v>4</v>
      </c>
      <c r="O543" s="5">
        <v>3</v>
      </c>
      <c r="P543" s="5" t="s">
        <v>58</v>
      </c>
      <c r="Q543" s="5">
        <v>1</v>
      </c>
      <c r="R543" s="5" t="s">
        <v>48</v>
      </c>
      <c r="S543" s="5">
        <v>11713</v>
      </c>
      <c r="T543" s="5">
        <v>20335</v>
      </c>
      <c r="U543" s="5">
        <v>9</v>
      </c>
      <c r="V543" s="5" t="s">
        <v>42</v>
      </c>
      <c r="W543" s="5" t="s">
        <v>43</v>
      </c>
      <c r="X543" s="5">
        <v>14</v>
      </c>
      <c r="Y543" s="5">
        <v>3</v>
      </c>
      <c r="Z543" s="5">
        <v>1</v>
      </c>
      <c r="AA543" s="5">
        <v>80</v>
      </c>
      <c r="AB543" s="5">
        <v>1</v>
      </c>
      <c r="AC543" s="5">
        <v>10</v>
      </c>
      <c r="AD543" s="5">
        <v>2</v>
      </c>
      <c r="AE543" s="5">
        <v>3</v>
      </c>
      <c r="AF543" s="5">
        <v>8</v>
      </c>
      <c r="AG543" s="5">
        <v>7</v>
      </c>
      <c r="AH543" s="5">
        <v>0</v>
      </c>
      <c r="AI543" s="5">
        <v>5</v>
      </c>
    </row>
    <row r="544" spans="1:35" x14ac:dyDescent="0.25">
      <c r="A544" s="5">
        <v>38</v>
      </c>
      <c r="B544" s="5" t="s">
        <v>43</v>
      </c>
      <c r="C544" s="5" t="s">
        <v>36</v>
      </c>
      <c r="D544" s="5">
        <v>168</v>
      </c>
      <c r="E544" s="5" t="s">
        <v>45</v>
      </c>
      <c r="F544" s="5">
        <v>1</v>
      </c>
      <c r="G544" s="5">
        <v>3</v>
      </c>
      <c r="H544" s="5" t="s">
        <v>38</v>
      </c>
      <c r="I544" s="5">
        <v>1</v>
      </c>
      <c r="J544" s="5">
        <v>743</v>
      </c>
      <c r="K544" s="5">
        <v>3</v>
      </c>
      <c r="L544" s="5" t="s">
        <v>39</v>
      </c>
      <c r="M544" s="5">
        <v>81</v>
      </c>
      <c r="N544" s="5">
        <v>3</v>
      </c>
      <c r="O544" s="5">
        <v>3</v>
      </c>
      <c r="P544" s="5" t="s">
        <v>53</v>
      </c>
      <c r="Q544" s="5">
        <v>3</v>
      </c>
      <c r="R544" s="5" t="s">
        <v>41</v>
      </c>
      <c r="S544" s="5">
        <v>7861</v>
      </c>
      <c r="T544" s="5">
        <v>15397</v>
      </c>
      <c r="U544" s="5">
        <v>4</v>
      </c>
      <c r="V544" s="5" t="s">
        <v>42</v>
      </c>
      <c r="W544" s="5" t="s">
        <v>35</v>
      </c>
      <c r="X544" s="5">
        <v>14</v>
      </c>
      <c r="Y544" s="5">
        <v>3</v>
      </c>
      <c r="Z544" s="5">
        <v>4</v>
      </c>
      <c r="AA544" s="5">
        <v>80</v>
      </c>
      <c r="AB544" s="5">
        <v>0</v>
      </c>
      <c r="AC544" s="5">
        <v>10</v>
      </c>
      <c r="AD544" s="5">
        <v>4</v>
      </c>
      <c r="AE544" s="5">
        <v>4</v>
      </c>
      <c r="AF544" s="5">
        <v>1</v>
      </c>
      <c r="AG544" s="5">
        <v>0</v>
      </c>
      <c r="AH544" s="5">
        <v>0</v>
      </c>
      <c r="AI544" s="5">
        <v>0</v>
      </c>
    </row>
    <row r="545" spans="1:35" x14ac:dyDescent="0.25">
      <c r="A545" s="5">
        <v>44</v>
      </c>
      <c r="B545" s="5" t="s">
        <v>43</v>
      </c>
      <c r="C545" s="5" t="s">
        <v>55</v>
      </c>
      <c r="D545" s="5">
        <v>381</v>
      </c>
      <c r="E545" s="5" t="s">
        <v>45</v>
      </c>
      <c r="F545" s="5">
        <v>24</v>
      </c>
      <c r="G545" s="5">
        <v>3</v>
      </c>
      <c r="H545" s="5" t="s">
        <v>51</v>
      </c>
      <c r="I545" s="5">
        <v>1</v>
      </c>
      <c r="J545" s="5">
        <v>744</v>
      </c>
      <c r="K545" s="5">
        <v>1</v>
      </c>
      <c r="L545" s="5" t="s">
        <v>46</v>
      </c>
      <c r="M545" s="5">
        <v>49</v>
      </c>
      <c r="N545" s="5">
        <v>1</v>
      </c>
      <c r="O545" s="5">
        <v>1</v>
      </c>
      <c r="P545" s="5" t="s">
        <v>50</v>
      </c>
      <c r="Q545" s="5">
        <v>3</v>
      </c>
      <c r="R545" s="5" t="s">
        <v>41</v>
      </c>
      <c r="S545" s="5">
        <v>3708</v>
      </c>
      <c r="T545" s="5">
        <v>2104</v>
      </c>
      <c r="U545" s="5">
        <v>2</v>
      </c>
      <c r="V545" s="5" t="s">
        <v>42</v>
      </c>
      <c r="W545" s="5" t="s">
        <v>43</v>
      </c>
      <c r="X545" s="5">
        <v>14</v>
      </c>
      <c r="Y545" s="5">
        <v>3</v>
      </c>
      <c r="Z545" s="5">
        <v>3</v>
      </c>
      <c r="AA545" s="5">
        <v>80</v>
      </c>
      <c r="AB545" s="5">
        <v>0</v>
      </c>
      <c r="AC545" s="5">
        <v>9</v>
      </c>
      <c r="AD545" s="5">
        <v>5</v>
      </c>
      <c r="AE545" s="5">
        <v>3</v>
      </c>
      <c r="AF545" s="5">
        <v>5</v>
      </c>
      <c r="AG545" s="5">
        <v>2</v>
      </c>
      <c r="AH545" s="5">
        <v>1</v>
      </c>
      <c r="AI545" s="5">
        <v>4</v>
      </c>
    </row>
    <row r="546" spans="1:35" x14ac:dyDescent="0.25">
      <c r="A546" s="5">
        <v>47</v>
      </c>
      <c r="B546" s="5" t="s">
        <v>43</v>
      </c>
      <c r="C546" s="5" t="s">
        <v>44</v>
      </c>
      <c r="D546" s="5">
        <v>217</v>
      </c>
      <c r="E546" s="5" t="s">
        <v>37</v>
      </c>
      <c r="F546" s="5">
        <v>3</v>
      </c>
      <c r="G546" s="5">
        <v>3</v>
      </c>
      <c r="H546" s="5" t="s">
        <v>51</v>
      </c>
      <c r="I546" s="5">
        <v>1</v>
      </c>
      <c r="J546" s="5">
        <v>746</v>
      </c>
      <c r="K546" s="5">
        <v>4</v>
      </c>
      <c r="L546" s="5" t="s">
        <v>39</v>
      </c>
      <c r="M546" s="5">
        <v>49</v>
      </c>
      <c r="N546" s="5">
        <v>3</v>
      </c>
      <c r="O546" s="5">
        <v>4</v>
      </c>
      <c r="P546" s="5" t="s">
        <v>40</v>
      </c>
      <c r="Q546" s="5">
        <v>3</v>
      </c>
      <c r="R546" s="5" t="s">
        <v>52</v>
      </c>
      <c r="S546" s="5">
        <v>13770</v>
      </c>
      <c r="T546" s="5">
        <v>10225</v>
      </c>
      <c r="U546" s="5">
        <v>9</v>
      </c>
      <c r="V546" s="5" t="s">
        <v>42</v>
      </c>
      <c r="W546" s="5" t="s">
        <v>35</v>
      </c>
      <c r="X546" s="5">
        <v>12</v>
      </c>
      <c r="Y546" s="5">
        <v>3</v>
      </c>
      <c r="Z546" s="5">
        <v>4</v>
      </c>
      <c r="AA546" s="5">
        <v>80</v>
      </c>
      <c r="AB546" s="5">
        <v>2</v>
      </c>
      <c r="AC546" s="5">
        <v>28</v>
      </c>
      <c r="AD546" s="5">
        <v>2</v>
      </c>
      <c r="AE546" s="5">
        <v>2</v>
      </c>
      <c r="AF546" s="5">
        <v>22</v>
      </c>
      <c r="AG546" s="5">
        <v>2</v>
      </c>
      <c r="AH546" s="5">
        <v>11</v>
      </c>
      <c r="AI546" s="5">
        <v>13</v>
      </c>
    </row>
    <row r="547" spans="1:35" x14ac:dyDescent="0.25">
      <c r="A547" s="5">
        <v>30</v>
      </c>
      <c r="B547" s="5" t="s">
        <v>43</v>
      </c>
      <c r="C547" s="5" t="s">
        <v>36</v>
      </c>
      <c r="D547" s="5">
        <v>501</v>
      </c>
      <c r="E547" s="5" t="s">
        <v>37</v>
      </c>
      <c r="F547" s="5">
        <v>27</v>
      </c>
      <c r="G547" s="5">
        <v>5</v>
      </c>
      <c r="H547" s="5" t="s">
        <v>59</v>
      </c>
      <c r="I547" s="5">
        <v>1</v>
      </c>
      <c r="J547" s="5">
        <v>747</v>
      </c>
      <c r="K547" s="5">
        <v>3</v>
      </c>
      <c r="L547" s="5" t="s">
        <v>46</v>
      </c>
      <c r="M547" s="5">
        <v>99</v>
      </c>
      <c r="N547" s="5">
        <v>3</v>
      </c>
      <c r="O547" s="5">
        <v>2</v>
      </c>
      <c r="P547" s="5" t="s">
        <v>40</v>
      </c>
      <c r="Q547" s="5">
        <v>4</v>
      </c>
      <c r="R547" s="5" t="s">
        <v>52</v>
      </c>
      <c r="S547" s="5">
        <v>5304</v>
      </c>
      <c r="T547" s="5">
        <v>25275</v>
      </c>
      <c r="U547" s="5">
        <v>7</v>
      </c>
      <c r="V547" s="5" t="s">
        <v>42</v>
      </c>
      <c r="W547" s="5" t="s">
        <v>43</v>
      </c>
      <c r="X547" s="5">
        <v>23</v>
      </c>
      <c r="Y547" s="5">
        <v>4</v>
      </c>
      <c r="Z547" s="5">
        <v>4</v>
      </c>
      <c r="AA547" s="5">
        <v>80</v>
      </c>
      <c r="AB547" s="5">
        <v>1</v>
      </c>
      <c r="AC547" s="5">
        <v>10</v>
      </c>
      <c r="AD547" s="5">
        <v>2</v>
      </c>
      <c r="AE547" s="5">
        <v>2</v>
      </c>
      <c r="AF547" s="5">
        <v>8</v>
      </c>
      <c r="AG547" s="5">
        <v>7</v>
      </c>
      <c r="AH547" s="5">
        <v>7</v>
      </c>
      <c r="AI547" s="5">
        <v>7</v>
      </c>
    </row>
    <row r="548" spans="1:35" x14ac:dyDescent="0.25">
      <c r="A548" s="5">
        <v>29</v>
      </c>
      <c r="B548" s="5" t="s">
        <v>43</v>
      </c>
      <c r="C548" s="5" t="s">
        <v>36</v>
      </c>
      <c r="D548" s="5">
        <v>1396</v>
      </c>
      <c r="E548" s="5" t="s">
        <v>37</v>
      </c>
      <c r="F548" s="5">
        <v>10</v>
      </c>
      <c r="G548" s="5">
        <v>3</v>
      </c>
      <c r="H548" s="5" t="s">
        <v>38</v>
      </c>
      <c r="I548" s="5">
        <v>1</v>
      </c>
      <c r="J548" s="5">
        <v>749</v>
      </c>
      <c r="K548" s="5">
        <v>3</v>
      </c>
      <c r="L548" s="5" t="s">
        <v>46</v>
      </c>
      <c r="M548" s="5">
        <v>99</v>
      </c>
      <c r="N548" s="5">
        <v>3</v>
      </c>
      <c r="O548" s="5">
        <v>1</v>
      </c>
      <c r="P548" s="5" t="s">
        <v>57</v>
      </c>
      <c r="Q548" s="5">
        <v>3</v>
      </c>
      <c r="R548" s="5" t="s">
        <v>41</v>
      </c>
      <c r="S548" s="5">
        <v>2642</v>
      </c>
      <c r="T548" s="5">
        <v>2755</v>
      </c>
      <c r="U548" s="5">
        <v>1</v>
      </c>
      <c r="V548" s="5" t="s">
        <v>42</v>
      </c>
      <c r="W548" s="5" t="s">
        <v>43</v>
      </c>
      <c r="X548" s="5">
        <v>11</v>
      </c>
      <c r="Y548" s="5">
        <v>3</v>
      </c>
      <c r="Z548" s="5">
        <v>3</v>
      </c>
      <c r="AA548" s="5">
        <v>80</v>
      </c>
      <c r="AB548" s="5">
        <v>0</v>
      </c>
      <c r="AC548" s="5">
        <v>1</v>
      </c>
      <c r="AD548" s="5">
        <v>6</v>
      </c>
      <c r="AE548" s="5">
        <v>3</v>
      </c>
      <c r="AF548" s="5">
        <v>1</v>
      </c>
      <c r="AG548" s="5">
        <v>0</v>
      </c>
      <c r="AH548" s="5">
        <v>0</v>
      </c>
      <c r="AI548" s="5">
        <v>0</v>
      </c>
    </row>
    <row r="549" spans="1:35" x14ac:dyDescent="0.25">
      <c r="A549" s="5">
        <v>42</v>
      </c>
      <c r="B549" s="5" t="s">
        <v>35</v>
      </c>
      <c r="C549" s="5" t="s">
        <v>44</v>
      </c>
      <c r="D549" s="5">
        <v>933</v>
      </c>
      <c r="E549" s="5" t="s">
        <v>45</v>
      </c>
      <c r="F549" s="5">
        <v>19</v>
      </c>
      <c r="G549" s="5">
        <v>3</v>
      </c>
      <c r="H549" s="5" t="s">
        <v>51</v>
      </c>
      <c r="I549" s="5">
        <v>1</v>
      </c>
      <c r="J549" s="5">
        <v>752</v>
      </c>
      <c r="K549" s="5">
        <v>3</v>
      </c>
      <c r="L549" s="5" t="s">
        <v>46</v>
      </c>
      <c r="M549" s="5">
        <v>57</v>
      </c>
      <c r="N549" s="5">
        <v>4</v>
      </c>
      <c r="O549" s="5">
        <v>1</v>
      </c>
      <c r="P549" s="5" t="s">
        <v>47</v>
      </c>
      <c r="Q549" s="5">
        <v>3</v>
      </c>
      <c r="R549" s="5" t="s">
        <v>52</v>
      </c>
      <c r="S549" s="5">
        <v>2759</v>
      </c>
      <c r="T549" s="5">
        <v>20366</v>
      </c>
      <c r="U549" s="5">
        <v>6</v>
      </c>
      <c r="V549" s="5" t="s">
        <v>42</v>
      </c>
      <c r="W549" s="5" t="s">
        <v>35</v>
      </c>
      <c r="X549" s="5">
        <v>12</v>
      </c>
      <c r="Y549" s="5">
        <v>3</v>
      </c>
      <c r="Z549" s="5">
        <v>4</v>
      </c>
      <c r="AA549" s="5">
        <v>80</v>
      </c>
      <c r="AB549" s="5">
        <v>0</v>
      </c>
      <c r="AC549" s="5">
        <v>7</v>
      </c>
      <c r="AD549" s="5">
        <v>2</v>
      </c>
      <c r="AE549" s="5">
        <v>3</v>
      </c>
      <c r="AF549" s="5">
        <v>2</v>
      </c>
      <c r="AG549" s="5">
        <v>2</v>
      </c>
      <c r="AH549" s="5">
        <v>2</v>
      </c>
      <c r="AI549" s="5">
        <v>2</v>
      </c>
    </row>
    <row r="550" spans="1:35" x14ac:dyDescent="0.25">
      <c r="A550" s="5">
        <v>43</v>
      </c>
      <c r="B550" s="5" t="s">
        <v>43</v>
      </c>
      <c r="C550" s="5" t="s">
        <v>44</v>
      </c>
      <c r="D550" s="5">
        <v>775</v>
      </c>
      <c r="E550" s="5" t="s">
        <v>37</v>
      </c>
      <c r="F550" s="5">
        <v>15</v>
      </c>
      <c r="G550" s="5">
        <v>3</v>
      </c>
      <c r="H550" s="5" t="s">
        <v>38</v>
      </c>
      <c r="I550" s="5">
        <v>1</v>
      </c>
      <c r="J550" s="5">
        <v>754</v>
      </c>
      <c r="K550" s="5">
        <v>4</v>
      </c>
      <c r="L550" s="5" t="s">
        <v>46</v>
      </c>
      <c r="M550" s="5">
        <v>47</v>
      </c>
      <c r="N550" s="5">
        <v>2</v>
      </c>
      <c r="O550" s="5">
        <v>2</v>
      </c>
      <c r="P550" s="5" t="s">
        <v>40</v>
      </c>
      <c r="Q550" s="5">
        <v>4</v>
      </c>
      <c r="R550" s="5" t="s">
        <v>48</v>
      </c>
      <c r="S550" s="5">
        <v>6804</v>
      </c>
      <c r="T550" s="5">
        <v>23683</v>
      </c>
      <c r="U550" s="5">
        <v>3</v>
      </c>
      <c r="V550" s="5" t="s">
        <v>42</v>
      </c>
      <c r="W550" s="5" t="s">
        <v>43</v>
      </c>
      <c r="X550" s="5">
        <v>18</v>
      </c>
      <c r="Y550" s="5">
        <v>3</v>
      </c>
      <c r="Z550" s="5">
        <v>3</v>
      </c>
      <c r="AA550" s="5">
        <v>80</v>
      </c>
      <c r="AB550" s="5">
        <v>1</v>
      </c>
      <c r="AC550" s="5">
        <v>7</v>
      </c>
      <c r="AD550" s="5">
        <v>5</v>
      </c>
      <c r="AE550" s="5">
        <v>3</v>
      </c>
      <c r="AF550" s="5">
        <v>2</v>
      </c>
      <c r="AG550" s="5">
        <v>2</v>
      </c>
      <c r="AH550" s="5">
        <v>2</v>
      </c>
      <c r="AI550" s="5">
        <v>2</v>
      </c>
    </row>
    <row r="551" spans="1:35" x14ac:dyDescent="0.25">
      <c r="A551" s="5">
        <v>34</v>
      </c>
      <c r="B551" s="5" t="s">
        <v>43</v>
      </c>
      <c r="C551" s="5" t="s">
        <v>36</v>
      </c>
      <c r="D551" s="5">
        <v>970</v>
      </c>
      <c r="E551" s="5" t="s">
        <v>45</v>
      </c>
      <c r="F551" s="5">
        <v>8</v>
      </c>
      <c r="G551" s="5">
        <v>2</v>
      </c>
      <c r="H551" s="5" t="s">
        <v>51</v>
      </c>
      <c r="I551" s="5">
        <v>1</v>
      </c>
      <c r="J551" s="5">
        <v>757</v>
      </c>
      <c r="K551" s="5">
        <v>2</v>
      </c>
      <c r="L551" s="5" t="s">
        <v>39</v>
      </c>
      <c r="M551" s="5">
        <v>96</v>
      </c>
      <c r="N551" s="5">
        <v>3</v>
      </c>
      <c r="O551" s="5">
        <v>2</v>
      </c>
      <c r="P551" s="5" t="s">
        <v>54</v>
      </c>
      <c r="Q551" s="5">
        <v>3</v>
      </c>
      <c r="R551" s="5" t="s">
        <v>41</v>
      </c>
      <c r="S551" s="5">
        <v>6142</v>
      </c>
      <c r="T551" s="5">
        <v>7360</v>
      </c>
      <c r="U551" s="5">
        <v>3</v>
      </c>
      <c r="V551" s="5" t="s">
        <v>42</v>
      </c>
      <c r="W551" s="5" t="s">
        <v>43</v>
      </c>
      <c r="X551" s="5">
        <v>11</v>
      </c>
      <c r="Y551" s="5">
        <v>3</v>
      </c>
      <c r="Z551" s="5">
        <v>4</v>
      </c>
      <c r="AA551" s="5">
        <v>80</v>
      </c>
      <c r="AB551" s="5">
        <v>0</v>
      </c>
      <c r="AC551" s="5">
        <v>10</v>
      </c>
      <c r="AD551" s="5">
        <v>2</v>
      </c>
      <c r="AE551" s="5">
        <v>3</v>
      </c>
      <c r="AF551" s="5">
        <v>5</v>
      </c>
      <c r="AG551" s="5">
        <v>1</v>
      </c>
      <c r="AH551" s="5">
        <v>4</v>
      </c>
      <c r="AI551" s="5">
        <v>3</v>
      </c>
    </row>
    <row r="552" spans="1:35" x14ac:dyDescent="0.25">
      <c r="A552" s="5">
        <v>23</v>
      </c>
      <c r="B552" s="5" t="s">
        <v>43</v>
      </c>
      <c r="C552" s="5" t="s">
        <v>36</v>
      </c>
      <c r="D552" s="5">
        <v>650</v>
      </c>
      <c r="E552" s="5" t="s">
        <v>45</v>
      </c>
      <c r="F552" s="5">
        <v>9</v>
      </c>
      <c r="G552" s="5">
        <v>1</v>
      </c>
      <c r="H552" s="5" t="s">
        <v>51</v>
      </c>
      <c r="I552" s="5">
        <v>1</v>
      </c>
      <c r="J552" s="5">
        <v>758</v>
      </c>
      <c r="K552" s="5">
        <v>2</v>
      </c>
      <c r="L552" s="5" t="s">
        <v>46</v>
      </c>
      <c r="M552" s="5">
        <v>37</v>
      </c>
      <c r="N552" s="5">
        <v>3</v>
      </c>
      <c r="O552" s="5">
        <v>1</v>
      </c>
      <c r="P552" s="5" t="s">
        <v>50</v>
      </c>
      <c r="Q552" s="5">
        <v>1</v>
      </c>
      <c r="R552" s="5" t="s">
        <v>48</v>
      </c>
      <c r="S552" s="5">
        <v>2500</v>
      </c>
      <c r="T552" s="5">
        <v>4344</v>
      </c>
      <c r="U552" s="5">
        <v>1</v>
      </c>
      <c r="V552" s="5" t="s">
        <v>42</v>
      </c>
      <c r="W552" s="5" t="s">
        <v>43</v>
      </c>
      <c r="X552" s="5">
        <v>14</v>
      </c>
      <c r="Y552" s="5">
        <v>3</v>
      </c>
      <c r="Z552" s="5">
        <v>4</v>
      </c>
      <c r="AA552" s="5">
        <v>80</v>
      </c>
      <c r="AB552" s="5">
        <v>1</v>
      </c>
      <c r="AC552" s="5">
        <v>5</v>
      </c>
      <c r="AD552" s="5">
        <v>2</v>
      </c>
      <c r="AE552" s="5">
        <v>4</v>
      </c>
      <c r="AF552" s="5">
        <v>4</v>
      </c>
      <c r="AG552" s="5">
        <v>3</v>
      </c>
      <c r="AH552" s="5">
        <v>0</v>
      </c>
      <c r="AI552" s="5">
        <v>2</v>
      </c>
    </row>
    <row r="553" spans="1:35" x14ac:dyDescent="0.25">
      <c r="A553" s="5">
        <v>39</v>
      </c>
      <c r="B553" s="5" t="s">
        <v>43</v>
      </c>
      <c r="C553" s="5" t="s">
        <v>36</v>
      </c>
      <c r="D553" s="5">
        <v>141</v>
      </c>
      <c r="E553" s="5" t="s">
        <v>61</v>
      </c>
      <c r="F553" s="5">
        <v>3</v>
      </c>
      <c r="G553" s="5">
        <v>3</v>
      </c>
      <c r="H553" s="5" t="s">
        <v>61</v>
      </c>
      <c r="I553" s="5">
        <v>1</v>
      </c>
      <c r="J553" s="5">
        <v>760</v>
      </c>
      <c r="K553" s="5">
        <v>3</v>
      </c>
      <c r="L553" s="5" t="s">
        <v>39</v>
      </c>
      <c r="M553" s="5">
        <v>44</v>
      </c>
      <c r="N553" s="5">
        <v>4</v>
      </c>
      <c r="O553" s="5">
        <v>2</v>
      </c>
      <c r="P553" s="5" t="s">
        <v>61</v>
      </c>
      <c r="Q553" s="5">
        <v>2</v>
      </c>
      <c r="R553" s="5" t="s">
        <v>48</v>
      </c>
      <c r="S553" s="5">
        <v>6389</v>
      </c>
      <c r="T553" s="5">
        <v>18767</v>
      </c>
      <c r="U553" s="5">
        <v>9</v>
      </c>
      <c r="V553" s="5" t="s">
        <v>42</v>
      </c>
      <c r="W553" s="5" t="s">
        <v>43</v>
      </c>
      <c r="X553" s="5">
        <v>15</v>
      </c>
      <c r="Y553" s="5">
        <v>3</v>
      </c>
      <c r="Z553" s="5">
        <v>3</v>
      </c>
      <c r="AA553" s="5">
        <v>80</v>
      </c>
      <c r="AB553" s="5">
        <v>1</v>
      </c>
      <c r="AC553" s="5">
        <v>12</v>
      </c>
      <c r="AD553" s="5">
        <v>3</v>
      </c>
      <c r="AE553" s="5">
        <v>1</v>
      </c>
      <c r="AF553" s="5">
        <v>8</v>
      </c>
      <c r="AG553" s="5">
        <v>3</v>
      </c>
      <c r="AH553" s="5">
        <v>3</v>
      </c>
      <c r="AI553" s="5">
        <v>6</v>
      </c>
    </row>
    <row r="554" spans="1:35" x14ac:dyDescent="0.25">
      <c r="A554" s="5">
        <v>56</v>
      </c>
      <c r="B554" s="5" t="s">
        <v>43</v>
      </c>
      <c r="C554" s="5" t="s">
        <v>36</v>
      </c>
      <c r="D554" s="5">
        <v>832</v>
      </c>
      <c r="E554" s="5" t="s">
        <v>45</v>
      </c>
      <c r="F554" s="5">
        <v>9</v>
      </c>
      <c r="G554" s="5">
        <v>3</v>
      </c>
      <c r="H554" s="5" t="s">
        <v>51</v>
      </c>
      <c r="I554" s="5">
        <v>1</v>
      </c>
      <c r="J554" s="5">
        <v>762</v>
      </c>
      <c r="K554" s="5">
        <v>3</v>
      </c>
      <c r="L554" s="5" t="s">
        <v>46</v>
      </c>
      <c r="M554" s="5">
        <v>81</v>
      </c>
      <c r="N554" s="5">
        <v>3</v>
      </c>
      <c r="O554" s="5">
        <v>4</v>
      </c>
      <c r="P554" s="5" t="s">
        <v>54</v>
      </c>
      <c r="Q554" s="5">
        <v>4</v>
      </c>
      <c r="R554" s="5" t="s">
        <v>48</v>
      </c>
      <c r="S554" s="5">
        <v>11103</v>
      </c>
      <c r="T554" s="5">
        <v>20420</v>
      </c>
      <c r="U554" s="5">
        <v>7</v>
      </c>
      <c r="V554" s="5" t="s">
        <v>42</v>
      </c>
      <c r="W554" s="5" t="s">
        <v>43</v>
      </c>
      <c r="X554" s="5">
        <v>11</v>
      </c>
      <c r="Y554" s="5">
        <v>3</v>
      </c>
      <c r="Z554" s="5">
        <v>3</v>
      </c>
      <c r="AA554" s="5">
        <v>80</v>
      </c>
      <c r="AB554" s="5">
        <v>0</v>
      </c>
      <c r="AC554" s="5">
        <v>30</v>
      </c>
      <c r="AD554" s="5">
        <v>1</v>
      </c>
      <c r="AE554" s="5">
        <v>2</v>
      </c>
      <c r="AF554" s="5">
        <v>10</v>
      </c>
      <c r="AG554" s="5">
        <v>7</v>
      </c>
      <c r="AH554" s="5">
        <v>1</v>
      </c>
      <c r="AI554" s="5">
        <v>1</v>
      </c>
    </row>
    <row r="555" spans="1:35" x14ac:dyDescent="0.25">
      <c r="A555" s="5">
        <v>40</v>
      </c>
      <c r="B555" s="5" t="s">
        <v>43</v>
      </c>
      <c r="C555" s="5" t="s">
        <v>36</v>
      </c>
      <c r="D555" s="5">
        <v>804</v>
      </c>
      <c r="E555" s="5" t="s">
        <v>45</v>
      </c>
      <c r="F555" s="5">
        <v>2</v>
      </c>
      <c r="G555" s="5">
        <v>1</v>
      </c>
      <c r="H555" s="5" t="s">
        <v>51</v>
      </c>
      <c r="I555" s="5">
        <v>1</v>
      </c>
      <c r="J555" s="5">
        <v>763</v>
      </c>
      <c r="K555" s="5">
        <v>4</v>
      </c>
      <c r="L555" s="5" t="s">
        <v>39</v>
      </c>
      <c r="M555" s="5">
        <v>86</v>
      </c>
      <c r="N555" s="5">
        <v>2</v>
      </c>
      <c r="O555" s="5">
        <v>1</v>
      </c>
      <c r="P555" s="5" t="s">
        <v>47</v>
      </c>
      <c r="Q555" s="5">
        <v>4</v>
      </c>
      <c r="R555" s="5" t="s">
        <v>41</v>
      </c>
      <c r="S555" s="5">
        <v>2342</v>
      </c>
      <c r="T555" s="5">
        <v>22929</v>
      </c>
      <c r="U555" s="5">
        <v>0</v>
      </c>
      <c r="V555" s="5" t="s">
        <v>42</v>
      </c>
      <c r="W555" s="5" t="s">
        <v>35</v>
      </c>
      <c r="X555" s="5">
        <v>20</v>
      </c>
      <c r="Y555" s="5">
        <v>4</v>
      </c>
      <c r="Z555" s="5">
        <v>4</v>
      </c>
      <c r="AA555" s="5">
        <v>80</v>
      </c>
      <c r="AB555" s="5">
        <v>0</v>
      </c>
      <c r="AC555" s="5">
        <v>5</v>
      </c>
      <c r="AD555" s="5">
        <v>2</v>
      </c>
      <c r="AE555" s="5">
        <v>2</v>
      </c>
      <c r="AF555" s="5">
        <v>4</v>
      </c>
      <c r="AG555" s="5">
        <v>2</v>
      </c>
      <c r="AH555" s="5">
        <v>2</v>
      </c>
      <c r="AI555" s="5">
        <v>3</v>
      </c>
    </row>
    <row r="556" spans="1:35" x14ac:dyDescent="0.25">
      <c r="A556" s="5">
        <v>27</v>
      </c>
      <c r="B556" s="5" t="s">
        <v>43</v>
      </c>
      <c r="C556" s="5" t="s">
        <v>36</v>
      </c>
      <c r="D556" s="5">
        <v>975</v>
      </c>
      <c r="E556" s="5" t="s">
        <v>45</v>
      </c>
      <c r="F556" s="5">
        <v>7</v>
      </c>
      <c r="G556" s="5">
        <v>3</v>
      </c>
      <c r="H556" s="5" t="s">
        <v>51</v>
      </c>
      <c r="I556" s="5">
        <v>1</v>
      </c>
      <c r="J556" s="5">
        <v>764</v>
      </c>
      <c r="K556" s="5">
        <v>4</v>
      </c>
      <c r="L556" s="5" t="s">
        <v>39</v>
      </c>
      <c r="M556" s="5">
        <v>55</v>
      </c>
      <c r="N556" s="5">
        <v>2</v>
      </c>
      <c r="O556" s="5">
        <v>2</v>
      </c>
      <c r="P556" s="5" t="s">
        <v>54</v>
      </c>
      <c r="Q556" s="5">
        <v>1</v>
      </c>
      <c r="R556" s="5" t="s">
        <v>41</v>
      </c>
      <c r="S556" s="5">
        <v>6811</v>
      </c>
      <c r="T556" s="5">
        <v>23398</v>
      </c>
      <c r="U556" s="5">
        <v>8</v>
      </c>
      <c r="V556" s="5" t="s">
        <v>42</v>
      </c>
      <c r="W556" s="5" t="s">
        <v>43</v>
      </c>
      <c r="X556" s="5">
        <v>19</v>
      </c>
      <c r="Y556" s="5">
        <v>3</v>
      </c>
      <c r="Z556" s="5">
        <v>1</v>
      </c>
      <c r="AA556" s="5">
        <v>80</v>
      </c>
      <c r="AB556" s="5">
        <v>0</v>
      </c>
      <c r="AC556" s="5">
        <v>9</v>
      </c>
      <c r="AD556" s="5">
        <v>2</v>
      </c>
      <c r="AE556" s="5">
        <v>1</v>
      </c>
      <c r="AF556" s="5">
        <v>7</v>
      </c>
      <c r="AG556" s="5">
        <v>6</v>
      </c>
      <c r="AH556" s="5">
        <v>0</v>
      </c>
      <c r="AI556" s="5">
        <v>7</v>
      </c>
    </row>
    <row r="557" spans="1:35" x14ac:dyDescent="0.25">
      <c r="A557" s="5">
        <v>29</v>
      </c>
      <c r="B557" s="5" t="s">
        <v>43</v>
      </c>
      <c r="C557" s="5" t="s">
        <v>36</v>
      </c>
      <c r="D557" s="5">
        <v>1090</v>
      </c>
      <c r="E557" s="5" t="s">
        <v>37</v>
      </c>
      <c r="F557" s="5">
        <v>10</v>
      </c>
      <c r="G557" s="5">
        <v>3</v>
      </c>
      <c r="H557" s="5" t="s">
        <v>59</v>
      </c>
      <c r="I557" s="5">
        <v>1</v>
      </c>
      <c r="J557" s="5">
        <v>766</v>
      </c>
      <c r="K557" s="5">
        <v>4</v>
      </c>
      <c r="L557" s="5" t="s">
        <v>46</v>
      </c>
      <c r="M557" s="5">
        <v>83</v>
      </c>
      <c r="N557" s="5">
        <v>3</v>
      </c>
      <c r="O557" s="5">
        <v>1</v>
      </c>
      <c r="P557" s="5" t="s">
        <v>57</v>
      </c>
      <c r="Q557" s="5">
        <v>2</v>
      </c>
      <c r="R557" s="5" t="s">
        <v>52</v>
      </c>
      <c r="S557" s="5">
        <v>2297</v>
      </c>
      <c r="T557" s="5">
        <v>17967</v>
      </c>
      <c r="U557" s="5">
        <v>1</v>
      </c>
      <c r="V557" s="5" t="s">
        <v>42</v>
      </c>
      <c r="W557" s="5" t="s">
        <v>43</v>
      </c>
      <c r="X557" s="5">
        <v>14</v>
      </c>
      <c r="Y557" s="5">
        <v>3</v>
      </c>
      <c r="Z557" s="5">
        <v>4</v>
      </c>
      <c r="AA557" s="5">
        <v>80</v>
      </c>
      <c r="AB557" s="5">
        <v>2</v>
      </c>
      <c r="AC557" s="5">
        <v>2</v>
      </c>
      <c r="AD557" s="5">
        <v>2</v>
      </c>
      <c r="AE557" s="5">
        <v>3</v>
      </c>
      <c r="AF557" s="5">
        <v>2</v>
      </c>
      <c r="AG557" s="5">
        <v>2</v>
      </c>
      <c r="AH557" s="5">
        <v>2</v>
      </c>
      <c r="AI557" s="5">
        <v>2</v>
      </c>
    </row>
    <row r="558" spans="1:35" x14ac:dyDescent="0.25">
      <c r="A558" s="5">
        <v>53</v>
      </c>
      <c r="B558" s="5" t="s">
        <v>43</v>
      </c>
      <c r="C558" s="5" t="s">
        <v>36</v>
      </c>
      <c r="D558" s="5">
        <v>346</v>
      </c>
      <c r="E558" s="5" t="s">
        <v>45</v>
      </c>
      <c r="F558" s="5">
        <v>6</v>
      </c>
      <c r="G558" s="5">
        <v>3</v>
      </c>
      <c r="H558" s="5" t="s">
        <v>38</v>
      </c>
      <c r="I558" s="5">
        <v>1</v>
      </c>
      <c r="J558" s="5">
        <v>769</v>
      </c>
      <c r="K558" s="5">
        <v>4</v>
      </c>
      <c r="L558" s="5" t="s">
        <v>46</v>
      </c>
      <c r="M558" s="5">
        <v>86</v>
      </c>
      <c r="N558" s="5">
        <v>3</v>
      </c>
      <c r="O558" s="5">
        <v>2</v>
      </c>
      <c r="P558" s="5" t="s">
        <v>50</v>
      </c>
      <c r="Q558" s="5">
        <v>4</v>
      </c>
      <c r="R558" s="5" t="s">
        <v>41</v>
      </c>
      <c r="S558" s="5">
        <v>2450</v>
      </c>
      <c r="T558" s="5">
        <v>10919</v>
      </c>
      <c r="U558" s="5">
        <v>2</v>
      </c>
      <c r="V558" s="5" t="s">
        <v>42</v>
      </c>
      <c r="W558" s="5" t="s">
        <v>43</v>
      </c>
      <c r="X558" s="5">
        <v>17</v>
      </c>
      <c r="Y558" s="5">
        <v>3</v>
      </c>
      <c r="Z558" s="5">
        <v>4</v>
      </c>
      <c r="AA558" s="5">
        <v>80</v>
      </c>
      <c r="AB558" s="5">
        <v>0</v>
      </c>
      <c r="AC558" s="5">
        <v>19</v>
      </c>
      <c r="AD558" s="5">
        <v>4</v>
      </c>
      <c r="AE558" s="5">
        <v>3</v>
      </c>
      <c r="AF558" s="5">
        <v>2</v>
      </c>
      <c r="AG558" s="5">
        <v>2</v>
      </c>
      <c r="AH558" s="5">
        <v>2</v>
      </c>
      <c r="AI558" s="5">
        <v>2</v>
      </c>
    </row>
    <row r="559" spans="1:35" x14ac:dyDescent="0.25">
      <c r="A559" s="5">
        <v>35</v>
      </c>
      <c r="B559" s="5" t="s">
        <v>43</v>
      </c>
      <c r="C559" s="5" t="s">
        <v>55</v>
      </c>
      <c r="D559" s="5">
        <v>1225</v>
      </c>
      <c r="E559" s="5" t="s">
        <v>45</v>
      </c>
      <c r="F559" s="5">
        <v>2</v>
      </c>
      <c r="G559" s="5">
        <v>4</v>
      </c>
      <c r="H559" s="5" t="s">
        <v>38</v>
      </c>
      <c r="I559" s="5">
        <v>1</v>
      </c>
      <c r="J559" s="5">
        <v>771</v>
      </c>
      <c r="K559" s="5">
        <v>4</v>
      </c>
      <c r="L559" s="5" t="s">
        <v>39</v>
      </c>
      <c r="M559" s="5">
        <v>61</v>
      </c>
      <c r="N559" s="5">
        <v>3</v>
      </c>
      <c r="O559" s="5">
        <v>2</v>
      </c>
      <c r="P559" s="5" t="s">
        <v>54</v>
      </c>
      <c r="Q559" s="5">
        <v>1</v>
      </c>
      <c r="R559" s="5" t="s">
        <v>52</v>
      </c>
      <c r="S559" s="5">
        <v>5093</v>
      </c>
      <c r="T559" s="5">
        <v>4761</v>
      </c>
      <c r="U559" s="5">
        <v>2</v>
      </c>
      <c r="V559" s="5" t="s">
        <v>42</v>
      </c>
      <c r="W559" s="5" t="s">
        <v>43</v>
      </c>
      <c r="X559" s="5">
        <v>11</v>
      </c>
      <c r="Y559" s="5">
        <v>3</v>
      </c>
      <c r="Z559" s="5">
        <v>1</v>
      </c>
      <c r="AA559" s="5">
        <v>80</v>
      </c>
      <c r="AB559" s="5">
        <v>1</v>
      </c>
      <c r="AC559" s="5">
        <v>16</v>
      </c>
      <c r="AD559" s="5">
        <v>2</v>
      </c>
      <c r="AE559" s="5">
        <v>4</v>
      </c>
      <c r="AF559" s="5">
        <v>1</v>
      </c>
      <c r="AG559" s="5">
        <v>0</v>
      </c>
      <c r="AH559" s="5">
        <v>0</v>
      </c>
      <c r="AI559" s="5">
        <v>0</v>
      </c>
    </row>
    <row r="560" spans="1:35" x14ac:dyDescent="0.25">
      <c r="A560" s="5">
        <v>32</v>
      </c>
      <c r="B560" s="5" t="s">
        <v>43</v>
      </c>
      <c r="C560" s="5" t="s">
        <v>44</v>
      </c>
      <c r="D560" s="5">
        <v>430</v>
      </c>
      <c r="E560" s="5" t="s">
        <v>45</v>
      </c>
      <c r="F560" s="5">
        <v>24</v>
      </c>
      <c r="G560" s="5">
        <v>4</v>
      </c>
      <c r="H560" s="5" t="s">
        <v>38</v>
      </c>
      <c r="I560" s="5">
        <v>1</v>
      </c>
      <c r="J560" s="5">
        <v>772</v>
      </c>
      <c r="K560" s="5">
        <v>1</v>
      </c>
      <c r="L560" s="5" t="s">
        <v>46</v>
      </c>
      <c r="M560" s="5">
        <v>80</v>
      </c>
      <c r="N560" s="5">
        <v>3</v>
      </c>
      <c r="O560" s="5">
        <v>2</v>
      </c>
      <c r="P560" s="5" t="s">
        <v>50</v>
      </c>
      <c r="Q560" s="5">
        <v>4</v>
      </c>
      <c r="R560" s="5" t="s">
        <v>48</v>
      </c>
      <c r="S560" s="5">
        <v>5309</v>
      </c>
      <c r="T560" s="5">
        <v>21146</v>
      </c>
      <c r="U560" s="5">
        <v>1</v>
      </c>
      <c r="V560" s="5" t="s">
        <v>42</v>
      </c>
      <c r="W560" s="5" t="s">
        <v>43</v>
      </c>
      <c r="X560" s="5">
        <v>15</v>
      </c>
      <c r="Y560" s="5">
        <v>3</v>
      </c>
      <c r="Z560" s="5">
        <v>4</v>
      </c>
      <c r="AA560" s="5">
        <v>80</v>
      </c>
      <c r="AB560" s="5">
        <v>2</v>
      </c>
      <c r="AC560" s="5">
        <v>10</v>
      </c>
      <c r="AD560" s="5">
        <v>2</v>
      </c>
      <c r="AE560" s="5">
        <v>3</v>
      </c>
      <c r="AF560" s="5">
        <v>10</v>
      </c>
      <c r="AG560" s="5">
        <v>8</v>
      </c>
      <c r="AH560" s="5">
        <v>4</v>
      </c>
      <c r="AI560" s="5">
        <v>7</v>
      </c>
    </row>
    <row r="561" spans="1:35" x14ac:dyDescent="0.25">
      <c r="A561" s="5">
        <v>38</v>
      </c>
      <c r="B561" s="5" t="s">
        <v>43</v>
      </c>
      <c r="C561" s="5" t="s">
        <v>36</v>
      </c>
      <c r="D561" s="5">
        <v>268</v>
      </c>
      <c r="E561" s="5" t="s">
        <v>45</v>
      </c>
      <c r="F561" s="5">
        <v>2</v>
      </c>
      <c r="G561" s="5">
        <v>5</v>
      </c>
      <c r="H561" s="5" t="s">
        <v>51</v>
      </c>
      <c r="I561" s="5">
        <v>1</v>
      </c>
      <c r="J561" s="5">
        <v>773</v>
      </c>
      <c r="K561" s="5">
        <v>4</v>
      </c>
      <c r="L561" s="5" t="s">
        <v>46</v>
      </c>
      <c r="M561" s="5">
        <v>92</v>
      </c>
      <c r="N561" s="5">
        <v>3</v>
      </c>
      <c r="O561" s="5">
        <v>1</v>
      </c>
      <c r="P561" s="5" t="s">
        <v>47</v>
      </c>
      <c r="Q561" s="5">
        <v>3</v>
      </c>
      <c r="R561" s="5" t="s">
        <v>48</v>
      </c>
      <c r="S561" s="5">
        <v>3057</v>
      </c>
      <c r="T561" s="5">
        <v>20471</v>
      </c>
      <c r="U561" s="5">
        <v>6</v>
      </c>
      <c r="V561" s="5" t="s">
        <v>42</v>
      </c>
      <c r="W561" s="5" t="s">
        <v>35</v>
      </c>
      <c r="X561" s="5">
        <v>13</v>
      </c>
      <c r="Y561" s="5">
        <v>3</v>
      </c>
      <c r="Z561" s="5">
        <v>2</v>
      </c>
      <c r="AA561" s="5">
        <v>80</v>
      </c>
      <c r="AB561" s="5">
        <v>1</v>
      </c>
      <c r="AC561" s="5">
        <v>6</v>
      </c>
      <c r="AD561" s="5">
        <v>0</v>
      </c>
      <c r="AE561" s="5">
        <v>1</v>
      </c>
      <c r="AF561" s="5">
        <v>1</v>
      </c>
      <c r="AG561" s="5">
        <v>0</v>
      </c>
      <c r="AH561" s="5">
        <v>0</v>
      </c>
      <c r="AI561" s="5">
        <v>1</v>
      </c>
    </row>
    <row r="562" spans="1:35" x14ac:dyDescent="0.25">
      <c r="A562" s="5">
        <v>34</v>
      </c>
      <c r="B562" s="5" t="s">
        <v>43</v>
      </c>
      <c r="C562" s="5" t="s">
        <v>36</v>
      </c>
      <c r="D562" s="5">
        <v>167</v>
      </c>
      <c r="E562" s="5" t="s">
        <v>45</v>
      </c>
      <c r="F562" s="5">
        <v>8</v>
      </c>
      <c r="G562" s="5">
        <v>5</v>
      </c>
      <c r="H562" s="5" t="s">
        <v>38</v>
      </c>
      <c r="I562" s="5">
        <v>1</v>
      </c>
      <c r="J562" s="5">
        <v>775</v>
      </c>
      <c r="K562" s="5">
        <v>2</v>
      </c>
      <c r="L562" s="5" t="s">
        <v>39</v>
      </c>
      <c r="M562" s="5">
        <v>32</v>
      </c>
      <c r="N562" s="5">
        <v>3</v>
      </c>
      <c r="O562" s="5">
        <v>2</v>
      </c>
      <c r="P562" s="5" t="s">
        <v>53</v>
      </c>
      <c r="Q562" s="5">
        <v>1</v>
      </c>
      <c r="R562" s="5" t="s">
        <v>52</v>
      </c>
      <c r="S562" s="5">
        <v>5121</v>
      </c>
      <c r="T562" s="5">
        <v>4187</v>
      </c>
      <c r="U562" s="5">
        <v>3</v>
      </c>
      <c r="V562" s="5" t="s">
        <v>42</v>
      </c>
      <c r="W562" s="5" t="s">
        <v>43</v>
      </c>
      <c r="X562" s="5">
        <v>14</v>
      </c>
      <c r="Y562" s="5">
        <v>3</v>
      </c>
      <c r="Z562" s="5">
        <v>3</v>
      </c>
      <c r="AA562" s="5">
        <v>80</v>
      </c>
      <c r="AB562" s="5">
        <v>1</v>
      </c>
      <c r="AC562" s="5">
        <v>7</v>
      </c>
      <c r="AD562" s="5">
        <v>3</v>
      </c>
      <c r="AE562" s="5">
        <v>3</v>
      </c>
      <c r="AF562" s="5">
        <v>0</v>
      </c>
      <c r="AG562" s="5">
        <v>0</v>
      </c>
      <c r="AH562" s="5">
        <v>0</v>
      </c>
      <c r="AI562" s="5">
        <v>0</v>
      </c>
    </row>
    <row r="563" spans="1:35" x14ac:dyDescent="0.25">
      <c r="A563" s="5">
        <v>52</v>
      </c>
      <c r="B563" s="5" t="s">
        <v>43</v>
      </c>
      <c r="C563" s="5" t="s">
        <v>36</v>
      </c>
      <c r="D563" s="5">
        <v>621</v>
      </c>
      <c r="E563" s="5" t="s">
        <v>37</v>
      </c>
      <c r="F563" s="5">
        <v>3</v>
      </c>
      <c r="G563" s="5">
        <v>4</v>
      </c>
      <c r="H563" s="5" t="s">
        <v>59</v>
      </c>
      <c r="I563" s="5">
        <v>1</v>
      </c>
      <c r="J563" s="5">
        <v>776</v>
      </c>
      <c r="K563" s="5">
        <v>3</v>
      </c>
      <c r="L563" s="5" t="s">
        <v>46</v>
      </c>
      <c r="M563" s="5">
        <v>31</v>
      </c>
      <c r="N563" s="5">
        <v>2</v>
      </c>
      <c r="O563" s="5">
        <v>4</v>
      </c>
      <c r="P563" s="5" t="s">
        <v>56</v>
      </c>
      <c r="Q563" s="5">
        <v>1</v>
      </c>
      <c r="R563" s="5" t="s">
        <v>48</v>
      </c>
      <c r="S563" s="5">
        <v>16856</v>
      </c>
      <c r="T563" s="5">
        <v>10084</v>
      </c>
      <c r="U563" s="5">
        <v>1</v>
      </c>
      <c r="V563" s="5" t="s">
        <v>42</v>
      </c>
      <c r="W563" s="5" t="s">
        <v>43</v>
      </c>
      <c r="X563" s="5">
        <v>11</v>
      </c>
      <c r="Y563" s="5">
        <v>3</v>
      </c>
      <c r="Z563" s="5">
        <v>1</v>
      </c>
      <c r="AA563" s="5">
        <v>80</v>
      </c>
      <c r="AB563" s="5">
        <v>0</v>
      </c>
      <c r="AC563" s="5">
        <v>34</v>
      </c>
      <c r="AD563" s="5">
        <v>3</v>
      </c>
      <c r="AE563" s="5">
        <v>4</v>
      </c>
      <c r="AF563" s="5">
        <v>34</v>
      </c>
      <c r="AG563" s="5">
        <v>6</v>
      </c>
      <c r="AH563" s="5">
        <v>1</v>
      </c>
      <c r="AI563" s="5">
        <v>16</v>
      </c>
    </row>
    <row r="564" spans="1:35" x14ac:dyDescent="0.25">
      <c r="A564" s="5">
        <v>33</v>
      </c>
      <c r="B564" s="5" t="s">
        <v>35</v>
      </c>
      <c r="C564" s="5" t="s">
        <v>36</v>
      </c>
      <c r="D564" s="5">
        <v>527</v>
      </c>
      <c r="E564" s="5" t="s">
        <v>45</v>
      </c>
      <c r="F564" s="5">
        <v>1</v>
      </c>
      <c r="G564" s="5">
        <v>4</v>
      </c>
      <c r="H564" s="5" t="s">
        <v>49</v>
      </c>
      <c r="I564" s="5">
        <v>1</v>
      </c>
      <c r="J564" s="5">
        <v>780</v>
      </c>
      <c r="K564" s="5">
        <v>4</v>
      </c>
      <c r="L564" s="5" t="s">
        <v>46</v>
      </c>
      <c r="M564" s="5">
        <v>63</v>
      </c>
      <c r="N564" s="5">
        <v>3</v>
      </c>
      <c r="O564" s="5">
        <v>1</v>
      </c>
      <c r="P564" s="5" t="s">
        <v>47</v>
      </c>
      <c r="Q564" s="5">
        <v>4</v>
      </c>
      <c r="R564" s="5" t="s">
        <v>41</v>
      </c>
      <c r="S564" s="5">
        <v>2686</v>
      </c>
      <c r="T564" s="5">
        <v>5207</v>
      </c>
      <c r="U564" s="5">
        <v>1</v>
      </c>
      <c r="V564" s="5" t="s">
        <v>42</v>
      </c>
      <c r="W564" s="5" t="s">
        <v>35</v>
      </c>
      <c r="X564" s="5">
        <v>13</v>
      </c>
      <c r="Y564" s="5">
        <v>3</v>
      </c>
      <c r="Z564" s="5">
        <v>3</v>
      </c>
      <c r="AA564" s="5">
        <v>80</v>
      </c>
      <c r="AB564" s="5">
        <v>0</v>
      </c>
      <c r="AC564" s="5">
        <v>10</v>
      </c>
      <c r="AD564" s="5">
        <v>2</v>
      </c>
      <c r="AE564" s="5">
        <v>2</v>
      </c>
      <c r="AF564" s="5">
        <v>10</v>
      </c>
      <c r="AG564" s="5">
        <v>9</v>
      </c>
      <c r="AH564" s="5">
        <v>7</v>
      </c>
      <c r="AI564" s="5">
        <v>8</v>
      </c>
    </row>
    <row r="565" spans="1:35" x14ac:dyDescent="0.25">
      <c r="A565" s="5">
        <v>25</v>
      </c>
      <c r="B565" s="5" t="s">
        <v>43</v>
      </c>
      <c r="C565" s="5" t="s">
        <v>36</v>
      </c>
      <c r="D565" s="5">
        <v>883</v>
      </c>
      <c r="E565" s="5" t="s">
        <v>37</v>
      </c>
      <c r="F565" s="5">
        <v>26</v>
      </c>
      <c r="G565" s="5">
        <v>1</v>
      </c>
      <c r="H565" s="5" t="s">
        <v>51</v>
      </c>
      <c r="I565" s="5">
        <v>1</v>
      </c>
      <c r="J565" s="5">
        <v>781</v>
      </c>
      <c r="K565" s="5">
        <v>3</v>
      </c>
      <c r="L565" s="5" t="s">
        <v>39</v>
      </c>
      <c r="M565" s="5">
        <v>32</v>
      </c>
      <c r="N565" s="5">
        <v>3</v>
      </c>
      <c r="O565" s="5">
        <v>2</v>
      </c>
      <c r="P565" s="5" t="s">
        <v>40</v>
      </c>
      <c r="Q565" s="5">
        <v>4</v>
      </c>
      <c r="R565" s="5" t="s">
        <v>41</v>
      </c>
      <c r="S565" s="5">
        <v>6180</v>
      </c>
      <c r="T565" s="5">
        <v>22807</v>
      </c>
      <c r="U565" s="5">
        <v>1</v>
      </c>
      <c r="V565" s="5" t="s">
        <v>42</v>
      </c>
      <c r="W565" s="5" t="s">
        <v>43</v>
      </c>
      <c r="X565" s="5">
        <v>23</v>
      </c>
      <c r="Y565" s="5">
        <v>4</v>
      </c>
      <c r="Z565" s="5">
        <v>2</v>
      </c>
      <c r="AA565" s="5">
        <v>80</v>
      </c>
      <c r="AB565" s="5">
        <v>0</v>
      </c>
      <c r="AC565" s="5">
        <v>6</v>
      </c>
      <c r="AD565" s="5">
        <v>5</v>
      </c>
      <c r="AE565" s="5">
        <v>2</v>
      </c>
      <c r="AF565" s="5">
        <v>6</v>
      </c>
      <c r="AG565" s="5">
        <v>5</v>
      </c>
      <c r="AH565" s="5">
        <v>1</v>
      </c>
      <c r="AI565" s="5">
        <v>4</v>
      </c>
    </row>
    <row r="566" spans="1:35" x14ac:dyDescent="0.25">
      <c r="A566" s="5">
        <v>45</v>
      </c>
      <c r="B566" s="5" t="s">
        <v>43</v>
      </c>
      <c r="C566" s="5" t="s">
        <v>36</v>
      </c>
      <c r="D566" s="5">
        <v>954</v>
      </c>
      <c r="E566" s="5" t="s">
        <v>37</v>
      </c>
      <c r="F566" s="5">
        <v>2</v>
      </c>
      <c r="G566" s="5">
        <v>2</v>
      </c>
      <c r="H566" s="5" t="s">
        <v>60</v>
      </c>
      <c r="I566" s="5">
        <v>1</v>
      </c>
      <c r="J566" s="5">
        <v>783</v>
      </c>
      <c r="K566" s="5">
        <v>2</v>
      </c>
      <c r="L566" s="5" t="s">
        <v>46</v>
      </c>
      <c r="M566" s="5">
        <v>46</v>
      </c>
      <c r="N566" s="5">
        <v>1</v>
      </c>
      <c r="O566" s="5">
        <v>2</v>
      </c>
      <c r="P566" s="5" t="s">
        <v>57</v>
      </c>
      <c r="Q566" s="5">
        <v>3</v>
      </c>
      <c r="R566" s="5" t="s">
        <v>41</v>
      </c>
      <c r="S566" s="5">
        <v>6632</v>
      </c>
      <c r="T566" s="5">
        <v>12388</v>
      </c>
      <c r="U566" s="5">
        <v>0</v>
      </c>
      <c r="V566" s="5" t="s">
        <v>42</v>
      </c>
      <c r="W566" s="5" t="s">
        <v>43</v>
      </c>
      <c r="X566" s="5">
        <v>13</v>
      </c>
      <c r="Y566" s="5">
        <v>3</v>
      </c>
      <c r="Z566" s="5">
        <v>1</v>
      </c>
      <c r="AA566" s="5">
        <v>80</v>
      </c>
      <c r="AB566" s="5">
        <v>0</v>
      </c>
      <c r="AC566" s="5">
        <v>9</v>
      </c>
      <c r="AD566" s="5">
        <v>3</v>
      </c>
      <c r="AE566" s="5">
        <v>3</v>
      </c>
      <c r="AF566" s="5">
        <v>8</v>
      </c>
      <c r="AG566" s="5">
        <v>7</v>
      </c>
      <c r="AH566" s="5">
        <v>3</v>
      </c>
      <c r="AI566" s="5">
        <v>1</v>
      </c>
    </row>
    <row r="567" spans="1:35" x14ac:dyDescent="0.25">
      <c r="A567" s="5">
        <v>23</v>
      </c>
      <c r="B567" s="5" t="s">
        <v>43</v>
      </c>
      <c r="C567" s="5" t="s">
        <v>36</v>
      </c>
      <c r="D567" s="5">
        <v>310</v>
      </c>
      <c r="E567" s="5" t="s">
        <v>45</v>
      </c>
      <c r="F567" s="5">
        <v>10</v>
      </c>
      <c r="G567" s="5">
        <v>1</v>
      </c>
      <c r="H567" s="5" t="s">
        <v>51</v>
      </c>
      <c r="I567" s="5">
        <v>1</v>
      </c>
      <c r="J567" s="5">
        <v>784</v>
      </c>
      <c r="K567" s="5">
        <v>1</v>
      </c>
      <c r="L567" s="5" t="s">
        <v>46</v>
      </c>
      <c r="M567" s="5">
        <v>79</v>
      </c>
      <c r="N567" s="5">
        <v>4</v>
      </c>
      <c r="O567" s="5">
        <v>1</v>
      </c>
      <c r="P567" s="5" t="s">
        <v>47</v>
      </c>
      <c r="Q567" s="5">
        <v>3</v>
      </c>
      <c r="R567" s="5" t="s">
        <v>41</v>
      </c>
      <c r="S567" s="5">
        <v>3505</v>
      </c>
      <c r="T567" s="5">
        <v>19630</v>
      </c>
      <c r="U567" s="5">
        <v>1</v>
      </c>
      <c r="V567" s="5" t="s">
        <v>42</v>
      </c>
      <c r="W567" s="5" t="s">
        <v>43</v>
      </c>
      <c r="X567" s="5">
        <v>18</v>
      </c>
      <c r="Y567" s="5">
        <v>3</v>
      </c>
      <c r="Z567" s="5">
        <v>4</v>
      </c>
      <c r="AA567" s="5">
        <v>80</v>
      </c>
      <c r="AB567" s="5">
        <v>0</v>
      </c>
      <c r="AC567" s="5">
        <v>2</v>
      </c>
      <c r="AD567" s="5">
        <v>3</v>
      </c>
      <c r="AE567" s="5">
        <v>3</v>
      </c>
      <c r="AF567" s="5">
        <v>2</v>
      </c>
      <c r="AG567" s="5">
        <v>2</v>
      </c>
      <c r="AH567" s="5">
        <v>0</v>
      </c>
      <c r="AI567" s="5">
        <v>2</v>
      </c>
    </row>
    <row r="568" spans="1:35" x14ac:dyDescent="0.25">
      <c r="A568" s="5">
        <v>47</v>
      </c>
      <c r="B568" s="5" t="s">
        <v>35</v>
      </c>
      <c r="C568" s="5" t="s">
        <v>44</v>
      </c>
      <c r="D568" s="5">
        <v>719</v>
      </c>
      <c r="E568" s="5" t="s">
        <v>37</v>
      </c>
      <c r="F568" s="5">
        <v>27</v>
      </c>
      <c r="G568" s="5">
        <v>2</v>
      </c>
      <c r="H568" s="5" t="s">
        <v>38</v>
      </c>
      <c r="I568" s="5">
        <v>1</v>
      </c>
      <c r="J568" s="5">
        <v>785</v>
      </c>
      <c r="K568" s="5">
        <v>2</v>
      </c>
      <c r="L568" s="5" t="s">
        <v>39</v>
      </c>
      <c r="M568" s="5">
        <v>77</v>
      </c>
      <c r="N568" s="5">
        <v>4</v>
      </c>
      <c r="O568" s="5">
        <v>2</v>
      </c>
      <c r="P568" s="5" t="s">
        <v>40</v>
      </c>
      <c r="Q568" s="5">
        <v>3</v>
      </c>
      <c r="R568" s="5" t="s">
        <v>41</v>
      </c>
      <c r="S568" s="5">
        <v>6397</v>
      </c>
      <c r="T568" s="5">
        <v>10339</v>
      </c>
      <c r="U568" s="5">
        <v>4</v>
      </c>
      <c r="V568" s="5" t="s">
        <v>42</v>
      </c>
      <c r="W568" s="5" t="s">
        <v>35</v>
      </c>
      <c r="X568" s="5">
        <v>12</v>
      </c>
      <c r="Y568" s="5">
        <v>3</v>
      </c>
      <c r="Z568" s="5">
        <v>4</v>
      </c>
      <c r="AA568" s="5">
        <v>80</v>
      </c>
      <c r="AB568" s="5">
        <v>0</v>
      </c>
      <c r="AC568" s="5">
        <v>8</v>
      </c>
      <c r="AD568" s="5">
        <v>2</v>
      </c>
      <c r="AE568" s="5">
        <v>3</v>
      </c>
      <c r="AF568" s="5">
        <v>5</v>
      </c>
      <c r="AG568" s="5">
        <v>4</v>
      </c>
      <c r="AH568" s="5">
        <v>1</v>
      </c>
      <c r="AI568" s="5">
        <v>3</v>
      </c>
    </row>
    <row r="569" spans="1:35" x14ac:dyDescent="0.25">
      <c r="A569" s="5">
        <v>34</v>
      </c>
      <c r="B569" s="5" t="s">
        <v>43</v>
      </c>
      <c r="C569" s="5" t="s">
        <v>36</v>
      </c>
      <c r="D569" s="5">
        <v>304</v>
      </c>
      <c r="E569" s="5" t="s">
        <v>37</v>
      </c>
      <c r="F569" s="5">
        <v>2</v>
      </c>
      <c r="G569" s="5">
        <v>3</v>
      </c>
      <c r="H569" s="5" t="s">
        <v>49</v>
      </c>
      <c r="I569" s="5">
        <v>1</v>
      </c>
      <c r="J569" s="5">
        <v>786</v>
      </c>
      <c r="K569" s="5">
        <v>4</v>
      </c>
      <c r="L569" s="5" t="s">
        <v>46</v>
      </c>
      <c r="M569" s="5">
        <v>60</v>
      </c>
      <c r="N569" s="5">
        <v>3</v>
      </c>
      <c r="O569" s="5">
        <v>2</v>
      </c>
      <c r="P569" s="5" t="s">
        <v>40</v>
      </c>
      <c r="Q569" s="5">
        <v>4</v>
      </c>
      <c r="R569" s="5" t="s">
        <v>41</v>
      </c>
      <c r="S569" s="5">
        <v>6274</v>
      </c>
      <c r="T569" s="5">
        <v>18686</v>
      </c>
      <c r="U569" s="5">
        <v>1</v>
      </c>
      <c r="V569" s="5" t="s">
        <v>42</v>
      </c>
      <c r="W569" s="5" t="s">
        <v>43</v>
      </c>
      <c r="X569" s="5">
        <v>22</v>
      </c>
      <c r="Y569" s="5">
        <v>4</v>
      </c>
      <c r="Z569" s="5">
        <v>3</v>
      </c>
      <c r="AA569" s="5">
        <v>80</v>
      </c>
      <c r="AB569" s="5">
        <v>0</v>
      </c>
      <c r="AC569" s="5">
        <v>6</v>
      </c>
      <c r="AD569" s="5">
        <v>5</v>
      </c>
      <c r="AE569" s="5">
        <v>3</v>
      </c>
      <c r="AF569" s="5">
        <v>6</v>
      </c>
      <c r="AG569" s="5">
        <v>5</v>
      </c>
      <c r="AH569" s="5">
        <v>1</v>
      </c>
      <c r="AI569" s="5">
        <v>4</v>
      </c>
    </row>
    <row r="570" spans="1:35" x14ac:dyDescent="0.25">
      <c r="A570" s="5">
        <v>55</v>
      </c>
      <c r="B570" s="5" t="s">
        <v>35</v>
      </c>
      <c r="C570" s="5" t="s">
        <v>36</v>
      </c>
      <c r="D570" s="5">
        <v>725</v>
      </c>
      <c r="E570" s="5" t="s">
        <v>45</v>
      </c>
      <c r="F570" s="5">
        <v>2</v>
      </c>
      <c r="G570" s="5">
        <v>3</v>
      </c>
      <c r="H570" s="5" t="s">
        <v>51</v>
      </c>
      <c r="I570" s="5">
        <v>1</v>
      </c>
      <c r="J570" s="5">
        <v>787</v>
      </c>
      <c r="K570" s="5">
        <v>4</v>
      </c>
      <c r="L570" s="5" t="s">
        <v>46</v>
      </c>
      <c r="M570" s="5">
        <v>78</v>
      </c>
      <c r="N570" s="5">
        <v>3</v>
      </c>
      <c r="O570" s="5">
        <v>5</v>
      </c>
      <c r="P570" s="5" t="s">
        <v>56</v>
      </c>
      <c r="Q570" s="5">
        <v>1</v>
      </c>
      <c r="R570" s="5" t="s">
        <v>48</v>
      </c>
      <c r="S570" s="5">
        <v>19859</v>
      </c>
      <c r="T570" s="5">
        <v>21199</v>
      </c>
      <c r="U570" s="5">
        <v>5</v>
      </c>
      <c r="V570" s="5" t="s">
        <v>42</v>
      </c>
      <c r="W570" s="5" t="s">
        <v>35</v>
      </c>
      <c r="X570" s="5">
        <v>13</v>
      </c>
      <c r="Y570" s="5">
        <v>3</v>
      </c>
      <c r="Z570" s="5">
        <v>4</v>
      </c>
      <c r="AA570" s="5">
        <v>80</v>
      </c>
      <c r="AB570" s="5">
        <v>1</v>
      </c>
      <c r="AC570" s="5">
        <v>24</v>
      </c>
      <c r="AD570" s="5">
        <v>2</v>
      </c>
      <c r="AE570" s="5">
        <v>3</v>
      </c>
      <c r="AF570" s="5">
        <v>5</v>
      </c>
      <c r="AG570" s="5">
        <v>2</v>
      </c>
      <c r="AH570" s="5">
        <v>1</v>
      </c>
      <c r="AI570" s="5">
        <v>4</v>
      </c>
    </row>
    <row r="571" spans="1:35" x14ac:dyDescent="0.25">
      <c r="A571" s="5">
        <v>36</v>
      </c>
      <c r="B571" s="5" t="s">
        <v>43</v>
      </c>
      <c r="C571" s="5" t="s">
        <v>55</v>
      </c>
      <c r="D571" s="5">
        <v>1434</v>
      </c>
      <c r="E571" s="5" t="s">
        <v>37</v>
      </c>
      <c r="F571" s="5">
        <v>8</v>
      </c>
      <c r="G571" s="5">
        <v>4</v>
      </c>
      <c r="H571" s="5" t="s">
        <v>38</v>
      </c>
      <c r="I571" s="5">
        <v>1</v>
      </c>
      <c r="J571" s="5">
        <v>789</v>
      </c>
      <c r="K571" s="5">
        <v>1</v>
      </c>
      <c r="L571" s="5" t="s">
        <v>46</v>
      </c>
      <c r="M571" s="5">
        <v>76</v>
      </c>
      <c r="N571" s="5">
        <v>2</v>
      </c>
      <c r="O571" s="5">
        <v>3</v>
      </c>
      <c r="P571" s="5" t="s">
        <v>40</v>
      </c>
      <c r="Q571" s="5">
        <v>1</v>
      </c>
      <c r="R571" s="5" t="s">
        <v>41</v>
      </c>
      <c r="S571" s="5">
        <v>7587</v>
      </c>
      <c r="T571" s="5">
        <v>14229</v>
      </c>
      <c r="U571" s="5">
        <v>1</v>
      </c>
      <c r="V571" s="5" t="s">
        <v>42</v>
      </c>
      <c r="W571" s="5" t="s">
        <v>43</v>
      </c>
      <c r="X571" s="5">
        <v>15</v>
      </c>
      <c r="Y571" s="5">
        <v>3</v>
      </c>
      <c r="Z571" s="5">
        <v>2</v>
      </c>
      <c r="AA571" s="5">
        <v>80</v>
      </c>
      <c r="AB571" s="5">
        <v>0</v>
      </c>
      <c r="AC571" s="5">
        <v>10</v>
      </c>
      <c r="AD571" s="5">
        <v>1</v>
      </c>
      <c r="AE571" s="5">
        <v>3</v>
      </c>
      <c r="AF571" s="5">
        <v>10</v>
      </c>
      <c r="AG571" s="5">
        <v>7</v>
      </c>
      <c r="AH571" s="5">
        <v>0</v>
      </c>
      <c r="AI571" s="5">
        <v>9</v>
      </c>
    </row>
    <row r="572" spans="1:35" x14ac:dyDescent="0.25">
      <c r="A572" s="5">
        <v>52</v>
      </c>
      <c r="B572" s="5" t="s">
        <v>43</v>
      </c>
      <c r="C572" s="5" t="s">
        <v>55</v>
      </c>
      <c r="D572" s="5">
        <v>715</v>
      </c>
      <c r="E572" s="5" t="s">
        <v>45</v>
      </c>
      <c r="F572" s="5">
        <v>19</v>
      </c>
      <c r="G572" s="5">
        <v>4</v>
      </c>
      <c r="H572" s="5" t="s">
        <v>51</v>
      </c>
      <c r="I572" s="5">
        <v>1</v>
      </c>
      <c r="J572" s="5">
        <v>791</v>
      </c>
      <c r="K572" s="5">
        <v>4</v>
      </c>
      <c r="L572" s="5" t="s">
        <v>46</v>
      </c>
      <c r="M572" s="5">
        <v>41</v>
      </c>
      <c r="N572" s="5">
        <v>3</v>
      </c>
      <c r="O572" s="5">
        <v>1</v>
      </c>
      <c r="P572" s="5" t="s">
        <v>47</v>
      </c>
      <c r="Q572" s="5">
        <v>4</v>
      </c>
      <c r="R572" s="5" t="s">
        <v>48</v>
      </c>
      <c r="S572" s="5">
        <v>4258</v>
      </c>
      <c r="T572" s="5">
        <v>26589</v>
      </c>
      <c r="U572" s="5">
        <v>0</v>
      </c>
      <c r="V572" s="5" t="s">
        <v>42</v>
      </c>
      <c r="W572" s="5" t="s">
        <v>43</v>
      </c>
      <c r="X572" s="5">
        <v>18</v>
      </c>
      <c r="Y572" s="5">
        <v>3</v>
      </c>
      <c r="Z572" s="5">
        <v>1</v>
      </c>
      <c r="AA572" s="5">
        <v>80</v>
      </c>
      <c r="AB572" s="5">
        <v>1</v>
      </c>
      <c r="AC572" s="5">
        <v>5</v>
      </c>
      <c r="AD572" s="5">
        <v>3</v>
      </c>
      <c r="AE572" s="5">
        <v>3</v>
      </c>
      <c r="AF572" s="5">
        <v>4</v>
      </c>
      <c r="AG572" s="5">
        <v>3</v>
      </c>
      <c r="AH572" s="5">
        <v>1</v>
      </c>
      <c r="AI572" s="5">
        <v>2</v>
      </c>
    </row>
    <row r="573" spans="1:35" x14ac:dyDescent="0.25">
      <c r="A573" s="5">
        <v>26</v>
      </c>
      <c r="B573" s="5" t="s">
        <v>43</v>
      </c>
      <c r="C573" s="5" t="s">
        <v>44</v>
      </c>
      <c r="D573" s="5">
        <v>575</v>
      </c>
      <c r="E573" s="5" t="s">
        <v>45</v>
      </c>
      <c r="F573" s="5">
        <v>1</v>
      </c>
      <c r="G573" s="5">
        <v>2</v>
      </c>
      <c r="H573" s="5" t="s">
        <v>38</v>
      </c>
      <c r="I573" s="5">
        <v>1</v>
      </c>
      <c r="J573" s="5">
        <v>792</v>
      </c>
      <c r="K573" s="5">
        <v>1</v>
      </c>
      <c r="L573" s="5" t="s">
        <v>39</v>
      </c>
      <c r="M573" s="5">
        <v>71</v>
      </c>
      <c r="N573" s="5">
        <v>1</v>
      </c>
      <c r="O573" s="5">
        <v>1</v>
      </c>
      <c r="P573" s="5" t="s">
        <v>50</v>
      </c>
      <c r="Q573" s="5">
        <v>4</v>
      </c>
      <c r="R573" s="5" t="s">
        <v>52</v>
      </c>
      <c r="S573" s="5">
        <v>4364</v>
      </c>
      <c r="T573" s="5">
        <v>5288</v>
      </c>
      <c r="U573" s="5">
        <v>3</v>
      </c>
      <c r="V573" s="5" t="s">
        <v>42</v>
      </c>
      <c r="W573" s="5" t="s">
        <v>43</v>
      </c>
      <c r="X573" s="5">
        <v>14</v>
      </c>
      <c r="Y573" s="5">
        <v>3</v>
      </c>
      <c r="Z573" s="5">
        <v>1</v>
      </c>
      <c r="AA573" s="5">
        <v>80</v>
      </c>
      <c r="AB573" s="5">
        <v>1</v>
      </c>
      <c r="AC573" s="5">
        <v>5</v>
      </c>
      <c r="AD573" s="5">
        <v>2</v>
      </c>
      <c r="AE573" s="5">
        <v>3</v>
      </c>
      <c r="AF573" s="5">
        <v>2</v>
      </c>
      <c r="AG573" s="5">
        <v>2</v>
      </c>
      <c r="AH573" s="5">
        <v>2</v>
      </c>
      <c r="AI573" s="5">
        <v>0</v>
      </c>
    </row>
    <row r="574" spans="1:35" x14ac:dyDescent="0.25">
      <c r="A574" s="5">
        <v>29</v>
      </c>
      <c r="B574" s="5" t="s">
        <v>43</v>
      </c>
      <c r="C574" s="5" t="s">
        <v>36</v>
      </c>
      <c r="D574" s="5">
        <v>657</v>
      </c>
      <c r="E574" s="5" t="s">
        <v>45</v>
      </c>
      <c r="F574" s="5">
        <v>27</v>
      </c>
      <c r="G574" s="5">
        <v>3</v>
      </c>
      <c r="H574" s="5" t="s">
        <v>51</v>
      </c>
      <c r="I574" s="5">
        <v>1</v>
      </c>
      <c r="J574" s="5">
        <v>793</v>
      </c>
      <c r="K574" s="5">
        <v>2</v>
      </c>
      <c r="L574" s="5" t="s">
        <v>39</v>
      </c>
      <c r="M574" s="5">
        <v>66</v>
      </c>
      <c r="N574" s="5">
        <v>3</v>
      </c>
      <c r="O574" s="5">
        <v>2</v>
      </c>
      <c r="P574" s="5" t="s">
        <v>54</v>
      </c>
      <c r="Q574" s="5">
        <v>3</v>
      </c>
      <c r="R574" s="5" t="s">
        <v>48</v>
      </c>
      <c r="S574" s="5">
        <v>4335</v>
      </c>
      <c r="T574" s="5">
        <v>25549</v>
      </c>
      <c r="U574" s="5">
        <v>4</v>
      </c>
      <c r="V574" s="5" t="s">
        <v>42</v>
      </c>
      <c r="W574" s="5" t="s">
        <v>43</v>
      </c>
      <c r="X574" s="5">
        <v>12</v>
      </c>
      <c r="Y574" s="5">
        <v>3</v>
      </c>
      <c r="Z574" s="5">
        <v>1</v>
      </c>
      <c r="AA574" s="5">
        <v>80</v>
      </c>
      <c r="AB574" s="5">
        <v>1</v>
      </c>
      <c r="AC574" s="5">
        <v>11</v>
      </c>
      <c r="AD574" s="5">
        <v>3</v>
      </c>
      <c r="AE574" s="5">
        <v>2</v>
      </c>
      <c r="AF574" s="5">
        <v>8</v>
      </c>
      <c r="AG574" s="5">
        <v>7</v>
      </c>
      <c r="AH574" s="5">
        <v>1</v>
      </c>
      <c r="AI574" s="5">
        <v>1</v>
      </c>
    </row>
    <row r="575" spans="1:35" x14ac:dyDescent="0.25">
      <c r="A575" s="5">
        <v>26</v>
      </c>
      <c r="B575" s="5" t="s">
        <v>35</v>
      </c>
      <c r="C575" s="5" t="s">
        <v>36</v>
      </c>
      <c r="D575" s="5">
        <v>1146</v>
      </c>
      <c r="E575" s="5" t="s">
        <v>37</v>
      </c>
      <c r="F575" s="5">
        <v>8</v>
      </c>
      <c r="G575" s="5">
        <v>3</v>
      </c>
      <c r="H575" s="5" t="s">
        <v>60</v>
      </c>
      <c r="I575" s="5">
        <v>1</v>
      </c>
      <c r="J575" s="5">
        <v>796</v>
      </c>
      <c r="K575" s="5">
        <v>4</v>
      </c>
      <c r="L575" s="5" t="s">
        <v>46</v>
      </c>
      <c r="M575" s="5">
        <v>38</v>
      </c>
      <c r="N575" s="5">
        <v>2</v>
      </c>
      <c r="O575" s="5">
        <v>2</v>
      </c>
      <c r="P575" s="5" t="s">
        <v>40</v>
      </c>
      <c r="Q575" s="5">
        <v>1</v>
      </c>
      <c r="R575" s="5" t="s">
        <v>41</v>
      </c>
      <c r="S575" s="5">
        <v>5326</v>
      </c>
      <c r="T575" s="5">
        <v>3064</v>
      </c>
      <c r="U575" s="5">
        <v>6</v>
      </c>
      <c r="V575" s="5" t="s">
        <v>42</v>
      </c>
      <c r="W575" s="5" t="s">
        <v>43</v>
      </c>
      <c r="X575" s="5">
        <v>17</v>
      </c>
      <c r="Y575" s="5">
        <v>3</v>
      </c>
      <c r="Z575" s="5">
        <v>3</v>
      </c>
      <c r="AA575" s="5">
        <v>80</v>
      </c>
      <c r="AB575" s="5">
        <v>0</v>
      </c>
      <c r="AC575" s="5">
        <v>6</v>
      </c>
      <c r="AD575" s="5">
        <v>2</v>
      </c>
      <c r="AE575" s="5">
        <v>2</v>
      </c>
      <c r="AF575" s="5">
        <v>4</v>
      </c>
      <c r="AG575" s="5">
        <v>3</v>
      </c>
      <c r="AH575" s="5">
        <v>1</v>
      </c>
      <c r="AI575" s="5">
        <v>2</v>
      </c>
    </row>
    <row r="576" spans="1:35" x14ac:dyDescent="0.25">
      <c r="A576" s="5">
        <v>34</v>
      </c>
      <c r="B576" s="5" t="s">
        <v>43</v>
      </c>
      <c r="C576" s="5" t="s">
        <v>36</v>
      </c>
      <c r="D576" s="5">
        <v>182</v>
      </c>
      <c r="E576" s="5" t="s">
        <v>45</v>
      </c>
      <c r="F576" s="5">
        <v>1</v>
      </c>
      <c r="G576" s="5">
        <v>4</v>
      </c>
      <c r="H576" s="5" t="s">
        <v>38</v>
      </c>
      <c r="I576" s="5">
        <v>1</v>
      </c>
      <c r="J576" s="5">
        <v>797</v>
      </c>
      <c r="K576" s="5">
        <v>2</v>
      </c>
      <c r="L576" s="5" t="s">
        <v>39</v>
      </c>
      <c r="M576" s="5">
        <v>72</v>
      </c>
      <c r="N576" s="5">
        <v>4</v>
      </c>
      <c r="O576" s="5">
        <v>1</v>
      </c>
      <c r="P576" s="5" t="s">
        <v>47</v>
      </c>
      <c r="Q576" s="5">
        <v>4</v>
      </c>
      <c r="R576" s="5" t="s">
        <v>41</v>
      </c>
      <c r="S576" s="5">
        <v>3280</v>
      </c>
      <c r="T576" s="5">
        <v>13551</v>
      </c>
      <c r="U576" s="5">
        <v>2</v>
      </c>
      <c r="V576" s="5" t="s">
        <v>42</v>
      </c>
      <c r="W576" s="5" t="s">
        <v>43</v>
      </c>
      <c r="X576" s="5">
        <v>16</v>
      </c>
      <c r="Y576" s="5">
        <v>3</v>
      </c>
      <c r="Z576" s="5">
        <v>3</v>
      </c>
      <c r="AA576" s="5">
        <v>80</v>
      </c>
      <c r="AB576" s="5">
        <v>0</v>
      </c>
      <c r="AC576" s="5">
        <v>10</v>
      </c>
      <c r="AD576" s="5">
        <v>2</v>
      </c>
      <c r="AE576" s="5">
        <v>3</v>
      </c>
      <c r="AF576" s="5">
        <v>4</v>
      </c>
      <c r="AG576" s="5">
        <v>2</v>
      </c>
      <c r="AH576" s="5">
        <v>1</v>
      </c>
      <c r="AI576" s="5">
        <v>3</v>
      </c>
    </row>
    <row r="577" spans="1:35" x14ac:dyDescent="0.25">
      <c r="A577" s="5">
        <v>54</v>
      </c>
      <c r="B577" s="5" t="s">
        <v>43</v>
      </c>
      <c r="C577" s="5" t="s">
        <v>36</v>
      </c>
      <c r="D577" s="5">
        <v>376</v>
      </c>
      <c r="E577" s="5" t="s">
        <v>45</v>
      </c>
      <c r="F577" s="5">
        <v>19</v>
      </c>
      <c r="G577" s="5">
        <v>4</v>
      </c>
      <c r="H577" s="5" t="s">
        <v>51</v>
      </c>
      <c r="I577" s="5">
        <v>1</v>
      </c>
      <c r="J577" s="5">
        <v>799</v>
      </c>
      <c r="K577" s="5">
        <v>4</v>
      </c>
      <c r="L577" s="5" t="s">
        <v>39</v>
      </c>
      <c r="M577" s="5">
        <v>95</v>
      </c>
      <c r="N577" s="5">
        <v>3</v>
      </c>
      <c r="O577" s="5">
        <v>2</v>
      </c>
      <c r="P577" s="5" t="s">
        <v>53</v>
      </c>
      <c r="Q577" s="5">
        <v>1</v>
      </c>
      <c r="R577" s="5" t="s">
        <v>52</v>
      </c>
      <c r="S577" s="5">
        <v>5485</v>
      </c>
      <c r="T577" s="5">
        <v>22670</v>
      </c>
      <c r="U577" s="5">
        <v>9</v>
      </c>
      <c r="V577" s="5" t="s">
        <v>42</v>
      </c>
      <c r="W577" s="5" t="s">
        <v>35</v>
      </c>
      <c r="X577" s="5">
        <v>11</v>
      </c>
      <c r="Y577" s="5">
        <v>3</v>
      </c>
      <c r="Z577" s="5">
        <v>2</v>
      </c>
      <c r="AA577" s="5">
        <v>80</v>
      </c>
      <c r="AB577" s="5">
        <v>2</v>
      </c>
      <c r="AC577" s="5">
        <v>9</v>
      </c>
      <c r="AD577" s="5">
        <v>4</v>
      </c>
      <c r="AE577" s="5">
        <v>3</v>
      </c>
      <c r="AF577" s="5">
        <v>5</v>
      </c>
      <c r="AG577" s="5">
        <v>3</v>
      </c>
      <c r="AH577" s="5">
        <v>1</v>
      </c>
      <c r="AI577" s="5">
        <v>4</v>
      </c>
    </row>
    <row r="578" spans="1:35" x14ac:dyDescent="0.25">
      <c r="A578" s="5">
        <v>27</v>
      </c>
      <c r="B578" s="5" t="s">
        <v>43</v>
      </c>
      <c r="C578" s="5" t="s">
        <v>44</v>
      </c>
      <c r="D578" s="5">
        <v>829</v>
      </c>
      <c r="E578" s="5" t="s">
        <v>37</v>
      </c>
      <c r="F578" s="5">
        <v>8</v>
      </c>
      <c r="G578" s="5">
        <v>1</v>
      </c>
      <c r="H578" s="5" t="s">
        <v>59</v>
      </c>
      <c r="I578" s="5">
        <v>1</v>
      </c>
      <c r="J578" s="5">
        <v>800</v>
      </c>
      <c r="K578" s="5">
        <v>3</v>
      </c>
      <c r="L578" s="5" t="s">
        <v>46</v>
      </c>
      <c r="M578" s="5">
        <v>84</v>
      </c>
      <c r="N578" s="5">
        <v>3</v>
      </c>
      <c r="O578" s="5">
        <v>2</v>
      </c>
      <c r="P578" s="5" t="s">
        <v>40</v>
      </c>
      <c r="Q578" s="5">
        <v>4</v>
      </c>
      <c r="R578" s="5" t="s">
        <v>48</v>
      </c>
      <c r="S578" s="5">
        <v>4342</v>
      </c>
      <c r="T578" s="5">
        <v>24008</v>
      </c>
      <c r="U578" s="5">
        <v>0</v>
      </c>
      <c r="V578" s="5" t="s">
        <v>42</v>
      </c>
      <c r="W578" s="5" t="s">
        <v>43</v>
      </c>
      <c r="X578" s="5">
        <v>19</v>
      </c>
      <c r="Y578" s="5">
        <v>3</v>
      </c>
      <c r="Z578" s="5">
        <v>2</v>
      </c>
      <c r="AA578" s="5">
        <v>80</v>
      </c>
      <c r="AB578" s="5">
        <v>1</v>
      </c>
      <c r="AC578" s="5">
        <v>5</v>
      </c>
      <c r="AD578" s="5">
        <v>3</v>
      </c>
      <c r="AE578" s="5">
        <v>3</v>
      </c>
      <c r="AF578" s="5">
        <v>4</v>
      </c>
      <c r="AG578" s="5">
        <v>2</v>
      </c>
      <c r="AH578" s="5">
        <v>1</v>
      </c>
      <c r="AI578" s="5">
        <v>1</v>
      </c>
    </row>
    <row r="579" spans="1:35" x14ac:dyDescent="0.25">
      <c r="A579" s="5">
        <v>37</v>
      </c>
      <c r="B579" s="5" t="s">
        <v>43</v>
      </c>
      <c r="C579" s="5" t="s">
        <v>36</v>
      </c>
      <c r="D579" s="5">
        <v>571</v>
      </c>
      <c r="E579" s="5" t="s">
        <v>45</v>
      </c>
      <c r="F579" s="5">
        <v>10</v>
      </c>
      <c r="G579" s="5">
        <v>1</v>
      </c>
      <c r="H579" s="5" t="s">
        <v>38</v>
      </c>
      <c r="I579" s="5">
        <v>1</v>
      </c>
      <c r="J579" s="5">
        <v>802</v>
      </c>
      <c r="K579" s="5">
        <v>4</v>
      </c>
      <c r="L579" s="5" t="s">
        <v>39</v>
      </c>
      <c r="M579" s="5">
        <v>82</v>
      </c>
      <c r="N579" s="5">
        <v>3</v>
      </c>
      <c r="O579" s="5">
        <v>1</v>
      </c>
      <c r="P579" s="5" t="s">
        <v>47</v>
      </c>
      <c r="Q579" s="5">
        <v>1</v>
      </c>
      <c r="R579" s="5" t="s">
        <v>52</v>
      </c>
      <c r="S579" s="5">
        <v>2782</v>
      </c>
      <c r="T579" s="5">
        <v>19905</v>
      </c>
      <c r="U579" s="5">
        <v>0</v>
      </c>
      <c r="V579" s="5" t="s">
        <v>42</v>
      </c>
      <c r="W579" s="5" t="s">
        <v>35</v>
      </c>
      <c r="X579" s="5">
        <v>13</v>
      </c>
      <c r="Y579" s="5">
        <v>3</v>
      </c>
      <c r="Z579" s="5">
        <v>2</v>
      </c>
      <c r="AA579" s="5">
        <v>80</v>
      </c>
      <c r="AB579" s="5">
        <v>2</v>
      </c>
      <c r="AC579" s="5">
        <v>6</v>
      </c>
      <c r="AD579" s="5">
        <v>3</v>
      </c>
      <c r="AE579" s="5">
        <v>2</v>
      </c>
      <c r="AF579" s="5">
        <v>5</v>
      </c>
      <c r="AG579" s="5">
        <v>3</v>
      </c>
      <c r="AH579" s="5">
        <v>4</v>
      </c>
      <c r="AI579" s="5">
        <v>3</v>
      </c>
    </row>
    <row r="580" spans="1:35" x14ac:dyDescent="0.25">
      <c r="A580" s="5">
        <v>38</v>
      </c>
      <c r="B580" s="5" t="s">
        <v>43</v>
      </c>
      <c r="C580" s="5" t="s">
        <v>44</v>
      </c>
      <c r="D580" s="5">
        <v>240</v>
      </c>
      <c r="E580" s="5" t="s">
        <v>45</v>
      </c>
      <c r="F580" s="5">
        <v>2</v>
      </c>
      <c r="G580" s="5">
        <v>4</v>
      </c>
      <c r="H580" s="5" t="s">
        <v>38</v>
      </c>
      <c r="I580" s="5">
        <v>1</v>
      </c>
      <c r="J580" s="5">
        <v>803</v>
      </c>
      <c r="K580" s="5">
        <v>1</v>
      </c>
      <c r="L580" s="5" t="s">
        <v>39</v>
      </c>
      <c r="M580" s="5">
        <v>75</v>
      </c>
      <c r="N580" s="5">
        <v>4</v>
      </c>
      <c r="O580" s="5">
        <v>2</v>
      </c>
      <c r="P580" s="5" t="s">
        <v>53</v>
      </c>
      <c r="Q580" s="5">
        <v>1</v>
      </c>
      <c r="R580" s="5" t="s">
        <v>41</v>
      </c>
      <c r="S580" s="5">
        <v>5980</v>
      </c>
      <c r="T580" s="5">
        <v>26085</v>
      </c>
      <c r="U580" s="5">
        <v>6</v>
      </c>
      <c r="V580" s="5" t="s">
        <v>42</v>
      </c>
      <c r="W580" s="5" t="s">
        <v>35</v>
      </c>
      <c r="X580" s="5">
        <v>12</v>
      </c>
      <c r="Y580" s="5">
        <v>3</v>
      </c>
      <c r="Z580" s="5">
        <v>4</v>
      </c>
      <c r="AA580" s="5">
        <v>80</v>
      </c>
      <c r="AB580" s="5">
        <v>0</v>
      </c>
      <c r="AC580" s="5">
        <v>17</v>
      </c>
      <c r="AD580" s="5">
        <v>2</v>
      </c>
      <c r="AE580" s="5">
        <v>3</v>
      </c>
      <c r="AF580" s="5">
        <v>15</v>
      </c>
      <c r="AG580" s="5">
        <v>7</v>
      </c>
      <c r="AH580" s="5">
        <v>4</v>
      </c>
      <c r="AI580" s="5">
        <v>12</v>
      </c>
    </row>
    <row r="581" spans="1:35" x14ac:dyDescent="0.25">
      <c r="A581" s="5">
        <v>34</v>
      </c>
      <c r="B581" s="5" t="s">
        <v>43</v>
      </c>
      <c r="C581" s="5" t="s">
        <v>36</v>
      </c>
      <c r="D581" s="5">
        <v>121</v>
      </c>
      <c r="E581" s="5" t="s">
        <v>45</v>
      </c>
      <c r="F581" s="5">
        <v>2</v>
      </c>
      <c r="G581" s="5">
        <v>4</v>
      </c>
      <c r="H581" s="5" t="s">
        <v>51</v>
      </c>
      <c r="I581" s="5">
        <v>1</v>
      </c>
      <c r="J581" s="5">
        <v>804</v>
      </c>
      <c r="K581" s="5">
        <v>3</v>
      </c>
      <c r="L581" s="5" t="s">
        <v>39</v>
      </c>
      <c r="M581" s="5">
        <v>86</v>
      </c>
      <c r="N581" s="5">
        <v>2</v>
      </c>
      <c r="O581" s="5">
        <v>1</v>
      </c>
      <c r="P581" s="5" t="s">
        <v>47</v>
      </c>
      <c r="Q581" s="5">
        <v>1</v>
      </c>
      <c r="R581" s="5" t="s">
        <v>41</v>
      </c>
      <c r="S581" s="5">
        <v>4381</v>
      </c>
      <c r="T581" s="5">
        <v>7530</v>
      </c>
      <c r="U581" s="5">
        <v>1</v>
      </c>
      <c r="V581" s="5" t="s">
        <v>42</v>
      </c>
      <c r="W581" s="5" t="s">
        <v>43</v>
      </c>
      <c r="X581" s="5">
        <v>11</v>
      </c>
      <c r="Y581" s="5">
        <v>3</v>
      </c>
      <c r="Z581" s="5">
        <v>3</v>
      </c>
      <c r="AA581" s="5">
        <v>80</v>
      </c>
      <c r="AB581" s="5">
        <v>0</v>
      </c>
      <c r="AC581" s="5">
        <v>6</v>
      </c>
      <c r="AD581" s="5">
        <v>3</v>
      </c>
      <c r="AE581" s="5">
        <v>3</v>
      </c>
      <c r="AF581" s="5">
        <v>6</v>
      </c>
      <c r="AG581" s="5">
        <v>5</v>
      </c>
      <c r="AH581" s="5">
        <v>1</v>
      </c>
      <c r="AI581" s="5">
        <v>3</v>
      </c>
    </row>
    <row r="582" spans="1:35" x14ac:dyDescent="0.25">
      <c r="A582" s="5">
        <v>35</v>
      </c>
      <c r="B582" s="5" t="s">
        <v>43</v>
      </c>
      <c r="C582" s="5" t="s">
        <v>36</v>
      </c>
      <c r="D582" s="5">
        <v>384</v>
      </c>
      <c r="E582" s="5" t="s">
        <v>37</v>
      </c>
      <c r="F582" s="5">
        <v>8</v>
      </c>
      <c r="G582" s="5">
        <v>4</v>
      </c>
      <c r="H582" s="5" t="s">
        <v>38</v>
      </c>
      <c r="I582" s="5">
        <v>1</v>
      </c>
      <c r="J582" s="5">
        <v>805</v>
      </c>
      <c r="K582" s="5">
        <v>1</v>
      </c>
      <c r="L582" s="5" t="s">
        <v>39</v>
      </c>
      <c r="M582" s="5">
        <v>72</v>
      </c>
      <c r="N582" s="5">
        <v>3</v>
      </c>
      <c r="O582" s="5">
        <v>1</v>
      </c>
      <c r="P582" s="5" t="s">
        <v>57</v>
      </c>
      <c r="Q582" s="5">
        <v>4</v>
      </c>
      <c r="R582" s="5" t="s">
        <v>48</v>
      </c>
      <c r="S582" s="5">
        <v>2572</v>
      </c>
      <c r="T582" s="5">
        <v>20317</v>
      </c>
      <c r="U582" s="5">
        <v>1</v>
      </c>
      <c r="V582" s="5" t="s">
        <v>42</v>
      </c>
      <c r="W582" s="5" t="s">
        <v>43</v>
      </c>
      <c r="X582" s="5">
        <v>16</v>
      </c>
      <c r="Y582" s="5">
        <v>3</v>
      </c>
      <c r="Z582" s="5">
        <v>2</v>
      </c>
      <c r="AA582" s="5">
        <v>80</v>
      </c>
      <c r="AB582" s="5">
        <v>1</v>
      </c>
      <c r="AC582" s="5">
        <v>3</v>
      </c>
      <c r="AD582" s="5">
        <v>1</v>
      </c>
      <c r="AE582" s="5">
        <v>2</v>
      </c>
      <c r="AF582" s="5">
        <v>3</v>
      </c>
      <c r="AG582" s="5">
        <v>2</v>
      </c>
      <c r="AH582" s="5">
        <v>0</v>
      </c>
      <c r="AI582" s="5">
        <v>2</v>
      </c>
    </row>
    <row r="583" spans="1:35" x14ac:dyDescent="0.25">
      <c r="A583" s="5">
        <v>30</v>
      </c>
      <c r="B583" s="5" t="s">
        <v>43</v>
      </c>
      <c r="C583" s="5" t="s">
        <v>36</v>
      </c>
      <c r="D583" s="5">
        <v>921</v>
      </c>
      <c r="E583" s="5" t="s">
        <v>45</v>
      </c>
      <c r="F583" s="5">
        <v>1</v>
      </c>
      <c r="G583" s="5">
        <v>3</v>
      </c>
      <c r="H583" s="5" t="s">
        <v>38</v>
      </c>
      <c r="I583" s="5">
        <v>1</v>
      </c>
      <c r="J583" s="5">
        <v>806</v>
      </c>
      <c r="K583" s="5">
        <v>4</v>
      </c>
      <c r="L583" s="5" t="s">
        <v>46</v>
      </c>
      <c r="M583" s="5">
        <v>38</v>
      </c>
      <c r="N583" s="5">
        <v>1</v>
      </c>
      <c r="O583" s="5">
        <v>1</v>
      </c>
      <c r="P583" s="5" t="s">
        <v>50</v>
      </c>
      <c r="Q583" s="5">
        <v>3</v>
      </c>
      <c r="R583" s="5" t="s">
        <v>48</v>
      </c>
      <c r="S583" s="5">
        <v>3833</v>
      </c>
      <c r="T583" s="5">
        <v>24375</v>
      </c>
      <c r="U583" s="5">
        <v>3</v>
      </c>
      <c r="V583" s="5" t="s">
        <v>42</v>
      </c>
      <c r="W583" s="5" t="s">
        <v>43</v>
      </c>
      <c r="X583" s="5">
        <v>21</v>
      </c>
      <c r="Y583" s="5">
        <v>4</v>
      </c>
      <c r="Z583" s="5">
        <v>3</v>
      </c>
      <c r="AA583" s="5">
        <v>80</v>
      </c>
      <c r="AB583" s="5">
        <v>2</v>
      </c>
      <c r="AC583" s="5">
        <v>7</v>
      </c>
      <c r="AD583" s="5">
        <v>2</v>
      </c>
      <c r="AE583" s="5">
        <v>3</v>
      </c>
      <c r="AF583" s="5">
        <v>2</v>
      </c>
      <c r="AG583" s="5">
        <v>2</v>
      </c>
      <c r="AH583" s="5">
        <v>0</v>
      </c>
      <c r="AI583" s="5">
        <v>2</v>
      </c>
    </row>
    <row r="584" spans="1:35" x14ac:dyDescent="0.25">
      <c r="A584" s="5">
        <v>40</v>
      </c>
      <c r="B584" s="5" t="s">
        <v>43</v>
      </c>
      <c r="C584" s="5" t="s">
        <v>44</v>
      </c>
      <c r="D584" s="5">
        <v>791</v>
      </c>
      <c r="E584" s="5" t="s">
        <v>45</v>
      </c>
      <c r="F584" s="5">
        <v>2</v>
      </c>
      <c r="G584" s="5">
        <v>2</v>
      </c>
      <c r="H584" s="5" t="s">
        <v>51</v>
      </c>
      <c r="I584" s="5">
        <v>1</v>
      </c>
      <c r="J584" s="5">
        <v>807</v>
      </c>
      <c r="K584" s="5">
        <v>3</v>
      </c>
      <c r="L584" s="5" t="s">
        <v>39</v>
      </c>
      <c r="M584" s="5">
        <v>38</v>
      </c>
      <c r="N584" s="5">
        <v>4</v>
      </c>
      <c r="O584" s="5">
        <v>2</v>
      </c>
      <c r="P584" s="5" t="s">
        <v>54</v>
      </c>
      <c r="Q584" s="5">
        <v>2</v>
      </c>
      <c r="R584" s="5" t="s">
        <v>48</v>
      </c>
      <c r="S584" s="5">
        <v>4244</v>
      </c>
      <c r="T584" s="5">
        <v>9931</v>
      </c>
      <c r="U584" s="5">
        <v>1</v>
      </c>
      <c r="V584" s="5" t="s">
        <v>42</v>
      </c>
      <c r="W584" s="5" t="s">
        <v>43</v>
      </c>
      <c r="X584" s="5">
        <v>24</v>
      </c>
      <c r="Y584" s="5">
        <v>4</v>
      </c>
      <c r="Z584" s="5">
        <v>4</v>
      </c>
      <c r="AA584" s="5">
        <v>80</v>
      </c>
      <c r="AB584" s="5">
        <v>1</v>
      </c>
      <c r="AC584" s="5">
        <v>8</v>
      </c>
      <c r="AD584" s="5">
        <v>2</v>
      </c>
      <c r="AE584" s="5">
        <v>3</v>
      </c>
      <c r="AF584" s="5">
        <v>8</v>
      </c>
      <c r="AG584" s="5">
        <v>7</v>
      </c>
      <c r="AH584" s="5">
        <v>3</v>
      </c>
      <c r="AI584" s="5">
        <v>7</v>
      </c>
    </row>
    <row r="585" spans="1:35" x14ac:dyDescent="0.25">
      <c r="A585" s="5">
        <v>34</v>
      </c>
      <c r="B585" s="5" t="s">
        <v>43</v>
      </c>
      <c r="C585" s="5" t="s">
        <v>36</v>
      </c>
      <c r="D585" s="5">
        <v>1111</v>
      </c>
      <c r="E585" s="5" t="s">
        <v>37</v>
      </c>
      <c r="F585" s="5">
        <v>8</v>
      </c>
      <c r="G585" s="5">
        <v>2</v>
      </c>
      <c r="H585" s="5" t="s">
        <v>38</v>
      </c>
      <c r="I585" s="5">
        <v>1</v>
      </c>
      <c r="J585" s="5">
        <v>808</v>
      </c>
      <c r="K585" s="5">
        <v>3</v>
      </c>
      <c r="L585" s="5" t="s">
        <v>39</v>
      </c>
      <c r="M585" s="5">
        <v>93</v>
      </c>
      <c r="N585" s="5">
        <v>3</v>
      </c>
      <c r="O585" s="5">
        <v>2</v>
      </c>
      <c r="P585" s="5" t="s">
        <v>40</v>
      </c>
      <c r="Q585" s="5">
        <v>1</v>
      </c>
      <c r="R585" s="5" t="s">
        <v>48</v>
      </c>
      <c r="S585" s="5">
        <v>6500</v>
      </c>
      <c r="T585" s="5">
        <v>13305</v>
      </c>
      <c r="U585" s="5">
        <v>5</v>
      </c>
      <c r="V585" s="5" t="s">
        <v>42</v>
      </c>
      <c r="W585" s="5" t="s">
        <v>43</v>
      </c>
      <c r="X585" s="5">
        <v>17</v>
      </c>
      <c r="Y585" s="5">
        <v>3</v>
      </c>
      <c r="Z585" s="5">
        <v>2</v>
      </c>
      <c r="AA585" s="5">
        <v>80</v>
      </c>
      <c r="AB585" s="5">
        <v>1</v>
      </c>
      <c r="AC585" s="5">
        <v>6</v>
      </c>
      <c r="AD585" s="5">
        <v>1</v>
      </c>
      <c r="AE585" s="5">
        <v>3</v>
      </c>
      <c r="AF585" s="5">
        <v>3</v>
      </c>
      <c r="AG585" s="5">
        <v>2</v>
      </c>
      <c r="AH585" s="5">
        <v>1</v>
      </c>
      <c r="AI585" s="5">
        <v>2</v>
      </c>
    </row>
    <row r="586" spans="1:35" x14ac:dyDescent="0.25">
      <c r="A586" s="5">
        <v>42</v>
      </c>
      <c r="B586" s="5" t="s">
        <v>43</v>
      </c>
      <c r="C586" s="5" t="s">
        <v>44</v>
      </c>
      <c r="D586" s="5">
        <v>570</v>
      </c>
      <c r="E586" s="5" t="s">
        <v>45</v>
      </c>
      <c r="F586" s="5">
        <v>8</v>
      </c>
      <c r="G586" s="5">
        <v>3</v>
      </c>
      <c r="H586" s="5" t="s">
        <v>38</v>
      </c>
      <c r="I586" s="5">
        <v>1</v>
      </c>
      <c r="J586" s="5">
        <v>809</v>
      </c>
      <c r="K586" s="5">
        <v>2</v>
      </c>
      <c r="L586" s="5" t="s">
        <v>46</v>
      </c>
      <c r="M586" s="5">
        <v>66</v>
      </c>
      <c r="N586" s="5">
        <v>3</v>
      </c>
      <c r="O586" s="5">
        <v>5</v>
      </c>
      <c r="P586" s="5" t="s">
        <v>56</v>
      </c>
      <c r="Q586" s="5">
        <v>4</v>
      </c>
      <c r="R586" s="5" t="s">
        <v>52</v>
      </c>
      <c r="S586" s="5">
        <v>18430</v>
      </c>
      <c r="T586" s="5">
        <v>16225</v>
      </c>
      <c r="U586" s="5">
        <v>1</v>
      </c>
      <c r="V586" s="5" t="s">
        <v>42</v>
      </c>
      <c r="W586" s="5" t="s">
        <v>43</v>
      </c>
      <c r="X586" s="5">
        <v>13</v>
      </c>
      <c r="Y586" s="5">
        <v>3</v>
      </c>
      <c r="Z586" s="5">
        <v>2</v>
      </c>
      <c r="AA586" s="5">
        <v>80</v>
      </c>
      <c r="AB586" s="5">
        <v>1</v>
      </c>
      <c r="AC586" s="5">
        <v>24</v>
      </c>
      <c r="AD586" s="5">
        <v>4</v>
      </c>
      <c r="AE586" s="5">
        <v>2</v>
      </c>
      <c r="AF586" s="5">
        <v>24</v>
      </c>
      <c r="AG586" s="5">
        <v>7</v>
      </c>
      <c r="AH586" s="5">
        <v>14</v>
      </c>
      <c r="AI586" s="5">
        <v>9</v>
      </c>
    </row>
    <row r="587" spans="1:35" x14ac:dyDescent="0.25">
      <c r="A587" s="5">
        <v>23</v>
      </c>
      <c r="B587" s="5" t="s">
        <v>35</v>
      </c>
      <c r="C587" s="5" t="s">
        <v>36</v>
      </c>
      <c r="D587" s="5">
        <v>1243</v>
      </c>
      <c r="E587" s="5" t="s">
        <v>45</v>
      </c>
      <c r="F587" s="5">
        <v>6</v>
      </c>
      <c r="G587" s="5">
        <v>3</v>
      </c>
      <c r="H587" s="5" t="s">
        <v>38</v>
      </c>
      <c r="I587" s="5">
        <v>1</v>
      </c>
      <c r="J587" s="5">
        <v>811</v>
      </c>
      <c r="K587" s="5">
        <v>3</v>
      </c>
      <c r="L587" s="5" t="s">
        <v>46</v>
      </c>
      <c r="M587" s="5">
        <v>63</v>
      </c>
      <c r="N587" s="5">
        <v>4</v>
      </c>
      <c r="O587" s="5">
        <v>1</v>
      </c>
      <c r="P587" s="5" t="s">
        <v>50</v>
      </c>
      <c r="Q587" s="5">
        <v>1</v>
      </c>
      <c r="R587" s="5" t="s">
        <v>48</v>
      </c>
      <c r="S587" s="5">
        <v>1601</v>
      </c>
      <c r="T587" s="5">
        <v>3445</v>
      </c>
      <c r="U587" s="5">
        <v>1</v>
      </c>
      <c r="V587" s="5" t="s">
        <v>42</v>
      </c>
      <c r="W587" s="5" t="s">
        <v>35</v>
      </c>
      <c r="X587" s="5">
        <v>21</v>
      </c>
      <c r="Y587" s="5">
        <v>4</v>
      </c>
      <c r="Z587" s="5">
        <v>3</v>
      </c>
      <c r="AA587" s="5">
        <v>80</v>
      </c>
      <c r="AB587" s="5">
        <v>2</v>
      </c>
      <c r="AC587" s="5">
        <v>1</v>
      </c>
      <c r="AD587" s="5">
        <v>2</v>
      </c>
      <c r="AE587" s="5">
        <v>3</v>
      </c>
      <c r="AF587" s="5">
        <v>0</v>
      </c>
      <c r="AG587" s="5">
        <v>0</v>
      </c>
      <c r="AH587" s="5">
        <v>0</v>
      </c>
      <c r="AI587" s="5">
        <v>0</v>
      </c>
    </row>
    <row r="588" spans="1:35" x14ac:dyDescent="0.25">
      <c r="A588" s="5">
        <v>24</v>
      </c>
      <c r="B588" s="5" t="s">
        <v>43</v>
      </c>
      <c r="C588" s="5" t="s">
        <v>55</v>
      </c>
      <c r="D588" s="5">
        <v>1092</v>
      </c>
      <c r="E588" s="5" t="s">
        <v>45</v>
      </c>
      <c r="F588" s="5">
        <v>9</v>
      </c>
      <c r="G588" s="5">
        <v>3</v>
      </c>
      <c r="H588" s="5" t="s">
        <v>38</v>
      </c>
      <c r="I588" s="5">
        <v>1</v>
      </c>
      <c r="J588" s="5">
        <v>812</v>
      </c>
      <c r="K588" s="5">
        <v>3</v>
      </c>
      <c r="L588" s="5" t="s">
        <v>46</v>
      </c>
      <c r="M588" s="5">
        <v>60</v>
      </c>
      <c r="N588" s="5">
        <v>2</v>
      </c>
      <c r="O588" s="5">
        <v>1</v>
      </c>
      <c r="P588" s="5" t="s">
        <v>50</v>
      </c>
      <c r="Q588" s="5">
        <v>2</v>
      </c>
      <c r="R588" s="5" t="s">
        <v>52</v>
      </c>
      <c r="S588" s="5">
        <v>2694</v>
      </c>
      <c r="T588" s="5">
        <v>26551</v>
      </c>
      <c r="U588" s="5">
        <v>1</v>
      </c>
      <c r="V588" s="5" t="s">
        <v>42</v>
      </c>
      <c r="W588" s="5" t="s">
        <v>43</v>
      </c>
      <c r="X588" s="5">
        <v>11</v>
      </c>
      <c r="Y588" s="5">
        <v>3</v>
      </c>
      <c r="Z588" s="5">
        <v>3</v>
      </c>
      <c r="AA588" s="5">
        <v>80</v>
      </c>
      <c r="AB588" s="5">
        <v>3</v>
      </c>
      <c r="AC588" s="5">
        <v>1</v>
      </c>
      <c r="AD588" s="5">
        <v>4</v>
      </c>
      <c r="AE588" s="5">
        <v>3</v>
      </c>
      <c r="AF588" s="5">
        <v>1</v>
      </c>
      <c r="AG588" s="5">
        <v>0</v>
      </c>
      <c r="AH588" s="5">
        <v>0</v>
      </c>
      <c r="AI588" s="5">
        <v>0</v>
      </c>
    </row>
    <row r="589" spans="1:35" x14ac:dyDescent="0.25">
      <c r="A589" s="5">
        <v>52</v>
      </c>
      <c r="B589" s="5" t="s">
        <v>43</v>
      </c>
      <c r="C589" s="5" t="s">
        <v>36</v>
      </c>
      <c r="D589" s="5">
        <v>1325</v>
      </c>
      <c r="E589" s="5" t="s">
        <v>45</v>
      </c>
      <c r="F589" s="5">
        <v>11</v>
      </c>
      <c r="G589" s="5">
        <v>4</v>
      </c>
      <c r="H589" s="5" t="s">
        <v>38</v>
      </c>
      <c r="I589" s="5">
        <v>1</v>
      </c>
      <c r="J589" s="5">
        <v>813</v>
      </c>
      <c r="K589" s="5">
        <v>4</v>
      </c>
      <c r="L589" s="5" t="s">
        <v>39</v>
      </c>
      <c r="M589" s="5">
        <v>82</v>
      </c>
      <c r="N589" s="5">
        <v>3</v>
      </c>
      <c r="O589" s="5">
        <v>2</v>
      </c>
      <c r="P589" s="5" t="s">
        <v>50</v>
      </c>
      <c r="Q589" s="5">
        <v>3</v>
      </c>
      <c r="R589" s="5" t="s">
        <v>48</v>
      </c>
      <c r="S589" s="5">
        <v>3149</v>
      </c>
      <c r="T589" s="5">
        <v>21821</v>
      </c>
      <c r="U589" s="5">
        <v>8</v>
      </c>
      <c r="V589" s="5" t="s">
        <v>42</v>
      </c>
      <c r="W589" s="5" t="s">
        <v>43</v>
      </c>
      <c r="X589" s="5">
        <v>20</v>
      </c>
      <c r="Y589" s="5">
        <v>4</v>
      </c>
      <c r="Z589" s="5">
        <v>2</v>
      </c>
      <c r="AA589" s="5">
        <v>80</v>
      </c>
      <c r="AB589" s="5">
        <v>1</v>
      </c>
      <c r="AC589" s="5">
        <v>9</v>
      </c>
      <c r="AD589" s="5">
        <v>3</v>
      </c>
      <c r="AE589" s="5">
        <v>3</v>
      </c>
      <c r="AF589" s="5">
        <v>5</v>
      </c>
      <c r="AG589" s="5">
        <v>2</v>
      </c>
      <c r="AH589" s="5">
        <v>1</v>
      </c>
      <c r="AI589" s="5">
        <v>4</v>
      </c>
    </row>
    <row r="590" spans="1:35" x14ac:dyDescent="0.25">
      <c r="A590" s="5">
        <v>50</v>
      </c>
      <c r="B590" s="5" t="s">
        <v>43</v>
      </c>
      <c r="C590" s="5" t="s">
        <v>36</v>
      </c>
      <c r="D590" s="5">
        <v>691</v>
      </c>
      <c r="E590" s="5" t="s">
        <v>45</v>
      </c>
      <c r="F590" s="5">
        <v>2</v>
      </c>
      <c r="G590" s="5">
        <v>3</v>
      </c>
      <c r="H590" s="5" t="s">
        <v>51</v>
      </c>
      <c r="I590" s="5">
        <v>1</v>
      </c>
      <c r="J590" s="5">
        <v>815</v>
      </c>
      <c r="K590" s="5">
        <v>3</v>
      </c>
      <c r="L590" s="5" t="s">
        <v>46</v>
      </c>
      <c r="M590" s="5">
        <v>64</v>
      </c>
      <c r="N590" s="5">
        <v>3</v>
      </c>
      <c r="O590" s="5">
        <v>4</v>
      </c>
      <c r="P590" s="5" t="s">
        <v>58</v>
      </c>
      <c r="Q590" s="5">
        <v>3</v>
      </c>
      <c r="R590" s="5" t="s">
        <v>48</v>
      </c>
      <c r="S590" s="5">
        <v>17639</v>
      </c>
      <c r="T590" s="5">
        <v>6881</v>
      </c>
      <c r="U590" s="5">
        <v>5</v>
      </c>
      <c r="V590" s="5" t="s">
        <v>42</v>
      </c>
      <c r="W590" s="5" t="s">
        <v>43</v>
      </c>
      <c r="X590" s="5">
        <v>16</v>
      </c>
      <c r="Y590" s="5">
        <v>3</v>
      </c>
      <c r="Z590" s="5">
        <v>4</v>
      </c>
      <c r="AA590" s="5">
        <v>80</v>
      </c>
      <c r="AB590" s="5">
        <v>0</v>
      </c>
      <c r="AC590" s="5">
        <v>30</v>
      </c>
      <c r="AD590" s="5">
        <v>3</v>
      </c>
      <c r="AE590" s="5">
        <v>3</v>
      </c>
      <c r="AF590" s="5">
        <v>4</v>
      </c>
      <c r="AG590" s="5">
        <v>3</v>
      </c>
      <c r="AH590" s="5">
        <v>0</v>
      </c>
      <c r="AI590" s="5">
        <v>3</v>
      </c>
    </row>
    <row r="591" spans="1:35" x14ac:dyDescent="0.25">
      <c r="A591" s="5">
        <v>29</v>
      </c>
      <c r="B591" s="5" t="s">
        <v>35</v>
      </c>
      <c r="C591" s="5" t="s">
        <v>36</v>
      </c>
      <c r="D591" s="5">
        <v>805</v>
      </c>
      <c r="E591" s="5" t="s">
        <v>45</v>
      </c>
      <c r="F591" s="5">
        <v>1</v>
      </c>
      <c r="G591" s="5">
        <v>2</v>
      </c>
      <c r="H591" s="5" t="s">
        <v>38</v>
      </c>
      <c r="I591" s="5">
        <v>1</v>
      </c>
      <c r="J591" s="5">
        <v>816</v>
      </c>
      <c r="K591" s="5">
        <v>2</v>
      </c>
      <c r="L591" s="5" t="s">
        <v>39</v>
      </c>
      <c r="M591" s="5">
        <v>36</v>
      </c>
      <c r="N591" s="5">
        <v>2</v>
      </c>
      <c r="O591" s="5">
        <v>1</v>
      </c>
      <c r="P591" s="5" t="s">
        <v>50</v>
      </c>
      <c r="Q591" s="5">
        <v>1</v>
      </c>
      <c r="R591" s="5" t="s">
        <v>48</v>
      </c>
      <c r="S591" s="5">
        <v>2319</v>
      </c>
      <c r="T591" s="5">
        <v>6689</v>
      </c>
      <c r="U591" s="5">
        <v>1</v>
      </c>
      <c r="V591" s="5" t="s">
        <v>42</v>
      </c>
      <c r="W591" s="5" t="s">
        <v>35</v>
      </c>
      <c r="X591" s="5">
        <v>11</v>
      </c>
      <c r="Y591" s="5">
        <v>3</v>
      </c>
      <c r="Z591" s="5">
        <v>4</v>
      </c>
      <c r="AA591" s="5">
        <v>80</v>
      </c>
      <c r="AB591" s="5">
        <v>1</v>
      </c>
      <c r="AC591" s="5">
        <v>1</v>
      </c>
      <c r="AD591" s="5">
        <v>1</v>
      </c>
      <c r="AE591" s="5">
        <v>3</v>
      </c>
      <c r="AF591" s="5">
        <v>1</v>
      </c>
      <c r="AG591" s="5">
        <v>0</v>
      </c>
      <c r="AH591" s="5">
        <v>0</v>
      </c>
      <c r="AI591" s="5">
        <v>0</v>
      </c>
    </row>
    <row r="592" spans="1:35" x14ac:dyDescent="0.25">
      <c r="A592" s="5">
        <v>33</v>
      </c>
      <c r="B592" s="5" t="s">
        <v>43</v>
      </c>
      <c r="C592" s="5" t="s">
        <v>36</v>
      </c>
      <c r="D592" s="5">
        <v>213</v>
      </c>
      <c r="E592" s="5" t="s">
        <v>45</v>
      </c>
      <c r="F592" s="5">
        <v>7</v>
      </c>
      <c r="G592" s="5">
        <v>3</v>
      </c>
      <c r="H592" s="5" t="s">
        <v>51</v>
      </c>
      <c r="I592" s="5">
        <v>1</v>
      </c>
      <c r="J592" s="5">
        <v>817</v>
      </c>
      <c r="K592" s="5">
        <v>3</v>
      </c>
      <c r="L592" s="5" t="s">
        <v>46</v>
      </c>
      <c r="M592" s="5">
        <v>49</v>
      </c>
      <c r="N592" s="5">
        <v>3</v>
      </c>
      <c r="O592" s="5">
        <v>3</v>
      </c>
      <c r="P592" s="5" t="s">
        <v>58</v>
      </c>
      <c r="Q592" s="5">
        <v>3</v>
      </c>
      <c r="R592" s="5" t="s">
        <v>48</v>
      </c>
      <c r="S592" s="5">
        <v>11691</v>
      </c>
      <c r="T592" s="5">
        <v>25995</v>
      </c>
      <c r="U592" s="5">
        <v>0</v>
      </c>
      <c r="V592" s="5" t="s">
        <v>42</v>
      </c>
      <c r="W592" s="5" t="s">
        <v>43</v>
      </c>
      <c r="X592" s="5">
        <v>11</v>
      </c>
      <c r="Y592" s="5">
        <v>3</v>
      </c>
      <c r="Z592" s="5">
        <v>4</v>
      </c>
      <c r="AA592" s="5">
        <v>80</v>
      </c>
      <c r="AB592" s="5">
        <v>0</v>
      </c>
      <c r="AC592" s="5">
        <v>14</v>
      </c>
      <c r="AD592" s="5">
        <v>3</v>
      </c>
      <c r="AE592" s="5">
        <v>4</v>
      </c>
      <c r="AF592" s="5">
        <v>13</v>
      </c>
      <c r="AG592" s="5">
        <v>9</v>
      </c>
      <c r="AH592" s="5">
        <v>3</v>
      </c>
      <c r="AI592" s="5">
        <v>7</v>
      </c>
    </row>
    <row r="593" spans="1:35" x14ac:dyDescent="0.25">
      <c r="A593" s="5">
        <v>33</v>
      </c>
      <c r="B593" s="5" t="s">
        <v>35</v>
      </c>
      <c r="C593" s="5" t="s">
        <v>36</v>
      </c>
      <c r="D593" s="5">
        <v>118</v>
      </c>
      <c r="E593" s="5" t="s">
        <v>37</v>
      </c>
      <c r="F593" s="5">
        <v>16</v>
      </c>
      <c r="G593" s="5">
        <v>3</v>
      </c>
      <c r="H593" s="5" t="s">
        <v>59</v>
      </c>
      <c r="I593" s="5">
        <v>1</v>
      </c>
      <c r="J593" s="5">
        <v>819</v>
      </c>
      <c r="K593" s="5">
        <v>1</v>
      </c>
      <c r="L593" s="5" t="s">
        <v>39</v>
      </c>
      <c r="M593" s="5">
        <v>69</v>
      </c>
      <c r="N593" s="5">
        <v>3</v>
      </c>
      <c r="O593" s="5">
        <v>2</v>
      </c>
      <c r="P593" s="5" t="s">
        <v>40</v>
      </c>
      <c r="Q593" s="5">
        <v>1</v>
      </c>
      <c r="R593" s="5" t="s">
        <v>41</v>
      </c>
      <c r="S593" s="5">
        <v>5324</v>
      </c>
      <c r="T593" s="5">
        <v>26507</v>
      </c>
      <c r="U593" s="5">
        <v>5</v>
      </c>
      <c r="V593" s="5" t="s">
        <v>42</v>
      </c>
      <c r="W593" s="5" t="s">
        <v>43</v>
      </c>
      <c r="X593" s="5">
        <v>15</v>
      </c>
      <c r="Y593" s="5">
        <v>3</v>
      </c>
      <c r="Z593" s="5">
        <v>3</v>
      </c>
      <c r="AA593" s="5">
        <v>80</v>
      </c>
      <c r="AB593" s="5">
        <v>0</v>
      </c>
      <c r="AC593" s="5">
        <v>6</v>
      </c>
      <c r="AD593" s="5">
        <v>3</v>
      </c>
      <c r="AE593" s="5">
        <v>3</v>
      </c>
      <c r="AF593" s="5">
        <v>3</v>
      </c>
      <c r="AG593" s="5">
        <v>2</v>
      </c>
      <c r="AH593" s="5">
        <v>0</v>
      </c>
      <c r="AI593" s="5">
        <v>2</v>
      </c>
    </row>
    <row r="594" spans="1:35" x14ac:dyDescent="0.25">
      <c r="A594" s="5">
        <v>47</v>
      </c>
      <c r="B594" s="5" t="s">
        <v>43</v>
      </c>
      <c r="C594" s="5" t="s">
        <v>36</v>
      </c>
      <c r="D594" s="5">
        <v>202</v>
      </c>
      <c r="E594" s="5" t="s">
        <v>45</v>
      </c>
      <c r="F594" s="5">
        <v>2</v>
      </c>
      <c r="G594" s="5">
        <v>2</v>
      </c>
      <c r="H594" s="5" t="s">
        <v>49</v>
      </c>
      <c r="I594" s="5">
        <v>1</v>
      </c>
      <c r="J594" s="5">
        <v>820</v>
      </c>
      <c r="K594" s="5">
        <v>3</v>
      </c>
      <c r="L594" s="5" t="s">
        <v>39</v>
      </c>
      <c r="M594" s="5">
        <v>33</v>
      </c>
      <c r="N594" s="5">
        <v>3</v>
      </c>
      <c r="O594" s="5">
        <v>4</v>
      </c>
      <c r="P594" s="5" t="s">
        <v>56</v>
      </c>
      <c r="Q594" s="5">
        <v>4</v>
      </c>
      <c r="R594" s="5" t="s">
        <v>48</v>
      </c>
      <c r="S594" s="5">
        <v>16752</v>
      </c>
      <c r="T594" s="5">
        <v>12982</v>
      </c>
      <c r="U594" s="5">
        <v>1</v>
      </c>
      <c r="V594" s="5" t="s">
        <v>42</v>
      </c>
      <c r="W594" s="5" t="s">
        <v>35</v>
      </c>
      <c r="X594" s="5">
        <v>11</v>
      </c>
      <c r="Y594" s="5">
        <v>3</v>
      </c>
      <c r="Z594" s="5">
        <v>3</v>
      </c>
      <c r="AA594" s="5">
        <v>80</v>
      </c>
      <c r="AB594" s="5">
        <v>1</v>
      </c>
      <c r="AC594" s="5">
        <v>26</v>
      </c>
      <c r="AD594" s="5">
        <v>3</v>
      </c>
      <c r="AE594" s="5">
        <v>2</v>
      </c>
      <c r="AF594" s="5">
        <v>26</v>
      </c>
      <c r="AG594" s="5">
        <v>14</v>
      </c>
      <c r="AH594" s="5">
        <v>3</v>
      </c>
      <c r="AI594" s="5">
        <v>0</v>
      </c>
    </row>
    <row r="595" spans="1:35" x14ac:dyDescent="0.25">
      <c r="A595" s="5">
        <v>36</v>
      </c>
      <c r="B595" s="5" t="s">
        <v>43</v>
      </c>
      <c r="C595" s="5" t="s">
        <v>36</v>
      </c>
      <c r="D595" s="5">
        <v>676</v>
      </c>
      <c r="E595" s="5" t="s">
        <v>45</v>
      </c>
      <c r="F595" s="5">
        <v>1</v>
      </c>
      <c r="G595" s="5">
        <v>3</v>
      </c>
      <c r="H595" s="5" t="s">
        <v>49</v>
      </c>
      <c r="I595" s="5">
        <v>1</v>
      </c>
      <c r="J595" s="5">
        <v>823</v>
      </c>
      <c r="K595" s="5">
        <v>3</v>
      </c>
      <c r="L595" s="5" t="s">
        <v>39</v>
      </c>
      <c r="M595" s="5">
        <v>35</v>
      </c>
      <c r="N595" s="5">
        <v>3</v>
      </c>
      <c r="O595" s="5">
        <v>2</v>
      </c>
      <c r="P595" s="5" t="s">
        <v>53</v>
      </c>
      <c r="Q595" s="5">
        <v>2</v>
      </c>
      <c r="R595" s="5" t="s">
        <v>48</v>
      </c>
      <c r="S595" s="5">
        <v>5228</v>
      </c>
      <c r="T595" s="5">
        <v>23361</v>
      </c>
      <c r="U595" s="5">
        <v>0</v>
      </c>
      <c r="V595" s="5" t="s">
        <v>42</v>
      </c>
      <c r="W595" s="5" t="s">
        <v>43</v>
      </c>
      <c r="X595" s="5">
        <v>15</v>
      </c>
      <c r="Y595" s="5">
        <v>3</v>
      </c>
      <c r="Z595" s="5">
        <v>1</v>
      </c>
      <c r="AA595" s="5">
        <v>80</v>
      </c>
      <c r="AB595" s="5">
        <v>1</v>
      </c>
      <c r="AC595" s="5">
        <v>10</v>
      </c>
      <c r="AD595" s="5">
        <v>2</v>
      </c>
      <c r="AE595" s="5">
        <v>3</v>
      </c>
      <c r="AF595" s="5">
        <v>9</v>
      </c>
      <c r="AG595" s="5">
        <v>7</v>
      </c>
      <c r="AH595" s="5">
        <v>0</v>
      </c>
      <c r="AI595" s="5">
        <v>5</v>
      </c>
    </row>
    <row r="596" spans="1:35" x14ac:dyDescent="0.25">
      <c r="A596" s="5">
        <v>29</v>
      </c>
      <c r="B596" s="5" t="s">
        <v>43</v>
      </c>
      <c r="C596" s="5" t="s">
        <v>36</v>
      </c>
      <c r="D596" s="5">
        <v>1252</v>
      </c>
      <c r="E596" s="5" t="s">
        <v>45</v>
      </c>
      <c r="F596" s="5">
        <v>23</v>
      </c>
      <c r="G596" s="5">
        <v>2</v>
      </c>
      <c r="H596" s="5" t="s">
        <v>38</v>
      </c>
      <c r="I596" s="5">
        <v>1</v>
      </c>
      <c r="J596" s="5">
        <v>824</v>
      </c>
      <c r="K596" s="5">
        <v>3</v>
      </c>
      <c r="L596" s="5" t="s">
        <v>46</v>
      </c>
      <c r="M596" s="5">
        <v>81</v>
      </c>
      <c r="N596" s="5">
        <v>4</v>
      </c>
      <c r="O596" s="5">
        <v>1</v>
      </c>
      <c r="P596" s="5" t="s">
        <v>47</v>
      </c>
      <c r="Q596" s="5">
        <v>3</v>
      </c>
      <c r="R596" s="5" t="s">
        <v>48</v>
      </c>
      <c r="S596" s="5">
        <v>2700</v>
      </c>
      <c r="T596" s="5">
        <v>23779</v>
      </c>
      <c r="U596" s="5">
        <v>1</v>
      </c>
      <c r="V596" s="5" t="s">
        <v>42</v>
      </c>
      <c r="W596" s="5" t="s">
        <v>43</v>
      </c>
      <c r="X596" s="5">
        <v>24</v>
      </c>
      <c r="Y596" s="5">
        <v>4</v>
      </c>
      <c r="Z596" s="5">
        <v>3</v>
      </c>
      <c r="AA596" s="5">
        <v>80</v>
      </c>
      <c r="AB596" s="5">
        <v>1</v>
      </c>
      <c r="AC596" s="5">
        <v>10</v>
      </c>
      <c r="AD596" s="5">
        <v>3</v>
      </c>
      <c r="AE596" s="5">
        <v>3</v>
      </c>
      <c r="AF596" s="5">
        <v>10</v>
      </c>
      <c r="AG596" s="5">
        <v>7</v>
      </c>
      <c r="AH596" s="5">
        <v>0</v>
      </c>
      <c r="AI596" s="5">
        <v>7</v>
      </c>
    </row>
    <row r="597" spans="1:35" x14ac:dyDescent="0.25">
      <c r="A597" s="5">
        <v>58</v>
      </c>
      <c r="B597" s="5" t="s">
        <v>35</v>
      </c>
      <c r="C597" s="5" t="s">
        <v>36</v>
      </c>
      <c r="D597" s="5">
        <v>286</v>
      </c>
      <c r="E597" s="5" t="s">
        <v>45</v>
      </c>
      <c r="F597" s="5">
        <v>2</v>
      </c>
      <c r="G597" s="5">
        <v>4</v>
      </c>
      <c r="H597" s="5" t="s">
        <v>38</v>
      </c>
      <c r="I597" s="5">
        <v>1</v>
      </c>
      <c r="J597" s="5">
        <v>825</v>
      </c>
      <c r="K597" s="5">
        <v>4</v>
      </c>
      <c r="L597" s="5" t="s">
        <v>46</v>
      </c>
      <c r="M597" s="5">
        <v>31</v>
      </c>
      <c r="N597" s="5">
        <v>3</v>
      </c>
      <c r="O597" s="5">
        <v>5</v>
      </c>
      <c r="P597" s="5" t="s">
        <v>58</v>
      </c>
      <c r="Q597" s="5">
        <v>2</v>
      </c>
      <c r="R597" s="5" t="s">
        <v>41</v>
      </c>
      <c r="S597" s="5">
        <v>19246</v>
      </c>
      <c r="T597" s="5">
        <v>25761</v>
      </c>
      <c r="U597" s="5">
        <v>7</v>
      </c>
      <c r="V597" s="5" t="s">
        <v>42</v>
      </c>
      <c r="W597" s="5" t="s">
        <v>35</v>
      </c>
      <c r="X597" s="5">
        <v>12</v>
      </c>
      <c r="Y597" s="5">
        <v>3</v>
      </c>
      <c r="Z597" s="5">
        <v>4</v>
      </c>
      <c r="AA597" s="5">
        <v>80</v>
      </c>
      <c r="AB597" s="5">
        <v>0</v>
      </c>
      <c r="AC597" s="5">
        <v>40</v>
      </c>
      <c r="AD597" s="5">
        <v>2</v>
      </c>
      <c r="AE597" s="5">
        <v>3</v>
      </c>
      <c r="AF597" s="5">
        <v>31</v>
      </c>
      <c r="AG597" s="5">
        <v>15</v>
      </c>
      <c r="AH597" s="5">
        <v>13</v>
      </c>
      <c r="AI597" s="5">
        <v>8</v>
      </c>
    </row>
    <row r="598" spans="1:35" x14ac:dyDescent="0.25">
      <c r="A598" s="5">
        <v>35</v>
      </c>
      <c r="B598" s="5" t="s">
        <v>43</v>
      </c>
      <c r="C598" s="5" t="s">
        <v>36</v>
      </c>
      <c r="D598" s="5">
        <v>1258</v>
      </c>
      <c r="E598" s="5" t="s">
        <v>45</v>
      </c>
      <c r="F598" s="5">
        <v>1</v>
      </c>
      <c r="G598" s="5">
        <v>4</v>
      </c>
      <c r="H598" s="5" t="s">
        <v>38</v>
      </c>
      <c r="I598" s="5">
        <v>1</v>
      </c>
      <c r="J598" s="5">
        <v>826</v>
      </c>
      <c r="K598" s="5">
        <v>4</v>
      </c>
      <c r="L598" s="5" t="s">
        <v>39</v>
      </c>
      <c r="M598" s="5">
        <v>40</v>
      </c>
      <c r="N598" s="5">
        <v>4</v>
      </c>
      <c r="O598" s="5">
        <v>1</v>
      </c>
      <c r="P598" s="5" t="s">
        <v>47</v>
      </c>
      <c r="Q598" s="5">
        <v>3</v>
      </c>
      <c r="R598" s="5" t="s">
        <v>41</v>
      </c>
      <c r="S598" s="5">
        <v>2506</v>
      </c>
      <c r="T598" s="5">
        <v>13301</v>
      </c>
      <c r="U598" s="5">
        <v>3</v>
      </c>
      <c r="V598" s="5" t="s">
        <v>42</v>
      </c>
      <c r="W598" s="5" t="s">
        <v>43</v>
      </c>
      <c r="X598" s="5">
        <v>13</v>
      </c>
      <c r="Y598" s="5">
        <v>3</v>
      </c>
      <c r="Z598" s="5">
        <v>3</v>
      </c>
      <c r="AA598" s="5">
        <v>80</v>
      </c>
      <c r="AB598" s="5">
        <v>0</v>
      </c>
      <c r="AC598" s="5">
        <v>7</v>
      </c>
      <c r="AD598" s="5">
        <v>0</v>
      </c>
      <c r="AE598" s="5">
        <v>3</v>
      </c>
      <c r="AF598" s="5">
        <v>2</v>
      </c>
      <c r="AG598" s="5">
        <v>2</v>
      </c>
      <c r="AH598" s="5">
        <v>2</v>
      </c>
      <c r="AI598" s="5">
        <v>2</v>
      </c>
    </row>
    <row r="599" spans="1:35" x14ac:dyDescent="0.25">
      <c r="A599" s="5">
        <v>42</v>
      </c>
      <c r="B599" s="5" t="s">
        <v>43</v>
      </c>
      <c r="C599" s="5" t="s">
        <v>36</v>
      </c>
      <c r="D599" s="5">
        <v>932</v>
      </c>
      <c r="E599" s="5" t="s">
        <v>45</v>
      </c>
      <c r="F599" s="5">
        <v>1</v>
      </c>
      <c r="G599" s="5">
        <v>2</v>
      </c>
      <c r="H599" s="5" t="s">
        <v>38</v>
      </c>
      <c r="I599" s="5">
        <v>1</v>
      </c>
      <c r="J599" s="5">
        <v>827</v>
      </c>
      <c r="K599" s="5">
        <v>4</v>
      </c>
      <c r="L599" s="5" t="s">
        <v>39</v>
      </c>
      <c r="M599" s="5">
        <v>43</v>
      </c>
      <c r="N599" s="5">
        <v>2</v>
      </c>
      <c r="O599" s="5">
        <v>2</v>
      </c>
      <c r="P599" s="5" t="s">
        <v>53</v>
      </c>
      <c r="Q599" s="5">
        <v>4</v>
      </c>
      <c r="R599" s="5" t="s">
        <v>48</v>
      </c>
      <c r="S599" s="5">
        <v>6062</v>
      </c>
      <c r="T599" s="5">
        <v>4051</v>
      </c>
      <c r="U599" s="5">
        <v>9</v>
      </c>
      <c r="V599" s="5" t="s">
        <v>42</v>
      </c>
      <c r="W599" s="5" t="s">
        <v>35</v>
      </c>
      <c r="X599" s="5">
        <v>13</v>
      </c>
      <c r="Y599" s="5">
        <v>3</v>
      </c>
      <c r="Z599" s="5">
        <v>4</v>
      </c>
      <c r="AA599" s="5">
        <v>80</v>
      </c>
      <c r="AB599" s="5">
        <v>1</v>
      </c>
      <c r="AC599" s="5">
        <v>8</v>
      </c>
      <c r="AD599" s="5">
        <v>4</v>
      </c>
      <c r="AE599" s="5">
        <v>3</v>
      </c>
      <c r="AF599" s="5">
        <v>4</v>
      </c>
      <c r="AG599" s="5">
        <v>3</v>
      </c>
      <c r="AH599" s="5">
        <v>0</v>
      </c>
      <c r="AI599" s="5">
        <v>2</v>
      </c>
    </row>
    <row r="600" spans="1:35" x14ac:dyDescent="0.25">
      <c r="A600" s="5">
        <v>28</v>
      </c>
      <c r="B600" s="5" t="s">
        <v>35</v>
      </c>
      <c r="C600" s="5" t="s">
        <v>36</v>
      </c>
      <c r="D600" s="5">
        <v>890</v>
      </c>
      <c r="E600" s="5" t="s">
        <v>45</v>
      </c>
      <c r="F600" s="5">
        <v>2</v>
      </c>
      <c r="G600" s="5">
        <v>4</v>
      </c>
      <c r="H600" s="5" t="s">
        <v>51</v>
      </c>
      <c r="I600" s="5">
        <v>1</v>
      </c>
      <c r="J600" s="5">
        <v>828</v>
      </c>
      <c r="K600" s="5">
        <v>3</v>
      </c>
      <c r="L600" s="5" t="s">
        <v>46</v>
      </c>
      <c r="M600" s="5">
        <v>46</v>
      </c>
      <c r="N600" s="5">
        <v>3</v>
      </c>
      <c r="O600" s="5">
        <v>1</v>
      </c>
      <c r="P600" s="5" t="s">
        <v>47</v>
      </c>
      <c r="Q600" s="5">
        <v>3</v>
      </c>
      <c r="R600" s="5" t="s">
        <v>41</v>
      </c>
      <c r="S600" s="5">
        <v>4382</v>
      </c>
      <c r="T600" s="5">
        <v>16374</v>
      </c>
      <c r="U600" s="5">
        <v>6</v>
      </c>
      <c r="V600" s="5" t="s">
        <v>42</v>
      </c>
      <c r="W600" s="5" t="s">
        <v>43</v>
      </c>
      <c r="X600" s="5">
        <v>17</v>
      </c>
      <c r="Y600" s="5">
        <v>3</v>
      </c>
      <c r="Z600" s="5">
        <v>4</v>
      </c>
      <c r="AA600" s="5">
        <v>80</v>
      </c>
      <c r="AB600" s="5">
        <v>0</v>
      </c>
      <c r="AC600" s="5">
        <v>5</v>
      </c>
      <c r="AD600" s="5">
        <v>3</v>
      </c>
      <c r="AE600" s="5">
        <v>2</v>
      </c>
      <c r="AF600" s="5">
        <v>2</v>
      </c>
      <c r="AG600" s="5">
        <v>2</v>
      </c>
      <c r="AH600" s="5">
        <v>2</v>
      </c>
      <c r="AI600" s="5">
        <v>1</v>
      </c>
    </row>
    <row r="601" spans="1:35" x14ac:dyDescent="0.25">
      <c r="A601" s="5">
        <v>36</v>
      </c>
      <c r="B601" s="5" t="s">
        <v>43</v>
      </c>
      <c r="C601" s="5" t="s">
        <v>36</v>
      </c>
      <c r="D601" s="5">
        <v>1041</v>
      </c>
      <c r="E601" s="5" t="s">
        <v>61</v>
      </c>
      <c r="F601" s="5">
        <v>13</v>
      </c>
      <c r="G601" s="5">
        <v>3</v>
      </c>
      <c r="H601" s="5" t="s">
        <v>61</v>
      </c>
      <c r="I601" s="5">
        <v>1</v>
      </c>
      <c r="J601" s="5">
        <v>829</v>
      </c>
      <c r="K601" s="5">
        <v>3</v>
      </c>
      <c r="L601" s="5" t="s">
        <v>46</v>
      </c>
      <c r="M601" s="5">
        <v>36</v>
      </c>
      <c r="N601" s="5">
        <v>3</v>
      </c>
      <c r="O601" s="5">
        <v>1</v>
      </c>
      <c r="P601" s="5" t="s">
        <v>61</v>
      </c>
      <c r="Q601" s="5">
        <v>2</v>
      </c>
      <c r="R601" s="5" t="s">
        <v>48</v>
      </c>
      <c r="S601" s="5">
        <v>2143</v>
      </c>
      <c r="T601" s="5">
        <v>25527</v>
      </c>
      <c r="U601" s="5">
        <v>4</v>
      </c>
      <c r="V601" s="5" t="s">
        <v>42</v>
      </c>
      <c r="W601" s="5" t="s">
        <v>43</v>
      </c>
      <c r="X601" s="5">
        <v>13</v>
      </c>
      <c r="Y601" s="5">
        <v>3</v>
      </c>
      <c r="Z601" s="5">
        <v>2</v>
      </c>
      <c r="AA601" s="5">
        <v>80</v>
      </c>
      <c r="AB601" s="5">
        <v>1</v>
      </c>
      <c r="AC601" s="5">
        <v>8</v>
      </c>
      <c r="AD601" s="5">
        <v>2</v>
      </c>
      <c r="AE601" s="5">
        <v>3</v>
      </c>
      <c r="AF601" s="5">
        <v>5</v>
      </c>
      <c r="AG601" s="5">
        <v>2</v>
      </c>
      <c r="AH601" s="5">
        <v>0</v>
      </c>
      <c r="AI601" s="5">
        <v>4</v>
      </c>
    </row>
    <row r="602" spans="1:35" x14ac:dyDescent="0.25">
      <c r="A602" s="5">
        <v>32</v>
      </c>
      <c r="B602" s="5" t="s">
        <v>43</v>
      </c>
      <c r="C602" s="5" t="s">
        <v>36</v>
      </c>
      <c r="D602" s="5">
        <v>859</v>
      </c>
      <c r="E602" s="5" t="s">
        <v>45</v>
      </c>
      <c r="F602" s="5">
        <v>4</v>
      </c>
      <c r="G602" s="5">
        <v>3</v>
      </c>
      <c r="H602" s="5" t="s">
        <v>38</v>
      </c>
      <c r="I602" s="5">
        <v>1</v>
      </c>
      <c r="J602" s="5">
        <v>830</v>
      </c>
      <c r="K602" s="5">
        <v>3</v>
      </c>
      <c r="L602" s="5" t="s">
        <v>39</v>
      </c>
      <c r="M602" s="5">
        <v>98</v>
      </c>
      <c r="N602" s="5">
        <v>2</v>
      </c>
      <c r="O602" s="5">
        <v>2</v>
      </c>
      <c r="P602" s="5" t="s">
        <v>53</v>
      </c>
      <c r="Q602" s="5">
        <v>3</v>
      </c>
      <c r="R602" s="5" t="s">
        <v>48</v>
      </c>
      <c r="S602" s="5">
        <v>6162</v>
      </c>
      <c r="T602" s="5">
        <v>19124</v>
      </c>
      <c r="U602" s="5">
        <v>1</v>
      </c>
      <c r="V602" s="5" t="s">
        <v>42</v>
      </c>
      <c r="W602" s="5" t="s">
        <v>43</v>
      </c>
      <c r="X602" s="5">
        <v>12</v>
      </c>
      <c r="Y602" s="5">
        <v>3</v>
      </c>
      <c r="Z602" s="5">
        <v>3</v>
      </c>
      <c r="AA602" s="5">
        <v>80</v>
      </c>
      <c r="AB602" s="5">
        <v>1</v>
      </c>
      <c r="AC602" s="5">
        <v>14</v>
      </c>
      <c r="AD602" s="5">
        <v>3</v>
      </c>
      <c r="AE602" s="5">
        <v>3</v>
      </c>
      <c r="AF602" s="5">
        <v>14</v>
      </c>
      <c r="AG602" s="5">
        <v>13</v>
      </c>
      <c r="AH602" s="5">
        <v>6</v>
      </c>
      <c r="AI602" s="5">
        <v>8</v>
      </c>
    </row>
    <row r="603" spans="1:35" x14ac:dyDescent="0.25">
      <c r="A603" s="5">
        <v>40</v>
      </c>
      <c r="B603" s="5" t="s">
        <v>43</v>
      </c>
      <c r="C603" s="5" t="s">
        <v>44</v>
      </c>
      <c r="D603" s="5">
        <v>720</v>
      </c>
      <c r="E603" s="5" t="s">
        <v>45</v>
      </c>
      <c r="F603" s="5">
        <v>16</v>
      </c>
      <c r="G603" s="5">
        <v>4</v>
      </c>
      <c r="H603" s="5" t="s">
        <v>51</v>
      </c>
      <c r="I603" s="5">
        <v>1</v>
      </c>
      <c r="J603" s="5">
        <v>832</v>
      </c>
      <c r="K603" s="5">
        <v>1</v>
      </c>
      <c r="L603" s="5" t="s">
        <v>46</v>
      </c>
      <c r="M603" s="5">
        <v>51</v>
      </c>
      <c r="N603" s="5">
        <v>2</v>
      </c>
      <c r="O603" s="5">
        <v>2</v>
      </c>
      <c r="P603" s="5" t="s">
        <v>50</v>
      </c>
      <c r="Q603" s="5">
        <v>3</v>
      </c>
      <c r="R603" s="5" t="s">
        <v>41</v>
      </c>
      <c r="S603" s="5">
        <v>5094</v>
      </c>
      <c r="T603" s="5">
        <v>11983</v>
      </c>
      <c r="U603" s="5">
        <v>6</v>
      </c>
      <c r="V603" s="5" t="s">
        <v>42</v>
      </c>
      <c r="W603" s="5" t="s">
        <v>43</v>
      </c>
      <c r="X603" s="5">
        <v>14</v>
      </c>
      <c r="Y603" s="5">
        <v>3</v>
      </c>
      <c r="Z603" s="5">
        <v>4</v>
      </c>
      <c r="AA603" s="5">
        <v>80</v>
      </c>
      <c r="AB603" s="5">
        <v>0</v>
      </c>
      <c r="AC603" s="5">
        <v>10</v>
      </c>
      <c r="AD603" s="5">
        <v>6</v>
      </c>
      <c r="AE603" s="5">
        <v>3</v>
      </c>
      <c r="AF603" s="5">
        <v>1</v>
      </c>
      <c r="AG603" s="5">
        <v>0</v>
      </c>
      <c r="AH603" s="5">
        <v>0</v>
      </c>
      <c r="AI603" s="5">
        <v>0</v>
      </c>
    </row>
    <row r="604" spans="1:35" x14ac:dyDescent="0.25">
      <c r="A604" s="5">
        <v>30</v>
      </c>
      <c r="B604" s="5" t="s">
        <v>43</v>
      </c>
      <c r="C604" s="5" t="s">
        <v>36</v>
      </c>
      <c r="D604" s="5">
        <v>946</v>
      </c>
      <c r="E604" s="5" t="s">
        <v>45</v>
      </c>
      <c r="F604" s="5">
        <v>2</v>
      </c>
      <c r="G604" s="5">
        <v>3</v>
      </c>
      <c r="H604" s="5" t="s">
        <v>51</v>
      </c>
      <c r="I604" s="5">
        <v>1</v>
      </c>
      <c r="J604" s="5">
        <v>833</v>
      </c>
      <c r="K604" s="5">
        <v>3</v>
      </c>
      <c r="L604" s="5" t="s">
        <v>39</v>
      </c>
      <c r="M604" s="5">
        <v>52</v>
      </c>
      <c r="N604" s="5">
        <v>2</v>
      </c>
      <c r="O604" s="5">
        <v>2</v>
      </c>
      <c r="P604" s="5" t="s">
        <v>53</v>
      </c>
      <c r="Q604" s="5">
        <v>4</v>
      </c>
      <c r="R604" s="5" t="s">
        <v>41</v>
      </c>
      <c r="S604" s="5">
        <v>6877</v>
      </c>
      <c r="T604" s="5">
        <v>20234</v>
      </c>
      <c r="U604" s="5">
        <v>5</v>
      </c>
      <c r="V604" s="5" t="s">
        <v>42</v>
      </c>
      <c r="W604" s="5" t="s">
        <v>35</v>
      </c>
      <c r="X604" s="5">
        <v>24</v>
      </c>
      <c r="Y604" s="5">
        <v>4</v>
      </c>
      <c r="Z604" s="5">
        <v>2</v>
      </c>
      <c r="AA604" s="5">
        <v>80</v>
      </c>
      <c r="AB604" s="5">
        <v>0</v>
      </c>
      <c r="AC604" s="5">
        <v>12</v>
      </c>
      <c r="AD604" s="5">
        <v>4</v>
      </c>
      <c r="AE604" s="5">
        <v>2</v>
      </c>
      <c r="AF604" s="5">
        <v>0</v>
      </c>
      <c r="AG604" s="5">
        <v>0</v>
      </c>
      <c r="AH604" s="5">
        <v>0</v>
      </c>
      <c r="AI604" s="5">
        <v>0</v>
      </c>
    </row>
    <row r="605" spans="1:35" x14ac:dyDescent="0.25">
      <c r="A605" s="5">
        <v>45</v>
      </c>
      <c r="B605" s="5" t="s">
        <v>43</v>
      </c>
      <c r="C605" s="5" t="s">
        <v>36</v>
      </c>
      <c r="D605" s="5">
        <v>252</v>
      </c>
      <c r="E605" s="5" t="s">
        <v>45</v>
      </c>
      <c r="F605" s="5">
        <v>2</v>
      </c>
      <c r="G605" s="5">
        <v>3</v>
      </c>
      <c r="H605" s="5" t="s">
        <v>38</v>
      </c>
      <c r="I605" s="5">
        <v>1</v>
      </c>
      <c r="J605" s="5">
        <v>834</v>
      </c>
      <c r="K605" s="5">
        <v>2</v>
      </c>
      <c r="L605" s="5" t="s">
        <v>39</v>
      </c>
      <c r="M605" s="5">
        <v>95</v>
      </c>
      <c r="N605" s="5">
        <v>2</v>
      </c>
      <c r="O605" s="5">
        <v>1</v>
      </c>
      <c r="P605" s="5" t="s">
        <v>47</v>
      </c>
      <c r="Q605" s="5">
        <v>3</v>
      </c>
      <c r="R605" s="5" t="s">
        <v>41</v>
      </c>
      <c r="S605" s="5">
        <v>2274</v>
      </c>
      <c r="T605" s="5">
        <v>6153</v>
      </c>
      <c r="U605" s="5">
        <v>1</v>
      </c>
      <c r="V605" s="5" t="s">
        <v>42</v>
      </c>
      <c r="W605" s="5" t="s">
        <v>43</v>
      </c>
      <c r="X605" s="5">
        <v>14</v>
      </c>
      <c r="Y605" s="5">
        <v>3</v>
      </c>
      <c r="Z605" s="5">
        <v>4</v>
      </c>
      <c r="AA605" s="5">
        <v>80</v>
      </c>
      <c r="AB605" s="5">
        <v>0</v>
      </c>
      <c r="AC605" s="5">
        <v>1</v>
      </c>
      <c r="AD605" s="5">
        <v>3</v>
      </c>
      <c r="AE605" s="5">
        <v>3</v>
      </c>
      <c r="AF605" s="5">
        <v>1</v>
      </c>
      <c r="AG605" s="5">
        <v>0</v>
      </c>
      <c r="AH605" s="5">
        <v>0</v>
      </c>
      <c r="AI605" s="5">
        <v>0</v>
      </c>
    </row>
    <row r="606" spans="1:35" x14ac:dyDescent="0.25">
      <c r="A606" s="5">
        <v>42</v>
      </c>
      <c r="B606" s="5" t="s">
        <v>43</v>
      </c>
      <c r="C606" s="5" t="s">
        <v>36</v>
      </c>
      <c r="D606" s="5">
        <v>933</v>
      </c>
      <c r="E606" s="5" t="s">
        <v>45</v>
      </c>
      <c r="F606" s="5">
        <v>29</v>
      </c>
      <c r="G606" s="5">
        <v>3</v>
      </c>
      <c r="H606" s="5" t="s">
        <v>38</v>
      </c>
      <c r="I606" s="5">
        <v>1</v>
      </c>
      <c r="J606" s="5">
        <v>836</v>
      </c>
      <c r="K606" s="5">
        <v>2</v>
      </c>
      <c r="L606" s="5" t="s">
        <v>46</v>
      </c>
      <c r="M606" s="5">
        <v>98</v>
      </c>
      <c r="N606" s="5">
        <v>3</v>
      </c>
      <c r="O606" s="5">
        <v>2</v>
      </c>
      <c r="P606" s="5" t="s">
        <v>53</v>
      </c>
      <c r="Q606" s="5">
        <v>2</v>
      </c>
      <c r="R606" s="5" t="s">
        <v>48</v>
      </c>
      <c r="S606" s="5">
        <v>4434</v>
      </c>
      <c r="T606" s="5">
        <v>11806</v>
      </c>
      <c r="U606" s="5">
        <v>1</v>
      </c>
      <c r="V606" s="5" t="s">
        <v>42</v>
      </c>
      <c r="W606" s="5" t="s">
        <v>43</v>
      </c>
      <c r="X606" s="5">
        <v>13</v>
      </c>
      <c r="Y606" s="5">
        <v>3</v>
      </c>
      <c r="Z606" s="5">
        <v>4</v>
      </c>
      <c r="AA606" s="5">
        <v>80</v>
      </c>
      <c r="AB606" s="5">
        <v>1</v>
      </c>
      <c r="AC606" s="5">
        <v>10</v>
      </c>
      <c r="AD606" s="5">
        <v>3</v>
      </c>
      <c r="AE606" s="5">
        <v>2</v>
      </c>
      <c r="AF606" s="5">
        <v>9</v>
      </c>
      <c r="AG606" s="5">
        <v>8</v>
      </c>
      <c r="AH606" s="5">
        <v>7</v>
      </c>
      <c r="AI606" s="5">
        <v>8</v>
      </c>
    </row>
    <row r="607" spans="1:35" x14ac:dyDescent="0.25">
      <c r="A607" s="5">
        <v>38</v>
      </c>
      <c r="B607" s="5" t="s">
        <v>43</v>
      </c>
      <c r="C607" s="5" t="s">
        <v>44</v>
      </c>
      <c r="D607" s="5">
        <v>471</v>
      </c>
      <c r="E607" s="5" t="s">
        <v>45</v>
      </c>
      <c r="F607" s="5">
        <v>12</v>
      </c>
      <c r="G607" s="5">
        <v>3</v>
      </c>
      <c r="H607" s="5" t="s">
        <v>38</v>
      </c>
      <c r="I607" s="5">
        <v>1</v>
      </c>
      <c r="J607" s="5">
        <v>837</v>
      </c>
      <c r="K607" s="5">
        <v>1</v>
      </c>
      <c r="L607" s="5" t="s">
        <v>46</v>
      </c>
      <c r="M607" s="5">
        <v>45</v>
      </c>
      <c r="N607" s="5">
        <v>2</v>
      </c>
      <c r="O607" s="5">
        <v>2</v>
      </c>
      <c r="P607" s="5" t="s">
        <v>54</v>
      </c>
      <c r="Q607" s="5">
        <v>1</v>
      </c>
      <c r="R607" s="5" t="s">
        <v>52</v>
      </c>
      <c r="S607" s="5">
        <v>6288</v>
      </c>
      <c r="T607" s="5">
        <v>4284</v>
      </c>
      <c r="U607" s="5">
        <v>2</v>
      </c>
      <c r="V607" s="5" t="s">
        <v>42</v>
      </c>
      <c r="W607" s="5" t="s">
        <v>43</v>
      </c>
      <c r="X607" s="5">
        <v>15</v>
      </c>
      <c r="Y607" s="5">
        <v>3</v>
      </c>
      <c r="Z607" s="5">
        <v>3</v>
      </c>
      <c r="AA607" s="5">
        <v>80</v>
      </c>
      <c r="AB607" s="5">
        <v>1</v>
      </c>
      <c r="AC607" s="5">
        <v>13</v>
      </c>
      <c r="AD607" s="5">
        <v>3</v>
      </c>
      <c r="AE607" s="5">
        <v>2</v>
      </c>
      <c r="AF607" s="5">
        <v>4</v>
      </c>
      <c r="AG607" s="5">
        <v>3</v>
      </c>
      <c r="AH607" s="5">
        <v>1</v>
      </c>
      <c r="AI607" s="5">
        <v>2</v>
      </c>
    </row>
    <row r="608" spans="1:35" x14ac:dyDescent="0.25">
      <c r="A608" s="5">
        <v>34</v>
      </c>
      <c r="B608" s="5" t="s">
        <v>43</v>
      </c>
      <c r="C608" s="5" t="s">
        <v>44</v>
      </c>
      <c r="D608" s="5">
        <v>702</v>
      </c>
      <c r="E608" s="5" t="s">
        <v>45</v>
      </c>
      <c r="F608" s="5">
        <v>16</v>
      </c>
      <c r="G608" s="5">
        <v>4</v>
      </c>
      <c r="H608" s="5" t="s">
        <v>38</v>
      </c>
      <c r="I608" s="5">
        <v>1</v>
      </c>
      <c r="J608" s="5">
        <v>838</v>
      </c>
      <c r="K608" s="5">
        <v>3</v>
      </c>
      <c r="L608" s="5" t="s">
        <v>39</v>
      </c>
      <c r="M608" s="5">
        <v>100</v>
      </c>
      <c r="N608" s="5">
        <v>2</v>
      </c>
      <c r="O608" s="5">
        <v>1</v>
      </c>
      <c r="P608" s="5" t="s">
        <v>47</v>
      </c>
      <c r="Q608" s="5">
        <v>4</v>
      </c>
      <c r="R608" s="5" t="s">
        <v>41</v>
      </c>
      <c r="S608" s="5">
        <v>2553</v>
      </c>
      <c r="T608" s="5">
        <v>8306</v>
      </c>
      <c r="U608" s="5">
        <v>1</v>
      </c>
      <c r="V608" s="5" t="s">
        <v>42</v>
      </c>
      <c r="W608" s="5" t="s">
        <v>43</v>
      </c>
      <c r="X608" s="5">
        <v>16</v>
      </c>
      <c r="Y608" s="5">
        <v>3</v>
      </c>
      <c r="Z608" s="5">
        <v>3</v>
      </c>
      <c r="AA608" s="5">
        <v>80</v>
      </c>
      <c r="AB608" s="5">
        <v>0</v>
      </c>
      <c r="AC608" s="5">
        <v>6</v>
      </c>
      <c r="AD608" s="5">
        <v>3</v>
      </c>
      <c r="AE608" s="5">
        <v>3</v>
      </c>
      <c r="AF608" s="5">
        <v>5</v>
      </c>
      <c r="AG608" s="5">
        <v>2</v>
      </c>
      <c r="AH608" s="5">
        <v>1</v>
      </c>
      <c r="AI608" s="5">
        <v>3</v>
      </c>
    </row>
    <row r="609" spans="1:35" x14ac:dyDescent="0.25">
      <c r="A609" s="5">
        <v>49</v>
      </c>
      <c r="B609" s="5" t="s">
        <v>35</v>
      </c>
      <c r="C609" s="5" t="s">
        <v>36</v>
      </c>
      <c r="D609" s="5">
        <v>1184</v>
      </c>
      <c r="E609" s="5" t="s">
        <v>37</v>
      </c>
      <c r="F609" s="5">
        <v>11</v>
      </c>
      <c r="G609" s="5">
        <v>3</v>
      </c>
      <c r="H609" s="5" t="s">
        <v>59</v>
      </c>
      <c r="I609" s="5">
        <v>1</v>
      </c>
      <c r="J609" s="5">
        <v>840</v>
      </c>
      <c r="K609" s="5">
        <v>3</v>
      </c>
      <c r="L609" s="5" t="s">
        <v>39</v>
      </c>
      <c r="M609" s="5">
        <v>43</v>
      </c>
      <c r="N609" s="5">
        <v>3</v>
      </c>
      <c r="O609" s="5">
        <v>3</v>
      </c>
      <c r="P609" s="5" t="s">
        <v>40</v>
      </c>
      <c r="Q609" s="5">
        <v>4</v>
      </c>
      <c r="R609" s="5" t="s">
        <v>48</v>
      </c>
      <c r="S609" s="5">
        <v>7654</v>
      </c>
      <c r="T609" s="5">
        <v>5860</v>
      </c>
      <c r="U609" s="5">
        <v>1</v>
      </c>
      <c r="V609" s="5" t="s">
        <v>42</v>
      </c>
      <c r="W609" s="5" t="s">
        <v>43</v>
      </c>
      <c r="X609" s="5">
        <v>18</v>
      </c>
      <c r="Y609" s="5">
        <v>3</v>
      </c>
      <c r="Z609" s="5">
        <v>1</v>
      </c>
      <c r="AA609" s="5">
        <v>80</v>
      </c>
      <c r="AB609" s="5">
        <v>2</v>
      </c>
      <c r="AC609" s="5">
        <v>9</v>
      </c>
      <c r="AD609" s="5">
        <v>3</v>
      </c>
      <c r="AE609" s="5">
        <v>4</v>
      </c>
      <c r="AF609" s="5">
        <v>9</v>
      </c>
      <c r="AG609" s="5">
        <v>8</v>
      </c>
      <c r="AH609" s="5">
        <v>7</v>
      </c>
      <c r="AI609" s="5">
        <v>7</v>
      </c>
    </row>
    <row r="610" spans="1:35" x14ac:dyDescent="0.25">
      <c r="A610" s="5">
        <v>55</v>
      </c>
      <c r="B610" s="5" t="s">
        <v>35</v>
      </c>
      <c r="C610" s="5" t="s">
        <v>36</v>
      </c>
      <c r="D610" s="5">
        <v>436</v>
      </c>
      <c r="E610" s="5" t="s">
        <v>37</v>
      </c>
      <c r="F610" s="5">
        <v>2</v>
      </c>
      <c r="G610" s="5">
        <v>1</v>
      </c>
      <c r="H610" s="5" t="s">
        <v>51</v>
      </c>
      <c r="I610" s="5">
        <v>1</v>
      </c>
      <c r="J610" s="5">
        <v>842</v>
      </c>
      <c r="K610" s="5">
        <v>3</v>
      </c>
      <c r="L610" s="5" t="s">
        <v>46</v>
      </c>
      <c r="M610" s="5">
        <v>37</v>
      </c>
      <c r="N610" s="5">
        <v>3</v>
      </c>
      <c r="O610" s="5">
        <v>2</v>
      </c>
      <c r="P610" s="5" t="s">
        <v>40</v>
      </c>
      <c r="Q610" s="5">
        <v>4</v>
      </c>
      <c r="R610" s="5" t="s">
        <v>41</v>
      </c>
      <c r="S610" s="5">
        <v>5160</v>
      </c>
      <c r="T610" s="5">
        <v>21519</v>
      </c>
      <c r="U610" s="5">
        <v>4</v>
      </c>
      <c r="V610" s="5" t="s">
        <v>42</v>
      </c>
      <c r="W610" s="5" t="s">
        <v>43</v>
      </c>
      <c r="X610" s="5">
        <v>16</v>
      </c>
      <c r="Y610" s="5">
        <v>3</v>
      </c>
      <c r="Z610" s="5">
        <v>3</v>
      </c>
      <c r="AA610" s="5">
        <v>80</v>
      </c>
      <c r="AB610" s="5">
        <v>0</v>
      </c>
      <c r="AC610" s="5">
        <v>12</v>
      </c>
      <c r="AD610" s="5">
        <v>3</v>
      </c>
      <c r="AE610" s="5">
        <v>2</v>
      </c>
      <c r="AF610" s="5">
        <v>9</v>
      </c>
      <c r="AG610" s="5">
        <v>7</v>
      </c>
      <c r="AH610" s="5">
        <v>7</v>
      </c>
      <c r="AI610" s="5">
        <v>3</v>
      </c>
    </row>
    <row r="611" spans="1:35" x14ac:dyDescent="0.25">
      <c r="A611" s="5">
        <v>43</v>
      </c>
      <c r="B611" s="5" t="s">
        <v>43</v>
      </c>
      <c r="C611" s="5" t="s">
        <v>36</v>
      </c>
      <c r="D611" s="5">
        <v>589</v>
      </c>
      <c r="E611" s="5" t="s">
        <v>45</v>
      </c>
      <c r="F611" s="5">
        <v>14</v>
      </c>
      <c r="G611" s="5">
        <v>2</v>
      </c>
      <c r="H611" s="5" t="s">
        <v>38</v>
      </c>
      <c r="I611" s="5">
        <v>1</v>
      </c>
      <c r="J611" s="5">
        <v>843</v>
      </c>
      <c r="K611" s="5">
        <v>2</v>
      </c>
      <c r="L611" s="5" t="s">
        <v>46</v>
      </c>
      <c r="M611" s="5">
        <v>94</v>
      </c>
      <c r="N611" s="5">
        <v>3</v>
      </c>
      <c r="O611" s="5">
        <v>4</v>
      </c>
      <c r="P611" s="5" t="s">
        <v>58</v>
      </c>
      <c r="Q611" s="5">
        <v>1</v>
      </c>
      <c r="R611" s="5" t="s">
        <v>48</v>
      </c>
      <c r="S611" s="5">
        <v>17159</v>
      </c>
      <c r="T611" s="5">
        <v>5200</v>
      </c>
      <c r="U611" s="5">
        <v>6</v>
      </c>
      <c r="V611" s="5" t="s">
        <v>42</v>
      </c>
      <c r="W611" s="5" t="s">
        <v>43</v>
      </c>
      <c r="X611" s="5">
        <v>24</v>
      </c>
      <c r="Y611" s="5">
        <v>4</v>
      </c>
      <c r="Z611" s="5">
        <v>3</v>
      </c>
      <c r="AA611" s="5">
        <v>80</v>
      </c>
      <c r="AB611" s="5">
        <v>1</v>
      </c>
      <c r="AC611" s="5">
        <v>22</v>
      </c>
      <c r="AD611" s="5">
        <v>3</v>
      </c>
      <c r="AE611" s="5">
        <v>3</v>
      </c>
      <c r="AF611" s="5">
        <v>4</v>
      </c>
      <c r="AG611" s="5">
        <v>1</v>
      </c>
      <c r="AH611" s="5">
        <v>1</v>
      </c>
      <c r="AI611" s="5">
        <v>0</v>
      </c>
    </row>
    <row r="612" spans="1:35" x14ac:dyDescent="0.25">
      <c r="A612" s="5">
        <v>27</v>
      </c>
      <c r="B612" s="5" t="s">
        <v>43</v>
      </c>
      <c r="C612" s="5" t="s">
        <v>36</v>
      </c>
      <c r="D612" s="5">
        <v>269</v>
      </c>
      <c r="E612" s="5" t="s">
        <v>45</v>
      </c>
      <c r="F612" s="5">
        <v>5</v>
      </c>
      <c r="G612" s="5">
        <v>1</v>
      </c>
      <c r="H612" s="5" t="s">
        <v>60</v>
      </c>
      <c r="I612" s="5">
        <v>1</v>
      </c>
      <c r="J612" s="5">
        <v>844</v>
      </c>
      <c r="K612" s="5">
        <v>3</v>
      </c>
      <c r="L612" s="5" t="s">
        <v>46</v>
      </c>
      <c r="M612" s="5">
        <v>42</v>
      </c>
      <c r="N612" s="5">
        <v>2</v>
      </c>
      <c r="O612" s="5">
        <v>3</v>
      </c>
      <c r="P612" s="5" t="s">
        <v>58</v>
      </c>
      <c r="Q612" s="5">
        <v>4</v>
      </c>
      <c r="R612" s="5" t="s">
        <v>52</v>
      </c>
      <c r="S612" s="5">
        <v>12808</v>
      </c>
      <c r="T612" s="5">
        <v>8842</v>
      </c>
      <c r="U612" s="5">
        <v>1</v>
      </c>
      <c r="V612" s="5" t="s">
        <v>42</v>
      </c>
      <c r="W612" s="5" t="s">
        <v>35</v>
      </c>
      <c r="X612" s="5">
        <v>16</v>
      </c>
      <c r="Y612" s="5">
        <v>3</v>
      </c>
      <c r="Z612" s="5">
        <v>2</v>
      </c>
      <c r="AA612" s="5">
        <v>80</v>
      </c>
      <c r="AB612" s="5">
        <v>1</v>
      </c>
      <c r="AC612" s="5">
        <v>9</v>
      </c>
      <c r="AD612" s="5">
        <v>3</v>
      </c>
      <c r="AE612" s="5">
        <v>3</v>
      </c>
      <c r="AF612" s="5">
        <v>9</v>
      </c>
      <c r="AG612" s="5">
        <v>8</v>
      </c>
      <c r="AH612" s="5">
        <v>0</v>
      </c>
      <c r="AI612" s="5">
        <v>8</v>
      </c>
    </row>
    <row r="613" spans="1:35" x14ac:dyDescent="0.25">
      <c r="A613" s="5">
        <v>35</v>
      </c>
      <c r="B613" s="5" t="s">
        <v>43</v>
      </c>
      <c r="C613" s="5" t="s">
        <v>36</v>
      </c>
      <c r="D613" s="5">
        <v>950</v>
      </c>
      <c r="E613" s="5" t="s">
        <v>45</v>
      </c>
      <c r="F613" s="5">
        <v>7</v>
      </c>
      <c r="G613" s="5">
        <v>3</v>
      </c>
      <c r="H613" s="5" t="s">
        <v>49</v>
      </c>
      <c r="I613" s="5">
        <v>1</v>
      </c>
      <c r="J613" s="5">
        <v>845</v>
      </c>
      <c r="K613" s="5">
        <v>3</v>
      </c>
      <c r="L613" s="5" t="s">
        <v>46</v>
      </c>
      <c r="M613" s="5">
        <v>59</v>
      </c>
      <c r="N613" s="5">
        <v>3</v>
      </c>
      <c r="O613" s="5">
        <v>3</v>
      </c>
      <c r="P613" s="5" t="s">
        <v>53</v>
      </c>
      <c r="Q613" s="5">
        <v>3</v>
      </c>
      <c r="R613" s="5" t="s">
        <v>41</v>
      </c>
      <c r="S613" s="5">
        <v>10221</v>
      </c>
      <c r="T613" s="5">
        <v>18869</v>
      </c>
      <c r="U613" s="5">
        <v>3</v>
      </c>
      <c r="V613" s="5" t="s">
        <v>42</v>
      </c>
      <c r="W613" s="5" t="s">
        <v>43</v>
      </c>
      <c r="X613" s="5">
        <v>21</v>
      </c>
      <c r="Y613" s="5">
        <v>4</v>
      </c>
      <c r="Z613" s="5">
        <v>2</v>
      </c>
      <c r="AA613" s="5">
        <v>80</v>
      </c>
      <c r="AB613" s="5">
        <v>0</v>
      </c>
      <c r="AC613" s="5">
        <v>17</v>
      </c>
      <c r="AD613" s="5">
        <v>3</v>
      </c>
      <c r="AE613" s="5">
        <v>4</v>
      </c>
      <c r="AF613" s="5">
        <v>8</v>
      </c>
      <c r="AG613" s="5">
        <v>5</v>
      </c>
      <c r="AH613" s="5">
        <v>1</v>
      </c>
      <c r="AI613" s="5">
        <v>6</v>
      </c>
    </row>
    <row r="614" spans="1:35" x14ac:dyDescent="0.25">
      <c r="A614" s="5">
        <v>28</v>
      </c>
      <c r="B614" s="5" t="s">
        <v>43</v>
      </c>
      <c r="C614" s="5" t="s">
        <v>36</v>
      </c>
      <c r="D614" s="5">
        <v>760</v>
      </c>
      <c r="E614" s="5" t="s">
        <v>37</v>
      </c>
      <c r="F614" s="5">
        <v>2</v>
      </c>
      <c r="G614" s="5">
        <v>4</v>
      </c>
      <c r="H614" s="5" t="s">
        <v>59</v>
      </c>
      <c r="I614" s="5">
        <v>1</v>
      </c>
      <c r="J614" s="5">
        <v>846</v>
      </c>
      <c r="K614" s="5">
        <v>2</v>
      </c>
      <c r="L614" s="5" t="s">
        <v>39</v>
      </c>
      <c r="M614" s="5">
        <v>81</v>
      </c>
      <c r="N614" s="5">
        <v>3</v>
      </c>
      <c r="O614" s="5">
        <v>2</v>
      </c>
      <c r="P614" s="5" t="s">
        <v>40</v>
      </c>
      <c r="Q614" s="5">
        <v>2</v>
      </c>
      <c r="R614" s="5" t="s">
        <v>48</v>
      </c>
      <c r="S614" s="5">
        <v>4779</v>
      </c>
      <c r="T614" s="5">
        <v>3698</v>
      </c>
      <c r="U614" s="5">
        <v>1</v>
      </c>
      <c r="V614" s="5" t="s">
        <v>42</v>
      </c>
      <c r="W614" s="5" t="s">
        <v>35</v>
      </c>
      <c r="X614" s="5">
        <v>20</v>
      </c>
      <c r="Y614" s="5">
        <v>4</v>
      </c>
      <c r="Z614" s="5">
        <v>1</v>
      </c>
      <c r="AA614" s="5">
        <v>80</v>
      </c>
      <c r="AB614" s="5">
        <v>0</v>
      </c>
      <c r="AC614" s="5">
        <v>8</v>
      </c>
      <c r="AD614" s="5">
        <v>2</v>
      </c>
      <c r="AE614" s="5">
        <v>3</v>
      </c>
      <c r="AF614" s="5">
        <v>8</v>
      </c>
      <c r="AG614" s="5">
        <v>7</v>
      </c>
      <c r="AH614" s="5">
        <v>7</v>
      </c>
      <c r="AI614" s="5">
        <v>5</v>
      </c>
    </row>
    <row r="615" spans="1:35" x14ac:dyDescent="0.25">
      <c r="A615" s="5">
        <v>34</v>
      </c>
      <c r="B615" s="5" t="s">
        <v>43</v>
      </c>
      <c r="C615" s="5" t="s">
        <v>36</v>
      </c>
      <c r="D615" s="5">
        <v>829</v>
      </c>
      <c r="E615" s="5" t="s">
        <v>61</v>
      </c>
      <c r="F615" s="5">
        <v>3</v>
      </c>
      <c r="G615" s="5">
        <v>2</v>
      </c>
      <c r="H615" s="5" t="s">
        <v>61</v>
      </c>
      <c r="I615" s="5">
        <v>1</v>
      </c>
      <c r="J615" s="5">
        <v>847</v>
      </c>
      <c r="K615" s="5">
        <v>3</v>
      </c>
      <c r="L615" s="5" t="s">
        <v>46</v>
      </c>
      <c r="M615" s="5">
        <v>88</v>
      </c>
      <c r="N615" s="5">
        <v>3</v>
      </c>
      <c r="O615" s="5">
        <v>1</v>
      </c>
      <c r="P615" s="5" t="s">
        <v>61</v>
      </c>
      <c r="Q615" s="5">
        <v>4</v>
      </c>
      <c r="R615" s="5" t="s">
        <v>48</v>
      </c>
      <c r="S615" s="5">
        <v>3737</v>
      </c>
      <c r="T615" s="5">
        <v>2243</v>
      </c>
      <c r="U615" s="5">
        <v>0</v>
      </c>
      <c r="V615" s="5" t="s">
        <v>42</v>
      </c>
      <c r="W615" s="5" t="s">
        <v>43</v>
      </c>
      <c r="X615" s="5">
        <v>19</v>
      </c>
      <c r="Y615" s="5">
        <v>3</v>
      </c>
      <c r="Z615" s="5">
        <v>3</v>
      </c>
      <c r="AA615" s="5">
        <v>80</v>
      </c>
      <c r="AB615" s="5">
        <v>1</v>
      </c>
      <c r="AC615" s="5">
        <v>4</v>
      </c>
      <c r="AD615" s="5">
        <v>1</v>
      </c>
      <c r="AE615" s="5">
        <v>1</v>
      </c>
      <c r="AF615" s="5">
        <v>3</v>
      </c>
      <c r="AG615" s="5">
        <v>2</v>
      </c>
      <c r="AH615" s="5">
        <v>0</v>
      </c>
      <c r="AI615" s="5">
        <v>2</v>
      </c>
    </row>
    <row r="616" spans="1:35" x14ac:dyDescent="0.25">
      <c r="A616" s="5">
        <v>26</v>
      </c>
      <c r="B616" s="5" t="s">
        <v>35</v>
      </c>
      <c r="C616" s="5" t="s">
        <v>44</v>
      </c>
      <c r="D616" s="5">
        <v>887</v>
      </c>
      <c r="E616" s="5" t="s">
        <v>45</v>
      </c>
      <c r="F616" s="5">
        <v>5</v>
      </c>
      <c r="G616" s="5">
        <v>2</v>
      </c>
      <c r="H616" s="5" t="s">
        <v>51</v>
      </c>
      <c r="I616" s="5">
        <v>1</v>
      </c>
      <c r="J616" s="5">
        <v>848</v>
      </c>
      <c r="K616" s="5">
        <v>3</v>
      </c>
      <c r="L616" s="5" t="s">
        <v>39</v>
      </c>
      <c r="M616" s="5">
        <v>88</v>
      </c>
      <c r="N616" s="5">
        <v>2</v>
      </c>
      <c r="O616" s="5">
        <v>1</v>
      </c>
      <c r="P616" s="5" t="s">
        <v>47</v>
      </c>
      <c r="Q616" s="5">
        <v>3</v>
      </c>
      <c r="R616" s="5" t="s">
        <v>48</v>
      </c>
      <c r="S616" s="5">
        <v>2366</v>
      </c>
      <c r="T616" s="5">
        <v>20898</v>
      </c>
      <c r="U616" s="5">
        <v>1</v>
      </c>
      <c r="V616" s="5" t="s">
        <v>42</v>
      </c>
      <c r="W616" s="5" t="s">
        <v>35</v>
      </c>
      <c r="X616" s="5">
        <v>14</v>
      </c>
      <c r="Y616" s="5">
        <v>3</v>
      </c>
      <c r="Z616" s="5">
        <v>1</v>
      </c>
      <c r="AA616" s="5">
        <v>80</v>
      </c>
      <c r="AB616" s="5">
        <v>1</v>
      </c>
      <c r="AC616" s="5">
        <v>8</v>
      </c>
      <c r="AD616" s="5">
        <v>2</v>
      </c>
      <c r="AE616" s="5">
        <v>3</v>
      </c>
      <c r="AF616" s="5">
        <v>8</v>
      </c>
      <c r="AG616" s="5">
        <v>7</v>
      </c>
      <c r="AH616" s="5">
        <v>1</v>
      </c>
      <c r="AI616" s="5">
        <v>7</v>
      </c>
    </row>
    <row r="617" spans="1:35" x14ac:dyDescent="0.25">
      <c r="A617" s="5">
        <v>27</v>
      </c>
      <c r="B617" s="5" t="s">
        <v>43</v>
      </c>
      <c r="C617" s="5" t="s">
        <v>55</v>
      </c>
      <c r="D617" s="5">
        <v>443</v>
      </c>
      <c r="E617" s="5" t="s">
        <v>45</v>
      </c>
      <c r="F617" s="5">
        <v>3</v>
      </c>
      <c r="G617" s="5">
        <v>3</v>
      </c>
      <c r="H617" s="5" t="s">
        <v>51</v>
      </c>
      <c r="I617" s="5">
        <v>1</v>
      </c>
      <c r="J617" s="5">
        <v>850</v>
      </c>
      <c r="K617" s="5">
        <v>4</v>
      </c>
      <c r="L617" s="5" t="s">
        <v>46</v>
      </c>
      <c r="M617" s="5">
        <v>50</v>
      </c>
      <c r="N617" s="5">
        <v>3</v>
      </c>
      <c r="O617" s="5">
        <v>1</v>
      </c>
      <c r="P617" s="5" t="s">
        <v>47</v>
      </c>
      <c r="Q617" s="5">
        <v>4</v>
      </c>
      <c r="R617" s="5" t="s">
        <v>48</v>
      </c>
      <c r="S617" s="5">
        <v>1706</v>
      </c>
      <c r="T617" s="5">
        <v>16571</v>
      </c>
      <c r="U617" s="5">
        <v>1</v>
      </c>
      <c r="V617" s="5" t="s">
        <v>42</v>
      </c>
      <c r="W617" s="5" t="s">
        <v>43</v>
      </c>
      <c r="X617" s="5">
        <v>11</v>
      </c>
      <c r="Y617" s="5">
        <v>3</v>
      </c>
      <c r="Z617" s="5">
        <v>3</v>
      </c>
      <c r="AA617" s="5">
        <v>80</v>
      </c>
      <c r="AB617" s="5">
        <v>3</v>
      </c>
      <c r="AC617" s="5">
        <v>0</v>
      </c>
      <c r="AD617" s="5">
        <v>6</v>
      </c>
      <c r="AE617" s="5">
        <v>2</v>
      </c>
      <c r="AF617" s="5">
        <v>0</v>
      </c>
      <c r="AG617" s="5">
        <v>0</v>
      </c>
      <c r="AH617" s="5">
        <v>0</v>
      </c>
      <c r="AI617" s="5">
        <v>0</v>
      </c>
    </row>
    <row r="618" spans="1:35" x14ac:dyDescent="0.25">
      <c r="A618" s="5">
        <v>51</v>
      </c>
      <c r="B618" s="5" t="s">
        <v>43</v>
      </c>
      <c r="C618" s="5" t="s">
        <v>36</v>
      </c>
      <c r="D618" s="5">
        <v>1318</v>
      </c>
      <c r="E618" s="5" t="s">
        <v>37</v>
      </c>
      <c r="F618" s="5">
        <v>26</v>
      </c>
      <c r="G618" s="5">
        <v>4</v>
      </c>
      <c r="H618" s="5" t="s">
        <v>59</v>
      </c>
      <c r="I618" s="5">
        <v>1</v>
      </c>
      <c r="J618" s="5">
        <v>851</v>
      </c>
      <c r="K618" s="5">
        <v>1</v>
      </c>
      <c r="L618" s="5" t="s">
        <v>39</v>
      </c>
      <c r="M618" s="5">
        <v>66</v>
      </c>
      <c r="N618" s="5">
        <v>3</v>
      </c>
      <c r="O618" s="5">
        <v>4</v>
      </c>
      <c r="P618" s="5" t="s">
        <v>56</v>
      </c>
      <c r="Q618" s="5">
        <v>3</v>
      </c>
      <c r="R618" s="5" t="s">
        <v>48</v>
      </c>
      <c r="S618" s="5">
        <v>16307</v>
      </c>
      <c r="T618" s="5">
        <v>5594</v>
      </c>
      <c r="U618" s="5">
        <v>2</v>
      </c>
      <c r="V618" s="5" t="s">
        <v>42</v>
      </c>
      <c r="W618" s="5" t="s">
        <v>43</v>
      </c>
      <c r="X618" s="5">
        <v>14</v>
      </c>
      <c r="Y618" s="5">
        <v>3</v>
      </c>
      <c r="Z618" s="5">
        <v>3</v>
      </c>
      <c r="AA618" s="5">
        <v>80</v>
      </c>
      <c r="AB618" s="5">
        <v>1</v>
      </c>
      <c r="AC618" s="5">
        <v>29</v>
      </c>
      <c r="AD618" s="5">
        <v>2</v>
      </c>
      <c r="AE618" s="5">
        <v>2</v>
      </c>
      <c r="AF618" s="5">
        <v>20</v>
      </c>
      <c r="AG618" s="5">
        <v>6</v>
      </c>
      <c r="AH618" s="5">
        <v>4</v>
      </c>
      <c r="AI618" s="5">
        <v>17</v>
      </c>
    </row>
    <row r="619" spans="1:35" x14ac:dyDescent="0.25">
      <c r="A619" s="5">
        <v>44</v>
      </c>
      <c r="B619" s="5" t="s">
        <v>43</v>
      </c>
      <c r="C619" s="5" t="s">
        <v>36</v>
      </c>
      <c r="D619" s="5">
        <v>625</v>
      </c>
      <c r="E619" s="5" t="s">
        <v>45</v>
      </c>
      <c r="F619" s="5">
        <v>4</v>
      </c>
      <c r="G619" s="5">
        <v>3</v>
      </c>
      <c r="H619" s="5" t="s">
        <v>51</v>
      </c>
      <c r="I619" s="5">
        <v>1</v>
      </c>
      <c r="J619" s="5">
        <v>852</v>
      </c>
      <c r="K619" s="5">
        <v>4</v>
      </c>
      <c r="L619" s="5" t="s">
        <v>46</v>
      </c>
      <c r="M619" s="5">
        <v>50</v>
      </c>
      <c r="N619" s="5">
        <v>3</v>
      </c>
      <c r="O619" s="5">
        <v>2</v>
      </c>
      <c r="P619" s="5" t="s">
        <v>54</v>
      </c>
      <c r="Q619" s="5">
        <v>2</v>
      </c>
      <c r="R619" s="5" t="s">
        <v>41</v>
      </c>
      <c r="S619" s="5">
        <v>5933</v>
      </c>
      <c r="T619" s="5">
        <v>5197</v>
      </c>
      <c r="U619" s="5">
        <v>9</v>
      </c>
      <c r="V619" s="5" t="s">
        <v>42</v>
      </c>
      <c r="W619" s="5" t="s">
        <v>43</v>
      </c>
      <c r="X619" s="5">
        <v>12</v>
      </c>
      <c r="Y619" s="5">
        <v>3</v>
      </c>
      <c r="Z619" s="5">
        <v>4</v>
      </c>
      <c r="AA619" s="5">
        <v>80</v>
      </c>
      <c r="AB619" s="5">
        <v>0</v>
      </c>
      <c r="AC619" s="5">
        <v>10</v>
      </c>
      <c r="AD619" s="5">
        <v>2</v>
      </c>
      <c r="AE619" s="5">
        <v>2</v>
      </c>
      <c r="AF619" s="5">
        <v>5</v>
      </c>
      <c r="AG619" s="5">
        <v>2</v>
      </c>
      <c r="AH619" s="5">
        <v>2</v>
      </c>
      <c r="AI619" s="5">
        <v>3</v>
      </c>
    </row>
    <row r="620" spans="1:35" x14ac:dyDescent="0.25">
      <c r="A620" s="5">
        <v>25</v>
      </c>
      <c r="B620" s="5" t="s">
        <v>43</v>
      </c>
      <c r="C620" s="5" t="s">
        <v>36</v>
      </c>
      <c r="D620" s="5">
        <v>180</v>
      </c>
      <c r="E620" s="5" t="s">
        <v>45</v>
      </c>
      <c r="F620" s="5">
        <v>2</v>
      </c>
      <c r="G620" s="5">
        <v>1</v>
      </c>
      <c r="H620" s="5" t="s">
        <v>51</v>
      </c>
      <c r="I620" s="5">
        <v>1</v>
      </c>
      <c r="J620" s="5">
        <v>854</v>
      </c>
      <c r="K620" s="5">
        <v>1</v>
      </c>
      <c r="L620" s="5" t="s">
        <v>46</v>
      </c>
      <c r="M620" s="5">
        <v>65</v>
      </c>
      <c r="N620" s="5">
        <v>4</v>
      </c>
      <c r="O620" s="5">
        <v>1</v>
      </c>
      <c r="P620" s="5" t="s">
        <v>47</v>
      </c>
      <c r="Q620" s="5">
        <v>1</v>
      </c>
      <c r="R620" s="5" t="s">
        <v>41</v>
      </c>
      <c r="S620" s="5">
        <v>3424</v>
      </c>
      <c r="T620" s="5">
        <v>21632</v>
      </c>
      <c r="U620" s="5">
        <v>7</v>
      </c>
      <c r="V620" s="5" t="s">
        <v>42</v>
      </c>
      <c r="W620" s="5" t="s">
        <v>43</v>
      </c>
      <c r="X620" s="5">
        <v>13</v>
      </c>
      <c r="Y620" s="5">
        <v>3</v>
      </c>
      <c r="Z620" s="5">
        <v>3</v>
      </c>
      <c r="AA620" s="5">
        <v>80</v>
      </c>
      <c r="AB620" s="5">
        <v>0</v>
      </c>
      <c r="AC620" s="5">
        <v>6</v>
      </c>
      <c r="AD620" s="5">
        <v>3</v>
      </c>
      <c r="AE620" s="5">
        <v>2</v>
      </c>
      <c r="AF620" s="5">
        <v>4</v>
      </c>
      <c r="AG620" s="5">
        <v>3</v>
      </c>
      <c r="AH620" s="5">
        <v>0</v>
      </c>
      <c r="AI620" s="5">
        <v>1</v>
      </c>
    </row>
    <row r="621" spans="1:35" x14ac:dyDescent="0.25">
      <c r="A621" s="5">
        <v>33</v>
      </c>
      <c r="B621" s="5" t="s">
        <v>43</v>
      </c>
      <c r="C621" s="5" t="s">
        <v>36</v>
      </c>
      <c r="D621" s="5">
        <v>586</v>
      </c>
      <c r="E621" s="5" t="s">
        <v>37</v>
      </c>
      <c r="F621" s="5">
        <v>1</v>
      </c>
      <c r="G621" s="5">
        <v>3</v>
      </c>
      <c r="H621" s="5" t="s">
        <v>51</v>
      </c>
      <c r="I621" s="5">
        <v>1</v>
      </c>
      <c r="J621" s="5">
        <v>855</v>
      </c>
      <c r="K621" s="5">
        <v>1</v>
      </c>
      <c r="L621" s="5" t="s">
        <v>46</v>
      </c>
      <c r="M621" s="5">
        <v>48</v>
      </c>
      <c r="N621" s="5">
        <v>4</v>
      </c>
      <c r="O621" s="5">
        <v>2</v>
      </c>
      <c r="P621" s="5" t="s">
        <v>40</v>
      </c>
      <c r="Q621" s="5">
        <v>1</v>
      </c>
      <c r="R621" s="5" t="s">
        <v>52</v>
      </c>
      <c r="S621" s="5">
        <v>4037</v>
      </c>
      <c r="T621" s="5">
        <v>21816</v>
      </c>
      <c r="U621" s="5">
        <v>1</v>
      </c>
      <c r="V621" s="5" t="s">
        <v>42</v>
      </c>
      <c r="W621" s="5" t="s">
        <v>43</v>
      </c>
      <c r="X621" s="5">
        <v>22</v>
      </c>
      <c r="Y621" s="5">
        <v>4</v>
      </c>
      <c r="Z621" s="5">
        <v>1</v>
      </c>
      <c r="AA621" s="5">
        <v>80</v>
      </c>
      <c r="AB621" s="5">
        <v>1</v>
      </c>
      <c r="AC621" s="5">
        <v>9</v>
      </c>
      <c r="AD621" s="5">
        <v>5</v>
      </c>
      <c r="AE621" s="5">
        <v>3</v>
      </c>
      <c r="AF621" s="5">
        <v>9</v>
      </c>
      <c r="AG621" s="5">
        <v>8</v>
      </c>
      <c r="AH621" s="5">
        <v>0</v>
      </c>
      <c r="AI621" s="5">
        <v>8</v>
      </c>
    </row>
    <row r="622" spans="1:35" x14ac:dyDescent="0.25">
      <c r="A622" s="5">
        <v>35</v>
      </c>
      <c r="B622" s="5" t="s">
        <v>43</v>
      </c>
      <c r="C622" s="5" t="s">
        <v>36</v>
      </c>
      <c r="D622" s="5">
        <v>1343</v>
      </c>
      <c r="E622" s="5" t="s">
        <v>45</v>
      </c>
      <c r="F622" s="5">
        <v>27</v>
      </c>
      <c r="G622" s="5">
        <v>1</v>
      </c>
      <c r="H622" s="5" t="s">
        <v>51</v>
      </c>
      <c r="I622" s="5">
        <v>1</v>
      </c>
      <c r="J622" s="5">
        <v>856</v>
      </c>
      <c r="K622" s="5">
        <v>3</v>
      </c>
      <c r="L622" s="5" t="s">
        <v>39</v>
      </c>
      <c r="M622" s="5">
        <v>53</v>
      </c>
      <c r="N622" s="5">
        <v>2</v>
      </c>
      <c r="O622" s="5">
        <v>1</v>
      </c>
      <c r="P622" s="5" t="s">
        <v>47</v>
      </c>
      <c r="Q622" s="5">
        <v>1</v>
      </c>
      <c r="R622" s="5" t="s">
        <v>41</v>
      </c>
      <c r="S622" s="5">
        <v>2559</v>
      </c>
      <c r="T622" s="5">
        <v>17852</v>
      </c>
      <c r="U622" s="5">
        <v>1</v>
      </c>
      <c r="V622" s="5" t="s">
        <v>42</v>
      </c>
      <c r="W622" s="5" t="s">
        <v>43</v>
      </c>
      <c r="X622" s="5">
        <v>11</v>
      </c>
      <c r="Y622" s="5">
        <v>3</v>
      </c>
      <c r="Z622" s="5">
        <v>4</v>
      </c>
      <c r="AA622" s="5">
        <v>80</v>
      </c>
      <c r="AB622" s="5">
        <v>0</v>
      </c>
      <c r="AC622" s="5">
        <v>6</v>
      </c>
      <c r="AD622" s="5">
        <v>3</v>
      </c>
      <c r="AE622" s="5">
        <v>2</v>
      </c>
      <c r="AF622" s="5">
        <v>6</v>
      </c>
      <c r="AG622" s="5">
        <v>5</v>
      </c>
      <c r="AH622" s="5">
        <v>1</v>
      </c>
      <c r="AI622" s="5">
        <v>1</v>
      </c>
    </row>
    <row r="623" spans="1:35" x14ac:dyDescent="0.25">
      <c r="A623" s="5">
        <v>36</v>
      </c>
      <c r="B623" s="5" t="s">
        <v>43</v>
      </c>
      <c r="C623" s="5" t="s">
        <v>36</v>
      </c>
      <c r="D623" s="5">
        <v>928</v>
      </c>
      <c r="E623" s="5" t="s">
        <v>37</v>
      </c>
      <c r="F623" s="5">
        <v>1</v>
      </c>
      <c r="G623" s="5">
        <v>2</v>
      </c>
      <c r="H623" s="5" t="s">
        <v>38</v>
      </c>
      <c r="I623" s="5">
        <v>1</v>
      </c>
      <c r="J623" s="5">
        <v>857</v>
      </c>
      <c r="K623" s="5">
        <v>2</v>
      </c>
      <c r="L623" s="5" t="s">
        <v>46</v>
      </c>
      <c r="M623" s="5">
        <v>56</v>
      </c>
      <c r="N623" s="5">
        <v>3</v>
      </c>
      <c r="O623" s="5">
        <v>2</v>
      </c>
      <c r="P623" s="5" t="s">
        <v>40</v>
      </c>
      <c r="Q623" s="5">
        <v>4</v>
      </c>
      <c r="R623" s="5" t="s">
        <v>48</v>
      </c>
      <c r="S623" s="5">
        <v>6201</v>
      </c>
      <c r="T623" s="5">
        <v>2823</v>
      </c>
      <c r="U623" s="5">
        <v>1</v>
      </c>
      <c r="V623" s="5" t="s">
        <v>42</v>
      </c>
      <c r="W623" s="5" t="s">
        <v>35</v>
      </c>
      <c r="X623" s="5">
        <v>14</v>
      </c>
      <c r="Y623" s="5">
        <v>3</v>
      </c>
      <c r="Z623" s="5">
        <v>4</v>
      </c>
      <c r="AA623" s="5">
        <v>80</v>
      </c>
      <c r="AB623" s="5">
        <v>1</v>
      </c>
      <c r="AC623" s="5">
        <v>18</v>
      </c>
      <c r="AD623" s="5">
        <v>1</v>
      </c>
      <c r="AE623" s="5">
        <v>2</v>
      </c>
      <c r="AF623" s="5">
        <v>18</v>
      </c>
      <c r="AG623" s="5">
        <v>14</v>
      </c>
      <c r="AH623" s="5">
        <v>4</v>
      </c>
      <c r="AI623" s="5">
        <v>11</v>
      </c>
    </row>
    <row r="624" spans="1:35" x14ac:dyDescent="0.25">
      <c r="A624" s="5">
        <v>32</v>
      </c>
      <c r="B624" s="5" t="s">
        <v>43</v>
      </c>
      <c r="C624" s="5" t="s">
        <v>36</v>
      </c>
      <c r="D624" s="5">
        <v>117</v>
      </c>
      <c r="E624" s="5" t="s">
        <v>37</v>
      </c>
      <c r="F624" s="5">
        <v>13</v>
      </c>
      <c r="G624" s="5">
        <v>4</v>
      </c>
      <c r="H624" s="5" t="s">
        <v>38</v>
      </c>
      <c r="I624" s="5">
        <v>1</v>
      </c>
      <c r="J624" s="5">
        <v>859</v>
      </c>
      <c r="K624" s="5">
        <v>2</v>
      </c>
      <c r="L624" s="5" t="s">
        <v>46</v>
      </c>
      <c r="M624" s="5">
        <v>73</v>
      </c>
      <c r="N624" s="5">
        <v>3</v>
      </c>
      <c r="O624" s="5">
        <v>2</v>
      </c>
      <c r="P624" s="5" t="s">
        <v>40</v>
      </c>
      <c r="Q624" s="5">
        <v>4</v>
      </c>
      <c r="R624" s="5" t="s">
        <v>52</v>
      </c>
      <c r="S624" s="5">
        <v>4403</v>
      </c>
      <c r="T624" s="5">
        <v>9250</v>
      </c>
      <c r="U624" s="5">
        <v>2</v>
      </c>
      <c r="V624" s="5" t="s">
        <v>42</v>
      </c>
      <c r="W624" s="5" t="s">
        <v>43</v>
      </c>
      <c r="X624" s="5">
        <v>11</v>
      </c>
      <c r="Y624" s="5">
        <v>3</v>
      </c>
      <c r="Z624" s="5">
        <v>3</v>
      </c>
      <c r="AA624" s="5">
        <v>80</v>
      </c>
      <c r="AB624" s="5">
        <v>1</v>
      </c>
      <c r="AC624" s="5">
        <v>8</v>
      </c>
      <c r="AD624" s="5">
        <v>3</v>
      </c>
      <c r="AE624" s="5">
        <v>2</v>
      </c>
      <c r="AF624" s="5">
        <v>5</v>
      </c>
      <c r="AG624" s="5">
        <v>2</v>
      </c>
      <c r="AH624" s="5">
        <v>0</v>
      </c>
      <c r="AI624" s="5">
        <v>3</v>
      </c>
    </row>
    <row r="625" spans="1:35" x14ac:dyDescent="0.25">
      <c r="A625" s="5">
        <v>30</v>
      </c>
      <c r="B625" s="5" t="s">
        <v>43</v>
      </c>
      <c r="C625" s="5" t="s">
        <v>44</v>
      </c>
      <c r="D625" s="5">
        <v>1012</v>
      </c>
      <c r="E625" s="5" t="s">
        <v>45</v>
      </c>
      <c r="F625" s="5">
        <v>5</v>
      </c>
      <c r="G625" s="5">
        <v>4</v>
      </c>
      <c r="H625" s="5" t="s">
        <v>38</v>
      </c>
      <c r="I625" s="5">
        <v>1</v>
      </c>
      <c r="J625" s="5">
        <v>861</v>
      </c>
      <c r="K625" s="5">
        <v>2</v>
      </c>
      <c r="L625" s="5" t="s">
        <v>46</v>
      </c>
      <c r="M625" s="5">
        <v>75</v>
      </c>
      <c r="N625" s="5">
        <v>2</v>
      </c>
      <c r="O625" s="5">
        <v>1</v>
      </c>
      <c r="P625" s="5" t="s">
        <v>47</v>
      </c>
      <c r="Q625" s="5">
        <v>4</v>
      </c>
      <c r="R625" s="5" t="s">
        <v>52</v>
      </c>
      <c r="S625" s="5">
        <v>3761</v>
      </c>
      <c r="T625" s="5">
        <v>2373</v>
      </c>
      <c r="U625" s="5">
        <v>9</v>
      </c>
      <c r="V625" s="5" t="s">
        <v>42</v>
      </c>
      <c r="W625" s="5" t="s">
        <v>43</v>
      </c>
      <c r="X625" s="5">
        <v>12</v>
      </c>
      <c r="Y625" s="5">
        <v>3</v>
      </c>
      <c r="Z625" s="5">
        <v>2</v>
      </c>
      <c r="AA625" s="5">
        <v>80</v>
      </c>
      <c r="AB625" s="5">
        <v>1</v>
      </c>
      <c r="AC625" s="5">
        <v>10</v>
      </c>
      <c r="AD625" s="5">
        <v>3</v>
      </c>
      <c r="AE625" s="5">
        <v>2</v>
      </c>
      <c r="AF625" s="5">
        <v>5</v>
      </c>
      <c r="AG625" s="5">
        <v>4</v>
      </c>
      <c r="AH625" s="5">
        <v>0</v>
      </c>
      <c r="AI625" s="5">
        <v>3</v>
      </c>
    </row>
    <row r="626" spans="1:35" x14ac:dyDescent="0.25">
      <c r="A626" s="5">
        <v>53</v>
      </c>
      <c r="B626" s="5" t="s">
        <v>43</v>
      </c>
      <c r="C626" s="5" t="s">
        <v>36</v>
      </c>
      <c r="D626" s="5">
        <v>661</v>
      </c>
      <c r="E626" s="5" t="s">
        <v>37</v>
      </c>
      <c r="F626" s="5">
        <v>7</v>
      </c>
      <c r="G626" s="5">
        <v>2</v>
      </c>
      <c r="H626" s="5" t="s">
        <v>59</v>
      </c>
      <c r="I626" s="5">
        <v>1</v>
      </c>
      <c r="J626" s="5">
        <v>862</v>
      </c>
      <c r="K626" s="5">
        <v>1</v>
      </c>
      <c r="L626" s="5" t="s">
        <v>39</v>
      </c>
      <c r="M626" s="5">
        <v>78</v>
      </c>
      <c r="N626" s="5">
        <v>2</v>
      </c>
      <c r="O626" s="5">
        <v>3</v>
      </c>
      <c r="P626" s="5" t="s">
        <v>40</v>
      </c>
      <c r="Q626" s="5">
        <v>4</v>
      </c>
      <c r="R626" s="5" t="s">
        <v>48</v>
      </c>
      <c r="S626" s="5">
        <v>10934</v>
      </c>
      <c r="T626" s="5">
        <v>20715</v>
      </c>
      <c r="U626" s="5">
        <v>7</v>
      </c>
      <c r="V626" s="5" t="s">
        <v>42</v>
      </c>
      <c r="W626" s="5" t="s">
        <v>35</v>
      </c>
      <c r="X626" s="5">
        <v>18</v>
      </c>
      <c r="Y626" s="5">
        <v>3</v>
      </c>
      <c r="Z626" s="5">
        <v>4</v>
      </c>
      <c r="AA626" s="5">
        <v>80</v>
      </c>
      <c r="AB626" s="5">
        <v>1</v>
      </c>
      <c r="AC626" s="5">
        <v>35</v>
      </c>
      <c r="AD626" s="5">
        <v>3</v>
      </c>
      <c r="AE626" s="5">
        <v>3</v>
      </c>
      <c r="AF626" s="5">
        <v>5</v>
      </c>
      <c r="AG626" s="5">
        <v>2</v>
      </c>
      <c r="AH626" s="5">
        <v>0</v>
      </c>
      <c r="AI626" s="5">
        <v>4</v>
      </c>
    </row>
    <row r="627" spans="1:35" x14ac:dyDescent="0.25">
      <c r="A627" s="5">
        <v>45</v>
      </c>
      <c r="B627" s="5" t="s">
        <v>43</v>
      </c>
      <c r="C627" s="5" t="s">
        <v>36</v>
      </c>
      <c r="D627" s="5">
        <v>930</v>
      </c>
      <c r="E627" s="5" t="s">
        <v>37</v>
      </c>
      <c r="F627" s="5">
        <v>9</v>
      </c>
      <c r="G627" s="5">
        <v>3</v>
      </c>
      <c r="H627" s="5" t="s">
        <v>59</v>
      </c>
      <c r="I627" s="5">
        <v>1</v>
      </c>
      <c r="J627" s="5">
        <v>864</v>
      </c>
      <c r="K627" s="5">
        <v>4</v>
      </c>
      <c r="L627" s="5" t="s">
        <v>46</v>
      </c>
      <c r="M627" s="5">
        <v>74</v>
      </c>
      <c r="N627" s="5">
        <v>3</v>
      </c>
      <c r="O627" s="5">
        <v>3</v>
      </c>
      <c r="P627" s="5" t="s">
        <v>40</v>
      </c>
      <c r="Q627" s="5">
        <v>1</v>
      </c>
      <c r="R627" s="5" t="s">
        <v>52</v>
      </c>
      <c r="S627" s="5">
        <v>10761</v>
      </c>
      <c r="T627" s="5">
        <v>19239</v>
      </c>
      <c r="U627" s="5">
        <v>4</v>
      </c>
      <c r="V627" s="5" t="s">
        <v>42</v>
      </c>
      <c r="W627" s="5" t="s">
        <v>35</v>
      </c>
      <c r="X627" s="5">
        <v>12</v>
      </c>
      <c r="Y627" s="5">
        <v>3</v>
      </c>
      <c r="Z627" s="5">
        <v>3</v>
      </c>
      <c r="AA627" s="5">
        <v>80</v>
      </c>
      <c r="AB627" s="5">
        <v>1</v>
      </c>
      <c r="AC627" s="5">
        <v>18</v>
      </c>
      <c r="AD627" s="5">
        <v>2</v>
      </c>
      <c r="AE627" s="5">
        <v>3</v>
      </c>
      <c r="AF627" s="5">
        <v>5</v>
      </c>
      <c r="AG627" s="5">
        <v>4</v>
      </c>
      <c r="AH627" s="5">
        <v>0</v>
      </c>
      <c r="AI627" s="5">
        <v>2</v>
      </c>
    </row>
    <row r="628" spans="1:35" x14ac:dyDescent="0.25">
      <c r="A628" s="5">
        <v>32</v>
      </c>
      <c r="B628" s="5" t="s">
        <v>43</v>
      </c>
      <c r="C628" s="5" t="s">
        <v>36</v>
      </c>
      <c r="D628" s="5">
        <v>638</v>
      </c>
      <c r="E628" s="5" t="s">
        <v>45</v>
      </c>
      <c r="F628" s="5">
        <v>8</v>
      </c>
      <c r="G628" s="5">
        <v>2</v>
      </c>
      <c r="H628" s="5" t="s">
        <v>51</v>
      </c>
      <c r="I628" s="5">
        <v>1</v>
      </c>
      <c r="J628" s="5">
        <v>865</v>
      </c>
      <c r="K628" s="5">
        <v>3</v>
      </c>
      <c r="L628" s="5" t="s">
        <v>39</v>
      </c>
      <c r="M628" s="5">
        <v>91</v>
      </c>
      <c r="N628" s="5">
        <v>4</v>
      </c>
      <c r="O628" s="5">
        <v>2</v>
      </c>
      <c r="P628" s="5" t="s">
        <v>47</v>
      </c>
      <c r="Q628" s="5">
        <v>3</v>
      </c>
      <c r="R628" s="5" t="s">
        <v>48</v>
      </c>
      <c r="S628" s="5">
        <v>5175</v>
      </c>
      <c r="T628" s="5">
        <v>22162</v>
      </c>
      <c r="U628" s="5">
        <v>5</v>
      </c>
      <c r="V628" s="5" t="s">
        <v>42</v>
      </c>
      <c r="W628" s="5" t="s">
        <v>43</v>
      </c>
      <c r="X628" s="5">
        <v>12</v>
      </c>
      <c r="Y628" s="5">
        <v>3</v>
      </c>
      <c r="Z628" s="5">
        <v>3</v>
      </c>
      <c r="AA628" s="5">
        <v>80</v>
      </c>
      <c r="AB628" s="5">
        <v>1</v>
      </c>
      <c r="AC628" s="5">
        <v>9</v>
      </c>
      <c r="AD628" s="5">
        <v>3</v>
      </c>
      <c r="AE628" s="5">
        <v>2</v>
      </c>
      <c r="AF628" s="5">
        <v>5</v>
      </c>
      <c r="AG628" s="5">
        <v>3</v>
      </c>
      <c r="AH628" s="5">
        <v>1</v>
      </c>
      <c r="AI628" s="5">
        <v>3</v>
      </c>
    </row>
    <row r="629" spans="1:35" x14ac:dyDescent="0.25">
      <c r="A629" s="5">
        <v>52</v>
      </c>
      <c r="B629" s="5" t="s">
        <v>43</v>
      </c>
      <c r="C629" s="5" t="s">
        <v>44</v>
      </c>
      <c r="D629" s="5">
        <v>890</v>
      </c>
      <c r="E629" s="5" t="s">
        <v>45</v>
      </c>
      <c r="F629" s="5">
        <v>25</v>
      </c>
      <c r="G629" s="5">
        <v>4</v>
      </c>
      <c r="H629" s="5" t="s">
        <v>51</v>
      </c>
      <c r="I629" s="5">
        <v>1</v>
      </c>
      <c r="J629" s="5">
        <v>867</v>
      </c>
      <c r="K629" s="5">
        <v>3</v>
      </c>
      <c r="L629" s="5" t="s">
        <v>39</v>
      </c>
      <c r="M629" s="5">
        <v>81</v>
      </c>
      <c r="N629" s="5">
        <v>2</v>
      </c>
      <c r="O629" s="5">
        <v>4</v>
      </c>
      <c r="P629" s="5" t="s">
        <v>53</v>
      </c>
      <c r="Q629" s="5">
        <v>4</v>
      </c>
      <c r="R629" s="5" t="s">
        <v>48</v>
      </c>
      <c r="S629" s="5">
        <v>13826</v>
      </c>
      <c r="T629" s="5">
        <v>19028</v>
      </c>
      <c r="U629" s="5">
        <v>3</v>
      </c>
      <c r="V629" s="5" t="s">
        <v>42</v>
      </c>
      <c r="W629" s="5" t="s">
        <v>43</v>
      </c>
      <c r="X629" s="5">
        <v>22</v>
      </c>
      <c r="Y629" s="5">
        <v>4</v>
      </c>
      <c r="Z629" s="5">
        <v>3</v>
      </c>
      <c r="AA629" s="5">
        <v>80</v>
      </c>
      <c r="AB629" s="5">
        <v>0</v>
      </c>
      <c r="AC629" s="5">
        <v>31</v>
      </c>
      <c r="AD629" s="5">
        <v>3</v>
      </c>
      <c r="AE629" s="5">
        <v>3</v>
      </c>
      <c r="AF629" s="5">
        <v>9</v>
      </c>
      <c r="AG629" s="5">
        <v>8</v>
      </c>
      <c r="AH629" s="5">
        <v>0</v>
      </c>
      <c r="AI629" s="5">
        <v>0</v>
      </c>
    </row>
    <row r="630" spans="1:35" x14ac:dyDescent="0.25">
      <c r="A630" s="5">
        <v>37</v>
      </c>
      <c r="B630" s="5" t="s">
        <v>43</v>
      </c>
      <c r="C630" s="5" t="s">
        <v>36</v>
      </c>
      <c r="D630" s="5">
        <v>342</v>
      </c>
      <c r="E630" s="5" t="s">
        <v>37</v>
      </c>
      <c r="F630" s="5">
        <v>16</v>
      </c>
      <c r="G630" s="5">
        <v>4</v>
      </c>
      <c r="H630" s="5" t="s">
        <v>59</v>
      </c>
      <c r="I630" s="5">
        <v>1</v>
      </c>
      <c r="J630" s="5">
        <v>868</v>
      </c>
      <c r="K630" s="5">
        <v>4</v>
      </c>
      <c r="L630" s="5" t="s">
        <v>46</v>
      </c>
      <c r="M630" s="5">
        <v>66</v>
      </c>
      <c r="N630" s="5">
        <v>2</v>
      </c>
      <c r="O630" s="5">
        <v>2</v>
      </c>
      <c r="P630" s="5" t="s">
        <v>40</v>
      </c>
      <c r="Q630" s="5">
        <v>3</v>
      </c>
      <c r="R630" s="5" t="s">
        <v>52</v>
      </c>
      <c r="S630" s="5">
        <v>6334</v>
      </c>
      <c r="T630" s="5">
        <v>24558</v>
      </c>
      <c r="U630" s="5">
        <v>4</v>
      </c>
      <c r="V630" s="5" t="s">
        <v>42</v>
      </c>
      <c r="W630" s="5" t="s">
        <v>43</v>
      </c>
      <c r="X630" s="5">
        <v>19</v>
      </c>
      <c r="Y630" s="5">
        <v>3</v>
      </c>
      <c r="Z630" s="5">
        <v>4</v>
      </c>
      <c r="AA630" s="5">
        <v>80</v>
      </c>
      <c r="AB630" s="5">
        <v>2</v>
      </c>
      <c r="AC630" s="5">
        <v>9</v>
      </c>
      <c r="AD630" s="5">
        <v>2</v>
      </c>
      <c r="AE630" s="5">
        <v>3</v>
      </c>
      <c r="AF630" s="5">
        <v>1</v>
      </c>
      <c r="AG630" s="5">
        <v>0</v>
      </c>
      <c r="AH630" s="5">
        <v>0</v>
      </c>
      <c r="AI630" s="5">
        <v>0</v>
      </c>
    </row>
    <row r="631" spans="1:35" x14ac:dyDescent="0.25">
      <c r="A631" s="5">
        <v>28</v>
      </c>
      <c r="B631" s="5" t="s">
        <v>43</v>
      </c>
      <c r="C631" s="5" t="s">
        <v>36</v>
      </c>
      <c r="D631" s="5">
        <v>1169</v>
      </c>
      <c r="E631" s="5" t="s">
        <v>61</v>
      </c>
      <c r="F631" s="5">
        <v>8</v>
      </c>
      <c r="G631" s="5">
        <v>2</v>
      </c>
      <c r="H631" s="5" t="s">
        <v>51</v>
      </c>
      <c r="I631" s="5">
        <v>1</v>
      </c>
      <c r="J631" s="5">
        <v>869</v>
      </c>
      <c r="K631" s="5">
        <v>2</v>
      </c>
      <c r="L631" s="5" t="s">
        <v>46</v>
      </c>
      <c r="M631" s="5">
        <v>63</v>
      </c>
      <c r="N631" s="5">
        <v>2</v>
      </c>
      <c r="O631" s="5">
        <v>1</v>
      </c>
      <c r="P631" s="5" t="s">
        <v>61</v>
      </c>
      <c r="Q631" s="5">
        <v>4</v>
      </c>
      <c r="R631" s="5" t="s">
        <v>52</v>
      </c>
      <c r="S631" s="5">
        <v>4936</v>
      </c>
      <c r="T631" s="5">
        <v>23965</v>
      </c>
      <c r="U631" s="5">
        <v>1</v>
      </c>
      <c r="V631" s="5" t="s">
        <v>42</v>
      </c>
      <c r="W631" s="5" t="s">
        <v>43</v>
      </c>
      <c r="X631" s="5">
        <v>13</v>
      </c>
      <c r="Y631" s="5">
        <v>3</v>
      </c>
      <c r="Z631" s="5">
        <v>4</v>
      </c>
      <c r="AA631" s="5">
        <v>80</v>
      </c>
      <c r="AB631" s="5">
        <v>1</v>
      </c>
      <c r="AC631" s="5">
        <v>6</v>
      </c>
      <c r="AD631" s="5">
        <v>6</v>
      </c>
      <c r="AE631" s="5">
        <v>3</v>
      </c>
      <c r="AF631" s="5">
        <v>5</v>
      </c>
      <c r="AG631" s="5">
        <v>1</v>
      </c>
      <c r="AH631" s="5">
        <v>0</v>
      </c>
      <c r="AI631" s="5">
        <v>4</v>
      </c>
    </row>
    <row r="632" spans="1:35" x14ac:dyDescent="0.25">
      <c r="A632" s="5">
        <v>22</v>
      </c>
      <c r="B632" s="5" t="s">
        <v>43</v>
      </c>
      <c r="C632" s="5" t="s">
        <v>36</v>
      </c>
      <c r="D632" s="5">
        <v>1230</v>
      </c>
      <c r="E632" s="5" t="s">
        <v>45</v>
      </c>
      <c r="F632" s="5">
        <v>1</v>
      </c>
      <c r="G632" s="5">
        <v>2</v>
      </c>
      <c r="H632" s="5" t="s">
        <v>38</v>
      </c>
      <c r="I632" s="5">
        <v>1</v>
      </c>
      <c r="J632" s="5">
        <v>872</v>
      </c>
      <c r="K632" s="5">
        <v>4</v>
      </c>
      <c r="L632" s="5" t="s">
        <v>46</v>
      </c>
      <c r="M632" s="5">
        <v>33</v>
      </c>
      <c r="N632" s="5">
        <v>2</v>
      </c>
      <c r="O632" s="5">
        <v>2</v>
      </c>
      <c r="P632" s="5" t="s">
        <v>53</v>
      </c>
      <c r="Q632" s="5">
        <v>4</v>
      </c>
      <c r="R632" s="5" t="s">
        <v>48</v>
      </c>
      <c r="S632" s="5">
        <v>4775</v>
      </c>
      <c r="T632" s="5">
        <v>19146</v>
      </c>
      <c r="U632" s="5">
        <v>6</v>
      </c>
      <c r="V632" s="5" t="s">
        <v>42</v>
      </c>
      <c r="W632" s="5" t="s">
        <v>43</v>
      </c>
      <c r="X632" s="5">
        <v>22</v>
      </c>
      <c r="Y632" s="5">
        <v>4</v>
      </c>
      <c r="Z632" s="5">
        <v>1</v>
      </c>
      <c r="AA632" s="5">
        <v>80</v>
      </c>
      <c r="AB632" s="5">
        <v>2</v>
      </c>
      <c r="AC632" s="5">
        <v>4</v>
      </c>
      <c r="AD632" s="5">
        <v>2</v>
      </c>
      <c r="AE632" s="5">
        <v>1</v>
      </c>
      <c r="AF632" s="5">
        <v>2</v>
      </c>
      <c r="AG632" s="5">
        <v>2</v>
      </c>
      <c r="AH632" s="5">
        <v>2</v>
      </c>
      <c r="AI632" s="5">
        <v>2</v>
      </c>
    </row>
    <row r="633" spans="1:35" x14ac:dyDescent="0.25">
      <c r="A633" s="5">
        <v>44</v>
      </c>
      <c r="B633" s="5" t="s">
        <v>43</v>
      </c>
      <c r="C633" s="5" t="s">
        <v>36</v>
      </c>
      <c r="D633" s="5">
        <v>986</v>
      </c>
      <c r="E633" s="5" t="s">
        <v>45</v>
      </c>
      <c r="F633" s="5">
        <v>8</v>
      </c>
      <c r="G633" s="5">
        <v>4</v>
      </c>
      <c r="H633" s="5" t="s">
        <v>38</v>
      </c>
      <c r="I633" s="5">
        <v>1</v>
      </c>
      <c r="J633" s="5">
        <v>874</v>
      </c>
      <c r="K633" s="5">
        <v>1</v>
      </c>
      <c r="L633" s="5" t="s">
        <v>46</v>
      </c>
      <c r="M633" s="5">
        <v>62</v>
      </c>
      <c r="N633" s="5">
        <v>4</v>
      </c>
      <c r="O633" s="5">
        <v>1</v>
      </c>
      <c r="P633" s="5" t="s">
        <v>50</v>
      </c>
      <c r="Q633" s="5">
        <v>4</v>
      </c>
      <c r="R633" s="5" t="s">
        <v>48</v>
      </c>
      <c r="S633" s="5">
        <v>2818</v>
      </c>
      <c r="T633" s="5">
        <v>5044</v>
      </c>
      <c r="U633" s="5">
        <v>2</v>
      </c>
      <c r="V633" s="5" t="s">
        <v>42</v>
      </c>
      <c r="W633" s="5" t="s">
        <v>35</v>
      </c>
      <c r="X633" s="5">
        <v>24</v>
      </c>
      <c r="Y633" s="5">
        <v>4</v>
      </c>
      <c r="Z633" s="5">
        <v>3</v>
      </c>
      <c r="AA633" s="5">
        <v>80</v>
      </c>
      <c r="AB633" s="5">
        <v>1</v>
      </c>
      <c r="AC633" s="5">
        <v>10</v>
      </c>
      <c r="AD633" s="5">
        <v>2</v>
      </c>
      <c r="AE633" s="5">
        <v>2</v>
      </c>
      <c r="AF633" s="5">
        <v>3</v>
      </c>
      <c r="AG633" s="5">
        <v>2</v>
      </c>
      <c r="AH633" s="5">
        <v>0</v>
      </c>
      <c r="AI633" s="5">
        <v>2</v>
      </c>
    </row>
    <row r="634" spans="1:35" x14ac:dyDescent="0.25">
      <c r="A634" s="5">
        <v>42</v>
      </c>
      <c r="B634" s="5" t="s">
        <v>43</v>
      </c>
      <c r="C634" s="5" t="s">
        <v>44</v>
      </c>
      <c r="D634" s="5">
        <v>1271</v>
      </c>
      <c r="E634" s="5" t="s">
        <v>45</v>
      </c>
      <c r="F634" s="5">
        <v>2</v>
      </c>
      <c r="G634" s="5">
        <v>1</v>
      </c>
      <c r="H634" s="5" t="s">
        <v>51</v>
      </c>
      <c r="I634" s="5">
        <v>1</v>
      </c>
      <c r="J634" s="5">
        <v>875</v>
      </c>
      <c r="K634" s="5">
        <v>2</v>
      </c>
      <c r="L634" s="5" t="s">
        <v>46</v>
      </c>
      <c r="M634" s="5">
        <v>35</v>
      </c>
      <c r="N634" s="5">
        <v>3</v>
      </c>
      <c r="O634" s="5">
        <v>1</v>
      </c>
      <c r="P634" s="5" t="s">
        <v>47</v>
      </c>
      <c r="Q634" s="5">
        <v>4</v>
      </c>
      <c r="R634" s="5" t="s">
        <v>41</v>
      </c>
      <c r="S634" s="5">
        <v>2515</v>
      </c>
      <c r="T634" s="5">
        <v>9068</v>
      </c>
      <c r="U634" s="5">
        <v>5</v>
      </c>
      <c r="V634" s="5" t="s">
        <v>42</v>
      </c>
      <c r="W634" s="5" t="s">
        <v>35</v>
      </c>
      <c r="X634" s="5">
        <v>14</v>
      </c>
      <c r="Y634" s="5">
        <v>3</v>
      </c>
      <c r="Z634" s="5">
        <v>4</v>
      </c>
      <c r="AA634" s="5">
        <v>80</v>
      </c>
      <c r="AB634" s="5">
        <v>0</v>
      </c>
      <c r="AC634" s="5">
        <v>8</v>
      </c>
      <c r="AD634" s="5">
        <v>2</v>
      </c>
      <c r="AE634" s="5">
        <v>3</v>
      </c>
      <c r="AF634" s="5">
        <v>2</v>
      </c>
      <c r="AG634" s="5">
        <v>1</v>
      </c>
      <c r="AH634" s="5">
        <v>2</v>
      </c>
      <c r="AI634" s="5">
        <v>2</v>
      </c>
    </row>
    <row r="635" spans="1:35" x14ac:dyDescent="0.25">
      <c r="A635" s="5">
        <v>36</v>
      </c>
      <c r="B635" s="5" t="s">
        <v>43</v>
      </c>
      <c r="C635" s="5" t="s">
        <v>36</v>
      </c>
      <c r="D635" s="5">
        <v>1278</v>
      </c>
      <c r="E635" s="5" t="s">
        <v>61</v>
      </c>
      <c r="F635" s="5">
        <v>8</v>
      </c>
      <c r="G635" s="5">
        <v>3</v>
      </c>
      <c r="H635" s="5" t="s">
        <v>38</v>
      </c>
      <c r="I635" s="5">
        <v>1</v>
      </c>
      <c r="J635" s="5">
        <v>878</v>
      </c>
      <c r="K635" s="5">
        <v>1</v>
      </c>
      <c r="L635" s="5" t="s">
        <v>46</v>
      </c>
      <c r="M635" s="5">
        <v>77</v>
      </c>
      <c r="N635" s="5">
        <v>2</v>
      </c>
      <c r="O635" s="5">
        <v>1</v>
      </c>
      <c r="P635" s="5" t="s">
        <v>61</v>
      </c>
      <c r="Q635" s="5">
        <v>1</v>
      </c>
      <c r="R635" s="5" t="s">
        <v>48</v>
      </c>
      <c r="S635" s="5">
        <v>2342</v>
      </c>
      <c r="T635" s="5">
        <v>8635</v>
      </c>
      <c r="U635" s="5">
        <v>0</v>
      </c>
      <c r="V635" s="5" t="s">
        <v>42</v>
      </c>
      <c r="W635" s="5" t="s">
        <v>43</v>
      </c>
      <c r="X635" s="5">
        <v>21</v>
      </c>
      <c r="Y635" s="5">
        <v>4</v>
      </c>
      <c r="Z635" s="5">
        <v>3</v>
      </c>
      <c r="AA635" s="5">
        <v>80</v>
      </c>
      <c r="AB635" s="5">
        <v>0</v>
      </c>
      <c r="AC635" s="5">
        <v>6</v>
      </c>
      <c r="AD635" s="5">
        <v>3</v>
      </c>
      <c r="AE635" s="5">
        <v>3</v>
      </c>
      <c r="AF635" s="5">
        <v>5</v>
      </c>
      <c r="AG635" s="5">
        <v>4</v>
      </c>
      <c r="AH635" s="5">
        <v>0</v>
      </c>
      <c r="AI635" s="5">
        <v>3</v>
      </c>
    </row>
    <row r="636" spans="1:35" x14ac:dyDescent="0.25">
      <c r="A636" s="5">
        <v>25</v>
      </c>
      <c r="B636" s="5" t="s">
        <v>43</v>
      </c>
      <c r="C636" s="5" t="s">
        <v>36</v>
      </c>
      <c r="D636" s="5">
        <v>141</v>
      </c>
      <c r="E636" s="5" t="s">
        <v>37</v>
      </c>
      <c r="F636" s="5">
        <v>3</v>
      </c>
      <c r="G636" s="5">
        <v>1</v>
      </c>
      <c r="H636" s="5" t="s">
        <v>49</v>
      </c>
      <c r="I636" s="5">
        <v>1</v>
      </c>
      <c r="J636" s="5">
        <v>879</v>
      </c>
      <c r="K636" s="5">
        <v>3</v>
      </c>
      <c r="L636" s="5" t="s">
        <v>46</v>
      </c>
      <c r="M636" s="5">
        <v>98</v>
      </c>
      <c r="N636" s="5">
        <v>3</v>
      </c>
      <c r="O636" s="5">
        <v>2</v>
      </c>
      <c r="P636" s="5" t="s">
        <v>40</v>
      </c>
      <c r="Q636" s="5">
        <v>1</v>
      </c>
      <c r="R636" s="5" t="s">
        <v>48</v>
      </c>
      <c r="S636" s="5">
        <v>4194</v>
      </c>
      <c r="T636" s="5">
        <v>14363</v>
      </c>
      <c r="U636" s="5">
        <v>1</v>
      </c>
      <c r="V636" s="5" t="s">
        <v>42</v>
      </c>
      <c r="W636" s="5" t="s">
        <v>35</v>
      </c>
      <c r="X636" s="5">
        <v>18</v>
      </c>
      <c r="Y636" s="5">
        <v>3</v>
      </c>
      <c r="Z636" s="5">
        <v>4</v>
      </c>
      <c r="AA636" s="5">
        <v>80</v>
      </c>
      <c r="AB636" s="5">
        <v>0</v>
      </c>
      <c r="AC636" s="5">
        <v>5</v>
      </c>
      <c r="AD636" s="5">
        <v>3</v>
      </c>
      <c r="AE636" s="5">
        <v>3</v>
      </c>
      <c r="AF636" s="5">
        <v>5</v>
      </c>
      <c r="AG636" s="5">
        <v>3</v>
      </c>
      <c r="AH636" s="5">
        <v>0</v>
      </c>
      <c r="AI636" s="5">
        <v>3</v>
      </c>
    </row>
    <row r="637" spans="1:35" x14ac:dyDescent="0.25">
      <c r="A637" s="5">
        <v>35</v>
      </c>
      <c r="B637" s="5" t="s">
        <v>43</v>
      </c>
      <c r="C637" s="5" t="s">
        <v>36</v>
      </c>
      <c r="D637" s="5">
        <v>607</v>
      </c>
      <c r="E637" s="5" t="s">
        <v>45</v>
      </c>
      <c r="F637" s="5">
        <v>9</v>
      </c>
      <c r="G637" s="5">
        <v>3</v>
      </c>
      <c r="H637" s="5" t="s">
        <v>38</v>
      </c>
      <c r="I637" s="5">
        <v>1</v>
      </c>
      <c r="J637" s="5">
        <v>880</v>
      </c>
      <c r="K637" s="5">
        <v>4</v>
      </c>
      <c r="L637" s="5" t="s">
        <v>39</v>
      </c>
      <c r="M637" s="5">
        <v>66</v>
      </c>
      <c r="N637" s="5">
        <v>2</v>
      </c>
      <c r="O637" s="5">
        <v>3</v>
      </c>
      <c r="P637" s="5" t="s">
        <v>53</v>
      </c>
      <c r="Q637" s="5">
        <v>3</v>
      </c>
      <c r="R637" s="5" t="s">
        <v>48</v>
      </c>
      <c r="S637" s="5">
        <v>10685</v>
      </c>
      <c r="T637" s="5">
        <v>23457</v>
      </c>
      <c r="U637" s="5">
        <v>1</v>
      </c>
      <c r="V637" s="5" t="s">
        <v>42</v>
      </c>
      <c r="W637" s="5" t="s">
        <v>35</v>
      </c>
      <c r="X637" s="5">
        <v>20</v>
      </c>
      <c r="Y637" s="5">
        <v>4</v>
      </c>
      <c r="Z637" s="5">
        <v>2</v>
      </c>
      <c r="AA637" s="5">
        <v>80</v>
      </c>
      <c r="AB637" s="5">
        <v>1</v>
      </c>
      <c r="AC637" s="5">
        <v>17</v>
      </c>
      <c r="AD637" s="5">
        <v>2</v>
      </c>
      <c r="AE637" s="5">
        <v>3</v>
      </c>
      <c r="AF637" s="5">
        <v>17</v>
      </c>
      <c r="AG637" s="5">
        <v>14</v>
      </c>
      <c r="AH637" s="5">
        <v>5</v>
      </c>
      <c r="AI637" s="5">
        <v>15</v>
      </c>
    </row>
    <row r="638" spans="1:35" x14ac:dyDescent="0.25">
      <c r="A638" s="5">
        <v>35</v>
      </c>
      <c r="B638" s="5" t="s">
        <v>35</v>
      </c>
      <c r="C638" s="5" t="s">
        <v>44</v>
      </c>
      <c r="D638" s="5">
        <v>130</v>
      </c>
      <c r="E638" s="5" t="s">
        <v>45</v>
      </c>
      <c r="F638" s="5">
        <v>25</v>
      </c>
      <c r="G638" s="5">
        <v>4</v>
      </c>
      <c r="H638" s="5" t="s">
        <v>38</v>
      </c>
      <c r="I638" s="5">
        <v>1</v>
      </c>
      <c r="J638" s="5">
        <v>881</v>
      </c>
      <c r="K638" s="5">
        <v>4</v>
      </c>
      <c r="L638" s="5" t="s">
        <v>39</v>
      </c>
      <c r="M638" s="5">
        <v>96</v>
      </c>
      <c r="N638" s="5">
        <v>3</v>
      </c>
      <c r="O638" s="5">
        <v>1</v>
      </c>
      <c r="P638" s="5" t="s">
        <v>47</v>
      </c>
      <c r="Q638" s="5">
        <v>2</v>
      </c>
      <c r="R638" s="5" t="s">
        <v>52</v>
      </c>
      <c r="S638" s="5">
        <v>2022</v>
      </c>
      <c r="T638" s="5">
        <v>16612</v>
      </c>
      <c r="U638" s="5">
        <v>1</v>
      </c>
      <c r="V638" s="5" t="s">
        <v>42</v>
      </c>
      <c r="W638" s="5" t="s">
        <v>35</v>
      </c>
      <c r="X638" s="5">
        <v>19</v>
      </c>
      <c r="Y638" s="5">
        <v>3</v>
      </c>
      <c r="Z638" s="5">
        <v>1</v>
      </c>
      <c r="AA638" s="5">
        <v>80</v>
      </c>
      <c r="AB638" s="5">
        <v>1</v>
      </c>
      <c r="AC638" s="5">
        <v>10</v>
      </c>
      <c r="AD638" s="5">
        <v>3</v>
      </c>
      <c r="AE638" s="5">
        <v>2</v>
      </c>
      <c r="AF638" s="5">
        <v>10</v>
      </c>
      <c r="AG638" s="5">
        <v>2</v>
      </c>
      <c r="AH638" s="5">
        <v>7</v>
      </c>
      <c r="AI638" s="5">
        <v>8</v>
      </c>
    </row>
    <row r="639" spans="1:35" x14ac:dyDescent="0.25">
      <c r="A639" s="5">
        <v>32</v>
      </c>
      <c r="B639" s="5" t="s">
        <v>43</v>
      </c>
      <c r="C639" s="5" t="s">
        <v>55</v>
      </c>
      <c r="D639" s="5">
        <v>300</v>
      </c>
      <c r="E639" s="5" t="s">
        <v>45</v>
      </c>
      <c r="F639" s="5">
        <v>1</v>
      </c>
      <c r="G639" s="5">
        <v>3</v>
      </c>
      <c r="H639" s="5" t="s">
        <v>38</v>
      </c>
      <c r="I639" s="5">
        <v>1</v>
      </c>
      <c r="J639" s="5">
        <v>882</v>
      </c>
      <c r="K639" s="5">
        <v>4</v>
      </c>
      <c r="L639" s="5" t="s">
        <v>46</v>
      </c>
      <c r="M639" s="5">
        <v>61</v>
      </c>
      <c r="N639" s="5">
        <v>3</v>
      </c>
      <c r="O639" s="5">
        <v>1</v>
      </c>
      <c r="P639" s="5" t="s">
        <v>50</v>
      </c>
      <c r="Q639" s="5">
        <v>4</v>
      </c>
      <c r="R639" s="5" t="s">
        <v>52</v>
      </c>
      <c r="S639" s="5">
        <v>2314</v>
      </c>
      <c r="T639" s="5">
        <v>9148</v>
      </c>
      <c r="U639" s="5">
        <v>0</v>
      </c>
      <c r="V639" s="5" t="s">
        <v>42</v>
      </c>
      <c r="W639" s="5" t="s">
        <v>43</v>
      </c>
      <c r="X639" s="5">
        <v>12</v>
      </c>
      <c r="Y639" s="5">
        <v>3</v>
      </c>
      <c r="Z639" s="5">
        <v>2</v>
      </c>
      <c r="AA639" s="5">
        <v>80</v>
      </c>
      <c r="AB639" s="5">
        <v>1</v>
      </c>
      <c r="AC639" s="5">
        <v>4</v>
      </c>
      <c r="AD639" s="5">
        <v>2</v>
      </c>
      <c r="AE639" s="5">
        <v>3</v>
      </c>
      <c r="AF639" s="5">
        <v>3</v>
      </c>
      <c r="AG639" s="5">
        <v>0</v>
      </c>
      <c r="AH639" s="5">
        <v>0</v>
      </c>
      <c r="AI639" s="5">
        <v>2</v>
      </c>
    </row>
    <row r="640" spans="1:35" x14ac:dyDescent="0.25">
      <c r="A640" s="5">
        <v>25</v>
      </c>
      <c r="B640" s="5" t="s">
        <v>43</v>
      </c>
      <c r="C640" s="5" t="s">
        <v>36</v>
      </c>
      <c r="D640" s="5">
        <v>583</v>
      </c>
      <c r="E640" s="5" t="s">
        <v>37</v>
      </c>
      <c r="F640" s="5">
        <v>4</v>
      </c>
      <c r="G640" s="5">
        <v>1</v>
      </c>
      <c r="H640" s="5" t="s">
        <v>59</v>
      </c>
      <c r="I640" s="5">
        <v>1</v>
      </c>
      <c r="J640" s="5">
        <v>885</v>
      </c>
      <c r="K640" s="5">
        <v>3</v>
      </c>
      <c r="L640" s="5" t="s">
        <v>46</v>
      </c>
      <c r="M640" s="5">
        <v>87</v>
      </c>
      <c r="N640" s="5">
        <v>2</v>
      </c>
      <c r="O640" s="5">
        <v>2</v>
      </c>
      <c r="P640" s="5" t="s">
        <v>40</v>
      </c>
      <c r="Q640" s="5">
        <v>1</v>
      </c>
      <c r="R640" s="5" t="s">
        <v>48</v>
      </c>
      <c r="S640" s="5">
        <v>4256</v>
      </c>
      <c r="T640" s="5">
        <v>18154</v>
      </c>
      <c r="U640" s="5">
        <v>1</v>
      </c>
      <c r="V640" s="5" t="s">
        <v>42</v>
      </c>
      <c r="W640" s="5" t="s">
        <v>43</v>
      </c>
      <c r="X640" s="5">
        <v>12</v>
      </c>
      <c r="Y640" s="5">
        <v>3</v>
      </c>
      <c r="Z640" s="5">
        <v>1</v>
      </c>
      <c r="AA640" s="5">
        <v>80</v>
      </c>
      <c r="AB640" s="5">
        <v>0</v>
      </c>
      <c r="AC640" s="5">
        <v>5</v>
      </c>
      <c r="AD640" s="5">
        <v>1</v>
      </c>
      <c r="AE640" s="5">
        <v>4</v>
      </c>
      <c r="AF640" s="5">
        <v>5</v>
      </c>
      <c r="AG640" s="5">
        <v>2</v>
      </c>
      <c r="AH640" s="5">
        <v>0</v>
      </c>
      <c r="AI640" s="5">
        <v>3</v>
      </c>
    </row>
    <row r="641" spans="1:35" x14ac:dyDescent="0.25">
      <c r="A641" s="5">
        <v>49</v>
      </c>
      <c r="B641" s="5" t="s">
        <v>43</v>
      </c>
      <c r="C641" s="5" t="s">
        <v>36</v>
      </c>
      <c r="D641" s="5">
        <v>1418</v>
      </c>
      <c r="E641" s="5" t="s">
        <v>45</v>
      </c>
      <c r="F641" s="5">
        <v>1</v>
      </c>
      <c r="G641" s="5">
        <v>3</v>
      </c>
      <c r="H641" s="5" t="s">
        <v>60</v>
      </c>
      <c r="I641" s="5">
        <v>1</v>
      </c>
      <c r="J641" s="5">
        <v>887</v>
      </c>
      <c r="K641" s="5">
        <v>3</v>
      </c>
      <c r="L641" s="5" t="s">
        <v>39</v>
      </c>
      <c r="M641" s="5">
        <v>36</v>
      </c>
      <c r="N641" s="5">
        <v>3</v>
      </c>
      <c r="O641" s="5">
        <v>1</v>
      </c>
      <c r="P641" s="5" t="s">
        <v>47</v>
      </c>
      <c r="Q641" s="5">
        <v>1</v>
      </c>
      <c r="R641" s="5" t="s">
        <v>48</v>
      </c>
      <c r="S641" s="5">
        <v>3580</v>
      </c>
      <c r="T641" s="5">
        <v>10554</v>
      </c>
      <c r="U641" s="5">
        <v>2</v>
      </c>
      <c r="V641" s="5" t="s">
        <v>42</v>
      </c>
      <c r="W641" s="5" t="s">
        <v>43</v>
      </c>
      <c r="X641" s="5">
        <v>16</v>
      </c>
      <c r="Y641" s="5">
        <v>3</v>
      </c>
      <c r="Z641" s="5">
        <v>2</v>
      </c>
      <c r="AA641" s="5">
        <v>80</v>
      </c>
      <c r="AB641" s="5">
        <v>1</v>
      </c>
      <c r="AC641" s="5">
        <v>7</v>
      </c>
      <c r="AD641" s="5">
        <v>2</v>
      </c>
      <c r="AE641" s="5">
        <v>3</v>
      </c>
      <c r="AF641" s="5">
        <v>4</v>
      </c>
      <c r="AG641" s="5">
        <v>2</v>
      </c>
      <c r="AH641" s="5">
        <v>0</v>
      </c>
      <c r="AI641" s="5">
        <v>2</v>
      </c>
    </row>
    <row r="642" spans="1:35" x14ac:dyDescent="0.25">
      <c r="A642" s="5">
        <v>24</v>
      </c>
      <c r="B642" s="5" t="s">
        <v>43</v>
      </c>
      <c r="C642" s="5" t="s">
        <v>55</v>
      </c>
      <c r="D642" s="5">
        <v>1269</v>
      </c>
      <c r="E642" s="5" t="s">
        <v>45</v>
      </c>
      <c r="F642" s="5">
        <v>4</v>
      </c>
      <c r="G642" s="5">
        <v>1</v>
      </c>
      <c r="H642" s="5" t="s">
        <v>38</v>
      </c>
      <c r="I642" s="5">
        <v>1</v>
      </c>
      <c r="J642" s="5">
        <v>888</v>
      </c>
      <c r="K642" s="5">
        <v>1</v>
      </c>
      <c r="L642" s="5" t="s">
        <v>46</v>
      </c>
      <c r="M642" s="5">
        <v>46</v>
      </c>
      <c r="N642" s="5">
        <v>2</v>
      </c>
      <c r="O642" s="5">
        <v>1</v>
      </c>
      <c r="P642" s="5" t="s">
        <v>50</v>
      </c>
      <c r="Q642" s="5">
        <v>4</v>
      </c>
      <c r="R642" s="5" t="s">
        <v>48</v>
      </c>
      <c r="S642" s="5">
        <v>3162</v>
      </c>
      <c r="T642" s="5">
        <v>10778</v>
      </c>
      <c r="U642" s="5">
        <v>0</v>
      </c>
      <c r="V642" s="5" t="s">
        <v>42</v>
      </c>
      <c r="W642" s="5" t="s">
        <v>43</v>
      </c>
      <c r="X642" s="5">
        <v>17</v>
      </c>
      <c r="Y642" s="5">
        <v>3</v>
      </c>
      <c r="Z642" s="5">
        <v>4</v>
      </c>
      <c r="AA642" s="5">
        <v>80</v>
      </c>
      <c r="AB642" s="5">
        <v>0</v>
      </c>
      <c r="AC642" s="5">
        <v>6</v>
      </c>
      <c r="AD642" s="5">
        <v>2</v>
      </c>
      <c r="AE642" s="5">
        <v>2</v>
      </c>
      <c r="AF642" s="5">
        <v>5</v>
      </c>
      <c r="AG642" s="5">
        <v>2</v>
      </c>
      <c r="AH642" s="5">
        <v>3</v>
      </c>
      <c r="AI642" s="5">
        <v>4</v>
      </c>
    </row>
    <row r="643" spans="1:35" x14ac:dyDescent="0.25">
      <c r="A643" s="5">
        <v>32</v>
      </c>
      <c r="B643" s="5" t="s">
        <v>43</v>
      </c>
      <c r="C643" s="5" t="s">
        <v>44</v>
      </c>
      <c r="D643" s="5">
        <v>379</v>
      </c>
      <c r="E643" s="5" t="s">
        <v>37</v>
      </c>
      <c r="F643" s="5">
        <v>5</v>
      </c>
      <c r="G643" s="5">
        <v>2</v>
      </c>
      <c r="H643" s="5" t="s">
        <v>38</v>
      </c>
      <c r="I643" s="5">
        <v>1</v>
      </c>
      <c r="J643" s="5">
        <v>889</v>
      </c>
      <c r="K643" s="5">
        <v>2</v>
      </c>
      <c r="L643" s="5" t="s">
        <v>46</v>
      </c>
      <c r="M643" s="5">
        <v>48</v>
      </c>
      <c r="N643" s="5">
        <v>3</v>
      </c>
      <c r="O643" s="5">
        <v>2</v>
      </c>
      <c r="P643" s="5" t="s">
        <v>40</v>
      </c>
      <c r="Q643" s="5">
        <v>2</v>
      </c>
      <c r="R643" s="5" t="s">
        <v>48</v>
      </c>
      <c r="S643" s="5">
        <v>6524</v>
      </c>
      <c r="T643" s="5">
        <v>8891</v>
      </c>
      <c r="U643" s="5">
        <v>1</v>
      </c>
      <c r="V643" s="5" t="s">
        <v>42</v>
      </c>
      <c r="W643" s="5" t="s">
        <v>43</v>
      </c>
      <c r="X643" s="5">
        <v>14</v>
      </c>
      <c r="Y643" s="5">
        <v>3</v>
      </c>
      <c r="Z643" s="5">
        <v>4</v>
      </c>
      <c r="AA643" s="5">
        <v>80</v>
      </c>
      <c r="AB643" s="5">
        <v>1</v>
      </c>
      <c r="AC643" s="5">
        <v>10</v>
      </c>
      <c r="AD643" s="5">
        <v>3</v>
      </c>
      <c r="AE643" s="5">
        <v>3</v>
      </c>
      <c r="AF643" s="5">
        <v>10</v>
      </c>
      <c r="AG643" s="5">
        <v>8</v>
      </c>
      <c r="AH643" s="5">
        <v>5</v>
      </c>
      <c r="AI643" s="5">
        <v>3</v>
      </c>
    </row>
    <row r="644" spans="1:35" x14ac:dyDescent="0.25">
      <c r="A644" s="5">
        <v>38</v>
      </c>
      <c r="B644" s="5" t="s">
        <v>43</v>
      </c>
      <c r="C644" s="5" t="s">
        <v>36</v>
      </c>
      <c r="D644" s="5">
        <v>395</v>
      </c>
      <c r="E644" s="5" t="s">
        <v>37</v>
      </c>
      <c r="F644" s="5">
        <v>9</v>
      </c>
      <c r="G644" s="5">
        <v>3</v>
      </c>
      <c r="H644" s="5" t="s">
        <v>59</v>
      </c>
      <c r="I644" s="5">
        <v>1</v>
      </c>
      <c r="J644" s="5">
        <v>893</v>
      </c>
      <c r="K644" s="5">
        <v>2</v>
      </c>
      <c r="L644" s="5" t="s">
        <v>46</v>
      </c>
      <c r="M644" s="5">
        <v>98</v>
      </c>
      <c r="N644" s="5">
        <v>2</v>
      </c>
      <c r="O644" s="5">
        <v>1</v>
      </c>
      <c r="P644" s="5" t="s">
        <v>57</v>
      </c>
      <c r="Q644" s="5">
        <v>2</v>
      </c>
      <c r="R644" s="5" t="s">
        <v>48</v>
      </c>
      <c r="S644" s="5">
        <v>2899</v>
      </c>
      <c r="T644" s="5">
        <v>12102</v>
      </c>
      <c r="U644" s="5">
        <v>0</v>
      </c>
      <c r="V644" s="5" t="s">
        <v>42</v>
      </c>
      <c r="W644" s="5" t="s">
        <v>43</v>
      </c>
      <c r="X644" s="5">
        <v>19</v>
      </c>
      <c r="Y644" s="5">
        <v>3</v>
      </c>
      <c r="Z644" s="5">
        <v>4</v>
      </c>
      <c r="AA644" s="5">
        <v>80</v>
      </c>
      <c r="AB644" s="5">
        <v>1</v>
      </c>
      <c r="AC644" s="5">
        <v>3</v>
      </c>
      <c r="AD644" s="5">
        <v>3</v>
      </c>
      <c r="AE644" s="5">
        <v>3</v>
      </c>
      <c r="AF644" s="5">
        <v>2</v>
      </c>
      <c r="AG644" s="5">
        <v>2</v>
      </c>
      <c r="AH644" s="5">
        <v>1</v>
      </c>
      <c r="AI644" s="5">
        <v>2</v>
      </c>
    </row>
    <row r="645" spans="1:35" x14ac:dyDescent="0.25">
      <c r="A645" s="5">
        <v>42</v>
      </c>
      <c r="B645" s="5" t="s">
        <v>43</v>
      </c>
      <c r="C645" s="5" t="s">
        <v>36</v>
      </c>
      <c r="D645" s="5">
        <v>1265</v>
      </c>
      <c r="E645" s="5" t="s">
        <v>45</v>
      </c>
      <c r="F645" s="5">
        <v>3</v>
      </c>
      <c r="G645" s="5">
        <v>3</v>
      </c>
      <c r="H645" s="5" t="s">
        <v>38</v>
      </c>
      <c r="I645" s="5">
        <v>1</v>
      </c>
      <c r="J645" s="5">
        <v>894</v>
      </c>
      <c r="K645" s="5">
        <v>3</v>
      </c>
      <c r="L645" s="5" t="s">
        <v>39</v>
      </c>
      <c r="M645" s="5">
        <v>95</v>
      </c>
      <c r="N645" s="5">
        <v>4</v>
      </c>
      <c r="O645" s="5">
        <v>2</v>
      </c>
      <c r="P645" s="5" t="s">
        <v>50</v>
      </c>
      <c r="Q645" s="5">
        <v>4</v>
      </c>
      <c r="R645" s="5" t="s">
        <v>48</v>
      </c>
      <c r="S645" s="5">
        <v>5231</v>
      </c>
      <c r="T645" s="5">
        <v>23726</v>
      </c>
      <c r="U645" s="5">
        <v>2</v>
      </c>
      <c r="V645" s="5" t="s">
        <v>42</v>
      </c>
      <c r="W645" s="5" t="s">
        <v>35</v>
      </c>
      <c r="X645" s="5">
        <v>13</v>
      </c>
      <c r="Y645" s="5">
        <v>3</v>
      </c>
      <c r="Z645" s="5">
        <v>2</v>
      </c>
      <c r="AA645" s="5">
        <v>80</v>
      </c>
      <c r="AB645" s="5">
        <v>1</v>
      </c>
      <c r="AC645" s="5">
        <v>17</v>
      </c>
      <c r="AD645" s="5">
        <v>1</v>
      </c>
      <c r="AE645" s="5">
        <v>2</v>
      </c>
      <c r="AF645" s="5">
        <v>5</v>
      </c>
      <c r="AG645" s="5">
        <v>3</v>
      </c>
      <c r="AH645" s="5">
        <v>1</v>
      </c>
      <c r="AI645" s="5">
        <v>3</v>
      </c>
    </row>
    <row r="646" spans="1:35" x14ac:dyDescent="0.25">
      <c r="A646" s="5">
        <v>31</v>
      </c>
      <c r="B646" s="5" t="s">
        <v>43</v>
      </c>
      <c r="C646" s="5" t="s">
        <v>36</v>
      </c>
      <c r="D646" s="5">
        <v>1222</v>
      </c>
      <c r="E646" s="5" t="s">
        <v>45</v>
      </c>
      <c r="F646" s="5">
        <v>11</v>
      </c>
      <c r="G646" s="5">
        <v>4</v>
      </c>
      <c r="H646" s="5" t="s">
        <v>38</v>
      </c>
      <c r="I646" s="5">
        <v>1</v>
      </c>
      <c r="J646" s="5">
        <v>895</v>
      </c>
      <c r="K646" s="5">
        <v>4</v>
      </c>
      <c r="L646" s="5" t="s">
        <v>46</v>
      </c>
      <c r="M646" s="5">
        <v>48</v>
      </c>
      <c r="N646" s="5">
        <v>3</v>
      </c>
      <c r="O646" s="5">
        <v>1</v>
      </c>
      <c r="P646" s="5" t="s">
        <v>47</v>
      </c>
      <c r="Q646" s="5">
        <v>4</v>
      </c>
      <c r="R646" s="5" t="s">
        <v>48</v>
      </c>
      <c r="S646" s="5">
        <v>2356</v>
      </c>
      <c r="T646" s="5">
        <v>14871</v>
      </c>
      <c r="U646" s="5">
        <v>3</v>
      </c>
      <c r="V646" s="5" t="s">
        <v>42</v>
      </c>
      <c r="W646" s="5" t="s">
        <v>35</v>
      </c>
      <c r="X646" s="5">
        <v>19</v>
      </c>
      <c r="Y646" s="5">
        <v>3</v>
      </c>
      <c r="Z646" s="5">
        <v>2</v>
      </c>
      <c r="AA646" s="5">
        <v>80</v>
      </c>
      <c r="AB646" s="5">
        <v>1</v>
      </c>
      <c r="AC646" s="5">
        <v>8</v>
      </c>
      <c r="AD646" s="5">
        <v>2</v>
      </c>
      <c r="AE646" s="5">
        <v>3</v>
      </c>
      <c r="AF646" s="5">
        <v>6</v>
      </c>
      <c r="AG646" s="5">
        <v>4</v>
      </c>
      <c r="AH646" s="5">
        <v>0</v>
      </c>
      <c r="AI646" s="5">
        <v>2</v>
      </c>
    </row>
    <row r="647" spans="1:35" x14ac:dyDescent="0.25">
      <c r="A647" s="5">
        <v>29</v>
      </c>
      <c r="B647" s="5" t="s">
        <v>35</v>
      </c>
      <c r="C647" s="5" t="s">
        <v>36</v>
      </c>
      <c r="D647" s="5">
        <v>341</v>
      </c>
      <c r="E647" s="5" t="s">
        <v>37</v>
      </c>
      <c r="F647" s="5">
        <v>1</v>
      </c>
      <c r="G647" s="5">
        <v>3</v>
      </c>
      <c r="H647" s="5" t="s">
        <v>51</v>
      </c>
      <c r="I647" s="5">
        <v>1</v>
      </c>
      <c r="J647" s="5">
        <v>896</v>
      </c>
      <c r="K647" s="5">
        <v>2</v>
      </c>
      <c r="L647" s="5" t="s">
        <v>39</v>
      </c>
      <c r="M647" s="5">
        <v>48</v>
      </c>
      <c r="N647" s="5">
        <v>2</v>
      </c>
      <c r="O647" s="5">
        <v>1</v>
      </c>
      <c r="P647" s="5" t="s">
        <v>57</v>
      </c>
      <c r="Q647" s="5">
        <v>3</v>
      </c>
      <c r="R647" s="5" t="s">
        <v>52</v>
      </c>
      <c r="S647" s="5">
        <v>2800</v>
      </c>
      <c r="T647" s="5">
        <v>23522</v>
      </c>
      <c r="U647" s="5">
        <v>6</v>
      </c>
      <c r="V647" s="5" t="s">
        <v>42</v>
      </c>
      <c r="W647" s="5" t="s">
        <v>35</v>
      </c>
      <c r="X647" s="5">
        <v>19</v>
      </c>
      <c r="Y647" s="5">
        <v>3</v>
      </c>
      <c r="Z647" s="5">
        <v>3</v>
      </c>
      <c r="AA647" s="5">
        <v>80</v>
      </c>
      <c r="AB647" s="5">
        <v>3</v>
      </c>
      <c r="AC647" s="5">
        <v>5</v>
      </c>
      <c r="AD647" s="5">
        <v>3</v>
      </c>
      <c r="AE647" s="5">
        <v>3</v>
      </c>
      <c r="AF647" s="5">
        <v>3</v>
      </c>
      <c r="AG647" s="5">
        <v>2</v>
      </c>
      <c r="AH647" s="5">
        <v>0</v>
      </c>
      <c r="AI647" s="5">
        <v>2</v>
      </c>
    </row>
    <row r="648" spans="1:35" x14ac:dyDescent="0.25">
      <c r="A648" s="5">
        <v>53</v>
      </c>
      <c r="B648" s="5" t="s">
        <v>43</v>
      </c>
      <c r="C648" s="5" t="s">
        <v>36</v>
      </c>
      <c r="D648" s="5">
        <v>868</v>
      </c>
      <c r="E648" s="5" t="s">
        <v>37</v>
      </c>
      <c r="F648" s="5">
        <v>8</v>
      </c>
      <c r="G648" s="5">
        <v>3</v>
      </c>
      <c r="H648" s="5" t="s">
        <v>59</v>
      </c>
      <c r="I648" s="5">
        <v>1</v>
      </c>
      <c r="J648" s="5">
        <v>897</v>
      </c>
      <c r="K648" s="5">
        <v>1</v>
      </c>
      <c r="L648" s="5" t="s">
        <v>46</v>
      </c>
      <c r="M648" s="5">
        <v>73</v>
      </c>
      <c r="N648" s="5">
        <v>3</v>
      </c>
      <c r="O648" s="5">
        <v>4</v>
      </c>
      <c r="P648" s="5" t="s">
        <v>40</v>
      </c>
      <c r="Q648" s="5">
        <v>4</v>
      </c>
      <c r="R648" s="5" t="s">
        <v>48</v>
      </c>
      <c r="S648" s="5">
        <v>11836</v>
      </c>
      <c r="T648" s="5">
        <v>22789</v>
      </c>
      <c r="U648" s="5">
        <v>5</v>
      </c>
      <c r="V648" s="5" t="s">
        <v>42</v>
      </c>
      <c r="W648" s="5" t="s">
        <v>43</v>
      </c>
      <c r="X648" s="5">
        <v>14</v>
      </c>
      <c r="Y648" s="5">
        <v>3</v>
      </c>
      <c r="Z648" s="5">
        <v>3</v>
      </c>
      <c r="AA648" s="5">
        <v>80</v>
      </c>
      <c r="AB648" s="5">
        <v>1</v>
      </c>
      <c r="AC648" s="5">
        <v>28</v>
      </c>
      <c r="AD648" s="5">
        <v>3</v>
      </c>
      <c r="AE648" s="5">
        <v>3</v>
      </c>
      <c r="AF648" s="5">
        <v>2</v>
      </c>
      <c r="AG648" s="5">
        <v>0</v>
      </c>
      <c r="AH648" s="5">
        <v>2</v>
      </c>
      <c r="AI648" s="5">
        <v>2</v>
      </c>
    </row>
    <row r="649" spans="1:35" x14ac:dyDescent="0.25">
      <c r="A649" s="5">
        <v>35</v>
      </c>
      <c r="B649" s="5" t="s">
        <v>43</v>
      </c>
      <c r="C649" s="5" t="s">
        <v>36</v>
      </c>
      <c r="D649" s="5">
        <v>672</v>
      </c>
      <c r="E649" s="5" t="s">
        <v>45</v>
      </c>
      <c r="F649" s="5">
        <v>25</v>
      </c>
      <c r="G649" s="5">
        <v>3</v>
      </c>
      <c r="H649" s="5" t="s">
        <v>60</v>
      </c>
      <c r="I649" s="5">
        <v>1</v>
      </c>
      <c r="J649" s="5">
        <v>899</v>
      </c>
      <c r="K649" s="5">
        <v>4</v>
      </c>
      <c r="L649" s="5" t="s">
        <v>46</v>
      </c>
      <c r="M649" s="5">
        <v>78</v>
      </c>
      <c r="N649" s="5">
        <v>2</v>
      </c>
      <c r="O649" s="5">
        <v>3</v>
      </c>
      <c r="P649" s="5" t="s">
        <v>53</v>
      </c>
      <c r="Q649" s="5">
        <v>2</v>
      </c>
      <c r="R649" s="5" t="s">
        <v>48</v>
      </c>
      <c r="S649" s="5">
        <v>10903</v>
      </c>
      <c r="T649" s="5">
        <v>9129</v>
      </c>
      <c r="U649" s="5">
        <v>3</v>
      </c>
      <c r="V649" s="5" t="s">
        <v>42</v>
      </c>
      <c r="W649" s="5" t="s">
        <v>43</v>
      </c>
      <c r="X649" s="5">
        <v>16</v>
      </c>
      <c r="Y649" s="5">
        <v>3</v>
      </c>
      <c r="Z649" s="5">
        <v>1</v>
      </c>
      <c r="AA649" s="5">
        <v>80</v>
      </c>
      <c r="AB649" s="5">
        <v>0</v>
      </c>
      <c r="AC649" s="5">
        <v>16</v>
      </c>
      <c r="AD649" s="5">
        <v>2</v>
      </c>
      <c r="AE649" s="5">
        <v>3</v>
      </c>
      <c r="AF649" s="5">
        <v>13</v>
      </c>
      <c r="AG649" s="5">
        <v>10</v>
      </c>
      <c r="AH649" s="5">
        <v>4</v>
      </c>
      <c r="AI649" s="5">
        <v>8</v>
      </c>
    </row>
    <row r="650" spans="1:35" x14ac:dyDescent="0.25">
      <c r="A650" s="5">
        <v>37</v>
      </c>
      <c r="B650" s="5" t="s">
        <v>43</v>
      </c>
      <c r="C650" s="5" t="s">
        <v>44</v>
      </c>
      <c r="D650" s="5">
        <v>1231</v>
      </c>
      <c r="E650" s="5" t="s">
        <v>37</v>
      </c>
      <c r="F650" s="5">
        <v>21</v>
      </c>
      <c r="G650" s="5">
        <v>2</v>
      </c>
      <c r="H650" s="5" t="s">
        <v>51</v>
      </c>
      <c r="I650" s="5">
        <v>1</v>
      </c>
      <c r="J650" s="5">
        <v>900</v>
      </c>
      <c r="K650" s="5">
        <v>3</v>
      </c>
      <c r="L650" s="5" t="s">
        <v>39</v>
      </c>
      <c r="M650" s="5">
        <v>54</v>
      </c>
      <c r="N650" s="5">
        <v>3</v>
      </c>
      <c r="O650" s="5">
        <v>1</v>
      </c>
      <c r="P650" s="5" t="s">
        <v>57</v>
      </c>
      <c r="Q650" s="5">
        <v>4</v>
      </c>
      <c r="R650" s="5" t="s">
        <v>48</v>
      </c>
      <c r="S650" s="5">
        <v>2973</v>
      </c>
      <c r="T650" s="5">
        <v>21222</v>
      </c>
      <c r="U650" s="5">
        <v>5</v>
      </c>
      <c r="V650" s="5" t="s">
        <v>42</v>
      </c>
      <c r="W650" s="5" t="s">
        <v>43</v>
      </c>
      <c r="X650" s="5">
        <v>15</v>
      </c>
      <c r="Y650" s="5">
        <v>3</v>
      </c>
      <c r="Z650" s="5">
        <v>2</v>
      </c>
      <c r="AA650" s="5">
        <v>80</v>
      </c>
      <c r="AB650" s="5">
        <v>1</v>
      </c>
      <c r="AC650" s="5">
        <v>10</v>
      </c>
      <c r="AD650" s="5">
        <v>3</v>
      </c>
      <c r="AE650" s="5">
        <v>3</v>
      </c>
      <c r="AF650" s="5">
        <v>5</v>
      </c>
      <c r="AG650" s="5">
        <v>4</v>
      </c>
      <c r="AH650" s="5">
        <v>0</v>
      </c>
      <c r="AI650" s="5">
        <v>0</v>
      </c>
    </row>
    <row r="651" spans="1:35" x14ac:dyDescent="0.25">
      <c r="A651" s="5">
        <v>53</v>
      </c>
      <c r="B651" s="5" t="s">
        <v>43</v>
      </c>
      <c r="C651" s="5" t="s">
        <v>36</v>
      </c>
      <c r="D651" s="5">
        <v>102</v>
      </c>
      <c r="E651" s="5" t="s">
        <v>45</v>
      </c>
      <c r="F651" s="5">
        <v>23</v>
      </c>
      <c r="G651" s="5">
        <v>4</v>
      </c>
      <c r="H651" s="5" t="s">
        <v>38</v>
      </c>
      <c r="I651" s="5">
        <v>1</v>
      </c>
      <c r="J651" s="5">
        <v>901</v>
      </c>
      <c r="K651" s="5">
        <v>4</v>
      </c>
      <c r="L651" s="5" t="s">
        <v>39</v>
      </c>
      <c r="M651" s="5">
        <v>72</v>
      </c>
      <c r="N651" s="5">
        <v>3</v>
      </c>
      <c r="O651" s="5">
        <v>4</v>
      </c>
      <c r="P651" s="5" t="s">
        <v>58</v>
      </c>
      <c r="Q651" s="5">
        <v>4</v>
      </c>
      <c r="R651" s="5" t="s">
        <v>41</v>
      </c>
      <c r="S651" s="5">
        <v>14275</v>
      </c>
      <c r="T651" s="5">
        <v>20206</v>
      </c>
      <c r="U651" s="5">
        <v>6</v>
      </c>
      <c r="V651" s="5" t="s">
        <v>42</v>
      </c>
      <c r="W651" s="5" t="s">
        <v>43</v>
      </c>
      <c r="X651" s="5">
        <v>18</v>
      </c>
      <c r="Y651" s="5">
        <v>3</v>
      </c>
      <c r="Z651" s="5">
        <v>3</v>
      </c>
      <c r="AA651" s="5">
        <v>80</v>
      </c>
      <c r="AB651" s="5">
        <v>0</v>
      </c>
      <c r="AC651" s="5">
        <v>33</v>
      </c>
      <c r="AD651" s="5">
        <v>0</v>
      </c>
      <c r="AE651" s="5">
        <v>3</v>
      </c>
      <c r="AF651" s="5">
        <v>12</v>
      </c>
      <c r="AG651" s="5">
        <v>9</v>
      </c>
      <c r="AH651" s="5">
        <v>3</v>
      </c>
      <c r="AI651" s="5">
        <v>8</v>
      </c>
    </row>
    <row r="652" spans="1:35" x14ac:dyDescent="0.25">
      <c r="A652" s="5">
        <v>43</v>
      </c>
      <c r="B652" s="5" t="s">
        <v>43</v>
      </c>
      <c r="C652" s="5" t="s">
        <v>44</v>
      </c>
      <c r="D652" s="5">
        <v>422</v>
      </c>
      <c r="E652" s="5" t="s">
        <v>45</v>
      </c>
      <c r="F652" s="5">
        <v>1</v>
      </c>
      <c r="G652" s="5">
        <v>3</v>
      </c>
      <c r="H652" s="5" t="s">
        <v>38</v>
      </c>
      <c r="I652" s="5">
        <v>1</v>
      </c>
      <c r="J652" s="5">
        <v>902</v>
      </c>
      <c r="K652" s="5">
        <v>4</v>
      </c>
      <c r="L652" s="5" t="s">
        <v>39</v>
      </c>
      <c r="M652" s="5">
        <v>33</v>
      </c>
      <c r="N652" s="5">
        <v>3</v>
      </c>
      <c r="O652" s="5">
        <v>2</v>
      </c>
      <c r="P652" s="5" t="s">
        <v>54</v>
      </c>
      <c r="Q652" s="5">
        <v>4</v>
      </c>
      <c r="R652" s="5" t="s">
        <v>48</v>
      </c>
      <c r="S652" s="5">
        <v>5562</v>
      </c>
      <c r="T652" s="5">
        <v>21782</v>
      </c>
      <c r="U652" s="5">
        <v>4</v>
      </c>
      <c r="V652" s="5" t="s">
        <v>42</v>
      </c>
      <c r="W652" s="5" t="s">
        <v>43</v>
      </c>
      <c r="X652" s="5">
        <v>13</v>
      </c>
      <c r="Y652" s="5">
        <v>3</v>
      </c>
      <c r="Z652" s="5">
        <v>2</v>
      </c>
      <c r="AA652" s="5">
        <v>80</v>
      </c>
      <c r="AB652" s="5">
        <v>1</v>
      </c>
      <c r="AC652" s="5">
        <v>12</v>
      </c>
      <c r="AD652" s="5">
        <v>2</v>
      </c>
      <c r="AE652" s="5">
        <v>2</v>
      </c>
      <c r="AF652" s="5">
        <v>5</v>
      </c>
      <c r="AG652" s="5">
        <v>2</v>
      </c>
      <c r="AH652" s="5">
        <v>2</v>
      </c>
      <c r="AI652" s="5">
        <v>2</v>
      </c>
    </row>
    <row r="653" spans="1:35" x14ac:dyDescent="0.25">
      <c r="A653" s="5">
        <v>47</v>
      </c>
      <c r="B653" s="5" t="s">
        <v>43</v>
      </c>
      <c r="C653" s="5" t="s">
        <v>36</v>
      </c>
      <c r="D653" s="5">
        <v>249</v>
      </c>
      <c r="E653" s="5" t="s">
        <v>37</v>
      </c>
      <c r="F653" s="5">
        <v>2</v>
      </c>
      <c r="G653" s="5">
        <v>2</v>
      </c>
      <c r="H653" s="5" t="s">
        <v>59</v>
      </c>
      <c r="I653" s="5">
        <v>1</v>
      </c>
      <c r="J653" s="5">
        <v>903</v>
      </c>
      <c r="K653" s="5">
        <v>3</v>
      </c>
      <c r="L653" s="5" t="s">
        <v>39</v>
      </c>
      <c r="M653" s="5">
        <v>35</v>
      </c>
      <c r="N653" s="5">
        <v>3</v>
      </c>
      <c r="O653" s="5">
        <v>2</v>
      </c>
      <c r="P653" s="5" t="s">
        <v>40</v>
      </c>
      <c r="Q653" s="5">
        <v>4</v>
      </c>
      <c r="R653" s="5" t="s">
        <v>48</v>
      </c>
      <c r="S653" s="5">
        <v>4537</v>
      </c>
      <c r="T653" s="5">
        <v>17783</v>
      </c>
      <c r="U653" s="5">
        <v>0</v>
      </c>
      <c r="V653" s="5" t="s">
        <v>42</v>
      </c>
      <c r="W653" s="5" t="s">
        <v>35</v>
      </c>
      <c r="X653" s="5">
        <v>22</v>
      </c>
      <c r="Y653" s="5">
        <v>4</v>
      </c>
      <c r="Z653" s="5">
        <v>1</v>
      </c>
      <c r="AA653" s="5">
        <v>80</v>
      </c>
      <c r="AB653" s="5">
        <v>1</v>
      </c>
      <c r="AC653" s="5">
        <v>8</v>
      </c>
      <c r="AD653" s="5">
        <v>2</v>
      </c>
      <c r="AE653" s="5">
        <v>3</v>
      </c>
      <c r="AF653" s="5">
        <v>7</v>
      </c>
      <c r="AG653" s="5">
        <v>6</v>
      </c>
      <c r="AH653" s="5">
        <v>7</v>
      </c>
      <c r="AI653" s="5">
        <v>7</v>
      </c>
    </row>
    <row r="654" spans="1:35" x14ac:dyDescent="0.25">
      <c r="A654" s="5">
        <v>37</v>
      </c>
      <c r="B654" s="5" t="s">
        <v>43</v>
      </c>
      <c r="C654" s="5" t="s">
        <v>55</v>
      </c>
      <c r="D654" s="5">
        <v>1252</v>
      </c>
      <c r="E654" s="5" t="s">
        <v>37</v>
      </c>
      <c r="F654" s="5">
        <v>19</v>
      </c>
      <c r="G654" s="5">
        <v>2</v>
      </c>
      <c r="H654" s="5" t="s">
        <v>51</v>
      </c>
      <c r="I654" s="5">
        <v>1</v>
      </c>
      <c r="J654" s="5">
        <v>904</v>
      </c>
      <c r="K654" s="5">
        <v>1</v>
      </c>
      <c r="L654" s="5" t="s">
        <v>46</v>
      </c>
      <c r="M654" s="5">
        <v>32</v>
      </c>
      <c r="N654" s="5">
        <v>3</v>
      </c>
      <c r="O654" s="5">
        <v>3</v>
      </c>
      <c r="P654" s="5" t="s">
        <v>40</v>
      </c>
      <c r="Q654" s="5">
        <v>2</v>
      </c>
      <c r="R654" s="5" t="s">
        <v>41</v>
      </c>
      <c r="S654" s="5">
        <v>7642</v>
      </c>
      <c r="T654" s="5">
        <v>4814</v>
      </c>
      <c r="U654" s="5">
        <v>1</v>
      </c>
      <c r="V654" s="5" t="s">
        <v>42</v>
      </c>
      <c r="W654" s="5" t="s">
        <v>35</v>
      </c>
      <c r="X654" s="5">
        <v>13</v>
      </c>
      <c r="Y654" s="5">
        <v>3</v>
      </c>
      <c r="Z654" s="5">
        <v>4</v>
      </c>
      <c r="AA654" s="5">
        <v>80</v>
      </c>
      <c r="AB654" s="5">
        <v>0</v>
      </c>
      <c r="AC654" s="5">
        <v>10</v>
      </c>
      <c r="AD654" s="5">
        <v>2</v>
      </c>
      <c r="AE654" s="5">
        <v>3</v>
      </c>
      <c r="AF654" s="5">
        <v>10</v>
      </c>
      <c r="AG654" s="5">
        <v>0</v>
      </c>
      <c r="AH654" s="5">
        <v>0</v>
      </c>
      <c r="AI654" s="5">
        <v>9</v>
      </c>
    </row>
    <row r="655" spans="1:35" x14ac:dyDescent="0.25">
      <c r="A655" s="5">
        <v>50</v>
      </c>
      <c r="B655" s="5" t="s">
        <v>43</v>
      </c>
      <c r="C655" s="5" t="s">
        <v>55</v>
      </c>
      <c r="D655" s="5">
        <v>881</v>
      </c>
      <c r="E655" s="5" t="s">
        <v>45</v>
      </c>
      <c r="F655" s="5">
        <v>2</v>
      </c>
      <c r="G655" s="5">
        <v>4</v>
      </c>
      <c r="H655" s="5" t="s">
        <v>38</v>
      </c>
      <c r="I655" s="5">
        <v>1</v>
      </c>
      <c r="J655" s="5">
        <v>905</v>
      </c>
      <c r="K655" s="5">
        <v>1</v>
      </c>
      <c r="L655" s="5" t="s">
        <v>46</v>
      </c>
      <c r="M655" s="5">
        <v>98</v>
      </c>
      <c r="N655" s="5">
        <v>3</v>
      </c>
      <c r="O655" s="5">
        <v>4</v>
      </c>
      <c r="P655" s="5" t="s">
        <v>56</v>
      </c>
      <c r="Q655" s="5">
        <v>1</v>
      </c>
      <c r="R655" s="5" t="s">
        <v>52</v>
      </c>
      <c r="S655" s="5">
        <v>17924</v>
      </c>
      <c r="T655" s="5">
        <v>4544</v>
      </c>
      <c r="U655" s="5">
        <v>1</v>
      </c>
      <c r="V655" s="5" t="s">
        <v>42</v>
      </c>
      <c r="W655" s="5" t="s">
        <v>43</v>
      </c>
      <c r="X655" s="5">
        <v>11</v>
      </c>
      <c r="Y655" s="5">
        <v>3</v>
      </c>
      <c r="Z655" s="5">
        <v>4</v>
      </c>
      <c r="AA655" s="5">
        <v>80</v>
      </c>
      <c r="AB655" s="5">
        <v>1</v>
      </c>
      <c r="AC655" s="5">
        <v>31</v>
      </c>
      <c r="AD655" s="5">
        <v>3</v>
      </c>
      <c r="AE655" s="5">
        <v>3</v>
      </c>
      <c r="AF655" s="5">
        <v>31</v>
      </c>
      <c r="AG655" s="5">
        <v>6</v>
      </c>
      <c r="AH655" s="5">
        <v>14</v>
      </c>
      <c r="AI655" s="5">
        <v>7</v>
      </c>
    </row>
    <row r="656" spans="1:35" x14ac:dyDescent="0.25">
      <c r="A656" s="5">
        <v>39</v>
      </c>
      <c r="B656" s="5" t="s">
        <v>43</v>
      </c>
      <c r="C656" s="5" t="s">
        <v>36</v>
      </c>
      <c r="D656" s="5">
        <v>1383</v>
      </c>
      <c r="E656" s="5" t="s">
        <v>61</v>
      </c>
      <c r="F656" s="5">
        <v>2</v>
      </c>
      <c r="G656" s="5">
        <v>3</v>
      </c>
      <c r="H656" s="5" t="s">
        <v>38</v>
      </c>
      <c r="I656" s="5">
        <v>1</v>
      </c>
      <c r="J656" s="5">
        <v>909</v>
      </c>
      <c r="K656" s="5">
        <v>4</v>
      </c>
      <c r="L656" s="5" t="s">
        <v>39</v>
      </c>
      <c r="M656" s="5">
        <v>42</v>
      </c>
      <c r="N656" s="5">
        <v>2</v>
      </c>
      <c r="O656" s="5">
        <v>2</v>
      </c>
      <c r="P656" s="5" t="s">
        <v>61</v>
      </c>
      <c r="Q656" s="5">
        <v>4</v>
      </c>
      <c r="R656" s="5" t="s">
        <v>48</v>
      </c>
      <c r="S656" s="5">
        <v>5204</v>
      </c>
      <c r="T656" s="5">
        <v>7790</v>
      </c>
      <c r="U656" s="5">
        <v>8</v>
      </c>
      <c r="V656" s="5" t="s">
        <v>42</v>
      </c>
      <c r="W656" s="5" t="s">
        <v>43</v>
      </c>
      <c r="X656" s="5">
        <v>11</v>
      </c>
      <c r="Y656" s="5">
        <v>3</v>
      </c>
      <c r="Z656" s="5">
        <v>3</v>
      </c>
      <c r="AA656" s="5">
        <v>80</v>
      </c>
      <c r="AB656" s="5">
        <v>2</v>
      </c>
      <c r="AC656" s="5">
        <v>13</v>
      </c>
      <c r="AD656" s="5">
        <v>2</v>
      </c>
      <c r="AE656" s="5">
        <v>3</v>
      </c>
      <c r="AF656" s="5">
        <v>5</v>
      </c>
      <c r="AG656" s="5">
        <v>4</v>
      </c>
      <c r="AH656" s="5">
        <v>0</v>
      </c>
      <c r="AI656" s="5">
        <v>4</v>
      </c>
    </row>
    <row r="657" spans="1:35" x14ac:dyDescent="0.25">
      <c r="A657" s="5">
        <v>33</v>
      </c>
      <c r="B657" s="5" t="s">
        <v>43</v>
      </c>
      <c r="C657" s="5" t="s">
        <v>36</v>
      </c>
      <c r="D657" s="5">
        <v>1075</v>
      </c>
      <c r="E657" s="5" t="s">
        <v>61</v>
      </c>
      <c r="F657" s="5">
        <v>3</v>
      </c>
      <c r="G657" s="5">
        <v>2</v>
      </c>
      <c r="H657" s="5" t="s">
        <v>61</v>
      </c>
      <c r="I657" s="5">
        <v>1</v>
      </c>
      <c r="J657" s="5">
        <v>910</v>
      </c>
      <c r="K657" s="5">
        <v>4</v>
      </c>
      <c r="L657" s="5" t="s">
        <v>46</v>
      </c>
      <c r="M657" s="5">
        <v>57</v>
      </c>
      <c r="N657" s="5">
        <v>3</v>
      </c>
      <c r="O657" s="5">
        <v>1</v>
      </c>
      <c r="P657" s="5" t="s">
        <v>61</v>
      </c>
      <c r="Q657" s="5">
        <v>2</v>
      </c>
      <c r="R657" s="5" t="s">
        <v>52</v>
      </c>
      <c r="S657" s="5">
        <v>2277</v>
      </c>
      <c r="T657" s="5">
        <v>22650</v>
      </c>
      <c r="U657" s="5">
        <v>3</v>
      </c>
      <c r="V657" s="5" t="s">
        <v>42</v>
      </c>
      <c r="W657" s="5" t="s">
        <v>35</v>
      </c>
      <c r="X657" s="5">
        <v>11</v>
      </c>
      <c r="Y657" s="5">
        <v>3</v>
      </c>
      <c r="Z657" s="5">
        <v>3</v>
      </c>
      <c r="AA657" s="5">
        <v>80</v>
      </c>
      <c r="AB657" s="5">
        <v>1</v>
      </c>
      <c r="AC657" s="5">
        <v>7</v>
      </c>
      <c r="AD657" s="5">
        <v>4</v>
      </c>
      <c r="AE657" s="5">
        <v>4</v>
      </c>
      <c r="AF657" s="5">
        <v>4</v>
      </c>
      <c r="AG657" s="5">
        <v>3</v>
      </c>
      <c r="AH657" s="5">
        <v>0</v>
      </c>
      <c r="AI657" s="5">
        <v>3</v>
      </c>
    </row>
    <row r="658" spans="1:35" x14ac:dyDescent="0.25">
      <c r="A658" s="5">
        <v>32</v>
      </c>
      <c r="B658" s="5" t="s">
        <v>35</v>
      </c>
      <c r="C658" s="5" t="s">
        <v>36</v>
      </c>
      <c r="D658" s="5">
        <v>374</v>
      </c>
      <c r="E658" s="5" t="s">
        <v>45</v>
      </c>
      <c r="F658" s="5">
        <v>25</v>
      </c>
      <c r="G658" s="5">
        <v>4</v>
      </c>
      <c r="H658" s="5" t="s">
        <v>38</v>
      </c>
      <c r="I658" s="5">
        <v>1</v>
      </c>
      <c r="J658" s="5">
        <v>911</v>
      </c>
      <c r="K658" s="5">
        <v>1</v>
      </c>
      <c r="L658" s="5" t="s">
        <v>46</v>
      </c>
      <c r="M658" s="5">
        <v>87</v>
      </c>
      <c r="N658" s="5">
        <v>3</v>
      </c>
      <c r="O658" s="5">
        <v>1</v>
      </c>
      <c r="P658" s="5" t="s">
        <v>50</v>
      </c>
      <c r="Q658" s="5">
        <v>4</v>
      </c>
      <c r="R658" s="5" t="s">
        <v>41</v>
      </c>
      <c r="S658" s="5">
        <v>2795</v>
      </c>
      <c r="T658" s="5">
        <v>18016</v>
      </c>
      <c r="U658" s="5">
        <v>1</v>
      </c>
      <c r="V658" s="5" t="s">
        <v>42</v>
      </c>
      <c r="W658" s="5" t="s">
        <v>35</v>
      </c>
      <c r="X658" s="5">
        <v>24</v>
      </c>
      <c r="Y658" s="5">
        <v>4</v>
      </c>
      <c r="Z658" s="5">
        <v>3</v>
      </c>
      <c r="AA658" s="5">
        <v>80</v>
      </c>
      <c r="AB658" s="5">
        <v>0</v>
      </c>
      <c r="AC658" s="5">
        <v>1</v>
      </c>
      <c r="AD658" s="5">
        <v>2</v>
      </c>
      <c r="AE658" s="5">
        <v>1</v>
      </c>
      <c r="AF658" s="5">
        <v>1</v>
      </c>
      <c r="AG658" s="5">
        <v>0</v>
      </c>
      <c r="AH658" s="5">
        <v>0</v>
      </c>
      <c r="AI658" s="5">
        <v>1</v>
      </c>
    </row>
    <row r="659" spans="1:35" x14ac:dyDescent="0.25">
      <c r="A659" s="5">
        <v>29</v>
      </c>
      <c r="B659" s="5" t="s">
        <v>43</v>
      </c>
      <c r="C659" s="5" t="s">
        <v>36</v>
      </c>
      <c r="D659" s="5">
        <v>1086</v>
      </c>
      <c r="E659" s="5" t="s">
        <v>45</v>
      </c>
      <c r="F659" s="5">
        <v>7</v>
      </c>
      <c r="G659" s="5">
        <v>1</v>
      </c>
      <c r="H659" s="5" t="s">
        <v>51</v>
      </c>
      <c r="I659" s="5">
        <v>1</v>
      </c>
      <c r="J659" s="5">
        <v>912</v>
      </c>
      <c r="K659" s="5">
        <v>1</v>
      </c>
      <c r="L659" s="5" t="s">
        <v>39</v>
      </c>
      <c r="M659" s="5">
        <v>62</v>
      </c>
      <c r="N659" s="5">
        <v>2</v>
      </c>
      <c r="O659" s="5">
        <v>1</v>
      </c>
      <c r="P659" s="5" t="s">
        <v>50</v>
      </c>
      <c r="Q659" s="5">
        <v>4</v>
      </c>
      <c r="R659" s="5" t="s">
        <v>52</v>
      </c>
      <c r="S659" s="5">
        <v>2532</v>
      </c>
      <c r="T659" s="5">
        <v>6054</v>
      </c>
      <c r="U659" s="5">
        <v>6</v>
      </c>
      <c r="V659" s="5" t="s">
        <v>42</v>
      </c>
      <c r="W659" s="5" t="s">
        <v>43</v>
      </c>
      <c r="X659" s="5">
        <v>14</v>
      </c>
      <c r="Y659" s="5">
        <v>3</v>
      </c>
      <c r="Z659" s="5">
        <v>3</v>
      </c>
      <c r="AA659" s="5">
        <v>80</v>
      </c>
      <c r="AB659" s="5">
        <v>3</v>
      </c>
      <c r="AC659" s="5">
        <v>8</v>
      </c>
      <c r="AD659" s="5">
        <v>5</v>
      </c>
      <c r="AE659" s="5">
        <v>3</v>
      </c>
      <c r="AF659" s="5">
        <v>4</v>
      </c>
      <c r="AG659" s="5">
        <v>3</v>
      </c>
      <c r="AH659" s="5">
        <v>0</v>
      </c>
      <c r="AI659" s="5">
        <v>3</v>
      </c>
    </row>
    <row r="660" spans="1:35" x14ac:dyDescent="0.25">
      <c r="A660" s="5">
        <v>44</v>
      </c>
      <c r="B660" s="5" t="s">
        <v>43</v>
      </c>
      <c r="C660" s="5" t="s">
        <v>36</v>
      </c>
      <c r="D660" s="5">
        <v>661</v>
      </c>
      <c r="E660" s="5" t="s">
        <v>45</v>
      </c>
      <c r="F660" s="5">
        <v>9</v>
      </c>
      <c r="G660" s="5">
        <v>2</v>
      </c>
      <c r="H660" s="5" t="s">
        <v>38</v>
      </c>
      <c r="I660" s="5">
        <v>1</v>
      </c>
      <c r="J660" s="5">
        <v>913</v>
      </c>
      <c r="K660" s="5">
        <v>2</v>
      </c>
      <c r="L660" s="5" t="s">
        <v>46</v>
      </c>
      <c r="M660" s="5">
        <v>61</v>
      </c>
      <c r="N660" s="5">
        <v>3</v>
      </c>
      <c r="O660" s="5">
        <v>1</v>
      </c>
      <c r="P660" s="5" t="s">
        <v>47</v>
      </c>
      <c r="Q660" s="5">
        <v>1</v>
      </c>
      <c r="R660" s="5" t="s">
        <v>48</v>
      </c>
      <c r="S660" s="5">
        <v>2559</v>
      </c>
      <c r="T660" s="5">
        <v>7508</v>
      </c>
      <c r="U660" s="5">
        <v>1</v>
      </c>
      <c r="V660" s="5" t="s">
        <v>42</v>
      </c>
      <c r="W660" s="5" t="s">
        <v>35</v>
      </c>
      <c r="X660" s="5">
        <v>13</v>
      </c>
      <c r="Y660" s="5">
        <v>3</v>
      </c>
      <c r="Z660" s="5">
        <v>4</v>
      </c>
      <c r="AA660" s="5">
        <v>80</v>
      </c>
      <c r="AB660" s="5">
        <v>0</v>
      </c>
      <c r="AC660" s="5">
        <v>8</v>
      </c>
      <c r="AD660" s="5">
        <v>0</v>
      </c>
      <c r="AE660" s="5">
        <v>3</v>
      </c>
      <c r="AF660" s="5">
        <v>8</v>
      </c>
      <c r="AG660" s="5">
        <v>7</v>
      </c>
      <c r="AH660" s="5">
        <v>7</v>
      </c>
      <c r="AI660" s="5">
        <v>1</v>
      </c>
    </row>
    <row r="661" spans="1:35" x14ac:dyDescent="0.25">
      <c r="A661" s="5">
        <v>28</v>
      </c>
      <c r="B661" s="5" t="s">
        <v>43</v>
      </c>
      <c r="C661" s="5" t="s">
        <v>36</v>
      </c>
      <c r="D661" s="5">
        <v>821</v>
      </c>
      <c r="E661" s="5" t="s">
        <v>37</v>
      </c>
      <c r="F661" s="5">
        <v>5</v>
      </c>
      <c r="G661" s="5">
        <v>4</v>
      </c>
      <c r="H661" s="5" t="s">
        <v>51</v>
      </c>
      <c r="I661" s="5">
        <v>1</v>
      </c>
      <c r="J661" s="5">
        <v>916</v>
      </c>
      <c r="K661" s="5">
        <v>1</v>
      </c>
      <c r="L661" s="5" t="s">
        <v>46</v>
      </c>
      <c r="M661" s="5">
        <v>98</v>
      </c>
      <c r="N661" s="5">
        <v>3</v>
      </c>
      <c r="O661" s="5">
        <v>2</v>
      </c>
      <c r="P661" s="5" t="s">
        <v>40</v>
      </c>
      <c r="Q661" s="5">
        <v>4</v>
      </c>
      <c r="R661" s="5" t="s">
        <v>41</v>
      </c>
      <c r="S661" s="5">
        <v>4908</v>
      </c>
      <c r="T661" s="5">
        <v>24252</v>
      </c>
      <c r="U661" s="5">
        <v>1</v>
      </c>
      <c r="V661" s="5" t="s">
        <v>42</v>
      </c>
      <c r="W661" s="5" t="s">
        <v>43</v>
      </c>
      <c r="X661" s="5">
        <v>14</v>
      </c>
      <c r="Y661" s="5">
        <v>3</v>
      </c>
      <c r="Z661" s="5">
        <v>2</v>
      </c>
      <c r="AA661" s="5">
        <v>80</v>
      </c>
      <c r="AB661" s="5">
        <v>0</v>
      </c>
      <c r="AC661" s="5">
        <v>4</v>
      </c>
      <c r="AD661" s="5">
        <v>3</v>
      </c>
      <c r="AE661" s="5">
        <v>3</v>
      </c>
      <c r="AF661" s="5">
        <v>4</v>
      </c>
      <c r="AG661" s="5">
        <v>2</v>
      </c>
      <c r="AH661" s="5">
        <v>0</v>
      </c>
      <c r="AI661" s="5">
        <v>2</v>
      </c>
    </row>
    <row r="662" spans="1:35" x14ac:dyDescent="0.25">
      <c r="A662" s="5">
        <v>58</v>
      </c>
      <c r="B662" s="5" t="s">
        <v>35</v>
      </c>
      <c r="C662" s="5" t="s">
        <v>44</v>
      </c>
      <c r="D662" s="5">
        <v>781</v>
      </c>
      <c r="E662" s="5" t="s">
        <v>45</v>
      </c>
      <c r="F662" s="5">
        <v>2</v>
      </c>
      <c r="G662" s="5">
        <v>1</v>
      </c>
      <c r="H662" s="5" t="s">
        <v>38</v>
      </c>
      <c r="I662" s="5">
        <v>1</v>
      </c>
      <c r="J662" s="5">
        <v>918</v>
      </c>
      <c r="K662" s="5">
        <v>4</v>
      </c>
      <c r="L662" s="5" t="s">
        <v>46</v>
      </c>
      <c r="M662" s="5">
        <v>57</v>
      </c>
      <c r="N662" s="5">
        <v>2</v>
      </c>
      <c r="O662" s="5">
        <v>1</v>
      </c>
      <c r="P662" s="5" t="s">
        <v>50</v>
      </c>
      <c r="Q662" s="5">
        <v>4</v>
      </c>
      <c r="R662" s="5" t="s">
        <v>52</v>
      </c>
      <c r="S662" s="5">
        <v>2380</v>
      </c>
      <c r="T662" s="5">
        <v>13384</v>
      </c>
      <c r="U662" s="5">
        <v>9</v>
      </c>
      <c r="V662" s="5" t="s">
        <v>42</v>
      </c>
      <c r="W662" s="5" t="s">
        <v>35</v>
      </c>
      <c r="X662" s="5">
        <v>14</v>
      </c>
      <c r="Y662" s="5">
        <v>3</v>
      </c>
      <c r="Z662" s="5">
        <v>4</v>
      </c>
      <c r="AA662" s="5">
        <v>80</v>
      </c>
      <c r="AB662" s="5">
        <v>1</v>
      </c>
      <c r="AC662" s="5">
        <v>3</v>
      </c>
      <c r="AD662" s="5">
        <v>3</v>
      </c>
      <c r="AE662" s="5">
        <v>2</v>
      </c>
      <c r="AF662" s="5">
        <v>1</v>
      </c>
      <c r="AG662" s="5">
        <v>0</v>
      </c>
      <c r="AH662" s="5">
        <v>0</v>
      </c>
      <c r="AI662" s="5">
        <v>0</v>
      </c>
    </row>
    <row r="663" spans="1:35" x14ac:dyDescent="0.25">
      <c r="A663" s="5">
        <v>43</v>
      </c>
      <c r="B663" s="5" t="s">
        <v>43</v>
      </c>
      <c r="C663" s="5" t="s">
        <v>36</v>
      </c>
      <c r="D663" s="5">
        <v>177</v>
      </c>
      <c r="E663" s="5" t="s">
        <v>45</v>
      </c>
      <c r="F663" s="5">
        <v>8</v>
      </c>
      <c r="G663" s="5">
        <v>3</v>
      </c>
      <c r="H663" s="5" t="s">
        <v>38</v>
      </c>
      <c r="I663" s="5">
        <v>1</v>
      </c>
      <c r="J663" s="5">
        <v>920</v>
      </c>
      <c r="K663" s="5">
        <v>1</v>
      </c>
      <c r="L663" s="5" t="s">
        <v>39</v>
      </c>
      <c r="M663" s="5">
        <v>55</v>
      </c>
      <c r="N663" s="5">
        <v>3</v>
      </c>
      <c r="O663" s="5">
        <v>2</v>
      </c>
      <c r="P663" s="5" t="s">
        <v>53</v>
      </c>
      <c r="Q663" s="5">
        <v>2</v>
      </c>
      <c r="R663" s="5" t="s">
        <v>52</v>
      </c>
      <c r="S663" s="5">
        <v>4765</v>
      </c>
      <c r="T663" s="5">
        <v>23814</v>
      </c>
      <c r="U663" s="5">
        <v>4</v>
      </c>
      <c r="V663" s="5" t="s">
        <v>42</v>
      </c>
      <c r="W663" s="5" t="s">
        <v>43</v>
      </c>
      <c r="X663" s="5">
        <v>21</v>
      </c>
      <c r="Y663" s="5">
        <v>4</v>
      </c>
      <c r="Z663" s="5">
        <v>3</v>
      </c>
      <c r="AA663" s="5">
        <v>80</v>
      </c>
      <c r="AB663" s="5">
        <v>1</v>
      </c>
      <c r="AC663" s="5">
        <v>4</v>
      </c>
      <c r="AD663" s="5">
        <v>2</v>
      </c>
      <c r="AE663" s="5">
        <v>4</v>
      </c>
      <c r="AF663" s="5">
        <v>1</v>
      </c>
      <c r="AG663" s="5">
        <v>0</v>
      </c>
      <c r="AH663" s="5">
        <v>0</v>
      </c>
      <c r="AI663" s="5">
        <v>0</v>
      </c>
    </row>
    <row r="664" spans="1:35" x14ac:dyDescent="0.25">
      <c r="A664" s="5">
        <v>20</v>
      </c>
      <c r="B664" s="5" t="s">
        <v>35</v>
      </c>
      <c r="C664" s="5" t="s">
        <v>36</v>
      </c>
      <c r="D664" s="5">
        <v>500</v>
      </c>
      <c r="E664" s="5" t="s">
        <v>37</v>
      </c>
      <c r="F664" s="5">
        <v>2</v>
      </c>
      <c r="G664" s="5">
        <v>3</v>
      </c>
      <c r="H664" s="5" t="s">
        <v>51</v>
      </c>
      <c r="I664" s="5">
        <v>1</v>
      </c>
      <c r="J664" s="5">
        <v>922</v>
      </c>
      <c r="K664" s="5">
        <v>3</v>
      </c>
      <c r="L664" s="5" t="s">
        <v>39</v>
      </c>
      <c r="M664" s="5">
        <v>49</v>
      </c>
      <c r="N664" s="5">
        <v>2</v>
      </c>
      <c r="O664" s="5">
        <v>1</v>
      </c>
      <c r="P664" s="5" t="s">
        <v>57</v>
      </c>
      <c r="Q664" s="5">
        <v>3</v>
      </c>
      <c r="R664" s="5" t="s">
        <v>41</v>
      </c>
      <c r="S664" s="5">
        <v>2044</v>
      </c>
      <c r="T664" s="5">
        <v>22052</v>
      </c>
      <c r="U664" s="5">
        <v>1</v>
      </c>
      <c r="V664" s="5" t="s">
        <v>42</v>
      </c>
      <c r="W664" s="5" t="s">
        <v>43</v>
      </c>
      <c r="X664" s="5">
        <v>13</v>
      </c>
      <c r="Y664" s="5">
        <v>3</v>
      </c>
      <c r="Z664" s="5">
        <v>4</v>
      </c>
      <c r="AA664" s="5">
        <v>80</v>
      </c>
      <c r="AB664" s="5">
        <v>0</v>
      </c>
      <c r="AC664" s="5">
        <v>2</v>
      </c>
      <c r="AD664" s="5">
        <v>3</v>
      </c>
      <c r="AE664" s="5">
        <v>2</v>
      </c>
      <c r="AF664" s="5">
        <v>2</v>
      </c>
      <c r="AG664" s="5">
        <v>2</v>
      </c>
      <c r="AH664" s="5">
        <v>0</v>
      </c>
      <c r="AI664" s="5">
        <v>2</v>
      </c>
    </row>
    <row r="665" spans="1:35" x14ac:dyDescent="0.25">
      <c r="A665" s="5">
        <v>21</v>
      </c>
      <c r="B665" s="5" t="s">
        <v>35</v>
      </c>
      <c r="C665" s="5" t="s">
        <v>36</v>
      </c>
      <c r="D665" s="5">
        <v>1427</v>
      </c>
      <c r="E665" s="5" t="s">
        <v>45</v>
      </c>
      <c r="F665" s="5">
        <v>18</v>
      </c>
      <c r="G665" s="5">
        <v>1</v>
      </c>
      <c r="H665" s="5" t="s">
        <v>49</v>
      </c>
      <c r="I665" s="5">
        <v>1</v>
      </c>
      <c r="J665" s="5">
        <v>923</v>
      </c>
      <c r="K665" s="5">
        <v>4</v>
      </c>
      <c r="L665" s="5" t="s">
        <v>39</v>
      </c>
      <c r="M665" s="5">
        <v>65</v>
      </c>
      <c r="N665" s="5">
        <v>3</v>
      </c>
      <c r="O665" s="5">
        <v>1</v>
      </c>
      <c r="P665" s="5" t="s">
        <v>47</v>
      </c>
      <c r="Q665" s="5">
        <v>4</v>
      </c>
      <c r="R665" s="5" t="s">
        <v>41</v>
      </c>
      <c r="S665" s="5">
        <v>2693</v>
      </c>
      <c r="T665" s="5">
        <v>8870</v>
      </c>
      <c r="U665" s="5">
        <v>1</v>
      </c>
      <c r="V665" s="5" t="s">
        <v>42</v>
      </c>
      <c r="W665" s="5" t="s">
        <v>43</v>
      </c>
      <c r="X665" s="5">
        <v>19</v>
      </c>
      <c r="Y665" s="5">
        <v>3</v>
      </c>
      <c r="Z665" s="5">
        <v>1</v>
      </c>
      <c r="AA665" s="5">
        <v>80</v>
      </c>
      <c r="AB665" s="5">
        <v>0</v>
      </c>
      <c r="AC665" s="5">
        <v>1</v>
      </c>
      <c r="AD665" s="5">
        <v>3</v>
      </c>
      <c r="AE665" s="5">
        <v>2</v>
      </c>
      <c r="AF665" s="5">
        <v>1</v>
      </c>
      <c r="AG665" s="5">
        <v>0</v>
      </c>
      <c r="AH665" s="5">
        <v>0</v>
      </c>
      <c r="AI665" s="5">
        <v>0</v>
      </c>
    </row>
    <row r="666" spans="1:35" x14ac:dyDescent="0.25">
      <c r="A666" s="5">
        <v>36</v>
      </c>
      <c r="B666" s="5" t="s">
        <v>43</v>
      </c>
      <c r="C666" s="5" t="s">
        <v>36</v>
      </c>
      <c r="D666" s="5">
        <v>1425</v>
      </c>
      <c r="E666" s="5" t="s">
        <v>45</v>
      </c>
      <c r="F666" s="5">
        <v>14</v>
      </c>
      <c r="G666" s="5">
        <v>1</v>
      </c>
      <c r="H666" s="5" t="s">
        <v>38</v>
      </c>
      <c r="I666" s="5">
        <v>1</v>
      </c>
      <c r="J666" s="5">
        <v>924</v>
      </c>
      <c r="K666" s="5">
        <v>3</v>
      </c>
      <c r="L666" s="5" t="s">
        <v>46</v>
      </c>
      <c r="M666" s="5">
        <v>68</v>
      </c>
      <c r="N666" s="5">
        <v>3</v>
      </c>
      <c r="O666" s="5">
        <v>2</v>
      </c>
      <c r="P666" s="5" t="s">
        <v>54</v>
      </c>
      <c r="Q666" s="5">
        <v>4</v>
      </c>
      <c r="R666" s="5" t="s">
        <v>48</v>
      </c>
      <c r="S666" s="5">
        <v>6586</v>
      </c>
      <c r="T666" s="5">
        <v>4821</v>
      </c>
      <c r="U666" s="5">
        <v>0</v>
      </c>
      <c r="V666" s="5" t="s">
        <v>42</v>
      </c>
      <c r="W666" s="5" t="s">
        <v>35</v>
      </c>
      <c r="X666" s="5">
        <v>17</v>
      </c>
      <c r="Y666" s="5">
        <v>3</v>
      </c>
      <c r="Z666" s="5">
        <v>1</v>
      </c>
      <c r="AA666" s="5">
        <v>80</v>
      </c>
      <c r="AB666" s="5">
        <v>1</v>
      </c>
      <c r="AC666" s="5">
        <v>17</v>
      </c>
      <c r="AD666" s="5">
        <v>2</v>
      </c>
      <c r="AE666" s="5">
        <v>2</v>
      </c>
      <c r="AF666" s="5">
        <v>16</v>
      </c>
      <c r="AG666" s="5">
        <v>8</v>
      </c>
      <c r="AH666" s="5">
        <v>4</v>
      </c>
      <c r="AI666" s="5">
        <v>11</v>
      </c>
    </row>
    <row r="667" spans="1:35" x14ac:dyDescent="0.25">
      <c r="A667" s="5">
        <v>47</v>
      </c>
      <c r="B667" s="5" t="s">
        <v>43</v>
      </c>
      <c r="C667" s="5" t="s">
        <v>36</v>
      </c>
      <c r="D667" s="5">
        <v>1454</v>
      </c>
      <c r="E667" s="5" t="s">
        <v>37</v>
      </c>
      <c r="F667" s="5">
        <v>2</v>
      </c>
      <c r="G667" s="5">
        <v>4</v>
      </c>
      <c r="H667" s="5" t="s">
        <v>38</v>
      </c>
      <c r="I667" s="5">
        <v>1</v>
      </c>
      <c r="J667" s="5">
        <v>925</v>
      </c>
      <c r="K667" s="5">
        <v>4</v>
      </c>
      <c r="L667" s="5" t="s">
        <v>39</v>
      </c>
      <c r="M667" s="5">
        <v>65</v>
      </c>
      <c r="N667" s="5">
        <v>2</v>
      </c>
      <c r="O667" s="5">
        <v>1</v>
      </c>
      <c r="P667" s="5" t="s">
        <v>57</v>
      </c>
      <c r="Q667" s="5">
        <v>4</v>
      </c>
      <c r="R667" s="5" t="s">
        <v>41</v>
      </c>
      <c r="S667" s="5">
        <v>3294</v>
      </c>
      <c r="T667" s="5">
        <v>13137</v>
      </c>
      <c r="U667" s="5">
        <v>1</v>
      </c>
      <c r="V667" s="5" t="s">
        <v>42</v>
      </c>
      <c r="W667" s="5" t="s">
        <v>35</v>
      </c>
      <c r="X667" s="5">
        <v>18</v>
      </c>
      <c r="Y667" s="5">
        <v>3</v>
      </c>
      <c r="Z667" s="5">
        <v>1</v>
      </c>
      <c r="AA667" s="5">
        <v>80</v>
      </c>
      <c r="AB667" s="5">
        <v>0</v>
      </c>
      <c r="AC667" s="5">
        <v>3</v>
      </c>
      <c r="AD667" s="5">
        <v>3</v>
      </c>
      <c r="AE667" s="5">
        <v>2</v>
      </c>
      <c r="AF667" s="5">
        <v>3</v>
      </c>
      <c r="AG667" s="5">
        <v>2</v>
      </c>
      <c r="AH667" s="5">
        <v>1</v>
      </c>
      <c r="AI667" s="5">
        <v>2</v>
      </c>
    </row>
    <row r="668" spans="1:35" x14ac:dyDescent="0.25">
      <c r="A668" s="5">
        <v>22</v>
      </c>
      <c r="B668" s="5" t="s">
        <v>35</v>
      </c>
      <c r="C668" s="5" t="s">
        <v>36</v>
      </c>
      <c r="D668" s="5">
        <v>617</v>
      </c>
      <c r="E668" s="5" t="s">
        <v>45</v>
      </c>
      <c r="F668" s="5">
        <v>3</v>
      </c>
      <c r="G668" s="5">
        <v>1</v>
      </c>
      <c r="H668" s="5" t="s">
        <v>38</v>
      </c>
      <c r="I668" s="5">
        <v>1</v>
      </c>
      <c r="J668" s="5">
        <v>926</v>
      </c>
      <c r="K668" s="5">
        <v>2</v>
      </c>
      <c r="L668" s="5" t="s">
        <v>39</v>
      </c>
      <c r="M668" s="5">
        <v>34</v>
      </c>
      <c r="N668" s="5">
        <v>3</v>
      </c>
      <c r="O668" s="5">
        <v>2</v>
      </c>
      <c r="P668" s="5" t="s">
        <v>53</v>
      </c>
      <c r="Q668" s="5">
        <v>3</v>
      </c>
      <c r="R668" s="5" t="s">
        <v>48</v>
      </c>
      <c r="S668" s="5">
        <v>4171</v>
      </c>
      <c r="T668" s="5">
        <v>10022</v>
      </c>
      <c r="U668" s="5">
        <v>0</v>
      </c>
      <c r="V668" s="5" t="s">
        <v>42</v>
      </c>
      <c r="W668" s="5" t="s">
        <v>35</v>
      </c>
      <c r="X668" s="5">
        <v>19</v>
      </c>
      <c r="Y668" s="5">
        <v>3</v>
      </c>
      <c r="Z668" s="5">
        <v>1</v>
      </c>
      <c r="AA668" s="5">
        <v>80</v>
      </c>
      <c r="AB668" s="5">
        <v>1</v>
      </c>
      <c r="AC668" s="5">
        <v>4</v>
      </c>
      <c r="AD668" s="5">
        <v>3</v>
      </c>
      <c r="AE668" s="5">
        <v>4</v>
      </c>
      <c r="AF668" s="5">
        <v>3</v>
      </c>
      <c r="AG668" s="5">
        <v>2</v>
      </c>
      <c r="AH668" s="5">
        <v>0</v>
      </c>
      <c r="AI668" s="5">
        <v>2</v>
      </c>
    </row>
    <row r="669" spans="1:35" x14ac:dyDescent="0.25">
      <c r="A669" s="5">
        <v>41</v>
      </c>
      <c r="B669" s="5" t="s">
        <v>35</v>
      </c>
      <c r="C669" s="5" t="s">
        <v>36</v>
      </c>
      <c r="D669" s="5">
        <v>1085</v>
      </c>
      <c r="E669" s="5" t="s">
        <v>45</v>
      </c>
      <c r="F669" s="5">
        <v>2</v>
      </c>
      <c r="G669" s="5">
        <v>4</v>
      </c>
      <c r="H669" s="5" t="s">
        <v>38</v>
      </c>
      <c r="I669" s="5">
        <v>1</v>
      </c>
      <c r="J669" s="5">
        <v>927</v>
      </c>
      <c r="K669" s="5">
        <v>2</v>
      </c>
      <c r="L669" s="5" t="s">
        <v>39</v>
      </c>
      <c r="M669" s="5">
        <v>57</v>
      </c>
      <c r="N669" s="5">
        <v>1</v>
      </c>
      <c r="O669" s="5">
        <v>1</v>
      </c>
      <c r="P669" s="5" t="s">
        <v>50</v>
      </c>
      <c r="Q669" s="5">
        <v>4</v>
      </c>
      <c r="R669" s="5" t="s">
        <v>52</v>
      </c>
      <c r="S669" s="5">
        <v>2778</v>
      </c>
      <c r="T669" s="5">
        <v>17725</v>
      </c>
      <c r="U669" s="5">
        <v>4</v>
      </c>
      <c r="V669" s="5" t="s">
        <v>42</v>
      </c>
      <c r="W669" s="5" t="s">
        <v>35</v>
      </c>
      <c r="X669" s="5">
        <v>13</v>
      </c>
      <c r="Y669" s="5">
        <v>3</v>
      </c>
      <c r="Z669" s="5">
        <v>3</v>
      </c>
      <c r="AA669" s="5">
        <v>80</v>
      </c>
      <c r="AB669" s="5">
        <v>1</v>
      </c>
      <c r="AC669" s="5">
        <v>10</v>
      </c>
      <c r="AD669" s="5">
        <v>1</v>
      </c>
      <c r="AE669" s="5">
        <v>2</v>
      </c>
      <c r="AF669" s="5">
        <v>7</v>
      </c>
      <c r="AG669" s="5">
        <v>7</v>
      </c>
      <c r="AH669" s="5">
        <v>1</v>
      </c>
      <c r="AI669" s="5">
        <v>0</v>
      </c>
    </row>
    <row r="670" spans="1:35" x14ac:dyDescent="0.25">
      <c r="A670" s="5">
        <v>28</v>
      </c>
      <c r="B670" s="5" t="s">
        <v>43</v>
      </c>
      <c r="C670" s="5" t="s">
        <v>36</v>
      </c>
      <c r="D670" s="5">
        <v>995</v>
      </c>
      <c r="E670" s="5" t="s">
        <v>45</v>
      </c>
      <c r="F670" s="5">
        <v>9</v>
      </c>
      <c r="G670" s="5">
        <v>3</v>
      </c>
      <c r="H670" s="5" t="s">
        <v>51</v>
      </c>
      <c r="I670" s="5">
        <v>1</v>
      </c>
      <c r="J670" s="5">
        <v>930</v>
      </c>
      <c r="K670" s="5">
        <v>3</v>
      </c>
      <c r="L670" s="5" t="s">
        <v>39</v>
      </c>
      <c r="M670" s="5">
        <v>77</v>
      </c>
      <c r="N670" s="5">
        <v>3</v>
      </c>
      <c r="O670" s="5">
        <v>1</v>
      </c>
      <c r="P670" s="5" t="s">
        <v>47</v>
      </c>
      <c r="Q670" s="5">
        <v>3</v>
      </c>
      <c r="R670" s="5" t="s">
        <v>52</v>
      </c>
      <c r="S670" s="5">
        <v>2377</v>
      </c>
      <c r="T670" s="5">
        <v>9834</v>
      </c>
      <c r="U670" s="5">
        <v>5</v>
      </c>
      <c r="V670" s="5" t="s">
        <v>42</v>
      </c>
      <c r="W670" s="5" t="s">
        <v>43</v>
      </c>
      <c r="X670" s="5">
        <v>18</v>
      </c>
      <c r="Y670" s="5">
        <v>3</v>
      </c>
      <c r="Z670" s="5">
        <v>2</v>
      </c>
      <c r="AA670" s="5">
        <v>80</v>
      </c>
      <c r="AB670" s="5">
        <v>1</v>
      </c>
      <c r="AC670" s="5">
        <v>6</v>
      </c>
      <c r="AD670" s="5">
        <v>2</v>
      </c>
      <c r="AE670" s="5">
        <v>3</v>
      </c>
      <c r="AF670" s="5">
        <v>2</v>
      </c>
      <c r="AG670" s="5">
        <v>2</v>
      </c>
      <c r="AH670" s="5">
        <v>2</v>
      </c>
      <c r="AI670" s="5">
        <v>2</v>
      </c>
    </row>
    <row r="671" spans="1:35" x14ac:dyDescent="0.25">
      <c r="A671" s="5">
        <v>39</v>
      </c>
      <c r="B671" s="5" t="s">
        <v>35</v>
      </c>
      <c r="C671" s="5" t="s">
        <v>36</v>
      </c>
      <c r="D671" s="5">
        <v>1122</v>
      </c>
      <c r="E671" s="5" t="s">
        <v>45</v>
      </c>
      <c r="F671" s="5">
        <v>6</v>
      </c>
      <c r="G671" s="5">
        <v>3</v>
      </c>
      <c r="H671" s="5" t="s">
        <v>51</v>
      </c>
      <c r="I671" s="5">
        <v>1</v>
      </c>
      <c r="J671" s="5">
        <v>932</v>
      </c>
      <c r="K671" s="5">
        <v>4</v>
      </c>
      <c r="L671" s="5" t="s">
        <v>46</v>
      </c>
      <c r="M671" s="5">
        <v>70</v>
      </c>
      <c r="N671" s="5">
        <v>3</v>
      </c>
      <c r="O671" s="5">
        <v>1</v>
      </c>
      <c r="P671" s="5" t="s">
        <v>50</v>
      </c>
      <c r="Q671" s="5">
        <v>1</v>
      </c>
      <c r="R671" s="5" t="s">
        <v>48</v>
      </c>
      <c r="S671" s="5">
        <v>2404</v>
      </c>
      <c r="T671" s="5">
        <v>4303</v>
      </c>
      <c r="U671" s="5">
        <v>7</v>
      </c>
      <c r="V671" s="5" t="s">
        <v>42</v>
      </c>
      <c r="W671" s="5" t="s">
        <v>35</v>
      </c>
      <c r="X671" s="5">
        <v>21</v>
      </c>
      <c r="Y671" s="5">
        <v>4</v>
      </c>
      <c r="Z671" s="5">
        <v>4</v>
      </c>
      <c r="AA671" s="5">
        <v>80</v>
      </c>
      <c r="AB671" s="5">
        <v>0</v>
      </c>
      <c r="AC671" s="5">
        <v>8</v>
      </c>
      <c r="AD671" s="5">
        <v>2</v>
      </c>
      <c r="AE671" s="5">
        <v>1</v>
      </c>
      <c r="AF671" s="5">
        <v>2</v>
      </c>
      <c r="AG671" s="5">
        <v>2</v>
      </c>
      <c r="AH671" s="5">
        <v>2</v>
      </c>
      <c r="AI671" s="5">
        <v>2</v>
      </c>
    </row>
    <row r="672" spans="1:35" x14ac:dyDescent="0.25">
      <c r="A672" s="5">
        <v>27</v>
      </c>
      <c r="B672" s="5" t="s">
        <v>43</v>
      </c>
      <c r="C672" s="5" t="s">
        <v>36</v>
      </c>
      <c r="D672" s="5">
        <v>618</v>
      </c>
      <c r="E672" s="5" t="s">
        <v>45</v>
      </c>
      <c r="F672" s="5">
        <v>4</v>
      </c>
      <c r="G672" s="5">
        <v>3</v>
      </c>
      <c r="H672" s="5" t="s">
        <v>38</v>
      </c>
      <c r="I672" s="5">
        <v>1</v>
      </c>
      <c r="J672" s="5">
        <v>933</v>
      </c>
      <c r="K672" s="5">
        <v>2</v>
      </c>
      <c r="L672" s="5" t="s">
        <v>39</v>
      </c>
      <c r="M672" s="5">
        <v>76</v>
      </c>
      <c r="N672" s="5">
        <v>3</v>
      </c>
      <c r="O672" s="5">
        <v>1</v>
      </c>
      <c r="P672" s="5" t="s">
        <v>47</v>
      </c>
      <c r="Q672" s="5">
        <v>3</v>
      </c>
      <c r="R672" s="5" t="s">
        <v>41</v>
      </c>
      <c r="S672" s="5">
        <v>2318</v>
      </c>
      <c r="T672" s="5">
        <v>17808</v>
      </c>
      <c r="U672" s="5">
        <v>1</v>
      </c>
      <c r="V672" s="5" t="s">
        <v>42</v>
      </c>
      <c r="W672" s="5" t="s">
        <v>43</v>
      </c>
      <c r="X672" s="5">
        <v>19</v>
      </c>
      <c r="Y672" s="5">
        <v>3</v>
      </c>
      <c r="Z672" s="5">
        <v>3</v>
      </c>
      <c r="AA672" s="5">
        <v>80</v>
      </c>
      <c r="AB672" s="5">
        <v>0</v>
      </c>
      <c r="AC672" s="5">
        <v>1</v>
      </c>
      <c r="AD672" s="5">
        <v>2</v>
      </c>
      <c r="AE672" s="5">
        <v>3</v>
      </c>
      <c r="AF672" s="5">
        <v>1</v>
      </c>
      <c r="AG672" s="5">
        <v>1</v>
      </c>
      <c r="AH672" s="5">
        <v>0</v>
      </c>
      <c r="AI672" s="5">
        <v>0</v>
      </c>
    </row>
    <row r="673" spans="1:35" x14ac:dyDescent="0.25">
      <c r="A673" s="5">
        <v>34</v>
      </c>
      <c r="B673" s="5" t="s">
        <v>43</v>
      </c>
      <c r="C673" s="5" t="s">
        <v>36</v>
      </c>
      <c r="D673" s="5">
        <v>546</v>
      </c>
      <c r="E673" s="5" t="s">
        <v>45</v>
      </c>
      <c r="F673" s="5">
        <v>10</v>
      </c>
      <c r="G673" s="5">
        <v>3</v>
      </c>
      <c r="H673" s="5" t="s">
        <v>38</v>
      </c>
      <c r="I673" s="5">
        <v>1</v>
      </c>
      <c r="J673" s="5">
        <v>934</v>
      </c>
      <c r="K673" s="5">
        <v>2</v>
      </c>
      <c r="L673" s="5" t="s">
        <v>46</v>
      </c>
      <c r="M673" s="5">
        <v>83</v>
      </c>
      <c r="N673" s="5">
        <v>3</v>
      </c>
      <c r="O673" s="5">
        <v>1</v>
      </c>
      <c r="P673" s="5" t="s">
        <v>50</v>
      </c>
      <c r="Q673" s="5">
        <v>2</v>
      </c>
      <c r="R673" s="5" t="s">
        <v>52</v>
      </c>
      <c r="S673" s="5">
        <v>2008</v>
      </c>
      <c r="T673" s="5">
        <v>6896</v>
      </c>
      <c r="U673" s="5">
        <v>1</v>
      </c>
      <c r="V673" s="5" t="s">
        <v>42</v>
      </c>
      <c r="W673" s="5" t="s">
        <v>43</v>
      </c>
      <c r="X673" s="5">
        <v>14</v>
      </c>
      <c r="Y673" s="5">
        <v>3</v>
      </c>
      <c r="Z673" s="5">
        <v>2</v>
      </c>
      <c r="AA673" s="5">
        <v>80</v>
      </c>
      <c r="AB673" s="5">
        <v>2</v>
      </c>
      <c r="AC673" s="5">
        <v>1</v>
      </c>
      <c r="AD673" s="5">
        <v>3</v>
      </c>
      <c r="AE673" s="5">
        <v>3</v>
      </c>
      <c r="AF673" s="5">
        <v>1</v>
      </c>
      <c r="AG673" s="5">
        <v>0</v>
      </c>
      <c r="AH673" s="5">
        <v>1</v>
      </c>
      <c r="AI673" s="5">
        <v>0</v>
      </c>
    </row>
    <row r="674" spans="1:35" x14ac:dyDescent="0.25">
      <c r="A674" s="5">
        <v>42</v>
      </c>
      <c r="B674" s="5" t="s">
        <v>43</v>
      </c>
      <c r="C674" s="5" t="s">
        <v>36</v>
      </c>
      <c r="D674" s="5">
        <v>462</v>
      </c>
      <c r="E674" s="5" t="s">
        <v>37</v>
      </c>
      <c r="F674" s="5">
        <v>14</v>
      </c>
      <c r="G674" s="5">
        <v>2</v>
      </c>
      <c r="H674" s="5" t="s">
        <v>51</v>
      </c>
      <c r="I674" s="5">
        <v>1</v>
      </c>
      <c r="J674" s="5">
        <v>936</v>
      </c>
      <c r="K674" s="5">
        <v>3</v>
      </c>
      <c r="L674" s="5" t="s">
        <v>39</v>
      </c>
      <c r="M674" s="5">
        <v>68</v>
      </c>
      <c r="N674" s="5">
        <v>2</v>
      </c>
      <c r="O674" s="5">
        <v>2</v>
      </c>
      <c r="P674" s="5" t="s">
        <v>40</v>
      </c>
      <c r="Q674" s="5">
        <v>3</v>
      </c>
      <c r="R674" s="5" t="s">
        <v>41</v>
      </c>
      <c r="S674" s="5">
        <v>6244</v>
      </c>
      <c r="T674" s="5">
        <v>7824</v>
      </c>
      <c r="U674" s="5">
        <v>7</v>
      </c>
      <c r="V674" s="5" t="s">
        <v>42</v>
      </c>
      <c r="W674" s="5" t="s">
        <v>43</v>
      </c>
      <c r="X674" s="5">
        <v>17</v>
      </c>
      <c r="Y674" s="5">
        <v>3</v>
      </c>
      <c r="Z674" s="5">
        <v>1</v>
      </c>
      <c r="AA674" s="5">
        <v>80</v>
      </c>
      <c r="AB674" s="5">
        <v>0</v>
      </c>
      <c r="AC674" s="5">
        <v>10</v>
      </c>
      <c r="AD674" s="5">
        <v>6</v>
      </c>
      <c r="AE674" s="5">
        <v>3</v>
      </c>
      <c r="AF674" s="5">
        <v>5</v>
      </c>
      <c r="AG674" s="5">
        <v>4</v>
      </c>
      <c r="AH674" s="5">
        <v>0</v>
      </c>
      <c r="AI674" s="5">
        <v>3</v>
      </c>
    </row>
    <row r="675" spans="1:35" x14ac:dyDescent="0.25">
      <c r="A675" s="5">
        <v>33</v>
      </c>
      <c r="B675" s="5" t="s">
        <v>43</v>
      </c>
      <c r="C675" s="5" t="s">
        <v>36</v>
      </c>
      <c r="D675" s="5">
        <v>1198</v>
      </c>
      <c r="E675" s="5" t="s">
        <v>45</v>
      </c>
      <c r="F675" s="5">
        <v>1</v>
      </c>
      <c r="G675" s="5">
        <v>4</v>
      </c>
      <c r="H675" s="5" t="s">
        <v>49</v>
      </c>
      <c r="I675" s="5">
        <v>1</v>
      </c>
      <c r="J675" s="5">
        <v>939</v>
      </c>
      <c r="K675" s="5">
        <v>3</v>
      </c>
      <c r="L675" s="5" t="s">
        <v>46</v>
      </c>
      <c r="M675" s="5">
        <v>100</v>
      </c>
      <c r="N675" s="5">
        <v>2</v>
      </c>
      <c r="O675" s="5">
        <v>1</v>
      </c>
      <c r="P675" s="5" t="s">
        <v>47</v>
      </c>
      <c r="Q675" s="5">
        <v>1</v>
      </c>
      <c r="R675" s="5" t="s">
        <v>41</v>
      </c>
      <c r="S675" s="5">
        <v>2799</v>
      </c>
      <c r="T675" s="5">
        <v>3339</v>
      </c>
      <c r="U675" s="5">
        <v>3</v>
      </c>
      <c r="V675" s="5" t="s">
        <v>42</v>
      </c>
      <c r="W675" s="5" t="s">
        <v>35</v>
      </c>
      <c r="X675" s="5">
        <v>11</v>
      </c>
      <c r="Y675" s="5">
        <v>3</v>
      </c>
      <c r="Z675" s="5">
        <v>2</v>
      </c>
      <c r="AA675" s="5">
        <v>80</v>
      </c>
      <c r="AB675" s="5">
        <v>0</v>
      </c>
      <c r="AC675" s="5">
        <v>6</v>
      </c>
      <c r="AD675" s="5">
        <v>1</v>
      </c>
      <c r="AE675" s="5">
        <v>3</v>
      </c>
      <c r="AF675" s="5">
        <v>3</v>
      </c>
      <c r="AG675" s="5">
        <v>2</v>
      </c>
      <c r="AH675" s="5">
        <v>0</v>
      </c>
      <c r="AI675" s="5">
        <v>2</v>
      </c>
    </row>
    <row r="676" spans="1:35" x14ac:dyDescent="0.25">
      <c r="A676" s="5">
        <v>58</v>
      </c>
      <c r="B676" s="5" t="s">
        <v>43</v>
      </c>
      <c r="C676" s="5" t="s">
        <v>36</v>
      </c>
      <c r="D676" s="5">
        <v>1272</v>
      </c>
      <c r="E676" s="5" t="s">
        <v>45</v>
      </c>
      <c r="F676" s="5">
        <v>5</v>
      </c>
      <c r="G676" s="5">
        <v>3</v>
      </c>
      <c r="H676" s="5" t="s">
        <v>60</v>
      </c>
      <c r="I676" s="5">
        <v>1</v>
      </c>
      <c r="J676" s="5">
        <v>940</v>
      </c>
      <c r="K676" s="5">
        <v>3</v>
      </c>
      <c r="L676" s="5" t="s">
        <v>39</v>
      </c>
      <c r="M676" s="5">
        <v>37</v>
      </c>
      <c r="N676" s="5">
        <v>2</v>
      </c>
      <c r="O676" s="5">
        <v>3</v>
      </c>
      <c r="P676" s="5" t="s">
        <v>54</v>
      </c>
      <c r="Q676" s="5">
        <v>2</v>
      </c>
      <c r="R676" s="5" t="s">
        <v>52</v>
      </c>
      <c r="S676" s="5">
        <v>10552</v>
      </c>
      <c r="T676" s="5">
        <v>9255</v>
      </c>
      <c r="U676" s="5">
        <v>2</v>
      </c>
      <c r="V676" s="5" t="s">
        <v>42</v>
      </c>
      <c r="W676" s="5" t="s">
        <v>35</v>
      </c>
      <c r="X676" s="5">
        <v>13</v>
      </c>
      <c r="Y676" s="5">
        <v>3</v>
      </c>
      <c r="Z676" s="5">
        <v>4</v>
      </c>
      <c r="AA676" s="5">
        <v>80</v>
      </c>
      <c r="AB676" s="5">
        <v>1</v>
      </c>
      <c r="AC676" s="5">
        <v>24</v>
      </c>
      <c r="AD676" s="5">
        <v>3</v>
      </c>
      <c r="AE676" s="5">
        <v>3</v>
      </c>
      <c r="AF676" s="5">
        <v>6</v>
      </c>
      <c r="AG676" s="5">
        <v>0</v>
      </c>
      <c r="AH676" s="5">
        <v>0</v>
      </c>
      <c r="AI676" s="5">
        <v>4</v>
      </c>
    </row>
    <row r="677" spans="1:35" x14ac:dyDescent="0.25">
      <c r="A677" s="5">
        <v>31</v>
      </c>
      <c r="B677" s="5" t="s">
        <v>43</v>
      </c>
      <c r="C677" s="5" t="s">
        <v>36</v>
      </c>
      <c r="D677" s="5">
        <v>154</v>
      </c>
      <c r="E677" s="5" t="s">
        <v>37</v>
      </c>
      <c r="F677" s="5">
        <v>7</v>
      </c>
      <c r="G677" s="5">
        <v>4</v>
      </c>
      <c r="H677" s="5" t="s">
        <v>38</v>
      </c>
      <c r="I677" s="5">
        <v>1</v>
      </c>
      <c r="J677" s="5">
        <v>941</v>
      </c>
      <c r="K677" s="5">
        <v>2</v>
      </c>
      <c r="L677" s="5" t="s">
        <v>46</v>
      </c>
      <c r="M677" s="5">
        <v>41</v>
      </c>
      <c r="N677" s="5">
        <v>2</v>
      </c>
      <c r="O677" s="5">
        <v>1</v>
      </c>
      <c r="P677" s="5" t="s">
        <v>57</v>
      </c>
      <c r="Q677" s="5">
        <v>3</v>
      </c>
      <c r="R677" s="5" t="s">
        <v>48</v>
      </c>
      <c r="S677" s="5">
        <v>2329</v>
      </c>
      <c r="T677" s="5">
        <v>11737</v>
      </c>
      <c r="U677" s="5">
        <v>3</v>
      </c>
      <c r="V677" s="5" t="s">
        <v>42</v>
      </c>
      <c r="W677" s="5" t="s">
        <v>43</v>
      </c>
      <c r="X677" s="5">
        <v>15</v>
      </c>
      <c r="Y677" s="5">
        <v>3</v>
      </c>
      <c r="Z677" s="5">
        <v>2</v>
      </c>
      <c r="AA677" s="5">
        <v>80</v>
      </c>
      <c r="AB677" s="5">
        <v>0</v>
      </c>
      <c r="AC677" s="5">
        <v>13</v>
      </c>
      <c r="AD677" s="5">
        <v>2</v>
      </c>
      <c r="AE677" s="5">
        <v>4</v>
      </c>
      <c r="AF677" s="5">
        <v>7</v>
      </c>
      <c r="AG677" s="5">
        <v>7</v>
      </c>
      <c r="AH677" s="5">
        <v>5</v>
      </c>
      <c r="AI677" s="5">
        <v>2</v>
      </c>
    </row>
    <row r="678" spans="1:35" x14ac:dyDescent="0.25">
      <c r="A678" s="5">
        <v>35</v>
      </c>
      <c r="B678" s="5" t="s">
        <v>43</v>
      </c>
      <c r="C678" s="5" t="s">
        <v>36</v>
      </c>
      <c r="D678" s="5">
        <v>1137</v>
      </c>
      <c r="E678" s="5" t="s">
        <v>45</v>
      </c>
      <c r="F678" s="5">
        <v>21</v>
      </c>
      <c r="G678" s="5">
        <v>1</v>
      </c>
      <c r="H678" s="5" t="s">
        <v>38</v>
      </c>
      <c r="I678" s="5">
        <v>1</v>
      </c>
      <c r="J678" s="5">
        <v>942</v>
      </c>
      <c r="K678" s="5">
        <v>4</v>
      </c>
      <c r="L678" s="5" t="s">
        <v>39</v>
      </c>
      <c r="M678" s="5">
        <v>51</v>
      </c>
      <c r="N678" s="5">
        <v>3</v>
      </c>
      <c r="O678" s="5">
        <v>2</v>
      </c>
      <c r="P678" s="5" t="s">
        <v>54</v>
      </c>
      <c r="Q678" s="5">
        <v>4</v>
      </c>
      <c r="R678" s="5" t="s">
        <v>48</v>
      </c>
      <c r="S678" s="5">
        <v>4014</v>
      </c>
      <c r="T678" s="5">
        <v>19170</v>
      </c>
      <c r="U678" s="5">
        <v>1</v>
      </c>
      <c r="V678" s="5" t="s">
        <v>42</v>
      </c>
      <c r="W678" s="5" t="s">
        <v>35</v>
      </c>
      <c r="X678" s="5">
        <v>25</v>
      </c>
      <c r="Y678" s="5">
        <v>4</v>
      </c>
      <c r="Z678" s="5">
        <v>4</v>
      </c>
      <c r="AA678" s="5">
        <v>80</v>
      </c>
      <c r="AB678" s="5">
        <v>1</v>
      </c>
      <c r="AC678" s="5">
        <v>10</v>
      </c>
      <c r="AD678" s="5">
        <v>2</v>
      </c>
      <c r="AE678" s="5">
        <v>1</v>
      </c>
      <c r="AF678" s="5">
        <v>10</v>
      </c>
      <c r="AG678" s="5">
        <v>6</v>
      </c>
      <c r="AH678" s="5">
        <v>0</v>
      </c>
      <c r="AI678" s="5">
        <v>7</v>
      </c>
    </row>
    <row r="679" spans="1:35" x14ac:dyDescent="0.25">
      <c r="A679" s="5">
        <v>49</v>
      </c>
      <c r="B679" s="5" t="s">
        <v>43</v>
      </c>
      <c r="C679" s="5" t="s">
        <v>36</v>
      </c>
      <c r="D679" s="5">
        <v>527</v>
      </c>
      <c r="E679" s="5" t="s">
        <v>45</v>
      </c>
      <c r="F679" s="5">
        <v>8</v>
      </c>
      <c r="G679" s="5">
        <v>2</v>
      </c>
      <c r="H679" s="5" t="s">
        <v>49</v>
      </c>
      <c r="I679" s="5">
        <v>1</v>
      </c>
      <c r="J679" s="5">
        <v>944</v>
      </c>
      <c r="K679" s="5">
        <v>1</v>
      </c>
      <c r="L679" s="5" t="s">
        <v>39</v>
      </c>
      <c r="M679" s="5">
        <v>51</v>
      </c>
      <c r="N679" s="5">
        <v>3</v>
      </c>
      <c r="O679" s="5">
        <v>3</v>
      </c>
      <c r="P679" s="5" t="s">
        <v>50</v>
      </c>
      <c r="Q679" s="5">
        <v>2</v>
      </c>
      <c r="R679" s="5" t="s">
        <v>48</v>
      </c>
      <c r="S679" s="5">
        <v>7403</v>
      </c>
      <c r="T679" s="5">
        <v>22477</v>
      </c>
      <c r="U679" s="5">
        <v>4</v>
      </c>
      <c r="V679" s="5" t="s">
        <v>42</v>
      </c>
      <c r="W679" s="5" t="s">
        <v>43</v>
      </c>
      <c r="X679" s="5">
        <v>11</v>
      </c>
      <c r="Y679" s="5">
        <v>3</v>
      </c>
      <c r="Z679" s="5">
        <v>3</v>
      </c>
      <c r="AA679" s="5">
        <v>80</v>
      </c>
      <c r="AB679" s="5">
        <v>1</v>
      </c>
      <c r="AC679" s="5">
        <v>29</v>
      </c>
      <c r="AD679" s="5">
        <v>3</v>
      </c>
      <c r="AE679" s="5">
        <v>2</v>
      </c>
      <c r="AF679" s="5">
        <v>26</v>
      </c>
      <c r="AG679" s="5">
        <v>9</v>
      </c>
      <c r="AH679" s="5">
        <v>1</v>
      </c>
      <c r="AI679" s="5">
        <v>7</v>
      </c>
    </row>
    <row r="680" spans="1:35" x14ac:dyDescent="0.25">
      <c r="A680" s="5">
        <v>48</v>
      </c>
      <c r="B680" s="5" t="s">
        <v>43</v>
      </c>
      <c r="C680" s="5" t="s">
        <v>36</v>
      </c>
      <c r="D680" s="5">
        <v>1469</v>
      </c>
      <c r="E680" s="5" t="s">
        <v>45</v>
      </c>
      <c r="F680" s="5">
        <v>20</v>
      </c>
      <c r="G680" s="5">
        <v>4</v>
      </c>
      <c r="H680" s="5" t="s">
        <v>51</v>
      </c>
      <c r="I680" s="5">
        <v>1</v>
      </c>
      <c r="J680" s="5">
        <v>945</v>
      </c>
      <c r="K680" s="5">
        <v>4</v>
      </c>
      <c r="L680" s="5" t="s">
        <v>46</v>
      </c>
      <c r="M680" s="5">
        <v>51</v>
      </c>
      <c r="N680" s="5">
        <v>3</v>
      </c>
      <c r="O680" s="5">
        <v>1</v>
      </c>
      <c r="P680" s="5" t="s">
        <v>47</v>
      </c>
      <c r="Q680" s="5">
        <v>3</v>
      </c>
      <c r="R680" s="5" t="s">
        <v>48</v>
      </c>
      <c r="S680" s="5">
        <v>2259</v>
      </c>
      <c r="T680" s="5">
        <v>5543</v>
      </c>
      <c r="U680" s="5">
        <v>4</v>
      </c>
      <c r="V680" s="5" t="s">
        <v>42</v>
      </c>
      <c r="W680" s="5" t="s">
        <v>43</v>
      </c>
      <c r="X680" s="5">
        <v>17</v>
      </c>
      <c r="Y680" s="5">
        <v>3</v>
      </c>
      <c r="Z680" s="5">
        <v>1</v>
      </c>
      <c r="AA680" s="5">
        <v>80</v>
      </c>
      <c r="AB680" s="5">
        <v>2</v>
      </c>
      <c r="AC680" s="5">
        <v>13</v>
      </c>
      <c r="AD680" s="5">
        <v>2</v>
      </c>
      <c r="AE680" s="5">
        <v>2</v>
      </c>
      <c r="AF680" s="5">
        <v>0</v>
      </c>
      <c r="AG680" s="5">
        <v>0</v>
      </c>
      <c r="AH680" s="5">
        <v>0</v>
      </c>
      <c r="AI680" s="5">
        <v>0</v>
      </c>
    </row>
    <row r="681" spans="1:35" x14ac:dyDescent="0.25">
      <c r="A681" s="5">
        <v>31</v>
      </c>
      <c r="B681" s="5" t="s">
        <v>43</v>
      </c>
      <c r="C681" s="5" t="s">
        <v>55</v>
      </c>
      <c r="D681" s="5">
        <v>1188</v>
      </c>
      <c r="E681" s="5" t="s">
        <v>37</v>
      </c>
      <c r="F681" s="5">
        <v>20</v>
      </c>
      <c r="G681" s="5">
        <v>2</v>
      </c>
      <c r="H681" s="5" t="s">
        <v>59</v>
      </c>
      <c r="I681" s="5">
        <v>1</v>
      </c>
      <c r="J681" s="5">
        <v>947</v>
      </c>
      <c r="K681" s="5">
        <v>4</v>
      </c>
      <c r="L681" s="5" t="s">
        <v>39</v>
      </c>
      <c r="M681" s="5">
        <v>45</v>
      </c>
      <c r="N681" s="5">
        <v>3</v>
      </c>
      <c r="O681" s="5">
        <v>2</v>
      </c>
      <c r="P681" s="5" t="s">
        <v>40</v>
      </c>
      <c r="Q681" s="5">
        <v>3</v>
      </c>
      <c r="R681" s="5" t="s">
        <v>48</v>
      </c>
      <c r="S681" s="5">
        <v>6932</v>
      </c>
      <c r="T681" s="5">
        <v>24406</v>
      </c>
      <c r="U681" s="5">
        <v>1</v>
      </c>
      <c r="V681" s="5" t="s">
        <v>42</v>
      </c>
      <c r="W681" s="5" t="s">
        <v>43</v>
      </c>
      <c r="X681" s="5">
        <v>13</v>
      </c>
      <c r="Y681" s="5">
        <v>3</v>
      </c>
      <c r="Z681" s="5">
        <v>4</v>
      </c>
      <c r="AA681" s="5">
        <v>80</v>
      </c>
      <c r="AB681" s="5">
        <v>1</v>
      </c>
      <c r="AC681" s="5">
        <v>9</v>
      </c>
      <c r="AD681" s="5">
        <v>2</v>
      </c>
      <c r="AE681" s="5">
        <v>2</v>
      </c>
      <c r="AF681" s="5">
        <v>9</v>
      </c>
      <c r="AG681" s="5">
        <v>8</v>
      </c>
      <c r="AH681" s="5">
        <v>0</v>
      </c>
      <c r="AI681" s="5">
        <v>0</v>
      </c>
    </row>
    <row r="682" spans="1:35" x14ac:dyDescent="0.25">
      <c r="A682" s="5">
        <v>36</v>
      </c>
      <c r="B682" s="5" t="s">
        <v>43</v>
      </c>
      <c r="C682" s="5" t="s">
        <v>36</v>
      </c>
      <c r="D682" s="5">
        <v>188</v>
      </c>
      <c r="E682" s="5" t="s">
        <v>45</v>
      </c>
      <c r="F682" s="5">
        <v>7</v>
      </c>
      <c r="G682" s="5">
        <v>4</v>
      </c>
      <c r="H682" s="5" t="s">
        <v>49</v>
      </c>
      <c r="I682" s="5">
        <v>1</v>
      </c>
      <c r="J682" s="5">
        <v>949</v>
      </c>
      <c r="K682" s="5">
        <v>2</v>
      </c>
      <c r="L682" s="5" t="s">
        <v>46</v>
      </c>
      <c r="M682" s="5">
        <v>65</v>
      </c>
      <c r="N682" s="5">
        <v>3</v>
      </c>
      <c r="O682" s="5">
        <v>1</v>
      </c>
      <c r="P682" s="5" t="s">
        <v>47</v>
      </c>
      <c r="Q682" s="5">
        <v>4</v>
      </c>
      <c r="R682" s="5" t="s">
        <v>41</v>
      </c>
      <c r="S682" s="5">
        <v>4678</v>
      </c>
      <c r="T682" s="5">
        <v>23293</v>
      </c>
      <c r="U682" s="5">
        <v>2</v>
      </c>
      <c r="V682" s="5" t="s">
        <v>42</v>
      </c>
      <c r="W682" s="5" t="s">
        <v>43</v>
      </c>
      <c r="X682" s="5">
        <v>18</v>
      </c>
      <c r="Y682" s="5">
        <v>3</v>
      </c>
      <c r="Z682" s="5">
        <v>3</v>
      </c>
      <c r="AA682" s="5">
        <v>80</v>
      </c>
      <c r="AB682" s="5">
        <v>0</v>
      </c>
      <c r="AC682" s="5">
        <v>8</v>
      </c>
      <c r="AD682" s="5">
        <v>6</v>
      </c>
      <c r="AE682" s="5">
        <v>3</v>
      </c>
      <c r="AF682" s="5">
        <v>6</v>
      </c>
      <c r="AG682" s="5">
        <v>2</v>
      </c>
      <c r="AH682" s="5">
        <v>0</v>
      </c>
      <c r="AI682" s="5">
        <v>1</v>
      </c>
    </row>
    <row r="683" spans="1:35" x14ac:dyDescent="0.25">
      <c r="A683" s="5">
        <v>38</v>
      </c>
      <c r="B683" s="5" t="s">
        <v>43</v>
      </c>
      <c r="C683" s="5" t="s">
        <v>36</v>
      </c>
      <c r="D683" s="5">
        <v>1333</v>
      </c>
      <c r="E683" s="5" t="s">
        <v>45</v>
      </c>
      <c r="F683" s="5">
        <v>1</v>
      </c>
      <c r="G683" s="5">
        <v>3</v>
      </c>
      <c r="H683" s="5" t="s">
        <v>60</v>
      </c>
      <c r="I683" s="5">
        <v>1</v>
      </c>
      <c r="J683" s="5">
        <v>950</v>
      </c>
      <c r="K683" s="5">
        <v>4</v>
      </c>
      <c r="L683" s="5" t="s">
        <v>39</v>
      </c>
      <c r="M683" s="5">
        <v>80</v>
      </c>
      <c r="N683" s="5">
        <v>3</v>
      </c>
      <c r="O683" s="5">
        <v>3</v>
      </c>
      <c r="P683" s="5" t="s">
        <v>58</v>
      </c>
      <c r="Q683" s="5">
        <v>1</v>
      </c>
      <c r="R683" s="5" t="s">
        <v>48</v>
      </c>
      <c r="S683" s="5">
        <v>13582</v>
      </c>
      <c r="T683" s="5">
        <v>16292</v>
      </c>
      <c r="U683" s="5">
        <v>1</v>
      </c>
      <c r="V683" s="5" t="s">
        <v>42</v>
      </c>
      <c r="W683" s="5" t="s">
        <v>43</v>
      </c>
      <c r="X683" s="5">
        <v>13</v>
      </c>
      <c r="Y683" s="5">
        <v>3</v>
      </c>
      <c r="Z683" s="5">
        <v>2</v>
      </c>
      <c r="AA683" s="5">
        <v>80</v>
      </c>
      <c r="AB683" s="5">
        <v>1</v>
      </c>
      <c r="AC683" s="5">
        <v>15</v>
      </c>
      <c r="AD683" s="5">
        <v>3</v>
      </c>
      <c r="AE683" s="5">
        <v>3</v>
      </c>
      <c r="AF683" s="5">
        <v>15</v>
      </c>
      <c r="AG683" s="5">
        <v>12</v>
      </c>
      <c r="AH683" s="5">
        <v>5</v>
      </c>
      <c r="AI683" s="5">
        <v>11</v>
      </c>
    </row>
    <row r="684" spans="1:35" x14ac:dyDescent="0.25">
      <c r="A684" s="5">
        <v>32</v>
      </c>
      <c r="B684" s="5" t="s">
        <v>43</v>
      </c>
      <c r="C684" s="5" t="s">
        <v>55</v>
      </c>
      <c r="D684" s="5">
        <v>1184</v>
      </c>
      <c r="E684" s="5" t="s">
        <v>45</v>
      </c>
      <c r="F684" s="5">
        <v>1</v>
      </c>
      <c r="G684" s="5">
        <v>3</v>
      </c>
      <c r="H684" s="5" t="s">
        <v>38</v>
      </c>
      <c r="I684" s="5">
        <v>1</v>
      </c>
      <c r="J684" s="5">
        <v>951</v>
      </c>
      <c r="K684" s="5">
        <v>3</v>
      </c>
      <c r="L684" s="5" t="s">
        <v>39</v>
      </c>
      <c r="M684" s="5">
        <v>70</v>
      </c>
      <c r="N684" s="5">
        <v>2</v>
      </c>
      <c r="O684" s="5">
        <v>1</v>
      </c>
      <c r="P684" s="5" t="s">
        <v>50</v>
      </c>
      <c r="Q684" s="5">
        <v>2</v>
      </c>
      <c r="R684" s="5" t="s">
        <v>48</v>
      </c>
      <c r="S684" s="5">
        <v>2332</v>
      </c>
      <c r="T684" s="5">
        <v>3974</v>
      </c>
      <c r="U684" s="5">
        <v>6</v>
      </c>
      <c r="V684" s="5" t="s">
        <v>42</v>
      </c>
      <c r="W684" s="5" t="s">
        <v>43</v>
      </c>
      <c r="X684" s="5">
        <v>20</v>
      </c>
      <c r="Y684" s="5">
        <v>4</v>
      </c>
      <c r="Z684" s="5">
        <v>3</v>
      </c>
      <c r="AA684" s="5">
        <v>80</v>
      </c>
      <c r="AB684" s="5">
        <v>0</v>
      </c>
      <c r="AC684" s="5">
        <v>5</v>
      </c>
      <c r="AD684" s="5">
        <v>3</v>
      </c>
      <c r="AE684" s="5">
        <v>3</v>
      </c>
      <c r="AF684" s="5">
        <v>3</v>
      </c>
      <c r="AG684" s="5">
        <v>0</v>
      </c>
      <c r="AH684" s="5">
        <v>0</v>
      </c>
      <c r="AI684" s="5">
        <v>2</v>
      </c>
    </row>
    <row r="685" spans="1:35" x14ac:dyDescent="0.25">
      <c r="A685" s="5">
        <v>25</v>
      </c>
      <c r="B685" s="5" t="s">
        <v>35</v>
      </c>
      <c r="C685" s="5" t="s">
        <v>36</v>
      </c>
      <c r="D685" s="5">
        <v>867</v>
      </c>
      <c r="E685" s="5" t="s">
        <v>37</v>
      </c>
      <c r="F685" s="5">
        <v>19</v>
      </c>
      <c r="G685" s="5">
        <v>2</v>
      </c>
      <c r="H685" s="5" t="s">
        <v>59</v>
      </c>
      <c r="I685" s="5">
        <v>1</v>
      </c>
      <c r="J685" s="5">
        <v>952</v>
      </c>
      <c r="K685" s="5">
        <v>3</v>
      </c>
      <c r="L685" s="5" t="s">
        <v>46</v>
      </c>
      <c r="M685" s="5">
        <v>36</v>
      </c>
      <c r="N685" s="5">
        <v>2</v>
      </c>
      <c r="O685" s="5">
        <v>1</v>
      </c>
      <c r="P685" s="5" t="s">
        <v>57</v>
      </c>
      <c r="Q685" s="5">
        <v>2</v>
      </c>
      <c r="R685" s="5" t="s">
        <v>48</v>
      </c>
      <c r="S685" s="5">
        <v>2413</v>
      </c>
      <c r="T685" s="5">
        <v>18798</v>
      </c>
      <c r="U685" s="5">
        <v>1</v>
      </c>
      <c r="V685" s="5" t="s">
        <v>42</v>
      </c>
      <c r="W685" s="5" t="s">
        <v>35</v>
      </c>
      <c r="X685" s="5">
        <v>18</v>
      </c>
      <c r="Y685" s="5">
        <v>3</v>
      </c>
      <c r="Z685" s="5">
        <v>3</v>
      </c>
      <c r="AA685" s="5">
        <v>80</v>
      </c>
      <c r="AB685" s="5">
        <v>3</v>
      </c>
      <c r="AC685" s="5">
        <v>1</v>
      </c>
      <c r="AD685" s="5">
        <v>2</v>
      </c>
      <c r="AE685" s="5">
        <v>3</v>
      </c>
      <c r="AF685" s="5">
        <v>1</v>
      </c>
      <c r="AG685" s="5">
        <v>0</v>
      </c>
      <c r="AH685" s="5">
        <v>0</v>
      </c>
      <c r="AI685" s="5">
        <v>0</v>
      </c>
    </row>
    <row r="686" spans="1:35" x14ac:dyDescent="0.25">
      <c r="A686" s="5">
        <v>40</v>
      </c>
      <c r="B686" s="5" t="s">
        <v>43</v>
      </c>
      <c r="C686" s="5" t="s">
        <v>36</v>
      </c>
      <c r="D686" s="5">
        <v>658</v>
      </c>
      <c r="E686" s="5" t="s">
        <v>37</v>
      </c>
      <c r="F686" s="5">
        <v>10</v>
      </c>
      <c r="G686" s="5">
        <v>4</v>
      </c>
      <c r="H686" s="5" t="s">
        <v>59</v>
      </c>
      <c r="I686" s="5">
        <v>1</v>
      </c>
      <c r="J686" s="5">
        <v>954</v>
      </c>
      <c r="K686" s="5">
        <v>1</v>
      </c>
      <c r="L686" s="5" t="s">
        <v>46</v>
      </c>
      <c r="M686" s="5">
        <v>67</v>
      </c>
      <c r="N686" s="5">
        <v>2</v>
      </c>
      <c r="O686" s="5">
        <v>3</v>
      </c>
      <c r="P686" s="5" t="s">
        <v>40</v>
      </c>
      <c r="Q686" s="5">
        <v>2</v>
      </c>
      <c r="R686" s="5" t="s">
        <v>52</v>
      </c>
      <c r="S686" s="5">
        <v>9705</v>
      </c>
      <c r="T686" s="5">
        <v>20652</v>
      </c>
      <c r="U686" s="5">
        <v>2</v>
      </c>
      <c r="V686" s="5" t="s">
        <v>42</v>
      </c>
      <c r="W686" s="5" t="s">
        <v>43</v>
      </c>
      <c r="X686" s="5">
        <v>12</v>
      </c>
      <c r="Y686" s="5">
        <v>3</v>
      </c>
      <c r="Z686" s="5">
        <v>2</v>
      </c>
      <c r="AA686" s="5">
        <v>80</v>
      </c>
      <c r="AB686" s="5">
        <v>1</v>
      </c>
      <c r="AC686" s="5">
        <v>11</v>
      </c>
      <c r="AD686" s="5">
        <v>2</v>
      </c>
      <c r="AE686" s="5">
        <v>2</v>
      </c>
      <c r="AF686" s="5">
        <v>1</v>
      </c>
      <c r="AG686" s="5">
        <v>0</v>
      </c>
      <c r="AH686" s="5">
        <v>0</v>
      </c>
      <c r="AI686" s="5">
        <v>0</v>
      </c>
    </row>
    <row r="687" spans="1:35" x14ac:dyDescent="0.25">
      <c r="A687" s="5">
        <v>26</v>
      </c>
      <c r="B687" s="5" t="s">
        <v>43</v>
      </c>
      <c r="C687" s="5" t="s">
        <v>44</v>
      </c>
      <c r="D687" s="5">
        <v>1283</v>
      </c>
      <c r="E687" s="5" t="s">
        <v>37</v>
      </c>
      <c r="F687" s="5">
        <v>1</v>
      </c>
      <c r="G687" s="5">
        <v>3</v>
      </c>
      <c r="H687" s="5" t="s">
        <v>51</v>
      </c>
      <c r="I687" s="5">
        <v>1</v>
      </c>
      <c r="J687" s="5">
        <v>956</v>
      </c>
      <c r="K687" s="5">
        <v>3</v>
      </c>
      <c r="L687" s="5" t="s">
        <v>46</v>
      </c>
      <c r="M687" s="5">
        <v>52</v>
      </c>
      <c r="N687" s="5">
        <v>2</v>
      </c>
      <c r="O687" s="5">
        <v>2</v>
      </c>
      <c r="P687" s="5" t="s">
        <v>40</v>
      </c>
      <c r="Q687" s="5">
        <v>1</v>
      </c>
      <c r="R687" s="5" t="s">
        <v>41</v>
      </c>
      <c r="S687" s="5">
        <v>4294</v>
      </c>
      <c r="T687" s="5">
        <v>11148</v>
      </c>
      <c r="U687" s="5">
        <v>1</v>
      </c>
      <c r="V687" s="5" t="s">
        <v>42</v>
      </c>
      <c r="W687" s="5" t="s">
        <v>43</v>
      </c>
      <c r="X687" s="5">
        <v>12</v>
      </c>
      <c r="Y687" s="5">
        <v>3</v>
      </c>
      <c r="Z687" s="5">
        <v>2</v>
      </c>
      <c r="AA687" s="5">
        <v>80</v>
      </c>
      <c r="AB687" s="5">
        <v>0</v>
      </c>
      <c r="AC687" s="5">
        <v>7</v>
      </c>
      <c r="AD687" s="5">
        <v>2</v>
      </c>
      <c r="AE687" s="5">
        <v>3</v>
      </c>
      <c r="AF687" s="5">
        <v>7</v>
      </c>
      <c r="AG687" s="5">
        <v>7</v>
      </c>
      <c r="AH687" s="5">
        <v>0</v>
      </c>
      <c r="AI687" s="5">
        <v>7</v>
      </c>
    </row>
    <row r="688" spans="1:35" x14ac:dyDescent="0.25">
      <c r="A688" s="5">
        <v>41</v>
      </c>
      <c r="B688" s="5" t="s">
        <v>43</v>
      </c>
      <c r="C688" s="5" t="s">
        <v>36</v>
      </c>
      <c r="D688" s="5">
        <v>263</v>
      </c>
      <c r="E688" s="5" t="s">
        <v>45</v>
      </c>
      <c r="F688" s="5">
        <v>6</v>
      </c>
      <c r="G688" s="5">
        <v>3</v>
      </c>
      <c r="H688" s="5" t="s">
        <v>51</v>
      </c>
      <c r="I688" s="5">
        <v>1</v>
      </c>
      <c r="J688" s="5">
        <v>957</v>
      </c>
      <c r="K688" s="5">
        <v>4</v>
      </c>
      <c r="L688" s="5" t="s">
        <v>46</v>
      </c>
      <c r="M688" s="5">
        <v>59</v>
      </c>
      <c r="N688" s="5">
        <v>3</v>
      </c>
      <c r="O688" s="5">
        <v>1</v>
      </c>
      <c r="P688" s="5" t="s">
        <v>50</v>
      </c>
      <c r="Q688" s="5">
        <v>1</v>
      </c>
      <c r="R688" s="5" t="s">
        <v>41</v>
      </c>
      <c r="S688" s="5">
        <v>4721</v>
      </c>
      <c r="T688" s="5">
        <v>3119</v>
      </c>
      <c r="U688" s="5">
        <v>2</v>
      </c>
      <c r="V688" s="5" t="s">
        <v>42</v>
      </c>
      <c r="W688" s="5" t="s">
        <v>35</v>
      </c>
      <c r="X688" s="5">
        <v>13</v>
      </c>
      <c r="Y688" s="5">
        <v>3</v>
      </c>
      <c r="Z688" s="5">
        <v>3</v>
      </c>
      <c r="AA688" s="5">
        <v>80</v>
      </c>
      <c r="AB688" s="5">
        <v>0</v>
      </c>
      <c r="AC688" s="5">
        <v>20</v>
      </c>
      <c r="AD688" s="5">
        <v>3</v>
      </c>
      <c r="AE688" s="5">
        <v>3</v>
      </c>
      <c r="AF688" s="5">
        <v>18</v>
      </c>
      <c r="AG688" s="5">
        <v>13</v>
      </c>
      <c r="AH688" s="5">
        <v>2</v>
      </c>
      <c r="AI688" s="5">
        <v>17</v>
      </c>
    </row>
    <row r="689" spans="1:35" x14ac:dyDescent="0.25">
      <c r="A689" s="5">
        <v>36</v>
      </c>
      <c r="B689" s="5" t="s">
        <v>43</v>
      </c>
      <c r="C689" s="5" t="s">
        <v>36</v>
      </c>
      <c r="D689" s="5">
        <v>938</v>
      </c>
      <c r="E689" s="5" t="s">
        <v>45</v>
      </c>
      <c r="F689" s="5">
        <v>2</v>
      </c>
      <c r="G689" s="5">
        <v>4</v>
      </c>
      <c r="H689" s="5" t="s">
        <v>51</v>
      </c>
      <c r="I689" s="5">
        <v>1</v>
      </c>
      <c r="J689" s="5">
        <v>958</v>
      </c>
      <c r="K689" s="5">
        <v>3</v>
      </c>
      <c r="L689" s="5" t="s">
        <v>46</v>
      </c>
      <c r="M689" s="5">
        <v>79</v>
      </c>
      <c r="N689" s="5">
        <v>3</v>
      </c>
      <c r="O689" s="5">
        <v>1</v>
      </c>
      <c r="P689" s="5" t="s">
        <v>50</v>
      </c>
      <c r="Q689" s="5">
        <v>3</v>
      </c>
      <c r="R689" s="5" t="s">
        <v>41</v>
      </c>
      <c r="S689" s="5">
        <v>2519</v>
      </c>
      <c r="T689" s="5">
        <v>12287</v>
      </c>
      <c r="U689" s="5">
        <v>4</v>
      </c>
      <c r="V689" s="5" t="s">
        <v>42</v>
      </c>
      <c r="W689" s="5" t="s">
        <v>43</v>
      </c>
      <c r="X689" s="5">
        <v>21</v>
      </c>
      <c r="Y689" s="5">
        <v>4</v>
      </c>
      <c r="Z689" s="5">
        <v>3</v>
      </c>
      <c r="AA689" s="5">
        <v>80</v>
      </c>
      <c r="AB689" s="5">
        <v>0</v>
      </c>
      <c r="AC689" s="5">
        <v>16</v>
      </c>
      <c r="AD689" s="5">
        <v>6</v>
      </c>
      <c r="AE689" s="5">
        <v>3</v>
      </c>
      <c r="AF689" s="5">
        <v>11</v>
      </c>
      <c r="AG689" s="5">
        <v>8</v>
      </c>
      <c r="AH689" s="5">
        <v>3</v>
      </c>
      <c r="AI689" s="5">
        <v>9</v>
      </c>
    </row>
    <row r="690" spans="1:35" x14ac:dyDescent="0.25">
      <c r="A690" s="5">
        <v>19</v>
      </c>
      <c r="B690" s="5" t="s">
        <v>35</v>
      </c>
      <c r="C690" s="5" t="s">
        <v>36</v>
      </c>
      <c r="D690" s="5">
        <v>419</v>
      </c>
      <c r="E690" s="5" t="s">
        <v>37</v>
      </c>
      <c r="F690" s="5">
        <v>21</v>
      </c>
      <c r="G690" s="5">
        <v>3</v>
      </c>
      <c r="H690" s="5" t="s">
        <v>49</v>
      </c>
      <c r="I690" s="5">
        <v>1</v>
      </c>
      <c r="J690" s="5">
        <v>959</v>
      </c>
      <c r="K690" s="5">
        <v>4</v>
      </c>
      <c r="L690" s="5" t="s">
        <v>46</v>
      </c>
      <c r="M690" s="5">
        <v>37</v>
      </c>
      <c r="N690" s="5">
        <v>2</v>
      </c>
      <c r="O690" s="5">
        <v>1</v>
      </c>
      <c r="P690" s="5" t="s">
        <v>57</v>
      </c>
      <c r="Q690" s="5">
        <v>2</v>
      </c>
      <c r="R690" s="5" t="s">
        <v>41</v>
      </c>
      <c r="S690" s="5">
        <v>2121</v>
      </c>
      <c r="T690" s="5">
        <v>9947</v>
      </c>
      <c r="U690" s="5">
        <v>1</v>
      </c>
      <c r="V690" s="5" t="s">
        <v>42</v>
      </c>
      <c r="W690" s="5" t="s">
        <v>35</v>
      </c>
      <c r="X690" s="5">
        <v>13</v>
      </c>
      <c r="Y690" s="5">
        <v>3</v>
      </c>
      <c r="Z690" s="5">
        <v>2</v>
      </c>
      <c r="AA690" s="5">
        <v>80</v>
      </c>
      <c r="AB690" s="5">
        <v>0</v>
      </c>
      <c r="AC690" s="5">
        <v>1</v>
      </c>
      <c r="AD690" s="5">
        <v>3</v>
      </c>
      <c r="AE690" s="5">
        <v>4</v>
      </c>
      <c r="AF690" s="5">
        <v>1</v>
      </c>
      <c r="AG690" s="5">
        <v>0</v>
      </c>
      <c r="AH690" s="5">
        <v>0</v>
      </c>
      <c r="AI690" s="5">
        <v>0</v>
      </c>
    </row>
    <row r="691" spans="1:35" x14ac:dyDescent="0.25">
      <c r="A691" s="5">
        <v>20</v>
      </c>
      <c r="B691" s="5" t="s">
        <v>35</v>
      </c>
      <c r="C691" s="5" t="s">
        <v>36</v>
      </c>
      <c r="D691" s="5">
        <v>129</v>
      </c>
      <c r="E691" s="5" t="s">
        <v>45</v>
      </c>
      <c r="F691" s="5">
        <v>4</v>
      </c>
      <c r="G691" s="5">
        <v>3</v>
      </c>
      <c r="H691" s="5" t="s">
        <v>60</v>
      </c>
      <c r="I691" s="5">
        <v>1</v>
      </c>
      <c r="J691" s="5">
        <v>960</v>
      </c>
      <c r="K691" s="5">
        <v>1</v>
      </c>
      <c r="L691" s="5" t="s">
        <v>46</v>
      </c>
      <c r="M691" s="5">
        <v>84</v>
      </c>
      <c r="N691" s="5">
        <v>3</v>
      </c>
      <c r="O691" s="5">
        <v>1</v>
      </c>
      <c r="P691" s="5" t="s">
        <v>50</v>
      </c>
      <c r="Q691" s="5">
        <v>1</v>
      </c>
      <c r="R691" s="5" t="s">
        <v>41</v>
      </c>
      <c r="S691" s="5">
        <v>2973</v>
      </c>
      <c r="T691" s="5">
        <v>13008</v>
      </c>
      <c r="U691" s="5">
        <v>1</v>
      </c>
      <c r="V691" s="5" t="s">
        <v>42</v>
      </c>
      <c r="W691" s="5" t="s">
        <v>43</v>
      </c>
      <c r="X691" s="5">
        <v>19</v>
      </c>
      <c r="Y691" s="5">
        <v>3</v>
      </c>
      <c r="Z691" s="5">
        <v>2</v>
      </c>
      <c r="AA691" s="5">
        <v>80</v>
      </c>
      <c r="AB691" s="5">
        <v>0</v>
      </c>
      <c r="AC691" s="5">
        <v>1</v>
      </c>
      <c r="AD691" s="5">
        <v>2</v>
      </c>
      <c r="AE691" s="5">
        <v>3</v>
      </c>
      <c r="AF691" s="5">
        <v>1</v>
      </c>
      <c r="AG691" s="5">
        <v>0</v>
      </c>
      <c r="AH691" s="5">
        <v>0</v>
      </c>
      <c r="AI691" s="5">
        <v>0</v>
      </c>
    </row>
    <row r="692" spans="1:35" x14ac:dyDescent="0.25">
      <c r="A692" s="5">
        <v>31</v>
      </c>
      <c r="B692" s="5" t="s">
        <v>43</v>
      </c>
      <c r="C692" s="5" t="s">
        <v>36</v>
      </c>
      <c r="D692" s="5">
        <v>616</v>
      </c>
      <c r="E692" s="5" t="s">
        <v>45</v>
      </c>
      <c r="F692" s="5">
        <v>12</v>
      </c>
      <c r="G692" s="5">
        <v>3</v>
      </c>
      <c r="H692" s="5" t="s">
        <v>51</v>
      </c>
      <c r="I692" s="5">
        <v>1</v>
      </c>
      <c r="J692" s="5">
        <v>961</v>
      </c>
      <c r="K692" s="5">
        <v>4</v>
      </c>
      <c r="L692" s="5" t="s">
        <v>39</v>
      </c>
      <c r="M692" s="5">
        <v>41</v>
      </c>
      <c r="N692" s="5">
        <v>3</v>
      </c>
      <c r="O692" s="5">
        <v>2</v>
      </c>
      <c r="P692" s="5" t="s">
        <v>54</v>
      </c>
      <c r="Q692" s="5">
        <v>4</v>
      </c>
      <c r="R692" s="5" t="s">
        <v>48</v>
      </c>
      <c r="S692" s="5">
        <v>5855</v>
      </c>
      <c r="T692" s="5">
        <v>17369</v>
      </c>
      <c r="U692" s="5">
        <v>0</v>
      </c>
      <c r="V692" s="5" t="s">
        <v>42</v>
      </c>
      <c r="W692" s="5" t="s">
        <v>35</v>
      </c>
      <c r="X692" s="5">
        <v>11</v>
      </c>
      <c r="Y692" s="5">
        <v>3</v>
      </c>
      <c r="Z692" s="5">
        <v>3</v>
      </c>
      <c r="AA692" s="5">
        <v>80</v>
      </c>
      <c r="AB692" s="5">
        <v>2</v>
      </c>
      <c r="AC692" s="5">
        <v>10</v>
      </c>
      <c r="AD692" s="5">
        <v>2</v>
      </c>
      <c r="AE692" s="5">
        <v>1</v>
      </c>
      <c r="AF692" s="5">
        <v>9</v>
      </c>
      <c r="AG692" s="5">
        <v>7</v>
      </c>
      <c r="AH692" s="5">
        <v>8</v>
      </c>
      <c r="AI692" s="5">
        <v>5</v>
      </c>
    </row>
    <row r="693" spans="1:35" x14ac:dyDescent="0.25">
      <c r="A693" s="5">
        <v>40</v>
      </c>
      <c r="B693" s="5" t="s">
        <v>43</v>
      </c>
      <c r="C693" s="5" t="s">
        <v>44</v>
      </c>
      <c r="D693" s="5">
        <v>1469</v>
      </c>
      <c r="E693" s="5" t="s">
        <v>45</v>
      </c>
      <c r="F693" s="5">
        <v>9</v>
      </c>
      <c r="G693" s="5">
        <v>4</v>
      </c>
      <c r="H693" s="5" t="s">
        <v>51</v>
      </c>
      <c r="I693" s="5">
        <v>1</v>
      </c>
      <c r="J693" s="5">
        <v>964</v>
      </c>
      <c r="K693" s="5">
        <v>4</v>
      </c>
      <c r="L693" s="5" t="s">
        <v>46</v>
      </c>
      <c r="M693" s="5">
        <v>35</v>
      </c>
      <c r="N693" s="5">
        <v>3</v>
      </c>
      <c r="O693" s="5">
        <v>1</v>
      </c>
      <c r="P693" s="5" t="s">
        <v>47</v>
      </c>
      <c r="Q693" s="5">
        <v>2</v>
      </c>
      <c r="R693" s="5" t="s">
        <v>52</v>
      </c>
      <c r="S693" s="5">
        <v>3617</v>
      </c>
      <c r="T693" s="5">
        <v>25063</v>
      </c>
      <c r="U693" s="5">
        <v>8</v>
      </c>
      <c r="V693" s="5" t="s">
        <v>42</v>
      </c>
      <c r="W693" s="5" t="s">
        <v>35</v>
      </c>
      <c r="X693" s="5">
        <v>14</v>
      </c>
      <c r="Y693" s="5">
        <v>3</v>
      </c>
      <c r="Z693" s="5">
        <v>4</v>
      </c>
      <c r="AA693" s="5">
        <v>80</v>
      </c>
      <c r="AB693" s="5">
        <v>1</v>
      </c>
      <c r="AC693" s="5">
        <v>3</v>
      </c>
      <c r="AD693" s="5">
        <v>2</v>
      </c>
      <c r="AE693" s="5">
        <v>3</v>
      </c>
      <c r="AF693" s="5">
        <v>1</v>
      </c>
      <c r="AG693" s="5">
        <v>1</v>
      </c>
      <c r="AH693" s="5">
        <v>0</v>
      </c>
      <c r="AI693" s="5">
        <v>0</v>
      </c>
    </row>
    <row r="694" spans="1:35" x14ac:dyDescent="0.25">
      <c r="A694" s="5">
        <v>32</v>
      </c>
      <c r="B694" s="5" t="s">
        <v>43</v>
      </c>
      <c r="C694" s="5" t="s">
        <v>36</v>
      </c>
      <c r="D694" s="5">
        <v>498</v>
      </c>
      <c r="E694" s="5" t="s">
        <v>45</v>
      </c>
      <c r="F694" s="5">
        <v>3</v>
      </c>
      <c r="G694" s="5">
        <v>4</v>
      </c>
      <c r="H694" s="5" t="s">
        <v>51</v>
      </c>
      <c r="I694" s="5">
        <v>1</v>
      </c>
      <c r="J694" s="5">
        <v>966</v>
      </c>
      <c r="K694" s="5">
        <v>3</v>
      </c>
      <c r="L694" s="5" t="s">
        <v>39</v>
      </c>
      <c r="M694" s="5">
        <v>93</v>
      </c>
      <c r="N694" s="5">
        <v>3</v>
      </c>
      <c r="O694" s="5">
        <v>2</v>
      </c>
      <c r="P694" s="5" t="s">
        <v>53</v>
      </c>
      <c r="Q694" s="5">
        <v>1</v>
      </c>
      <c r="R694" s="5" t="s">
        <v>48</v>
      </c>
      <c r="S694" s="5">
        <v>6725</v>
      </c>
      <c r="T694" s="5">
        <v>13554</v>
      </c>
      <c r="U694" s="5">
        <v>1</v>
      </c>
      <c r="V694" s="5" t="s">
        <v>42</v>
      </c>
      <c r="W694" s="5" t="s">
        <v>43</v>
      </c>
      <c r="X694" s="5">
        <v>12</v>
      </c>
      <c r="Y694" s="5">
        <v>3</v>
      </c>
      <c r="Z694" s="5">
        <v>3</v>
      </c>
      <c r="AA694" s="5">
        <v>80</v>
      </c>
      <c r="AB694" s="5">
        <v>1</v>
      </c>
      <c r="AC694" s="5">
        <v>8</v>
      </c>
      <c r="AD694" s="5">
        <v>2</v>
      </c>
      <c r="AE694" s="5">
        <v>4</v>
      </c>
      <c r="AF694" s="5">
        <v>8</v>
      </c>
      <c r="AG694" s="5">
        <v>7</v>
      </c>
      <c r="AH694" s="5">
        <v>6</v>
      </c>
      <c r="AI694" s="5">
        <v>3</v>
      </c>
    </row>
    <row r="695" spans="1:35" x14ac:dyDescent="0.25">
      <c r="A695" s="5">
        <v>36</v>
      </c>
      <c r="B695" s="5" t="s">
        <v>35</v>
      </c>
      <c r="C695" s="5" t="s">
        <v>36</v>
      </c>
      <c r="D695" s="5">
        <v>530</v>
      </c>
      <c r="E695" s="5" t="s">
        <v>37</v>
      </c>
      <c r="F695" s="5">
        <v>3</v>
      </c>
      <c r="G695" s="5">
        <v>1</v>
      </c>
      <c r="H695" s="5" t="s">
        <v>38</v>
      </c>
      <c r="I695" s="5">
        <v>1</v>
      </c>
      <c r="J695" s="5">
        <v>967</v>
      </c>
      <c r="K695" s="5">
        <v>3</v>
      </c>
      <c r="L695" s="5" t="s">
        <v>46</v>
      </c>
      <c r="M695" s="5">
        <v>51</v>
      </c>
      <c r="N695" s="5">
        <v>2</v>
      </c>
      <c r="O695" s="5">
        <v>3</v>
      </c>
      <c r="P695" s="5" t="s">
        <v>40</v>
      </c>
      <c r="Q695" s="5">
        <v>4</v>
      </c>
      <c r="R695" s="5" t="s">
        <v>48</v>
      </c>
      <c r="S695" s="5">
        <v>10325</v>
      </c>
      <c r="T695" s="5">
        <v>5518</v>
      </c>
      <c r="U695" s="5">
        <v>1</v>
      </c>
      <c r="V695" s="5" t="s">
        <v>42</v>
      </c>
      <c r="W695" s="5" t="s">
        <v>35</v>
      </c>
      <c r="X695" s="5">
        <v>11</v>
      </c>
      <c r="Y695" s="5">
        <v>3</v>
      </c>
      <c r="Z695" s="5">
        <v>1</v>
      </c>
      <c r="AA695" s="5">
        <v>80</v>
      </c>
      <c r="AB695" s="5">
        <v>1</v>
      </c>
      <c r="AC695" s="5">
        <v>16</v>
      </c>
      <c r="AD695" s="5">
        <v>6</v>
      </c>
      <c r="AE695" s="5">
        <v>3</v>
      </c>
      <c r="AF695" s="5">
        <v>16</v>
      </c>
      <c r="AG695" s="5">
        <v>7</v>
      </c>
      <c r="AH695" s="5">
        <v>3</v>
      </c>
      <c r="AI695" s="5">
        <v>7</v>
      </c>
    </row>
    <row r="696" spans="1:35" x14ac:dyDescent="0.25">
      <c r="A696" s="5">
        <v>33</v>
      </c>
      <c r="B696" s="5" t="s">
        <v>43</v>
      </c>
      <c r="C696" s="5" t="s">
        <v>36</v>
      </c>
      <c r="D696" s="5">
        <v>1069</v>
      </c>
      <c r="E696" s="5" t="s">
        <v>45</v>
      </c>
      <c r="F696" s="5">
        <v>1</v>
      </c>
      <c r="G696" s="5">
        <v>3</v>
      </c>
      <c r="H696" s="5" t="s">
        <v>38</v>
      </c>
      <c r="I696" s="5">
        <v>1</v>
      </c>
      <c r="J696" s="5">
        <v>969</v>
      </c>
      <c r="K696" s="5">
        <v>2</v>
      </c>
      <c r="L696" s="5" t="s">
        <v>39</v>
      </c>
      <c r="M696" s="5">
        <v>42</v>
      </c>
      <c r="N696" s="5">
        <v>2</v>
      </c>
      <c r="O696" s="5">
        <v>2</v>
      </c>
      <c r="P696" s="5" t="s">
        <v>54</v>
      </c>
      <c r="Q696" s="5">
        <v>4</v>
      </c>
      <c r="R696" s="5" t="s">
        <v>41</v>
      </c>
      <c r="S696" s="5">
        <v>6949</v>
      </c>
      <c r="T696" s="5">
        <v>12291</v>
      </c>
      <c r="U696" s="5">
        <v>0</v>
      </c>
      <c r="V696" s="5" t="s">
        <v>42</v>
      </c>
      <c r="W696" s="5" t="s">
        <v>43</v>
      </c>
      <c r="X696" s="5">
        <v>14</v>
      </c>
      <c r="Y696" s="5">
        <v>3</v>
      </c>
      <c r="Z696" s="5">
        <v>1</v>
      </c>
      <c r="AA696" s="5">
        <v>80</v>
      </c>
      <c r="AB696" s="5">
        <v>0</v>
      </c>
      <c r="AC696" s="5">
        <v>6</v>
      </c>
      <c r="AD696" s="5">
        <v>3</v>
      </c>
      <c r="AE696" s="5">
        <v>3</v>
      </c>
      <c r="AF696" s="5">
        <v>5</v>
      </c>
      <c r="AG696" s="5">
        <v>0</v>
      </c>
      <c r="AH696" s="5">
        <v>1</v>
      </c>
      <c r="AI696" s="5">
        <v>4</v>
      </c>
    </row>
    <row r="697" spans="1:35" x14ac:dyDescent="0.25">
      <c r="A697" s="5">
        <v>37</v>
      </c>
      <c r="B697" s="5" t="s">
        <v>35</v>
      </c>
      <c r="C697" s="5" t="s">
        <v>36</v>
      </c>
      <c r="D697" s="5">
        <v>625</v>
      </c>
      <c r="E697" s="5" t="s">
        <v>37</v>
      </c>
      <c r="F697" s="5">
        <v>1</v>
      </c>
      <c r="G697" s="5">
        <v>4</v>
      </c>
      <c r="H697" s="5" t="s">
        <v>38</v>
      </c>
      <c r="I697" s="5">
        <v>1</v>
      </c>
      <c r="J697" s="5">
        <v>970</v>
      </c>
      <c r="K697" s="5">
        <v>1</v>
      </c>
      <c r="L697" s="5" t="s">
        <v>46</v>
      </c>
      <c r="M697" s="5">
        <v>46</v>
      </c>
      <c r="N697" s="5">
        <v>2</v>
      </c>
      <c r="O697" s="5">
        <v>3</v>
      </c>
      <c r="P697" s="5" t="s">
        <v>40</v>
      </c>
      <c r="Q697" s="5">
        <v>3</v>
      </c>
      <c r="R697" s="5" t="s">
        <v>48</v>
      </c>
      <c r="S697" s="5">
        <v>10609</v>
      </c>
      <c r="T697" s="5">
        <v>14922</v>
      </c>
      <c r="U697" s="5">
        <v>5</v>
      </c>
      <c r="V697" s="5" t="s">
        <v>42</v>
      </c>
      <c r="W697" s="5" t="s">
        <v>43</v>
      </c>
      <c r="X697" s="5">
        <v>11</v>
      </c>
      <c r="Y697" s="5">
        <v>3</v>
      </c>
      <c r="Z697" s="5">
        <v>3</v>
      </c>
      <c r="AA697" s="5">
        <v>80</v>
      </c>
      <c r="AB697" s="5">
        <v>0</v>
      </c>
      <c r="AC697" s="5">
        <v>17</v>
      </c>
      <c r="AD697" s="5">
        <v>2</v>
      </c>
      <c r="AE697" s="5">
        <v>1</v>
      </c>
      <c r="AF697" s="5">
        <v>14</v>
      </c>
      <c r="AG697" s="5">
        <v>1</v>
      </c>
      <c r="AH697" s="5">
        <v>11</v>
      </c>
      <c r="AI697" s="5">
        <v>7</v>
      </c>
    </row>
    <row r="698" spans="1:35" x14ac:dyDescent="0.25">
      <c r="A698" s="5">
        <v>45</v>
      </c>
      <c r="B698" s="5" t="s">
        <v>43</v>
      </c>
      <c r="C698" s="5" t="s">
        <v>55</v>
      </c>
      <c r="D698" s="5">
        <v>805</v>
      </c>
      <c r="E698" s="5" t="s">
        <v>45</v>
      </c>
      <c r="F698" s="5">
        <v>4</v>
      </c>
      <c r="G698" s="5">
        <v>2</v>
      </c>
      <c r="H698" s="5" t="s">
        <v>38</v>
      </c>
      <c r="I698" s="5">
        <v>1</v>
      </c>
      <c r="J698" s="5">
        <v>972</v>
      </c>
      <c r="K698" s="5">
        <v>3</v>
      </c>
      <c r="L698" s="5" t="s">
        <v>46</v>
      </c>
      <c r="M698" s="5">
        <v>57</v>
      </c>
      <c r="N698" s="5">
        <v>3</v>
      </c>
      <c r="O698" s="5">
        <v>2</v>
      </c>
      <c r="P698" s="5" t="s">
        <v>50</v>
      </c>
      <c r="Q698" s="5">
        <v>2</v>
      </c>
      <c r="R698" s="5" t="s">
        <v>48</v>
      </c>
      <c r="S698" s="5">
        <v>4447</v>
      </c>
      <c r="T698" s="5">
        <v>23163</v>
      </c>
      <c r="U698" s="5">
        <v>1</v>
      </c>
      <c r="V698" s="5" t="s">
        <v>42</v>
      </c>
      <c r="W698" s="5" t="s">
        <v>43</v>
      </c>
      <c r="X698" s="5">
        <v>12</v>
      </c>
      <c r="Y698" s="5">
        <v>3</v>
      </c>
      <c r="Z698" s="5">
        <v>2</v>
      </c>
      <c r="AA698" s="5">
        <v>80</v>
      </c>
      <c r="AB698" s="5">
        <v>0</v>
      </c>
      <c r="AC698" s="5">
        <v>9</v>
      </c>
      <c r="AD698" s="5">
        <v>5</v>
      </c>
      <c r="AE698" s="5">
        <v>2</v>
      </c>
      <c r="AF698" s="5">
        <v>9</v>
      </c>
      <c r="AG698" s="5">
        <v>7</v>
      </c>
      <c r="AH698" s="5">
        <v>0</v>
      </c>
      <c r="AI698" s="5">
        <v>8</v>
      </c>
    </row>
    <row r="699" spans="1:35" x14ac:dyDescent="0.25">
      <c r="A699" s="5">
        <v>29</v>
      </c>
      <c r="B699" s="5" t="s">
        <v>43</v>
      </c>
      <c r="C699" s="5" t="s">
        <v>44</v>
      </c>
      <c r="D699" s="5">
        <v>1404</v>
      </c>
      <c r="E699" s="5" t="s">
        <v>37</v>
      </c>
      <c r="F699" s="5">
        <v>20</v>
      </c>
      <c r="G699" s="5">
        <v>3</v>
      </c>
      <c r="H699" s="5" t="s">
        <v>60</v>
      </c>
      <c r="I699" s="5">
        <v>1</v>
      </c>
      <c r="J699" s="5">
        <v>974</v>
      </c>
      <c r="K699" s="5">
        <v>3</v>
      </c>
      <c r="L699" s="5" t="s">
        <v>39</v>
      </c>
      <c r="M699" s="5">
        <v>84</v>
      </c>
      <c r="N699" s="5">
        <v>3</v>
      </c>
      <c r="O699" s="5">
        <v>1</v>
      </c>
      <c r="P699" s="5" t="s">
        <v>57</v>
      </c>
      <c r="Q699" s="5">
        <v>4</v>
      </c>
      <c r="R699" s="5" t="s">
        <v>48</v>
      </c>
      <c r="S699" s="5">
        <v>2157</v>
      </c>
      <c r="T699" s="5">
        <v>18203</v>
      </c>
      <c r="U699" s="5">
        <v>1</v>
      </c>
      <c r="V699" s="5" t="s">
        <v>42</v>
      </c>
      <c r="W699" s="5" t="s">
        <v>43</v>
      </c>
      <c r="X699" s="5">
        <v>15</v>
      </c>
      <c r="Y699" s="5">
        <v>3</v>
      </c>
      <c r="Z699" s="5">
        <v>2</v>
      </c>
      <c r="AA699" s="5">
        <v>80</v>
      </c>
      <c r="AB699" s="5">
        <v>1</v>
      </c>
      <c r="AC699" s="5">
        <v>3</v>
      </c>
      <c r="AD699" s="5">
        <v>5</v>
      </c>
      <c r="AE699" s="5">
        <v>3</v>
      </c>
      <c r="AF699" s="5">
        <v>3</v>
      </c>
      <c r="AG699" s="5">
        <v>1</v>
      </c>
      <c r="AH699" s="5">
        <v>0</v>
      </c>
      <c r="AI699" s="5">
        <v>2</v>
      </c>
    </row>
    <row r="700" spans="1:35" x14ac:dyDescent="0.25">
      <c r="A700" s="5">
        <v>35</v>
      </c>
      <c r="B700" s="5" t="s">
        <v>43</v>
      </c>
      <c r="C700" s="5" t="s">
        <v>36</v>
      </c>
      <c r="D700" s="5">
        <v>1219</v>
      </c>
      <c r="E700" s="5" t="s">
        <v>37</v>
      </c>
      <c r="F700" s="5">
        <v>18</v>
      </c>
      <c r="G700" s="5">
        <v>3</v>
      </c>
      <c r="H700" s="5" t="s">
        <v>51</v>
      </c>
      <c r="I700" s="5">
        <v>1</v>
      </c>
      <c r="J700" s="5">
        <v>975</v>
      </c>
      <c r="K700" s="5">
        <v>3</v>
      </c>
      <c r="L700" s="5" t="s">
        <v>39</v>
      </c>
      <c r="M700" s="5">
        <v>86</v>
      </c>
      <c r="N700" s="5">
        <v>3</v>
      </c>
      <c r="O700" s="5">
        <v>2</v>
      </c>
      <c r="P700" s="5" t="s">
        <v>40</v>
      </c>
      <c r="Q700" s="5">
        <v>3</v>
      </c>
      <c r="R700" s="5" t="s">
        <v>48</v>
      </c>
      <c r="S700" s="5">
        <v>4601</v>
      </c>
      <c r="T700" s="5">
        <v>6179</v>
      </c>
      <c r="U700" s="5">
        <v>1</v>
      </c>
      <c r="V700" s="5" t="s">
        <v>42</v>
      </c>
      <c r="W700" s="5" t="s">
        <v>43</v>
      </c>
      <c r="X700" s="5">
        <v>16</v>
      </c>
      <c r="Y700" s="5">
        <v>3</v>
      </c>
      <c r="Z700" s="5">
        <v>2</v>
      </c>
      <c r="AA700" s="5">
        <v>80</v>
      </c>
      <c r="AB700" s="5">
        <v>0</v>
      </c>
      <c r="AC700" s="5">
        <v>5</v>
      </c>
      <c r="AD700" s="5">
        <v>3</v>
      </c>
      <c r="AE700" s="5">
        <v>3</v>
      </c>
      <c r="AF700" s="5">
        <v>5</v>
      </c>
      <c r="AG700" s="5">
        <v>2</v>
      </c>
      <c r="AH700" s="5">
        <v>1</v>
      </c>
      <c r="AI700" s="5">
        <v>0</v>
      </c>
    </row>
    <row r="701" spans="1:35" x14ac:dyDescent="0.25">
      <c r="A701" s="5">
        <v>52</v>
      </c>
      <c r="B701" s="5" t="s">
        <v>43</v>
      </c>
      <c r="C701" s="5" t="s">
        <v>36</v>
      </c>
      <c r="D701" s="5">
        <v>1053</v>
      </c>
      <c r="E701" s="5" t="s">
        <v>45</v>
      </c>
      <c r="F701" s="5">
        <v>1</v>
      </c>
      <c r="G701" s="5">
        <v>2</v>
      </c>
      <c r="H701" s="5" t="s">
        <v>38</v>
      </c>
      <c r="I701" s="5">
        <v>1</v>
      </c>
      <c r="J701" s="5">
        <v>976</v>
      </c>
      <c r="K701" s="5">
        <v>4</v>
      </c>
      <c r="L701" s="5" t="s">
        <v>46</v>
      </c>
      <c r="M701" s="5">
        <v>70</v>
      </c>
      <c r="N701" s="5">
        <v>3</v>
      </c>
      <c r="O701" s="5">
        <v>4</v>
      </c>
      <c r="P701" s="5" t="s">
        <v>56</v>
      </c>
      <c r="Q701" s="5">
        <v>4</v>
      </c>
      <c r="R701" s="5" t="s">
        <v>48</v>
      </c>
      <c r="S701" s="5">
        <v>17099</v>
      </c>
      <c r="T701" s="5">
        <v>13829</v>
      </c>
      <c r="U701" s="5">
        <v>2</v>
      </c>
      <c r="V701" s="5" t="s">
        <v>42</v>
      </c>
      <c r="W701" s="5" t="s">
        <v>43</v>
      </c>
      <c r="X701" s="5">
        <v>15</v>
      </c>
      <c r="Y701" s="5">
        <v>3</v>
      </c>
      <c r="Z701" s="5">
        <v>2</v>
      </c>
      <c r="AA701" s="5">
        <v>80</v>
      </c>
      <c r="AB701" s="5">
        <v>1</v>
      </c>
      <c r="AC701" s="5">
        <v>26</v>
      </c>
      <c r="AD701" s="5">
        <v>2</v>
      </c>
      <c r="AE701" s="5">
        <v>2</v>
      </c>
      <c r="AF701" s="5">
        <v>9</v>
      </c>
      <c r="AG701" s="5">
        <v>8</v>
      </c>
      <c r="AH701" s="5">
        <v>7</v>
      </c>
      <c r="AI701" s="5">
        <v>8</v>
      </c>
    </row>
    <row r="702" spans="1:35" x14ac:dyDescent="0.25">
      <c r="A702" s="5">
        <v>58</v>
      </c>
      <c r="B702" s="5" t="s">
        <v>35</v>
      </c>
      <c r="C702" s="5" t="s">
        <v>36</v>
      </c>
      <c r="D702" s="5">
        <v>289</v>
      </c>
      <c r="E702" s="5" t="s">
        <v>45</v>
      </c>
      <c r="F702" s="5">
        <v>2</v>
      </c>
      <c r="G702" s="5">
        <v>3</v>
      </c>
      <c r="H702" s="5" t="s">
        <v>60</v>
      </c>
      <c r="I702" s="5">
        <v>1</v>
      </c>
      <c r="J702" s="5">
        <v>977</v>
      </c>
      <c r="K702" s="5">
        <v>4</v>
      </c>
      <c r="L702" s="5" t="s">
        <v>46</v>
      </c>
      <c r="M702" s="5">
        <v>51</v>
      </c>
      <c r="N702" s="5">
        <v>3</v>
      </c>
      <c r="O702" s="5">
        <v>1</v>
      </c>
      <c r="P702" s="5" t="s">
        <v>47</v>
      </c>
      <c r="Q702" s="5">
        <v>3</v>
      </c>
      <c r="R702" s="5" t="s">
        <v>41</v>
      </c>
      <c r="S702" s="5">
        <v>2479</v>
      </c>
      <c r="T702" s="5">
        <v>26227</v>
      </c>
      <c r="U702" s="5">
        <v>4</v>
      </c>
      <c r="V702" s="5" t="s">
        <v>42</v>
      </c>
      <c r="W702" s="5" t="s">
        <v>43</v>
      </c>
      <c r="X702" s="5">
        <v>24</v>
      </c>
      <c r="Y702" s="5">
        <v>4</v>
      </c>
      <c r="Z702" s="5">
        <v>1</v>
      </c>
      <c r="AA702" s="5">
        <v>80</v>
      </c>
      <c r="AB702" s="5">
        <v>0</v>
      </c>
      <c r="AC702" s="5">
        <v>7</v>
      </c>
      <c r="AD702" s="5">
        <v>4</v>
      </c>
      <c r="AE702" s="5">
        <v>3</v>
      </c>
      <c r="AF702" s="5">
        <v>1</v>
      </c>
      <c r="AG702" s="5">
        <v>0</v>
      </c>
      <c r="AH702" s="5">
        <v>0</v>
      </c>
      <c r="AI702" s="5">
        <v>0</v>
      </c>
    </row>
    <row r="703" spans="1:35" x14ac:dyDescent="0.25">
      <c r="A703" s="5">
        <v>53</v>
      </c>
      <c r="B703" s="5" t="s">
        <v>43</v>
      </c>
      <c r="C703" s="5" t="s">
        <v>36</v>
      </c>
      <c r="D703" s="5">
        <v>1376</v>
      </c>
      <c r="E703" s="5" t="s">
        <v>37</v>
      </c>
      <c r="F703" s="5">
        <v>2</v>
      </c>
      <c r="G703" s="5">
        <v>2</v>
      </c>
      <c r="H703" s="5" t="s">
        <v>51</v>
      </c>
      <c r="I703" s="5">
        <v>1</v>
      </c>
      <c r="J703" s="5">
        <v>981</v>
      </c>
      <c r="K703" s="5">
        <v>3</v>
      </c>
      <c r="L703" s="5" t="s">
        <v>46</v>
      </c>
      <c r="M703" s="5">
        <v>45</v>
      </c>
      <c r="N703" s="5">
        <v>3</v>
      </c>
      <c r="O703" s="5">
        <v>4</v>
      </c>
      <c r="P703" s="5" t="s">
        <v>56</v>
      </c>
      <c r="Q703" s="5">
        <v>3</v>
      </c>
      <c r="R703" s="5" t="s">
        <v>52</v>
      </c>
      <c r="S703" s="5">
        <v>14852</v>
      </c>
      <c r="T703" s="5">
        <v>13938</v>
      </c>
      <c r="U703" s="5">
        <v>6</v>
      </c>
      <c r="V703" s="5" t="s">
        <v>42</v>
      </c>
      <c r="W703" s="5" t="s">
        <v>43</v>
      </c>
      <c r="X703" s="5">
        <v>13</v>
      </c>
      <c r="Y703" s="5">
        <v>3</v>
      </c>
      <c r="Z703" s="5">
        <v>3</v>
      </c>
      <c r="AA703" s="5">
        <v>80</v>
      </c>
      <c r="AB703" s="5">
        <v>1</v>
      </c>
      <c r="AC703" s="5">
        <v>22</v>
      </c>
      <c r="AD703" s="5">
        <v>3</v>
      </c>
      <c r="AE703" s="5">
        <v>4</v>
      </c>
      <c r="AF703" s="5">
        <v>17</v>
      </c>
      <c r="AG703" s="5">
        <v>13</v>
      </c>
      <c r="AH703" s="5">
        <v>15</v>
      </c>
      <c r="AI703" s="5">
        <v>2</v>
      </c>
    </row>
    <row r="704" spans="1:35" x14ac:dyDescent="0.25">
      <c r="A704" s="5">
        <v>30</v>
      </c>
      <c r="B704" s="5" t="s">
        <v>43</v>
      </c>
      <c r="C704" s="5" t="s">
        <v>36</v>
      </c>
      <c r="D704" s="5">
        <v>231</v>
      </c>
      <c r="E704" s="5" t="s">
        <v>37</v>
      </c>
      <c r="F704" s="5">
        <v>8</v>
      </c>
      <c r="G704" s="5">
        <v>2</v>
      </c>
      <c r="H704" s="5" t="s">
        <v>49</v>
      </c>
      <c r="I704" s="5">
        <v>1</v>
      </c>
      <c r="J704" s="5">
        <v>982</v>
      </c>
      <c r="K704" s="5">
        <v>3</v>
      </c>
      <c r="L704" s="5" t="s">
        <v>46</v>
      </c>
      <c r="M704" s="5">
        <v>62</v>
      </c>
      <c r="N704" s="5">
        <v>3</v>
      </c>
      <c r="O704" s="5">
        <v>3</v>
      </c>
      <c r="P704" s="5" t="s">
        <v>40</v>
      </c>
      <c r="Q704" s="5">
        <v>3</v>
      </c>
      <c r="R704" s="5" t="s">
        <v>52</v>
      </c>
      <c r="S704" s="5">
        <v>7264</v>
      </c>
      <c r="T704" s="5">
        <v>9977</v>
      </c>
      <c r="U704" s="5">
        <v>5</v>
      </c>
      <c r="V704" s="5" t="s">
        <v>42</v>
      </c>
      <c r="W704" s="5" t="s">
        <v>43</v>
      </c>
      <c r="X704" s="5">
        <v>11</v>
      </c>
      <c r="Y704" s="5">
        <v>3</v>
      </c>
      <c r="Z704" s="5">
        <v>1</v>
      </c>
      <c r="AA704" s="5">
        <v>80</v>
      </c>
      <c r="AB704" s="5">
        <v>1</v>
      </c>
      <c r="AC704" s="5">
        <v>10</v>
      </c>
      <c r="AD704" s="5">
        <v>2</v>
      </c>
      <c r="AE704" s="5">
        <v>4</v>
      </c>
      <c r="AF704" s="5">
        <v>8</v>
      </c>
      <c r="AG704" s="5">
        <v>4</v>
      </c>
      <c r="AH704" s="5">
        <v>7</v>
      </c>
      <c r="AI704" s="5">
        <v>7</v>
      </c>
    </row>
    <row r="705" spans="1:35" x14ac:dyDescent="0.25">
      <c r="A705" s="5">
        <v>38</v>
      </c>
      <c r="B705" s="5" t="s">
        <v>43</v>
      </c>
      <c r="C705" s="5" t="s">
        <v>55</v>
      </c>
      <c r="D705" s="5">
        <v>152</v>
      </c>
      <c r="E705" s="5" t="s">
        <v>37</v>
      </c>
      <c r="F705" s="5">
        <v>10</v>
      </c>
      <c r="G705" s="5">
        <v>3</v>
      </c>
      <c r="H705" s="5" t="s">
        <v>60</v>
      </c>
      <c r="I705" s="5">
        <v>1</v>
      </c>
      <c r="J705" s="5">
        <v>983</v>
      </c>
      <c r="K705" s="5">
        <v>3</v>
      </c>
      <c r="L705" s="5" t="s">
        <v>39</v>
      </c>
      <c r="M705" s="5">
        <v>85</v>
      </c>
      <c r="N705" s="5">
        <v>3</v>
      </c>
      <c r="O705" s="5">
        <v>2</v>
      </c>
      <c r="P705" s="5" t="s">
        <v>40</v>
      </c>
      <c r="Q705" s="5">
        <v>4</v>
      </c>
      <c r="R705" s="5" t="s">
        <v>41</v>
      </c>
      <c r="S705" s="5">
        <v>5666</v>
      </c>
      <c r="T705" s="5">
        <v>19899</v>
      </c>
      <c r="U705" s="5">
        <v>1</v>
      </c>
      <c r="V705" s="5" t="s">
        <v>42</v>
      </c>
      <c r="W705" s="5" t="s">
        <v>35</v>
      </c>
      <c r="X705" s="5">
        <v>13</v>
      </c>
      <c r="Y705" s="5">
        <v>3</v>
      </c>
      <c r="Z705" s="5">
        <v>2</v>
      </c>
      <c r="AA705" s="5">
        <v>80</v>
      </c>
      <c r="AB705" s="5">
        <v>0</v>
      </c>
      <c r="AC705" s="5">
        <v>6</v>
      </c>
      <c r="AD705" s="5">
        <v>1</v>
      </c>
      <c r="AE705" s="5">
        <v>3</v>
      </c>
      <c r="AF705" s="5">
        <v>5</v>
      </c>
      <c r="AG705" s="5">
        <v>3</v>
      </c>
      <c r="AH705" s="5">
        <v>1</v>
      </c>
      <c r="AI705" s="5">
        <v>3</v>
      </c>
    </row>
    <row r="706" spans="1:35" x14ac:dyDescent="0.25">
      <c r="A706" s="5">
        <v>35</v>
      </c>
      <c r="B706" s="5" t="s">
        <v>43</v>
      </c>
      <c r="C706" s="5" t="s">
        <v>36</v>
      </c>
      <c r="D706" s="5">
        <v>882</v>
      </c>
      <c r="E706" s="5" t="s">
        <v>37</v>
      </c>
      <c r="F706" s="5">
        <v>3</v>
      </c>
      <c r="G706" s="5">
        <v>4</v>
      </c>
      <c r="H706" s="5" t="s">
        <v>38</v>
      </c>
      <c r="I706" s="5">
        <v>1</v>
      </c>
      <c r="J706" s="5">
        <v>984</v>
      </c>
      <c r="K706" s="5">
        <v>4</v>
      </c>
      <c r="L706" s="5" t="s">
        <v>46</v>
      </c>
      <c r="M706" s="5">
        <v>92</v>
      </c>
      <c r="N706" s="5">
        <v>3</v>
      </c>
      <c r="O706" s="5">
        <v>3</v>
      </c>
      <c r="P706" s="5" t="s">
        <v>40</v>
      </c>
      <c r="Q706" s="5">
        <v>4</v>
      </c>
      <c r="R706" s="5" t="s">
        <v>52</v>
      </c>
      <c r="S706" s="5">
        <v>7823</v>
      </c>
      <c r="T706" s="5">
        <v>6812</v>
      </c>
      <c r="U706" s="5">
        <v>6</v>
      </c>
      <c r="V706" s="5" t="s">
        <v>42</v>
      </c>
      <c r="W706" s="5" t="s">
        <v>43</v>
      </c>
      <c r="X706" s="5">
        <v>13</v>
      </c>
      <c r="Y706" s="5">
        <v>3</v>
      </c>
      <c r="Z706" s="5">
        <v>2</v>
      </c>
      <c r="AA706" s="5">
        <v>80</v>
      </c>
      <c r="AB706" s="5">
        <v>1</v>
      </c>
      <c r="AC706" s="5">
        <v>12</v>
      </c>
      <c r="AD706" s="5">
        <v>2</v>
      </c>
      <c r="AE706" s="5">
        <v>3</v>
      </c>
      <c r="AF706" s="5">
        <v>10</v>
      </c>
      <c r="AG706" s="5">
        <v>9</v>
      </c>
      <c r="AH706" s="5">
        <v>0</v>
      </c>
      <c r="AI706" s="5">
        <v>8</v>
      </c>
    </row>
    <row r="707" spans="1:35" x14ac:dyDescent="0.25">
      <c r="A707" s="5">
        <v>39</v>
      </c>
      <c r="B707" s="5" t="s">
        <v>43</v>
      </c>
      <c r="C707" s="5" t="s">
        <v>36</v>
      </c>
      <c r="D707" s="5">
        <v>903</v>
      </c>
      <c r="E707" s="5" t="s">
        <v>37</v>
      </c>
      <c r="F707" s="5">
        <v>2</v>
      </c>
      <c r="G707" s="5">
        <v>5</v>
      </c>
      <c r="H707" s="5" t="s">
        <v>38</v>
      </c>
      <c r="I707" s="5">
        <v>1</v>
      </c>
      <c r="J707" s="5">
        <v>985</v>
      </c>
      <c r="K707" s="5">
        <v>1</v>
      </c>
      <c r="L707" s="5" t="s">
        <v>46</v>
      </c>
      <c r="M707" s="5">
        <v>41</v>
      </c>
      <c r="N707" s="5">
        <v>4</v>
      </c>
      <c r="O707" s="5">
        <v>3</v>
      </c>
      <c r="P707" s="5" t="s">
        <v>40</v>
      </c>
      <c r="Q707" s="5">
        <v>3</v>
      </c>
      <c r="R707" s="5" t="s">
        <v>41</v>
      </c>
      <c r="S707" s="5">
        <v>7880</v>
      </c>
      <c r="T707" s="5">
        <v>2560</v>
      </c>
      <c r="U707" s="5">
        <v>0</v>
      </c>
      <c r="V707" s="5" t="s">
        <v>42</v>
      </c>
      <c r="W707" s="5" t="s">
        <v>43</v>
      </c>
      <c r="X707" s="5">
        <v>18</v>
      </c>
      <c r="Y707" s="5">
        <v>3</v>
      </c>
      <c r="Z707" s="5">
        <v>4</v>
      </c>
      <c r="AA707" s="5">
        <v>80</v>
      </c>
      <c r="AB707" s="5">
        <v>0</v>
      </c>
      <c r="AC707" s="5">
        <v>9</v>
      </c>
      <c r="AD707" s="5">
        <v>3</v>
      </c>
      <c r="AE707" s="5">
        <v>3</v>
      </c>
      <c r="AF707" s="5">
        <v>8</v>
      </c>
      <c r="AG707" s="5">
        <v>7</v>
      </c>
      <c r="AH707" s="5">
        <v>0</v>
      </c>
      <c r="AI707" s="5">
        <v>7</v>
      </c>
    </row>
    <row r="708" spans="1:35" x14ac:dyDescent="0.25">
      <c r="A708" s="5">
        <v>40</v>
      </c>
      <c r="B708" s="5" t="s">
        <v>35</v>
      </c>
      <c r="C708" s="5" t="s">
        <v>55</v>
      </c>
      <c r="D708" s="5">
        <v>1479</v>
      </c>
      <c r="E708" s="5" t="s">
        <v>37</v>
      </c>
      <c r="F708" s="5">
        <v>24</v>
      </c>
      <c r="G708" s="5">
        <v>3</v>
      </c>
      <c r="H708" s="5" t="s">
        <v>38</v>
      </c>
      <c r="I708" s="5">
        <v>1</v>
      </c>
      <c r="J708" s="5">
        <v>986</v>
      </c>
      <c r="K708" s="5">
        <v>2</v>
      </c>
      <c r="L708" s="5" t="s">
        <v>39</v>
      </c>
      <c r="M708" s="5">
        <v>100</v>
      </c>
      <c r="N708" s="5">
        <v>4</v>
      </c>
      <c r="O708" s="5">
        <v>4</v>
      </c>
      <c r="P708" s="5" t="s">
        <v>40</v>
      </c>
      <c r="Q708" s="5">
        <v>2</v>
      </c>
      <c r="R708" s="5" t="s">
        <v>41</v>
      </c>
      <c r="S708" s="5">
        <v>13194</v>
      </c>
      <c r="T708" s="5">
        <v>17071</v>
      </c>
      <c r="U708" s="5">
        <v>4</v>
      </c>
      <c r="V708" s="5" t="s">
        <v>42</v>
      </c>
      <c r="W708" s="5" t="s">
        <v>35</v>
      </c>
      <c r="X708" s="5">
        <v>16</v>
      </c>
      <c r="Y708" s="5">
        <v>3</v>
      </c>
      <c r="Z708" s="5">
        <v>4</v>
      </c>
      <c r="AA708" s="5">
        <v>80</v>
      </c>
      <c r="AB708" s="5">
        <v>0</v>
      </c>
      <c r="AC708" s="5">
        <v>22</v>
      </c>
      <c r="AD708" s="5">
        <v>2</v>
      </c>
      <c r="AE708" s="5">
        <v>2</v>
      </c>
      <c r="AF708" s="5">
        <v>1</v>
      </c>
      <c r="AG708" s="5">
        <v>0</v>
      </c>
      <c r="AH708" s="5">
        <v>0</v>
      </c>
      <c r="AI708" s="5">
        <v>0</v>
      </c>
    </row>
    <row r="709" spans="1:35" x14ac:dyDescent="0.25">
      <c r="A709" s="5">
        <v>47</v>
      </c>
      <c r="B709" s="5" t="s">
        <v>43</v>
      </c>
      <c r="C709" s="5" t="s">
        <v>44</v>
      </c>
      <c r="D709" s="5">
        <v>1379</v>
      </c>
      <c r="E709" s="5" t="s">
        <v>45</v>
      </c>
      <c r="F709" s="5">
        <v>16</v>
      </c>
      <c r="G709" s="5">
        <v>4</v>
      </c>
      <c r="H709" s="5" t="s">
        <v>51</v>
      </c>
      <c r="I709" s="5">
        <v>1</v>
      </c>
      <c r="J709" s="5">
        <v>987</v>
      </c>
      <c r="K709" s="5">
        <v>3</v>
      </c>
      <c r="L709" s="5" t="s">
        <v>46</v>
      </c>
      <c r="M709" s="5">
        <v>64</v>
      </c>
      <c r="N709" s="5">
        <v>4</v>
      </c>
      <c r="O709" s="5">
        <v>2</v>
      </c>
      <c r="P709" s="5" t="s">
        <v>53</v>
      </c>
      <c r="Q709" s="5">
        <v>3</v>
      </c>
      <c r="R709" s="5" t="s">
        <v>52</v>
      </c>
      <c r="S709" s="5">
        <v>5067</v>
      </c>
      <c r="T709" s="5">
        <v>6759</v>
      </c>
      <c r="U709" s="5">
        <v>1</v>
      </c>
      <c r="V709" s="5" t="s">
        <v>42</v>
      </c>
      <c r="W709" s="5" t="s">
        <v>35</v>
      </c>
      <c r="X709" s="5">
        <v>19</v>
      </c>
      <c r="Y709" s="5">
        <v>3</v>
      </c>
      <c r="Z709" s="5">
        <v>3</v>
      </c>
      <c r="AA709" s="5">
        <v>80</v>
      </c>
      <c r="AB709" s="5">
        <v>0</v>
      </c>
      <c r="AC709" s="5">
        <v>20</v>
      </c>
      <c r="AD709" s="5">
        <v>3</v>
      </c>
      <c r="AE709" s="5">
        <v>4</v>
      </c>
      <c r="AF709" s="5">
        <v>19</v>
      </c>
      <c r="AG709" s="5">
        <v>10</v>
      </c>
      <c r="AH709" s="5">
        <v>2</v>
      </c>
      <c r="AI709" s="5">
        <v>7</v>
      </c>
    </row>
    <row r="710" spans="1:35" x14ac:dyDescent="0.25">
      <c r="A710" s="5">
        <v>36</v>
      </c>
      <c r="B710" s="5" t="s">
        <v>43</v>
      </c>
      <c r="C710" s="5" t="s">
        <v>55</v>
      </c>
      <c r="D710" s="5">
        <v>1229</v>
      </c>
      <c r="E710" s="5" t="s">
        <v>37</v>
      </c>
      <c r="F710" s="5">
        <v>8</v>
      </c>
      <c r="G710" s="5">
        <v>4</v>
      </c>
      <c r="H710" s="5" t="s">
        <v>60</v>
      </c>
      <c r="I710" s="5">
        <v>1</v>
      </c>
      <c r="J710" s="5">
        <v>990</v>
      </c>
      <c r="K710" s="5">
        <v>1</v>
      </c>
      <c r="L710" s="5" t="s">
        <v>46</v>
      </c>
      <c r="M710" s="5">
        <v>84</v>
      </c>
      <c r="N710" s="5">
        <v>3</v>
      </c>
      <c r="O710" s="5">
        <v>2</v>
      </c>
      <c r="P710" s="5" t="s">
        <v>40</v>
      </c>
      <c r="Q710" s="5">
        <v>4</v>
      </c>
      <c r="R710" s="5" t="s">
        <v>52</v>
      </c>
      <c r="S710" s="5">
        <v>5079</v>
      </c>
      <c r="T710" s="5">
        <v>25952</v>
      </c>
      <c r="U710" s="5">
        <v>4</v>
      </c>
      <c r="V710" s="5" t="s">
        <v>42</v>
      </c>
      <c r="W710" s="5" t="s">
        <v>43</v>
      </c>
      <c r="X710" s="5">
        <v>13</v>
      </c>
      <c r="Y710" s="5">
        <v>3</v>
      </c>
      <c r="Z710" s="5">
        <v>4</v>
      </c>
      <c r="AA710" s="5">
        <v>80</v>
      </c>
      <c r="AB710" s="5">
        <v>2</v>
      </c>
      <c r="AC710" s="5">
        <v>12</v>
      </c>
      <c r="AD710" s="5">
        <v>3</v>
      </c>
      <c r="AE710" s="5">
        <v>3</v>
      </c>
      <c r="AF710" s="5">
        <v>7</v>
      </c>
      <c r="AG710" s="5">
        <v>7</v>
      </c>
      <c r="AH710" s="5">
        <v>0</v>
      </c>
      <c r="AI710" s="5">
        <v>7</v>
      </c>
    </row>
    <row r="711" spans="1:35" x14ac:dyDescent="0.25">
      <c r="A711" s="5">
        <v>31</v>
      </c>
      <c r="B711" s="5" t="s">
        <v>35</v>
      </c>
      <c r="C711" s="5" t="s">
        <v>55</v>
      </c>
      <c r="D711" s="5">
        <v>335</v>
      </c>
      <c r="E711" s="5" t="s">
        <v>45</v>
      </c>
      <c r="F711" s="5">
        <v>9</v>
      </c>
      <c r="G711" s="5">
        <v>2</v>
      </c>
      <c r="H711" s="5" t="s">
        <v>51</v>
      </c>
      <c r="I711" s="5">
        <v>1</v>
      </c>
      <c r="J711" s="5">
        <v>991</v>
      </c>
      <c r="K711" s="5">
        <v>3</v>
      </c>
      <c r="L711" s="5" t="s">
        <v>46</v>
      </c>
      <c r="M711" s="5">
        <v>46</v>
      </c>
      <c r="N711" s="5">
        <v>2</v>
      </c>
      <c r="O711" s="5">
        <v>1</v>
      </c>
      <c r="P711" s="5" t="s">
        <v>47</v>
      </c>
      <c r="Q711" s="5">
        <v>1</v>
      </c>
      <c r="R711" s="5" t="s">
        <v>41</v>
      </c>
      <c r="S711" s="5">
        <v>2321</v>
      </c>
      <c r="T711" s="5">
        <v>10322</v>
      </c>
      <c r="U711" s="5">
        <v>0</v>
      </c>
      <c r="V711" s="5" t="s">
        <v>42</v>
      </c>
      <c r="W711" s="5" t="s">
        <v>35</v>
      </c>
      <c r="X711" s="5">
        <v>22</v>
      </c>
      <c r="Y711" s="5">
        <v>4</v>
      </c>
      <c r="Z711" s="5">
        <v>1</v>
      </c>
      <c r="AA711" s="5">
        <v>80</v>
      </c>
      <c r="AB711" s="5">
        <v>0</v>
      </c>
      <c r="AC711" s="5">
        <v>4</v>
      </c>
      <c r="AD711" s="5">
        <v>0</v>
      </c>
      <c r="AE711" s="5">
        <v>3</v>
      </c>
      <c r="AF711" s="5">
        <v>3</v>
      </c>
      <c r="AG711" s="5">
        <v>2</v>
      </c>
      <c r="AH711" s="5">
        <v>1</v>
      </c>
      <c r="AI711" s="5">
        <v>2</v>
      </c>
    </row>
    <row r="712" spans="1:35" x14ac:dyDescent="0.25">
      <c r="A712" s="5">
        <v>33</v>
      </c>
      <c r="B712" s="5" t="s">
        <v>43</v>
      </c>
      <c r="C712" s="5" t="s">
        <v>55</v>
      </c>
      <c r="D712" s="5">
        <v>722</v>
      </c>
      <c r="E712" s="5" t="s">
        <v>37</v>
      </c>
      <c r="F712" s="5">
        <v>17</v>
      </c>
      <c r="G712" s="5">
        <v>3</v>
      </c>
      <c r="H712" s="5" t="s">
        <v>38</v>
      </c>
      <c r="I712" s="5">
        <v>1</v>
      </c>
      <c r="J712" s="5">
        <v>992</v>
      </c>
      <c r="K712" s="5">
        <v>4</v>
      </c>
      <c r="L712" s="5" t="s">
        <v>46</v>
      </c>
      <c r="M712" s="5">
        <v>38</v>
      </c>
      <c r="N712" s="5">
        <v>3</v>
      </c>
      <c r="O712" s="5">
        <v>4</v>
      </c>
      <c r="P712" s="5" t="s">
        <v>56</v>
      </c>
      <c r="Q712" s="5">
        <v>3</v>
      </c>
      <c r="R712" s="5" t="s">
        <v>41</v>
      </c>
      <c r="S712" s="5">
        <v>17444</v>
      </c>
      <c r="T712" s="5">
        <v>20489</v>
      </c>
      <c r="U712" s="5">
        <v>1</v>
      </c>
      <c r="V712" s="5" t="s">
        <v>42</v>
      </c>
      <c r="W712" s="5" t="s">
        <v>43</v>
      </c>
      <c r="X712" s="5">
        <v>11</v>
      </c>
      <c r="Y712" s="5">
        <v>3</v>
      </c>
      <c r="Z712" s="5">
        <v>4</v>
      </c>
      <c r="AA712" s="5">
        <v>80</v>
      </c>
      <c r="AB712" s="5">
        <v>0</v>
      </c>
      <c r="AC712" s="5">
        <v>10</v>
      </c>
      <c r="AD712" s="5">
        <v>2</v>
      </c>
      <c r="AE712" s="5">
        <v>3</v>
      </c>
      <c r="AF712" s="5">
        <v>10</v>
      </c>
      <c r="AG712" s="5">
        <v>8</v>
      </c>
      <c r="AH712" s="5">
        <v>6</v>
      </c>
      <c r="AI712" s="5">
        <v>0</v>
      </c>
    </row>
    <row r="713" spans="1:35" x14ac:dyDescent="0.25">
      <c r="A713" s="5">
        <v>29</v>
      </c>
      <c r="B713" s="5" t="s">
        <v>35</v>
      </c>
      <c r="C713" s="5" t="s">
        <v>36</v>
      </c>
      <c r="D713" s="5">
        <v>906</v>
      </c>
      <c r="E713" s="5" t="s">
        <v>45</v>
      </c>
      <c r="F713" s="5">
        <v>10</v>
      </c>
      <c r="G713" s="5">
        <v>3</v>
      </c>
      <c r="H713" s="5" t="s">
        <v>38</v>
      </c>
      <c r="I713" s="5">
        <v>1</v>
      </c>
      <c r="J713" s="5">
        <v>994</v>
      </c>
      <c r="K713" s="5">
        <v>4</v>
      </c>
      <c r="L713" s="5" t="s">
        <v>39</v>
      </c>
      <c r="M713" s="5">
        <v>92</v>
      </c>
      <c r="N713" s="5">
        <v>2</v>
      </c>
      <c r="O713" s="5">
        <v>1</v>
      </c>
      <c r="P713" s="5" t="s">
        <v>47</v>
      </c>
      <c r="Q713" s="5">
        <v>1</v>
      </c>
      <c r="R713" s="5" t="s">
        <v>41</v>
      </c>
      <c r="S713" s="5">
        <v>2404</v>
      </c>
      <c r="T713" s="5">
        <v>11479</v>
      </c>
      <c r="U713" s="5">
        <v>6</v>
      </c>
      <c r="V713" s="5" t="s">
        <v>42</v>
      </c>
      <c r="W713" s="5" t="s">
        <v>35</v>
      </c>
      <c r="X713" s="5">
        <v>20</v>
      </c>
      <c r="Y713" s="5">
        <v>4</v>
      </c>
      <c r="Z713" s="5">
        <v>3</v>
      </c>
      <c r="AA713" s="5">
        <v>80</v>
      </c>
      <c r="AB713" s="5">
        <v>0</v>
      </c>
      <c r="AC713" s="5">
        <v>3</v>
      </c>
      <c r="AD713" s="5">
        <v>5</v>
      </c>
      <c r="AE713" s="5">
        <v>3</v>
      </c>
      <c r="AF713" s="5">
        <v>0</v>
      </c>
      <c r="AG713" s="5">
        <v>0</v>
      </c>
      <c r="AH713" s="5">
        <v>0</v>
      </c>
      <c r="AI713" s="5">
        <v>0</v>
      </c>
    </row>
    <row r="714" spans="1:35" x14ac:dyDescent="0.25">
      <c r="A714" s="5">
        <v>33</v>
      </c>
      <c r="B714" s="5" t="s">
        <v>43</v>
      </c>
      <c r="C714" s="5" t="s">
        <v>36</v>
      </c>
      <c r="D714" s="5">
        <v>461</v>
      </c>
      <c r="E714" s="5" t="s">
        <v>45</v>
      </c>
      <c r="F714" s="5">
        <v>13</v>
      </c>
      <c r="G714" s="5">
        <v>1</v>
      </c>
      <c r="H714" s="5" t="s">
        <v>38</v>
      </c>
      <c r="I714" s="5">
        <v>1</v>
      </c>
      <c r="J714" s="5">
        <v>995</v>
      </c>
      <c r="K714" s="5">
        <v>2</v>
      </c>
      <c r="L714" s="5" t="s">
        <v>39</v>
      </c>
      <c r="M714" s="5">
        <v>53</v>
      </c>
      <c r="N714" s="5">
        <v>3</v>
      </c>
      <c r="O714" s="5">
        <v>1</v>
      </c>
      <c r="P714" s="5" t="s">
        <v>47</v>
      </c>
      <c r="Q714" s="5">
        <v>4</v>
      </c>
      <c r="R714" s="5" t="s">
        <v>41</v>
      </c>
      <c r="S714" s="5">
        <v>3452</v>
      </c>
      <c r="T714" s="5">
        <v>17241</v>
      </c>
      <c r="U714" s="5">
        <v>3</v>
      </c>
      <c r="V714" s="5" t="s">
        <v>42</v>
      </c>
      <c r="W714" s="5" t="s">
        <v>43</v>
      </c>
      <c r="X714" s="5">
        <v>18</v>
      </c>
      <c r="Y714" s="5">
        <v>3</v>
      </c>
      <c r="Z714" s="5">
        <v>1</v>
      </c>
      <c r="AA714" s="5">
        <v>80</v>
      </c>
      <c r="AB714" s="5">
        <v>0</v>
      </c>
      <c r="AC714" s="5">
        <v>5</v>
      </c>
      <c r="AD714" s="5">
        <v>4</v>
      </c>
      <c r="AE714" s="5">
        <v>3</v>
      </c>
      <c r="AF714" s="5">
        <v>3</v>
      </c>
      <c r="AG714" s="5">
        <v>2</v>
      </c>
      <c r="AH714" s="5">
        <v>0</v>
      </c>
      <c r="AI714" s="5">
        <v>2</v>
      </c>
    </row>
    <row r="715" spans="1:35" x14ac:dyDescent="0.25">
      <c r="A715" s="5">
        <v>45</v>
      </c>
      <c r="B715" s="5" t="s">
        <v>43</v>
      </c>
      <c r="C715" s="5" t="s">
        <v>36</v>
      </c>
      <c r="D715" s="5">
        <v>974</v>
      </c>
      <c r="E715" s="5" t="s">
        <v>45</v>
      </c>
      <c r="F715" s="5">
        <v>1</v>
      </c>
      <c r="G715" s="5">
        <v>4</v>
      </c>
      <c r="H715" s="5" t="s">
        <v>51</v>
      </c>
      <c r="I715" s="5">
        <v>1</v>
      </c>
      <c r="J715" s="5">
        <v>996</v>
      </c>
      <c r="K715" s="5">
        <v>4</v>
      </c>
      <c r="L715" s="5" t="s">
        <v>39</v>
      </c>
      <c r="M715" s="5">
        <v>91</v>
      </c>
      <c r="N715" s="5">
        <v>3</v>
      </c>
      <c r="O715" s="5">
        <v>1</v>
      </c>
      <c r="P715" s="5" t="s">
        <v>50</v>
      </c>
      <c r="Q715" s="5">
        <v>4</v>
      </c>
      <c r="R715" s="5" t="s">
        <v>52</v>
      </c>
      <c r="S715" s="5">
        <v>2270</v>
      </c>
      <c r="T715" s="5">
        <v>11005</v>
      </c>
      <c r="U715" s="5">
        <v>3</v>
      </c>
      <c r="V715" s="5" t="s">
        <v>42</v>
      </c>
      <c r="W715" s="5" t="s">
        <v>43</v>
      </c>
      <c r="X715" s="5">
        <v>14</v>
      </c>
      <c r="Y715" s="5">
        <v>3</v>
      </c>
      <c r="Z715" s="5">
        <v>4</v>
      </c>
      <c r="AA715" s="5">
        <v>80</v>
      </c>
      <c r="AB715" s="5">
        <v>2</v>
      </c>
      <c r="AC715" s="5">
        <v>8</v>
      </c>
      <c r="AD715" s="5">
        <v>2</v>
      </c>
      <c r="AE715" s="5">
        <v>3</v>
      </c>
      <c r="AF715" s="5">
        <v>5</v>
      </c>
      <c r="AG715" s="5">
        <v>3</v>
      </c>
      <c r="AH715" s="5">
        <v>0</v>
      </c>
      <c r="AI715" s="5">
        <v>2</v>
      </c>
    </row>
    <row r="716" spans="1:35" x14ac:dyDescent="0.25">
      <c r="A716" s="5">
        <v>50</v>
      </c>
      <c r="B716" s="5" t="s">
        <v>43</v>
      </c>
      <c r="C716" s="5" t="s">
        <v>36</v>
      </c>
      <c r="D716" s="5">
        <v>1126</v>
      </c>
      <c r="E716" s="5" t="s">
        <v>45</v>
      </c>
      <c r="F716" s="5">
        <v>1</v>
      </c>
      <c r="G716" s="5">
        <v>2</v>
      </c>
      <c r="H716" s="5" t="s">
        <v>51</v>
      </c>
      <c r="I716" s="5">
        <v>1</v>
      </c>
      <c r="J716" s="5">
        <v>997</v>
      </c>
      <c r="K716" s="5">
        <v>4</v>
      </c>
      <c r="L716" s="5" t="s">
        <v>46</v>
      </c>
      <c r="M716" s="5">
        <v>66</v>
      </c>
      <c r="N716" s="5">
        <v>3</v>
      </c>
      <c r="O716" s="5">
        <v>4</v>
      </c>
      <c r="P716" s="5" t="s">
        <v>58</v>
      </c>
      <c r="Q716" s="5">
        <v>4</v>
      </c>
      <c r="R716" s="5" t="s">
        <v>52</v>
      </c>
      <c r="S716" s="5">
        <v>17399</v>
      </c>
      <c r="T716" s="5">
        <v>6615</v>
      </c>
      <c r="U716" s="5">
        <v>9</v>
      </c>
      <c r="V716" s="5" t="s">
        <v>42</v>
      </c>
      <c r="W716" s="5" t="s">
        <v>43</v>
      </c>
      <c r="X716" s="5">
        <v>22</v>
      </c>
      <c r="Y716" s="5">
        <v>4</v>
      </c>
      <c r="Z716" s="5">
        <v>3</v>
      </c>
      <c r="AA716" s="5">
        <v>80</v>
      </c>
      <c r="AB716" s="5">
        <v>1</v>
      </c>
      <c r="AC716" s="5">
        <v>32</v>
      </c>
      <c r="AD716" s="5">
        <v>1</v>
      </c>
      <c r="AE716" s="5">
        <v>2</v>
      </c>
      <c r="AF716" s="5">
        <v>5</v>
      </c>
      <c r="AG716" s="5">
        <v>4</v>
      </c>
      <c r="AH716" s="5">
        <v>1</v>
      </c>
      <c r="AI716" s="5">
        <v>3</v>
      </c>
    </row>
    <row r="717" spans="1:35" x14ac:dyDescent="0.25">
      <c r="A717" s="5">
        <v>33</v>
      </c>
      <c r="B717" s="5" t="s">
        <v>43</v>
      </c>
      <c r="C717" s="5" t="s">
        <v>44</v>
      </c>
      <c r="D717" s="5">
        <v>827</v>
      </c>
      <c r="E717" s="5" t="s">
        <v>45</v>
      </c>
      <c r="F717" s="5">
        <v>1</v>
      </c>
      <c r="G717" s="5">
        <v>4</v>
      </c>
      <c r="H717" s="5" t="s">
        <v>49</v>
      </c>
      <c r="I717" s="5">
        <v>1</v>
      </c>
      <c r="J717" s="5">
        <v>998</v>
      </c>
      <c r="K717" s="5">
        <v>3</v>
      </c>
      <c r="L717" s="5" t="s">
        <v>39</v>
      </c>
      <c r="M717" s="5">
        <v>84</v>
      </c>
      <c r="N717" s="5">
        <v>4</v>
      </c>
      <c r="O717" s="5">
        <v>2</v>
      </c>
      <c r="P717" s="5" t="s">
        <v>54</v>
      </c>
      <c r="Q717" s="5">
        <v>2</v>
      </c>
      <c r="R717" s="5" t="s">
        <v>48</v>
      </c>
      <c r="S717" s="5">
        <v>5488</v>
      </c>
      <c r="T717" s="5">
        <v>20161</v>
      </c>
      <c r="U717" s="5">
        <v>1</v>
      </c>
      <c r="V717" s="5" t="s">
        <v>42</v>
      </c>
      <c r="W717" s="5" t="s">
        <v>35</v>
      </c>
      <c r="X717" s="5">
        <v>13</v>
      </c>
      <c r="Y717" s="5">
        <v>3</v>
      </c>
      <c r="Z717" s="5">
        <v>1</v>
      </c>
      <c r="AA717" s="5">
        <v>80</v>
      </c>
      <c r="AB717" s="5">
        <v>1</v>
      </c>
      <c r="AC717" s="5">
        <v>6</v>
      </c>
      <c r="AD717" s="5">
        <v>2</v>
      </c>
      <c r="AE717" s="5">
        <v>3</v>
      </c>
      <c r="AF717" s="5">
        <v>6</v>
      </c>
      <c r="AG717" s="5">
        <v>5</v>
      </c>
      <c r="AH717" s="5">
        <v>1</v>
      </c>
      <c r="AI717" s="5">
        <v>2</v>
      </c>
    </row>
    <row r="718" spans="1:35" x14ac:dyDescent="0.25">
      <c r="A718" s="5">
        <v>41</v>
      </c>
      <c r="B718" s="5" t="s">
        <v>43</v>
      </c>
      <c r="C718" s="5" t="s">
        <v>44</v>
      </c>
      <c r="D718" s="5">
        <v>840</v>
      </c>
      <c r="E718" s="5" t="s">
        <v>45</v>
      </c>
      <c r="F718" s="5">
        <v>9</v>
      </c>
      <c r="G718" s="5">
        <v>3</v>
      </c>
      <c r="H718" s="5" t="s">
        <v>51</v>
      </c>
      <c r="I718" s="5">
        <v>1</v>
      </c>
      <c r="J718" s="5">
        <v>999</v>
      </c>
      <c r="K718" s="5">
        <v>1</v>
      </c>
      <c r="L718" s="5" t="s">
        <v>46</v>
      </c>
      <c r="M718" s="5">
        <v>64</v>
      </c>
      <c r="N718" s="5">
        <v>3</v>
      </c>
      <c r="O718" s="5">
        <v>5</v>
      </c>
      <c r="P718" s="5" t="s">
        <v>58</v>
      </c>
      <c r="Q718" s="5">
        <v>3</v>
      </c>
      <c r="R718" s="5" t="s">
        <v>52</v>
      </c>
      <c r="S718" s="5">
        <v>19419</v>
      </c>
      <c r="T718" s="5">
        <v>3735</v>
      </c>
      <c r="U718" s="5">
        <v>2</v>
      </c>
      <c r="V718" s="5" t="s">
        <v>42</v>
      </c>
      <c r="W718" s="5" t="s">
        <v>43</v>
      </c>
      <c r="X718" s="5">
        <v>17</v>
      </c>
      <c r="Y718" s="5">
        <v>3</v>
      </c>
      <c r="Z718" s="5">
        <v>2</v>
      </c>
      <c r="AA718" s="5">
        <v>80</v>
      </c>
      <c r="AB718" s="5">
        <v>1</v>
      </c>
      <c r="AC718" s="5">
        <v>21</v>
      </c>
      <c r="AD718" s="5">
        <v>2</v>
      </c>
      <c r="AE718" s="5">
        <v>4</v>
      </c>
      <c r="AF718" s="5">
        <v>18</v>
      </c>
      <c r="AG718" s="5">
        <v>16</v>
      </c>
      <c r="AH718" s="5">
        <v>0</v>
      </c>
      <c r="AI718" s="5">
        <v>11</v>
      </c>
    </row>
    <row r="719" spans="1:35" x14ac:dyDescent="0.25">
      <c r="A719" s="5">
        <v>27</v>
      </c>
      <c r="B719" s="5" t="s">
        <v>43</v>
      </c>
      <c r="C719" s="5" t="s">
        <v>36</v>
      </c>
      <c r="D719" s="5">
        <v>1134</v>
      </c>
      <c r="E719" s="5" t="s">
        <v>45</v>
      </c>
      <c r="F719" s="5">
        <v>16</v>
      </c>
      <c r="G719" s="5">
        <v>4</v>
      </c>
      <c r="H719" s="5" t="s">
        <v>60</v>
      </c>
      <c r="I719" s="5">
        <v>1</v>
      </c>
      <c r="J719" s="5">
        <v>1001</v>
      </c>
      <c r="K719" s="5">
        <v>3</v>
      </c>
      <c r="L719" s="5" t="s">
        <v>39</v>
      </c>
      <c r="M719" s="5">
        <v>37</v>
      </c>
      <c r="N719" s="5">
        <v>3</v>
      </c>
      <c r="O719" s="5">
        <v>1</v>
      </c>
      <c r="P719" s="5" t="s">
        <v>50</v>
      </c>
      <c r="Q719" s="5">
        <v>2</v>
      </c>
      <c r="R719" s="5" t="s">
        <v>48</v>
      </c>
      <c r="S719" s="5">
        <v>2811</v>
      </c>
      <c r="T719" s="5">
        <v>12086</v>
      </c>
      <c r="U719" s="5">
        <v>9</v>
      </c>
      <c r="V719" s="5" t="s">
        <v>42</v>
      </c>
      <c r="W719" s="5" t="s">
        <v>43</v>
      </c>
      <c r="X719" s="5">
        <v>14</v>
      </c>
      <c r="Y719" s="5">
        <v>3</v>
      </c>
      <c r="Z719" s="5">
        <v>2</v>
      </c>
      <c r="AA719" s="5">
        <v>80</v>
      </c>
      <c r="AB719" s="5">
        <v>1</v>
      </c>
      <c r="AC719" s="5">
        <v>4</v>
      </c>
      <c r="AD719" s="5">
        <v>2</v>
      </c>
      <c r="AE719" s="5">
        <v>3</v>
      </c>
      <c r="AF719" s="5">
        <v>2</v>
      </c>
      <c r="AG719" s="5">
        <v>2</v>
      </c>
      <c r="AH719" s="5">
        <v>2</v>
      </c>
      <c r="AI719" s="5">
        <v>2</v>
      </c>
    </row>
    <row r="720" spans="1:35" x14ac:dyDescent="0.25">
      <c r="A720" s="5">
        <v>45</v>
      </c>
      <c r="B720" s="5" t="s">
        <v>43</v>
      </c>
      <c r="C720" s="5" t="s">
        <v>55</v>
      </c>
      <c r="D720" s="5">
        <v>248</v>
      </c>
      <c r="E720" s="5" t="s">
        <v>45</v>
      </c>
      <c r="F720" s="5">
        <v>23</v>
      </c>
      <c r="G720" s="5">
        <v>2</v>
      </c>
      <c r="H720" s="5" t="s">
        <v>38</v>
      </c>
      <c r="I720" s="5">
        <v>1</v>
      </c>
      <c r="J720" s="5">
        <v>1002</v>
      </c>
      <c r="K720" s="5">
        <v>4</v>
      </c>
      <c r="L720" s="5" t="s">
        <v>46</v>
      </c>
      <c r="M720" s="5">
        <v>42</v>
      </c>
      <c r="N720" s="5">
        <v>3</v>
      </c>
      <c r="O720" s="5">
        <v>2</v>
      </c>
      <c r="P720" s="5" t="s">
        <v>50</v>
      </c>
      <c r="Q720" s="5">
        <v>1</v>
      </c>
      <c r="R720" s="5" t="s">
        <v>48</v>
      </c>
      <c r="S720" s="5">
        <v>3633</v>
      </c>
      <c r="T720" s="5">
        <v>14039</v>
      </c>
      <c r="U720" s="5">
        <v>1</v>
      </c>
      <c r="V720" s="5" t="s">
        <v>42</v>
      </c>
      <c r="W720" s="5" t="s">
        <v>35</v>
      </c>
      <c r="X720" s="5">
        <v>15</v>
      </c>
      <c r="Y720" s="5">
        <v>3</v>
      </c>
      <c r="Z720" s="5">
        <v>3</v>
      </c>
      <c r="AA720" s="5">
        <v>80</v>
      </c>
      <c r="AB720" s="5">
        <v>1</v>
      </c>
      <c r="AC720" s="5">
        <v>9</v>
      </c>
      <c r="AD720" s="5">
        <v>2</v>
      </c>
      <c r="AE720" s="5">
        <v>3</v>
      </c>
      <c r="AF720" s="5">
        <v>9</v>
      </c>
      <c r="AG720" s="5">
        <v>8</v>
      </c>
      <c r="AH720" s="5">
        <v>0</v>
      </c>
      <c r="AI720" s="5">
        <v>8</v>
      </c>
    </row>
    <row r="721" spans="1:35" x14ac:dyDescent="0.25">
      <c r="A721" s="5">
        <v>47</v>
      </c>
      <c r="B721" s="5" t="s">
        <v>43</v>
      </c>
      <c r="C721" s="5" t="s">
        <v>36</v>
      </c>
      <c r="D721" s="5">
        <v>955</v>
      </c>
      <c r="E721" s="5" t="s">
        <v>37</v>
      </c>
      <c r="F721" s="5">
        <v>4</v>
      </c>
      <c r="G721" s="5">
        <v>2</v>
      </c>
      <c r="H721" s="5" t="s">
        <v>38</v>
      </c>
      <c r="I721" s="5">
        <v>1</v>
      </c>
      <c r="J721" s="5">
        <v>1003</v>
      </c>
      <c r="K721" s="5">
        <v>4</v>
      </c>
      <c r="L721" s="5" t="s">
        <v>39</v>
      </c>
      <c r="M721" s="5">
        <v>83</v>
      </c>
      <c r="N721" s="5">
        <v>3</v>
      </c>
      <c r="O721" s="5">
        <v>2</v>
      </c>
      <c r="P721" s="5" t="s">
        <v>40</v>
      </c>
      <c r="Q721" s="5">
        <v>4</v>
      </c>
      <c r="R721" s="5" t="s">
        <v>41</v>
      </c>
      <c r="S721" s="5">
        <v>4163</v>
      </c>
      <c r="T721" s="5">
        <v>8571</v>
      </c>
      <c r="U721" s="5">
        <v>1</v>
      </c>
      <c r="V721" s="5" t="s">
        <v>42</v>
      </c>
      <c r="W721" s="5" t="s">
        <v>35</v>
      </c>
      <c r="X721" s="5">
        <v>17</v>
      </c>
      <c r="Y721" s="5">
        <v>3</v>
      </c>
      <c r="Z721" s="5">
        <v>3</v>
      </c>
      <c r="AA721" s="5">
        <v>80</v>
      </c>
      <c r="AB721" s="5">
        <v>0</v>
      </c>
      <c r="AC721" s="5">
        <v>9</v>
      </c>
      <c r="AD721" s="5">
        <v>0</v>
      </c>
      <c r="AE721" s="5">
        <v>3</v>
      </c>
      <c r="AF721" s="5">
        <v>9</v>
      </c>
      <c r="AG721" s="5">
        <v>0</v>
      </c>
      <c r="AH721" s="5">
        <v>0</v>
      </c>
      <c r="AI721" s="5">
        <v>7</v>
      </c>
    </row>
    <row r="722" spans="1:35" x14ac:dyDescent="0.25">
      <c r="A722" s="5">
        <v>30</v>
      </c>
      <c r="B722" s="5" t="s">
        <v>35</v>
      </c>
      <c r="C722" s="5" t="s">
        <v>36</v>
      </c>
      <c r="D722" s="5">
        <v>138</v>
      </c>
      <c r="E722" s="5" t="s">
        <v>45</v>
      </c>
      <c r="F722" s="5">
        <v>22</v>
      </c>
      <c r="G722" s="5">
        <v>3</v>
      </c>
      <c r="H722" s="5" t="s">
        <v>38</v>
      </c>
      <c r="I722" s="5">
        <v>1</v>
      </c>
      <c r="J722" s="5">
        <v>1004</v>
      </c>
      <c r="K722" s="5">
        <v>1</v>
      </c>
      <c r="L722" s="5" t="s">
        <v>39</v>
      </c>
      <c r="M722" s="5">
        <v>48</v>
      </c>
      <c r="N722" s="5">
        <v>3</v>
      </c>
      <c r="O722" s="5">
        <v>1</v>
      </c>
      <c r="P722" s="5" t="s">
        <v>47</v>
      </c>
      <c r="Q722" s="5">
        <v>3</v>
      </c>
      <c r="R722" s="5" t="s">
        <v>48</v>
      </c>
      <c r="S722" s="5">
        <v>2132</v>
      </c>
      <c r="T722" s="5">
        <v>11539</v>
      </c>
      <c r="U722" s="5">
        <v>4</v>
      </c>
      <c r="V722" s="5" t="s">
        <v>42</v>
      </c>
      <c r="W722" s="5" t="s">
        <v>35</v>
      </c>
      <c r="X722" s="5">
        <v>11</v>
      </c>
      <c r="Y722" s="5">
        <v>3</v>
      </c>
      <c r="Z722" s="5">
        <v>2</v>
      </c>
      <c r="AA722" s="5">
        <v>80</v>
      </c>
      <c r="AB722" s="5">
        <v>0</v>
      </c>
      <c r="AC722" s="5">
        <v>7</v>
      </c>
      <c r="AD722" s="5">
        <v>2</v>
      </c>
      <c r="AE722" s="5">
        <v>3</v>
      </c>
      <c r="AF722" s="5">
        <v>5</v>
      </c>
      <c r="AG722" s="5">
        <v>2</v>
      </c>
      <c r="AH722" s="5">
        <v>0</v>
      </c>
      <c r="AI722" s="5">
        <v>1</v>
      </c>
    </row>
    <row r="723" spans="1:35" x14ac:dyDescent="0.25">
      <c r="A723" s="5">
        <v>50</v>
      </c>
      <c r="B723" s="5" t="s">
        <v>43</v>
      </c>
      <c r="C723" s="5" t="s">
        <v>36</v>
      </c>
      <c r="D723" s="5">
        <v>939</v>
      </c>
      <c r="E723" s="5" t="s">
        <v>45</v>
      </c>
      <c r="F723" s="5">
        <v>24</v>
      </c>
      <c r="G723" s="5">
        <v>3</v>
      </c>
      <c r="H723" s="5" t="s">
        <v>38</v>
      </c>
      <c r="I723" s="5">
        <v>1</v>
      </c>
      <c r="J723" s="5">
        <v>1005</v>
      </c>
      <c r="K723" s="5">
        <v>4</v>
      </c>
      <c r="L723" s="5" t="s">
        <v>46</v>
      </c>
      <c r="M723" s="5">
        <v>95</v>
      </c>
      <c r="N723" s="5">
        <v>3</v>
      </c>
      <c r="O723" s="5">
        <v>4</v>
      </c>
      <c r="P723" s="5" t="s">
        <v>53</v>
      </c>
      <c r="Q723" s="5">
        <v>3</v>
      </c>
      <c r="R723" s="5" t="s">
        <v>48</v>
      </c>
      <c r="S723" s="5">
        <v>13973</v>
      </c>
      <c r="T723" s="5">
        <v>4161</v>
      </c>
      <c r="U723" s="5">
        <v>3</v>
      </c>
      <c r="V723" s="5" t="s">
        <v>42</v>
      </c>
      <c r="W723" s="5" t="s">
        <v>35</v>
      </c>
      <c r="X723" s="5">
        <v>18</v>
      </c>
      <c r="Y723" s="5">
        <v>3</v>
      </c>
      <c r="Z723" s="5">
        <v>4</v>
      </c>
      <c r="AA723" s="5">
        <v>80</v>
      </c>
      <c r="AB723" s="5">
        <v>1</v>
      </c>
      <c r="AC723" s="5">
        <v>22</v>
      </c>
      <c r="AD723" s="5">
        <v>2</v>
      </c>
      <c r="AE723" s="5">
        <v>3</v>
      </c>
      <c r="AF723" s="5">
        <v>12</v>
      </c>
      <c r="AG723" s="5">
        <v>11</v>
      </c>
      <c r="AH723" s="5">
        <v>1</v>
      </c>
      <c r="AI723" s="5">
        <v>5</v>
      </c>
    </row>
    <row r="724" spans="1:35" x14ac:dyDescent="0.25">
      <c r="A724" s="5">
        <v>38</v>
      </c>
      <c r="B724" s="5" t="s">
        <v>43</v>
      </c>
      <c r="C724" s="5" t="s">
        <v>44</v>
      </c>
      <c r="D724" s="5">
        <v>1391</v>
      </c>
      <c r="E724" s="5" t="s">
        <v>45</v>
      </c>
      <c r="F724" s="5">
        <v>10</v>
      </c>
      <c r="G724" s="5">
        <v>1</v>
      </c>
      <c r="H724" s="5" t="s">
        <v>51</v>
      </c>
      <c r="I724" s="5">
        <v>1</v>
      </c>
      <c r="J724" s="5">
        <v>1006</v>
      </c>
      <c r="K724" s="5">
        <v>3</v>
      </c>
      <c r="L724" s="5" t="s">
        <v>46</v>
      </c>
      <c r="M724" s="5">
        <v>66</v>
      </c>
      <c r="N724" s="5">
        <v>3</v>
      </c>
      <c r="O724" s="5">
        <v>1</v>
      </c>
      <c r="P724" s="5" t="s">
        <v>47</v>
      </c>
      <c r="Q724" s="5">
        <v>3</v>
      </c>
      <c r="R724" s="5" t="s">
        <v>48</v>
      </c>
      <c r="S724" s="5">
        <v>2684</v>
      </c>
      <c r="T724" s="5">
        <v>12127</v>
      </c>
      <c r="U724" s="5">
        <v>0</v>
      </c>
      <c r="V724" s="5" t="s">
        <v>42</v>
      </c>
      <c r="W724" s="5" t="s">
        <v>43</v>
      </c>
      <c r="X724" s="5">
        <v>17</v>
      </c>
      <c r="Y724" s="5">
        <v>3</v>
      </c>
      <c r="Z724" s="5">
        <v>2</v>
      </c>
      <c r="AA724" s="5">
        <v>80</v>
      </c>
      <c r="AB724" s="5">
        <v>1</v>
      </c>
      <c r="AC724" s="5">
        <v>3</v>
      </c>
      <c r="AD724" s="5">
        <v>0</v>
      </c>
      <c r="AE724" s="5">
        <v>2</v>
      </c>
      <c r="AF724" s="5">
        <v>2</v>
      </c>
      <c r="AG724" s="5">
        <v>1</v>
      </c>
      <c r="AH724" s="5">
        <v>0</v>
      </c>
      <c r="AI724" s="5">
        <v>2</v>
      </c>
    </row>
    <row r="725" spans="1:35" x14ac:dyDescent="0.25">
      <c r="A725" s="5">
        <v>46</v>
      </c>
      <c r="B725" s="5" t="s">
        <v>43</v>
      </c>
      <c r="C725" s="5" t="s">
        <v>36</v>
      </c>
      <c r="D725" s="5">
        <v>566</v>
      </c>
      <c r="E725" s="5" t="s">
        <v>45</v>
      </c>
      <c r="F725" s="5">
        <v>7</v>
      </c>
      <c r="G725" s="5">
        <v>2</v>
      </c>
      <c r="H725" s="5" t="s">
        <v>51</v>
      </c>
      <c r="I725" s="5">
        <v>1</v>
      </c>
      <c r="J725" s="5">
        <v>1007</v>
      </c>
      <c r="K725" s="5">
        <v>4</v>
      </c>
      <c r="L725" s="5" t="s">
        <v>46</v>
      </c>
      <c r="M725" s="5">
        <v>75</v>
      </c>
      <c r="N725" s="5">
        <v>3</v>
      </c>
      <c r="O725" s="5">
        <v>3</v>
      </c>
      <c r="P725" s="5" t="s">
        <v>53</v>
      </c>
      <c r="Q725" s="5">
        <v>3</v>
      </c>
      <c r="R725" s="5" t="s">
        <v>52</v>
      </c>
      <c r="S725" s="5">
        <v>10845</v>
      </c>
      <c r="T725" s="5">
        <v>24208</v>
      </c>
      <c r="U725" s="5">
        <v>6</v>
      </c>
      <c r="V725" s="5" t="s">
        <v>42</v>
      </c>
      <c r="W725" s="5" t="s">
        <v>43</v>
      </c>
      <c r="X725" s="5">
        <v>13</v>
      </c>
      <c r="Y725" s="5">
        <v>3</v>
      </c>
      <c r="Z725" s="5">
        <v>2</v>
      </c>
      <c r="AA725" s="5">
        <v>80</v>
      </c>
      <c r="AB725" s="5">
        <v>1</v>
      </c>
      <c r="AC725" s="5">
        <v>13</v>
      </c>
      <c r="AD725" s="5">
        <v>3</v>
      </c>
      <c r="AE725" s="5">
        <v>3</v>
      </c>
      <c r="AF725" s="5">
        <v>8</v>
      </c>
      <c r="AG725" s="5">
        <v>7</v>
      </c>
      <c r="AH725" s="5">
        <v>0</v>
      </c>
      <c r="AI725" s="5">
        <v>7</v>
      </c>
    </row>
    <row r="726" spans="1:35" x14ac:dyDescent="0.25">
      <c r="A726" s="5">
        <v>24</v>
      </c>
      <c r="B726" s="5" t="s">
        <v>43</v>
      </c>
      <c r="C726" s="5" t="s">
        <v>36</v>
      </c>
      <c r="D726" s="5">
        <v>1206</v>
      </c>
      <c r="E726" s="5" t="s">
        <v>45</v>
      </c>
      <c r="F726" s="5">
        <v>17</v>
      </c>
      <c r="G726" s="5">
        <v>1</v>
      </c>
      <c r="H726" s="5" t="s">
        <v>51</v>
      </c>
      <c r="I726" s="5">
        <v>1</v>
      </c>
      <c r="J726" s="5">
        <v>1009</v>
      </c>
      <c r="K726" s="5">
        <v>4</v>
      </c>
      <c r="L726" s="5" t="s">
        <v>39</v>
      </c>
      <c r="M726" s="5">
        <v>41</v>
      </c>
      <c r="N726" s="5">
        <v>2</v>
      </c>
      <c r="O726" s="5">
        <v>2</v>
      </c>
      <c r="P726" s="5" t="s">
        <v>53</v>
      </c>
      <c r="Q726" s="5">
        <v>3</v>
      </c>
      <c r="R726" s="5" t="s">
        <v>52</v>
      </c>
      <c r="S726" s="5">
        <v>4377</v>
      </c>
      <c r="T726" s="5">
        <v>24117</v>
      </c>
      <c r="U726" s="5">
        <v>1</v>
      </c>
      <c r="V726" s="5" t="s">
        <v>42</v>
      </c>
      <c r="W726" s="5" t="s">
        <v>43</v>
      </c>
      <c r="X726" s="5">
        <v>15</v>
      </c>
      <c r="Y726" s="5">
        <v>3</v>
      </c>
      <c r="Z726" s="5">
        <v>2</v>
      </c>
      <c r="AA726" s="5">
        <v>80</v>
      </c>
      <c r="AB726" s="5">
        <v>2</v>
      </c>
      <c r="AC726" s="5">
        <v>5</v>
      </c>
      <c r="AD726" s="5">
        <v>6</v>
      </c>
      <c r="AE726" s="5">
        <v>3</v>
      </c>
      <c r="AF726" s="5">
        <v>4</v>
      </c>
      <c r="AG726" s="5">
        <v>2</v>
      </c>
      <c r="AH726" s="5">
        <v>3</v>
      </c>
      <c r="AI726" s="5">
        <v>2</v>
      </c>
    </row>
    <row r="727" spans="1:35" x14ac:dyDescent="0.25">
      <c r="A727" s="5">
        <v>35</v>
      </c>
      <c r="B727" s="5" t="s">
        <v>35</v>
      </c>
      <c r="C727" s="5" t="s">
        <v>36</v>
      </c>
      <c r="D727" s="5">
        <v>622</v>
      </c>
      <c r="E727" s="5" t="s">
        <v>45</v>
      </c>
      <c r="F727" s="5">
        <v>14</v>
      </c>
      <c r="G727" s="5">
        <v>4</v>
      </c>
      <c r="H727" s="5" t="s">
        <v>49</v>
      </c>
      <c r="I727" s="5">
        <v>1</v>
      </c>
      <c r="J727" s="5">
        <v>1010</v>
      </c>
      <c r="K727" s="5">
        <v>3</v>
      </c>
      <c r="L727" s="5" t="s">
        <v>46</v>
      </c>
      <c r="M727" s="5">
        <v>39</v>
      </c>
      <c r="N727" s="5">
        <v>2</v>
      </c>
      <c r="O727" s="5">
        <v>1</v>
      </c>
      <c r="P727" s="5" t="s">
        <v>50</v>
      </c>
      <c r="Q727" s="5">
        <v>2</v>
      </c>
      <c r="R727" s="5" t="s">
        <v>52</v>
      </c>
      <c r="S727" s="5">
        <v>3743</v>
      </c>
      <c r="T727" s="5">
        <v>10074</v>
      </c>
      <c r="U727" s="5">
        <v>1</v>
      </c>
      <c r="V727" s="5" t="s">
        <v>42</v>
      </c>
      <c r="W727" s="5" t="s">
        <v>35</v>
      </c>
      <c r="X727" s="5">
        <v>24</v>
      </c>
      <c r="Y727" s="5">
        <v>4</v>
      </c>
      <c r="Z727" s="5">
        <v>4</v>
      </c>
      <c r="AA727" s="5">
        <v>80</v>
      </c>
      <c r="AB727" s="5">
        <v>1</v>
      </c>
      <c r="AC727" s="5">
        <v>5</v>
      </c>
      <c r="AD727" s="5">
        <v>2</v>
      </c>
      <c r="AE727" s="5">
        <v>1</v>
      </c>
      <c r="AF727" s="5">
        <v>4</v>
      </c>
      <c r="AG727" s="5">
        <v>2</v>
      </c>
      <c r="AH727" s="5">
        <v>0</v>
      </c>
      <c r="AI727" s="5">
        <v>2</v>
      </c>
    </row>
    <row r="728" spans="1:35" x14ac:dyDescent="0.25">
      <c r="A728" s="5">
        <v>31</v>
      </c>
      <c r="B728" s="5" t="s">
        <v>43</v>
      </c>
      <c r="C728" s="5" t="s">
        <v>44</v>
      </c>
      <c r="D728" s="5">
        <v>853</v>
      </c>
      <c r="E728" s="5" t="s">
        <v>45</v>
      </c>
      <c r="F728" s="5">
        <v>1</v>
      </c>
      <c r="G728" s="5">
        <v>1</v>
      </c>
      <c r="H728" s="5" t="s">
        <v>38</v>
      </c>
      <c r="I728" s="5">
        <v>1</v>
      </c>
      <c r="J728" s="5">
        <v>1011</v>
      </c>
      <c r="K728" s="5">
        <v>3</v>
      </c>
      <c r="L728" s="5" t="s">
        <v>39</v>
      </c>
      <c r="M728" s="5">
        <v>96</v>
      </c>
      <c r="N728" s="5">
        <v>3</v>
      </c>
      <c r="O728" s="5">
        <v>2</v>
      </c>
      <c r="P728" s="5" t="s">
        <v>53</v>
      </c>
      <c r="Q728" s="5">
        <v>1</v>
      </c>
      <c r="R728" s="5" t="s">
        <v>48</v>
      </c>
      <c r="S728" s="5">
        <v>4148</v>
      </c>
      <c r="T728" s="5">
        <v>11275</v>
      </c>
      <c r="U728" s="5">
        <v>1</v>
      </c>
      <c r="V728" s="5" t="s">
        <v>42</v>
      </c>
      <c r="W728" s="5" t="s">
        <v>43</v>
      </c>
      <c r="X728" s="5">
        <v>12</v>
      </c>
      <c r="Y728" s="5">
        <v>3</v>
      </c>
      <c r="Z728" s="5">
        <v>3</v>
      </c>
      <c r="AA728" s="5">
        <v>80</v>
      </c>
      <c r="AB728" s="5">
        <v>1</v>
      </c>
      <c r="AC728" s="5">
        <v>4</v>
      </c>
      <c r="AD728" s="5">
        <v>1</v>
      </c>
      <c r="AE728" s="5">
        <v>3</v>
      </c>
      <c r="AF728" s="5">
        <v>4</v>
      </c>
      <c r="AG728" s="5">
        <v>3</v>
      </c>
      <c r="AH728" s="5">
        <v>0</v>
      </c>
      <c r="AI728" s="5">
        <v>3</v>
      </c>
    </row>
    <row r="729" spans="1:35" x14ac:dyDescent="0.25">
      <c r="A729" s="5">
        <v>18</v>
      </c>
      <c r="B729" s="5" t="s">
        <v>43</v>
      </c>
      <c r="C729" s="5" t="s">
        <v>55</v>
      </c>
      <c r="D729" s="5">
        <v>287</v>
      </c>
      <c r="E729" s="5" t="s">
        <v>45</v>
      </c>
      <c r="F729" s="5">
        <v>5</v>
      </c>
      <c r="G729" s="5">
        <v>2</v>
      </c>
      <c r="H729" s="5" t="s">
        <v>38</v>
      </c>
      <c r="I729" s="5">
        <v>1</v>
      </c>
      <c r="J729" s="5">
        <v>1012</v>
      </c>
      <c r="K729" s="5">
        <v>2</v>
      </c>
      <c r="L729" s="5" t="s">
        <v>46</v>
      </c>
      <c r="M729" s="5">
        <v>73</v>
      </c>
      <c r="N729" s="5">
        <v>3</v>
      </c>
      <c r="O729" s="5">
        <v>1</v>
      </c>
      <c r="P729" s="5" t="s">
        <v>47</v>
      </c>
      <c r="Q729" s="5">
        <v>4</v>
      </c>
      <c r="R729" s="5" t="s">
        <v>41</v>
      </c>
      <c r="S729" s="5">
        <v>1051</v>
      </c>
      <c r="T729" s="5">
        <v>13493</v>
      </c>
      <c r="U729" s="5">
        <v>1</v>
      </c>
      <c r="V729" s="5" t="s">
        <v>42</v>
      </c>
      <c r="W729" s="5" t="s">
        <v>43</v>
      </c>
      <c r="X729" s="5">
        <v>15</v>
      </c>
      <c r="Y729" s="5">
        <v>3</v>
      </c>
      <c r="Z729" s="5">
        <v>4</v>
      </c>
      <c r="AA729" s="5">
        <v>80</v>
      </c>
      <c r="AB729" s="5">
        <v>0</v>
      </c>
      <c r="AC729" s="5">
        <v>0</v>
      </c>
      <c r="AD729" s="5">
        <v>2</v>
      </c>
      <c r="AE729" s="5">
        <v>3</v>
      </c>
      <c r="AF729" s="5">
        <v>0</v>
      </c>
      <c r="AG729" s="5">
        <v>0</v>
      </c>
      <c r="AH729" s="5">
        <v>0</v>
      </c>
      <c r="AI729" s="5">
        <v>0</v>
      </c>
    </row>
    <row r="730" spans="1:35" x14ac:dyDescent="0.25">
      <c r="A730" s="5">
        <v>54</v>
      </c>
      <c r="B730" s="5" t="s">
        <v>43</v>
      </c>
      <c r="C730" s="5" t="s">
        <v>36</v>
      </c>
      <c r="D730" s="5">
        <v>1441</v>
      </c>
      <c r="E730" s="5" t="s">
        <v>45</v>
      </c>
      <c r="F730" s="5">
        <v>17</v>
      </c>
      <c r="G730" s="5">
        <v>3</v>
      </c>
      <c r="H730" s="5" t="s">
        <v>60</v>
      </c>
      <c r="I730" s="5">
        <v>1</v>
      </c>
      <c r="J730" s="5">
        <v>1013</v>
      </c>
      <c r="K730" s="5">
        <v>3</v>
      </c>
      <c r="L730" s="5" t="s">
        <v>39</v>
      </c>
      <c r="M730" s="5">
        <v>56</v>
      </c>
      <c r="N730" s="5">
        <v>3</v>
      </c>
      <c r="O730" s="5">
        <v>3</v>
      </c>
      <c r="P730" s="5" t="s">
        <v>53</v>
      </c>
      <c r="Q730" s="5">
        <v>3</v>
      </c>
      <c r="R730" s="5" t="s">
        <v>48</v>
      </c>
      <c r="S730" s="5">
        <v>10739</v>
      </c>
      <c r="T730" s="5">
        <v>13943</v>
      </c>
      <c r="U730" s="5">
        <v>8</v>
      </c>
      <c r="V730" s="5" t="s">
        <v>42</v>
      </c>
      <c r="W730" s="5" t="s">
        <v>43</v>
      </c>
      <c r="X730" s="5">
        <v>11</v>
      </c>
      <c r="Y730" s="5">
        <v>3</v>
      </c>
      <c r="Z730" s="5">
        <v>3</v>
      </c>
      <c r="AA730" s="5">
        <v>80</v>
      </c>
      <c r="AB730" s="5">
        <v>1</v>
      </c>
      <c r="AC730" s="5">
        <v>22</v>
      </c>
      <c r="AD730" s="5">
        <v>2</v>
      </c>
      <c r="AE730" s="5">
        <v>3</v>
      </c>
      <c r="AF730" s="5">
        <v>10</v>
      </c>
      <c r="AG730" s="5">
        <v>7</v>
      </c>
      <c r="AH730" s="5">
        <v>0</v>
      </c>
      <c r="AI730" s="5">
        <v>8</v>
      </c>
    </row>
    <row r="731" spans="1:35" x14ac:dyDescent="0.25">
      <c r="A731" s="5">
        <v>35</v>
      </c>
      <c r="B731" s="5" t="s">
        <v>43</v>
      </c>
      <c r="C731" s="5" t="s">
        <v>36</v>
      </c>
      <c r="D731" s="5">
        <v>583</v>
      </c>
      <c r="E731" s="5" t="s">
        <v>45</v>
      </c>
      <c r="F731" s="5">
        <v>25</v>
      </c>
      <c r="G731" s="5">
        <v>4</v>
      </c>
      <c r="H731" s="5" t="s">
        <v>51</v>
      </c>
      <c r="I731" s="5">
        <v>1</v>
      </c>
      <c r="J731" s="5">
        <v>1014</v>
      </c>
      <c r="K731" s="5">
        <v>3</v>
      </c>
      <c r="L731" s="5" t="s">
        <v>39</v>
      </c>
      <c r="M731" s="5">
        <v>57</v>
      </c>
      <c r="N731" s="5">
        <v>3</v>
      </c>
      <c r="O731" s="5">
        <v>3</v>
      </c>
      <c r="P731" s="5" t="s">
        <v>54</v>
      </c>
      <c r="Q731" s="5">
        <v>3</v>
      </c>
      <c r="R731" s="5" t="s">
        <v>52</v>
      </c>
      <c r="S731" s="5">
        <v>10388</v>
      </c>
      <c r="T731" s="5">
        <v>6975</v>
      </c>
      <c r="U731" s="5">
        <v>1</v>
      </c>
      <c r="V731" s="5" t="s">
        <v>42</v>
      </c>
      <c r="W731" s="5" t="s">
        <v>35</v>
      </c>
      <c r="X731" s="5">
        <v>11</v>
      </c>
      <c r="Y731" s="5">
        <v>3</v>
      </c>
      <c r="Z731" s="5">
        <v>3</v>
      </c>
      <c r="AA731" s="5">
        <v>80</v>
      </c>
      <c r="AB731" s="5">
        <v>1</v>
      </c>
      <c r="AC731" s="5">
        <v>16</v>
      </c>
      <c r="AD731" s="5">
        <v>3</v>
      </c>
      <c r="AE731" s="5">
        <v>2</v>
      </c>
      <c r="AF731" s="5">
        <v>16</v>
      </c>
      <c r="AG731" s="5">
        <v>10</v>
      </c>
      <c r="AH731" s="5">
        <v>10</v>
      </c>
      <c r="AI731" s="5">
        <v>1</v>
      </c>
    </row>
    <row r="732" spans="1:35" x14ac:dyDescent="0.25">
      <c r="A732" s="5">
        <v>30</v>
      </c>
      <c r="B732" s="5" t="s">
        <v>43</v>
      </c>
      <c r="C732" s="5" t="s">
        <v>36</v>
      </c>
      <c r="D732" s="5">
        <v>153</v>
      </c>
      <c r="E732" s="5" t="s">
        <v>45</v>
      </c>
      <c r="F732" s="5">
        <v>8</v>
      </c>
      <c r="G732" s="5">
        <v>2</v>
      </c>
      <c r="H732" s="5" t="s">
        <v>38</v>
      </c>
      <c r="I732" s="5">
        <v>1</v>
      </c>
      <c r="J732" s="5">
        <v>1015</v>
      </c>
      <c r="K732" s="5">
        <v>2</v>
      </c>
      <c r="L732" s="5" t="s">
        <v>39</v>
      </c>
      <c r="M732" s="5">
        <v>73</v>
      </c>
      <c r="N732" s="5">
        <v>4</v>
      </c>
      <c r="O732" s="5">
        <v>3</v>
      </c>
      <c r="P732" s="5" t="s">
        <v>58</v>
      </c>
      <c r="Q732" s="5">
        <v>1</v>
      </c>
      <c r="R732" s="5" t="s">
        <v>48</v>
      </c>
      <c r="S732" s="5">
        <v>11416</v>
      </c>
      <c r="T732" s="5">
        <v>17802</v>
      </c>
      <c r="U732" s="5">
        <v>0</v>
      </c>
      <c r="V732" s="5" t="s">
        <v>42</v>
      </c>
      <c r="W732" s="5" t="s">
        <v>35</v>
      </c>
      <c r="X732" s="5">
        <v>12</v>
      </c>
      <c r="Y732" s="5">
        <v>3</v>
      </c>
      <c r="Z732" s="5">
        <v>3</v>
      </c>
      <c r="AA732" s="5">
        <v>80</v>
      </c>
      <c r="AB732" s="5">
        <v>3</v>
      </c>
      <c r="AC732" s="5">
        <v>9</v>
      </c>
      <c r="AD732" s="5">
        <v>4</v>
      </c>
      <c r="AE732" s="5">
        <v>2</v>
      </c>
      <c r="AF732" s="5">
        <v>8</v>
      </c>
      <c r="AG732" s="5">
        <v>7</v>
      </c>
      <c r="AH732" s="5">
        <v>1</v>
      </c>
      <c r="AI732" s="5">
        <v>7</v>
      </c>
    </row>
    <row r="733" spans="1:35" x14ac:dyDescent="0.25">
      <c r="A733" s="5">
        <v>20</v>
      </c>
      <c r="B733" s="5" t="s">
        <v>35</v>
      </c>
      <c r="C733" s="5" t="s">
        <v>36</v>
      </c>
      <c r="D733" s="5">
        <v>1097</v>
      </c>
      <c r="E733" s="5" t="s">
        <v>45</v>
      </c>
      <c r="F733" s="5">
        <v>11</v>
      </c>
      <c r="G733" s="5">
        <v>3</v>
      </c>
      <c r="H733" s="5" t="s">
        <v>51</v>
      </c>
      <c r="I733" s="5">
        <v>1</v>
      </c>
      <c r="J733" s="5">
        <v>1016</v>
      </c>
      <c r="K733" s="5">
        <v>4</v>
      </c>
      <c r="L733" s="5" t="s">
        <v>39</v>
      </c>
      <c r="M733" s="5">
        <v>98</v>
      </c>
      <c r="N733" s="5">
        <v>2</v>
      </c>
      <c r="O733" s="5">
        <v>1</v>
      </c>
      <c r="P733" s="5" t="s">
        <v>47</v>
      </c>
      <c r="Q733" s="5">
        <v>1</v>
      </c>
      <c r="R733" s="5" t="s">
        <v>41</v>
      </c>
      <c r="S733" s="5">
        <v>2600</v>
      </c>
      <c r="T733" s="5">
        <v>18275</v>
      </c>
      <c r="U733" s="5">
        <v>1</v>
      </c>
      <c r="V733" s="5" t="s">
        <v>42</v>
      </c>
      <c r="W733" s="5" t="s">
        <v>35</v>
      </c>
      <c r="X733" s="5">
        <v>15</v>
      </c>
      <c r="Y733" s="5">
        <v>3</v>
      </c>
      <c r="Z733" s="5">
        <v>1</v>
      </c>
      <c r="AA733" s="5">
        <v>80</v>
      </c>
      <c r="AB733" s="5">
        <v>0</v>
      </c>
      <c r="AC733" s="5">
        <v>1</v>
      </c>
      <c r="AD733" s="5">
        <v>2</v>
      </c>
      <c r="AE733" s="5">
        <v>3</v>
      </c>
      <c r="AF733" s="5">
        <v>1</v>
      </c>
      <c r="AG733" s="5">
        <v>0</v>
      </c>
      <c r="AH733" s="5">
        <v>0</v>
      </c>
      <c r="AI733" s="5">
        <v>0</v>
      </c>
    </row>
    <row r="734" spans="1:35" x14ac:dyDescent="0.25">
      <c r="A734" s="5">
        <v>30</v>
      </c>
      <c r="B734" s="5" t="s">
        <v>35</v>
      </c>
      <c r="C734" s="5" t="s">
        <v>44</v>
      </c>
      <c r="D734" s="5">
        <v>109</v>
      </c>
      <c r="E734" s="5" t="s">
        <v>45</v>
      </c>
      <c r="F734" s="5">
        <v>5</v>
      </c>
      <c r="G734" s="5">
        <v>3</v>
      </c>
      <c r="H734" s="5" t="s">
        <v>51</v>
      </c>
      <c r="I734" s="5">
        <v>1</v>
      </c>
      <c r="J734" s="5">
        <v>1017</v>
      </c>
      <c r="K734" s="5">
        <v>2</v>
      </c>
      <c r="L734" s="5" t="s">
        <v>39</v>
      </c>
      <c r="M734" s="5">
        <v>60</v>
      </c>
      <c r="N734" s="5">
        <v>3</v>
      </c>
      <c r="O734" s="5">
        <v>1</v>
      </c>
      <c r="P734" s="5" t="s">
        <v>50</v>
      </c>
      <c r="Q734" s="5">
        <v>2</v>
      </c>
      <c r="R734" s="5" t="s">
        <v>41</v>
      </c>
      <c r="S734" s="5">
        <v>2422</v>
      </c>
      <c r="T734" s="5">
        <v>25725</v>
      </c>
      <c r="U734" s="5">
        <v>0</v>
      </c>
      <c r="V734" s="5" t="s">
        <v>42</v>
      </c>
      <c r="W734" s="5" t="s">
        <v>43</v>
      </c>
      <c r="X734" s="5">
        <v>17</v>
      </c>
      <c r="Y734" s="5">
        <v>3</v>
      </c>
      <c r="Z734" s="5">
        <v>1</v>
      </c>
      <c r="AA734" s="5">
        <v>80</v>
      </c>
      <c r="AB734" s="5">
        <v>0</v>
      </c>
      <c r="AC734" s="5">
        <v>4</v>
      </c>
      <c r="AD734" s="5">
        <v>3</v>
      </c>
      <c r="AE734" s="5">
        <v>3</v>
      </c>
      <c r="AF734" s="5">
        <v>3</v>
      </c>
      <c r="AG734" s="5">
        <v>2</v>
      </c>
      <c r="AH734" s="5">
        <v>1</v>
      </c>
      <c r="AI734" s="5">
        <v>2</v>
      </c>
    </row>
    <row r="735" spans="1:35" x14ac:dyDescent="0.25">
      <c r="A735" s="5">
        <v>26</v>
      </c>
      <c r="B735" s="5" t="s">
        <v>43</v>
      </c>
      <c r="C735" s="5" t="s">
        <v>36</v>
      </c>
      <c r="D735" s="5">
        <v>1066</v>
      </c>
      <c r="E735" s="5" t="s">
        <v>45</v>
      </c>
      <c r="F735" s="5">
        <v>2</v>
      </c>
      <c r="G735" s="5">
        <v>2</v>
      </c>
      <c r="H735" s="5" t="s">
        <v>51</v>
      </c>
      <c r="I735" s="5">
        <v>1</v>
      </c>
      <c r="J735" s="5">
        <v>1018</v>
      </c>
      <c r="K735" s="5">
        <v>4</v>
      </c>
      <c r="L735" s="5" t="s">
        <v>46</v>
      </c>
      <c r="M735" s="5">
        <v>32</v>
      </c>
      <c r="N735" s="5">
        <v>4</v>
      </c>
      <c r="O735" s="5">
        <v>2</v>
      </c>
      <c r="P735" s="5" t="s">
        <v>53</v>
      </c>
      <c r="Q735" s="5">
        <v>4</v>
      </c>
      <c r="R735" s="5" t="s">
        <v>48</v>
      </c>
      <c r="S735" s="5">
        <v>5472</v>
      </c>
      <c r="T735" s="5">
        <v>3334</v>
      </c>
      <c r="U735" s="5">
        <v>1</v>
      </c>
      <c r="V735" s="5" t="s">
        <v>42</v>
      </c>
      <c r="W735" s="5" t="s">
        <v>43</v>
      </c>
      <c r="X735" s="5">
        <v>12</v>
      </c>
      <c r="Y735" s="5">
        <v>3</v>
      </c>
      <c r="Z735" s="5">
        <v>2</v>
      </c>
      <c r="AA735" s="5">
        <v>80</v>
      </c>
      <c r="AB735" s="5">
        <v>0</v>
      </c>
      <c r="AC735" s="5">
        <v>8</v>
      </c>
      <c r="AD735" s="5">
        <v>2</v>
      </c>
      <c r="AE735" s="5">
        <v>3</v>
      </c>
      <c r="AF735" s="5">
        <v>8</v>
      </c>
      <c r="AG735" s="5">
        <v>7</v>
      </c>
      <c r="AH735" s="5">
        <v>1</v>
      </c>
      <c r="AI735" s="5">
        <v>3</v>
      </c>
    </row>
    <row r="736" spans="1:35" x14ac:dyDescent="0.25">
      <c r="A736" s="5">
        <v>22</v>
      </c>
      <c r="B736" s="5" t="s">
        <v>43</v>
      </c>
      <c r="C736" s="5" t="s">
        <v>36</v>
      </c>
      <c r="D736" s="5">
        <v>217</v>
      </c>
      <c r="E736" s="5" t="s">
        <v>45</v>
      </c>
      <c r="F736" s="5">
        <v>8</v>
      </c>
      <c r="G736" s="5">
        <v>1</v>
      </c>
      <c r="H736" s="5" t="s">
        <v>38</v>
      </c>
      <c r="I736" s="5">
        <v>1</v>
      </c>
      <c r="J736" s="5">
        <v>1019</v>
      </c>
      <c r="K736" s="5">
        <v>2</v>
      </c>
      <c r="L736" s="5" t="s">
        <v>46</v>
      </c>
      <c r="M736" s="5">
        <v>94</v>
      </c>
      <c r="N736" s="5">
        <v>1</v>
      </c>
      <c r="O736" s="5">
        <v>1</v>
      </c>
      <c r="P736" s="5" t="s">
        <v>50</v>
      </c>
      <c r="Q736" s="5">
        <v>1</v>
      </c>
      <c r="R736" s="5" t="s">
        <v>48</v>
      </c>
      <c r="S736" s="5">
        <v>2451</v>
      </c>
      <c r="T736" s="5">
        <v>6881</v>
      </c>
      <c r="U736" s="5">
        <v>1</v>
      </c>
      <c r="V736" s="5" t="s">
        <v>42</v>
      </c>
      <c r="W736" s="5" t="s">
        <v>43</v>
      </c>
      <c r="X736" s="5">
        <v>15</v>
      </c>
      <c r="Y736" s="5">
        <v>3</v>
      </c>
      <c r="Z736" s="5">
        <v>1</v>
      </c>
      <c r="AA736" s="5">
        <v>80</v>
      </c>
      <c r="AB736" s="5">
        <v>1</v>
      </c>
      <c r="AC736" s="5">
        <v>4</v>
      </c>
      <c r="AD736" s="5">
        <v>3</v>
      </c>
      <c r="AE736" s="5">
        <v>2</v>
      </c>
      <c r="AF736" s="5">
        <v>4</v>
      </c>
      <c r="AG736" s="5">
        <v>3</v>
      </c>
      <c r="AH736" s="5">
        <v>1</v>
      </c>
      <c r="AI736" s="5">
        <v>1</v>
      </c>
    </row>
    <row r="737" spans="1:35" x14ac:dyDescent="0.25">
      <c r="A737" s="5">
        <v>48</v>
      </c>
      <c r="B737" s="5" t="s">
        <v>43</v>
      </c>
      <c r="C737" s="5" t="s">
        <v>36</v>
      </c>
      <c r="D737" s="5">
        <v>277</v>
      </c>
      <c r="E737" s="5" t="s">
        <v>45</v>
      </c>
      <c r="F737" s="5">
        <v>6</v>
      </c>
      <c r="G737" s="5">
        <v>3</v>
      </c>
      <c r="H737" s="5" t="s">
        <v>38</v>
      </c>
      <c r="I737" s="5">
        <v>1</v>
      </c>
      <c r="J737" s="5">
        <v>1022</v>
      </c>
      <c r="K737" s="5">
        <v>1</v>
      </c>
      <c r="L737" s="5" t="s">
        <v>46</v>
      </c>
      <c r="M737" s="5">
        <v>97</v>
      </c>
      <c r="N737" s="5">
        <v>2</v>
      </c>
      <c r="O737" s="5">
        <v>2</v>
      </c>
      <c r="P737" s="5" t="s">
        <v>54</v>
      </c>
      <c r="Q737" s="5">
        <v>3</v>
      </c>
      <c r="R737" s="5" t="s">
        <v>41</v>
      </c>
      <c r="S737" s="5">
        <v>4240</v>
      </c>
      <c r="T737" s="5">
        <v>13119</v>
      </c>
      <c r="U737" s="5">
        <v>2</v>
      </c>
      <c r="V737" s="5" t="s">
        <v>42</v>
      </c>
      <c r="W737" s="5" t="s">
        <v>43</v>
      </c>
      <c r="X737" s="5">
        <v>13</v>
      </c>
      <c r="Y737" s="5">
        <v>3</v>
      </c>
      <c r="Z737" s="5">
        <v>4</v>
      </c>
      <c r="AA737" s="5">
        <v>80</v>
      </c>
      <c r="AB737" s="5">
        <v>0</v>
      </c>
      <c r="AC737" s="5">
        <v>19</v>
      </c>
      <c r="AD737" s="5">
        <v>0</v>
      </c>
      <c r="AE737" s="5">
        <v>3</v>
      </c>
      <c r="AF737" s="5">
        <v>2</v>
      </c>
      <c r="AG737" s="5">
        <v>2</v>
      </c>
      <c r="AH737" s="5">
        <v>2</v>
      </c>
      <c r="AI737" s="5">
        <v>2</v>
      </c>
    </row>
    <row r="738" spans="1:35" x14ac:dyDescent="0.25">
      <c r="A738" s="5">
        <v>48</v>
      </c>
      <c r="B738" s="5" t="s">
        <v>43</v>
      </c>
      <c r="C738" s="5" t="s">
        <v>36</v>
      </c>
      <c r="D738" s="5">
        <v>1355</v>
      </c>
      <c r="E738" s="5" t="s">
        <v>45</v>
      </c>
      <c r="F738" s="5">
        <v>4</v>
      </c>
      <c r="G738" s="5">
        <v>4</v>
      </c>
      <c r="H738" s="5" t="s">
        <v>38</v>
      </c>
      <c r="I738" s="5">
        <v>1</v>
      </c>
      <c r="J738" s="5">
        <v>1024</v>
      </c>
      <c r="K738" s="5">
        <v>3</v>
      </c>
      <c r="L738" s="5" t="s">
        <v>46</v>
      </c>
      <c r="M738" s="5">
        <v>78</v>
      </c>
      <c r="N738" s="5">
        <v>2</v>
      </c>
      <c r="O738" s="5">
        <v>3</v>
      </c>
      <c r="P738" s="5" t="s">
        <v>54</v>
      </c>
      <c r="Q738" s="5">
        <v>3</v>
      </c>
      <c r="R738" s="5" t="s">
        <v>41</v>
      </c>
      <c r="S738" s="5">
        <v>10999</v>
      </c>
      <c r="T738" s="5">
        <v>22245</v>
      </c>
      <c r="U738" s="5">
        <v>7</v>
      </c>
      <c r="V738" s="5" t="s">
        <v>42</v>
      </c>
      <c r="W738" s="5" t="s">
        <v>43</v>
      </c>
      <c r="X738" s="5">
        <v>14</v>
      </c>
      <c r="Y738" s="5">
        <v>3</v>
      </c>
      <c r="Z738" s="5">
        <v>2</v>
      </c>
      <c r="AA738" s="5">
        <v>80</v>
      </c>
      <c r="AB738" s="5">
        <v>0</v>
      </c>
      <c r="AC738" s="5">
        <v>27</v>
      </c>
      <c r="AD738" s="5">
        <v>3</v>
      </c>
      <c r="AE738" s="5">
        <v>3</v>
      </c>
      <c r="AF738" s="5">
        <v>15</v>
      </c>
      <c r="AG738" s="5">
        <v>11</v>
      </c>
      <c r="AH738" s="5">
        <v>4</v>
      </c>
      <c r="AI738" s="5">
        <v>8</v>
      </c>
    </row>
    <row r="739" spans="1:35" x14ac:dyDescent="0.25">
      <c r="A739" s="5">
        <v>41</v>
      </c>
      <c r="B739" s="5" t="s">
        <v>43</v>
      </c>
      <c r="C739" s="5" t="s">
        <v>36</v>
      </c>
      <c r="D739" s="5">
        <v>549</v>
      </c>
      <c r="E739" s="5" t="s">
        <v>45</v>
      </c>
      <c r="F739" s="5">
        <v>7</v>
      </c>
      <c r="G739" s="5">
        <v>2</v>
      </c>
      <c r="H739" s="5" t="s">
        <v>51</v>
      </c>
      <c r="I739" s="5">
        <v>1</v>
      </c>
      <c r="J739" s="5">
        <v>1025</v>
      </c>
      <c r="K739" s="5">
        <v>4</v>
      </c>
      <c r="L739" s="5" t="s">
        <v>39</v>
      </c>
      <c r="M739" s="5">
        <v>42</v>
      </c>
      <c r="N739" s="5">
        <v>3</v>
      </c>
      <c r="O739" s="5">
        <v>2</v>
      </c>
      <c r="P739" s="5" t="s">
        <v>53</v>
      </c>
      <c r="Q739" s="5">
        <v>3</v>
      </c>
      <c r="R739" s="5" t="s">
        <v>41</v>
      </c>
      <c r="S739" s="5">
        <v>5003</v>
      </c>
      <c r="T739" s="5">
        <v>23371</v>
      </c>
      <c r="U739" s="5">
        <v>6</v>
      </c>
      <c r="V739" s="5" t="s">
        <v>42</v>
      </c>
      <c r="W739" s="5" t="s">
        <v>43</v>
      </c>
      <c r="X739" s="5">
        <v>14</v>
      </c>
      <c r="Y739" s="5">
        <v>3</v>
      </c>
      <c r="Z739" s="5">
        <v>2</v>
      </c>
      <c r="AA739" s="5">
        <v>80</v>
      </c>
      <c r="AB739" s="5">
        <v>0</v>
      </c>
      <c r="AC739" s="5">
        <v>8</v>
      </c>
      <c r="AD739" s="5">
        <v>6</v>
      </c>
      <c r="AE739" s="5">
        <v>3</v>
      </c>
      <c r="AF739" s="5">
        <v>2</v>
      </c>
      <c r="AG739" s="5">
        <v>2</v>
      </c>
      <c r="AH739" s="5">
        <v>2</v>
      </c>
      <c r="AI739" s="5">
        <v>1</v>
      </c>
    </row>
    <row r="740" spans="1:35" x14ac:dyDescent="0.25">
      <c r="A740" s="5">
        <v>39</v>
      </c>
      <c r="B740" s="5" t="s">
        <v>43</v>
      </c>
      <c r="C740" s="5" t="s">
        <v>36</v>
      </c>
      <c r="D740" s="5">
        <v>466</v>
      </c>
      <c r="E740" s="5" t="s">
        <v>45</v>
      </c>
      <c r="F740" s="5">
        <v>1</v>
      </c>
      <c r="G740" s="5">
        <v>1</v>
      </c>
      <c r="H740" s="5" t="s">
        <v>38</v>
      </c>
      <c r="I740" s="5">
        <v>1</v>
      </c>
      <c r="J740" s="5">
        <v>1026</v>
      </c>
      <c r="K740" s="5">
        <v>4</v>
      </c>
      <c r="L740" s="5" t="s">
        <v>39</v>
      </c>
      <c r="M740" s="5">
        <v>65</v>
      </c>
      <c r="N740" s="5">
        <v>2</v>
      </c>
      <c r="O740" s="5">
        <v>4</v>
      </c>
      <c r="P740" s="5" t="s">
        <v>53</v>
      </c>
      <c r="Q740" s="5">
        <v>4</v>
      </c>
      <c r="R740" s="5" t="s">
        <v>48</v>
      </c>
      <c r="S740" s="5">
        <v>12742</v>
      </c>
      <c r="T740" s="5">
        <v>7060</v>
      </c>
      <c r="U740" s="5">
        <v>1</v>
      </c>
      <c r="V740" s="5" t="s">
        <v>42</v>
      </c>
      <c r="W740" s="5" t="s">
        <v>43</v>
      </c>
      <c r="X740" s="5">
        <v>16</v>
      </c>
      <c r="Y740" s="5">
        <v>3</v>
      </c>
      <c r="Z740" s="5">
        <v>3</v>
      </c>
      <c r="AA740" s="5">
        <v>80</v>
      </c>
      <c r="AB740" s="5">
        <v>1</v>
      </c>
      <c r="AC740" s="5">
        <v>21</v>
      </c>
      <c r="AD740" s="5">
        <v>3</v>
      </c>
      <c r="AE740" s="5">
        <v>3</v>
      </c>
      <c r="AF740" s="5">
        <v>21</v>
      </c>
      <c r="AG740" s="5">
        <v>6</v>
      </c>
      <c r="AH740" s="5">
        <v>11</v>
      </c>
      <c r="AI740" s="5">
        <v>8</v>
      </c>
    </row>
    <row r="741" spans="1:35" x14ac:dyDescent="0.25">
      <c r="A741" s="5">
        <v>27</v>
      </c>
      <c r="B741" s="5" t="s">
        <v>43</v>
      </c>
      <c r="C741" s="5" t="s">
        <v>36</v>
      </c>
      <c r="D741" s="5">
        <v>1055</v>
      </c>
      <c r="E741" s="5" t="s">
        <v>45</v>
      </c>
      <c r="F741" s="5">
        <v>2</v>
      </c>
      <c r="G741" s="5">
        <v>4</v>
      </c>
      <c r="H741" s="5" t="s">
        <v>38</v>
      </c>
      <c r="I741" s="5">
        <v>1</v>
      </c>
      <c r="J741" s="5">
        <v>1027</v>
      </c>
      <c r="K741" s="5">
        <v>1</v>
      </c>
      <c r="L741" s="5" t="s">
        <v>39</v>
      </c>
      <c r="M741" s="5">
        <v>47</v>
      </c>
      <c r="N741" s="5">
        <v>3</v>
      </c>
      <c r="O741" s="5">
        <v>2</v>
      </c>
      <c r="P741" s="5" t="s">
        <v>53</v>
      </c>
      <c r="Q741" s="5">
        <v>4</v>
      </c>
      <c r="R741" s="5" t="s">
        <v>48</v>
      </c>
      <c r="S741" s="5">
        <v>4227</v>
      </c>
      <c r="T741" s="5">
        <v>4658</v>
      </c>
      <c r="U741" s="5">
        <v>0</v>
      </c>
      <c r="V741" s="5" t="s">
        <v>42</v>
      </c>
      <c r="W741" s="5" t="s">
        <v>43</v>
      </c>
      <c r="X741" s="5">
        <v>18</v>
      </c>
      <c r="Y741" s="5">
        <v>3</v>
      </c>
      <c r="Z741" s="5">
        <v>2</v>
      </c>
      <c r="AA741" s="5">
        <v>80</v>
      </c>
      <c r="AB741" s="5">
        <v>1</v>
      </c>
      <c r="AC741" s="5">
        <v>4</v>
      </c>
      <c r="AD741" s="5">
        <v>2</v>
      </c>
      <c r="AE741" s="5">
        <v>3</v>
      </c>
      <c r="AF741" s="5">
        <v>3</v>
      </c>
      <c r="AG741" s="5">
        <v>2</v>
      </c>
      <c r="AH741" s="5">
        <v>2</v>
      </c>
      <c r="AI741" s="5">
        <v>2</v>
      </c>
    </row>
    <row r="742" spans="1:35" x14ac:dyDescent="0.25">
      <c r="A742" s="5">
        <v>35</v>
      </c>
      <c r="B742" s="5" t="s">
        <v>43</v>
      </c>
      <c r="C742" s="5" t="s">
        <v>36</v>
      </c>
      <c r="D742" s="5">
        <v>802</v>
      </c>
      <c r="E742" s="5" t="s">
        <v>45</v>
      </c>
      <c r="F742" s="5">
        <v>10</v>
      </c>
      <c r="G742" s="5">
        <v>3</v>
      </c>
      <c r="H742" s="5" t="s">
        <v>49</v>
      </c>
      <c r="I742" s="5">
        <v>1</v>
      </c>
      <c r="J742" s="5">
        <v>1028</v>
      </c>
      <c r="K742" s="5">
        <v>2</v>
      </c>
      <c r="L742" s="5" t="s">
        <v>46</v>
      </c>
      <c r="M742" s="5">
        <v>45</v>
      </c>
      <c r="N742" s="5">
        <v>3</v>
      </c>
      <c r="O742" s="5">
        <v>1</v>
      </c>
      <c r="P742" s="5" t="s">
        <v>50</v>
      </c>
      <c r="Q742" s="5">
        <v>4</v>
      </c>
      <c r="R742" s="5" t="s">
        <v>52</v>
      </c>
      <c r="S742" s="5">
        <v>3917</v>
      </c>
      <c r="T742" s="5">
        <v>9541</v>
      </c>
      <c r="U742" s="5">
        <v>1</v>
      </c>
      <c r="V742" s="5" t="s">
        <v>42</v>
      </c>
      <c r="W742" s="5" t="s">
        <v>43</v>
      </c>
      <c r="X742" s="5">
        <v>20</v>
      </c>
      <c r="Y742" s="5">
        <v>4</v>
      </c>
      <c r="Z742" s="5">
        <v>1</v>
      </c>
      <c r="AA742" s="5">
        <v>80</v>
      </c>
      <c r="AB742" s="5">
        <v>1</v>
      </c>
      <c r="AC742" s="5">
        <v>3</v>
      </c>
      <c r="AD742" s="5">
        <v>4</v>
      </c>
      <c r="AE742" s="5">
        <v>2</v>
      </c>
      <c r="AF742" s="5">
        <v>3</v>
      </c>
      <c r="AG742" s="5">
        <v>2</v>
      </c>
      <c r="AH742" s="5">
        <v>1</v>
      </c>
      <c r="AI742" s="5">
        <v>2</v>
      </c>
    </row>
    <row r="743" spans="1:35" x14ac:dyDescent="0.25">
      <c r="A743" s="5">
        <v>42</v>
      </c>
      <c r="B743" s="5" t="s">
        <v>43</v>
      </c>
      <c r="C743" s="5" t="s">
        <v>36</v>
      </c>
      <c r="D743" s="5">
        <v>265</v>
      </c>
      <c r="E743" s="5" t="s">
        <v>37</v>
      </c>
      <c r="F743" s="5">
        <v>5</v>
      </c>
      <c r="G743" s="5">
        <v>2</v>
      </c>
      <c r="H743" s="5" t="s">
        <v>59</v>
      </c>
      <c r="I743" s="5">
        <v>1</v>
      </c>
      <c r="J743" s="5">
        <v>1029</v>
      </c>
      <c r="K743" s="5">
        <v>4</v>
      </c>
      <c r="L743" s="5" t="s">
        <v>46</v>
      </c>
      <c r="M743" s="5">
        <v>90</v>
      </c>
      <c r="N743" s="5">
        <v>3</v>
      </c>
      <c r="O743" s="5">
        <v>5</v>
      </c>
      <c r="P743" s="5" t="s">
        <v>56</v>
      </c>
      <c r="Q743" s="5">
        <v>3</v>
      </c>
      <c r="R743" s="5" t="s">
        <v>48</v>
      </c>
      <c r="S743" s="5">
        <v>18303</v>
      </c>
      <c r="T743" s="5">
        <v>7770</v>
      </c>
      <c r="U743" s="5">
        <v>6</v>
      </c>
      <c r="V743" s="5" t="s">
        <v>42</v>
      </c>
      <c r="W743" s="5" t="s">
        <v>43</v>
      </c>
      <c r="X743" s="5">
        <v>13</v>
      </c>
      <c r="Y743" s="5">
        <v>3</v>
      </c>
      <c r="Z743" s="5">
        <v>2</v>
      </c>
      <c r="AA743" s="5">
        <v>80</v>
      </c>
      <c r="AB743" s="5">
        <v>0</v>
      </c>
      <c r="AC743" s="5">
        <v>21</v>
      </c>
      <c r="AD743" s="5">
        <v>3</v>
      </c>
      <c r="AE743" s="5">
        <v>4</v>
      </c>
      <c r="AF743" s="5">
        <v>1</v>
      </c>
      <c r="AG743" s="5">
        <v>0</v>
      </c>
      <c r="AH743" s="5">
        <v>0</v>
      </c>
      <c r="AI743" s="5">
        <v>0</v>
      </c>
    </row>
    <row r="744" spans="1:35" x14ac:dyDescent="0.25">
      <c r="A744" s="5">
        <v>50</v>
      </c>
      <c r="B744" s="5" t="s">
        <v>43</v>
      </c>
      <c r="C744" s="5" t="s">
        <v>36</v>
      </c>
      <c r="D744" s="5">
        <v>804</v>
      </c>
      <c r="E744" s="5" t="s">
        <v>45</v>
      </c>
      <c r="F744" s="5">
        <v>9</v>
      </c>
      <c r="G744" s="5">
        <v>3</v>
      </c>
      <c r="H744" s="5" t="s">
        <v>38</v>
      </c>
      <c r="I744" s="5">
        <v>1</v>
      </c>
      <c r="J744" s="5">
        <v>1030</v>
      </c>
      <c r="K744" s="5">
        <v>1</v>
      </c>
      <c r="L744" s="5" t="s">
        <v>46</v>
      </c>
      <c r="M744" s="5">
        <v>64</v>
      </c>
      <c r="N744" s="5">
        <v>3</v>
      </c>
      <c r="O744" s="5">
        <v>1</v>
      </c>
      <c r="P744" s="5" t="s">
        <v>50</v>
      </c>
      <c r="Q744" s="5">
        <v>4</v>
      </c>
      <c r="R744" s="5" t="s">
        <v>48</v>
      </c>
      <c r="S744" s="5">
        <v>2380</v>
      </c>
      <c r="T744" s="5">
        <v>20165</v>
      </c>
      <c r="U744" s="5">
        <v>4</v>
      </c>
      <c r="V744" s="5" t="s">
        <v>42</v>
      </c>
      <c r="W744" s="5" t="s">
        <v>43</v>
      </c>
      <c r="X744" s="5">
        <v>18</v>
      </c>
      <c r="Y744" s="5">
        <v>3</v>
      </c>
      <c r="Z744" s="5">
        <v>2</v>
      </c>
      <c r="AA744" s="5">
        <v>80</v>
      </c>
      <c r="AB744" s="5">
        <v>0</v>
      </c>
      <c r="AC744" s="5">
        <v>8</v>
      </c>
      <c r="AD744" s="5">
        <v>5</v>
      </c>
      <c r="AE744" s="5">
        <v>3</v>
      </c>
      <c r="AF744" s="5">
        <v>1</v>
      </c>
      <c r="AG744" s="5">
        <v>0</v>
      </c>
      <c r="AH744" s="5">
        <v>0</v>
      </c>
      <c r="AI744" s="5">
        <v>0</v>
      </c>
    </row>
    <row r="745" spans="1:35" x14ac:dyDescent="0.25">
      <c r="A745" s="5">
        <v>59</v>
      </c>
      <c r="B745" s="5" t="s">
        <v>43</v>
      </c>
      <c r="C745" s="5" t="s">
        <v>36</v>
      </c>
      <c r="D745" s="5">
        <v>715</v>
      </c>
      <c r="E745" s="5" t="s">
        <v>45</v>
      </c>
      <c r="F745" s="5">
        <v>2</v>
      </c>
      <c r="G745" s="5">
        <v>3</v>
      </c>
      <c r="H745" s="5" t="s">
        <v>38</v>
      </c>
      <c r="I745" s="5">
        <v>1</v>
      </c>
      <c r="J745" s="5">
        <v>1032</v>
      </c>
      <c r="K745" s="5">
        <v>3</v>
      </c>
      <c r="L745" s="5" t="s">
        <v>39</v>
      </c>
      <c r="M745" s="5">
        <v>69</v>
      </c>
      <c r="N745" s="5">
        <v>2</v>
      </c>
      <c r="O745" s="5">
        <v>4</v>
      </c>
      <c r="P745" s="5" t="s">
        <v>53</v>
      </c>
      <c r="Q745" s="5">
        <v>4</v>
      </c>
      <c r="R745" s="5" t="s">
        <v>41</v>
      </c>
      <c r="S745" s="5">
        <v>13726</v>
      </c>
      <c r="T745" s="5">
        <v>21829</v>
      </c>
      <c r="U745" s="5">
        <v>3</v>
      </c>
      <c r="V745" s="5" t="s">
        <v>42</v>
      </c>
      <c r="W745" s="5" t="s">
        <v>35</v>
      </c>
      <c r="X745" s="5">
        <v>13</v>
      </c>
      <c r="Y745" s="5">
        <v>3</v>
      </c>
      <c r="Z745" s="5">
        <v>1</v>
      </c>
      <c r="AA745" s="5">
        <v>80</v>
      </c>
      <c r="AB745" s="5">
        <v>0</v>
      </c>
      <c r="AC745" s="5">
        <v>30</v>
      </c>
      <c r="AD745" s="5">
        <v>4</v>
      </c>
      <c r="AE745" s="5">
        <v>3</v>
      </c>
      <c r="AF745" s="5">
        <v>5</v>
      </c>
      <c r="AG745" s="5">
        <v>3</v>
      </c>
      <c r="AH745" s="5">
        <v>4</v>
      </c>
      <c r="AI745" s="5">
        <v>3</v>
      </c>
    </row>
    <row r="746" spans="1:35" x14ac:dyDescent="0.25">
      <c r="A746" s="5">
        <v>37</v>
      </c>
      <c r="B746" s="5" t="s">
        <v>35</v>
      </c>
      <c r="C746" s="5" t="s">
        <v>36</v>
      </c>
      <c r="D746" s="5">
        <v>1141</v>
      </c>
      <c r="E746" s="5" t="s">
        <v>45</v>
      </c>
      <c r="F746" s="5">
        <v>11</v>
      </c>
      <c r="G746" s="5">
        <v>2</v>
      </c>
      <c r="H746" s="5" t="s">
        <v>51</v>
      </c>
      <c r="I746" s="5">
        <v>1</v>
      </c>
      <c r="J746" s="5">
        <v>1033</v>
      </c>
      <c r="K746" s="5">
        <v>1</v>
      </c>
      <c r="L746" s="5" t="s">
        <v>39</v>
      </c>
      <c r="M746" s="5">
        <v>61</v>
      </c>
      <c r="N746" s="5">
        <v>1</v>
      </c>
      <c r="O746" s="5">
        <v>2</v>
      </c>
      <c r="P746" s="5" t="s">
        <v>54</v>
      </c>
      <c r="Q746" s="5">
        <v>2</v>
      </c>
      <c r="R746" s="5" t="s">
        <v>48</v>
      </c>
      <c r="S746" s="5">
        <v>4777</v>
      </c>
      <c r="T746" s="5">
        <v>14382</v>
      </c>
      <c r="U746" s="5">
        <v>5</v>
      </c>
      <c r="V746" s="5" t="s">
        <v>42</v>
      </c>
      <c r="W746" s="5" t="s">
        <v>43</v>
      </c>
      <c r="X746" s="5">
        <v>15</v>
      </c>
      <c r="Y746" s="5">
        <v>3</v>
      </c>
      <c r="Z746" s="5">
        <v>1</v>
      </c>
      <c r="AA746" s="5">
        <v>80</v>
      </c>
      <c r="AB746" s="5">
        <v>0</v>
      </c>
      <c r="AC746" s="5">
        <v>15</v>
      </c>
      <c r="AD746" s="5">
        <v>2</v>
      </c>
      <c r="AE746" s="5">
        <v>1</v>
      </c>
      <c r="AF746" s="5">
        <v>1</v>
      </c>
      <c r="AG746" s="5">
        <v>0</v>
      </c>
      <c r="AH746" s="5">
        <v>0</v>
      </c>
      <c r="AI746" s="5">
        <v>0</v>
      </c>
    </row>
    <row r="747" spans="1:35" x14ac:dyDescent="0.25">
      <c r="A747" s="5">
        <v>55</v>
      </c>
      <c r="B747" s="5" t="s">
        <v>43</v>
      </c>
      <c r="C747" s="5" t="s">
        <v>44</v>
      </c>
      <c r="D747" s="5">
        <v>135</v>
      </c>
      <c r="E747" s="5" t="s">
        <v>45</v>
      </c>
      <c r="F747" s="5">
        <v>18</v>
      </c>
      <c r="G747" s="5">
        <v>4</v>
      </c>
      <c r="H747" s="5" t="s">
        <v>51</v>
      </c>
      <c r="I747" s="5">
        <v>1</v>
      </c>
      <c r="J747" s="5">
        <v>1034</v>
      </c>
      <c r="K747" s="5">
        <v>3</v>
      </c>
      <c r="L747" s="5" t="s">
        <v>46</v>
      </c>
      <c r="M747" s="5">
        <v>62</v>
      </c>
      <c r="N747" s="5">
        <v>3</v>
      </c>
      <c r="O747" s="5">
        <v>2</v>
      </c>
      <c r="P747" s="5" t="s">
        <v>54</v>
      </c>
      <c r="Q747" s="5">
        <v>2</v>
      </c>
      <c r="R747" s="5" t="s">
        <v>48</v>
      </c>
      <c r="S747" s="5">
        <v>6385</v>
      </c>
      <c r="T747" s="5">
        <v>12992</v>
      </c>
      <c r="U747" s="5">
        <v>3</v>
      </c>
      <c r="V747" s="5" t="s">
        <v>42</v>
      </c>
      <c r="W747" s="5" t="s">
        <v>35</v>
      </c>
      <c r="X747" s="5">
        <v>14</v>
      </c>
      <c r="Y747" s="5">
        <v>3</v>
      </c>
      <c r="Z747" s="5">
        <v>4</v>
      </c>
      <c r="AA747" s="5">
        <v>80</v>
      </c>
      <c r="AB747" s="5">
        <v>2</v>
      </c>
      <c r="AC747" s="5">
        <v>17</v>
      </c>
      <c r="AD747" s="5">
        <v>3</v>
      </c>
      <c r="AE747" s="5">
        <v>3</v>
      </c>
      <c r="AF747" s="5">
        <v>8</v>
      </c>
      <c r="AG747" s="5">
        <v>7</v>
      </c>
      <c r="AH747" s="5">
        <v>6</v>
      </c>
      <c r="AI747" s="5">
        <v>7</v>
      </c>
    </row>
    <row r="748" spans="1:35" x14ac:dyDescent="0.25">
      <c r="A748" s="5">
        <v>41</v>
      </c>
      <c r="B748" s="5" t="s">
        <v>43</v>
      </c>
      <c r="C748" s="5" t="s">
        <v>55</v>
      </c>
      <c r="D748" s="5">
        <v>247</v>
      </c>
      <c r="E748" s="5" t="s">
        <v>45</v>
      </c>
      <c r="F748" s="5">
        <v>7</v>
      </c>
      <c r="G748" s="5">
        <v>1</v>
      </c>
      <c r="H748" s="5" t="s">
        <v>38</v>
      </c>
      <c r="I748" s="5">
        <v>1</v>
      </c>
      <c r="J748" s="5">
        <v>1035</v>
      </c>
      <c r="K748" s="5">
        <v>2</v>
      </c>
      <c r="L748" s="5" t="s">
        <v>39</v>
      </c>
      <c r="M748" s="5">
        <v>55</v>
      </c>
      <c r="N748" s="5">
        <v>1</v>
      </c>
      <c r="O748" s="5">
        <v>5</v>
      </c>
      <c r="P748" s="5" t="s">
        <v>58</v>
      </c>
      <c r="Q748" s="5">
        <v>3</v>
      </c>
      <c r="R748" s="5" t="s">
        <v>52</v>
      </c>
      <c r="S748" s="5">
        <v>19973</v>
      </c>
      <c r="T748" s="5">
        <v>20284</v>
      </c>
      <c r="U748" s="5">
        <v>1</v>
      </c>
      <c r="V748" s="5" t="s">
        <v>42</v>
      </c>
      <c r="W748" s="5" t="s">
        <v>43</v>
      </c>
      <c r="X748" s="5">
        <v>22</v>
      </c>
      <c r="Y748" s="5">
        <v>4</v>
      </c>
      <c r="Z748" s="5">
        <v>2</v>
      </c>
      <c r="AA748" s="5">
        <v>80</v>
      </c>
      <c r="AB748" s="5">
        <v>2</v>
      </c>
      <c r="AC748" s="5">
        <v>21</v>
      </c>
      <c r="AD748" s="5">
        <v>3</v>
      </c>
      <c r="AE748" s="5">
        <v>3</v>
      </c>
      <c r="AF748" s="5">
        <v>21</v>
      </c>
      <c r="AG748" s="5">
        <v>16</v>
      </c>
      <c r="AH748" s="5">
        <v>5</v>
      </c>
      <c r="AI748" s="5">
        <v>10</v>
      </c>
    </row>
    <row r="749" spans="1:35" x14ac:dyDescent="0.25">
      <c r="A749" s="5">
        <v>38</v>
      </c>
      <c r="B749" s="5" t="s">
        <v>43</v>
      </c>
      <c r="C749" s="5" t="s">
        <v>36</v>
      </c>
      <c r="D749" s="5">
        <v>1035</v>
      </c>
      <c r="E749" s="5" t="s">
        <v>37</v>
      </c>
      <c r="F749" s="5">
        <v>3</v>
      </c>
      <c r="G749" s="5">
        <v>4</v>
      </c>
      <c r="H749" s="5" t="s">
        <v>38</v>
      </c>
      <c r="I749" s="5">
        <v>1</v>
      </c>
      <c r="J749" s="5">
        <v>1036</v>
      </c>
      <c r="K749" s="5">
        <v>2</v>
      </c>
      <c r="L749" s="5" t="s">
        <v>46</v>
      </c>
      <c r="M749" s="5">
        <v>42</v>
      </c>
      <c r="N749" s="5">
        <v>3</v>
      </c>
      <c r="O749" s="5">
        <v>2</v>
      </c>
      <c r="P749" s="5" t="s">
        <v>40</v>
      </c>
      <c r="Q749" s="5">
        <v>4</v>
      </c>
      <c r="R749" s="5" t="s">
        <v>41</v>
      </c>
      <c r="S749" s="5">
        <v>6861</v>
      </c>
      <c r="T749" s="5">
        <v>4981</v>
      </c>
      <c r="U749" s="5">
        <v>8</v>
      </c>
      <c r="V749" s="5" t="s">
        <v>42</v>
      </c>
      <c r="W749" s="5" t="s">
        <v>35</v>
      </c>
      <c r="X749" s="5">
        <v>12</v>
      </c>
      <c r="Y749" s="5">
        <v>3</v>
      </c>
      <c r="Z749" s="5">
        <v>3</v>
      </c>
      <c r="AA749" s="5">
        <v>80</v>
      </c>
      <c r="AB749" s="5">
        <v>0</v>
      </c>
      <c r="AC749" s="5">
        <v>19</v>
      </c>
      <c r="AD749" s="5">
        <v>1</v>
      </c>
      <c r="AE749" s="5">
        <v>3</v>
      </c>
      <c r="AF749" s="5">
        <v>1</v>
      </c>
      <c r="AG749" s="5">
        <v>0</v>
      </c>
      <c r="AH749" s="5">
        <v>0</v>
      </c>
      <c r="AI749" s="5">
        <v>0</v>
      </c>
    </row>
    <row r="750" spans="1:35" x14ac:dyDescent="0.25">
      <c r="A750" s="5">
        <v>26</v>
      </c>
      <c r="B750" s="5" t="s">
        <v>35</v>
      </c>
      <c r="C750" s="5" t="s">
        <v>55</v>
      </c>
      <c r="D750" s="5">
        <v>265</v>
      </c>
      <c r="E750" s="5" t="s">
        <v>37</v>
      </c>
      <c r="F750" s="5">
        <v>29</v>
      </c>
      <c r="G750" s="5">
        <v>2</v>
      </c>
      <c r="H750" s="5" t="s">
        <v>51</v>
      </c>
      <c r="I750" s="5">
        <v>1</v>
      </c>
      <c r="J750" s="5">
        <v>1037</v>
      </c>
      <c r="K750" s="5">
        <v>2</v>
      </c>
      <c r="L750" s="5" t="s">
        <v>46</v>
      </c>
      <c r="M750" s="5">
        <v>79</v>
      </c>
      <c r="N750" s="5">
        <v>1</v>
      </c>
      <c r="O750" s="5">
        <v>2</v>
      </c>
      <c r="P750" s="5" t="s">
        <v>40</v>
      </c>
      <c r="Q750" s="5">
        <v>1</v>
      </c>
      <c r="R750" s="5" t="s">
        <v>41</v>
      </c>
      <c r="S750" s="5">
        <v>4969</v>
      </c>
      <c r="T750" s="5">
        <v>21813</v>
      </c>
      <c r="U750" s="5">
        <v>8</v>
      </c>
      <c r="V750" s="5" t="s">
        <v>42</v>
      </c>
      <c r="W750" s="5" t="s">
        <v>43</v>
      </c>
      <c r="X750" s="5">
        <v>18</v>
      </c>
      <c r="Y750" s="5">
        <v>3</v>
      </c>
      <c r="Z750" s="5">
        <v>4</v>
      </c>
      <c r="AA750" s="5">
        <v>80</v>
      </c>
      <c r="AB750" s="5">
        <v>0</v>
      </c>
      <c r="AC750" s="5">
        <v>7</v>
      </c>
      <c r="AD750" s="5">
        <v>6</v>
      </c>
      <c r="AE750" s="5">
        <v>3</v>
      </c>
      <c r="AF750" s="5">
        <v>2</v>
      </c>
      <c r="AG750" s="5">
        <v>2</v>
      </c>
      <c r="AH750" s="5">
        <v>2</v>
      </c>
      <c r="AI750" s="5">
        <v>2</v>
      </c>
    </row>
    <row r="751" spans="1:35" x14ac:dyDescent="0.25">
      <c r="A751" s="5">
        <v>52</v>
      </c>
      <c r="B751" s="5" t="s">
        <v>35</v>
      </c>
      <c r="C751" s="5" t="s">
        <v>36</v>
      </c>
      <c r="D751" s="5">
        <v>266</v>
      </c>
      <c r="E751" s="5" t="s">
        <v>37</v>
      </c>
      <c r="F751" s="5">
        <v>2</v>
      </c>
      <c r="G751" s="5">
        <v>1</v>
      </c>
      <c r="H751" s="5" t="s">
        <v>59</v>
      </c>
      <c r="I751" s="5">
        <v>1</v>
      </c>
      <c r="J751" s="5">
        <v>1038</v>
      </c>
      <c r="K751" s="5">
        <v>1</v>
      </c>
      <c r="L751" s="5" t="s">
        <v>39</v>
      </c>
      <c r="M751" s="5">
        <v>57</v>
      </c>
      <c r="N751" s="5">
        <v>1</v>
      </c>
      <c r="O751" s="5">
        <v>5</v>
      </c>
      <c r="P751" s="5" t="s">
        <v>56</v>
      </c>
      <c r="Q751" s="5">
        <v>4</v>
      </c>
      <c r="R751" s="5" t="s">
        <v>48</v>
      </c>
      <c r="S751" s="5">
        <v>19845</v>
      </c>
      <c r="T751" s="5">
        <v>25846</v>
      </c>
      <c r="U751" s="5">
        <v>1</v>
      </c>
      <c r="V751" s="5" t="s">
        <v>42</v>
      </c>
      <c r="W751" s="5" t="s">
        <v>43</v>
      </c>
      <c r="X751" s="5">
        <v>15</v>
      </c>
      <c r="Y751" s="5">
        <v>3</v>
      </c>
      <c r="Z751" s="5">
        <v>4</v>
      </c>
      <c r="AA751" s="5">
        <v>80</v>
      </c>
      <c r="AB751" s="5">
        <v>1</v>
      </c>
      <c r="AC751" s="5">
        <v>33</v>
      </c>
      <c r="AD751" s="5">
        <v>3</v>
      </c>
      <c r="AE751" s="5">
        <v>3</v>
      </c>
      <c r="AF751" s="5">
        <v>32</v>
      </c>
      <c r="AG751" s="5">
        <v>14</v>
      </c>
      <c r="AH751" s="5">
        <v>6</v>
      </c>
      <c r="AI751" s="5">
        <v>9</v>
      </c>
    </row>
    <row r="752" spans="1:35" x14ac:dyDescent="0.25">
      <c r="A752" s="5">
        <v>44</v>
      </c>
      <c r="B752" s="5" t="s">
        <v>43</v>
      </c>
      <c r="C752" s="5" t="s">
        <v>36</v>
      </c>
      <c r="D752" s="5">
        <v>1448</v>
      </c>
      <c r="E752" s="5" t="s">
        <v>37</v>
      </c>
      <c r="F752" s="5">
        <v>28</v>
      </c>
      <c r="G752" s="5">
        <v>3</v>
      </c>
      <c r="H752" s="5" t="s">
        <v>51</v>
      </c>
      <c r="I752" s="5">
        <v>1</v>
      </c>
      <c r="J752" s="5">
        <v>1039</v>
      </c>
      <c r="K752" s="5">
        <v>4</v>
      </c>
      <c r="L752" s="5" t="s">
        <v>39</v>
      </c>
      <c r="M752" s="5">
        <v>53</v>
      </c>
      <c r="N752" s="5">
        <v>4</v>
      </c>
      <c r="O752" s="5">
        <v>4</v>
      </c>
      <c r="P752" s="5" t="s">
        <v>40</v>
      </c>
      <c r="Q752" s="5">
        <v>4</v>
      </c>
      <c r="R752" s="5" t="s">
        <v>48</v>
      </c>
      <c r="S752" s="5">
        <v>13320</v>
      </c>
      <c r="T752" s="5">
        <v>11737</v>
      </c>
      <c r="U752" s="5">
        <v>3</v>
      </c>
      <c r="V752" s="5" t="s">
        <v>42</v>
      </c>
      <c r="W752" s="5" t="s">
        <v>35</v>
      </c>
      <c r="X752" s="5">
        <v>18</v>
      </c>
      <c r="Y752" s="5">
        <v>3</v>
      </c>
      <c r="Z752" s="5">
        <v>3</v>
      </c>
      <c r="AA752" s="5">
        <v>80</v>
      </c>
      <c r="AB752" s="5">
        <v>1</v>
      </c>
      <c r="AC752" s="5">
        <v>23</v>
      </c>
      <c r="AD752" s="5">
        <v>2</v>
      </c>
      <c r="AE752" s="5">
        <v>3</v>
      </c>
      <c r="AF752" s="5">
        <v>12</v>
      </c>
      <c r="AG752" s="5">
        <v>11</v>
      </c>
      <c r="AH752" s="5">
        <v>11</v>
      </c>
      <c r="AI752" s="5">
        <v>11</v>
      </c>
    </row>
    <row r="753" spans="1:35" x14ac:dyDescent="0.25">
      <c r="A753" s="5">
        <v>50</v>
      </c>
      <c r="B753" s="5" t="s">
        <v>43</v>
      </c>
      <c r="C753" s="5" t="s">
        <v>55</v>
      </c>
      <c r="D753" s="5">
        <v>145</v>
      </c>
      <c r="E753" s="5" t="s">
        <v>37</v>
      </c>
      <c r="F753" s="5">
        <v>1</v>
      </c>
      <c r="G753" s="5">
        <v>3</v>
      </c>
      <c r="H753" s="5" t="s">
        <v>38</v>
      </c>
      <c r="I753" s="5">
        <v>1</v>
      </c>
      <c r="J753" s="5">
        <v>1040</v>
      </c>
      <c r="K753" s="5">
        <v>4</v>
      </c>
      <c r="L753" s="5" t="s">
        <v>39</v>
      </c>
      <c r="M753" s="5">
        <v>95</v>
      </c>
      <c r="N753" s="5">
        <v>3</v>
      </c>
      <c r="O753" s="5">
        <v>2</v>
      </c>
      <c r="P753" s="5" t="s">
        <v>40</v>
      </c>
      <c r="Q753" s="5">
        <v>3</v>
      </c>
      <c r="R753" s="5" t="s">
        <v>48</v>
      </c>
      <c r="S753" s="5">
        <v>6347</v>
      </c>
      <c r="T753" s="5">
        <v>24920</v>
      </c>
      <c r="U753" s="5">
        <v>0</v>
      </c>
      <c r="V753" s="5" t="s">
        <v>42</v>
      </c>
      <c r="W753" s="5" t="s">
        <v>43</v>
      </c>
      <c r="X753" s="5">
        <v>12</v>
      </c>
      <c r="Y753" s="5">
        <v>3</v>
      </c>
      <c r="Z753" s="5">
        <v>1</v>
      </c>
      <c r="AA753" s="5">
        <v>80</v>
      </c>
      <c r="AB753" s="5">
        <v>1</v>
      </c>
      <c r="AC753" s="5">
        <v>19</v>
      </c>
      <c r="AD753" s="5">
        <v>3</v>
      </c>
      <c r="AE753" s="5">
        <v>3</v>
      </c>
      <c r="AF753" s="5">
        <v>18</v>
      </c>
      <c r="AG753" s="5">
        <v>7</v>
      </c>
      <c r="AH753" s="5">
        <v>0</v>
      </c>
      <c r="AI753" s="5">
        <v>13</v>
      </c>
    </row>
    <row r="754" spans="1:35" x14ac:dyDescent="0.25">
      <c r="A754" s="5">
        <v>36</v>
      </c>
      <c r="B754" s="5" t="s">
        <v>35</v>
      </c>
      <c r="C754" s="5" t="s">
        <v>36</v>
      </c>
      <c r="D754" s="5">
        <v>885</v>
      </c>
      <c r="E754" s="5" t="s">
        <v>45</v>
      </c>
      <c r="F754" s="5">
        <v>16</v>
      </c>
      <c r="G754" s="5">
        <v>4</v>
      </c>
      <c r="H754" s="5" t="s">
        <v>38</v>
      </c>
      <c r="I754" s="5">
        <v>1</v>
      </c>
      <c r="J754" s="5">
        <v>1042</v>
      </c>
      <c r="K754" s="5">
        <v>3</v>
      </c>
      <c r="L754" s="5" t="s">
        <v>39</v>
      </c>
      <c r="M754" s="5">
        <v>43</v>
      </c>
      <c r="N754" s="5">
        <v>4</v>
      </c>
      <c r="O754" s="5">
        <v>1</v>
      </c>
      <c r="P754" s="5" t="s">
        <v>50</v>
      </c>
      <c r="Q754" s="5">
        <v>1</v>
      </c>
      <c r="R754" s="5" t="s">
        <v>41</v>
      </c>
      <c r="S754" s="5">
        <v>2743</v>
      </c>
      <c r="T754" s="5">
        <v>8269</v>
      </c>
      <c r="U754" s="5">
        <v>1</v>
      </c>
      <c r="V754" s="5" t="s">
        <v>42</v>
      </c>
      <c r="W754" s="5" t="s">
        <v>43</v>
      </c>
      <c r="X754" s="5">
        <v>16</v>
      </c>
      <c r="Y754" s="5">
        <v>3</v>
      </c>
      <c r="Z754" s="5">
        <v>3</v>
      </c>
      <c r="AA754" s="5">
        <v>80</v>
      </c>
      <c r="AB754" s="5">
        <v>0</v>
      </c>
      <c r="AC754" s="5">
        <v>18</v>
      </c>
      <c r="AD754" s="5">
        <v>1</v>
      </c>
      <c r="AE754" s="5">
        <v>3</v>
      </c>
      <c r="AF754" s="5">
        <v>17</v>
      </c>
      <c r="AG754" s="5">
        <v>13</v>
      </c>
      <c r="AH754" s="5">
        <v>15</v>
      </c>
      <c r="AI754" s="5">
        <v>14</v>
      </c>
    </row>
    <row r="755" spans="1:35" x14ac:dyDescent="0.25">
      <c r="A755" s="5">
        <v>39</v>
      </c>
      <c r="B755" s="5" t="s">
        <v>43</v>
      </c>
      <c r="C755" s="5" t="s">
        <v>44</v>
      </c>
      <c r="D755" s="5">
        <v>945</v>
      </c>
      <c r="E755" s="5" t="s">
        <v>45</v>
      </c>
      <c r="F755" s="5">
        <v>22</v>
      </c>
      <c r="G755" s="5">
        <v>3</v>
      </c>
      <c r="H755" s="5" t="s">
        <v>51</v>
      </c>
      <c r="I755" s="5">
        <v>1</v>
      </c>
      <c r="J755" s="5">
        <v>1043</v>
      </c>
      <c r="K755" s="5">
        <v>4</v>
      </c>
      <c r="L755" s="5" t="s">
        <v>39</v>
      </c>
      <c r="M755" s="5">
        <v>82</v>
      </c>
      <c r="N755" s="5">
        <v>3</v>
      </c>
      <c r="O755" s="5">
        <v>3</v>
      </c>
      <c r="P755" s="5" t="s">
        <v>53</v>
      </c>
      <c r="Q755" s="5">
        <v>1</v>
      </c>
      <c r="R755" s="5" t="s">
        <v>41</v>
      </c>
      <c r="S755" s="5">
        <v>10880</v>
      </c>
      <c r="T755" s="5">
        <v>5083</v>
      </c>
      <c r="U755" s="5">
        <v>1</v>
      </c>
      <c r="V755" s="5" t="s">
        <v>42</v>
      </c>
      <c r="W755" s="5" t="s">
        <v>35</v>
      </c>
      <c r="X755" s="5">
        <v>13</v>
      </c>
      <c r="Y755" s="5">
        <v>3</v>
      </c>
      <c r="Z755" s="5">
        <v>3</v>
      </c>
      <c r="AA755" s="5">
        <v>80</v>
      </c>
      <c r="AB755" s="5">
        <v>0</v>
      </c>
      <c r="AC755" s="5">
        <v>21</v>
      </c>
      <c r="AD755" s="5">
        <v>2</v>
      </c>
      <c r="AE755" s="5">
        <v>3</v>
      </c>
      <c r="AF755" s="5">
        <v>21</v>
      </c>
      <c r="AG755" s="5">
        <v>6</v>
      </c>
      <c r="AH755" s="5">
        <v>2</v>
      </c>
      <c r="AI755" s="5">
        <v>8</v>
      </c>
    </row>
    <row r="756" spans="1:35" x14ac:dyDescent="0.25">
      <c r="A756" s="5">
        <v>33</v>
      </c>
      <c r="B756" s="5" t="s">
        <v>43</v>
      </c>
      <c r="C756" s="5" t="s">
        <v>55</v>
      </c>
      <c r="D756" s="5">
        <v>1038</v>
      </c>
      <c r="E756" s="5" t="s">
        <v>37</v>
      </c>
      <c r="F756" s="5">
        <v>8</v>
      </c>
      <c r="G756" s="5">
        <v>1</v>
      </c>
      <c r="H756" s="5" t="s">
        <v>38</v>
      </c>
      <c r="I756" s="5">
        <v>1</v>
      </c>
      <c r="J756" s="5">
        <v>1044</v>
      </c>
      <c r="K756" s="5">
        <v>2</v>
      </c>
      <c r="L756" s="5" t="s">
        <v>39</v>
      </c>
      <c r="M756" s="5">
        <v>88</v>
      </c>
      <c r="N756" s="5">
        <v>2</v>
      </c>
      <c r="O756" s="5">
        <v>1</v>
      </c>
      <c r="P756" s="5" t="s">
        <v>57</v>
      </c>
      <c r="Q756" s="5">
        <v>4</v>
      </c>
      <c r="R756" s="5" t="s">
        <v>41</v>
      </c>
      <c r="S756" s="5">
        <v>2342</v>
      </c>
      <c r="T756" s="5">
        <v>21437</v>
      </c>
      <c r="U756" s="5">
        <v>0</v>
      </c>
      <c r="V756" s="5" t="s">
        <v>42</v>
      </c>
      <c r="W756" s="5" t="s">
        <v>43</v>
      </c>
      <c r="X756" s="5">
        <v>19</v>
      </c>
      <c r="Y756" s="5">
        <v>3</v>
      </c>
      <c r="Z756" s="5">
        <v>4</v>
      </c>
      <c r="AA756" s="5">
        <v>80</v>
      </c>
      <c r="AB756" s="5">
        <v>0</v>
      </c>
      <c r="AC756" s="5">
        <v>3</v>
      </c>
      <c r="AD756" s="5">
        <v>2</v>
      </c>
      <c r="AE756" s="5">
        <v>2</v>
      </c>
      <c r="AF756" s="5">
        <v>2</v>
      </c>
      <c r="AG756" s="5">
        <v>2</v>
      </c>
      <c r="AH756" s="5">
        <v>2</v>
      </c>
      <c r="AI756" s="5">
        <v>2</v>
      </c>
    </row>
    <row r="757" spans="1:35" x14ac:dyDescent="0.25">
      <c r="A757" s="5">
        <v>45</v>
      </c>
      <c r="B757" s="5" t="s">
        <v>43</v>
      </c>
      <c r="C757" s="5" t="s">
        <v>36</v>
      </c>
      <c r="D757" s="5">
        <v>1234</v>
      </c>
      <c r="E757" s="5" t="s">
        <v>37</v>
      </c>
      <c r="F757" s="5">
        <v>11</v>
      </c>
      <c r="G757" s="5">
        <v>2</v>
      </c>
      <c r="H757" s="5" t="s">
        <v>38</v>
      </c>
      <c r="I757" s="5">
        <v>1</v>
      </c>
      <c r="J757" s="5">
        <v>1045</v>
      </c>
      <c r="K757" s="5">
        <v>4</v>
      </c>
      <c r="L757" s="5" t="s">
        <v>39</v>
      </c>
      <c r="M757" s="5">
        <v>90</v>
      </c>
      <c r="N757" s="5">
        <v>3</v>
      </c>
      <c r="O757" s="5">
        <v>4</v>
      </c>
      <c r="P757" s="5" t="s">
        <v>56</v>
      </c>
      <c r="Q757" s="5">
        <v>4</v>
      </c>
      <c r="R757" s="5" t="s">
        <v>48</v>
      </c>
      <c r="S757" s="5">
        <v>17650</v>
      </c>
      <c r="T757" s="5">
        <v>5404</v>
      </c>
      <c r="U757" s="5">
        <v>3</v>
      </c>
      <c r="V757" s="5" t="s">
        <v>42</v>
      </c>
      <c r="W757" s="5" t="s">
        <v>43</v>
      </c>
      <c r="X757" s="5">
        <v>13</v>
      </c>
      <c r="Y757" s="5">
        <v>3</v>
      </c>
      <c r="Z757" s="5">
        <v>2</v>
      </c>
      <c r="AA757" s="5">
        <v>80</v>
      </c>
      <c r="AB757" s="5">
        <v>1</v>
      </c>
      <c r="AC757" s="5">
        <v>26</v>
      </c>
      <c r="AD757" s="5">
        <v>4</v>
      </c>
      <c r="AE757" s="5">
        <v>4</v>
      </c>
      <c r="AF757" s="5">
        <v>9</v>
      </c>
      <c r="AG757" s="5">
        <v>3</v>
      </c>
      <c r="AH757" s="5">
        <v>1</v>
      </c>
      <c r="AI757" s="5">
        <v>1</v>
      </c>
    </row>
    <row r="758" spans="1:35" x14ac:dyDescent="0.25">
      <c r="A758" s="5">
        <v>32</v>
      </c>
      <c r="B758" s="5" t="s">
        <v>43</v>
      </c>
      <c r="C758" s="5" t="s">
        <v>55</v>
      </c>
      <c r="D758" s="5">
        <v>1109</v>
      </c>
      <c r="E758" s="5" t="s">
        <v>45</v>
      </c>
      <c r="F758" s="5">
        <v>29</v>
      </c>
      <c r="G758" s="5">
        <v>4</v>
      </c>
      <c r="H758" s="5" t="s">
        <v>51</v>
      </c>
      <c r="I758" s="5">
        <v>1</v>
      </c>
      <c r="J758" s="5">
        <v>1046</v>
      </c>
      <c r="K758" s="5">
        <v>4</v>
      </c>
      <c r="L758" s="5" t="s">
        <v>39</v>
      </c>
      <c r="M758" s="5">
        <v>69</v>
      </c>
      <c r="N758" s="5">
        <v>3</v>
      </c>
      <c r="O758" s="5">
        <v>1</v>
      </c>
      <c r="P758" s="5" t="s">
        <v>50</v>
      </c>
      <c r="Q758" s="5">
        <v>3</v>
      </c>
      <c r="R758" s="5" t="s">
        <v>41</v>
      </c>
      <c r="S758" s="5">
        <v>4025</v>
      </c>
      <c r="T758" s="5">
        <v>11135</v>
      </c>
      <c r="U758" s="5">
        <v>9</v>
      </c>
      <c r="V758" s="5" t="s">
        <v>42</v>
      </c>
      <c r="W758" s="5" t="s">
        <v>43</v>
      </c>
      <c r="X758" s="5">
        <v>12</v>
      </c>
      <c r="Y758" s="5">
        <v>3</v>
      </c>
      <c r="Z758" s="5">
        <v>2</v>
      </c>
      <c r="AA758" s="5">
        <v>80</v>
      </c>
      <c r="AB758" s="5">
        <v>0</v>
      </c>
      <c r="AC758" s="5">
        <v>10</v>
      </c>
      <c r="AD758" s="5">
        <v>2</v>
      </c>
      <c r="AE758" s="5">
        <v>3</v>
      </c>
      <c r="AF758" s="5">
        <v>8</v>
      </c>
      <c r="AG758" s="5">
        <v>7</v>
      </c>
      <c r="AH758" s="5">
        <v>7</v>
      </c>
      <c r="AI758" s="5">
        <v>7</v>
      </c>
    </row>
    <row r="759" spans="1:35" x14ac:dyDescent="0.25">
      <c r="A759" s="5">
        <v>34</v>
      </c>
      <c r="B759" s="5" t="s">
        <v>43</v>
      </c>
      <c r="C759" s="5" t="s">
        <v>36</v>
      </c>
      <c r="D759" s="5">
        <v>216</v>
      </c>
      <c r="E759" s="5" t="s">
        <v>37</v>
      </c>
      <c r="F759" s="5">
        <v>1</v>
      </c>
      <c r="G759" s="5">
        <v>4</v>
      </c>
      <c r="H759" s="5" t="s">
        <v>59</v>
      </c>
      <c r="I759" s="5">
        <v>1</v>
      </c>
      <c r="J759" s="5">
        <v>1047</v>
      </c>
      <c r="K759" s="5">
        <v>2</v>
      </c>
      <c r="L759" s="5" t="s">
        <v>46</v>
      </c>
      <c r="M759" s="5">
        <v>75</v>
      </c>
      <c r="N759" s="5">
        <v>4</v>
      </c>
      <c r="O759" s="5">
        <v>2</v>
      </c>
      <c r="P759" s="5" t="s">
        <v>40</v>
      </c>
      <c r="Q759" s="5">
        <v>4</v>
      </c>
      <c r="R759" s="5" t="s">
        <v>52</v>
      </c>
      <c r="S759" s="5">
        <v>9725</v>
      </c>
      <c r="T759" s="5">
        <v>12278</v>
      </c>
      <c r="U759" s="5">
        <v>0</v>
      </c>
      <c r="V759" s="5" t="s">
        <v>42</v>
      </c>
      <c r="W759" s="5" t="s">
        <v>43</v>
      </c>
      <c r="X759" s="5">
        <v>11</v>
      </c>
      <c r="Y759" s="5">
        <v>3</v>
      </c>
      <c r="Z759" s="5">
        <v>4</v>
      </c>
      <c r="AA759" s="5">
        <v>80</v>
      </c>
      <c r="AB759" s="5">
        <v>1</v>
      </c>
      <c r="AC759" s="5">
        <v>16</v>
      </c>
      <c r="AD759" s="5">
        <v>2</v>
      </c>
      <c r="AE759" s="5">
        <v>2</v>
      </c>
      <c r="AF759" s="5">
        <v>15</v>
      </c>
      <c r="AG759" s="5">
        <v>1</v>
      </c>
      <c r="AH759" s="5">
        <v>0</v>
      </c>
      <c r="AI759" s="5">
        <v>9</v>
      </c>
    </row>
    <row r="760" spans="1:35" x14ac:dyDescent="0.25">
      <c r="A760" s="5">
        <v>59</v>
      </c>
      <c r="B760" s="5" t="s">
        <v>43</v>
      </c>
      <c r="C760" s="5" t="s">
        <v>36</v>
      </c>
      <c r="D760" s="5">
        <v>1089</v>
      </c>
      <c r="E760" s="5" t="s">
        <v>37</v>
      </c>
      <c r="F760" s="5">
        <v>1</v>
      </c>
      <c r="G760" s="5">
        <v>2</v>
      </c>
      <c r="H760" s="5" t="s">
        <v>60</v>
      </c>
      <c r="I760" s="5">
        <v>1</v>
      </c>
      <c r="J760" s="5">
        <v>1048</v>
      </c>
      <c r="K760" s="5">
        <v>2</v>
      </c>
      <c r="L760" s="5" t="s">
        <v>46</v>
      </c>
      <c r="M760" s="5">
        <v>66</v>
      </c>
      <c r="N760" s="5">
        <v>3</v>
      </c>
      <c r="O760" s="5">
        <v>3</v>
      </c>
      <c r="P760" s="5" t="s">
        <v>56</v>
      </c>
      <c r="Q760" s="5">
        <v>4</v>
      </c>
      <c r="R760" s="5" t="s">
        <v>48</v>
      </c>
      <c r="S760" s="5">
        <v>11904</v>
      </c>
      <c r="T760" s="5">
        <v>11038</v>
      </c>
      <c r="U760" s="5">
        <v>3</v>
      </c>
      <c r="V760" s="5" t="s">
        <v>42</v>
      </c>
      <c r="W760" s="5" t="s">
        <v>35</v>
      </c>
      <c r="X760" s="5">
        <v>14</v>
      </c>
      <c r="Y760" s="5">
        <v>3</v>
      </c>
      <c r="Z760" s="5">
        <v>3</v>
      </c>
      <c r="AA760" s="5">
        <v>80</v>
      </c>
      <c r="AB760" s="5">
        <v>1</v>
      </c>
      <c r="AC760" s="5">
        <v>14</v>
      </c>
      <c r="AD760" s="5">
        <v>1</v>
      </c>
      <c r="AE760" s="5">
        <v>1</v>
      </c>
      <c r="AF760" s="5">
        <v>6</v>
      </c>
      <c r="AG760" s="5">
        <v>4</v>
      </c>
      <c r="AH760" s="5">
        <v>0</v>
      </c>
      <c r="AI760" s="5">
        <v>4</v>
      </c>
    </row>
    <row r="761" spans="1:35" x14ac:dyDescent="0.25">
      <c r="A761" s="5">
        <v>45</v>
      </c>
      <c r="B761" s="5" t="s">
        <v>43</v>
      </c>
      <c r="C761" s="5" t="s">
        <v>36</v>
      </c>
      <c r="D761" s="5">
        <v>788</v>
      </c>
      <c r="E761" s="5" t="s">
        <v>61</v>
      </c>
      <c r="F761" s="5">
        <v>24</v>
      </c>
      <c r="G761" s="5">
        <v>4</v>
      </c>
      <c r="H761" s="5" t="s">
        <v>51</v>
      </c>
      <c r="I761" s="5">
        <v>1</v>
      </c>
      <c r="J761" s="5">
        <v>1049</v>
      </c>
      <c r="K761" s="5">
        <v>2</v>
      </c>
      <c r="L761" s="5" t="s">
        <v>46</v>
      </c>
      <c r="M761" s="5">
        <v>36</v>
      </c>
      <c r="N761" s="5">
        <v>3</v>
      </c>
      <c r="O761" s="5">
        <v>1</v>
      </c>
      <c r="P761" s="5" t="s">
        <v>61</v>
      </c>
      <c r="Q761" s="5">
        <v>2</v>
      </c>
      <c r="R761" s="5" t="s">
        <v>41</v>
      </c>
      <c r="S761" s="5">
        <v>2177</v>
      </c>
      <c r="T761" s="5">
        <v>8318</v>
      </c>
      <c r="U761" s="5">
        <v>1</v>
      </c>
      <c r="V761" s="5" t="s">
        <v>42</v>
      </c>
      <c r="W761" s="5" t="s">
        <v>43</v>
      </c>
      <c r="X761" s="5">
        <v>16</v>
      </c>
      <c r="Y761" s="5">
        <v>3</v>
      </c>
      <c r="Z761" s="5">
        <v>1</v>
      </c>
      <c r="AA761" s="5">
        <v>80</v>
      </c>
      <c r="AB761" s="5">
        <v>0</v>
      </c>
      <c r="AC761" s="5">
        <v>6</v>
      </c>
      <c r="AD761" s="5">
        <v>3</v>
      </c>
      <c r="AE761" s="5">
        <v>3</v>
      </c>
      <c r="AF761" s="5">
        <v>6</v>
      </c>
      <c r="AG761" s="5">
        <v>3</v>
      </c>
      <c r="AH761" s="5">
        <v>0</v>
      </c>
      <c r="AI761" s="5">
        <v>4</v>
      </c>
    </row>
    <row r="762" spans="1:35" x14ac:dyDescent="0.25">
      <c r="A762" s="5">
        <v>53</v>
      </c>
      <c r="B762" s="5" t="s">
        <v>43</v>
      </c>
      <c r="C762" s="5" t="s">
        <v>44</v>
      </c>
      <c r="D762" s="5">
        <v>124</v>
      </c>
      <c r="E762" s="5" t="s">
        <v>37</v>
      </c>
      <c r="F762" s="5">
        <v>2</v>
      </c>
      <c r="G762" s="5">
        <v>3</v>
      </c>
      <c r="H762" s="5" t="s">
        <v>59</v>
      </c>
      <c r="I762" s="5">
        <v>1</v>
      </c>
      <c r="J762" s="5">
        <v>1050</v>
      </c>
      <c r="K762" s="5">
        <v>3</v>
      </c>
      <c r="L762" s="5" t="s">
        <v>39</v>
      </c>
      <c r="M762" s="5">
        <v>38</v>
      </c>
      <c r="N762" s="5">
        <v>2</v>
      </c>
      <c r="O762" s="5">
        <v>3</v>
      </c>
      <c r="P762" s="5" t="s">
        <v>40</v>
      </c>
      <c r="Q762" s="5">
        <v>2</v>
      </c>
      <c r="R762" s="5" t="s">
        <v>48</v>
      </c>
      <c r="S762" s="5">
        <v>7525</v>
      </c>
      <c r="T762" s="5">
        <v>23537</v>
      </c>
      <c r="U762" s="5">
        <v>2</v>
      </c>
      <c r="V762" s="5" t="s">
        <v>42</v>
      </c>
      <c r="W762" s="5" t="s">
        <v>43</v>
      </c>
      <c r="X762" s="5">
        <v>12</v>
      </c>
      <c r="Y762" s="5">
        <v>3</v>
      </c>
      <c r="Z762" s="5">
        <v>1</v>
      </c>
      <c r="AA762" s="5">
        <v>80</v>
      </c>
      <c r="AB762" s="5">
        <v>1</v>
      </c>
      <c r="AC762" s="5">
        <v>30</v>
      </c>
      <c r="AD762" s="5">
        <v>2</v>
      </c>
      <c r="AE762" s="5">
        <v>3</v>
      </c>
      <c r="AF762" s="5">
        <v>15</v>
      </c>
      <c r="AG762" s="5">
        <v>7</v>
      </c>
      <c r="AH762" s="5">
        <v>6</v>
      </c>
      <c r="AI762" s="5">
        <v>12</v>
      </c>
    </row>
    <row r="763" spans="1:35" x14ac:dyDescent="0.25">
      <c r="A763" s="5">
        <v>36</v>
      </c>
      <c r="B763" s="5" t="s">
        <v>35</v>
      </c>
      <c r="C763" s="5" t="s">
        <v>36</v>
      </c>
      <c r="D763" s="5">
        <v>660</v>
      </c>
      <c r="E763" s="5" t="s">
        <v>45</v>
      </c>
      <c r="F763" s="5">
        <v>15</v>
      </c>
      <c r="G763" s="5">
        <v>3</v>
      </c>
      <c r="H763" s="5" t="s">
        <v>49</v>
      </c>
      <c r="I763" s="5">
        <v>1</v>
      </c>
      <c r="J763" s="5">
        <v>1052</v>
      </c>
      <c r="K763" s="5">
        <v>1</v>
      </c>
      <c r="L763" s="5" t="s">
        <v>46</v>
      </c>
      <c r="M763" s="5">
        <v>81</v>
      </c>
      <c r="N763" s="5">
        <v>3</v>
      </c>
      <c r="O763" s="5">
        <v>2</v>
      </c>
      <c r="P763" s="5" t="s">
        <v>50</v>
      </c>
      <c r="Q763" s="5">
        <v>3</v>
      </c>
      <c r="R763" s="5" t="s">
        <v>52</v>
      </c>
      <c r="S763" s="5">
        <v>4834</v>
      </c>
      <c r="T763" s="5">
        <v>7858</v>
      </c>
      <c r="U763" s="5">
        <v>7</v>
      </c>
      <c r="V763" s="5" t="s">
        <v>42</v>
      </c>
      <c r="W763" s="5" t="s">
        <v>43</v>
      </c>
      <c r="X763" s="5">
        <v>14</v>
      </c>
      <c r="Y763" s="5">
        <v>3</v>
      </c>
      <c r="Z763" s="5">
        <v>2</v>
      </c>
      <c r="AA763" s="5">
        <v>80</v>
      </c>
      <c r="AB763" s="5">
        <v>1</v>
      </c>
      <c r="AC763" s="5">
        <v>9</v>
      </c>
      <c r="AD763" s="5">
        <v>3</v>
      </c>
      <c r="AE763" s="5">
        <v>2</v>
      </c>
      <c r="AF763" s="5">
        <v>1</v>
      </c>
      <c r="AG763" s="5">
        <v>0</v>
      </c>
      <c r="AH763" s="5">
        <v>0</v>
      </c>
      <c r="AI763" s="5">
        <v>0</v>
      </c>
    </row>
    <row r="764" spans="1:35" x14ac:dyDescent="0.25">
      <c r="A764" s="5">
        <v>26</v>
      </c>
      <c r="B764" s="5" t="s">
        <v>35</v>
      </c>
      <c r="C764" s="5" t="s">
        <v>44</v>
      </c>
      <c r="D764" s="5">
        <v>342</v>
      </c>
      <c r="E764" s="5" t="s">
        <v>45</v>
      </c>
      <c r="F764" s="5">
        <v>2</v>
      </c>
      <c r="G764" s="5">
        <v>3</v>
      </c>
      <c r="H764" s="5" t="s">
        <v>38</v>
      </c>
      <c r="I764" s="5">
        <v>1</v>
      </c>
      <c r="J764" s="5">
        <v>1053</v>
      </c>
      <c r="K764" s="5">
        <v>1</v>
      </c>
      <c r="L764" s="5" t="s">
        <v>46</v>
      </c>
      <c r="M764" s="5">
        <v>57</v>
      </c>
      <c r="N764" s="5">
        <v>3</v>
      </c>
      <c r="O764" s="5">
        <v>1</v>
      </c>
      <c r="P764" s="5" t="s">
        <v>47</v>
      </c>
      <c r="Q764" s="5">
        <v>1</v>
      </c>
      <c r="R764" s="5" t="s">
        <v>48</v>
      </c>
      <c r="S764" s="5">
        <v>2042</v>
      </c>
      <c r="T764" s="5">
        <v>15346</v>
      </c>
      <c r="U764" s="5">
        <v>6</v>
      </c>
      <c r="V764" s="5" t="s">
        <v>42</v>
      </c>
      <c r="W764" s="5" t="s">
        <v>35</v>
      </c>
      <c r="X764" s="5">
        <v>14</v>
      </c>
      <c r="Y764" s="5">
        <v>3</v>
      </c>
      <c r="Z764" s="5">
        <v>2</v>
      </c>
      <c r="AA764" s="5">
        <v>80</v>
      </c>
      <c r="AB764" s="5">
        <v>1</v>
      </c>
      <c r="AC764" s="5">
        <v>6</v>
      </c>
      <c r="AD764" s="5">
        <v>2</v>
      </c>
      <c r="AE764" s="5">
        <v>3</v>
      </c>
      <c r="AF764" s="5">
        <v>3</v>
      </c>
      <c r="AG764" s="5">
        <v>2</v>
      </c>
      <c r="AH764" s="5">
        <v>1</v>
      </c>
      <c r="AI764" s="5">
        <v>2</v>
      </c>
    </row>
    <row r="765" spans="1:35" x14ac:dyDescent="0.25">
      <c r="A765" s="5">
        <v>34</v>
      </c>
      <c r="B765" s="5" t="s">
        <v>43</v>
      </c>
      <c r="C765" s="5" t="s">
        <v>36</v>
      </c>
      <c r="D765" s="5">
        <v>1333</v>
      </c>
      <c r="E765" s="5" t="s">
        <v>37</v>
      </c>
      <c r="F765" s="5">
        <v>10</v>
      </c>
      <c r="G765" s="5">
        <v>4</v>
      </c>
      <c r="H765" s="5" t="s">
        <v>38</v>
      </c>
      <c r="I765" s="5">
        <v>1</v>
      </c>
      <c r="J765" s="5">
        <v>1055</v>
      </c>
      <c r="K765" s="5">
        <v>3</v>
      </c>
      <c r="L765" s="5" t="s">
        <v>39</v>
      </c>
      <c r="M765" s="5">
        <v>87</v>
      </c>
      <c r="N765" s="5">
        <v>3</v>
      </c>
      <c r="O765" s="5">
        <v>1</v>
      </c>
      <c r="P765" s="5" t="s">
        <v>57</v>
      </c>
      <c r="Q765" s="5">
        <v>3</v>
      </c>
      <c r="R765" s="5" t="s">
        <v>48</v>
      </c>
      <c r="S765" s="5">
        <v>2220</v>
      </c>
      <c r="T765" s="5">
        <v>18410</v>
      </c>
      <c r="U765" s="5">
        <v>1</v>
      </c>
      <c r="V765" s="5" t="s">
        <v>42</v>
      </c>
      <c r="W765" s="5" t="s">
        <v>35</v>
      </c>
      <c r="X765" s="5">
        <v>19</v>
      </c>
      <c r="Y765" s="5">
        <v>3</v>
      </c>
      <c r="Z765" s="5">
        <v>4</v>
      </c>
      <c r="AA765" s="5">
        <v>80</v>
      </c>
      <c r="AB765" s="5">
        <v>1</v>
      </c>
      <c r="AC765" s="5">
        <v>1</v>
      </c>
      <c r="AD765" s="5">
        <v>2</v>
      </c>
      <c r="AE765" s="5">
        <v>3</v>
      </c>
      <c r="AF765" s="5">
        <v>1</v>
      </c>
      <c r="AG765" s="5">
        <v>1</v>
      </c>
      <c r="AH765" s="5">
        <v>0</v>
      </c>
      <c r="AI765" s="5">
        <v>0</v>
      </c>
    </row>
    <row r="766" spans="1:35" x14ac:dyDescent="0.25">
      <c r="A766" s="5">
        <v>28</v>
      </c>
      <c r="B766" s="5" t="s">
        <v>43</v>
      </c>
      <c r="C766" s="5" t="s">
        <v>36</v>
      </c>
      <c r="D766" s="5">
        <v>1144</v>
      </c>
      <c r="E766" s="5" t="s">
        <v>37</v>
      </c>
      <c r="F766" s="5">
        <v>10</v>
      </c>
      <c r="G766" s="5">
        <v>1</v>
      </c>
      <c r="H766" s="5" t="s">
        <v>51</v>
      </c>
      <c r="I766" s="5">
        <v>1</v>
      </c>
      <c r="J766" s="5">
        <v>1056</v>
      </c>
      <c r="K766" s="5">
        <v>4</v>
      </c>
      <c r="L766" s="5" t="s">
        <v>46</v>
      </c>
      <c r="M766" s="5">
        <v>74</v>
      </c>
      <c r="N766" s="5">
        <v>3</v>
      </c>
      <c r="O766" s="5">
        <v>1</v>
      </c>
      <c r="P766" s="5" t="s">
        <v>57</v>
      </c>
      <c r="Q766" s="5">
        <v>2</v>
      </c>
      <c r="R766" s="5" t="s">
        <v>48</v>
      </c>
      <c r="S766" s="5">
        <v>1052</v>
      </c>
      <c r="T766" s="5">
        <v>23384</v>
      </c>
      <c r="U766" s="5">
        <v>1</v>
      </c>
      <c r="V766" s="5" t="s">
        <v>42</v>
      </c>
      <c r="W766" s="5" t="s">
        <v>43</v>
      </c>
      <c r="X766" s="5">
        <v>22</v>
      </c>
      <c r="Y766" s="5">
        <v>4</v>
      </c>
      <c r="Z766" s="5">
        <v>2</v>
      </c>
      <c r="AA766" s="5">
        <v>80</v>
      </c>
      <c r="AB766" s="5">
        <v>0</v>
      </c>
      <c r="AC766" s="5">
        <v>1</v>
      </c>
      <c r="AD766" s="5">
        <v>5</v>
      </c>
      <c r="AE766" s="5">
        <v>3</v>
      </c>
      <c r="AF766" s="5">
        <v>1</v>
      </c>
      <c r="AG766" s="5">
        <v>0</v>
      </c>
      <c r="AH766" s="5">
        <v>0</v>
      </c>
      <c r="AI766" s="5">
        <v>0</v>
      </c>
    </row>
    <row r="767" spans="1:35" x14ac:dyDescent="0.25">
      <c r="A767" s="5">
        <v>38</v>
      </c>
      <c r="B767" s="5" t="s">
        <v>43</v>
      </c>
      <c r="C767" s="5" t="s">
        <v>44</v>
      </c>
      <c r="D767" s="5">
        <v>1186</v>
      </c>
      <c r="E767" s="5" t="s">
        <v>45</v>
      </c>
      <c r="F767" s="5">
        <v>3</v>
      </c>
      <c r="G767" s="5">
        <v>4</v>
      </c>
      <c r="H767" s="5" t="s">
        <v>49</v>
      </c>
      <c r="I767" s="5">
        <v>1</v>
      </c>
      <c r="J767" s="5">
        <v>1060</v>
      </c>
      <c r="K767" s="5">
        <v>3</v>
      </c>
      <c r="L767" s="5" t="s">
        <v>46</v>
      </c>
      <c r="M767" s="5">
        <v>44</v>
      </c>
      <c r="N767" s="5">
        <v>3</v>
      </c>
      <c r="O767" s="5">
        <v>1</v>
      </c>
      <c r="P767" s="5" t="s">
        <v>47</v>
      </c>
      <c r="Q767" s="5">
        <v>3</v>
      </c>
      <c r="R767" s="5" t="s">
        <v>48</v>
      </c>
      <c r="S767" s="5">
        <v>2821</v>
      </c>
      <c r="T767" s="5">
        <v>2997</v>
      </c>
      <c r="U767" s="5">
        <v>3</v>
      </c>
      <c r="V767" s="5" t="s">
        <v>42</v>
      </c>
      <c r="W767" s="5" t="s">
        <v>43</v>
      </c>
      <c r="X767" s="5">
        <v>16</v>
      </c>
      <c r="Y767" s="5">
        <v>3</v>
      </c>
      <c r="Z767" s="5">
        <v>1</v>
      </c>
      <c r="AA767" s="5">
        <v>80</v>
      </c>
      <c r="AB767" s="5">
        <v>1</v>
      </c>
      <c r="AC767" s="5">
        <v>8</v>
      </c>
      <c r="AD767" s="5">
        <v>2</v>
      </c>
      <c r="AE767" s="5">
        <v>3</v>
      </c>
      <c r="AF767" s="5">
        <v>2</v>
      </c>
      <c r="AG767" s="5">
        <v>2</v>
      </c>
      <c r="AH767" s="5">
        <v>2</v>
      </c>
      <c r="AI767" s="5">
        <v>2</v>
      </c>
    </row>
    <row r="768" spans="1:35" x14ac:dyDescent="0.25">
      <c r="A768" s="5">
        <v>50</v>
      </c>
      <c r="B768" s="5" t="s">
        <v>43</v>
      </c>
      <c r="C768" s="5" t="s">
        <v>36</v>
      </c>
      <c r="D768" s="5">
        <v>1464</v>
      </c>
      <c r="E768" s="5" t="s">
        <v>45</v>
      </c>
      <c r="F768" s="5">
        <v>2</v>
      </c>
      <c r="G768" s="5">
        <v>4</v>
      </c>
      <c r="H768" s="5" t="s">
        <v>51</v>
      </c>
      <c r="I768" s="5">
        <v>1</v>
      </c>
      <c r="J768" s="5">
        <v>1061</v>
      </c>
      <c r="K768" s="5">
        <v>2</v>
      </c>
      <c r="L768" s="5" t="s">
        <v>46</v>
      </c>
      <c r="M768" s="5">
        <v>62</v>
      </c>
      <c r="N768" s="5">
        <v>3</v>
      </c>
      <c r="O768" s="5">
        <v>5</v>
      </c>
      <c r="P768" s="5" t="s">
        <v>58</v>
      </c>
      <c r="Q768" s="5">
        <v>3</v>
      </c>
      <c r="R768" s="5" t="s">
        <v>48</v>
      </c>
      <c r="S768" s="5">
        <v>19237</v>
      </c>
      <c r="T768" s="5">
        <v>12853</v>
      </c>
      <c r="U768" s="5">
        <v>2</v>
      </c>
      <c r="V768" s="5" t="s">
        <v>42</v>
      </c>
      <c r="W768" s="5" t="s">
        <v>35</v>
      </c>
      <c r="X768" s="5">
        <v>11</v>
      </c>
      <c r="Y768" s="5">
        <v>3</v>
      </c>
      <c r="Z768" s="5">
        <v>4</v>
      </c>
      <c r="AA768" s="5">
        <v>80</v>
      </c>
      <c r="AB768" s="5">
        <v>1</v>
      </c>
      <c r="AC768" s="5">
        <v>29</v>
      </c>
      <c r="AD768" s="5">
        <v>2</v>
      </c>
      <c r="AE768" s="5">
        <v>2</v>
      </c>
      <c r="AF768" s="5">
        <v>8</v>
      </c>
      <c r="AG768" s="5">
        <v>1</v>
      </c>
      <c r="AH768" s="5">
        <v>7</v>
      </c>
      <c r="AI768" s="5">
        <v>7</v>
      </c>
    </row>
    <row r="769" spans="1:35" x14ac:dyDescent="0.25">
      <c r="A769" s="5">
        <v>37</v>
      </c>
      <c r="B769" s="5" t="s">
        <v>43</v>
      </c>
      <c r="C769" s="5" t="s">
        <v>36</v>
      </c>
      <c r="D769" s="5">
        <v>124</v>
      </c>
      <c r="E769" s="5" t="s">
        <v>45</v>
      </c>
      <c r="F769" s="5">
        <v>3</v>
      </c>
      <c r="G769" s="5">
        <v>3</v>
      </c>
      <c r="H769" s="5" t="s">
        <v>49</v>
      </c>
      <c r="I769" s="5">
        <v>1</v>
      </c>
      <c r="J769" s="5">
        <v>1062</v>
      </c>
      <c r="K769" s="5">
        <v>4</v>
      </c>
      <c r="L769" s="5" t="s">
        <v>39</v>
      </c>
      <c r="M769" s="5">
        <v>35</v>
      </c>
      <c r="N769" s="5">
        <v>3</v>
      </c>
      <c r="O769" s="5">
        <v>2</v>
      </c>
      <c r="P769" s="5" t="s">
        <v>54</v>
      </c>
      <c r="Q769" s="5">
        <v>2</v>
      </c>
      <c r="R769" s="5" t="s">
        <v>41</v>
      </c>
      <c r="S769" s="5">
        <v>4107</v>
      </c>
      <c r="T769" s="5">
        <v>13848</v>
      </c>
      <c r="U769" s="5">
        <v>3</v>
      </c>
      <c r="V769" s="5" t="s">
        <v>42</v>
      </c>
      <c r="W769" s="5" t="s">
        <v>43</v>
      </c>
      <c r="X769" s="5">
        <v>15</v>
      </c>
      <c r="Y769" s="5">
        <v>3</v>
      </c>
      <c r="Z769" s="5">
        <v>1</v>
      </c>
      <c r="AA769" s="5">
        <v>80</v>
      </c>
      <c r="AB769" s="5">
        <v>0</v>
      </c>
      <c r="AC769" s="5">
        <v>8</v>
      </c>
      <c r="AD769" s="5">
        <v>3</v>
      </c>
      <c r="AE769" s="5">
        <v>2</v>
      </c>
      <c r="AF769" s="5">
        <v>4</v>
      </c>
      <c r="AG769" s="5">
        <v>3</v>
      </c>
      <c r="AH769" s="5">
        <v>0</v>
      </c>
      <c r="AI769" s="5">
        <v>1</v>
      </c>
    </row>
    <row r="770" spans="1:35" x14ac:dyDescent="0.25">
      <c r="A770" s="5">
        <v>40</v>
      </c>
      <c r="B770" s="5" t="s">
        <v>43</v>
      </c>
      <c r="C770" s="5" t="s">
        <v>36</v>
      </c>
      <c r="D770" s="5">
        <v>300</v>
      </c>
      <c r="E770" s="5" t="s">
        <v>37</v>
      </c>
      <c r="F770" s="5">
        <v>26</v>
      </c>
      <c r="G770" s="5">
        <v>3</v>
      </c>
      <c r="H770" s="5" t="s">
        <v>59</v>
      </c>
      <c r="I770" s="5">
        <v>1</v>
      </c>
      <c r="J770" s="5">
        <v>1066</v>
      </c>
      <c r="K770" s="5">
        <v>3</v>
      </c>
      <c r="L770" s="5" t="s">
        <v>46</v>
      </c>
      <c r="M770" s="5">
        <v>74</v>
      </c>
      <c r="N770" s="5">
        <v>3</v>
      </c>
      <c r="O770" s="5">
        <v>2</v>
      </c>
      <c r="P770" s="5" t="s">
        <v>40</v>
      </c>
      <c r="Q770" s="5">
        <v>1</v>
      </c>
      <c r="R770" s="5" t="s">
        <v>48</v>
      </c>
      <c r="S770" s="5">
        <v>8396</v>
      </c>
      <c r="T770" s="5">
        <v>22217</v>
      </c>
      <c r="U770" s="5">
        <v>1</v>
      </c>
      <c r="V770" s="5" t="s">
        <v>42</v>
      </c>
      <c r="W770" s="5" t="s">
        <v>43</v>
      </c>
      <c r="X770" s="5">
        <v>14</v>
      </c>
      <c r="Y770" s="5">
        <v>3</v>
      </c>
      <c r="Z770" s="5">
        <v>2</v>
      </c>
      <c r="AA770" s="5">
        <v>80</v>
      </c>
      <c r="AB770" s="5">
        <v>1</v>
      </c>
      <c r="AC770" s="5">
        <v>8</v>
      </c>
      <c r="AD770" s="5">
        <v>3</v>
      </c>
      <c r="AE770" s="5">
        <v>2</v>
      </c>
      <c r="AF770" s="5">
        <v>7</v>
      </c>
      <c r="AG770" s="5">
        <v>7</v>
      </c>
      <c r="AH770" s="5">
        <v>7</v>
      </c>
      <c r="AI770" s="5">
        <v>5</v>
      </c>
    </row>
    <row r="771" spans="1:35" x14ac:dyDescent="0.25">
      <c r="A771" s="5">
        <v>26</v>
      </c>
      <c r="B771" s="5" t="s">
        <v>43</v>
      </c>
      <c r="C771" s="5" t="s">
        <v>44</v>
      </c>
      <c r="D771" s="5">
        <v>921</v>
      </c>
      <c r="E771" s="5" t="s">
        <v>45</v>
      </c>
      <c r="F771" s="5">
        <v>1</v>
      </c>
      <c r="G771" s="5">
        <v>1</v>
      </c>
      <c r="H771" s="5" t="s">
        <v>51</v>
      </c>
      <c r="I771" s="5">
        <v>1</v>
      </c>
      <c r="J771" s="5">
        <v>1068</v>
      </c>
      <c r="K771" s="5">
        <v>1</v>
      </c>
      <c r="L771" s="5" t="s">
        <v>39</v>
      </c>
      <c r="M771" s="5">
        <v>66</v>
      </c>
      <c r="N771" s="5">
        <v>2</v>
      </c>
      <c r="O771" s="5">
        <v>1</v>
      </c>
      <c r="P771" s="5" t="s">
        <v>47</v>
      </c>
      <c r="Q771" s="5">
        <v>3</v>
      </c>
      <c r="R771" s="5" t="s">
        <v>52</v>
      </c>
      <c r="S771" s="5">
        <v>2007</v>
      </c>
      <c r="T771" s="5">
        <v>25265</v>
      </c>
      <c r="U771" s="5">
        <v>1</v>
      </c>
      <c r="V771" s="5" t="s">
        <v>42</v>
      </c>
      <c r="W771" s="5" t="s">
        <v>43</v>
      </c>
      <c r="X771" s="5">
        <v>13</v>
      </c>
      <c r="Y771" s="5">
        <v>3</v>
      </c>
      <c r="Z771" s="5">
        <v>3</v>
      </c>
      <c r="AA771" s="5">
        <v>80</v>
      </c>
      <c r="AB771" s="5">
        <v>2</v>
      </c>
      <c r="AC771" s="5">
        <v>5</v>
      </c>
      <c r="AD771" s="5">
        <v>5</v>
      </c>
      <c r="AE771" s="5">
        <v>3</v>
      </c>
      <c r="AF771" s="5">
        <v>5</v>
      </c>
      <c r="AG771" s="5">
        <v>3</v>
      </c>
      <c r="AH771" s="5">
        <v>1</v>
      </c>
      <c r="AI771" s="5">
        <v>3</v>
      </c>
    </row>
    <row r="772" spans="1:35" x14ac:dyDescent="0.25">
      <c r="A772" s="5">
        <v>46</v>
      </c>
      <c r="B772" s="5" t="s">
        <v>43</v>
      </c>
      <c r="C772" s="5" t="s">
        <v>36</v>
      </c>
      <c r="D772" s="5">
        <v>430</v>
      </c>
      <c r="E772" s="5" t="s">
        <v>45</v>
      </c>
      <c r="F772" s="5">
        <v>1</v>
      </c>
      <c r="G772" s="5">
        <v>4</v>
      </c>
      <c r="H772" s="5" t="s">
        <v>51</v>
      </c>
      <c r="I772" s="5">
        <v>1</v>
      </c>
      <c r="J772" s="5">
        <v>1069</v>
      </c>
      <c r="K772" s="5">
        <v>4</v>
      </c>
      <c r="L772" s="5" t="s">
        <v>46</v>
      </c>
      <c r="M772" s="5">
        <v>40</v>
      </c>
      <c r="N772" s="5">
        <v>3</v>
      </c>
      <c r="O772" s="5">
        <v>5</v>
      </c>
      <c r="P772" s="5" t="s">
        <v>58</v>
      </c>
      <c r="Q772" s="5">
        <v>4</v>
      </c>
      <c r="R772" s="5" t="s">
        <v>52</v>
      </c>
      <c r="S772" s="5">
        <v>19627</v>
      </c>
      <c r="T772" s="5">
        <v>21445</v>
      </c>
      <c r="U772" s="5">
        <v>9</v>
      </c>
      <c r="V772" s="5" t="s">
        <v>42</v>
      </c>
      <c r="W772" s="5" t="s">
        <v>43</v>
      </c>
      <c r="X772" s="5">
        <v>17</v>
      </c>
      <c r="Y772" s="5">
        <v>3</v>
      </c>
      <c r="Z772" s="5">
        <v>4</v>
      </c>
      <c r="AA772" s="5">
        <v>80</v>
      </c>
      <c r="AB772" s="5">
        <v>2</v>
      </c>
      <c r="AC772" s="5">
        <v>23</v>
      </c>
      <c r="AD772" s="5">
        <v>0</v>
      </c>
      <c r="AE772" s="5">
        <v>3</v>
      </c>
      <c r="AF772" s="5">
        <v>2</v>
      </c>
      <c r="AG772" s="5">
        <v>2</v>
      </c>
      <c r="AH772" s="5">
        <v>2</v>
      </c>
      <c r="AI772" s="5">
        <v>2</v>
      </c>
    </row>
    <row r="773" spans="1:35" x14ac:dyDescent="0.25">
      <c r="A773" s="5">
        <v>54</v>
      </c>
      <c r="B773" s="5" t="s">
        <v>43</v>
      </c>
      <c r="C773" s="5" t="s">
        <v>36</v>
      </c>
      <c r="D773" s="5">
        <v>1082</v>
      </c>
      <c r="E773" s="5" t="s">
        <v>37</v>
      </c>
      <c r="F773" s="5">
        <v>2</v>
      </c>
      <c r="G773" s="5">
        <v>4</v>
      </c>
      <c r="H773" s="5" t="s">
        <v>38</v>
      </c>
      <c r="I773" s="5">
        <v>1</v>
      </c>
      <c r="J773" s="5">
        <v>1070</v>
      </c>
      <c r="K773" s="5">
        <v>3</v>
      </c>
      <c r="L773" s="5" t="s">
        <v>39</v>
      </c>
      <c r="M773" s="5">
        <v>41</v>
      </c>
      <c r="N773" s="5">
        <v>2</v>
      </c>
      <c r="O773" s="5">
        <v>3</v>
      </c>
      <c r="P773" s="5" t="s">
        <v>40</v>
      </c>
      <c r="Q773" s="5">
        <v>3</v>
      </c>
      <c r="R773" s="5" t="s">
        <v>48</v>
      </c>
      <c r="S773" s="5">
        <v>10686</v>
      </c>
      <c r="T773" s="5">
        <v>8392</v>
      </c>
      <c r="U773" s="5">
        <v>6</v>
      </c>
      <c r="V773" s="5" t="s">
        <v>42</v>
      </c>
      <c r="W773" s="5" t="s">
        <v>43</v>
      </c>
      <c r="X773" s="5">
        <v>11</v>
      </c>
      <c r="Y773" s="5">
        <v>3</v>
      </c>
      <c r="Z773" s="5">
        <v>2</v>
      </c>
      <c r="AA773" s="5">
        <v>80</v>
      </c>
      <c r="AB773" s="5">
        <v>1</v>
      </c>
      <c r="AC773" s="5">
        <v>13</v>
      </c>
      <c r="AD773" s="5">
        <v>4</v>
      </c>
      <c r="AE773" s="5">
        <v>3</v>
      </c>
      <c r="AF773" s="5">
        <v>9</v>
      </c>
      <c r="AG773" s="5">
        <v>4</v>
      </c>
      <c r="AH773" s="5">
        <v>7</v>
      </c>
      <c r="AI773" s="5">
        <v>0</v>
      </c>
    </row>
    <row r="774" spans="1:35" x14ac:dyDescent="0.25">
      <c r="A774" s="5">
        <v>56</v>
      </c>
      <c r="B774" s="5" t="s">
        <v>43</v>
      </c>
      <c r="C774" s="5" t="s">
        <v>44</v>
      </c>
      <c r="D774" s="5">
        <v>1240</v>
      </c>
      <c r="E774" s="5" t="s">
        <v>45</v>
      </c>
      <c r="F774" s="5">
        <v>9</v>
      </c>
      <c r="G774" s="5">
        <v>3</v>
      </c>
      <c r="H774" s="5" t="s">
        <v>51</v>
      </c>
      <c r="I774" s="5">
        <v>1</v>
      </c>
      <c r="J774" s="5">
        <v>1071</v>
      </c>
      <c r="K774" s="5">
        <v>1</v>
      </c>
      <c r="L774" s="5" t="s">
        <v>39</v>
      </c>
      <c r="M774" s="5">
        <v>63</v>
      </c>
      <c r="N774" s="5">
        <v>3</v>
      </c>
      <c r="O774" s="5">
        <v>1</v>
      </c>
      <c r="P774" s="5" t="s">
        <v>47</v>
      </c>
      <c r="Q774" s="5">
        <v>3</v>
      </c>
      <c r="R774" s="5" t="s">
        <v>48</v>
      </c>
      <c r="S774" s="5">
        <v>2942</v>
      </c>
      <c r="T774" s="5">
        <v>12154</v>
      </c>
      <c r="U774" s="5">
        <v>2</v>
      </c>
      <c r="V774" s="5" t="s">
        <v>42</v>
      </c>
      <c r="W774" s="5" t="s">
        <v>43</v>
      </c>
      <c r="X774" s="5">
        <v>19</v>
      </c>
      <c r="Y774" s="5">
        <v>3</v>
      </c>
      <c r="Z774" s="5">
        <v>2</v>
      </c>
      <c r="AA774" s="5">
        <v>80</v>
      </c>
      <c r="AB774" s="5">
        <v>1</v>
      </c>
      <c r="AC774" s="5">
        <v>18</v>
      </c>
      <c r="AD774" s="5">
        <v>4</v>
      </c>
      <c r="AE774" s="5">
        <v>3</v>
      </c>
      <c r="AF774" s="5">
        <v>5</v>
      </c>
      <c r="AG774" s="5">
        <v>4</v>
      </c>
      <c r="AH774" s="5">
        <v>0</v>
      </c>
      <c r="AI774" s="5">
        <v>3</v>
      </c>
    </row>
    <row r="775" spans="1:35" x14ac:dyDescent="0.25">
      <c r="A775" s="5">
        <v>36</v>
      </c>
      <c r="B775" s="5" t="s">
        <v>43</v>
      </c>
      <c r="C775" s="5" t="s">
        <v>36</v>
      </c>
      <c r="D775" s="5">
        <v>796</v>
      </c>
      <c r="E775" s="5" t="s">
        <v>45</v>
      </c>
      <c r="F775" s="5">
        <v>12</v>
      </c>
      <c r="G775" s="5">
        <v>5</v>
      </c>
      <c r="H775" s="5" t="s">
        <v>51</v>
      </c>
      <c r="I775" s="5">
        <v>1</v>
      </c>
      <c r="J775" s="5">
        <v>1073</v>
      </c>
      <c r="K775" s="5">
        <v>4</v>
      </c>
      <c r="L775" s="5" t="s">
        <v>39</v>
      </c>
      <c r="M775" s="5">
        <v>51</v>
      </c>
      <c r="N775" s="5">
        <v>2</v>
      </c>
      <c r="O775" s="5">
        <v>3</v>
      </c>
      <c r="P775" s="5" t="s">
        <v>53</v>
      </c>
      <c r="Q775" s="5">
        <v>4</v>
      </c>
      <c r="R775" s="5" t="s">
        <v>41</v>
      </c>
      <c r="S775" s="5">
        <v>8858</v>
      </c>
      <c r="T775" s="5">
        <v>15669</v>
      </c>
      <c r="U775" s="5">
        <v>0</v>
      </c>
      <c r="V775" s="5" t="s">
        <v>42</v>
      </c>
      <c r="W775" s="5" t="s">
        <v>43</v>
      </c>
      <c r="X775" s="5">
        <v>11</v>
      </c>
      <c r="Y775" s="5">
        <v>3</v>
      </c>
      <c r="Z775" s="5">
        <v>2</v>
      </c>
      <c r="AA775" s="5">
        <v>80</v>
      </c>
      <c r="AB775" s="5">
        <v>0</v>
      </c>
      <c r="AC775" s="5">
        <v>15</v>
      </c>
      <c r="AD775" s="5">
        <v>2</v>
      </c>
      <c r="AE775" s="5">
        <v>2</v>
      </c>
      <c r="AF775" s="5">
        <v>14</v>
      </c>
      <c r="AG775" s="5">
        <v>8</v>
      </c>
      <c r="AH775" s="5">
        <v>7</v>
      </c>
      <c r="AI775" s="5">
        <v>8</v>
      </c>
    </row>
    <row r="776" spans="1:35" x14ac:dyDescent="0.25">
      <c r="A776" s="5">
        <v>55</v>
      </c>
      <c r="B776" s="5" t="s">
        <v>43</v>
      </c>
      <c r="C776" s="5" t="s">
        <v>55</v>
      </c>
      <c r="D776" s="5">
        <v>444</v>
      </c>
      <c r="E776" s="5" t="s">
        <v>45</v>
      </c>
      <c r="F776" s="5">
        <v>2</v>
      </c>
      <c r="G776" s="5">
        <v>1</v>
      </c>
      <c r="H776" s="5" t="s">
        <v>51</v>
      </c>
      <c r="I776" s="5">
        <v>1</v>
      </c>
      <c r="J776" s="5">
        <v>1074</v>
      </c>
      <c r="K776" s="5">
        <v>3</v>
      </c>
      <c r="L776" s="5" t="s">
        <v>46</v>
      </c>
      <c r="M776" s="5">
        <v>40</v>
      </c>
      <c r="N776" s="5">
        <v>2</v>
      </c>
      <c r="O776" s="5">
        <v>4</v>
      </c>
      <c r="P776" s="5" t="s">
        <v>56</v>
      </c>
      <c r="Q776" s="5">
        <v>1</v>
      </c>
      <c r="R776" s="5" t="s">
        <v>41</v>
      </c>
      <c r="S776" s="5">
        <v>16756</v>
      </c>
      <c r="T776" s="5">
        <v>17323</v>
      </c>
      <c r="U776" s="5">
        <v>7</v>
      </c>
      <c r="V776" s="5" t="s">
        <v>42</v>
      </c>
      <c r="W776" s="5" t="s">
        <v>43</v>
      </c>
      <c r="X776" s="5">
        <v>15</v>
      </c>
      <c r="Y776" s="5">
        <v>3</v>
      </c>
      <c r="Z776" s="5">
        <v>2</v>
      </c>
      <c r="AA776" s="5">
        <v>80</v>
      </c>
      <c r="AB776" s="5">
        <v>0</v>
      </c>
      <c r="AC776" s="5">
        <v>31</v>
      </c>
      <c r="AD776" s="5">
        <v>3</v>
      </c>
      <c r="AE776" s="5">
        <v>4</v>
      </c>
      <c r="AF776" s="5">
        <v>9</v>
      </c>
      <c r="AG776" s="5">
        <v>7</v>
      </c>
      <c r="AH776" s="5">
        <v>6</v>
      </c>
      <c r="AI776" s="5">
        <v>2</v>
      </c>
    </row>
    <row r="777" spans="1:35" x14ac:dyDescent="0.25">
      <c r="A777" s="5">
        <v>43</v>
      </c>
      <c r="B777" s="5" t="s">
        <v>43</v>
      </c>
      <c r="C777" s="5" t="s">
        <v>36</v>
      </c>
      <c r="D777" s="5">
        <v>415</v>
      </c>
      <c r="E777" s="5" t="s">
        <v>37</v>
      </c>
      <c r="F777" s="5">
        <v>25</v>
      </c>
      <c r="G777" s="5">
        <v>3</v>
      </c>
      <c r="H777" s="5" t="s">
        <v>51</v>
      </c>
      <c r="I777" s="5">
        <v>1</v>
      </c>
      <c r="J777" s="5">
        <v>1076</v>
      </c>
      <c r="K777" s="5">
        <v>3</v>
      </c>
      <c r="L777" s="5" t="s">
        <v>46</v>
      </c>
      <c r="M777" s="5">
        <v>79</v>
      </c>
      <c r="N777" s="5">
        <v>2</v>
      </c>
      <c r="O777" s="5">
        <v>3</v>
      </c>
      <c r="P777" s="5" t="s">
        <v>40</v>
      </c>
      <c r="Q777" s="5">
        <v>4</v>
      </c>
      <c r="R777" s="5" t="s">
        <v>52</v>
      </c>
      <c r="S777" s="5">
        <v>10798</v>
      </c>
      <c r="T777" s="5">
        <v>5268</v>
      </c>
      <c r="U777" s="5">
        <v>5</v>
      </c>
      <c r="V777" s="5" t="s">
        <v>42</v>
      </c>
      <c r="W777" s="5" t="s">
        <v>43</v>
      </c>
      <c r="X777" s="5">
        <v>13</v>
      </c>
      <c r="Y777" s="5">
        <v>3</v>
      </c>
      <c r="Z777" s="5">
        <v>3</v>
      </c>
      <c r="AA777" s="5">
        <v>80</v>
      </c>
      <c r="AB777" s="5">
        <v>1</v>
      </c>
      <c r="AC777" s="5">
        <v>18</v>
      </c>
      <c r="AD777" s="5">
        <v>5</v>
      </c>
      <c r="AE777" s="5">
        <v>3</v>
      </c>
      <c r="AF777" s="5">
        <v>1</v>
      </c>
      <c r="AG777" s="5">
        <v>0</v>
      </c>
      <c r="AH777" s="5">
        <v>0</v>
      </c>
      <c r="AI777" s="5">
        <v>0</v>
      </c>
    </row>
    <row r="778" spans="1:35" x14ac:dyDescent="0.25">
      <c r="A778" s="5">
        <v>20</v>
      </c>
      <c r="B778" s="5" t="s">
        <v>35</v>
      </c>
      <c r="C778" s="5" t="s">
        <v>44</v>
      </c>
      <c r="D778" s="5">
        <v>769</v>
      </c>
      <c r="E778" s="5" t="s">
        <v>37</v>
      </c>
      <c r="F778" s="5">
        <v>9</v>
      </c>
      <c r="G778" s="5">
        <v>3</v>
      </c>
      <c r="H778" s="5" t="s">
        <v>59</v>
      </c>
      <c r="I778" s="5">
        <v>1</v>
      </c>
      <c r="J778" s="5">
        <v>1077</v>
      </c>
      <c r="K778" s="5">
        <v>4</v>
      </c>
      <c r="L778" s="5" t="s">
        <v>39</v>
      </c>
      <c r="M778" s="5">
        <v>54</v>
      </c>
      <c r="N778" s="5">
        <v>3</v>
      </c>
      <c r="O778" s="5">
        <v>1</v>
      </c>
      <c r="P778" s="5" t="s">
        <v>57</v>
      </c>
      <c r="Q778" s="5">
        <v>4</v>
      </c>
      <c r="R778" s="5" t="s">
        <v>41</v>
      </c>
      <c r="S778" s="5">
        <v>2323</v>
      </c>
      <c r="T778" s="5">
        <v>17205</v>
      </c>
      <c r="U778" s="5">
        <v>1</v>
      </c>
      <c r="V778" s="5" t="s">
        <v>42</v>
      </c>
      <c r="W778" s="5" t="s">
        <v>35</v>
      </c>
      <c r="X778" s="5">
        <v>14</v>
      </c>
      <c r="Y778" s="5">
        <v>3</v>
      </c>
      <c r="Z778" s="5">
        <v>2</v>
      </c>
      <c r="AA778" s="5">
        <v>80</v>
      </c>
      <c r="AB778" s="5">
        <v>0</v>
      </c>
      <c r="AC778" s="5">
        <v>2</v>
      </c>
      <c r="AD778" s="5">
        <v>3</v>
      </c>
      <c r="AE778" s="5">
        <v>3</v>
      </c>
      <c r="AF778" s="5">
        <v>2</v>
      </c>
      <c r="AG778" s="5">
        <v>2</v>
      </c>
      <c r="AH778" s="5">
        <v>0</v>
      </c>
      <c r="AI778" s="5">
        <v>2</v>
      </c>
    </row>
    <row r="779" spans="1:35" x14ac:dyDescent="0.25">
      <c r="A779" s="5">
        <v>21</v>
      </c>
      <c r="B779" s="5" t="s">
        <v>35</v>
      </c>
      <c r="C779" s="5" t="s">
        <v>36</v>
      </c>
      <c r="D779" s="5">
        <v>1334</v>
      </c>
      <c r="E779" s="5" t="s">
        <v>45</v>
      </c>
      <c r="F779" s="5">
        <v>10</v>
      </c>
      <c r="G779" s="5">
        <v>3</v>
      </c>
      <c r="H779" s="5" t="s">
        <v>38</v>
      </c>
      <c r="I779" s="5">
        <v>1</v>
      </c>
      <c r="J779" s="5">
        <v>1079</v>
      </c>
      <c r="K779" s="5">
        <v>3</v>
      </c>
      <c r="L779" s="5" t="s">
        <v>39</v>
      </c>
      <c r="M779" s="5">
        <v>36</v>
      </c>
      <c r="N779" s="5">
        <v>2</v>
      </c>
      <c r="O779" s="5">
        <v>1</v>
      </c>
      <c r="P779" s="5" t="s">
        <v>50</v>
      </c>
      <c r="Q779" s="5">
        <v>1</v>
      </c>
      <c r="R779" s="5" t="s">
        <v>41</v>
      </c>
      <c r="S779" s="5">
        <v>1416</v>
      </c>
      <c r="T779" s="5">
        <v>17258</v>
      </c>
      <c r="U779" s="5">
        <v>1</v>
      </c>
      <c r="V779" s="5" t="s">
        <v>42</v>
      </c>
      <c r="W779" s="5" t="s">
        <v>43</v>
      </c>
      <c r="X779" s="5">
        <v>13</v>
      </c>
      <c r="Y779" s="5">
        <v>3</v>
      </c>
      <c r="Z779" s="5">
        <v>1</v>
      </c>
      <c r="AA779" s="5">
        <v>80</v>
      </c>
      <c r="AB779" s="5">
        <v>0</v>
      </c>
      <c r="AC779" s="5">
        <v>1</v>
      </c>
      <c r="AD779" s="5">
        <v>6</v>
      </c>
      <c r="AE779" s="5">
        <v>2</v>
      </c>
      <c r="AF779" s="5">
        <v>1</v>
      </c>
      <c r="AG779" s="5">
        <v>0</v>
      </c>
      <c r="AH779" s="5">
        <v>1</v>
      </c>
      <c r="AI779" s="5">
        <v>0</v>
      </c>
    </row>
    <row r="780" spans="1:35" x14ac:dyDescent="0.25">
      <c r="A780" s="5">
        <v>46</v>
      </c>
      <c r="B780" s="5" t="s">
        <v>43</v>
      </c>
      <c r="C780" s="5" t="s">
        <v>36</v>
      </c>
      <c r="D780" s="5">
        <v>1003</v>
      </c>
      <c r="E780" s="5" t="s">
        <v>45</v>
      </c>
      <c r="F780" s="5">
        <v>8</v>
      </c>
      <c r="G780" s="5">
        <v>4</v>
      </c>
      <c r="H780" s="5" t="s">
        <v>38</v>
      </c>
      <c r="I780" s="5">
        <v>1</v>
      </c>
      <c r="J780" s="5">
        <v>1080</v>
      </c>
      <c r="K780" s="5">
        <v>4</v>
      </c>
      <c r="L780" s="5" t="s">
        <v>39</v>
      </c>
      <c r="M780" s="5">
        <v>74</v>
      </c>
      <c r="N780" s="5">
        <v>2</v>
      </c>
      <c r="O780" s="5">
        <v>2</v>
      </c>
      <c r="P780" s="5" t="s">
        <v>47</v>
      </c>
      <c r="Q780" s="5">
        <v>1</v>
      </c>
      <c r="R780" s="5" t="s">
        <v>52</v>
      </c>
      <c r="S780" s="5">
        <v>4615</v>
      </c>
      <c r="T780" s="5">
        <v>21029</v>
      </c>
      <c r="U780" s="5">
        <v>8</v>
      </c>
      <c r="V780" s="5" t="s">
        <v>42</v>
      </c>
      <c r="W780" s="5" t="s">
        <v>35</v>
      </c>
      <c r="X780" s="5">
        <v>23</v>
      </c>
      <c r="Y780" s="5">
        <v>4</v>
      </c>
      <c r="Z780" s="5">
        <v>1</v>
      </c>
      <c r="AA780" s="5">
        <v>80</v>
      </c>
      <c r="AB780" s="5">
        <v>3</v>
      </c>
      <c r="AC780" s="5">
        <v>19</v>
      </c>
      <c r="AD780" s="5">
        <v>2</v>
      </c>
      <c r="AE780" s="5">
        <v>3</v>
      </c>
      <c r="AF780" s="5">
        <v>16</v>
      </c>
      <c r="AG780" s="5">
        <v>13</v>
      </c>
      <c r="AH780" s="5">
        <v>1</v>
      </c>
      <c r="AI780" s="5">
        <v>7</v>
      </c>
    </row>
    <row r="781" spans="1:35" x14ac:dyDescent="0.25">
      <c r="A781" s="5">
        <v>51</v>
      </c>
      <c r="B781" s="5" t="s">
        <v>35</v>
      </c>
      <c r="C781" s="5" t="s">
        <v>36</v>
      </c>
      <c r="D781" s="5">
        <v>1323</v>
      </c>
      <c r="E781" s="5" t="s">
        <v>45</v>
      </c>
      <c r="F781" s="5">
        <v>4</v>
      </c>
      <c r="G781" s="5">
        <v>4</v>
      </c>
      <c r="H781" s="5" t="s">
        <v>38</v>
      </c>
      <c r="I781" s="5">
        <v>1</v>
      </c>
      <c r="J781" s="5">
        <v>1081</v>
      </c>
      <c r="K781" s="5">
        <v>1</v>
      </c>
      <c r="L781" s="5" t="s">
        <v>46</v>
      </c>
      <c r="M781" s="5">
        <v>34</v>
      </c>
      <c r="N781" s="5">
        <v>3</v>
      </c>
      <c r="O781" s="5">
        <v>1</v>
      </c>
      <c r="P781" s="5" t="s">
        <v>47</v>
      </c>
      <c r="Q781" s="5">
        <v>3</v>
      </c>
      <c r="R781" s="5" t="s">
        <v>48</v>
      </c>
      <c r="S781" s="5">
        <v>2461</v>
      </c>
      <c r="T781" s="5">
        <v>10332</v>
      </c>
      <c r="U781" s="5">
        <v>9</v>
      </c>
      <c r="V781" s="5" t="s">
        <v>42</v>
      </c>
      <c r="W781" s="5" t="s">
        <v>35</v>
      </c>
      <c r="X781" s="5">
        <v>12</v>
      </c>
      <c r="Y781" s="5">
        <v>3</v>
      </c>
      <c r="Z781" s="5">
        <v>3</v>
      </c>
      <c r="AA781" s="5">
        <v>80</v>
      </c>
      <c r="AB781" s="5">
        <v>3</v>
      </c>
      <c r="AC781" s="5">
        <v>18</v>
      </c>
      <c r="AD781" s="5">
        <v>2</v>
      </c>
      <c r="AE781" s="5">
        <v>4</v>
      </c>
      <c r="AF781" s="5">
        <v>10</v>
      </c>
      <c r="AG781" s="5">
        <v>0</v>
      </c>
      <c r="AH781" s="5">
        <v>2</v>
      </c>
      <c r="AI781" s="5">
        <v>7</v>
      </c>
    </row>
    <row r="782" spans="1:35" x14ac:dyDescent="0.25">
      <c r="A782" s="5">
        <v>28</v>
      </c>
      <c r="B782" s="5" t="s">
        <v>35</v>
      </c>
      <c r="C782" s="5" t="s">
        <v>55</v>
      </c>
      <c r="D782" s="5">
        <v>1366</v>
      </c>
      <c r="E782" s="5" t="s">
        <v>45</v>
      </c>
      <c r="F782" s="5">
        <v>24</v>
      </c>
      <c r="G782" s="5">
        <v>2</v>
      </c>
      <c r="H782" s="5" t="s">
        <v>60</v>
      </c>
      <c r="I782" s="5">
        <v>1</v>
      </c>
      <c r="J782" s="5">
        <v>1082</v>
      </c>
      <c r="K782" s="5">
        <v>2</v>
      </c>
      <c r="L782" s="5" t="s">
        <v>46</v>
      </c>
      <c r="M782" s="5">
        <v>72</v>
      </c>
      <c r="N782" s="5">
        <v>2</v>
      </c>
      <c r="O782" s="5">
        <v>3</v>
      </c>
      <c r="P782" s="5" t="s">
        <v>54</v>
      </c>
      <c r="Q782" s="5">
        <v>1</v>
      </c>
      <c r="R782" s="5" t="s">
        <v>41</v>
      </c>
      <c r="S782" s="5">
        <v>8722</v>
      </c>
      <c r="T782" s="5">
        <v>12355</v>
      </c>
      <c r="U782" s="5">
        <v>1</v>
      </c>
      <c r="V782" s="5" t="s">
        <v>42</v>
      </c>
      <c r="W782" s="5" t="s">
        <v>43</v>
      </c>
      <c r="X782" s="5">
        <v>12</v>
      </c>
      <c r="Y782" s="5">
        <v>3</v>
      </c>
      <c r="Z782" s="5">
        <v>1</v>
      </c>
      <c r="AA782" s="5">
        <v>80</v>
      </c>
      <c r="AB782" s="5">
        <v>0</v>
      </c>
      <c r="AC782" s="5">
        <v>10</v>
      </c>
      <c r="AD782" s="5">
        <v>2</v>
      </c>
      <c r="AE782" s="5">
        <v>2</v>
      </c>
      <c r="AF782" s="5">
        <v>10</v>
      </c>
      <c r="AG782" s="5">
        <v>7</v>
      </c>
      <c r="AH782" s="5">
        <v>1</v>
      </c>
      <c r="AI782" s="5">
        <v>9</v>
      </c>
    </row>
    <row r="783" spans="1:35" x14ac:dyDescent="0.25">
      <c r="A783" s="5">
        <v>26</v>
      </c>
      <c r="B783" s="5" t="s">
        <v>43</v>
      </c>
      <c r="C783" s="5" t="s">
        <v>36</v>
      </c>
      <c r="D783" s="5">
        <v>192</v>
      </c>
      <c r="E783" s="5" t="s">
        <v>45</v>
      </c>
      <c r="F783" s="5">
        <v>1</v>
      </c>
      <c r="G783" s="5">
        <v>2</v>
      </c>
      <c r="H783" s="5" t="s">
        <v>51</v>
      </c>
      <c r="I783" s="5">
        <v>1</v>
      </c>
      <c r="J783" s="5">
        <v>1083</v>
      </c>
      <c r="K783" s="5">
        <v>1</v>
      </c>
      <c r="L783" s="5" t="s">
        <v>46</v>
      </c>
      <c r="M783" s="5">
        <v>59</v>
      </c>
      <c r="N783" s="5">
        <v>2</v>
      </c>
      <c r="O783" s="5">
        <v>1</v>
      </c>
      <c r="P783" s="5" t="s">
        <v>50</v>
      </c>
      <c r="Q783" s="5">
        <v>1</v>
      </c>
      <c r="R783" s="5" t="s">
        <v>48</v>
      </c>
      <c r="S783" s="5">
        <v>3955</v>
      </c>
      <c r="T783" s="5">
        <v>11141</v>
      </c>
      <c r="U783" s="5">
        <v>1</v>
      </c>
      <c r="V783" s="5" t="s">
        <v>42</v>
      </c>
      <c r="W783" s="5" t="s">
        <v>43</v>
      </c>
      <c r="X783" s="5">
        <v>16</v>
      </c>
      <c r="Y783" s="5">
        <v>3</v>
      </c>
      <c r="Z783" s="5">
        <v>1</v>
      </c>
      <c r="AA783" s="5">
        <v>80</v>
      </c>
      <c r="AB783" s="5">
        <v>2</v>
      </c>
      <c r="AC783" s="5">
        <v>6</v>
      </c>
      <c r="AD783" s="5">
        <v>2</v>
      </c>
      <c r="AE783" s="5">
        <v>3</v>
      </c>
      <c r="AF783" s="5">
        <v>5</v>
      </c>
      <c r="AG783" s="5">
        <v>3</v>
      </c>
      <c r="AH783" s="5">
        <v>1</v>
      </c>
      <c r="AI783" s="5">
        <v>3</v>
      </c>
    </row>
    <row r="784" spans="1:35" x14ac:dyDescent="0.25">
      <c r="A784" s="5">
        <v>30</v>
      </c>
      <c r="B784" s="5" t="s">
        <v>43</v>
      </c>
      <c r="C784" s="5" t="s">
        <v>36</v>
      </c>
      <c r="D784" s="5">
        <v>1176</v>
      </c>
      <c r="E784" s="5" t="s">
        <v>45</v>
      </c>
      <c r="F784" s="5">
        <v>20</v>
      </c>
      <c r="G784" s="5">
        <v>3</v>
      </c>
      <c r="H784" s="5" t="s">
        <v>49</v>
      </c>
      <c r="I784" s="5">
        <v>1</v>
      </c>
      <c r="J784" s="5">
        <v>1084</v>
      </c>
      <c r="K784" s="5">
        <v>3</v>
      </c>
      <c r="L784" s="5" t="s">
        <v>46</v>
      </c>
      <c r="M784" s="5">
        <v>85</v>
      </c>
      <c r="N784" s="5">
        <v>3</v>
      </c>
      <c r="O784" s="5">
        <v>2</v>
      </c>
      <c r="P784" s="5" t="s">
        <v>53</v>
      </c>
      <c r="Q784" s="5">
        <v>1</v>
      </c>
      <c r="R784" s="5" t="s">
        <v>48</v>
      </c>
      <c r="S784" s="5">
        <v>9957</v>
      </c>
      <c r="T784" s="5">
        <v>9096</v>
      </c>
      <c r="U784" s="5">
        <v>0</v>
      </c>
      <c r="V784" s="5" t="s">
        <v>42</v>
      </c>
      <c r="W784" s="5" t="s">
        <v>43</v>
      </c>
      <c r="X784" s="5">
        <v>15</v>
      </c>
      <c r="Y784" s="5">
        <v>3</v>
      </c>
      <c r="Z784" s="5">
        <v>3</v>
      </c>
      <c r="AA784" s="5">
        <v>80</v>
      </c>
      <c r="AB784" s="5">
        <v>1</v>
      </c>
      <c r="AC784" s="5">
        <v>7</v>
      </c>
      <c r="AD784" s="5">
        <v>1</v>
      </c>
      <c r="AE784" s="5">
        <v>2</v>
      </c>
      <c r="AF784" s="5">
        <v>6</v>
      </c>
      <c r="AG784" s="5">
        <v>2</v>
      </c>
      <c r="AH784" s="5">
        <v>0</v>
      </c>
      <c r="AI784" s="5">
        <v>2</v>
      </c>
    </row>
    <row r="785" spans="1:35" x14ac:dyDescent="0.25">
      <c r="A785" s="5">
        <v>41</v>
      </c>
      <c r="B785" s="5" t="s">
        <v>43</v>
      </c>
      <c r="C785" s="5" t="s">
        <v>36</v>
      </c>
      <c r="D785" s="5">
        <v>509</v>
      </c>
      <c r="E785" s="5" t="s">
        <v>45</v>
      </c>
      <c r="F785" s="5">
        <v>7</v>
      </c>
      <c r="G785" s="5">
        <v>2</v>
      </c>
      <c r="H785" s="5" t="s">
        <v>60</v>
      </c>
      <c r="I785" s="5">
        <v>1</v>
      </c>
      <c r="J785" s="5">
        <v>1085</v>
      </c>
      <c r="K785" s="5">
        <v>2</v>
      </c>
      <c r="L785" s="5" t="s">
        <v>39</v>
      </c>
      <c r="M785" s="5">
        <v>43</v>
      </c>
      <c r="N785" s="5">
        <v>4</v>
      </c>
      <c r="O785" s="5">
        <v>1</v>
      </c>
      <c r="P785" s="5" t="s">
        <v>47</v>
      </c>
      <c r="Q785" s="5">
        <v>3</v>
      </c>
      <c r="R785" s="5" t="s">
        <v>48</v>
      </c>
      <c r="S785" s="5">
        <v>3376</v>
      </c>
      <c r="T785" s="5">
        <v>18863</v>
      </c>
      <c r="U785" s="5">
        <v>1</v>
      </c>
      <c r="V785" s="5" t="s">
        <v>42</v>
      </c>
      <c r="W785" s="5" t="s">
        <v>43</v>
      </c>
      <c r="X785" s="5">
        <v>13</v>
      </c>
      <c r="Y785" s="5">
        <v>3</v>
      </c>
      <c r="Z785" s="5">
        <v>3</v>
      </c>
      <c r="AA785" s="5">
        <v>80</v>
      </c>
      <c r="AB785" s="5">
        <v>0</v>
      </c>
      <c r="AC785" s="5">
        <v>10</v>
      </c>
      <c r="AD785" s="5">
        <v>3</v>
      </c>
      <c r="AE785" s="5">
        <v>3</v>
      </c>
      <c r="AF785" s="5">
        <v>10</v>
      </c>
      <c r="AG785" s="5">
        <v>6</v>
      </c>
      <c r="AH785" s="5">
        <v>0</v>
      </c>
      <c r="AI785" s="5">
        <v>8</v>
      </c>
    </row>
    <row r="786" spans="1:35" x14ac:dyDescent="0.25">
      <c r="A786" s="5">
        <v>38</v>
      </c>
      <c r="B786" s="5" t="s">
        <v>43</v>
      </c>
      <c r="C786" s="5" t="s">
        <v>36</v>
      </c>
      <c r="D786" s="5">
        <v>330</v>
      </c>
      <c r="E786" s="5" t="s">
        <v>45</v>
      </c>
      <c r="F786" s="5">
        <v>17</v>
      </c>
      <c r="G786" s="5">
        <v>1</v>
      </c>
      <c r="H786" s="5" t="s">
        <v>38</v>
      </c>
      <c r="I786" s="5">
        <v>1</v>
      </c>
      <c r="J786" s="5">
        <v>1088</v>
      </c>
      <c r="K786" s="5">
        <v>3</v>
      </c>
      <c r="L786" s="5" t="s">
        <v>39</v>
      </c>
      <c r="M786" s="5">
        <v>65</v>
      </c>
      <c r="N786" s="5">
        <v>2</v>
      </c>
      <c r="O786" s="5">
        <v>3</v>
      </c>
      <c r="P786" s="5" t="s">
        <v>54</v>
      </c>
      <c r="Q786" s="5">
        <v>3</v>
      </c>
      <c r="R786" s="5" t="s">
        <v>48</v>
      </c>
      <c r="S786" s="5">
        <v>8823</v>
      </c>
      <c r="T786" s="5">
        <v>24608</v>
      </c>
      <c r="U786" s="5">
        <v>0</v>
      </c>
      <c r="V786" s="5" t="s">
        <v>42</v>
      </c>
      <c r="W786" s="5" t="s">
        <v>43</v>
      </c>
      <c r="X786" s="5">
        <v>18</v>
      </c>
      <c r="Y786" s="5">
        <v>3</v>
      </c>
      <c r="Z786" s="5">
        <v>1</v>
      </c>
      <c r="AA786" s="5">
        <v>80</v>
      </c>
      <c r="AB786" s="5">
        <v>1</v>
      </c>
      <c r="AC786" s="5">
        <v>20</v>
      </c>
      <c r="AD786" s="5">
        <v>4</v>
      </c>
      <c r="AE786" s="5">
        <v>2</v>
      </c>
      <c r="AF786" s="5">
        <v>19</v>
      </c>
      <c r="AG786" s="5">
        <v>9</v>
      </c>
      <c r="AH786" s="5">
        <v>1</v>
      </c>
      <c r="AI786" s="5">
        <v>9</v>
      </c>
    </row>
    <row r="787" spans="1:35" x14ac:dyDescent="0.25">
      <c r="A787" s="5">
        <v>40</v>
      </c>
      <c r="B787" s="5" t="s">
        <v>43</v>
      </c>
      <c r="C787" s="5" t="s">
        <v>36</v>
      </c>
      <c r="D787" s="5">
        <v>1492</v>
      </c>
      <c r="E787" s="5" t="s">
        <v>45</v>
      </c>
      <c r="F787" s="5">
        <v>20</v>
      </c>
      <c r="G787" s="5">
        <v>4</v>
      </c>
      <c r="H787" s="5" t="s">
        <v>60</v>
      </c>
      <c r="I787" s="5">
        <v>1</v>
      </c>
      <c r="J787" s="5">
        <v>1092</v>
      </c>
      <c r="K787" s="5">
        <v>1</v>
      </c>
      <c r="L787" s="5" t="s">
        <v>46</v>
      </c>
      <c r="M787" s="5">
        <v>61</v>
      </c>
      <c r="N787" s="5">
        <v>3</v>
      </c>
      <c r="O787" s="5">
        <v>3</v>
      </c>
      <c r="P787" s="5" t="s">
        <v>54</v>
      </c>
      <c r="Q787" s="5">
        <v>4</v>
      </c>
      <c r="R787" s="5" t="s">
        <v>48</v>
      </c>
      <c r="S787" s="5">
        <v>10322</v>
      </c>
      <c r="T787" s="5">
        <v>26542</v>
      </c>
      <c r="U787" s="5">
        <v>4</v>
      </c>
      <c r="V787" s="5" t="s">
        <v>42</v>
      </c>
      <c r="W787" s="5" t="s">
        <v>43</v>
      </c>
      <c r="X787" s="5">
        <v>20</v>
      </c>
      <c r="Y787" s="5">
        <v>4</v>
      </c>
      <c r="Z787" s="5">
        <v>4</v>
      </c>
      <c r="AA787" s="5">
        <v>80</v>
      </c>
      <c r="AB787" s="5">
        <v>1</v>
      </c>
      <c r="AC787" s="5">
        <v>14</v>
      </c>
      <c r="AD787" s="5">
        <v>6</v>
      </c>
      <c r="AE787" s="5">
        <v>3</v>
      </c>
      <c r="AF787" s="5">
        <v>11</v>
      </c>
      <c r="AG787" s="5">
        <v>10</v>
      </c>
      <c r="AH787" s="5">
        <v>11</v>
      </c>
      <c r="AI787" s="5">
        <v>1</v>
      </c>
    </row>
    <row r="788" spans="1:35" x14ac:dyDescent="0.25">
      <c r="A788" s="5">
        <v>27</v>
      </c>
      <c r="B788" s="5" t="s">
        <v>43</v>
      </c>
      <c r="C788" s="5" t="s">
        <v>55</v>
      </c>
      <c r="D788" s="5">
        <v>1277</v>
      </c>
      <c r="E788" s="5" t="s">
        <v>45</v>
      </c>
      <c r="F788" s="5">
        <v>8</v>
      </c>
      <c r="G788" s="5">
        <v>5</v>
      </c>
      <c r="H788" s="5" t="s">
        <v>38</v>
      </c>
      <c r="I788" s="5">
        <v>1</v>
      </c>
      <c r="J788" s="5">
        <v>1094</v>
      </c>
      <c r="K788" s="5">
        <v>1</v>
      </c>
      <c r="L788" s="5" t="s">
        <v>46</v>
      </c>
      <c r="M788" s="5">
        <v>87</v>
      </c>
      <c r="N788" s="5">
        <v>1</v>
      </c>
      <c r="O788" s="5">
        <v>1</v>
      </c>
      <c r="P788" s="5" t="s">
        <v>50</v>
      </c>
      <c r="Q788" s="5">
        <v>3</v>
      </c>
      <c r="R788" s="5" t="s">
        <v>48</v>
      </c>
      <c r="S788" s="5">
        <v>4621</v>
      </c>
      <c r="T788" s="5">
        <v>5869</v>
      </c>
      <c r="U788" s="5">
        <v>1</v>
      </c>
      <c r="V788" s="5" t="s">
        <v>42</v>
      </c>
      <c r="W788" s="5" t="s">
        <v>43</v>
      </c>
      <c r="X788" s="5">
        <v>19</v>
      </c>
      <c r="Y788" s="5">
        <v>3</v>
      </c>
      <c r="Z788" s="5">
        <v>4</v>
      </c>
      <c r="AA788" s="5">
        <v>80</v>
      </c>
      <c r="AB788" s="5">
        <v>3</v>
      </c>
      <c r="AC788" s="5">
        <v>3</v>
      </c>
      <c r="AD788" s="5">
        <v>4</v>
      </c>
      <c r="AE788" s="5">
        <v>3</v>
      </c>
      <c r="AF788" s="5">
        <v>3</v>
      </c>
      <c r="AG788" s="5">
        <v>2</v>
      </c>
      <c r="AH788" s="5">
        <v>1</v>
      </c>
      <c r="AI788" s="5">
        <v>2</v>
      </c>
    </row>
    <row r="789" spans="1:35" x14ac:dyDescent="0.25">
      <c r="A789" s="5">
        <v>55</v>
      </c>
      <c r="B789" s="5" t="s">
        <v>43</v>
      </c>
      <c r="C789" s="5" t="s">
        <v>44</v>
      </c>
      <c r="D789" s="5">
        <v>1091</v>
      </c>
      <c r="E789" s="5" t="s">
        <v>45</v>
      </c>
      <c r="F789" s="5">
        <v>2</v>
      </c>
      <c r="G789" s="5">
        <v>1</v>
      </c>
      <c r="H789" s="5" t="s">
        <v>38</v>
      </c>
      <c r="I789" s="5">
        <v>1</v>
      </c>
      <c r="J789" s="5">
        <v>1096</v>
      </c>
      <c r="K789" s="5">
        <v>4</v>
      </c>
      <c r="L789" s="5" t="s">
        <v>46</v>
      </c>
      <c r="M789" s="5">
        <v>65</v>
      </c>
      <c r="N789" s="5">
        <v>3</v>
      </c>
      <c r="O789" s="5">
        <v>3</v>
      </c>
      <c r="P789" s="5" t="s">
        <v>53</v>
      </c>
      <c r="Q789" s="5">
        <v>2</v>
      </c>
      <c r="R789" s="5" t="s">
        <v>48</v>
      </c>
      <c r="S789" s="5">
        <v>10976</v>
      </c>
      <c r="T789" s="5">
        <v>15813</v>
      </c>
      <c r="U789" s="5">
        <v>3</v>
      </c>
      <c r="V789" s="5" t="s">
        <v>42</v>
      </c>
      <c r="W789" s="5" t="s">
        <v>43</v>
      </c>
      <c r="X789" s="5">
        <v>18</v>
      </c>
      <c r="Y789" s="5">
        <v>3</v>
      </c>
      <c r="Z789" s="5">
        <v>2</v>
      </c>
      <c r="AA789" s="5">
        <v>80</v>
      </c>
      <c r="AB789" s="5">
        <v>1</v>
      </c>
      <c r="AC789" s="5">
        <v>23</v>
      </c>
      <c r="AD789" s="5">
        <v>4</v>
      </c>
      <c r="AE789" s="5">
        <v>3</v>
      </c>
      <c r="AF789" s="5">
        <v>3</v>
      </c>
      <c r="AG789" s="5">
        <v>2</v>
      </c>
      <c r="AH789" s="5">
        <v>1</v>
      </c>
      <c r="AI789" s="5">
        <v>2</v>
      </c>
    </row>
    <row r="790" spans="1:35" x14ac:dyDescent="0.25">
      <c r="A790" s="5">
        <v>28</v>
      </c>
      <c r="B790" s="5" t="s">
        <v>43</v>
      </c>
      <c r="C790" s="5" t="s">
        <v>36</v>
      </c>
      <c r="D790" s="5">
        <v>857</v>
      </c>
      <c r="E790" s="5" t="s">
        <v>45</v>
      </c>
      <c r="F790" s="5">
        <v>10</v>
      </c>
      <c r="G790" s="5">
        <v>3</v>
      </c>
      <c r="H790" s="5" t="s">
        <v>49</v>
      </c>
      <c r="I790" s="5">
        <v>1</v>
      </c>
      <c r="J790" s="5">
        <v>1097</v>
      </c>
      <c r="K790" s="5">
        <v>3</v>
      </c>
      <c r="L790" s="5" t="s">
        <v>39</v>
      </c>
      <c r="M790" s="5">
        <v>59</v>
      </c>
      <c r="N790" s="5">
        <v>3</v>
      </c>
      <c r="O790" s="5">
        <v>2</v>
      </c>
      <c r="P790" s="5" t="s">
        <v>47</v>
      </c>
      <c r="Q790" s="5">
        <v>3</v>
      </c>
      <c r="R790" s="5" t="s">
        <v>41</v>
      </c>
      <c r="S790" s="5">
        <v>3660</v>
      </c>
      <c r="T790" s="5">
        <v>7909</v>
      </c>
      <c r="U790" s="5">
        <v>3</v>
      </c>
      <c r="V790" s="5" t="s">
        <v>42</v>
      </c>
      <c r="W790" s="5" t="s">
        <v>43</v>
      </c>
      <c r="X790" s="5">
        <v>13</v>
      </c>
      <c r="Y790" s="5">
        <v>3</v>
      </c>
      <c r="Z790" s="5">
        <v>4</v>
      </c>
      <c r="AA790" s="5">
        <v>80</v>
      </c>
      <c r="AB790" s="5">
        <v>0</v>
      </c>
      <c r="AC790" s="5">
        <v>10</v>
      </c>
      <c r="AD790" s="5">
        <v>4</v>
      </c>
      <c r="AE790" s="5">
        <v>4</v>
      </c>
      <c r="AF790" s="5">
        <v>8</v>
      </c>
      <c r="AG790" s="5">
        <v>7</v>
      </c>
      <c r="AH790" s="5">
        <v>1</v>
      </c>
      <c r="AI790" s="5">
        <v>7</v>
      </c>
    </row>
    <row r="791" spans="1:35" x14ac:dyDescent="0.25">
      <c r="A791" s="5">
        <v>44</v>
      </c>
      <c r="B791" s="5" t="s">
        <v>35</v>
      </c>
      <c r="C791" s="5" t="s">
        <v>36</v>
      </c>
      <c r="D791" s="5">
        <v>1376</v>
      </c>
      <c r="E791" s="5" t="s">
        <v>61</v>
      </c>
      <c r="F791" s="5">
        <v>1</v>
      </c>
      <c r="G791" s="5">
        <v>2</v>
      </c>
      <c r="H791" s="5" t="s">
        <v>51</v>
      </c>
      <c r="I791" s="5">
        <v>1</v>
      </c>
      <c r="J791" s="5">
        <v>1098</v>
      </c>
      <c r="K791" s="5">
        <v>2</v>
      </c>
      <c r="L791" s="5" t="s">
        <v>46</v>
      </c>
      <c r="M791" s="5">
        <v>91</v>
      </c>
      <c r="N791" s="5">
        <v>2</v>
      </c>
      <c r="O791" s="5">
        <v>3</v>
      </c>
      <c r="P791" s="5" t="s">
        <v>61</v>
      </c>
      <c r="Q791" s="5">
        <v>1</v>
      </c>
      <c r="R791" s="5" t="s">
        <v>48</v>
      </c>
      <c r="S791" s="5">
        <v>10482</v>
      </c>
      <c r="T791" s="5">
        <v>2326</v>
      </c>
      <c r="U791" s="5">
        <v>9</v>
      </c>
      <c r="V791" s="5" t="s">
        <v>42</v>
      </c>
      <c r="W791" s="5" t="s">
        <v>43</v>
      </c>
      <c r="X791" s="5">
        <v>14</v>
      </c>
      <c r="Y791" s="5">
        <v>3</v>
      </c>
      <c r="Z791" s="5">
        <v>4</v>
      </c>
      <c r="AA791" s="5">
        <v>80</v>
      </c>
      <c r="AB791" s="5">
        <v>1</v>
      </c>
      <c r="AC791" s="5">
        <v>24</v>
      </c>
      <c r="AD791" s="5">
        <v>1</v>
      </c>
      <c r="AE791" s="5">
        <v>3</v>
      </c>
      <c r="AF791" s="5">
        <v>20</v>
      </c>
      <c r="AG791" s="5">
        <v>6</v>
      </c>
      <c r="AH791" s="5">
        <v>3</v>
      </c>
      <c r="AI791" s="5">
        <v>6</v>
      </c>
    </row>
    <row r="792" spans="1:35" x14ac:dyDescent="0.25">
      <c r="A792" s="5">
        <v>33</v>
      </c>
      <c r="B792" s="5" t="s">
        <v>43</v>
      </c>
      <c r="C792" s="5" t="s">
        <v>36</v>
      </c>
      <c r="D792" s="5">
        <v>654</v>
      </c>
      <c r="E792" s="5" t="s">
        <v>45</v>
      </c>
      <c r="F792" s="5">
        <v>5</v>
      </c>
      <c r="G792" s="5">
        <v>3</v>
      </c>
      <c r="H792" s="5" t="s">
        <v>38</v>
      </c>
      <c r="I792" s="5">
        <v>1</v>
      </c>
      <c r="J792" s="5">
        <v>1099</v>
      </c>
      <c r="K792" s="5">
        <v>4</v>
      </c>
      <c r="L792" s="5" t="s">
        <v>46</v>
      </c>
      <c r="M792" s="5">
        <v>34</v>
      </c>
      <c r="N792" s="5">
        <v>2</v>
      </c>
      <c r="O792" s="5">
        <v>3</v>
      </c>
      <c r="P792" s="5" t="s">
        <v>54</v>
      </c>
      <c r="Q792" s="5">
        <v>4</v>
      </c>
      <c r="R792" s="5" t="s">
        <v>52</v>
      </c>
      <c r="S792" s="5">
        <v>7119</v>
      </c>
      <c r="T792" s="5">
        <v>21214</v>
      </c>
      <c r="U792" s="5">
        <v>4</v>
      </c>
      <c r="V792" s="5" t="s">
        <v>42</v>
      </c>
      <c r="W792" s="5" t="s">
        <v>43</v>
      </c>
      <c r="X792" s="5">
        <v>15</v>
      </c>
      <c r="Y792" s="5">
        <v>3</v>
      </c>
      <c r="Z792" s="5">
        <v>3</v>
      </c>
      <c r="AA792" s="5">
        <v>80</v>
      </c>
      <c r="AB792" s="5">
        <v>1</v>
      </c>
      <c r="AC792" s="5">
        <v>9</v>
      </c>
      <c r="AD792" s="5">
        <v>2</v>
      </c>
      <c r="AE792" s="5">
        <v>3</v>
      </c>
      <c r="AF792" s="5">
        <v>3</v>
      </c>
      <c r="AG792" s="5">
        <v>2</v>
      </c>
      <c r="AH792" s="5">
        <v>1</v>
      </c>
      <c r="AI792" s="5">
        <v>2</v>
      </c>
    </row>
    <row r="793" spans="1:35" x14ac:dyDescent="0.25">
      <c r="A793" s="5">
        <v>35</v>
      </c>
      <c r="B793" s="5" t="s">
        <v>35</v>
      </c>
      <c r="C793" s="5" t="s">
        <v>36</v>
      </c>
      <c r="D793" s="5">
        <v>1204</v>
      </c>
      <c r="E793" s="5" t="s">
        <v>37</v>
      </c>
      <c r="F793" s="5">
        <v>4</v>
      </c>
      <c r="G793" s="5">
        <v>3</v>
      </c>
      <c r="H793" s="5" t="s">
        <v>60</v>
      </c>
      <c r="I793" s="5">
        <v>1</v>
      </c>
      <c r="J793" s="5">
        <v>1100</v>
      </c>
      <c r="K793" s="5">
        <v>4</v>
      </c>
      <c r="L793" s="5" t="s">
        <v>46</v>
      </c>
      <c r="M793" s="5">
        <v>86</v>
      </c>
      <c r="N793" s="5">
        <v>3</v>
      </c>
      <c r="O793" s="5">
        <v>3</v>
      </c>
      <c r="P793" s="5" t="s">
        <v>40</v>
      </c>
      <c r="Q793" s="5">
        <v>1</v>
      </c>
      <c r="R793" s="5" t="s">
        <v>41</v>
      </c>
      <c r="S793" s="5">
        <v>9582</v>
      </c>
      <c r="T793" s="5">
        <v>10333</v>
      </c>
      <c r="U793" s="5">
        <v>0</v>
      </c>
      <c r="V793" s="5" t="s">
        <v>42</v>
      </c>
      <c r="W793" s="5" t="s">
        <v>35</v>
      </c>
      <c r="X793" s="5">
        <v>22</v>
      </c>
      <c r="Y793" s="5">
        <v>4</v>
      </c>
      <c r="Z793" s="5">
        <v>1</v>
      </c>
      <c r="AA793" s="5">
        <v>80</v>
      </c>
      <c r="AB793" s="5">
        <v>0</v>
      </c>
      <c r="AC793" s="5">
        <v>9</v>
      </c>
      <c r="AD793" s="5">
        <v>2</v>
      </c>
      <c r="AE793" s="5">
        <v>3</v>
      </c>
      <c r="AF793" s="5">
        <v>8</v>
      </c>
      <c r="AG793" s="5">
        <v>7</v>
      </c>
      <c r="AH793" s="5">
        <v>4</v>
      </c>
      <c r="AI793" s="5">
        <v>7</v>
      </c>
    </row>
    <row r="794" spans="1:35" x14ac:dyDescent="0.25">
      <c r="A794" s="5">
        <v>33</v>
      </c>
      <c r="B794" s="5" t="s">
        <v>35</v>
      </c>
      <c r="C794" s="5" t="s">
        <v>44</v>
      </c>
      <c r="D794" s="5">
        <v>827</v>
      </c>
      <c r="E794" s="5" t="s">
        <v>45</v>
      </c>
      <c r="F794" s="5">
        <v>29</v>
      </c>
      <c r="G794" s="5">
        <v>4</v>
      </c>
      <c r="H794" s="5" t="s">
        <v>51</v>
      </c>
      <c r="I794" s="5">
        <v>1</v>
      </c>
      <c r="J794" s="5">
        <v>1101</v>
      </c>
      <c r="K794" s="5">
        <v>1</v>
      </c>
      <c r="L794" s="5" t="s">
        <v>39</v>
      </c>
      <c r="M794" s="5">
        <v>54</v>
      </c>
      <c r="N794" s="5">
        <v>2</v>
      </c>
      <c r="O794" s="5">
        <v>2</v>
      </c>
      <c r="P794" s="5" t="s">
        <v>47</v>
      </c>
      <c r="Q794" s="5">
        <v>3</v>
      </c>
      <c r="R794" s="5" t="s">
        <v>41</v>
      </c>
      <c r="S794" s="5">
        <v>4508</v>
      </c>
      <c r="T794" s="5">
        <v>3129</v>
      </c>
      <c r="U794" s="5">
        <v>1</v>
      </c>
      <c r="V794" s="5" t="s">
        <v>42</v>
      </c>
      <c r="W794" s="5" t="s">
        <v>43</v>
      </c>
      <c r="X794" s="5">
        <v>22</v>
      </c>
      <c r="Y794" s="5">
        <v>4</v>
      </c>
      <c r="Z794" s="5">
        <v>2</v>
      </c>
      <c r="AA794" s="5">
        <v>80</v>
      </c>
      <c r="AB794" s="5">
        <v>0</v>
      </c>
      <c r="AC794" s="5">
        <v>14</v>
      </c>
      <c r="AD794" s="5">
        <v>4</v>
      </c>
      <c r="AE794" s="5">
        <v>3</v>
      </c>
      <c r="AF794" s="5">
        <v>13</v>
      </c>
      <c r="AG794" s="5">
        <v>7</v>
      </c>
      <c r="AH794" s="5">
        <v>3</v>
      </c>
      <c r="AI794" s="5">
        <v>8</v>
      </c>
    </row>
    <row r="795" spans="1:35" x14ac:dyDescent="0.25">
      <c r="A795" s="5">
        <v>28</v>
      </c>
      <c r="B795" s="5" t="s">
        <v>43</v>
      </c>
      <c r="C795" s="5" t="s">
        <v>36</v>
      </c>
      <c r="D795" s="5">
        <v>895</v>
      </c>
      <c r="E795" s="5" t="s">
        <v>45</v>
      </c>
      <c r="F795" s="5">
        <v>15</v>
      </c>
      <c r="G795" s="5">
        <v>2</v>
      </c>
      <c r="H795" s="5" t="s">
        <v>38</v>
      </c>
      <c r="I795" s="5">
        <v>1</v>
      </c>
      <c r="J795" s="5">
        <v>1102</v>
      </c>
      <c r="K795" s="5">
        <v>1</v>
      </c>
      <c r="L795" s="5" t="s">
        <v>46</v>
      </c>
      <c r="M795" s="5">
        <v>50</v>
      </c>
      <c r="N795" s="5">
        <v>3</v>
      </c>
      <c r="O795" s="5">
        <v>1</v>
      </c>
      <c r="P795" s="5" t="s">
        <v>50</v>
      </c>
      <c r="Q795" s="5">
        <v>3</v>
      </c>
      <c r="R795" s="5" t="s">
        <v>52</v>
      </c>
      <c r="S795" s="5">
        <v>2207</v>
      </c>
      <c r="T795" s="5">
        <v>22482</v>
      </c>
      <c r="U795" s="5">
        <v>1</v>
      </c>
      <c r="V795" s="5" t="s">
        <v>42</v>
      </c>
      <c r="W795" s="5" t="s">
        <v>43</v>
      </c>
      <c r="X795" s="5">
        <v>16</v>
      </c>
      <c r="Y795" s="5">
        <v>3</v>
      </c>
      <c r="Z795" s="5">
        <v>4</v>
      </c>
      <c r="AA795" s="5">
        <v>80</v>
      </c>
      <c r="AB795" s="5">
        <v>1</v>
      </c>
      <c r="AC795" s="5">
        <v>4</v>
      </c>
      <c r="AD795" s="5">
        <v>5</v>
      </c>
      <c r="AE795" s="5">
        <v>2</v>
      </c>
      <c r="AF795" s="5">
        <v>4</v>
      </c>
      <c r="AG795" s="5">
        <v>2</v>
      </c>
      <c r="AH795" s="5">
        <v>2</v>
      </c>
      <c r="AI795" s="5">
        <v>2</v>
      </c>
    </row>
    <row r="796" spans="1:35" x14ac:dyDescent="0.25">
      <c r="A796" s="5">
        <v>34</v>
      </c>
      <c r="B796" s="5" t="s">
        <v>43</v>
      </c>
      <c r="C796" s="5" t="s">
        <v>44</v>
      </c>
      <c r="D796" s="5">
        <v>618</v>
      </c>
      <c r="E796" s="5" t="s">
        <v>45</v>
      </c>
      <c r="F796" s="5">
        <v>3</v>
      </c>
      <c r="G796" s="5">
        <v>1</v>
      </c>
      <c r="H796" s="5" t="s">
        <v>38</v>
      </c>
      <c r="I796" s="5">
        <v>1</v>
      </c>
      <c r="J796" s="5">
        <v>1103</v>
      </c>
      <c r="K796" s="5">
        <v>1</v>
      </c>
      <c r="L796" s="5" t="s">
        <v>46</v>
      </c>
      <c r="M796" s="5">
        <v>45</v>
      </c>
      <c r="N796" s="5">
        <v>3</v>
      </c>
      <c r="O796" s="5">
        <v>2</v>
      </c>
      <c r="P796" s="5" t="s">
        <v>54</v>
      </c>
      <c r="Q796" s="5">
        <v>4</v>
      </c>
      <c r="R796" s="5" t="s">
        <v>41</v>
      </c>
      <c r="S796" s="5">
        <v>7756</v>
      </c>
      <c r="T796" s="5">
        <v>22266</v>
      </c>
      <c r="U796" s="5">
        <v>0</v>
      </c>
      <c r="V796" s="5" t="s">
        <v>42</v>
      </c>
      <c r="W796" s="5" t="s">
        <v>43</v>
      </c>
      <c r="X796" s="5">
        <v>17</v>
      </c>
      <c r="Y796" s="5">
        <v>3</v>
      </c>
      <c r="Z796" s="5">
        <v>3</v>
      </c>
      <c r="AA796" s="5">
        <v>80</v>
      </c>
      <c r="AB796" s="5">
        <v>0</v>
      </c>
      <c r="AC796" s="5">
        <v>7</v>
      </c>
      <c r="AD796" s="5">
        <v>1</v>
      </c>
      <c r="AE796" s="5">
        <v>2</v>
      </c>
      <c r="AF796" s="5">
        <v>6</v>
      </c>
      <c r="AG796" s="5">
        <v>2</v>
      </c>
      <c r="AH796" s="5">
        <v>0</v>
      </c>
      <c r="AI796" s="5">
        <v>4</v>
      </c>
    </row>
    <row r="797" spans="1:35" x14ac:dyDescent="0.25">
      <c r="A797" s="5">
        <v>37</v>
      </c>
      <c r="B797" s="5" t="s">
        <v>43</v>
      </c>
      <c r="C797" s="5" t="s">
        <v>36</v>
      </c>
      <c r="D797" s="5">
        <v>309</v>
      </c>
      <c r="E797" s="5" t="s">
        <v>37</v>
      </c>
      <c r="F797" s="5">
        <v>10</v>
      </c>
      <c r="G797" s="5">
        <v>4</v>
      </c>
      <c r="H797" s="5" t="s">
        <v>38</v>
      </c>
      <c r="I797" s="5">
        <v>1</v>
      </c>
      <c r="J797" s="5">
        <v>1105</v>
      </c>
      <c r="K797" s="5">
        <v>4</v>
      </c>
      <c r="L797" s="5" t="s">
        <v>39</v>
      </c>
      <c r="M797" s="5">
        <v>88</v>
      </c>
      <c r="N797" s="5">
        <v>2</v>
      </c>
      <c r="O797" s="5">
        <v>2</v>
      </c>
      <c r="P797" s="5" t="s">
        <v>40</v>
      </c>
      <c r="Q797" s="5">
        <v>4</v>
      </c>
      <c r="R797" s="5" t="s">
        <v>52</v>
      </c>
      <c r="S797" s="5">
        <v>6694</v>
      </c>
      <c r="T797" s="5">
        <v>24223</v>
      </c>
      <c r="U797" s="5">
        <v>2</v>
      </c>
      <c r="V797" s="5" t="s">
        <v>42</v>
      </c>
      <c r="W797" s="5" t="s">
        <v>35</v>
      </c>
      <c r="X797" s="5">
        <v>14</v>
      </c>
      <c r="Y797" s="5">
        <v>3</v>
      </c>
      <c r="Z797" s="5">
        <v>3</v>
      </c>
      <c r="AA797" s="5">
        <v>80</v>
      </c>
      <c r="AB797" s="5">
        <v>3</v>
      </c>
      <c r="AC797" s="5">
        <v>8</v>
      </c>
      <c r="AD797" s="5">
        <v>5</v>
      </c>
      <c r="AE797" s="5">
        <v>3</v>
      </c>
      <c r="AF797" s="5">
        <v>1</v>
      </c>
      <c r="AG797" s="5">
        <v>0</v>
      </c>
      <c r="AH797" s="5">
        <v>0</v>
      </c>
      <c r="AI797" s="5">
        <v>0</v>
      </c>
    </row>
    <row r="798" spans="1:35" x14ac:dyDescent="0.25">
      <c r="A798" s="5">
        <v>25</v>
      </c>
      <c r="B798" s="5" t="s">
        <v>35</v>
      </c>
      <c r="C798" s="5" t="s">
        <v>36</v>
      </c>
      <c r="D798" s="5">
        <v>1219</v>
      </c>
      <c r="E798" s="5" t="s">
        <v>45</v>
      </c>
      <c r="F798" s="5">
        <v>4</v>
      </c>
      <c r="G798" s="5">
        <v>1</v>
      </c>
      <c r="H798" s="5" t="s">
        <v>60</v>
      </c>
      <c r="I798" s="5">
        <v>1</v>
      </c>
      <c r="J798" s="5">
        <v>1106</v>
      </c>
      <c r="K798" s="5">
        <v>4</v>
      </c>
      <c r="L798" s="5" t="s">
        <v>46</v>
      </c>
      <c r="M798" s="5">
        <v>32</v>
      </c>
      <c r="N798" s="5">
        <v>3</v>
      </c>
      <c r="O798" s="5">
        <v>1</v>
      </c>
      <c r="P798" s="5" t="s">
        <v>50</v>
      </c>
      <c r="Q798" s="5">
        <v>4</v>
      </c>
      <c r="R798" s="5" t="s">
        <v>48</v>
      </c>
      <c r="S798" s="5">
        <v>3691</v>
      </c>
      <c r="T798" s="5">
        <v>4605</v>
      </c>
      <c r="U798" s="5">
        <v>1</v>
      </c>
      <c r="V798" s="5" t="s">
        <v>42</v>
      </c>
      <c r="W798" s="5" t="s">
        <v>35</v>
      </c>
      <c r="X798" s="5">
        <v>15</v>
      </c>
      <c r="Y798" s="5">
        <v>3</v>
      </c>
      <c r="Z798" s="5">
        <v>2</v>
      </c>
      <c r="AA798" s="5">
        <v>80</v>
      </c>
      <c r="AB798" s="5">
        <v>1</v>
      </c>
      <c r="AC798" s="5">
        <v>7</v>
      </c>
      <c r="AD798" s="5">
        <v>3</v>
      </c>
      <c r="AE798" s="5">
        <v>4</v>
      </c>
      <c r="AF798" s="5">
        <v>7</v>
      </c>
      <c r="AG798" s="5">
        <v>7</v>
      </c>
      <c r="AH798" s="5">
        <v>5</v>
      </c>
      <c r="AI798" s="5">
        <v>6</v>
      </c>
    </row>
    <row r="799" spans="1:35" x14ac:dyDescent="0.25">
      <c r="A799" s="5">
        <v>26</v>
      </c>
      <c r="B799" s="5" t="s">
        <v>35</v>
      </c>
      <c r="C799" s="5" t="s">
        <v>36</v>
      </c>
      <c r="D799" s="5">
        <v>1330</v>
      </c>
      <c r="E799" s="5" t="s">
        <v>45</v>
      </c>
      <c r="F799" s="5">
        <v>21</v>
      </c>
      <c r="G799" s="5">
        <v>3</v>
      </c>
      <c r="H799" s="5" t="s">
        <v>51</v>
      </c>
      <c r="I799" s="5">
        <v>1</v>
      </c>
      <c r="J799" s="5">
        <v>1107</v>
      </c>
      <c r="K799" s="5">
        <v>1</v>
      </c>
      <c r="L799" s="5" t="s">
        <v>46</v>
      </c>
      <c r="M799" s="5">
        <v>37</v>
      </c>
      <c r="N799" s="5">
        <v>3</v>
      </c>
      <c r="O799" s="5">
        <v>1</v>
      </c>
      <c r="P799" s="5" t="s">
        <v>50</v>
      </c>
      <c r="Q799" s="5">
        <v>3</v>
      </c>
      <c r="R799" s="5" t="s">
        <v>52</v>
      </c>
      <c r="S799" s="5">
        <v>2377</v>
      </c>
      <c r="T799" s="5">
        <v>19373</v>
      </c>
      <c r="U799" s="5">
        <v>1</v>
      </c>
      <c r="V799" s="5" t="s">
        <v>42</v>
      </c>
      <c r="W799" s="5" t="s">
        <v>43</v>
      </c>
      <c r="X799" s="5">
        <v>20</v>
      </c>
      <c r="Y799" s="5">
        <v>4</v>
      </c>
      <c r="Z799" s="5">
        <v>3</v>
      </c>
      <c r="AA799" s="5">
        <v>80</v>
      </c>
      <c r="AB799" s="5">
        <v>1</v>
      </c>
      <c r="AC799" s="5">
        <v>1</v>
      </c>
      <c r="AD799" s="5">
        <v>0</v>
      </c>
      <c r="AE799" s="5">
        <v>2</v>
      </c>
      <c r="AF799" s="5">
        <v>1</v>
      </c>
      <c r="AG799" s="5">
        <v>1</v>
      </c>
      <c r="AH799" s="5">
        <v>0</v>
      </c>
      <c r="AI799" s="5">
        <v>0</v>
      </c>
    </row>
    <row r="800" spans="1:35" x14ac:dyDescent="0.25">
      <c r="A800" s="5">
        <v>33</v>
      </c>
      <c r="B800" s="5" t="s">
        <v>35</v>
      </c>
      <c r="C800" s="5" t="s">
        <v>36</v>
      </c>
      <c r="D800" s="5">
        <v>1017</v>
      </c>
      <c r="E800" s="5" t="s">
        <v>45</v>
      </c>
      <c r="F800" s="5">
        <v>25</v>
      </c>
      <c r="G800" s="5">
        <v>3</v>
      </c>
      <c r="H800" s="5" t="s">
        <v>51</v>
      </c>
      <c r="I800" s="5">
        <v>1</v>
      </c>
      <c r="J800" s="5">
        <v>1108</v>
      </c>
      <c r="K800" s="5">
        <v>1</v>
      </c>
      <c r="L800" s="5" t="s">
        <v>46</v>
      </c>
      <c r="M800" s="5">
        <v>55</v>
      </c>
      <c r="N800" s="5">
        <v>2</v>
      </c>
      <c r="O800" s="5">
        <v>1</v>
      </c>
      <c r="P800" s="5" t="s">
        <v>47</v>
      </c>
      <c r="Q800" s="5">
        <v>2</v>
      </c>
      <c r="R800" s="5" t="s">
        <v>41</v>
      </c>
      <c r="S800" s="5">
        <v>2313</v>
      </c>
      <c r="T800" s="5">
        <v>2993</v>
      </c>
      <c r="U800" s="5">
        <v>4</v>
      </c>
      <c r="V800" s="5" t="s">
        <v>42</v>
      </c>
      <c r="W800" s="5" t="s">
        <v>35</v>
      </c>
      <c r="X800" s="5">
        <v>20</v>
      </c>
      <c r="Y800" s="5">
        <v>4</v>
      </c>
      <c r="Z800" s="5">
        <v>2</v>
      </c>
      <c r="AA800" s="5">
        <v>80</v>
      </c>
      <c r="AB800" s="5">
        <v>0</v>
      </c>
      <c r="AC800" s="5">
        <v>5</v>
      </c>
      <c r="AD800" s="5">
        <v>0</v>
      </c>
      <c r="AE800" s="5">
        <v>3</v>
      </c>
      <c r="AF800" s="5">
        <v>2</v>
      </c>
      <c r="AG800" s="5">
        <v>2</v>
      </c>
      <c r="AH800" s="5">
        <v>2</v>
      </c>
      <c r="AI800" s="5">
        <v>2</v>
      </c>
    </row>
    <row r="801" spans="1:35" x14ac:dyDescent="0.25">
      <c r="A801" s="5">
        <v>42</v>
      </c>
      <c r="B801" s="5" t="s">
        <v>43</v>
      </c>
      <c r="C801" s="5" t="s">
        <v>36</v>
      </c>
      <c r="D801" s="5">
        <v>469</v>
      </c>
      <c r="E801" s="5" t="s">
        <v>45</v>
      </c>
      <c r="F801" s="5">
        <v>2</v>
      </c>
      <c r="G801" s="5">
        <v>2</v>
      </c>
      <c r="H801" s="5" t="s">
        <v>51</v>
      </c>
      <c r="I801" s="5">
        <v>1</v>
      </c>
      <c r="J801" s="5">
        <v>1109</v>
      </c>
      <c r="K801" s="5">
        <v>4</v>
      </c>
      <c r="L801" s="5" t="s">
        <v>46</v>
      </c>
      <c r="M801" s="5">
        <v>35</v>
      </c>
      <c r="N801" s="5">
        <v>3</v>
      </c>
      <c r="O801" s="5">
        <v>4</v>
      </c>
      <c r="P801" s="5" t="s">
        <v>56</v>
      </c>
      <c r="Q801" s="5">
        <v>1</v>
      </c>
      <c r="R801" s="5" t="s">
        <v>48</v>
      </c>
      <c r="S801" s="5">
        <v>17665</v>
      </c>
      <c r="T801" s="5">
        <v>14399</v>
      </c>
      <c r="U801" s="5">
        <v>0</v>
      </c>
      <c r="V801" s="5" t="s">
        <v>42</v>
      </c>
      <c r="W801" s="5" t="s">
        <v>43</v>
      </c>
      <c r="X801" s="5">
        <v>17</v>
      </c>
      <c r="Y801" s="5">
        <v>3</v>
      </c>
      <c r="Z801" s="5">
        <v>4</v>
      </c>
      <c r="AA801" s="5">
        <v>80</v>
      </c>
      <c r="AB801" s="5">
        <v>1</v>
      </c>
      <c r="AC801" s="5">
        <v>23</v>
      </c>
      <c r="AD801" s="5">
        <v>3</v>
      </c>
      <c r="AE801" s="5">
        <v>3</v>
      </c>
      <c r="AF801" s="5">
        <v>22</v>
      </c>
      <c r="AG801" s="5">
        <v>6</v>
      </c>
      <c r="AH801" s="5">
        <v>13</v>
      </c>
      <c r="AI801" s="5">
        <v>7</v>
      </c>
    </row>
    <row r="802" spans="1:35" x14ac:dyDescent="0.25">
      <c r="A802" s="5">
        <v>28</v>
      </c>
      <c r="B802" s="5" t="s">
        <v>35</v>
      </c>
      <c r="C802" s="5" t="s">
        <v>44</v>
      </c>
      <c r="D802" s="5">
        <v>1009</v>
      </c>
      <c r="E802" s="5" t="s">
        <v>45</v>
      </c>
      <c r="F802" s="5">
        <v>1</v>
      </c>
      <c r="G802" s="5">
        <v>3</v>
      </c>
      <c r="H802" s="5" t="s">
        <v>51</v>
      </c>
      <c r="I802" s="5">
        <v>1</v>
      </c>
      <c r="J802" s="5">
        <v>1111</v>
      </c>
      <c r="K802" s="5">
        <v>1</v>
      </c>
      <c r="L802" s="5" t="s">
        <v>46</v>
      </c>
      <c r="M802" s="5">
        <v>45</v>
      </c>
      <c r="N802" s="5">
        <v>2</v>
      </c>
      <c r="O802" s="5">
        <v>1</v>
      </c>
      <c r="P802" s="5" t="s">
        <v>50</v>
      </c>
      <c r="Q802" s="5">
        <v>2</v>
      </c>
      <c r="R802" s="5" t="s">
        <v>52</v>
      </c>
      <c r="S802" s="5">
        <v>2596</v>
      </c>
      <c r="T802" s="5">
        <v>7160</v>
      </c>
      <c r="U802" s="5">
        <v>1</v>
      </c>
      <c r="V802" s="5" t="s">
        <v>42</v>
      </c>
      <c r="W802" s="5" t="s">
        <v>43</v>
      </c>
      <c r="X802" s="5">
        <v>15</v>
      </c>
      <c r="Y802" s="5">
        <v>3</v>
      </c>
      <c r="Z802" s="5">
        <v>1</v>
      </c>
      <c r="AA802" s="5">
        <v>80</v>
      </c>
      <c r="AB802" s="5">
        <v>2</v>
      </c>
      <c r="AC802" s="5">
        <v>1</v>
      </c>
      <c r="AD802" s="5">
        <v>2</v>
      </c>
      <c r="AE802" s="5">
        <v>3</v>
      </c>
      <c r="AF802" s="5">
        <v>1</v>
      </c>
      <c r="AG802" s="5">
        <v>0</v>
      </c>
      <c r="AH802" s="5">
        <v>0</v>
      </c>
      <c r="AI802" s="5">
        <v>0</v>
      </c>
    </row>
    <row r="803" spans="1:35" x14ac:dyDescent="0.25">
      <c r="A803" s="5">
        <v>50</v>
      </c>
      <c r="B803" s="5" t="s">
        <v>35</v>
      </c>
      <c r="C803" s="5" t="s">
        <v>44</v>
      </c>
      <c r="D803" s="5">
        <v>959</v>
      </c>
      <c r="E803" s="5" t="s">
        <v>37</v>
      </c>
      <c r="F803" s="5">
        <v>1</v>
      </c>
      <c r="G803" s="5">
        <v>4</v>
      </c>
      <c r="H803" s="5" t="s">
        <v>49</v>
      </c>
      <c r="I803" s="5">
        <v>1</v>
      </c>
      <c r="J803" s="5">
        <v>1113</v>
      </c>
      <c r="K803" s="5">
        <v>4</v>
      </c>
      <c r="L803" s="5" t="s">
        <v>46</v>
      </c>
      <c r="M803" s="5">
        <v>81</v>
      </c>
      <c r="N803" s="5">
        <v>3</v>
      </c>
      <c r="O803" s="5">
        <v>2</v>
      </c>
      <c r="P803" s="5" t="s">
        <v>40</v>
      </c>
      <c r="Q803" s="5">
        <v>3</v>
      </c>
      <c r="R803" s="5" t="s">
        <v>41</v>
      </c>
      <c r="S803" s="5">
        <v>4728</v>
      </c>
      <c r="T803" s="5">
        <v>17251</v>
      </c>
      <c r="U803" s="5">
        <v>3</v>
      </c>
      <c r="V803" s="5" t="s">
        <v>42</v>
      </c>
      <c r="W803" s="5" t="s">
        <v>35</v>
      </c>
      <c r="X803" s="5">
        <v>14</v>
      </c>
      <c r="Y803" s="5">
        <v>3</v>
      </c>
      <c r="Z803" s="5">
        <v>4</v>
      </c>
      <c r="AA803" s="5">
        <v>80</v>
      </c>
      <c r="AB803" s="5">
        <v>0</v>
      </c>
      <c r="AC803" s="5">
        <v>5</v>
      </c>
      <c r="AD803" s="5">
        <v>4</v>
      </c>
      <c r="AE803" s="5">
        <v>3</v>
      </c>
      <c r="AF803" s="5">
        <v>0</v>
      </c>
      <c r="AG803" s="5">
        <v>0</v>
      </c>
      <c r="AH803" s="5">
        <v>0</v>
      </c>
      <c r="AI803" s="5">
        <v>0</v>
      </c>
    </row>
    <row r="804" spans="1:35" x14ac:dyDescent="0.25">
      <c r="A804" s="5">
        <v>33</v>
      </c>
      <c r="B804" s="5" t="s">
        <v>43</v>
      </c>
      <c r="C804" s="5" t="s">
        <v>44</v>
      </c>
      <c r="D804" s="5">
        <v>970</v>
      </c>
      <c r="E804" s="5" t="s">
        <v>37</v>
      </c>
      <c r="F804" s="5">
        <v>7</v>
      </c>
      <c r="G804" s="5">
        <v>3</v>
      </c>
      <c r="H804" s="5" t="s">
        <v>38</v>
      </c>
      <c r="I804" s="5">
        <v>1</v>
      </c>
      <c r="J804" s="5">
        <v>1114</v>
      </c>
      <c r="K804" s="5">
        <v>4</v>
      </c>
      <c r="L804" s="5" t="s">
        <v>39</v>
      </c>
      <c r="M804" s="5">
        <v>30</v>
      </c>
      <c r="N804" s="5">
        <v>3</v>
      </c>
      <c r="O804" s="5">
        <v>2</v>
      </c>
      <c r="P804" s="5" t="s">
        <v>40</v>
      </c>
      <c r="Q804" s="5">
        <v>2</v>
      </c>
      <c r="R804" s="5" t="s">
        <v>48</v>
      </c>
      <c r="S804" s="5">
        <v>4302</v>
      </c>
      <c r="T804" s="5">
        <v>13401</v>
      </c>
      <c r="U804" s="5">
        <v>0</v>
      </c>
      <c r="V804" s="5" t="s">
        <v>42</v>
      </c>
      <c r="W804" s="5" t="s">
        <v>43</v>
      </c>
      <c r="X804" s="5">
        <v>17</v>
      </c>
      <c r="Y804" s="5">
        <v>3</v>
      </c>
      <c r="Z804" s="5">
        <v>3</v>
      </c>
      <c r="AA804" s="5">
        <v>80</v>
      </c>
      <c r="AB804" s="5">
        <v>1</v>
      </c>
      <c r="AC804" s="5">
        <v>4</v>
      </c>
      <c r="AD804" s="5">
        <v>3</v>
      </c>
      <c r="AE804" s="5">
        <v>3</v>
      </c>
      <c r="AF804" s="5">
        <v>3</v>
      </c>
      <c r="AG804" s="5">
        <v>2</v>
      </c>
      <c r="AH804" s="5">
        <v>0</v>
      </c>
      <c r="AI804" s="5">
        <v>2</v>
      </c>
    </row>
    <row r="805" spans="1:35" x14ac:dyDescent="0.25">
      <c r="A805" s="5">
        <v>34</v>
      </c>
      <c r="B805" s="5" t="s">
        <v>43</v>
      </c>
      <c r="C805" s="5" t="s">
        <v>55</v>
      </c>
      <c r="D805" s="5">
        <v>697</v>
      </c>
      <c r="E805" s="5" t="s">
        <v>45</v>
      </c>
      <c r="F805" s="5">
        <v>3</v>
      </c>
      <c r="G805" s="5">
        <v>4</v>
      </c>
      <c r="H805" s="5" t="s">
        <v>38</v>
      </c>
      <c r="I805" s="5">
        <v>1</v>
      </c>
      <c r="J805" s="5">
        <v>1115</v>
      </c>
      <c r="K805" s="5">
        <v>3</v>
      </c>
      <c r="L805" s="5" t="s">
        <v>46</v>
      </c>
      <c r="M805" s="5">
        <v>40</v>
      </c>
      <c r="N805" s="5">
        <v>2</v>
      </c>
      <c r="O805" s="5">
        <v>1</v>
      </c>
      <c r="P805" s="5" t="s">
        <v>47</v>
      </c>
      <c r="Q805" s="5">
        <v>4</v>
      </c>
      <c r="R805" s="5" t="s">
        <v>48</v>
      </c>
      <c r="S805" s="5">
        <v>2979</v>
      </c>
      <c r="T805" s="5">
        <v>22478</v>
      </c>
      <c r="U805" s="5">
        <v>3</v>
      </c>
      <c r="V805" s="5" t="s">
        <v>42</v>
      </c>
      <c r="W805" s="5" t="s">
        <v>43</v>
      </c>
      <c r="X805" s="5">
        <v>17</v>
      </c>
      <c r="Y805" s="5">
        <v>3</v>
      </c>
      <c r="Z805" s="5">
        <v>4</v>
      </c>
      <c r="AA805" s="5">
        <v>80</v>
      </c>
      <c r="AB805" s="5">
        <v>3</v>
      </c>
      <c r="AC805" s="5">
        <v>6</v>
      </c>
      <c r="AD805" s="5">
        <v>2</v>
      </c>
      <c r="AE805" s="5">
        <v>3</v>
      </c>
      <c r="AF805" s="5">
        <v>0</v>
      </c>
      <c r="AG805" s="5">
        <v>0</v>
      </c>
      <c r="AH805" s="5">
        <v>0</v>
      </c>
      <c r="AI805" s="5">
        <v>0</v>
      </c>
    </row>
    <row r="806" spans="1:35" x14ac:dyDescent="0.25">
      <c r="A806" s="5">
        <v>48</v>
      </c>
      <c r="B806" s="5" t="s">
        <v>43</v>
      </c>
      <c r="C806" s="5" t="s">
        <v>55</v>
      </c>
      <c r="D806" s="5">
        <v>1262</v>
      </c>
      <c r="E806" s="5" t="s">
        <v>45</v>
      </c>
      <c r="F806" s="5">
        <v>1</v>
      </c>
      <c r="G806" s="5">
        <v>4</v>
      </c>
      <c r="H806" s="5" t="s">
        <v>51</v>
      </c>
      <c r="I806" s="5">
        <v>1</v>
      </c>
      <c r="J806" s="5">
        <v>1116</v>
      </c>
      <c r="K806" s="5">
        <v>1</v>
      </c>
      <c r="L806" s="5" t="s">
        <v>46</v>
      </c>
      <c r="M806" s="5">
        <v>35</v>
      </c>
      <c r="N806" s="5">
        <v>4</v>
      </c>
      <c r="O806" s="5">
        <v>4</v>
      </c>
      <c r="P806" s="5" t="s">
        <v>56</v>
      </c>
      <c r="Q806" s="5">
        <v>4</v>
      </c>
      <c r="R806" s="5" t="s">
        <v>41</v>
      </c>
      <c r="S806" s="5">
        <v>16885</v>
      </c>
      <c r="T806" s="5">
        <v>16154</v>
      </c>
      <c r="U806" s="5">
        <v>2</v>
      </c>
      <c r="V806" s="5" t="s">
        <v>42</v>
      </c>
      <c r="W806" s="5" t="s">
        <v>43</v>
      </c>
      <c r="X806" s="5">
        <v>22</v>
      </c>
      <c r="Y806" s="5">
        <v>4</v>
      </c>
      <c r="Z806" s="5">
        <v>3</v>
      </c>
      <c r="AA806" s="5">
        <v>80</v>
      </c>
      <c r="AB806" s="5">
        <v>0</v>
      </c>
      <c r="AC806" s="5">
        <v>27</v>
      </c>
      <c r="AD806" s="5">
        <v>3</v>
      </c>
      <c r="AE806" s="5">
        <v>2</v>
      </c>
      <c r="AF806" s="5">
        <v>5</v>
      </c>
      <c r="AG806" s="5">
        <v>4</v>
      </c>
      <c r="AH806" s="5">
        <v>2</v>
      </c>
      <c r="AI806" s="5">
        <v>1</v>
      </c>
    </row>
    <row r="807" spans="1:35" x14ac:dyDescent="0.25">
      <c r="A807" s="5">
        <v>45</v>
      </c>
      <c r="B807" s="5" t="s">
        <v>43</v>
      </c>
      <c r="C807" s="5" t="s">
        <v>55</v>
      </c>
      <c r="D807" s="5">
        <v>1050</v>
      </c>
      <c r="E807" s="5" t="s">
        <v>37</v>
      </c>
      <c r="F807" s="5">
        <v>9</v>
      </c>
      <c r="G807" s="5">
        <v>4</v>
      </c>
      <c r="H807" s="5" t="s">
        <v>38</v>
      </c>
      <c r="I807" s="5">
        <v>1</v>
      </c>
      <c r="J807" s="5">
        <v>1117</v>
      </c>
      <c r="K807" s="5">
        <v>2</v>
      </c>
      <c r="L807" s="5" t="s">
        <v>39</v>
      </c>
      <c r="M807" s="5">
        <v>65</v>
      </c>
      <c r="N807" s="5">
        <v>2</v>
      </c>
      <c r="O807" s="5">
        <v>2</v>
      </c>
      <c r="P807" s="5" t="s">
        <v>40</v>
      </c>
      <c r="Q807" s="5">
        <v>3</v>
      </c>
      <c r="R807" s="5" t="s">
        <v>48</v>
      </c>
      <c r="S807" s="5">
        <v>5593</v>
      </c>
      <c r="T807" s="5">
        <v>17970</v>
      </c>
      <c r="U807" s="5">
        <v>1</v>
      </c>
      <c r="V807" s="5" t="s">
        <v>42</v>
      </c>
      <c r="W807" s="5" t="s">
        <v>43</v>
      </c>
      <c r="X807" s="5">
        <v>13</v>
      </c>
      <c r="Y807" s="5">
        <v>3</v>
      </c>
      <c r="Z807" s="5">
        <v>4</v>
      </c>
      <c r="AA807" s="5">
        <v>80</v>
      </c>
      <c r="AB807" s="5">
        <v>1</v>
      </c>
      <c r="AC807" s="5">
        <v>15</v>
      </c>
      <c r="AD807" s="5">
        <v>2</v>
      </c>
      <c r="AE807" s="5">
        <v>3</v>
      </c>
      <c r="AF807" s="5">
        <v>15</v>
      </c>
      <c r="AG807" s="5">
        <v>10</v>
      </c>
      <c r="AH807" s="5">
        <v>4</v>
      </c>
      <c r="AI807" s="5">
        <v>12</v>
      </c>
    </row>
    <row r="808" spans="1:35" x14ac:dyDescent="0.25">
      <c r="A808" s="5">
        <v>52</v>
      </c>
      <c r="B808" s="5" t="s">
        <v>43</v>
      </c>
      <c r="C808" s="5" t="s">
        <v>36</v>
      </c>
      <c r="D808" s="5">
        <v>994</v>
      </c>
      <c r="E808" s="5" t="s">
        <v>45</v>
      </c>
      <c r="F808" s="5">
        <v>7</v>
      </c>
      <c r="G808" s="5">
        <v>4</v>
      </c>
      <c r="H808" s="5" t="s">
        <v>38</v>
      </c>
      <c r="I808" s="5">
        <v>1</v>
      </c>
      <c r="J808" s="5">
        <v>1118</v>
      </c>
      <c r="K808" s="5">
        <v>2</v>
      </c>
      <c r="L808" s="5" t="s">
        <v>46</v>
      </c>
      <c r="M808" s="5">
        <v>87</v>
      </c>
      <c r="N808" s="5">
        <v>3</v>
      </c>
      <c r="O808" s="5">
        <v>3</v>
      </c>
      <c r="P808" s="5" t="s">
        <v>54</v>
      </c>
      <c r="Q808" s="5">
        <v>2</v>
      </c>
      <c r="R808" s="5" t="s">
        <v>41</v>
      </c>
      <c r="S808" s="5">
        <v>10445</v>
      </c>
      <c r="T808" s="5">
        <v>15322</v>
      </c>
      <c r="U808" s="5">
        <v>7</v>
      </c>
      <c r="V808" s="5" t="s">
        <v>42</v>
      </c>
      <c r="W808" s="5" t="s">
        <v>43</v>
      </c>
      <c r="X808" s="5">
        <v>19</v>
      </c>
      <c r="Y808" s="5">
        <v>3</v>
      </c>
      <c r="Z808" s="5">
        <v>4</v>
      </c>
      <c r="AA808" s="5">
        <v>80</v>
      </c>
      <c r="AB808" s="5">
        <v>0</v>
      </c>
      <c r="AC808" s="5">
        <v>18</v>
      </c>
      <c r="AD808" s="5">
        <v>4</v>
      </c>
      <c r="AE808" s="5">
        <v>3</v>
      </c>
      <c r="AF808" s="5">
        <v>8</v>
      </c>
      <c r="AG808" s="5">
        <v>6</v>
      </c>
      <c r="AH808" s="5">
        <v>4</v>
      </c>
      <c r="AI808" s="5">
        <v>0</v>
      </c>
    </row>
    <row r="809" spans="1:35" x14ac:dyDescent="0.25">
      <c r="A809" s="5">
        <v>38</v>
      </c>
      <c r="B809" s="5" t="s">
        <v>43</v>
      </c>
      <c r="C809" s="5" t="s">
        <v>36</v>
      </c>
      <c r="D809" s="5">
        <v>770</v>
      </c>
      <c r="E809" s="5" t="s">
        <v>37</v>
      </c>
      <c r="F809" s="5">
        <v>10</v>
      </c>
      <c r="G809" s="5">
        <v>4</v>
      </c>
      <c r="H809" s="5" t="s">
        <v>59</v>
      </c>
      <c r="I809" s="5">
        <v>1</v>
      </c>
      <c r="J809" s="5">
        <v>1119</v>
      </c>
      <c r="K809" s="5">
        <v>3</v>
      </c>
      <c r="L809" s="5" t="s">
        <v>46</v>
      </c>
      <c r="M809" s="5">
        <v>73</v>
      </c>
      <c r="N809" s="5">
        <v>2</v>
      </c>
      <c r="O809" s="5">
        <v>3</v>
      </c>
      <c r="P809" s="5" t="s">
        <v>40</v>
      </c>
      <c r="Q809" s="5">
        <v>3</v>
      </c>
      <c r="R809" s="5" t="s">
        <v>52</v>
      </c>
      <c r="S809" s="5">
        <v>8740</v>
      </c>
      <c r="T809" s="5">
        <v>5569</v>
      </c>
      <c r="U809" s="5">
        <v>0</v>
      </c>
      <c r="V809" s="5" t="s">
        <v>42</v>
      </c>
      <c r="W809" s="5" t="s">
        <v>35</v>
      </c>
      <c r="X809" s="5">
        <v>14</v>
      </c>
      <c r="Y809" s="5">
        <v>3</v>
      </c>
      <c r="Z809" s="5">
        <v>2</v>
      </c>
      <c r="AA809" s="5">
        <v>80</v>
      </c>
      <c r="AB809" s="5">
        <v>2</v>
      </c>
      <c r="AC809" s="5">
        <v>9</v>
      </c>
      <c r="AD809" s="5">
        <v>2</v>
      </c>
      <c r="AE809" s="5">
        <v>3</v>
      </c>
      <c r="AF809" s="5">
        <v>8</v>
      </c>
      <c r="AG809" s="5">
        <v>7</v>
      </c>
      <c r="AH809" s="5">
        <v>2</v>
      </c>
      <c r="AI809" s="5">
        <v>7</v>
      </c>
    </row>
    <row r="810" spans="1:35" x14ac:dyDescent="0.25">
      <c r="A810" s="5">
        <v>29</v>
      </c>
      <c r="B810" s="5" t="s">
        <v>43</v>
      </c>
      <c r="C810" s="5" t="s">
        <v>36</v>
      </c>
      <c r="D810" s="5">
        <v>1107</v>
      </c>
      <c r="E810" s="5" t="s">
        <v>45</v>
      </c>
      <c r="F810" s="5">
        <v>28</v>
      </c>
      <c r="G810" s="5">
        <v>4</v>
      </c>
      <c r="H810" s="5" t="s">
        <v>38</v>
      </c>
      <c r="I810" s="5">
        <v>1</v>
      </c>
      <c r="J810" s="5">
        <v>1120</v>
      </c>
      <c r="K810" s="5">
        <v>3</v>
      </c>
      <c r="L810" s="5" t="s">
        <v>39</v>
      </c>
      <c r="M810" s="5">
        <v>93</v>
      </c>
      <c r="N810" s="5">
        <v>3</v>
      </c>
      <c r="O810" s="5">
        <v>1</v>
      </c>
      <c r="P810" s="5" t="s">
        <v>47</v>
      </c>
      <c r="Q810" s="5">
        <v>4</v>
      </c>
      <c r="R810" s="5" t="s">
        <v>52</v>
      </c>
      <c r="S810" s="5">
        <v>2514</v>
      </c>
      <c r="T810" s="5">
        <v>26968</v>
      </c>
      <c r="U810" s="5">
        <v>4</v>
      </c>
      <c r="V810" s="5" t="s">
        <v>42</v>
      </c>
      <c r="W810" s="5" t="s">
        <v>43</v>
      </c>
      <c r="X810" s="5">
        <v>22</v>
      </c>
      <c r="Y810" s="5">
        <v>4</v>
      </c>
      <c r="Z810" s="5">
        <v>1</v>
      </c>
      <c r="AA810" s="5">
        <v>80</v>
      </c>
      <c r="AB810" s="5">
        <v>1</v>
      </c>
      <c r="AC810" s="5">
        <v>11</v>
      </c>
      <c r="AD810" s="5">
        <v>1</v>
      </c>
      <c r="AE810" s="5">
        <v>3</v>
      </c>
      <c r="AF810" s="5">
        <v>7</v>
      </c>
      <c r="AG810" s="5">
        <v>5</v>
      </c>
      <c r="AH810" s="5">
        <v>1</v>
      </c>
      <c r="AI810" s="5">
        <v>7</v>
      </c>
    </row>
    <row r="811" spans="1:35" x14ac:dyDescent="0.25">
      <c r="A811" s="5">
        <v>28</v>
      </c>
      <c r="B811" s="5" t="s">
        <v>43</v>
      </c>
      <c r="C811" s="5" t="s">
        <v>36</v>
      </c>
      <c r="D811" s="5">
        <v>950</v>
      </c>
      <c r="E811" s="5" t="s">
        <v>45</v>
      </c>
      <c r="F811" s="5">
        <v>3</v>
      </c>
      <c r="G811" s="5">
        <v>3</v>
      </c>
      <c r="H811" s="5" t="s">
        <v>51</v>
      </c>
      <c r="I811" s="5">
        <v>1</v>
      </c>
      <c r="J811" s="5">
        <v>1121</v>
      </c>
      <c r="K811" s="5">
        <v>4</v>
      </c>
      <c r="L811" s="5" t="s">
        <v>39</v>
      </c>
      <c r="M811" s="5">
        <v>93</v>
      </c>
      <c r="N811" s="5">
        <v>3</v>
      </c>
      <c r="O811" s="5">
        <v>3</v>
      </c>
      <c r="P811" s="5" t="s">
        <v>53</v>
      </c>
      <c r="Q811" s="5">
        <v>2</v>
      </c>
      <c r="R811" s="5" t="s">
        <v>52</v>
      </c>
      <c r="S811" s="5">
        <v>7655</v>
      </c>
      <c r="T811" s="5">
        <v>8039</v>
      </c>
      <c r="U811" s="5">
        <v>0</v>
      </c>
      <c r="V811" s="5" t="s">
        <v>42</v>
      </c>
      <c r="W811" s="5" t="s">
        <v>43</v>
      </c>
      <c r="X811" s="5">
        <v>17</v>
      </c>
      <c r="Y811" s="5">
        <v>3</v>
      </c>
      <c r="Z811" s="5">
        <v>2</v>
      </c>
      <c r="AA811" s="5">
        <v>80</v>
      </c>
      <c r="AB811" s="5">
        <v>3</v>
      </c>
      <c r="AC811" s="5">
        <v>10</v>
      </c>
      <c r="AD811" s="5">
        <v>3</v>
      </c>
      <c r="AE811" s="5">
        <v>2</v>
      </c>
      <c r="AF811" s="5">
        <v>9</v>
      </c>
      <c r="AG811" s="5">
        <v>7</v>
      </c>
      <c r="AH811" s="5">
        <v>1</v>
      </c>
      <c r="AI811" s="5">
        <v>7</v>
      </c>
    </row>
    <row r="812" spans="1:35" x14ac:dyDescent="0.25">
      <c r="A812" s="5">
        <v>46</v>
      </c>
      <c r="B812" s="5" t="s">
        <v>43</v>
      </c>
      <c r="C812" s="5" t="s">
        <v>36</v>
      </c>
      <c r="D812" s="5">
        <v>406</v>
      </c>
      <c r="E812" s="5" t="s">
        <v>37</v>
      </c>
      <c r="F812" s="5">
        <v>3</v>
      </c>
      <c r="G812" s="5">
        <v>1</v>
      </c>
      <c r="H812" s="5" t="s">
        <v>59</v>
      </c>
      <c r="I812" s="5">
        <v>1</v>
      </c>
      <c r="J812" s="5">
        <v>1124</v>
      </c>
      <c r="K812" s="5">
        <v>1</v>
      </c>
      <c r="L812" s="5" t="s">
        <v>46</v>
      </c>
      <c r="M812" s="5">
        <v>52</v>
      </c>
      <c r="N812" s="5">
        <v>3</v>
      </c>
      <c r="O812" s="5">
        <v>4</v>
      </c>
      <c r="P812" s="5" t="s">
        <v>56</v>
      </c>
      <c r="Q812" s="5">
        <v>3</v>
      </c>
      <c r="R812" s="5" t="s">
        <v>48</v>
      </c>
      <c r="S812" s="5">
        <v>17465</v>
      </c>
      <c r="T812" s="5">
        <v>15596</v>
      </c>
      <c r="U812" s="5">
        <v>3</v>
      </c>
      <c r="V812" s="5" t="s">
        <v>42</v>
      </c>
      <c r="W812" s="5" t="s">
        <v>43</v>
      </c>
      <c r="X812" s="5">
        <v>12</v>
      </c>
      <c r="Y812" s="5">
        <v>3</v>
      </c>
      <c r="Z812" s="5">
        <v>4</v>
      </c>
      <c r="AA812" s="5">
        <v>80</v>
      </c>
      <c r="AB812" s="5">
        <v>1</v>
      </c>
      <c r="AC812" s="5">
        <v>23</v>
      </c>
      <c r="AD812" s="5">
        <v>3</v>
      </c>
      <c r="AE812" s="5">
        <v>3</v>
      </c>
      <c r="AF812" s="5">
        <v>12</v>
      </c>
      <c r="AG812" s="5">
        <v>9</v>
      </c>
      <c r="AH812" s="5">
        <v>4</v>
      </c>
      <c r="AI812" s="5">
        <v>9</v>
      </c>
    </row>
    <row r="813" spans="1:35" x14ac:dyDescent="0.25">
      <c r="A813" s="5">
        <v>38</v>
      </c>
      <c r="B813" s="5" t="s">
        <v>43</v>
      </c>
      <c r="C813" s="5" t="s">
        <v>36</v>
      </c>
      <c r="D813" s="5">
        <v>130</v>
      </c>
      <c r="E813" s="5" t="s">
        <v>37</v>
      </c>
      <c r="F813" s="5">
        <v>2</v>
      </c>
      <c r="G813" s="5">
        <v>2</v>
      </c>
      <c r="H813" s="5" t="s">
        <v>59</v>
      </c>
      <c r="I813" s="5">
        <v>1</v>
      </c>
      <c r="J813" s="5">
        <v>1125</v>
      </c>
      <c r="K813" s="5">
        <v>4</v>
      </c>
      <c r="L813" s="5" t="s">
        <v>46</v>
      </c>
      <c r="M813" s="5">
        <v>32</v>
      </c>
      <c r="N813" s="5">
        <v>3</v>
      </c>
      <c r="O813" s="5">
        <v>3</v>
      </c>
      <c r="P813" s="5" t="s">
        <v>40</v>
      </c>
      <c r="Q813" s="5">
        <v>2</v>
      </c>
      <c r="R813" s="5" t="s">
        <v>41</v>
      </c>
      <c r="S813" s="5">
        <v>7351</v>
      </c>
      <c r="T813" s="5">
        <v>20619</v>
      </c>
      <c r="U813" s="5">
        <v>7</v>
      </c>
      <c r="V813" s="5" t="s">
        <v>42</v>
      </c>
      <c r="W813" s="5" t="s">
        <v>43</v>
      </c>
      <c r="X813" s="5">
        <v>16</v>
      </c>
      <c r="Y813" s="5">
        <v>3</v>
      </c>
      <c r="Z813" s="5">
        <v>3</v>
      </c>
      <c r="AA813" s="5">
        <v>80</v>
      </c>
      <c r="AB813" s="5">
        <v>0</v>
      </c>
      <c r="AC813" s="5">
        <v>10</v>
      </c>
      <c r="AD813" s="5">
        <v>2</v>
      </c>
      <c r="AE813" s="5">
        <v>3</v>
      </c>
      <c r="AF813" s="5">
        <v>1</v>
      </c>
      <c r="AG813" s="5">
        <v>0</v>
      </c>
      <c r="AH813" s="5">
        <v>0</v>
      </c>
      <c r="AI813" s="5">
        <v>0</v>
      </c>
    </row>
    <row r="814" spans="1:35" x14ac:dyDescent="0.25">
      <c r="A814" s="5">
        <v>43</v>
      </c>
      <c r="B814" s="5" t="s">
        <v>43</v>
      </c>
      <c r="C814" s="5" t="s">
        <v>44</v>
      </c>
      <c r="D814" s="5">
        <v>1082</v>
      </c>
      <c r="E814" s="5" t="s">
        <v>45</v>
      </c>
      <c r="F814" s="5">
        <v>27</v>
      </c>
      <c r="G814" s="5">
        <v>3</v>
      </c>
      <c r="H814" s="5" t="s">
        <v>38</v>
      </c>
      <c r="I814" s="5">
        <v>1</v>
      </c>
      <c r="J814" s="5">
        <v>1126</v>
      </c>
      <c r="K814" s="5">
        <v>3</v>
      </c>
      <c r="L814" s="5" t="s">
        <v>39</v>
      </c>
      <c r="M814" s="5">
        <v>83</v>
      </c>
      <c r="N814" s="5">
        <v>3</v>
      </c>
      <c r="O814" s="5">
        <v>3</v>
      </c>
      <c r="P814" s="5" t="s">
        <v>53</v>
      </c>
      <c r="Q814" s="5">
        <v>1</v>
      </c>
      <c r="R814" s="5" t="s">
        <v>48</v>
      </c>
      <c r="S814" s="5">
        <v>10820</v>
      </c>
      <c r="T814" s="5">
        <v>11535</v>
      </c>
      <c r="U814" s="5">
        <v>8</v>
      </c>
      <c r="V814" s="5" t="s">
        <v>42</v>
      </c>
      <c r="W814" s="5" t="s">
        <v>43</v>
      </c>
      <c r="X814" s="5">
        <v>11</v>
      </c>
      <c r="Y814" s="5">
        <v>3</v>
      </c>
      <c r="Z814" s="5">
        <v>3</v>
      </c>
      <c r="AA814" s="5">
        <v>80</v>
      </c>
      <c r="AB814" s="5">
        <v>1</v>
      </c>
      <c r="AC814" s="5">
        <v>18</v>
      </c>
      <c r="AD814" s="5">
        <v>1</v>
      </c>
      <c r="AE814" s="5">
        <v>3</v>
      </c>
      <c r="AF814" s="5">
        <v>8</v>
      </c>
      <c r="AG814" s="5">
        <v>7</v>
      </c>
      <c r="AH814" s="5">
        <v>0</v>
      </c>
      <c r="AI814" s="5">
        <v>1</v>
      </c>
    </row>
    <row r="815" spans="1:35" x14ac:dyDescent="0.25">
      <c r="A815" s="5">
        <v>39</v>
      </c>
      <c r="B815" s="5" t="s">
        <v>35</v>
      </c>
      <c r="C815" s="5" t="s">
        <v>44</v>
      </c>
      <c r="D815" s="5">
        <v>203</v>
      </c>
      <c r="E815" s="5" t="s">
        <v>45</v>
      </c>
      <c r="F815" s="5">
        <v>2</v>
      </c>
      <c r="G815" s="5">
        <v>3</v>
      </c>
      <c r="H815" s="5" t="s">
        <v>38</v>
      </c>
      <c r="I815" s="5">
        <v>1</v>
      </c>
      <c r="J815" s="5">
        <v>1127</v>
      </c>
      <c r="K815" s="5">
        <v>1</v>
      </c>
      <c r="L815" s="5" t="s">
        <v>46</v>
      </c>
      <c r="M815" s="5">
        <v>84</v>
      </c>
      <c r="N815" s="5">
        <v>3</v>
      </c>
      <c r="O815" s="5">
        <v>4</v>
      </c>
      <c r="P815" s="5" t="s">
        <v>54</v>
      </c>
      <c r="Q815" s="5">
        <v>4</v>
      </c>
      <c r="R815" s="5" t="s">
        <v>52</v>
      </c>
      <c r="S815" s="5">
        <v>12169</v>
      </c>
      <c r="T815" s="5">
        <v>13547</v>
      </c>
      <c r="U815" s="5">
        <v>7</v>
      </c>
      <c r="V815" s="5" t="s">
        <v>42</v>
      </c>
      <c r="W815" s="5" t="s">
        <v>43</v>
      </c>
      <c r="X815" s="5">
        <v>11</v>
      </c>
      <c r="Y815" s="5">
        <v>3</v>
      </c>
      <c r="Z815" s="5">
        <v>4</v>
      </c>
      <c r="AA815" s="5">
        <v>80</v>
      </c>
      <c r="AB815" s="5">
        <v>3</v>
      </c>
      <c r="AC815" s="5">
        <v>21</v>
      </c>
      <c r="AD815" s="5">
        <v>4</v>
      </c>
      <c r="AE815" s="5">
        <v>3</v>
      </c>
      <c r="AF815" s="5">
        <v>18</v>
      </c>
      <c r="AG815" s="5">
        <v>7</v>
      </c>
      <c r="AH815" s="5">
        <v>11</v>
      </c>
      <c r="AI815" s="5">
        <v>5</v>
      </c>
    </row>
    <row r="816" spans="1:35" x14ac:dyDescent="0.25">
      <c r="A816" s="5">
        <v>40</v>
      </c>
      <c r="B816" s="5" t="s">
        <v>43</v>
      </c>
      <c r="C816" s="5" t="s">
        <v>36</v>
      </c>
      <c r="D816" s="5">
        <v>1308</v>
      </c>
      <c r="E816" s="5" t="s">
        <v>45</v>
      </c>
      <c r="F816" s="5">
        <v>14</v>
      </c>
      <c r="G816" s="5">
        <v>3</v>
      </c>
      <c r="H816" s="5" t="s">
        <v>51</v>
      </c>
      <c r="I816" s="5">
        <v>1</v>
      </c>
      <c r="J816" s="5">
        <v>1128</v>
      </c>
      <c r="K816" s="5">
        <v>3</v>
      </c>
      <c r="L816" s="5" t="s">
        <v>46</v>
      </c>
      <c r="M816" s="5">
        <v>44</v>
      </c>
      <c r="N816" s="5">
        <v>2</v>
      </c>
      <c r="O816" s="5">
        <v>5</v>
      </c>
      <c r="P816" s="5" t="s">
        <v>58</v>
      </c>
      <c r="Q816" s="5">
        <v>3</v>
      </c>
      <c r="R816" s="5" t="s">
        <v>41</v>
      </c>
      <c r="S816" s="5">
        <v>19626</v>
      </c>
      <c r="T816" s="5">
        <v>17544</v>
      </c>
      <c r="U816" s="5">
        <v>1</v>
      </c>
      <c r="V816" s="5" t="s">
        <v>42</v>
      </c>
      <c r="W816" s="5" t="s">
        <v>43</v>
      </c>
      <c r="X816" s="5">
        <v>14</v>
      </c>
      <c r="Y816" s="5">
        <v>3</v>
      </c>
      <c r="Z816" s="5">
        <v>1</v>
      </c>
      <c r="AA816" s="5">
        <v>80</v>
      </c>
      <c r="AB816" s="5">
        <v>0</v>
      </c>
      <c r="AC816" s="5">
        <v>21</v>
      </c>
      <c r="AD816" s="5">
        <v>2</v>
      </c>
      <c r="AE816" s="5">
        <v>4</v>
      </c>
      <c r="AF816" s="5">
        <v>20</v>
      </c>
      <c r="AG816" s="5">
        <v>7</v>
      </c>
      <c r="AH816" s="5">
        <v>4</v>
      </c>
      <c r="AI816" s="5">
        <v>9</v>
      </c>
    </row>
    <row r="817" spans="1:35" x14ac:dyDescent="0.25">
      <c r="A817" s="5">
        <v>21</v>
      </c>
      <c r="B817" s="5" t="s">
        <v>43</v>
      </c>
      <c r="C817" s="5" t="s">
        <v>36</v>
      </c>
      <c r="D817" s="5">
        <v>984</v>
      </c>
      <c r="E817" s="5" t="s">
        <v>45</v>
      </c>
      <c r="F817" s="5">
        <v>1</v>
      </c>
      <c r="G817" s="5">
        <v>1</v>
      </c>
      <c r="H817" s="5" t="s">
        <v>60</v>
      </c>
      <c r="I817" s="5">
        <v>1</v>
      </c>
      <c r="J817" s="5">
        <v>1131</v>
      </c>
      <c r="K817" s="5">
        <v>4</v>
      </c>
      <c r="L817" s="5" t="s">
        <v>39</v>
      </c>
      <c r="M817" s="5">
        <v>70</v>
      </c>
      <c r="N817" s="5">
        <v>2</v>
      </c>
      <c r="O817" s="5">
        <v>1</v>
      </c>
      <c r="P817" s="5" t="s">
        <v>47</v>
      </c>
      <c r="Q817" s="5">
        <v>2</v>
      </c>
      <c r="R817" s="5" t="s">
        <v>41</v>
      </c>
      <c r="S817" s="5">
        <v>2070</v>
      </c>
      <c r="T817" s="5">
        <v>25326</v>
      </c>
      <c r="U817" s="5">
        <v>1</v>
      </c>
      <c r="V817" s="5" t="s">
        <v>42</v>
      </c>
      <c r="W817" s="5" t="s">
        <v>35</v>
      </c>
      <c r="X817" s="5">
        <v>11</v>
      </c>
      <c r="Y817" s="5">
        <v>3</v>
      </c>
      <c r="Z817" s="5">
        <v>3</v>
      </c>
      <c r="AA817" s="5">
        <v>80</v>
      </c>
      <c r="AB817" s="5">
        <v>0</v>
      </c>
      <c r="AC817" s="5">
        <v>2</v>
      </c>
      <c r="AD817" s="5">
        <v>6</v>
      </c>
      <c r="AE817" s="5">
        <v>4</v>
      </c>
      <c r="AF817" s="5">
        <v>2</v>
      </c>
      <c r="AG817" s="5">
        <v>2</v>
      </c>
      <c r="AH817" s="5">
        <v>2</v>
      </c>
      <c r="AI817" s="5">
        <v>2</v>
      </c>
    </row>
    <row r="818" spans="1:35" x14ac:dyDescent="0.25">
      <c r="A818" s="5">
        <v>39</v>
      </c>
      <c r="B818" s="5" t="s">
        <v>43</v>
      </c>
      <c r="C818" s="5" t="s">
        <v>55</v>
      </c>
      <c r="D818" s="5">
        <v>439</v>
      </c>
      <c r="E818" s="5" t="s">
        <v>45</v>
      </c>
      <c r="F818" s="5">
        <v>9</v>
      </c>
      <c r="G818" s="5">
        <v>3</v>
      </c>
      <c r="H818" s="5" t="s">
        <v>38</v>
      </c>
      <c r="I818" s="5">
        <v>1</v>
      </c>
      <c r="J818" s="5">
        <v>1132</v>
      </c>
      <c r="K818" s="5">
        <v>3</v>
      </c>
      <c r="L818" s="5" t="s">
        <v>46</v>
      </c>
      <c r="M818" s="5">
        <v>70</v>
      </c>
      <c r="N818" s="5">
        <v>3</v>
      </c>
      <c r="O818" s="5">
        <v>2</v>
      </c>
      <c r="P818" s="5" t="s">
        <v>50</v>
      </c>
      <c r="Q818" s="5">
        <v>2</v>
      </c>
      <c r="R818" s="5" t="s">
        <v>41</v>
      </c>
      <c r="S818" s="5">
        <v>6782</v>
      </c>
      <c r="T818" s="5">
        <v>8770</v>
      </c>
      <c r="U818" s="5">
        <v>9</v>
      </c>
      <c r="V818" s="5" t="s">
        <v>42</v>
      </c>
      <c r="W818" s="5" t="s">
        <v>43</v>
      </c>
      <c r="X818" s="5">
        <v>15</v>
      </c>
      <c r="Y818" s="5">
        <v>3</v>
      </c>
      <c r="Z818" s="5">
        <v>3</v>
      </c>
      <c r="AA818" s="5">
        <v>80</v>
      </c>
      <c r="AB818" s="5">
        <v>0</v>
      </c>
      <c r="AC818" s="5">
        <v>9</v>
      </c>
      <c r="AD818" s="5">
        <v>2</v>
      </c>
      <c r="AE818" s="5">
        <v>2</v>
      </c>
      <c r="AF818" s="5">
        <v>5</v>
      </c>
      <c r="AG818" s="5">
        <v>4</v>
      </c>
      <c r="AH818" s="5">
        <v>0</v>
      </c>
      <c r="AI818" s="5">
        <v>3</v>
      </c>
    </row>
    <row r="819" spans="1:35" x14ac:dyDescent="0.25">
      <c r="A819" s="5">
        <v>36</v>
      </c>
      <c r="B819" s="5" t="s">
        <v>43</v>
      </c>
      <c r="C819" s="5" t="s">
        <v>55</v>
      </c>
      <c r="D819" s="5">
        <v>217</v>
      </c>
      <c r="E819" s="5" t="s">
        <v>45</v>
      </c>
      <c r="F819" s="5">
        <v>18</v>
      </c>
      <c r="G819" s="5">
        <v>4</v>
      </c>
      <c r="H819" s="5" t="s">
        <v>38</v>
      </c>
      <c r="I819" s="5">
        <v>1</v>
      </c>
      <c r="J819" s="5">
        <v>1133</v>
      </c>
      <c r="K819" s="5">
        <v>1</v>
      </c>
      <c r="L819" s="5" t="s">
        <v>46</v>
      </c>
      <c r="M819" s="5">
        <v>78</v>
      </c>
      <c r="N819" s="5">
        <v>3</v>
      </c>
      <c r="O819" s="5">
        <v>2</v>
      </c>
      <c r="P819" s="5" t="s">
        <v>53</v>
      </c>
      <c r="Q819" s="5">
        <v>4</v>
      </c>
      <c r="R819" s="5" t="s">
        <v>41</v>
      </c>
      <c r="S819" s="5">
        <v>7779</v>
      </c>
      <c r="T819" s="5">
        <v>23238</v>
      </c>
      <c r="U819" s="5">
        <v>2</v>
      </c>
      <c r="V819" s="5" t="s">
        <v>42</v>
      </c>
      <c r="W819" s="5" t="s">
        <v>43</v>
      </c>
      <c r="X819" s="5">
        <v>20</v>
      </c>
      <c r="Y819" s="5">
        <v>4</v>
      </c>
      <c r="Z819" s="5">
        <v>1</v>
      </c>
      <c r="AA819" s="5">
        <v>80</v>
      </c>
      <c r="AB819" s="5">
        <v>0</v>
      </c>
      <c r="AC819" s="5">
        <v>18</v>
      </c>
      <c r="AD819" s="5">
        <v>0</v>
      </c>
      <c r="AE819" s="5">
        <v>3</v>
      </c>
      <c r="AF819" s="5">
        <v>11</v>
      </c>
      <c r="AG819" s="5">
        <v>9</v>
      </c>
      <c r="AH819" s="5">
        <v>0</v>
      </c>
      <c r="AI819" s="5">
        <v>9</v>
      </c>
    </row>
    <row r="820" spans="1:35" x14ac:dyDescent="0.25">
      <c r="A820" s="5">
        <v>31</v>
      </c>
      <c r="B820" s="5" t="s">
        <v>43</v>
      </c>
      <c r="C820" s="5" t="s">
        <v>44</v>
      </c>
      <c r="D820" s="5">
        <v>793</v>
      </c>
      <c r="E820" s="5" t="s">
        <v>37</v>
      </c>
      <c r="F820" s="5">
        <v>20</v>
      </c>
      <c r="G820" s="5">
        <v>3</v>
      </c>
      <c r="H820" s="5" t="s">
        <v>38</v>
      </c>
      <c r="I820" s="5">
        <v>1</v>
      </c>
      <c r="J820" s="5">
        <v>1135</v>
      </c>
      <c r="K820" s="5">
        <v>3</v>
      </c>
      <c r="L820" s="5" t="s">
        <v>46</v>
      </c>
      <c r="M820" s="5">
        <v>67</v>
      </c>
      <c r="N820" s="5">
        <v>4</v>
      </c>
      <c r="O820" s="5">
        <v>1</v>
      </c>
      <c r="P820" s="5" t="s">
        <v>57</v>
      </c>
      <c r="Q820" s="5">
        <v>4</v>
      </c>
      <c r="R820" s="5" t="s">
        <v>48</v>
      </c>
      <c r="S820" s="5">
        <v>2791</v>
      </c>
      <c r="T820" s="5">
        <v>21981</v>
      </c>
      <c r="U820" s="5">
        <v>0</v>
      </c>
      <c r="V820" s="5" t="s">
        <v>42</v>
      </c>
      <c r="W820" s="5" t="s">
        <v>43</v>
      </c>
      <c r="X820" s="5">
        <v>12</v>
      </c>
      <c r="Y820" s="5">
        <v>3</v>
      </c>
      <c r="Z820" s="5">
        <v>1</v>
      </c>
      <c r="AA820" s="5">
        <v>80</v>
      </c>
      <c r="AB820" s="5">
        <v>1</v>
      </c>
      <c r="AC820" s="5">
        <v>3</v>
      </c>
      <c r="AD820" s="5">
        <v>4</v>
      </c>
      <c r="AE820" s="5">
        <v>3</v>
      </c>
      <c r="AF820" s="5">
        <v>2</v>
      </c>
      <c r="AG820" s="5">
        <v>2</v>
      </c>
      <c r="AH820" s="5">
        <v>2</v>
      </c>
      <c r="AI820" s="5">
        <v>2</v>
      </c>
    </row>
    <row r="821" spans="1:35" x14ac:dyDescent="0.25">
      <c r="A821" s="5">
        <v>28</v>
      </c>
      <c r="B821" s="5" t="s">
        <v>43</v>
      </c>
      <c r="C821" s="5" t="s">
        <v>36</v>
      </c>
      <c r="D821" s="5">
        <v>1451</v>
      </c>
      <c r="E821" s="5" t="s">
        <v>45</v>
      </c>
      <c r="F821" s="5">
        <v>2</v>
      </c>
      <c r="G821" s="5">
        <v>1</v>
      </c>
      <c r="H821" s="5" t="s">
        <v>38</v>
      </c>
      <c r="I821" s="5">
        <v>1</v>
      </c>
      <c r="J821" s="5">
        <v>1136</v>
      </c>
      <c r="K821" s="5">
        <v>1</v>
      </c>
      <c r="L821" s="5" t="s">
        <v>46</v>
      </c>
      <c r="M821" s="5">
        <v>67</v>
      </c>
      <c r="N821" s="5">
        <v>2</v>
      </c>
      <c r="O821" s="5">
        <v>1</v>
      </c>
      <c r="P821" s="5" t="s">
        <v>47</v>
      </c>
      <c r="Q821" s="5">
        <v>2</v>
      </c>
      <c r="R821" s="5" t="s">
        <v>48</v>
      </c>
      <c r="S821" s="5">
        <v>3201</v>
      </c>
      <c r="T821" s="5">
        <v>19911</v>
      </c>
      <c r="U821" s="5">
        <v>0</v>
      </c>
      <c r="V821" s="5" t="s">
        <v>42</v>
      </c>
      <c r="W821" s="5" t="s">
        <v>43</v>
      </c>
      <c r="X821" s="5">
        <v>17</v>
      </c>
      <c r="Y821" s="5">
        <v>3</v>
      </c>
      <c r="Z821" s="5">
        <v>1</v>
      </c>
      <c r="AA821" s="5">
        <v>80</v>
      </c>
      <c r="AB821" s="5">
        <v>0</v>
      </c>
      <c r="AC821" s="5">
        <v>6</v>
      </c>
      <c r="AD821" s="5">
        <v>2</v>
      </c>
      <c r="AE821" s="5">
        <v>1</v>
      </c>
      <c r="AF821" s="5">
        <v>5</v>
      </c>
      <c r="AG821" s="5">
        <v>3</v>
      </c>
      <c r="AH821" s="5">
        <v>0</v>
      </c>
      <c r="AI821" s="5">
        <v>4</v>
      </c>
    </row>
    <row r="822" spans="1:35" x14ac:dyDescent="0.25">
      <c r="A822" s="5">
        <v>35</v>
      </c>
      <c r="B822" s="5" t="s">
        <v>43</v>
      </c>
      <c r="C822" s="5" t="s">
        <v>44</v>
      </c>
      <c r="D822" s="5">
        <v>1182</v>
      </c>
      <c r="E822" s="5" t="s">
        <v>37</v>
      </c>
      <c r="F822" s="5">
        <v>11</v>
      </c>
      <c r="G822" s="5">
        <v>2</v>
      </c>
      <c r="H822" s="5" t="s">
        <v>59</v>
      </c>
      <c r="I822" s="5">
        <v>1</v>
      </c>
      <c r="J822" s="5">
        <v>1137</v>
      </c>
      <c r="K822" s="5">
        <v>4</v>
      </c>
      <c r="L822" s="5" t="s">
        <v>46</v>
      </c>
      <c r="M822" s="5">
        <v>54</v>
      </c>
      <c r="N822" s="5">
        <v>3</v>
      </c>
      <c r="O822" s="5">
        <v>2</v>
      </c>
      <c r="P822" s="5" t="s">
        <v>40</v>
      </c>
      <c r="Q822" s="5">
        <v>4</v>
      </c>
      <c r="R822" s="5" t="s">
        <v>52</v>
      </c>
      <c r="S822" s="5">
        <v>4968</v>
      </c>
      <c r="T822" s="5">
        <v>18500</v>
      </c>
      <c r="U822" s="5">
        <v>1</v>
      </c>
      <c r="V822" s="5" t="s">
        <v>42</v>
      </c>
      <c r="W822" s="5" t="s">
        <v>43</v>
      </c>
      <c r="X822" s="5">
        <v>11</v>
      </c>
      <c r="Y822" s="5">
        <v>3</v>
      </c>
      <c r="Z822" s="5">
        <v>4</v>
      </c>
      <c r="AA822" s="5">
        <v>80</v>
      </c>
      <c r="AB822" s="5">
        <v>1</v>
      </c>
      <c r="AC822" s="5">
        <v>5</v>
      </c>
      <c r="AD822" s="5">
        <v>3</v>
      </c>
      <c r="AE822" s="5">
        <v>3</v>
      </c>
      <c r="AF822" s="5">
        <v>5</v>
      </c>
      <c r="AG822" s="5">
        <v>2</v>
      </c>
      <c r="AH822" s="5">
        <v>0</v>
      </c>
      <c r="AI822" s="5">
        <v>2</v>
      </c>
    </row>
    <row r="823" spans="1:35" x14ac:dyDescent="0.25">
      <c r="A823" s="5">
        <v>49</v>
      </c>
      <c r="B823" s="5" t="s">
        <v>43</v>
      </c>
      <c r="C823" s="5" t="s">
        <v>36</v>
      </c>
      <c r="D823" s="5">
        <v>174</v>
      </c>
      <c r="E823" s="5" t="s">
        <v>37</v>
      </c>
      <c r="F823" s="5">
        <v>8</v>
      </c>
      <c r="G823" s="5">
        <v>4</v>
      </c>
      <c r="H823" s="5" t="s">
        <v>60</v>
      </c>
      <c r="I823" s="5">
        <v>1</v>
      </c>
      <c r="J823" s="5">
        <v>1138</v>
      </c>
      <c r="K823" s="5">
        <v>4</v>
      </c>
      <c r="L823" s="5" t="s">
        <v>46</v>
      </c>
      <c r="M823" s="5">
        <v>56</v>
      </c>
      <c r="N823" s="5">
        <v>2</v>
      </c>
      <c r="O823" s="5">
        <v>4</v>
      </c>
      <c r="P823" s="5" t="s">
        <v>40</v>
      </c>
      <c r="Q823" s="5">
        <v>2</v>
      </c>
      <c r="R823" s="5" t="s">
        <v>48</v>
      </c>
      <c r="S823" s="5">
        <v>13120</v>
      </c>
      <c r="T823" s="5">
        <v>11879</v>
      </c>
      <c r="U823" s="5">
        <v>6</v>
      </c>
      <c r="V823" s="5" t="s">
        <v>42</v>
      </c>
      <c r="W823" s="5" t="s">
        <v>43</v>
      </c>
      <c r="X823" s="5">
        <v>17</v>
      </c>
      <c r="Y823" s="5">
        <v>3</v>
      </c>
      <c r="Z823" s="5">
        <v>2</v>
      </c>
      <c r="AA823" s="5">
        <v>80</v>
      </c>
      <c r="AB823" s="5">
        <v>1</v>
      </c>
      <c r="AC823" s="5">
        <v>22</v>
      </c>
      <c r="AD823" s="5">
        <v>3</v>
      </c>
      <c r="AE823" s="5">
        <v>3</v>
      </c>
      <c r="AF823" s="5">
        <v>9</v>
      </c>
      <c r="AG823" s="5">
        <v>8</v>
      </c>
      <c r="AH823" s="5">
        <v>2</v>
      </c>
      <c r="AI823" s="5">
        <v>3</v>
      </c>
    </row>
    <row r="824" spans="1:35" x14ac:dyDescent="0.25">
      <c r="A824" s="5">
        <v>34</v>
      </c>
      <c r="B824" s="5" t="s">
        <v>43</v>
      </c>
      <c r="C824" s="5" t="s">
        <v>44</v>
      </c>
      <c r="D824" s="5">
        <v>1003</v>
      </c>
      <c r="E824" s="5" t="s">
        <v>45</v>
      </c>
      <c r="F824" s="5">
        <v>2</v>
      </c>
      <c r="G824" s="5">
        <v>2</v>
      </c>
      <c r="H824" s="5" t="s">
        <v>38</v>
      </c>
      <c r="I824" s="5">
        <v>1</v>
      </c>
      <c r="J824" s="5">
        <v>1140</v>
      </c>
      <c r="K824" s="5">
        <v>4</v>
      </c>
      <c r="L824" s="5" t="s">
        <v>46</v>
      </c>
      <c r="M824" s="5">
        <v>95</v>
      </c>
      <c r="N824" s="5">
        <v>3</v>
      </c>
      <c r="O824" s="5">
        <v>2</v>
      </c>
      <c r="P824" s="5" t="s">
        <v>53</v>
      </c>
      <c r="Q824" s="5">
        <v>3</v>
      </c>
      <c r="R824" s="5" t="s">
        <v>41</v>
      </c>
      <c r="S824" s="5">
        <v>4033</v>
      </c>
      <c r="T824" s="5">
        <v>15834</v>
      </c>
      <c r="U824" s="5">
        <v>2</v>
      </c>
      <c r="V824" s="5" t="s">
        <v>42</v>
      </c>
      <c r="W824" s="5" t="s">
        <v>43</v>
      </c>
      <c r="X824" s="5">
        <v>11</v>
      </c>
      <c r="Y824" s="5">
        <v>3</v>
      </c>
      <c r="Z824" s="5">
        <v>4</v>
      </c>
      <c r="AA824" s="5">
        <v>80</v>
      </c>
      <c r="AB824" s="5">
        <v>0</v>
      </c>
      <c r="AC824" s="5">
        <v>5</v>
      </c>
      <c r="AD824" s="5">
        <v>3</v>
      </c>
      <c r="AE824" s="5">
        <v>2</v>
      </c>
      <c r="AF824" s="5">
        <v>3</v>
      </c>
      <c r="AG824" s="5">
        <v>2</v>
      </c>
      <c r="AH824" s="5">
        <v>0</v>
      </c>
      <c r="AI824" s="5">
        <v>2</v>
      </c>
    </row>
    <row r="825" spans="1:35" x14ac:dyDescent="0.25">
      <c r="A825" s="5">
        <v>29</v>
      </c>
      <c r="B825" s="5" t="s">
        <v>43</v>
      </c>
      <c r="C825" s="5" t="s">
        <v>44</v>
      </c>
      <c r="D825" s="5">
        <v>490</v>
      </c>
      <c r="E825" s="5" t="s">
        <v>45</v>
      </c>
      <c r="F825" s="5">
        <v>10</v>
      </c>
      <c r="G825" s="5">
        <v>3</v>
      </c>
      <c r="H825" s="5" t="s">
        <v>38</v>
      </c>
      <c r="I825" s="5">
        <v>1</v>
      </c>
      <c r="J825" s="5">
        <v>1143</v>
      </c>
      <c r="K825" s="5">
        <v>4</v>
      </c>
      <c r="L825" s="5" t="s">
        <v>39</v>
      </c>
      <c r="M825" s="5">
        <v>61</v>
      </c>
      <c r="N825" s="5">
        <v>3</v>
      </c>
      <c r="O825" s="5">
        <v>1</v>
      </c>
      <c r="P825" s="5" t="s">
        <v>47</v>
      </c>
      <c r="Q825" s="5">
        <v>2</v>
      </c>
      <c r="R825" s="5" t="s">
        <v>52</v>
      </c>
      <c r="S825" s="5">
        <v>3291</v>
      </c>
      <c r="T825" s="5">
        <v>17940</v>
      </c>
      <c r="U825" s="5">
        <v>0</v>
      </c>
      <c r="V825" s="5" t="s">
        <v>42</v>
      </c>
      <c r="W825" s="5" t="s">
        <v>43</v>
      </c>
      <c r="X825" s="5">
        <v>14</v>
      </c>
      <c r="Y825" s="5">
        <v>3</v>
      </c>
      <c r="Z825" s="5">
        <v>4</v>
      </c>
      <c r="AA825" s="5">
        <v>80</v>
      </c>
      <c r="AB825" s="5">
        <v>2</v>
      </c>
      <c r="AC825" s="5">
        <v>8</v>
      </c>
      <c r="AD825" s="5">
        <v>2</v>
      </c>
      <c r="AE825" s="5">
        <v>2</v>
      </c>
      <c r="AF825" s="5">
        <v>7</v>
      </c>
      <c r="AG825" s="5">
        <v>5</v>
      </c>
      <c r="AH825" s="5">
        <v>1</v>
      </c>
      <c r="AI825" s="5">
        <v>1</v>
      </c>
    </row>
    <row r="826" spans="1:35" x14ac:dyDescent="0.25">
      <c r="A826" s="5">
        <v>42</v>
      </c>
      <c r="B826" s="5" t="s">
        <v>43</v>
      </c>
      <c r="C826" s="5" t="s">
        <v>36</v>
      </c>
      <c r="D826" s="5">
        <v>188</v>
      </c>
      <c r="E826" s="5" t="s">
        <v>45</v>
      </c>
      <c r="F826" s="5">
        <v>29</v>
      </c>
      <c r="G826" s="5">
        <v>3</v>
      </c>
      <c r="H826" s="5" t="s">
        <v>51</v>
      </c>
      <c r="I826" s="5">
        <v>1</v>
      </c>
      <c r="J826" s="5">
        <v>1148</v>
      </c>
      <c r="K826" s="5">
        <v>2</v>
      </c>
      <c r="L826" s="5" t="s">
        <v>46</v>
      </c>
      <c r="M826" s="5">
        <v>56</v>
      </c>
      <c r="N826" s="5">
        <v>1</v>
      </c>
      <c r="O826" s="5">
        <v>2</v>
      </c>
      <c r="P826" s="5" t="s">
        <v>50</v>
      </c>
      <c r="Q826" s="5">
        <v>4</v>
      </c>
      <c r="R826" s="5" t="s">
        <v>41</v>
      </c>
      <c r="S826" s="5">
        <v>4272</v>
      </c>
      <c r="T826" s="5">
        <v>9558</v>
      </c>
      <c r="U826" s="5">
        <v>4</v>
      </c>
      <c r="V826" s="5" t="s">
        <v>42</v>
      </c>
      <c r="W826" s="5" t="s">
        <v>43</v>
      </c>
      <c r="X826" s="5">
        <v>19</v>
      </c>
      <c r="Y826" s="5">
        <v>3</v>
      </c>
      <c r="Z826" s="5">
        <v>1</v>
      </c>
      <c r="AA826" s="5">
        <v>80</v>
      </c>
      <c r="AB826" s="5">
        <v>0</v>
      </c>
      <c r="AC826" s="5">
        <v>16</v>
      </c>
      <c r="AD826" s="5">
        <v>3</v>
      </c>
      <c r="AE826" s="5">
        <v>3</v>
      </c>
      <c r="AF826" s="5">
        <v>1</v>
      </c>
      <c r="AG826" s="5">
        <v>0</v>
      </c>
      <c r="AH826" s="5">
        <v>0</v>
      </c>
      <c r="AI826" s="5">
        <v>0</v>
      </c>
    </row>
    <row r="827" spans="1:35" x14ac:dyDescent="0.25">
      <c r="A827" s="5">
        <v>29</v>
      </c>
      <c r="B827" s="5" t="s">
        <v>43</v>
      </c>
      <c r="C827" s="5" t="s">
        <v>36</v>
      </c>
      <c r="D827" s="5">
        <v>718</v>
      </c>
      <c r="E827" s="5" t="s">
        <v>45</v>
      </c>
      <c r="F827" s="5">
        <v>8</v>
      </c>
      <c r="G827" s="5">
        <v>1</v>
      </c>
      <c r="H827" s="5" t="s">
        <v>51</v>
      </c>
      <c r="I827" s="5">
        <v>1</v>
      </c>
      <c r="J827" s="5">
        <v>1150</v>
      </c>
      <c r="K827" s="5">
        <v>2</v>
      </c>
      <c r="L827" s="5" t="s">
        <v>46</v>
      </c>
      <c r="M827" s="5">
        <v>79</v>
      </c>
      <c r="N827" s="5">
        <v>2</v>
      </c>
      <c r="O827" s="5">
        <v>2</v>
      </c>
      <c r="P827" s="5" t="s">
        <v>53</v>
      </c>
      <c r="Q827" s="5">
        <v>4</v>
      </c>
      <c r="R827" s="5" t="s">
        <v>48</v>
      </c>
      <c r="S827" s="5">
        <v>5056</v>
      </c>
      <c r="T827" s="5">
        <v>17689</v>
      </c>
      <c r="U827" s="5">
        <v>1</v>
      </c>
      <c r="V827" s="5" t="s">
        <v>42</v>
      </c>
      <c r="W827" s="5" t="s">
        <v>35</v>
      </c>
      <c r="X827" s="5">
        <v>15</v>
      </c>
      <c r="Y827" s="5">
        <v>3</v>
      </c>
      <c r="Z827" s="5">
        <v>3</v>
      </c>
      <c r="AA827" s="5">
        <v>80</v>
      </c>
      <c r="AB827" s="5">
        <v>1</v>
      </c>
      <c r="AC827" s="5">
        <v>10</v>
      </c>
      <c r="AD827" s="5">
        <v>2</v>
      </c>
      <c r="AE827" s="5">
        <v>2</v>
      </c>
      <c r="AF827" s="5">
        <v>10</v>
      </c>
      <c r="AG827" s="5">
        <v>7</v>
      </c>
      <c r="AH827" s="5">
        <v>1</v>
      </c>
      <c r="AI827" s="5">
        <v>2</v>
      </c>
    </row>
    <row r="828" spans="1:35" x14ac:dyDescent="0.25">
      <c r="A828" s="5">
        <v>38</v>
      </c>
      <c r="B828" s="5" t="s">
        <v>43</v>
      </c>
      <c r="C828" s="5" t="s">
        <v>36</v>
      </c>
      <c r="D828" s="5">
        <v>433</v>
      </c>
      <c r="E828" s="5" t="s">
        <v>61</v>
      </c>
      <c r="F828" s="5">
        <v>1</v>
      </c>
      <c r="G828" s="5">
        <v>3</v>
      </c>
      <c r="H828" s="5" t="s">
        <v>61</v>
      </c>
      <c r="I828" s="5">
        <v>1</v>
      </c>
      <c r="J828" s="5">
        <v>1152</v>
      </c>
      <c r="K828" s="5">
        <v>3</v>
      </c>
      <c r="L828" s="5" t="s">
        <v>46</v>
      </c>
      <c r="M828" s="5">
        <v>37</v>
      </c>
      <c r="N828" s="5">
        <v>4</v>
      </c>
      <c r="O828" s="5">
        <v>1</v>
      </c>
      <c r="P828" s="5" t="s">
        <v>61</v>
      </c>
      <c r="Q828" s="5">
        <v>3</v>
      </c>
      <c r="R828" s="5" t="s">
        <v>48</v>
      </c>
      <c r="S828" s="5">
        <v>2844</v>
      </c>
      <c r="T828" s="5">
        <v>6004</v>
      </c>
      <c r="U828" s="5">
        <v>1</v>
      </c>
      <c r="V828" s="5" t="s">
        <v>42</v>
      </c>
      <c r="W828" s="5" t="s">
        <v>43</v>
      </c>
      <c r="X828" s="5">
        <v>13</v>
      </c>
      <c r="Y828" s="5">
        <v>3</v>
      </c>
      <c r="Z828" s="5">
        <v>4</v>
      </c>
      <c r="AA828" s="5">
        <v>80</v>
      </c>
      <c r="AB828" s="5">
        <v>1</v>
      </c>
      <c r="AC828" s="5">
        <v>7</v>
      </c>
      <c r="AD828" s="5">
        <v>2</v>
      </c>
      <c r="AE828" s="5">
        <v>4</v>
      </c>
      <c r="AF828" s="5">
        <v>7</v>
      </c>
      <c r="AG828" s="5">
        <v>6</v>
      </c>
      <c r="AH828" s="5">
        <v>5</v>
      </c>
      <c r="AI828" s="5">
        <v>0</v>
      </c>
    </row>
    <row r="829" spans="1:35" x14ac:dyDescent="0.25">
      <c r="A829" s="5">
        <v>28</v>
      </c>
      <c r="B829" s="5" t="s">
        <v>43</v>
      </c>
      <c r="C829" s="5" t="s">
        <v>44</v>
      </c>
      <c r="D829" s="5">
        <v>773</v>
      </c>
      <c r="E829" s="5" t="s">
        <v>45</v>
      </c>
      <c r="F829" s="5">
        <v>6</v>
      </c>
      <c r="G829" s="5">
        <v>3</v>
      </c>
      <c r="H829" s="5" t="s">
        <v>38</v>
      </c>
      <c r="I829" s="5">
        <v>1</v>
      </c>
      <c r="J829" s="5">
        <v>1154</v>
      </c>
      <c r="K829" s="5">
        <v>3</v>
      </c>
      <c r="L829" s="5" t="s">
        <v>46</v>
      </c>
      <c r="M829" s="5">
        <v>39</v>
      </c>
      <c r="N829" s="5">
        <v>2</v>
      </c>
      <c r="O829" s="5">
        <v>1</v>
      </c>
      <c r="P829" s="5" t="s">
        <v>47</v>
      </c>
      <c r="Q829" s="5">
        <v>3</v>
      </c>
      <c r="R829" s="5" t="s">
        <v>52</v>
      </c>
      <c r="S829" s="5">
        <v>2703</v>
      </c>
      <c r="T829" s="5">
        <v>22088</v>
      </c>
      <c r="U829" s="5">
        <v>1</v>
      </c>
      <c r="V829" s="5" t="s">
        <v>42</v>
      </c>
      <c r="W829" s="5" t="s">
        <v>35</v>
      </c>
      <c r="X829" s="5">
        <v>14</v>
      </c>
      <c r="Y829" s="5">
        <v>3</v>
      </c>
      <c r="Z829" s="5">
        <v>4</v>
      </c>
      <c r="AA829" s="5">
        <v>80</v>
      </c>
      <c r="AB829" s="5">
        <v>1</v>
      </c>
      <c r="AC829" s="5">
        <v>3</v>
      </c>
      <c r="AD829" s="5">
        <v>2</v>
      </c>
      <c r="AE829" s="5">
        <v>3</v>
      </c>
      <c r="AF829" s="5">
        <v>3</v>
      </c>
      <c r="AG829" s="5">
        <v>1</v>
      </c>
      <c r="AH829" s="5">
        <v>0</v>
      </c>
      <c r="AI829" s="5">
        <v>2</v>
      </c>
    </row>
    <row r="830" spans="1:35" x14ac:dyDescent="0.25">
      <c r="A830" s="5">
        <v>18</v>
      </c>
      <c r="B830" s="5" t="s">
        <v>35</v>
      </c>
      <c r="C830" s="5" t="s">
        <v>55</v>
      </c>
      <c r="D830" s="5">
        <v>247</v>
      </c>
      <c r="E830" s="5" t="s">
        <v>45</v>
      </c>
      <c r="F830" s="5">
        <v>8</v>
      </c>
      <c r="G830" s="5">
        <v>1</v>
      </c>
      <c r="H830" s="5" t="s">
        <v>51</v>
      </c>
      <c r="I830" s="5">
        <v>1</v>
      </c>
      <c r="J830" s="5">
        <v>1156</v>
      </c>
      <c r="K830" s="5">
        <v>3</v>
      </c>
      <c r="L830" s="5" t="s">
        <v>46</v>
      </c>
      <c r="M830" s="5">
        <v>80</v>
      </c>
      <c r="N830" s="5">
        <v>3</v>
      </c>
      <c r="O830" s="5">
        <v>1</v>
      </c>
      <c r="P830" s="5" t="s">
        <v>50</v>
      </c>
      <c r="Q830" s="5">
        <v>3</v>
      </c>
      <c r="R830" s="5" t="s">
        <v>41</v>
      </c>
      <c r="S830" s="5">
        <v>1904</v>
      </c>
      <c r="T830" s="5">
        <v>13556</v>
      </c>
      <c r="U830" s="5">
        <v>1</v>
      </c>
      <c r="V830" s="5" t="s">
        <v>42</v>
      </c>
      <c r="W830" s="5" t="s">
        <v>43</v>
      </c>
      <c r="X830" s="5">
        <v>12</v>
      </c>
      <c r="Y830" s="5">
        <v>3</v>
      </c>
      <c r="Z830" s="5">
        <v>4</v>
      </c>
      <c r="AA830" s="5">
        <v>80</v>
      </c>
      <c r="AB830" s="5">
        <v>0</v>
      </c>
      <c r="AC830" s="5">
        <v>0</v>
      </c>
      <c r="AD830" s="5">
        <v>0</v>
      </c>
      <c r="AE830" s="5">
        <v>3</v>
      </c>
      <c r="AF830" s="5">
        <v>0</v>
      </c>
      <c r="AG830" s="5">
        <v>0</v>
      </c>
      <c r="AH830" s="5">
        <v>0</v>
      </c>
      <c r="AI830" s="5">
        <v>0</v>
      </c>
    </row>
    <row r="831" spans="1:35" x14ac:dyDescent="0.25">
      <c r="A831" s="5">
        <v>33</v>
      </c>
      <c r="B831" s="5" t="s">
        <v>35</v>
      </c>
      <c r="C831" s="5" t="s">
        <v>36</v>
      </c>
      <c r="D831" s="5">
        <v>603</v>
      </c>
      <c r="E831" s="5" t="s">
        <v>37</v>
      </c>
      <c r="F831" s="5">
        <v>9</v>
      </c>
      <c r="G831" s="5">
        <v>4</v>
      </c>
      <c r="H831" s="5" t="s">
        <v>59</v>
      </c>
      <c r="I831" s="5">
        <v>1</v>
      </c>
      <c r="J831" s="5">
        <v>1157</v>
      </c>
      <c r="K831" s="5">
        <v>1</v>
      </c>
      <c r="L831" s="5" t="s">
        <v>39</v>
      </c>
      <c r="M831" s="5">
        <v>77</v>
      </c>
      <c r="N831" s="5">
        <v>3</v>
      </c>
      <c r="O831" s="5">
        <v>2</v>
      </c>
      <c r="P831" s="5" t="s">
        <v>40</v>
      </c>
      <c r="Q831" s="5">
        <v>1</v>
      </c>
      <c r="R831" s="5" t="s">
        <v>41</v>
      </c>
      <c r="S831" s="5">
        <v>8224</v>
      </c>
      <c r="T831" s="5">
        <v>18385</v>
      </c>
      <c r="U831" s="5">
        <v>0</v>
      </c>
      <c r="V831" s="5" t="s">
        <v>42</v>
      </c>
      <c r="W831" s="5" t="s">
        <v>35</v>
      </c>
      <c r="X831" s="5">
        <v>17</v>
      </c>
      <c r="Y831" s="5">
        <v>3</v>
      </c>
      <c r="Z831" s="5">
        <v>1</v>
      </c>
      <c r="AA831" s="5">
        <v>80</v>
      </c>
      <c r="AB831" s="5">
        <v>0</v>
      </c>
      <c r="AC831" s="5">
        <v>6</v>
      </c>
      <c r="AD831" s="5">
        <v>3</v>
      </c>
      <c r="AE831" s="5">
        <v>3</v>
      </c>
      <c r="AF831" s="5">
        <v>5</v>
      </c>
      <c r="AG831" s="5">
        <v>2</v>
      </c>
      <c r="AH831" s="5">
        <v>0</v>
      </c>
      <c r="AI831" s="5">
        <v>3</v>
      </c>
    </row>
    <row r="832" spans="1:35" x14ac:dyDescent="0.25">
      <c r="A832" s="5">
        <v>41</v>
      </c>
      <c r="B832" s="5" t="s">
        <v>43</v>
      </c>
      <c r="C832" s="5" t="s">
        <v>36</v>
      </c>
      <c r="D832" s="5">
        <v>167</v>
      </c>
      <c r="E832" s="5" t="s">
        <v>45</v>
      </c>
      <c r="F832" s="5">
        <v>12</v>
      </c>
      <c r="G832" s="5">
        <v>4</v>
      </c>
      <c r="H832" s="5" t="s">
        <v>38</v>
      </c>
      <c r="I832" s="5">
        <v>1</v>
      </c>
      <c r="J832" s="5">
        <v>1158</v>
      </c>
      <c r="K832" s="5">
        <v>2</v>
      </c>
      <c r="L832" s="5" t="s">
        <v>46</v>
      </c>
      <c r="M832" s="5">
        <v>46</v>
      </c>
      <c r="N832" s="5">
        <v>3</v>
      </c>
      <c r="O832" s="5">
        <v>1</v>
      </c>
      <c r="P832" s="5" t="s">
        <v>50</v>
      </c>
      <c r="Q832" s="5">
        <v>4</v>
      </c>
      <c r="R832" s="5" t="s">
        <v>48</v>
      </c>
      <c r="S832" s="5">
        <v>4766</v>
      </c>
      <c r="T832" s="5">
        <v>9051</v>
      </c>
      <c r="U832" s="5">
        <v>3</v>
      </c>
      <c r="V832" s="5" t="s">
        <v>42</v>
      </c>
      <c r="W832" s="5" t="s">
        <v>35</v>
      </c>
      <c r="X832" s="5">
        <v>11</v>
      </c>
      <c r="Y832" s="5">
        <v>3</v>
      </c>
      <c r="Z832" s="5">
        <v>1</v>
      </c>
      <c r="AA832" s="5">
        <v>80</v>
      </c>
      <c r="AB832" s="5">
        <v>1</v>
      </c>
      <c r="AC832" s="5">
        <v>6</v>
      </c>
      <c r="AD832" s="5">
        <v>4</v>
      </c>
      <c r="AE832" s="5">
        <v>3</v>
      </c>
      <c r="AF832" s="5">
        <v>1</v>
      </c>
      <c r="AG832" s="5">
        <v>0</v>
      </c>
      <c r="AH832" s="5">
        <v>0</v>
      </c>
      <c r="AI832" s="5">
        <v>0</v>
      </c>
    </row>
    <row r="833" spans="1:35" x14ac:dyDescent="0.25">
      <c r="A833" s="5">
        <v>31</v>
      </c>
      <c r="B833" s="5" t="s">
        <v>35</v>
      </c>
      <c r="C833" s="5" t="s">
        <v>44</v>
      </c>
      <c r="D833" s="5">
        <v>874</v>
      </c>
      <c r="E833" s="5" t="s">
        <v>45</v>
      </c>
      <c r="F833" s="5">
        <v>15</v>
      </c>
      <c r="G833" s="5">
        <v>3</v>
      </c>
      <c r="H833" s="5" t="s">
        <v>51</v>
      </c>
      <c r="I833" s="5">
        <v>1</v>
      </c>
      <c r="J833" s="5">
        <v>1160</v>
      </c>
      <c r="K833" s="5">
        <v>3</v>
      </c>
      <c r="L833" s="5" t="s">
        <v>46</v>
      </c>
      <c r="M833" s="5">
        <v>72</v>
      </c>
      <c r="N833" s="5">
        <v>3</v>
      </c>
      <c r="O833" s="5">
        <v>1</v>
      </c>
      <c r="P833" s="5" t="s">
        <v>50</v>
      </c>
      <c r="Q833" s="5">
        <v>3</v>
      </c>
      <c r="R833" s="5" t="s">
        <v>48</v>
      </c>
      <c r="S833" s="5">
        <v>2610</v>
      </c>
      <c r="T833" s="5">
        <v>6233</v>
      </c>
      <c r="U833" s="5">
        <v>1</v>
      </c>
      <c r="V833" s="5" t="s">
        <v>42</v>
      </c>
      <c r="W833" s="5" t="s">
        <v>43</v>
      </c>
      <c r="X833" s="5">
        <v>12</v>
      </c>
      <c r="Y833" s="5">
        <v>3</v>
      </c>
      <c r="Z833" s="5">
        <v>3</v>
      </c>
      <c r="AA833" s="5">
        <v>80</v>
      </c>
      <c r="AB833" s="5">
        <v>1</v>
      </c>
      <c r="AC833" s="5">
        <v>2</v>
      </c>
      <c r="AD833" s="5">
        <v>5</v>
      </c>
      <c r="AE833" s="5">
        <v>2</v>
      </c>
      <c r="AF833" s="5">
        <v>2</v>
      </c>
      <c r="AG833" s="5">
        <v>2</v>
      </c>
      <c r="AH833" s="5">
        <v>2</v>
      </c>
      <c r="AI833" s="5">
        <v>2</v>
      </c>
    </row>
    <row r="834" spans="1:35" x14ac:dyDescent="0.25">
      <c r="A834" s="5">
        <v>37</v>
      </c>
      <c r="B834" s="5" t="s">
        <v>43</v>
      </c>
      <c r="C834" s="5" t="s">
        <v>36</v>
      </c>
      <c r="D834" s="5">
        <v>367</v>
      </c>
      <c r="E834" s="5" t="s">
        <v>45</v>
      </c>
      <c r="F834" s="5">
        <v>25</v>
      </c>
      <c r="G834" s="5">
        <v>2</v>
      </c>
      <c r="H834" s="5" t="s">
        <v>51</v>
      </c>
      <c r="I834" s="5">
        <v>1</v>
      </c>
      <c r="J834" s="5">
        <v>1161</v>
      </c>
      <c r="K834" s="5">
        <v>3</v>
      </c>
      <c r="L834" s="5" t="s">
        <v>39</v>
      </c>
      <c r="M834" s="5">
        <v>52</v>
      </c>
      <c r="N834" s="5">
        <v>2</v>
      </c>
      <c r="O834" s="5">
        <v>2</v>
      </c>
      <c r="P834" s="5" t="s">
        <v>54</v>
      </c>
      <c r="Q834" s="5">
        <v>4</v>
      </c>
      <c r="R834" s="5" t="s">
        <v>52</v>
      </c>
      <c r="S834" s="5">
        <v>5731</v>
      </c>
      <c r="T834" s="5">
        <v>17171</v>
      </c>
      <c r="U834" s="5">
        <v>7</v>
      </c>
      <c r="V834" s="5" t="s">
        <v>42</v>
      </c>
      <c r="W834" s="5" t="s">
        <v>43</v>
      </c>
      <c r="X834" s="5">
        <v>13</v>
      </c>
      <c r="Y834" s="5">
        <v>3</v>
      </c>
      <c r="Z834" s="5">
        <v>3</v>
      </c>
      <c r="AA834" s="5">
        <v>80</v>
      </c>
      <c r="AB834" s="5">
        <v>2</v>
      </c>
      <c r="AC834" s="5">
        <v>9</v>
      </c>
      <c r="AD834" s="5">
        <v>2</v>
      </c>
      <c r="AE834" s="5">
        <v>3</v>
      </c>
      <c r="AF834" s="5">
        <v>6</v>
      </c>
      <c r="AG834" s="5">
        <v>2</v>
      </c>
      <c r="AH834" s="5">
        <v>1</v>
      </c>
      <c r="AI834" s="5">
        <v>3</v>
      </c>
    </row>
    <row r="835" spans="1:35" x14ac:dyDescent="0.25">
      <c r="A835" s="5">
        <v>27</v>
      </c>
      <c r="B835" s="5" t="s">
        <v>43</v>
      </c>
      <c r="C835" s="5" t="s">
        <v>36</v>
      </c>
      <c r="D835" s="5">
        <v>199</v>
      </c>
      <c r="E835" s="5" t="s">
        <v>45</v>
      </c>
      <c r="F835" s="5">
        <v>6</v>
      </c>
      <c r="G835" s="5">
        <v>3</v>
      </c>
      <c r="H835" s="5" t="s">
        <v>38</v>
      </c>
      <c r="I835" s="5">
        <v>1</v>
      </c>
      <c r="J835" s="5">
        <v>1162</v>
      </c>
      <c r="K835" s="5">
        <v>4</v>
      </c>
      <c r="L835" s="5" t="s">
        <v>46</v>
      </c>
      <c r="M835" s="5">
        <v>55</v>
      </c>
      <c r="N835" s="5">
        <v>2</v>
      </c>
      <c r="O835" s="5">
        <v>1</v>
      </c>
      <c r="P835" s="5" t="s">
        <v>47</v>
      </c>
      <c r="Q835" s="5">
        <v>3</v>
      </c>
      <c r="R835" s="5" t="s">
        <v>48</v>
      </c>
      <c r="S835" s="5">
        <v>2539</v>
      </c>
      <c r="T835" s="5">
        <v>7950</v>
      </c>
      <c r="U835" s="5">
        <v>1</v>
      </c>
      <c r="V835" s="5" t="s">
        <v>42</v>
      </c>
      <c r="W835" s="5" t="s">
        <v>43</v>
      </c>
      <c r="X835" s="5">
        <v>13</v>
      </c>
      <c r="Y835" s="5">
        <v>3</v>
      </c>
      <c r="Z835" s="5">
        <v>3</v>
      </c>
      <c r="AA835" s="5">
        <v>80</v>
      </c>
      <c r="AB835" s="5">
        <v>1</v>
      </c>
      <c r="AC835" s="5">
        <v>4</v>
      </c>
      <c r="AD835" s="5">
        <v>0</v>
      </c>
      <c r="AE835" s="5">
        <v>3</v>
      </c>
      <c r="AF835" s="5">
        <v>4</v>
      </c>
      <c r="AG835" s="5">
        <v>2</v>
      </c>
      <c r="AH835" s="5">
        <v>2</v>
      </c>
      <c r="AI835" s="5">
        <v>2</v>
      </c>
    </row>
    <row r="836" spans="1:35" x14ac:dyDescent="0.25">
      <c r="A836" s="5">
        <v>34</v>
      </c>
      <c r="B836" s="5" t="s">
        <v>43</v>
      </c>
      <c r="C836" s="5" t="s">
        <v>36</v>
      </c>
      <c r="D836" s="5">
        <v>1400</v>
      </c>
      <c r="E836" s="5" t="s">
        <v>37</v>
      </c>
      <c r="F836" s="5">
        <v>9</v>
      </c>
      <c r="G836" s="5">
        <v>1</v>
      </c>
      <c r="H836" s="5" t="s">
        <v>38</v>
      </c>
      <c r="I836" s="5">
        <v>1</v>
      </c>
      <c r="J836" s="5">
        <v>1163</v>
      </c>
      <c r="K836" s="5">
        <v>2</v>
      </c>
      <c r="L836" s="5" t="s">
        <v>39</v>
      </c>
      <c r="M836" s="5">
        <v>70</v>
      </c>
      <c r="N836" s="5">
        <v>3</v>
      </c>
      <c r="O836" s="5">
        <v>2</v>
      </c>
      <c r="P836" s="5" t="s">
        <v>40</v>
      </c>
      <c r="Q836" s="5">
        <v>3</v>
      </c>
      <c r="R836" s="5" t="s">
        <v>48</v>
      </c>
      <c r="S836" s="5">
        <v>5714</v>
      </c>
      <c r="T836" s="5">
        <v>5829</v>
      </c>
      <c r="U836" s="5">
        <v>1</v>
      </c>
      <c r="V836" s="5" t="s">
        <v>42</v>
      </c>
      <c r="W836" s="5" t="s">
        <v>43</v>
      </c>
      <c r="X836" s="5">
        <v>20</v>
      </c>
      <c r="Y836" s="5">
        <v>4</v>
      </c>
      <c r="Z836" s="5">
        <v>1</v>
      </c>
      <c r="AA836" s="5">
        <v>80</v>
      </c>
      <c r="AB836" s="5">
        <v>0</v>
      </c>
      <c r="AC836" s="5">
        <v>6</v>
      </c>
      <c r="AD836" s="5">
        <v>3</v>
      </c>
      <c r="AE836" s="5">
        <v>2</v>
      </c>
      <c r="AF836" s="5">
        <v>6</v>
      </c>
      <c r="AG836" s="5">
        <v>5</v>
      </c>
      <c r="AH836" s="5">
        <v>1</v>
      </c>
      <c r="AI836" s="5">
        <v>3</v>
      </c>
    </row>
    <row r="837" spans="1:35" x14ac:dyDescent="0.25">
      <c r="A837" s="5">
        <v>35</v>
      </c>
      <c r="B837" s="5" t="s">
        <v>43</v>
      </c>
      <c r="C837" s="5" t="s">
        <v>36</v>
      </c>
      <c r="D837" s="5">
        <v>528</v>
      </c>
      <c r="E837" s="5" t="s">
        <v>61</v>
      </c>
      <c r="F837" s="5">
        <v>8</v>
      </c>
      <c r="G837" s="5">
        <v>4</v>
      </c>
      <c r="H837" s="5" t="s">
        <v>60</v>
      </c>
      <c r="I837" s="5">
        <v>1</v>
      </c>
      <c r="J837" s="5">
        <v>1164</v>
      </c>
      <c r="K837" s="5">
        <v>3</v>
      </c>
      <c r="L837" s="5" t="s">
        <v>46</v>
      </c>
      <c r="M837" s="5">
        <v>100</v>
      </c>
      <c r="N837" s="5">
        <v>3</v>
      </c>
      <c r="O837" s="5">
        <v>1</v>
      </c>
      <c r="P837" s="5" t="s">
        <v>61</v>
      </c>
      <c r="Q837" s="5">
        <v>3</v>
      </c>
      <c r="R837" s="5" t="s">
        <v>41</v>
      </c>
      <c r="S837" s="5">
        <v>4323</v>
      </c>
      <c r="T837" s="5">
        <v>7108</v>
      </c>
      <c r="U837" s="5">
        <v>1</v>
      </c>
      <c r="V837" s="5" t="s">
        <v>42</v>
      </c>
      <c r="W837" s="5" t="s">
        <v>43</v>
      </c>
      <c r="X837" s="5">
        <v>17</v>
      </c>
      <c r="Y837" s="5">
        <v>3</v>
      </c>
      <c r="Z837" s="5">
        <v>2</v>
      </c>
      <c r="AA837" s="5">
        <v>80</v>
      </c>
      <c r="AB837" s="5">
        <v>0</v>
      </c>
      <c r="AC837" s="5">
        <v>6</v>
      </c>
      <c r="AD837" s="5">
        <v>2</v>
      </c>
      <c r="AE837" s="5">
        <v>1</v>
      </c>
      <c r="AF837" s="5">
        <v>5</v>
      </c>
      <c r="AG837" s="5">
        <v>4</v>
      </c>
      <c r="AH837" s="5">
        <v>1</v>
      </c>
      <c r="AI837" s="5">
        <v>4</v>
      </c>
    </row>
    <row r="838" spans="1:35" x14ac:dyDescent="0.25">
      <c r="A838" s="5">
        <v>29</v>
      </c>
      <c r="B838" s="5" t="s">
        <v>35</v>
      </c>
      <c r="C838" s="5" t="s">
        <v>36</v>
      </c>
      <c r="D838" s="5">
        <v>408</v>
      </c>
      <c r="E838" s="5" t="s">
        <v>37</v>
      </c>
      <c r="F838" s="5">
        <v>23</v>
      </c>
      <c r="G838" s="5">
        <v>1</v>
      </c>
      <c r="H838" s="5" t="s">
        <v>38</v>
      </c>
      <c r="I838" s="5">
        <v>1</v>
      </c>
      <c r="J838" s="5">
        <v>1165</v>
      </c>
      <c r="K838" s="5">
        <v>4</v>
      </c>
      <c r="L838" s="5" t="s">
        <v>39</v>
      </c>
      <c r="M838" s="5">
        <v>45</v>
      </c>
      <c r="N838" s="5">
        <v>2</v>
      </c>
      <c r="O838" s="5">
        <v>3</v>
      </c>
      <c r="P838" s="5" t="s">
        <v>40</v>
      </c>
      <c r="Q838" s="5">
        <v>1</v>
      </c>
      <c r="R838" s="5" t="s">
        <v>48</v>
      </c>
      <c r="S838" s="5">
        <v>7336</v>
      </c>
      <c r="T838" s="5">
        <v>11162</v>
      </c>
      <c r="U838" s="5">
        <v>1</v>
      </c>
      <c r="V838" s="5" t="s">
        <v>42</v>
      </c>
      <c r="W838" s="5" t="s">
        <v>43</v>
      </c>
      <c r="X838" s="5">
        <v>13</v>
      </c>
      <c r="Y838" s="5">
        <v>3</v>
      </c>
      <c r="Z838" s="5">
        <v>1</v>
      </c>
      <c r="AA838" s="5">
        <v>80</v>
      </c>
      <c r="AB838" s="5">
        <v>1</v>
      </c>
      <c r="AC838" s="5">
        <v>11</v>
      </c>
      <c r="AD838" s="5">
        <v>3</v>
      </c>
      <c r="AE838" s="5">
        <v>1</v>
      </c>
      <c r="AF838" s="5">
        <v>11</v>
      </c>
      <c r="AG838" s="5">
        <v>8</v>
      </c>
      <c r="AH838" s="5">
        <v>3</v>
      </c>
      <c r="AI838" s="5">
        <v>10</v>
      </c>
    </row>
    <row r="839" spans="1:35" x14ac:dyDescent="0.25">
      <c r="A839" s="5">
        <v>40</v>
      </c>
      <c r="B839" s="5" t="s">
        <v>43</v>
      </c>
      <c r="C839" s="5" t="s">
        <v>44</v>
      </c>
      <c r="D839" s="5">
        <v>593</v>
      </c>
      <c r="E839" s="5" t="s">
        <v>45</v>
      </c>
      <c r="F839" s="5">
        <v>9</v>
      </c>
      <c r="G839" s="5">
        <v>4</v>
      </c>
      <c r="H839" s="5" t="s">
        <v>51</v>
      </c>
      <c r="I839" s="5">
        <v>1</v>
      </c>
      <c r="J839" s="5">
        <v>1166</v>
      </c>
      <c r="K839" s="5">
        <v>2</v>
      </c>
      <c r="L839" s="5" t="s">
        <v>39</v>
      </c>
      <c r="M839" s="5">
        <v>88</v>
      </c>
      <c r="N839" s="5">
        <v>3</v>
      </c>
      <c r="O839" s="5">
        <v>3</v>
      </c>
      <c r="P839" s="5" t="s">
        <v>58</v>
      </c>
      <c r="Q839" s="5">
        <v>3</v>
      </c>
      <c r="R839" s="5" t="s">
        <v>41</v>
      </c>
      <c r="S839" s="5">
        <v>13499</v>
      </c>
      <c r="T839" s="5">
        <v>13782</v>
      </c>
      <c r="U839" s="5">
        <v>9</v>
      </c>
      <c r="V839" s="5" t="s">
        <v>42</v>
      </c>
      <c r="W839" s="5" t="s">
        <v>43</v>
      </c>
      <c r="X839" s="5">
        <v>17</v>
      </c>
      <c r="Y839" s="5">
        <v>3</v>
      </c>
      <c r="Z839" s="5">
        <v>3</v>
      </c>
      <c r="AA839" s="5">
        <v>80</v>
      </c>
      <c r="AB839" s="5">
        <v>0</v>
      </c>
      <c r="AC839" s="5">
        <v>20</v>
      </c>
      <c r="AD839" s="5">
        <v>3</v>
      </c>
      <c r="AE839" s="5">
        <v>2</v>
      </c>
      <c r="AF839" s="5">
        <v>18</v>
      </c>
      <c r="AG839" s="5">
        <v>7</v>
      </c>
      <c r="AH839" s="5">
        <v>2</v>
      </c>
      <c r="AI839" s="5">
        <v>13</v>
      </c>
    </row>
    <row r="840" spans="1:35" x14ac:dyDescent="0.25">
      <c r="A840" s="5">
        <v>42</v>
      </c>
      <c r="B840" s="5" t="s">
        <v>35</v>
      </c>
      <c r="C840" s="5" t="s">
        <v>44</v>
      </c>
      <c r="D840" s="5">
        <v>481</v>
      </c>
      <c r="E840" s="5" t="s">
        <v>37</v>
      </c>
      <c r="F840" s="5">
        <v>12</v>
      </c>
      <c r="G840" s="5">
        <v>3</v>
      </c>
      <c r="H840" s="5" t="s">
        <v>38</v>
      </c>
      <c r="I840" s="5">
        <v>1</v>
      </c>
      <c r="J840" s="5">
        <v>1167</v>
      </c>
      <c r="K840" s="5">
        <v>3</v>
      </c>
      <c r="L840" s="5" t="s">
        <v>46</v>
      </c>
      <c r="M840" s="5">
        <v>44</v>
      </c>
      <c r="N840" s="5">
        <v>3</v>
      </c>
      <c r="O840" s="5">
        <v>4</v>
      </c>
      <c r="P840" s="5" t="s">
        <v>40</v>
      </c>
      <c r="Q840" s="5">
        <v>1</v>
      </c>
      <c r="R840" s="5" t="s">
        <v>41</v>
      </c>
      <c r="S840" s="5">
        <v>13758</v>
      </c>
      <c r="T840" s="5">
        <v>2447</v>
      </c>
      <c r="U840" s="5">
        <v>0</v>
      </c>
      <c r="V840" s="5" t="s">
        <v>42</v>
      </c>
      <c r="W840" s="5" t="s">
        <v>35</v>
      </c>
      <c r="X840" s="5">
        <v>12</v>
      </c>
      <c r="Y840" s="5">
        <v>3</v>
      </c>
      <c r="Z840" s="5">
        <v>2</v>
      </c>
      <c r="AA840" s="5">
        <v>80</v>
      </c>
      <c r="AB840" s="5">
        <v>0</v>
      </c>
      <c r="AC840" s="5">
        <v>22</v>
      </c>
      <c r="AD840" s="5">
        <v>2</v>
      </c>
      <c r="AE840" s="5">
        <v>2</v>
      </c>
      <c r="AF840" s="5">
        <v>21</v>
      </c>
      <c r="AG840" s="5">
        <v>9</v>
      </c>
      <c r="AH840" s="5">
        <v>13</v>
      </c>
      <c r="AI840" s="5">
        <v>14</v>
      </c>
    </row>
    <row r="841" spans="1:35" x14ac:dyDescent="0.25">
      <c r="A841" s="5">
        <v>42</v>
      </c>
      <c r="B841" s="5" t="s">
        <v>43</v>
      </c>
      <c r="C841" s="5" t="s">
        <v>36</v>
      </c>
      <c r="D841" s="5">
        <v>647</v>
      </c>
      <c r="E841" s="5" t="s">
        <v>37</v>
      </c>
      <c r="F841" s="5">
        <v>4</v>
      </c>
      <c r="G841" s="5">
        <v>4</v>
      </c>
      <c r="H841" s="5" t="s">
        <v>59</v>
      </c>
      <c r="I841" s="5">
        <v>1</v>
      </c>
      <c r="J841" s="5">
        <v>1171</v>
      </c>
      <c r="K841" s="5">
        <v>2</v>
      </c>
      <c r="L841" s="5" t="s">
        <v>46</v>
      </c>
      <c r="M841" s="5">
        <v>45</v>
      </c>
      <c r="N841" s="5">
        <v>3</v>
      </c>
      <c r="O841" s="5">
        <v>2</v>
      </c>
      <c r="P841" s="5" t="s">
        <v>40</v>
      </c>
      <c r="Q841" s="5">
        <v>1</v>
      </c>
      <c r="R841" s="5" t="s">
        <v>41</v>
      </c>
      <c r="S841" s="5">
        <v>5155</v>
      </c>
      <c r="T841" s="5">
        <v>2253</v>
      </c>
      <c r="U841" s="5">
        <v>7</v>
      </c>
      <c r="V841" s="5" t="s">
        <v>42</v>
      </c>
      <c r="W841" s="5" t="s">
        <v>43</v>
      </c>
      <c r="X841" s="5">
        <v>13</v>
      </c>
      <c r="Y841" s="5">
        <v>3</v>
      </c>
      <c r="Z841" s="5">
        <v>4</v>
      </c>
      <c r="AA841" s="5">
        <v>80</v>
      </c>
      <c r="AB841" s="5">
        <v>0</v>
      </c>
      <c r="AC841" s="5">
        <v>9</v>
      </c>
      <c r="AD841" s="5">
        <v>3</v>
      </c>
      <c r="AE841" s="5">
        <v>4</v>
      </c>
      <c r="AF841" s="5">
        <v>6</v>
      </c>
      <c r="AG841" s="5">
        <v>4</v>
      </c>
      <c r="AH841" s="5">
        <v>1</v>
      </c>
      <c r="AI841" s="5">
        <v>5</v>
      </c>
    </row>
    <row r="842" spans="1:35" x14ac:dyDescent="0.25">
      <c r="A842" s="5">
        <v>35</v>
      </c>
      <c r="B842" s="5" t="s">
        <v>43</v>
      </c>
      <c r="C842" s="5" t="s">
        <v>36</v>
      </c>
      <c r="D842" s="5">
        <v>982</v>
      </c>
      <c r="E842" s="5" t="s">
        <v>45</v>
      </c>
      <c r="F842" s="5">
        <v>1</v>
      </c>
      <c r="G842" s="5">
        <v>4</v>
      </c>
      <c r="H842" s="5" t="s">
        <v>51</v>
      </c>
      <c r="I842" s="5">
        <v>1</v>
      </c>
      <c r="J842" s="5">
        <v>1172</v>
      </c>
      <c r="K842" s="5">
        <v>4</v>
      </c>
      <c r="L842" s="5" t="s">
        <v>46</v>
      </c>
      <c r="M842" s="5">
        <v>58</v>
      </c>
      <c r="N842" s="5">
        <v>2</v>
      </c>
      <c r="O842" s="5">
        <v>1</v>
      </c>
      <c r="P842" s="5" t="s">
        <v>50</v>
      </c>
      <c r="Q842" s="5">
        <v>3</v>
      </c>
      <c r="R842" s="5" t="s">
        <v>48</v>
      </c>
      <c r="S842" s="5">
        <v>2258</v>
      </c>
      <c r="T842" s="5">
        <v>16340</v>
      </c>
      <c r="U842" s="5">
        <v>6</v>
      </c>
      <c r="V842" s="5" t="s">
        <v>42</v>
      </c>
      <c r="W842" s="5" t="s">
        <v>43</v>
      </c>
      <c r="X842" s="5">
        <v>12</v>
      </c>
      <c r="Y842" s="5">
        <v>3</v>
      </c>
      <c r="Z842" s="5">
        <v>2</v>
      </c>
      <c r="AA842" s="5">
        <v>80</v>
      </c>
      <c r="AB842" s="5">
        <v>1</v>
      </c>
      <c r="AC842" s="5">
        <v>10</v>
      </c>
      <c r="AD842" s="5">
        <v>2</v>
      </c>
      <c r="AE842" s="5">
        <v>3</v>
      </c>
      <c r="AF842" s="5">
        <v>8</v>
      </c>
      <c r="AG842" s="5">
        <v>0</v>
      </c>
      <c r="AH842" s="5">
        <v>1</v>
      </c>
      <c r="AI842" s="5">
        <v>7</v>
      </c>
    </row>
    <row r="843" spans="1:35" x14ac:dyDescent="0.25">
      <c r="A843" s="5">
        <v>24</v>
      </c>
      <c r="B843" s="5" t="s">
        <v>43</v>
      </c>
      <c r="C843" s="5" t="s">
        <v>36</v>
      </c>
      <c r="D843" s="5">
        <v>477</v>
      </c>
      <c r="E843" s="5" t="s">
        <v>45</v>
      </c>
      <c r="F843" s="5">
        <v>24</v>
      </c>
      <c r="G843" s="5">
        <v>3</v>
      </c>
      <c r="H843" s="5" t="s">
        <v>51</v>
      </c>
      <c r="I843" s="5">
        <v>1</v>
      </c>
      <c r="J843" s="5">
        <v>1173</v>
      </c>
      <c r="K843" s="5">
        <v>4</v>
      </c>
      <c r="L843" s="5" t="s">
        <v>46</v>
      </c>
      <c r="M843" s="5">
        <v>49</v>
      </c>
      <c r="N843" s="5">
        <v>3</v>
      </c>
      <c r="O843" s="5">
        <v>1</v>
      </c>
      <c r="P843" s="5" t="s">
        <v>50</v>
      </c>
      <c r="Q843" s="5">
        <v>2</v>
      </c>
      <c r="R843" s="5" t="s">
        <v>41</v>
      </c>
      <c r="S843" s="5">
        <v>3597</v>
      </c>
      <c r="T843" s="5">
        <v>6409</v>
      </c>
      <c r="U843" s="5">
        <v>8</v>
      </c>
      <c r="V843" s="5" t="s">
        <v>42</v>
      </c>
      <c r="W843" s="5" t="s">
        <v>43</v>
      </c>
      <c r="X843" s="5">
        <v>22</v>
      </c>
      <c r="Y843" s="5">
        <v>4</v>
      </c>
      <c r="Z843" s="5">
        <v>4</v>
      </c>
      <c r="AA843" s="5">
        <v>80</v>
      </c>
      <c r="AB843" s="5">
        <v>0</v>
      </c>
      <c r="AC843" s="5">
        <v>6</v>
      </c>
      <c r="AD843" s="5">
        <v>2</v>
      </c>
      <c r="AE843" s="5">
        <v>3</v>
      </c>
      <c r="AF843" s="5">
        <v>4</v>
      </c>
      <c r="AG843" s="5">
        <v>3</v>
      </c>
      <c r="AH843" s="5">
        <v>1</v>
      </c>
      <c r="AI843" s="5">
        <v>2</v>
      </c>
    </row>
    <row r="844" spans="1:35" x14ac:dyDescent="0.25">
      <c r="A844" s="5">
        <v>28</v>
      </c>
      <c r="B844" s="5" t="s">
        <v>35</v>
      </c>
      <c r="C844" s="5" t="s">
        <v>36</v>
      </c>
      <c r="D844" s="5">
        <v>1485</v>
      </c>
      <c r="E844" s="5" t="s">
        <v>45</v>
      </c>
      <c r="F844" s="5">
        <v>12</v>
      </c>
      <c r="G844" s="5">
        <v>1</v>
      </c>
      <c r="H844" s="5" t="s">
        <v>38</v>
      </c>
      <c r="I844" s="5">
        <v>1</v>
      </c>
      <c r="J844" s="5">
        <v>1175</v>
      </c>
      <c r="K844" s="5">
        <v>3</v>
      </c>
      <c r="L844" s="5" t="s">
        <v>39</v>
      </c>
      <c r="M844" s="5">
        <v>79</v>
      </c>
      <c r="N844" s="5">
        <v>3</v>
      </c>
      <c r="O844" s="5">
        <v>1</v>
      </c>
      <c r="P844" s="5" t="s">
        <v>50</v>
      </c>
      <c r="Q844" s="5">
        <v>4</v>
      </c>
      <c r="R844" s="5" t="s">
        <v>48</v>
      </c>
      <c r="S844" s="5">
        <v>2515</v>
      </c>
      <c r="T844" s="5">
        <v>22955</v>
      </c>
      <c r="U844" s="5">
        <v>1</v>
      </c>
      <c r="V844" s="5" t="s">
        <v>42</v>
      </c>
      <c r="W844" s="5" t="s">
        <v>35</v>
      </c>
      <c r="X844" s="5">
        <v>11</v>
      </c>
      <c r="Y844" s="5">
        <v>3</v>
      </c>
      <c r="Z844" s="5">
        <v>4</v>
      </c>
      <c r="AA844" s="5">
        <v>80</v>
      </c>
      <c r="AB844" s="5">
        <v>0</v>
      </c>
      <c r="AC844" s="5">
        <v>1</v>
      </c>
      <c r="AD844" s="5">
        <v>4</v>
      </c>
      <c r="AE844" s="5">
        <v>2</v>
      </c>
      <c r="AF844" s="5">
        <v>1</v>
      </c>
      <c r="AG844" s="5">
        <v>1</v>
      </c>
      <c r="AH844" s="5">
        <v>0</v>
      </c>
      <c r="AI844" s="5">
        <v>0</v>
      </c>
    </row>
    <row r="845" spans="1:35" x14ac:dyDescent="0.25">
      <c r="A845" s="5">
        <v>26</v>
      </c>
      <c r="B845" s="5" t="s">
        <v>43</v>
      </c>
      <c r="C845" s="5" t="s">
        <v>36</v>
      </c>
      <c r="D845" s="5">
        <v>1384</v>
      </c>
      <c r="E845" s="5" t="s">
        <v>45</v>
      </c>
      <c r="F845" s="5">
        <v>3</v>
      </c>
      <c r="G845" s="5">
        <v>4</v>
      </c>
      <c r="H845" s="5" t="s">
        <v>51</v>
      </c>
      <c r="I845" s="5">
        <v>1</v>
      </c>
      <c r="J845" s="5">
        <v>1177</v>
      </c>
      <c r="K845" s="5">
        <v>1</v>
      </c>
      <c r="L845" s="5" t="s">
        <v>46</v>
      </c>
      <c r="M845" s="5">
        <v>82</v>
      </c>
      <c r="N845" s="5">
        <v>4</v>
      </c>
      <c r="O845" s="5">
        <v>1</v>
      </c>
      <c r="P845" s="5" t="s">
        <v>50</v>
      </c>
      <c r="Q845" s="5">
        <v>4</v>
      </c>
      <c r="R845" s="5" t="s">
        <v>48</v>
      </c>
      <c r="S845" s="5">
        <v>4420</v>
      </c>
      <c r="T845" s="5">
        <v>13421</v>
      </c>
      <c r="U845" s="5">
        <v>1</v>
      </c>
      <c r="V845" s="5" t="s">
        <v>42</v>
      </c>
      <c r="W845" s="5" t="s">
        <v>43</v>
      </c>
      <c r="X845" s="5">
        <v>22</v>
      </c>
      <c r="Y845" s="5">
        <v>4</v>
      </c>
      <c r="Z845" s="5">
        <v>2</v>
      </c>
      <c r="AA845" s="5">
        <v>80</v>
      </c>
      <c r="AB845" s="5">
        <v>1</v>
      </c>
      <c r="AC845" s="5">
        <v>8</v>
      </c>
      <c r="AD845" s="5">
        <v>2</v>
      </c>
      <c r="AE845" s="5">
        <v>3</v>
      </c>
      <c r="AF845" s="5">
        <v>8</v>
      </c>
      <c r="AG845" s="5">
        <v>7</v>
      </c>
      <c r="AH845" s="5">
        <v>0</v>
      </c>
      <c r="AI845" s="5">
        <v>7</v>
      </c>
    </row>
    <row r="846" spans="1:35" x14ac:dyDescent="0.25">
      <c r="A846" s="5">
        <v>30</v>
      </c>
      <c r="B846" s="5" t="s">
        <v>43</v>
      </c>
      <c r="C846" s="5" t="s">
        <v>36</v>
      </c>
      <c r="D846" s="5">
        <v>852</v>
      </c>
      <c r="E846" s="5" t="s">
        <v>37</v>
      </c>
      <c r="F846" s="5">
        <v>10</v>
      </c>
      <c r="G846" s="5">
        <v>3</v>
      </c>
      <c r="H846" s="5" t="s">
        <v>59</v>
      </c>
      <c r="I846" s="5">
        <v>1</v>
      </c>
      <c r="J846" s="5">
        <v>1179</v>
      </c>
      <c r="K846" s="5">
        <v>3</v>
      </c>
      <c r="L846" s="5" t="s">
        <v>46</v>
      </c>
      <c r="M846" s="5">
        <v>72</v>
      </c>
      <c r="N846" s="5">
        <v>2</v>
      </c>
      <c r="O846" s="5">
        <v>2</v>
      </c>
      <c r="P846" s="5" t="s">
        <v>40</v>
      </c>
      <c r="Q846" s="5">
        <v>3</v>
      </c>
      <c r="R846" s="5" t="s">
        <v>48</v>
      </c>
      <c r="S846" s="5">
        <v>6578</v>
      </c>
      <c r="T846" s="5">
        <v>2706</v>
      </c>
      <c r="U846" s="5">
        <v>1</v>
      </c>
      <c r="V846" s="5" t="s">
        <v>42</v>
      </c>
      <c r="W846" s="5" t="s">
        <v>43</v>
      </c>
      <c r="X846" s="5">
        <v>18</v>
      </c>
      <c r="Y846" s="5">
        <v>3</v>
      </c>
      <c r="Z846" s="5">
        <v>1</v>
      </c>
      <c r="AA846" s="5">
        <v>80</v>
      </c>
      <c r="AB846" s="5">
        <v>1</v>
      </c>
      <c r="AC846" s="5">
        <v>10</v>
      </c>
      <c r="AD846" s="5">
        <v>3</v>
      </c>
      <c r="AE846" s="5">
        <v>3</v>
      </c>
      <c r="AF846" s="5">
        <v>10</v>
      </c>
      <c r="AG846" s="5">
        <v>3</v>
      </c>
      <c r="AH846" s="5">
        <v>1</v>
      </c>
      <c r="AI846" s="5">
        <v>4</v>
      </c>
    </row>
    <row r="847" spans="1:35" x14ac:dyDescent="0.25">
      <c r="A847" s="5">
        <v>40</v>
      </c>
      <c r="B847" s="5" t="s">
        <v>43</v>
      </c>
      <c r="C847" s="5" t="s">
        <v>44</v>
      </c>
      <c r="D847" s="5">
        <v>902</v>
      </c>
      <c r="E847" s="5" t="s">
        <v>45</v>
      </c>
      <c r="F847" s="5">
        <v>26</v>
      </c>
      <c r="G847" s="5">
        <v>2</v>
      </c>
      <c r="H847" s="5" t="s">
        <v>51</v>
      </c>
      <c r="I847" s="5">
        <v>1</v>
      </c>
      <c r="J847" s="5">
        <v>1180</v>
      </c>
      <c r="K847" s="5">
        <v>3</v>
      </c>
      <c r="L847" s="5" t="s">
        <v>39</v>
      </c>
      <c r="M847" s="5">
        <v>92</v>
      </c>
      <c r="N847" s="5">
        <v>2</v>
      </c>
      <c r="O847" s="5">
        <v>2</v>
      </c>
      <c r="P847" s="5" t="s">
        <v>47</v>
      </c>
      <c r="Q847" s="5">
        <v>4</v>
      </c>
      <c r="R847" s="5" t="s">
        <v>48</v>
      </c>
      <c r="S847" s="5">
        <v>4422</v>
      </c>
      <c r="T847" s="5">
        <v>21203</v>
      </c>
      <c r="U847" s="5">
        <v>3</v>
      </c>
      <c r="V847" s="5" t="s">
        <v>42</v>
      </c>
      <c r="W847" s="5" t="s">
        <v>35</v>
      </c>
      <c r="X847" s="5">
        <v>13</v>
      </c>
      <c r="Y847" s="5">
        <v>3</v>
      </c>
      <c r="Z847" s="5">
        <v>4</v>
      </c>
      <c r="AA847" s="5">
        <v>80</v>
      </c>
      <c r="AB847" s="5">
        <v>1</v>
      </c>
      <c r="AC847" s="5">
        <v>16</v>
      </c>
      <c r="AD847" s="5">
        <v>3</v>
      </c>
      <c r="AE847" s="5">
        <v>1</v>
      </c>
      <c r="AF847" s="5">
        <v>1</v>
      </c>
      <c r="AG847" s="5">
        <v>1</v>
      </c>
      <c r="AH847" s="5">
        <v>0</v>
      </c>
      <c r="AI847" s="5">
        <v>0</v>
      </c>
    </row>
    <row r="848" spans="1:35" x14ac:dyDescent="0.25">
      <c r="A848" s="5">
        <v>35</v>
      </c>
      <c r="B848" s="5" t="s">
        <v>43</v>
      </c>
      <c r="C848" s="5" t="s">
        <v>36</v>
      </c>
      <c r="D848" s="5">
        <v>819</v>
      </c>
      <c r="E848" s="5" t="s">
        <v>45</v>
      </c>
      <c r="F848" s="5">
        <v>2</v>
      </c>
      <c r="G848" s="5">
        <v>3</v>
      </c>
      <c r="H848" s="5" t="s">
        <v>38</v>
      </c>
      <c r="I848" s="5">
        <v>1</v>
      </c>
      <c r="J848" s="5">
        <v>1182</v>
      </c>
      <c r="K848" s="5">
        <v>3</v>
      </c>
      <c r="L848" s="5" t="s">
        <v>46</v>
      </c>
      <c r="M848" s="5">
        <v>44</v>
      </c>
      <c r="N848" s="5">
        <v>2</v>
      </c>
      <c r="O848" s="5">
        <v>3</v>
      </c>
      <c r="P848" s="5" t="s">
        <v>53</v>
      </c>
      <c r="Q848" s="5">
        <v>2</v>
      </c>
      <c r="R848" s="5" t="s">
        <v>52</v>
      </c>
      <c r="S848" s="5">
        <v>10274</v>
      </c>
      <c r="T848" s="5">
        <v>19588</v>
      </c>
      <c r="U848" s="5">
        <v>2</v>
      </c>
      <c r="V848" s="5" t="s">
        <v>42</v>
      </c>
      <c r="W848" s="5" t="s">
        <v>43</v>
      </c>
      <c r="X848" s="5">
        <v>18</v>
      </c>
      <c r="Y848" s="5">
        <v>3</v>
      </c>
      <c r="Z848" s="5">
        <v>2</v>
      </c>
      <c r="AA848" s="5">
        <v>80</v>
      </c>
      <c r="AB848" s="5">
        <v>1</v>
      </c>
      <c r="AC848" s="5">
        <v>15</v>
      </c>
      <c r="AD848" s="5">
        <v>2</v>
      </c>
      <c r="AE848" s="5">
        <v>4</v>
      </c>
      <c r="AF848" s="5">
        <v>7</v>
      </c>
      <c r="AG848" s="5">
        <v>7</v>
      </c>
      <c r="AH848" s="5">
        <v>6</v>
      </c>
      <c r="AI848" s="5">
        <v>4</v>
      </c>
    </row>
    <row r="849" spans="1:35" x14ac:dyDescent="0.25">
      <c r="A849" s="5">
        <v>34</v>
      </c>
      <c r="B849" s="5" t="s">
        <v>43</v>
      </c>
      <c r="C849" s="5" t="s">
        <v>44</v>
      </c>
      <c r="D849" s="5">
        <v>669</v>
      </c>
      <c r="E849" s="5" t="s">
        <v>45</v>
      </c>
      <c r="F849" s="5">
        <v>1</v>
      </c>
      <c r="G849" s="5">
        <v>3</v>
      </c>
      <c r="H849" s="5" t="s">
        <v>51</v>
      </c>
      <c r="I849" s="5">
        <v>1</v>
      </c>
      <c r="J849" s="5">
        <v>1184</v>
      </c>
      <c r="K849" s="5">
        <v>4</v>
      </c>
      <c r="L849" s="5" t="s">
        <v>46</v>
      </c>
      <c r="M849" s="5">
        <v>97</v>
      </c>
      <c r="N849" s="5">
        <v>2</v>
      </c>
      <c r="O849" s="5">
        <v>2</v>
      </c>
      <c r="P849" s="5" t="s">
        <v>54</v>
      </c>
      <c r="Q849" s="5">
        <v>1</v>
      </c>
      <c r="R849" s="5" t="s">
        <v>41</v>
      </c>
      <c r="S849" s="5">
        <v>5343</v>
      </c>
      <c r="T849" s="5">
        <v>25755</v>
      </c>
      <c r="U849" s="5">
        <v>0</v>
      </c>
      <c r="V849" s="5" t="s">
        <v>42</v>
      </c>
      <c r="W849" s="5" t="s">
        <v>43</v>
      </c>
      <c r="X849" s="5">
        <v>20</v>
      </c>
      <c r="Y849" s="5">
        <v>4</v>
      </c>
      <c r="Z849" s="5">
        <v>3</v>
      </c>
      <c r="AA849" s="5">
        <v>80</v>
      </c>
      <c r="AB849" s="5">
        <v>0</v>
      </c>
      <c r="AC849" s="5">
        <v>14</v>
      </c>
      <c r="AD849" s="5">
        <v>3</v>
      </c>
      <c r="AE849" s="5">
        <v>3</v>
      </c>
      <c r="AF849" s="5">
        <v>13</v>
      </c>
      <c r="AG849" s="5">
        <v>9</v>
      </c>
      <c r="AH849" s="5">
        <v>4</v>
      </c>
      <c r="AI849" s="5">
        <v>9</v>
      </c>
    </row>
    <row r="850" spans="1:35" x14ac:dyDescent="0.25">
      <c r="A850" s="5">
        <v>35</v>
      </c>
      <c r="B850" s="5" t="s">
        <v>43</v>
      </c>
      <c r="C850" s="5" t="s">
        <v>44</v>
      </c>
      <c r="D850" s="5">
        <v>636</v>
      </c>
      <c r="E850" s="5" t="s">
        <v>45</v>
      </c>
      <c r="F850" s="5">
        <v>4</v>
      </c>
      <c r="G850" s="5">
        <v>4</v>
      </c>
      <c r="H850" s="5" t="s">
        <v>49</v>
      </c>
      <c r="I850" s="5">
        <v>1</v>
      </c>
      <c r="J850" s="5">
        <v>1185</v>
      </c>
      <c r="K850" s="5">
        <v>4</v>
      </c>
      <c r="L850" s="5" t="s">
        <v>46</v>
      </c>
      <c r="M850" s="5">
        <v>47</v>
      </c>
      <c r="N850" s="5">
        <v>2</v>
      </c>
      <c r="O850" s="5">
        <v>1</v>
      </c>
      <c r="P850" s="5" t="s">
        <v>50</v>
      </c>
      <c r="Q850" s="5">
        <v>4</v>
      </c>
      <c r="R850" s="5" t="s">
        <v>48</v>
      </c>
      <c r="S850" s="5">
        <v>2376</v>
      </c>
      <c r="T850" s="5">
        <v>26537</v>
      </c>
      <c r="U850" s="5">
        <v>1</v>
      </c>
      <c r="V850" s="5" t="s">
        <v>42</v>
      </c>
      <c r="W850" s="5" t="s">
        <v>43</v>
      </c>
      <c r="X850" s="5">
        <v>13</v>
      </c>
      <c r="Y850" s="5">
        <v>3</v>
      </c>
      <c r="Z850" s="5">
        <v>2</v>
      </c>
      <c r="AA850" s="5">
        <v>80</v>
      </c>
      <c r="AB850" s="5">
        <v>1</v>
      </c>
      <c r="AC850" s="5">
        <v>2</v>
      </c>
      <c r="AD850" s="5">
        <v>2</v>
      </c>
      <c r="AE850" s="5">
        <v>4</v>
      </c>
      <c r="AF850" s="5">
        <v>2</v>
      </c>
      <c r="AG850" s="5">
        <v>2</v>
      </c>
      <c r="AH850" s="5">
        <v>2</v>
      </c>
      <c r="AI850" s="5">
        <v>2</v>
      </c>
    </row>
    <row r="851" spans="1:35" x14ac:dyDescent="0.25">
      <c r="A851" s="5">
        <v>43</v>
      </c>
      <c r="B851" s="5" t="s">
        <v>35</v>
      </c>
      <c r="C851" s="5" t="s">
        <v>36</v>
      </c>
      <c r="D851" s="5">
        <v>1372</v>
      </c>
      <c r="E851" s="5" t="s">
        <v>37</v>
      </c>
      <c r="F851" s="5">
        <v>9</v>
      </c>
      <c r="G851" s="5">
        <v>3</v>
      </c>
      <c r="H851" s="5" t="s">
        <v>59</v>
      </c>
      <c r="I851" s="5">
        <v>1</v>
      </c>
      <c r="J851" s="5">
        <v>1188</v>
      </c>
      <c r="K851" s="5">
        <v>1</v>
      </c>
      <c r="L851" s="5" t="s">
        <v>39</v>
      </c>
      <c r="M851" s="5">
        <v>85</v>
      </c>
      <c r="N851" s="5">
        <v>1</v>
      </c>
      <c r="O851" s="5">
        <v>2</v>
      </c>
      <c r="P851" s="5" t="s">
        <v>40</v>
      </c>
      <c r="Q851" s="5">
        <v>3</v>
      </c>
      <c r="R851" s="5" t="s">
        <v>41</v>
      </c>
      <c r="S851" s="5">
        <v>5346</v>
      </c>
      <c r="T851" s="5">
        <v>9489</v>
      </c>
      <c r="U851" s="5">
        <v>8</v>
      </c>
      <c r="V851" s="5" t="s">
        <v>42</v>
      </c>
      <c r="W851" s="5" t="s">
        <v>43</v>
      </c>
      <c r="X851" s="5">
        <v>13</v>
      </c>
      <c r="Y851" s="5">
        <v>3</v>
      </c>
      <c r="Z851" s="5">
        <v>2</v>
      </c>
      <c r="AA851" s="5">
        <v>80</v>
      </c>
      <c r="AB851" s="5">
        <v>0</v>
      </c>
      <c r="AC851" s="5">
        <v>7</v>
      </c>
      <c r="AD851" s="5">
        <v>2</v>
      </c>
      <c r="AE851" s="5">
        <v>2</v>
      </c>
      <c r="AF851" s="5">
        <v>4</v>
      </c>
      <c r="AG851" s="5">
        <v>3</v>
      </c>
      <c r="AH851" s="5">
        <v>1</v>
      </c>
      <c r="AI851" s="5">
        <v>3</v>
      </c>
    </row>
    <row r="852" spans="1:35" x14ac:dyDescent="0.25">
      <c r="A852" s="5">
        <v>32</v>
      </c>
      <c r="B852" s="5" t="s">
        <v>43</v>
      </c>
      <c r="C852" s="5" t="s">
        <v>55</v>
      </c>
      <c r="D852" s="5">
        <v>862</v>
      </c>
      <c r="E852" s="5" t="s">
        <v>37</v>
      </c>
      <c r="F852" s="5">
        <v>2</v>
      </c>
      <c r="G852" s="5">
        <v>1</v>
      </c>
      <c r="H852" s="5" t="s">
        <v>38</v>
      </c>
      <c r="I852" s="5">
        <v>1</v>
      </c>
      <c r="J852" s="5">
        <v>1190</v>
      </c>
      <c r="K852" s="5">
        <v>3</v>
      </c>
      <c r="L852" s="5" t="s">
        <v>39</v>
      </c>
      <c r="M852" s="5">
        <v>76</v>
      </c>
      <c r="N852" s="5">
        <v>3</v>
      </c>
      <c r="O852" s="5">
        <v>1</v>
      </c>
      <c r="P852" s="5" t="s">
        <v>57</v>
      </c>
      <c r="Q852" s="5">
        <v>1</v>
      </c>
      <c r="R852" s="5" t="s">
        <v>52</v>
      </c>
      <c r="S852" s="5">
        <v>2827</v>
      </c>
      <c r="T852" s="5">
        <v>14947</v>
      </c>
      <c r="U852" s="5">
        <v>1</v>
      </c>
      <c r="V852" s="5" t="s">
        <v>42</v>
      </c>
      <c r="W852" s="5" t="s">
        <v>43</v>
      </c>
      <c r="X852" s="5">
        <v>12</v>
      </c>
      <c r="Y852" s="5">
        <v>3</v>
      </c>
      <c r="Z852" s="5">
        <v>3</v>
      </c>
      <c r="AA852" s="5">
        <v>80</v>
      </c>
      <c r="AB852" s="5">
        <v>3</v>
      </c>
      <c r="AC852" s="5">
        <v>1</v>
      </c>
      <c r="AD852" s="5">
        <v>3</v>
      </c>
      <c r="AE852" s="5">
        <v>3</v>
      </c>
      <c r="AF852" s="5">
        <v>1</v>
      </c>
      <c r="AG852" s="5">
        <v>0</v>
      </c>
      <c r="AH852" s="5">
        <v>0</v>
      </c>
      <c r="AI852" s="5">
        <v>0</v>
      </c>
    </row>
    <row r="853" spans="1:35" x14ac:dyDescent="0.25">
      <c r="A853" s="5">
        <v>56</v>
      </c>
      <c r="B853" s="5" t="s">
        <v>43</v>
      </c>
      <c r="C853" s="5" t="s">
        <v>36</v>
      </c>
      <c r="D853" s="5">
        <v>718</v>
      </c>
      <c r="E853" s="5" t="s">
        <v>45</v>
      </c>
      <c r="F853" s="5">
        <v>4</v>
      </c>
      <c r="G853" s="5">
        <v>4</v>
      </c>
      <c r="H853" s="5" t="s">
        <v>60</v>
      </c>
      <c r="I853" s="5">
        <v>1</v>
      </c>
      <c r="J853" s="5">
        <v>1191</v>
      </c>
      <c r="K853" s="5">
        <v>4</v>
      </c>
      <c r="L853" s="5" t="s">
        <v>39</v>
      </c>
      <c r="M853" s="5">
        <v>92</v>
      </c>
      <c r="N853" s="5">
        <v>3</v>
      </c>
      <c r="O853" s="5">
        <v>5</v>
      </c>
      <c r="P853" s="5" t="s">
        <v>56</v>
      </c>
      <c r="Q853" s="5">
        <v>1</v>
      </c>
      <c r="R853" s="5" t="s">
        <v>52</v>
      </c>
      <c r="S853" s="5">
        <v>19943</v>
      </c>
      <c r="T853" s="5">
        <v>18575</v>
      </c>
      <c r="U853" s="5">
        <v>4</v>
      </c>
      <c r="V853" s="5" t="s">
        <v>42</v>
      </c>
      <c r="W853" s="5" t="s">
        <v>43</v>
      </c>
      <c r="X853" s="5">
        <v>13</v>
      </c>
      <c r="Y853" s="5">
        <v>3</v>
      </c>
      <c r="Z853" s="5">
        <v>4</v>
      </c>
      <c r="AA853" s="5">
        <v>80</v>
      </c>
      <c r="AB853" s="5">
        <v>1</v>
      </c>
      <c r="AC853" s="5">
        <v>28</v>
      </c>
      <c r="AD853" s="5">
        <v>2</v>
      </c>
      <c r="AE853" s="5">
        <v>3</v>
      </c>
      <c r="AF853" s="5">
        <v>5</v>
      </c>
      <c r="AG853" s="5">
        <v>2</v>
      </c>
      <c r="AH853" s="5">
        <v>4</v>
      </c>
      <c r="AI853" s="5">
        <v>2</v>
      </c>
    </row>
    <row r="854" spans="1:35" x14ac:dyDescent="0.25">
      <c r="A854" s="5">
        <v>29</v>
      </c>
      <c r="B854" s="5" t="s">
        <v>43</v>
      </c>
      <c r="C854" s="5" t="s">
        <v>36</v>
      </c>
      <c r="D854" s="5">
        <v>1401</v>
      </c>
      <c r="E854" s="5" t="s">
        <v>45</v>
      </c>
      <c r="F854" s="5">
        <v>6</v>
      </c>
      <c r="G854" s="5">
        <v>1</v>
      </c>
      <c r="H854" s="5" t="s">
        <v>51</v>
      </c>
      <c r="I854" s="5">
        <v>1</v>
      </c>
      <c r="J854" s="5">
        <v>1192</v>
      </c>
      <c r="K854" s="5">
        <v>2</v>
      </c>
      <c r="L854" s="5" t="s">
        <v>39</v>
      </c>
      <c r="M854" s="5">
        <v>54</v>
      </c>
      <c r="N854" s="5">
        <v>3</v>
      </c>
      <c r="O854" s="5">
        <v>1</v>
      </c>
      <c r="P854" s="5" t="s">
        <v>50</v>
      </c>
      <c r="Q854" s="5">
        <v>4</v>
      </c>
      <c r="R854" s="5" t="s">
        <v>48</v>
      </c>
      <c r="S854" s="5">
        <v>3131</v>
      </c>
      <c r="T854" s="5">
        <v>26342</v>
      </c>
      <c r="U854" s="5">
        <v>1</v>
      </c>
      <c r="V854" s="5" t="s">
        <v>42</v>
      </c>
      <c r="W854" s="5" t="s">
        <v>43</v>
      </c>
      <c r="X854" s="5">
        <v>13</v>
      </c>
      <c r="Y854" s="5">
        <v>3</v>
      </c>
      <c r="Z854" s="5">
        <v>1</v>
      </c>
      <c r="AA854" s="5">
        <v>80</v>
      </c>
      <c r="AB854" s="5">
        <v>1</v>
      </c>
      <c r="AC854" s="5">
        <v>10</v>
      </c>
      <c r="AD854" s="5">
        <v>5</v>
      </c>
      <c r="AE854" s="5">
        <v>3</v>
      </c>
      <c r="AF854" s="5">
        <v>10</v>
      </c>
      <c r="AG854" s="5">
        <v>8</v>
      </c>
      <c r="AH854" s="5">
        <v>0</v>
      </c>
      <c r="AI854" s="5">
        <v>8</v>
      </c>
    </row>
    <row r="855" spans="1:35" x14ac:dyDescent="0.25">
      <c r="A855" s="5">
        <v>19</v>
      </c>
      <c r="B855" s="5" t="s">
        <v>43</v>
      </c>
      <c r="C855" s="5" t="s">
        <v>36</v>
      </c>
      <c r="D855" s="5">
        <v>645</v>
      </c>
      <c r="E855" s="5" t="s">
        <v>45</v>
      </c>
      <c r="F855" s="5">
        <v>9</v>
      </c>
      <c r="G855" s="5">
        <v>2</v>
      </c>
      <c r="H855" s="5" t="s">
        <v>38</v>
      </c>
      <c r="I855" s="5">
        <v>1</v>
      </c>
      <c r="J855" s="5">
        <v>1193</v>
      </c>
      <c r="K855" s="5">
        <v>3</v>
      </c>
      <c r="L855" s="5" t="s">
        <v>46</v>
      </c>
      <c r="M855" s="5">
        <v>54</v>
      </c>
      <c r="N855" s="5">
        <v>3</v>
      </c>
      <c r="O855" s="5">
        <v>1</v>
      </c>
      <c r="P855" s="5" t="s">
        <v>47</v>
      </c>
      <c r="Q855" s="5">
        <v>1</v>
      </c>
      <c r="R855" s="5" t="s">
        <v>41</v>
      </c>
      <c r="S855" s="5">
        <v>2552</v>
      </c>
      <c r="T855" s="5">
        <v>7172</v>
      </c>
      <c r="U855" s="5">
        <v>1</v>
      </c>
      <c r="V855" s="5" t="s">
        <v>42</v>
      </c>
      <c r="W855" s="5" t="s">
        <v>43</v>
      </c>
      <c r="X855" s="5">
        <v>25</v>
      </c>
      <c r="Y855" s="5">
        <v>4</v>
      </c>
      <c r="Z855" s="5">
        <v>3</v>
      </c>
      <c r="AA855" s="5">
        <v>80</v>
      </c>
      <c r="AB855" s="5">
        <v>0</v>
      </c>
      <c r="AC855" s="5">
        <v>1</v>
      </c>
      <c r="AD855" s="5">
        <v>4</v>
      </c>
      <c r="AE855" s="5">
        <v>3</v>
      </c>
      <c r="AF855" s="5">
        <v>1</v>
      </c>
      <c r="AG855" s="5">
        <v>1</v>
      </c>
      <c r="AH855" s="5">
        <v>0</v>
      </c>
      <c r="AI855" s="5">
        <v>0</v>
      </c>
    </row>
    <row r="856" spans="1:35" x14ac:dyDescent="0.25">
      <c r="A856" s="5">
        <v>45</v>
      </c>
      <c r="B856" s="5" t="s">
        <v>43</v>
      </c>
      <c r="C856" s="5" t="s">
        <v>36</v>
      </c>
      <c r="D856" s="5">
        <v>1457</v>
      </c>
      <c r="E856" s="5" t="s">
        <v>45</v>
      </c>
      <c r="F856" s="5">
        <v>7</v>
      </c>
      <c r="G856" s="5">
        <v>3</v>
      </c>
      <c r="H856" s="5" t="s">
        <v>51</v>
      </c>
      <c r="I856" s="5">
        <v>1</v>
      </c>
      <c r="J856" s="5">
        <v>1195</v>
      </c>
      <c r="K856" s="5">
        <v>1</v>
      </c>
      <c r="L856" s="5" t="s">
        <v>39</v>
      </c>
      <c r="M856" s="5">
        <v>83</v>
      </c>
      <c r="N856" s="5">
        <v>3</v>
      </c>
      <c r="O856" s="5">
        <v>1</v>
      </c>
      <c r="P856" s="5" t="s">
        <v>47</v>
      </c>
      <c r="Q856" s="5">
        <v>3</v>
      </c>
      <c r="R856" s="5" t="s">
        <v>48</v>
      </c>
      <c r="S856" s="5">
        <v>4477</v>
      </c>
      <c r="T856" s="5">
        <v>20100</v>
      </c>
      <c r="U856" s="5">
        <v>4</v>
      </c>
      <c r="V856" s="5" t="s">
        <v>42</v>
      </c>
      <c r="W856" s="5" t="s">
        <v>35</v>
      </c>
      <c r="X856" s="5">
        <v>19</v>
      </c>
      <c r="Y856" s="5">
        <v>3</v>
      </c>
      <c r="Z856" s="5">
        <v>3</v>
      </c>
      <c r="AA856" s="5">
        <v>80</v>
      </c>
      <c r="AB856" s="5">
        <v>1</v>
      </c>
      <c r="AC856" s="5">
        <v>7</v>
      </c>
      <c r="AD856" s="5">
        <v>2</v>
      </c>
      <c r="AE856" s="5">
        <v>2</v>
      </c>
      <c r="AF856" s="5">
        <v>3</v>
      </c>
      <c r="AG856" s="5">
        <v>2</v>
      </c>
      <c r="AH856" s="5">
        <v>0</v>
      </c>
      <c r="AI856" s="5">
        <v>2</v>
      </c>
    </row>
    <row r="857" spans="1:35" x14ac:dyDescent="0.25">
      <c r="A857" s="5">
        <v>37</v>
      </c>
      <c r="B857" s="5" t="s">
        <v>43</v>
      </c>
      <c r="C857" s="5" t="s">
        <v>36</v>
      </c>
      <c r="D857" s="5">
        <v>977</v>
      </c>
      <c r="E857" s="5" t="s">
        <v>45</v>
      </c>
      <c r="F857" s="5">
        <v>1</v>
      </c>
      <c r="G857" s="5">
        <v>3</v>
      </c>
      <c r="H857" s="5" t="s">
        <v>38</v>
      </c>
      <c r="I857" s="5">
        <v>1</v>
      </c>
      <c r="J857" s="5">
        <v>1196</v>
      </c>
      <c r="K857" s="5">
        <v>4</v>
      </c>
      <c r="L857" s="5" t="s">
        <v>39</v>
      </c>
      <c r="M857" s="5">
        <v>56</v>
      </c>
      <c r="N857" s="5">
        <v>2</v>
      </c>
      <c r="O857" s="5">
        <v>2</v>
      </c>
      <c r="P857" s="5" t="s">
        <v>53</v>
      </c>
      <c r="Q857" s="5">
        <v>4</v>
      </c>
      <c r="R857" s="5" t="s">
        <v>48</v>
      </c>
      <c r="S857" s="5">
        <v>6474</v>
      </c>
      <c r="T857" s="5">
        <v>9961</v>
      </c>
      <c r="U857" s="5">
        <v>1</v>
      </c>
      <c r="V857" s="5" t="s">
        <v>42</v>
      </c>
      <c r="W857" s="5" t="s">
        <v>43</v>
      </c>
      <c r="X857" s="5">
        <v>13</v>
      </c>
      <c r="Y857" s="5">
        <v>3</v>
      </c>
      <c r="Z857" s="5">
        <v>2</v>
      </c>
      <c r="AA857" s="5">
        <v>80</v>
      </c>
      <c r="AB857" s="5">
        <v>1</v>
      </c>
      <c r="AC857" s="5">
        <v>14</v>
      </c>
      <c r="AD857" s="5">
        <v>2</v>
      </c>
      <c r="AE857" s="5">
        <v>2</v>
      </c>
      <c r="AF857" s="5">
        <v>14</v>
      </c>
      <c r="AG857" s="5">
        <v>8</v>
      </c>
      <c r="AH857" s="5">
        <v>3</v>
      </c>
      <c r="AI857" s="5">
        <v>11</v>
      </c>
    </row>
    <row r="858" spans="1:35" x14ac:dyDescent="0.25">
      <c r="A858" s="5">
        <v>20</v>
      </c>
      <c r="B858" s="5" t="s">
        <v>43</v>
      </c>
      <c r="C858" s="5" t="s">
        <v>36</v>
      </c>
      <c r="D858" s="5">
        <v>805</v>
      </c>
      <c r="E858" s="5" t="s">
        <v>45</v>
      </c>
      <c r="F858" s="5">
        <v>3</v>
      </c>
      <c r="G858" s="5">
        <v>3</v>
      </c>
      <c r="H858" s="5" t="s">
        <v>38</v>
      </c>
      <c r="I858" s="5">
        <v>1</v>
      </c>
      <c r="J858" s="5">
        <v>1198</v>
      </c>
      <c r="K858" s="5">
        <v>1</v>
      </c>
      <c r="L858" s="5" t="s">
        <v>46</v>
      </c>
      <c r="M858" s="5">
        <v>87</v>
      </c>
      <c r="N858" s="5">
        <v>2</v>
      </c>
      <c r="O858" s="5">
        <v>1</v>
      </c>
      <c r="P858" s="5" t="s">
        <v>50</v>
      </c>
      <c r="Q858" s="5">
        <v>3</v>
      </c>
      <c r="R858" s="5" t="s">
        <v>41</v>
      </c>
      <c r="S858" s="5">
        <v>3033</v>
      </c>
      <c r="T858" s="5">
        <v>12828</v>
      </c>
      <c r="U858" s="5">
        <v>1</v>
      </c>
      <c r="V858" s="5" t="s">
        <v>42</v>
      </c>
      <c r="W858" s="5" t="s">
        <v>43</v>
      </c>
      <c r="X858" s="5">
        <v>12</v>
      </c>
      <c r="Y858" s="5">
        <v>3</v>
      </c>
      <c r="Z858" s="5">
        <v>1</v>
      </c>
      <c r="AA858" s="5">
        <v>80</v>
      </c>
      <c r="AB858" s="5">
        <v>0</v>
      </c>
      <c r="AC858" s="5">
        <v>2</v>
      </c>
      <c r="AD858" s="5">
        <v>2</v>
      </c>
      <c r="AE858" s="5">
        <v>2</v>
      </c>
      <c r="AF858" s="5">
        <v>2</v>
      </c>
      <c r="AG858" s="5">
        <v>2</v>
      </c>
      <c r="AH858" s="5">
        <v>1</v>
      </c>
      <c r="AI858" s="5">
        <v>2</v>
      </c>
    </row>
    <row r="859" spans="1:35" x14ac:dyDescent="0.25">
      <c r="A859" s="5">
        <v>44</v>
      </c>
      <c r="B859" s="5" t="s">
        <v>35</v>
      </c>
      <c r="C859" s="5" t="s">
        <v>36</v>
      </c>
      <c r="D859" s="5">
        <v>1097</v>
      </c>
      <c r="E859" s="5" t="s">
        <v>45</v>
      </c>
      <c r="F859" s="5">
        <v>10</v>
      </c>
      <c r="G859" s="5">
        <v>4</v>
      </c>
      <c r="H859" s="5" t="s">
        <v>38</v>
      </c>
      <c r="I859" s="5">
        <v>1</v>
      </c>
      <c r="J859" s="5">
        <v>1200</v>
      </c>
      <c r="K859" s="5">
        <v>3</v>
      </c>
      <c r="L859" s="5" t="s">
        <v>46</v>
      </c>
      <c r="M859" s="5">
        <v>96</v>
      </c>
      <c r="N859" s="5">
        <v>3</v>
      </c>
      <c r="O859" s="5">
        <v>1</v>
      </c>
      <c r="P859" s="5" t="s">
        <v>47</v>
      </c>
      <c r="Q859" s="5">
        <v>3</v>
      </c>
      <c r="R859" s="5" t="s">
        <v>41</v>
      </c>
      <c r="S859" s="5">
        <v>2936</v>
      </c>
      <c r="T859" s="5">
        <v>10826</v>
      </c>
      <c r="U859" s="5">
        <v>1</v>
      </c>
      <c r="V859" s="5" t="s">
        <v>42</v>
      </c>
      <c r="W859" s="5" t="s">
        <v>35</v>
      </c>
      <c r="X859" s="5">
        <v>11</v>
      </c>
      <c r="Y859" s="5">
        <v>3</v>
      </c>
      <c r="Z859" s="5">
        <v>3</v>
      </c>
      <c r="AA859" s="5">
        <v>80</v>
      </c>
      <c r="AB859" s="5">
        <v>0</v>
      </c>
      <c r="AC859" s="5">
        <v>6</v>
      </c>
      <c r="AD859" s="5">
        <v>4</v>
      </c>
      <c r="AE859" s="5">
        <v>3</v>
      </c>
      <c r="AF859" s="5">
        <v>6</v>
      </c>
      <c r="AG859" s="5">
        <v>4</v>
      </c>
      <c r="AH859" s="5">
        <v>0</v>
      </c>
      <c r="AI859" s="5">
        <v>2</v>
      </c>
    </row>
    <row r="860" spans="1:35" x14ac:dyDescent="0.25">
      <c r="A860" s="5">
        <v>53</v>
      </c>
      <c r="B860" s="5" t="s">
        <v>43</v>
      </c>
      <c r="C860" s="5" t="s">
        <v>36</v>
      </c>
      <c r="D860" s="5">
        <v>1223</v>
      </c>
      <c r="E860" s="5" t="s">
        <v>45</v>
      </c>
      <c r="F860" s="5">
        <v>7</v>
      </c>
      <c r="G860" s="5">
        <v>2</v>
      </c>
      <c r="H860" s="5" t="s">
        <v>51</v>
      </c>
      <c r="I860" s="5">
        <v>1</v>
      </c>
      <c r="J860" s="5">
        <v>1201</v>
      </c>
      <c r="K860" s="5">
        <v>4</v>
      </c>
      <c r="L860" s="5" t="s">
        <v>39</v>
      </c>
      <c r="M860" s="5">
        <v>50</v>
      </c>
      <c r="N860" s="5">
        <v>3</v>
      </c>
      <c r="O860" s="5">
        <v>5</v>
      </c>
      <c r="P860" s="5" t="s">
        <v>56</v>
      </c>
      <c r="Q860" s="5">
        <v>3</v>
      </c>
      <c r="R860" s="5" t="s">
        <v>52</v>
      </c>
      <c r="S860" s="5">
        <v>18606</v>
      </c>
      <c r="T860" s="5">
        <v>18640</v>
      </c>
      <c r="U860" s="5">
        <v>3</v>
      </c>
      <c r="V860" s="5" t="s">
        <v>42</v>
      </c>
      <c r="W860" s="5" t="s">
        <v>43</v>
      </c>
      <c r="X860" s="5">
        <v>18</v>
      </c>
      <c r="Y860" s="5">
        <v>3</v>
      </c>
      <c r="Z860" s="5">
        <v>2</v>
      </c>
      <c r="AA860" s="5">
        <v>80</v>
      </c>
      <c r="AB860" s="5">
        <v>1</v>
      </c>
      <c r="AC860" s="5">
        <v>26</v>
      </c>
      <c r="AD860" s="5">
        <v>6</v>
      </c>
      <c r="AE860" s="5">
        <v>3</v>
      </c>
      <c r="AF860" s="5">
        <v>7</v>
      </c>
      <c r="AG860" s="5">
        <v>7</v>
      </c>
      <c r="AH860" s="5">
        <v>4</v>
      </c>
      <c r="AI860" s="5">
        <v>7</v>
      </c>
    </row>
    <row r="861" spans="1:35" x14ac:dyDescent="0.25">
      <c r="A861" s="5">
        <v>29</v>
      </c>
      <c r="B861" s="5" t="s">
        <v>43</v>
      </c>
      <c r="C861" s="5" t="s">
        <v>36</v>
      </c>
      <c r="D861" s="5">
        <v>942</v>
      </c>
      <c r="E861" s="5" t="s">
        <v>45</v>
      </c>
      <c r="F861" s="5">
        <v>15</v>
      </c>
      <c r="G861" s="5">
        <v>1</v>
      </c>
      <c r="H861" s="5" t="s">
        <v>38</v>
      </c>
      <c r="I861" s="5">
        <v>1</v>
      </c>
      <c r="J861" s="5">
        <v>1202</v>
      </c>
      <c r="K861" s="5">
        <v>2</v>
      </c>
      <c r="L861" s="5" t="s">
        <v>39</v>
      </c>
      <c r="M861" s="5">
        <v>69</v>
      </c>
      <c r="N861" s="5">
        <v>1</v>
      </c>
      <c r="O861" s="5">
        <v>1</v>
      </c>
      <c r="P861" s="5" t="s">
        <v>47</v>
      </c>
      <c r="Q861" s="5">
        <v>4</v>
      </c>
      <c r="R861" s="5" t="s">
        <v>48</v>
      </c>
      <c r="S861" s="5">
        <v>2168</v>
      </c>
      <c r="T861" s="5">
        <v>26933</v>
      </c>
      <c r="U861" s="5">
        <v>0</v>
      </c>
      <c r="V861" s="5" t="s">
        <v>42</v>
      </c>
      <c r="W861" s="5" t="s">
        <v>35</v>
      </c>
      <c r="X861" s="5">
        <v>18</v>
      </c>
      <c r="Y861" s="5">
        <v>3</v>
      </c>
      <c r="Z861" s="5">
        <v>1</v>
      </c>
      <c r="AA861" s="5">
        <v>80</v>
      </c>
      <c r="AB861" s="5">
        <v>1</v>
      </c>
      <c r="AC861" s="5">
        <v>6</v>
      </c>
      <c r="AD861" s="5">
        <v>2</v>
      </c>
      <c r="AE861" s="5">
        <v>2</v>
      </c>
      <c r="AF861" s="5">
        <v>5</v>
      </c>
      <c r="AG861" s="5">
        <v>4</v>
      </c>
      <c r="AH861" s="5">
        <v>1</v>
      </c>
      <c r="AI861" s="5">
        <v>3</v>
      </c>
    </row>
    <row r="862" spans="1:35" x14ac:dyDescent="0.25">
      <c r="A862" s="5">
        <v>22</v>
      </c>
      <c r="B862" s="5" t="s">
        <v>35</v>
      </c>
      <c r="C862" s="5" t="s">
        <v>44</v>
      </c>
      <c r="D862" s="5">
        <v>1256</v>
      </c>
      <c r="E862" s="5" t="s">
        <v>45</v>
      </c>
      <c r="F862" s="5">
        <v>3</v>
      </c>
      <c r="G862" s="5">
        <v>4</v>
      </c>
      <c r="H862" s="5" t="s">
        <v>38</v>
      </c>
      <c r="I862" s="5">
        <v>1</v>
      </c>
      <c r="J862" s="5">
        <v>1203</v>
      </c>
      <c r="K862" s="5">
        <v>3</v>
      </c>
      <c r="L862" s="5" t="s">
        <v>46</v>
      </c>
      <c r="M862" s="5">
        <v>48</v>
      </c>
      <c r="N862" s="5">
        <v>2</v>
      </c>
      <c r="O862" s="5">
        <v>1</v>
      </c>
      <c r="P862" s="5" t="s">
        <v>47</v>
      </c>
      <c r="Q862" s="5">
        <v>4</v>
      </c>
      <c r="R862" s="5" t="s">
        <v>48</v>
      </c>
      <c r="S862" s="5">
        <v>2853</v>
      </c>
      <c r="T862" s="5">
        <v>4223</v>
      </c>
      <c r="U862" s="5">
        <v>0</v>
      </c>
      <c r="V862" s="5" t="s">
        <v>42</v>
      </c>
      <c r="W862" s="5" t="s">
        <v>35</v>
      </c>
      <c r="X862" s="5">
        <v>11</v>
      </c>
      <c r="Y862" s="5">
        <v>3</v>
      </c>
      <c r="Z862" s="5">
        <v>2</v>
      </c>
      <c r="AA862" s="5">
        <v>80</v>
      </c>
      <c r="AB862" s="5">
        <v>1</v>
      </c>
      <c r="AC862" s="5">
        <v>1</v>
      </c>
      <c r="AD862" s="5">
        <v>5</v>
      </c>
      <c r="AE862" s="5">
        <v>3</v>
      </c>
      <c r="AF862" s="5">
        <v>0</v>
      </c>
      <c r="AG862" s="5">
        <v>0</v>
      </c>
      <c r="AH862" s="5">
        <v>0</v>
      </c>
      <c r="AI862" s="5">
        <v>0</v>
      </c>
    </row>
    <row r="863" spans="1:35" x14ac:dyDescent="0.25">
      <c r="A863" s="5">
        <v>46</v>
      </c>
      <c r="B863" s="5" t="s">
        <v>43</v>
      </c>
      <c r="C863" s="5" t="s">
        <v>36</v>
      </c>
      <c r="D863" s="5">
        <v>1402</v>
      </c>
      <c r="E863" s="5" t="s">
        <v>37</v>
      </c>
      <c r="F863" s="5">
        <v>2</v>
      </c>
      <c r="G863" s="5">
        <v>3</v>
      </c>
      <c r="H863" s="5" t="s">
        <v>59</v>
      </c>
      <c r="I863" s="5">
        <v>1</v>
      </c>
      <c r="J863" s="5">
        <v>1204</v>
      </c>
      <c r="K863" s="5">
        <v>3</v>
      </c>
      <c r="L863" s="5" t="s">
        <v>39</v>
      </c>
      <c r="M863" s="5">
        <v>69</v>
      </c>
      <c r="N863" s="5">
        <v>3</v>
      </c>
      <c r="O863" s="5">
        <v>4</v>
      </c>
      <c r="P863" s="5" t="s">
        <v>56</v>
      </c>
      <c r="Q863" s="5">
        <v>1</v>
      </c>
      <c r="R863" s="5" t="s">
        <v>48</v>
      </c>
      <c r="S863" s="5">
        <v>17048</v>
      </c>
      <c r="T863" s="5">
        <v>24097</v>
      </c>
      <c r="U863" s="5">
        <v>8</v>
      </c>
      <c r="V863" s="5" t="s">
        <v>42</v>
      </c>
      <c r="W863" s="5" t="s">
        <v>43</v>
      </c>
      <c r="X863" s="5">
        <v>23</v>
      </c>
      <c r="Y863" s="5">
        <v>4</v>
      </c>
      <c r="Z863" s="5">
        <v>1</v>
      </c>
      <c r="AA863" s="5">
        <v>80</v>
      </c>
      <c r="AB863" s="5">
        <v>0</v>
      </c>
      <c r="AC863" s="5">
        <v>28</v>
      </c>
      <c r="AD863" s="5">
        <v>2</v>
      </c>
      <c r="AE863" s="5">
        <v>3</v>
      </c>
      <c r="AF863" s="5">
        <v>26</v>
      </c>
      <c r="AG863" s="5">
        <v>15</v>
      </c>
      <c r="AH863" s="5">
        <v>15</v>
      </c>
      <c r="AI863" s="5">
        <v>9</v>
      </c>
    </row>
    <row r="864" spans="1:35" x14ac:dyDescent="0.25">
      <c r="A864" s="5">
        <v>44</v>
      </c>
      <c r="B864" s="5" t="s">
        <v>43</v>
      </c>
      <c r="C864" s="5" t="s">
        <v>55</v>
      </c>
      <c r="D864" s="5">
        <v>111</v>
      </c>
      <c r="E864" s="5" t="s">
        <v>45</v>
      </c>
      <c r="F864" s="5">
        <v>17</v>
      </c>
      <c r="G864" s="5">
        <v>3</v>
      </c>
      <c r="H864" s="5" t="s">
        <v>38</v>
      </c>
      <c r="I864" s="5">
        <v>1</v>
      </c>
      <c r="J864" s="5">
        <v>1206</v>
      </c>
      <c r="K864" s="5">
        <v>4</v>
      </c>
      <c r="L864" s="5" t="s">
        <v>46</v>
      </c>
      <c r="M864" s="5">
        <v>74</v>
      </c>
      <c r="N864" s="5">
        <v>1</v>
      </c>
      <c r="O864" s="5">
        <v>1</v>
      </c>
      <c r="P864" s="5" t="s">
        <v>47</v>
      </c>
      <c r="Q864" s="5">
        <v>3</v>
      </c>
      <c r="R864" s="5" t="s">
        <v>41</v>
      </c>
      <c r="S864" s="5">
        <v>2290</v>
      </c>
      <c r="T864" s="5">
        <v>4279</v>
      </c>
      <c r="U864" s="5">
        <v>2</v>
      </c>
      <c r="V864" s="5" t="s">
        <v>42</v>
      </c>
      <c r="W864" s="5" t="s">
        <v>43</v>
      </c>
      <c r="X864" s="5">
        <v>13</v>
      </c>
      <c r="Y864" s="5">
        <v>3</v>
      </c>
      <c r="Z864" s="5">
        <v>4</v>
      </c>
      <c r="AA864" s="5">
        <v>80</v>
      </c>
      <c r="AB864" s="5">
        <v>0</v>
      </c>
      <c r="AC864" s="5">
        <v>6</v>
      </c>
      <c r="AD864" s="5">
        <v>3</v>
      </c>
      <c r="AE864" s="5">
        <v>3</v>
      </c>
      <c r="AF864" s="5">
        <v>0</v>
      </c>
      <c r="AG864" s="5">
        <v>0</v>
      </c>
      <c r="AH864" s="5">
        <v>0</v>
      </c>
      <c r="AI864" s="5">
        <v>0</v>
      </c>
    </row>
    <row r="865" spans="1:35" x14ac:dyDescent="0.25">
      <c r="A865" s="5">
        <v>33</v>
      </c>
      <c r="B865" s="5" t="s">
        <v>43</v>
      </c>
      <c r="C865" s="5" t="s">
        <v>36</v>
      </c>
      <c r="D865" s="5">
        <v>147</v>
      </c>
      <c r="E865" s="5" t="s">
        <v>61</v>
      </c>
      <c r="F865" s="5">
        <v>2</v>
      </c>
      <c r="G865" s="5">
        <v>3</v>
      </c>
      <c r="H865" s="5" t="s">
        <v>61</v>
      </c>
      <c r="I865" s="5">
        <v>1</v>
      </c>
      <c r="J865" s="5">
        <v>1207</v>
      </c>
      <c r="K865" s="5">
        <v>2</v>
      </c>
      <c r="L865" s="5" t="s">
        <v>46</v>
      </c>
      <c r="M865" s="5">
        <v>99</v>
      </c>
      <c r="N865" s="5">
        <v>3</v>
      </c>
      <c r="O865" s="5">
        <v>1</v>
      </c>
      <c r="P865" s="5" t="s">
        <v>61</v>
      </c>
      <c r="Q865" s="5">
        <v>3</v>
      </c>
      <c r="R865" s="5" t="s">
        <v>48</v>
      </c>
      <c r="S865" s="5">
        <v>3600</v>
      </c>
      <c r="T865" s="5">
        <v>8429</v>
      </c>
      <c r="U865" s="5">
        <v>1</v>
      </c>
      <c r="V865" s="5" t="s">
        <v>42</v>
      </c>
      <c r="W865" s="5" t="s">
        <v>43</v>
      </c>
      <c r="X865" s="5">
        <v>13</v>
      </c>
      <c r="Y865" s="5">
        <v>3</v>
      </c>
      <c r="Z865" s="5">
        <v>4</v>
      </c>
      <c r="AA865" s="5">
        <v>80</v>
      </c>
      <c r="AB865" s="5">
        <v>1</v>
      </c>
      <c r="AC865" s="5">
        <v>5</v>
      </c>
      <c r="AD865" s="5">
        <v>2</v>
      </c>
      <c r="AE865" s="5">
        <v>3</v>
      </c>
      <c r="AF865" s="5">
        <v>5</v>
      </c>
      <c r="AG865" s="5">
        <v>4</v>
      </c>
      <c r="AH865" s="5">
        <v>1</v>
      </c>
      <c r="AI865" s="5">
        <v>4</v>
      </c>
    </row>
    <row r="866" spans="1:35" x14ac:dyDescent="0.25">
      <c r="A866" s="5">
        <v>41</v>
      </c>
      <c r="B866" s="5" t="s">
        <v>35</v>
      </c>
      <c r="C866" s="5" t="s">
        <v>55</v>
      </c>
      <c r="D866" s="5">
        <v>906</v>
      </c>
      <c r="E866" s="5" t="s">
        <v>45</v>
      </c>
      <c r="F866" s="5">
        <v>5</v>
      </c>
      <c r="G866" s="5">
        <v>2</v>
      </c>
      <c r="H866" s="5" t="s">
        <v>38</v>
      </c>
      <c r="I866" s="5">
        <v>1</v>
      </c>
      <c r="J866" s="5">
        <v>1210</v>
      </c>
      <c r="K866" s="5">
        <v>1</v>
      </c>
      <c r="L866" s="5" t="s">
        <v>46</v>
      </c>
      <c r="M866" s="5">
        <v>95</v>
      </c>
      <c r="N866" s="5">
        <v>2</v>
      </c>
      <c r="O866" s="5">
        <v>1</v>
      </c>
      <c r="P866" s="5" t="s">
        <v>47</v>
      </c>
      <c r="Q866" s="5">
        <v>1</v>
      </c>
      <c r="R866" s="5" t="s">
        <v>52</v>
      </c>
      <c r="S866" s="5">
        <v>2107</v>
      </c>
      <c r="T866" s="5">
        <v>20293</v>
      </c>
      <c r="U866" s="5">
        <v>6</v>
      </c>
      <c r="V866" s="5" t="s">
        <v>42</v>
      </c>
      <c r="W866" s="5" t="s">
        <v>43</v>
      </c>
      <c r="X866" s="5">
        <v>17</v>
      </c>
      <c r="Y866" s="5">
        <v>3</v>
      </c>
      <c r="Z866" s="5">
        <v>1</v>
      </c>
      <c r="AA866" s="5">
        <v>80</v>
      </c>
      <c r="AB866" s="5">
        <v>1</v>
      </c>
      <c r="AC866" s="5">
        <v>5</v>
      </c>
      <c r="AD866" s="5">
        <v>2</v>
      </c>
      <c r="AE866" s="5">
        <v>1</v>
      </c>
      <c r="AF866" s="5">
        <v>1</v>
      </c>
      <c r="AG866" s="5">
        <v>0</v>
      </c>
      <c r="AH866" s="5">
        <v>0</v>
      </c>
      <c r="AI866" s="5">
        <v>0</v>
      </c>
    </row>
    <row r="867" spans="1:35" x14ac:dyDescent="0.25">
      <c r="A867" s="5">
        <v>30</v>
      </c>
      <c r="B867" s="5" t="s">
        <v>43</v>
      </c>
      <c r="C867" s="5" t="s">
        <v>36</v>
      </c>
      <c r="D867" s="5">
        <v>1329</v>
      </c>
      <c r="E867" s="5" t="s">
        <v>37</v>
      </c>
      <c r="F867" s="5">
        <v>29</v>
      </c>
      <c r="G867" s="5">
        <v>4</v>
      </c>
      <c r="H867" s="5" t="s">
        <v>38</v>
      </c>
      <c r="I867" s="5">
        <v>1</v>
      </c>
      <c r="J867" s="5">
        <v>1211</v>
      </c>
      <c r="K867" s="5">
        <v>3</v>
      </c>
      <c r="L867" s="5" t="s">
        <v>46</v>
      </c>
      <c r="M867" s="5">
        <v>61</v>
      </c>
      <c r="N867" s="5">
        <v>3</v>
      </c>
      <c r="O867" s="5">
        <v>2</v>
      </c>
      <c r="P867" s="5" t="s">
        <v>40</v>
      </c>
      <c r="Q867" s="5">
        <v>1</v>
      </c>
      <c r="R867" s="5" t="s">
        <v>52</v>
      </c>
      <c r="S867" s="5">
        <v>4115</v>
      </c>
      <c r="T867" s="5">
        <v>13192</v>
      </c>
      <c r="U867" s="5">
        <v>8</v>
      </c>
      <c r="V867" s="5" t="s">
        <v>42</v>
      </c>
      <c r="W867" s="5" t="s">
        <v>43</v>
      </c>
      <c r="X867" s="5">
        <v>19</v>
      </c>
      <c r="Y867" s="5">
        <v>3</v>
      </c>
      <c r="Z867" s="5">
        <v>3</v>
      </c>
      <c r="AA867" s="5">
        <v>80</v>
      </c>
      <c r="AB867" s="5">
        <v>3</v>
      </c>
      <c r="AC867" s="5">
        <v>8</v>
      </c>
      <c r="AD867" s="5">
        <v>3</v>
      </c>
      <c r="AE867" s="5">
        <v>3</v>
      </c>
      <c r="AF867" s="5">
        <v>4</v>
      </c>
      <c r="AG867" s="5">
        <v>3</v>
      </c>
      <c r="AH867" s="5">
        <v>0</v>
      </c>
      <c r="AI867" s="5">
        <v>3</v>
      </c>
    </row>
    <row r="868" spans="1:35" x14ac:dyDescent="0.25">
      <c r="A868" s="5">
        <v>40</v>
      </c>
      <c r="B868" s="5" t="s">
        <v>43</v>
      </c>
      <c r="C868" s="5" t="s">
        <v>44</v>
      </c>
      <c r="D868" s="5">
        <v>1184</v>
      </c>
      <c r="E868" s="5" t="s">
        <v>37</v>
      </c>
      <c r="F868" s="5">
        <v>2</v>
      </c>
      <c r="G868" s="5">
        <v>4</v>
      </c>
      <c r="H868" s="5" t="s">
        <v>51</v>
      </c>
      <c r="I868" s="5">
        <v>1</v>
      </c>
      <c r="J868" s="5">
        <v>1212</v>
      </c>
      <c r="K868" s="5">
        <v>2</v>
      </c>
      <c r="L868" s="5" t="s">
        <v>46</v>
      </c>
      <c r="M868" s="5">
        <v>62</v>
      </c>
      <c r="N868" s="5">
        <v>3</v>
      </c>
      <c r="O868" s="5">
        <v>2</v>
      </c>
      <c r="P868" s="5" t="s">
        <v>40</v>
      </c>
      <c r="Q868" s="5">
        <v>2</v>
      </c>
      <c r="R868" s="5" t="s">
        <v>48</v>
      </c>
      <c r="S868" s="5">
        <v>4327</v>
      </c>
      <c r="T868" s="5">
        <v>25440</v>
      </c>
      <c r="U868" s="5">
        <v>5</v>
      </c>
      <c r="V868" s="5" t="s">
        <v>42</v>
      </c>
      <c r="W868" s="5" t="s">
        <v>43</v>
      </c>
      <c r="X868" s="5">
        <v>12</v>
      </c>
      <c r="Y868" s="5">
        <v>3</v>
      </c>
      <c r="Z868" s="5">
        <v>4</v>
      </c>
      <c r="AA868" s="5">
        <v>80</v>
      </c>
      <c r="AB868" s="5">
        <v>3</v>
      </c>
      <c r="AC868" s="5">
        <v>5</v>
      </c>
      <c r="AD868" s="5">
        <v>2</v>
      </c>
      <c r="AE868" s="5">
        <v>3</v>
      </c>
      <c r="AF868" s="5">
        <v>0</v>
      </c>
      <c r="AG868" s="5">
        <v>0</v>
      </c>
      <c r="AH868" s="5">
        <v>0</v>
      </c>
      <c r="AI868" s="5">
        <v>0</v>
      </c>
    </row>
    <row r="869" spans="1:35" x14ac:dyDescent="0.25">
      <c r="A869" s="5">
        <v>50</v>
      </c>
      <c r="B869" s="5" t="s">
        <v>43</v>
      </c>
      <c r="C869" s="5" t="s">
        <v>44</v>
      </c>
      <c r="D869" s="5">
        <v>1421</v>
      </c>
      <c r="E869" s="5" t="s">
        <v>45</v>
      </c>
      <c r="F869" s="5">
        <v>2</v>
      </c>
      <c r="G869" s="5">
        <v>3</v>
      </c>
      <c r="H869" s="5" t="s">
        <v>51</v>
      </c>
      <c r="I869" s="5">
        <v>1</v>
      </c>
      <c r="J869" s="5">
        <v>1215</v>
      </c>
      <c r="K869" s="5">
        <v>4</v>
      </c>
      <c r="L869" s="5" t="s">
        <v>39</v>
      </c>
      <c r="M869" s="5">
        <v>30</v>
      </c>
      <c r="N869" s="5">
        <v>3</v>
      </c>
      <c r="O869" s="5">
        <v>4</v>
      </c>
      <c r="P869" s="5" t="s">
        <v>56</v>
      </c>
      <c r="Q869" s="5">
        <v>1</v>
      </c>
      <c r="R869" s="5" t="s">
        <v>48</v>
      </c>
      <c r="S869" s="5">
        <v>17856</v>
      </c>
      <c r="T869" s="5">
        <v>9490</v>
      </c>
      <c r="U869" s="5">
        <v>2</v>
      </c>
      <c r="V869" s="5" t="s">
        <v>42</v>
      </c>
      <c r="W869" s="5" t="s">
        <v>43</v>
      </c>
      <c r="X869" s="5">
        <v>22</v>
      </c>
      <c r="Y869" s="5">
        <v>4</v>
      </c>
      <c r="Z869" s="5">
        <v>3</v>
      </c>
      <c r="AA869" s="5">
        <v>80</v>
      </c>
      <c r="AB869" s="5">
        <v>1</v>
      </c>
      <c r="AC869" s="5">
        <v>32</v>
      </c>
      <c r="AD869" s="5">
        <v>3</v>
      </c>
      <c r="AE869" s="5">
        <v>3</v>
      </c>
      <c r="AF869" s="5">
        <v>2</v>
      </c>
      <c r="AG869" s="5">
        <v>2</v>
      </c>
      <c r="AH869" s="5">
        <v>2</v>
      </c>
      <c r="AI869" s="5">
        <v>2</v>
      </c>
    </row>
    <row r="870" spans="1:35" x14ac:dyDescent="0.25">
      <c r="A870" s="5">
        <v>28</v>
      </c>
      <c r="B870" s="5" t="s">
        <v>43</v>
      </c>
      <c r="C870" s="5" t="s">
        <v>36</v>
      </c>
      <c r="D870" s="5">
        <v>1179</v>
      </c>
      <c r="E870" s="5" t="s">
        <v>45</v>
      </c>
      <c r="F870" s="5">
        <v>19</v>
      </c>
      <c r="G870" s="5">
        <v>4</v>
      </c>
      <c r="H870" s="5" t="s">
        <v>51</v>
      </c>
      <c r="I870" s="5">
        <v>1</v>
      </c>
      <c r="J870" s="5">
        <v>1216</v>
      </c>
      <c r="K870" s="5">
        <v>4</v>
      </c>
      <c r="L870" s="5" t="s">
        <v>46</v>
      </c>
      <c r="M870" s="5">
        <v>78</v>
      </c>
      <c r="N870" s="5">
        <v>2</v>
      </c>
      <c r="O870" s="5">
        <v>1</v>
      </c>
      <c r="P870" s="5" t="s">
        <v>50</v>
      </c>
      <c r="Q870" s="5">
        <v>1</v>
      </c>
      <c r="R870" s="5" t="s">
        <v>48</v>
      </c>
      <c r="S870" s="5">
        <v>3196</v>
      </c>
      <c r="T870" s="5">
        <v>12449</v>
      </c>
      <c r="U870" s="5">
        <v>1</v>
      </c>
      <c r="V870" s="5" t="s">
        <v>42</v>
      </c>
      <c r="W870" s="5" t="s">
        <v>43</v>
      </c>
      <c r="X870" s="5">
        <v>12</v>
      </c>
      <c r="Y870" s="5">
        <v>3</v>
      </c>
      <c r="Z870" s="5">
        <v>3</v>
      </c>
      <c r="AA870" s="5">
        <v>80</v>
      </c>
      <c r="AB870" s="5">
        <v>3</v>
      </c>
      <c r="AC870" s="5">
        <v>6</v>
      </c>
      <c r="AD870" s="5">
        <v>2</v>
      </c>
      <c r="AE870" s="5">
        <v>3</v>
      </c>
      <c r="AF870" s="5">
        <v>6</v>
      </c>
      <c r="AG870" s="5">
        <v>5</v>
      </c>
      <c r="AH870" s="5">
        <v>3</v>
      </c>
      <c r="AI870" s="5">
        <v>3</v>
      </c>
    </row>
    <row r="871" spans="1:35" x14ac:dyDescent="0.25">
      <c r="A871" s="5">
        <v>46</v>
      </c>
      <c r="B871" s="5" t="s">
        <v>43</v>
      </c>
      <c r="C871" s="5" t="s">
        <v>36</v>
      </c>
      <c r="D871" s="5">
        <v>1450</v>
      </c>
      <c r="E871" s="5" t="s">
        <v>45</v>
      </c>
      <c r="F871" s="5">
        <v>15</v>
      </c>
      <c r="G871" s="5">
        <v>2</v>
      </c>
      <c r="H871" s="5" t="s">
        <v>38</v>
      </c>
      <c r="I871" s="5">
        <v>1</v>
      </c>
      <c r="J871" s="5">
        <v>1217</v>
      </c>
      <c r="K871" s="5">
        <v>4</v>
      </c>
      <c r="L871" s="5" t="s">
        <v>46</v>
      </c>
      <c r="M871" s="5">
        <v>52</v>
      </c>
      <c r="N871" s="5">
        <v>3</v>
      </c>
      <c r="O871" s="5">
        <v>5</v>
      </c>
      <c r="P871" s="5" t="s">
        <v>58</v>
      </c>
      <c r="Q871" s="5">
        <v>2</v>
      </c>
      <c r="R871" s="5" t="s">
        <v>48</v>
      </c>
      <c r="S871" s="5">
        <v>19081</v>
      </c>
      <c r="T871" s="5">
        <v>10849</v>
      </c>
      <c r="U871" s="5">
        <v>5</v>
      </c>
      <c r="V871" s="5" t="s">
        <v>42</v>
      </c>
      <c r="W871" s="5" t="s">
        <v>43</v>
      </c>
      <c r="X871" s="5">
        <v>11</v>
      </c>
      <c r="Y871" s="5">
        <v>3</v>
      </c>
      <c r="Z871" s="5">
        <v>1</v>
      </c>
      <c r="AA871" s="5">
        <v>80</v>
      </c>
      <c r="AB871" s="5">
        <v>1</v>
      </c>
      <c r="AC871" s="5">
        <v>25</v>
      </c>
      <c r="AD871" s="5">
        <v>2</v>
      </c>
      <c r="AE871" s="5">
        <v>3</v>
      </c>
      <c r="AF871" s="5">
        <v>4</v>
      </c>
      <c r="AG871" s="5">
        <v>2</v>
      </c>
      <c r="AH871" s="5">
        <v>0</v>
      </c>
      <c r="AI871" s="5">
        <v>3</v>
      </c>
    </row>
    <row r="872" spans="1:35" x14ac:dyDescent="0.25">
      <c r="A872" s="5">
        <v>35</v>
      </c>
      <c r="B872" s="5" t="s">
        <v>43</v>
      </c>
      <c r="C872" s="5" t="s">
        <v>36</v>
      </c>
      <c r="D872" s="5">
        <v>1361</v>
      </c>
      <c r="E872" s="5" t="s">
        <v>37</v>
      </c>
      <c r="F872" s="5">
        <v>17</v>
      </c>
      <c r="G872" s="5">
        <v>4</v>
      </c>
      <c r="H872" s="5" t="s">
        <v>38</v>
      </c>
      <c r="I872" s="5">
        <v>1</v>
      </c>
      <c r="J872" s="5">
        <v>1218</v>
      </c>
      <c r="K872" s="5">
        <v>3</v>
      </c>
      <c r="L872" s="5" t="s">
        <v>46</v>
      </c>
      <c r="M872" s="5">
        <v>94</v>
      </c>
      <c r="N872" s="5">
        <v>3</v>
      </c>
      <c r="O872" s="5">
        <v>2</v>
      </c>
      <c r="P872" s="5" t="s">
        <v>40</v>
      </c>
      <c r="Q872" s="5">
        <v>1</v>
      </c>
      <c r="R872" s="5" t="s">
        <v>48</v>
      </c>
      <c r="S872" s="5">
        <v>8966</v>
      </c>
      <c r="T872" s="5">
        <v>21026</v>
      </c>
      <c r="U872" s="5">
        <v>3</v>
      </c>
      <c r="V872" s="5" t="s">
        <v>42</v>
      </c>
      <c r="W872" s="5" t="s">
        <v>35</v>
      </c>
      <c r="X872" s="5">
        <v>15</v>
      </c>
      <c r="Y872" s="5">
        <v>3</v>
      </c>
      <c r="Z872" s="5">
        <v>4</v>
      </c>
      <c r="AA872" s="5">
        <v>80</v>
      </c>
      <c r="AB872" s="5">
        <v>3</v>
      </c>
      <c r="AC872" s="5">
        <v>15</v>
      </c>
      <c r="AD872" s="5">
        <v>2</v>
      </c>
      <c r="AE872" s="5">
        <v>3</v>
      </c>
      <c r="AF872" s="5">
        <v>7</v>
      </c>
      <c r="AG872" s="5">
        <v>7</v>
      </c>
      <c r="AH872" s="5">
        <v>1</v>
      </c>
      <c r="AI872" s="5">
        <v>7</v>
      </c>
    </row>
    <row r="873" spans="1:35" x14ac:dyDescent="0.25">
      <c r="A873" s="5">
        <v>24</v>
      </c>
      <c r="B873" s="5" t="s">
        <v>35</v>
      </c>
      <c r="C873" s="5" t="s">
        <v>36</v>
      </c>
      <c r="D873" s="5">
        <v>984</v>
      </c>
      <c r="E873" s="5" t="s">
        <v>45</v>
      </c>
      <c r="F873" s="5">
        <v>17</v>
      </c>
      <c r="G873" s="5">
        <v>2</v>
      </c>
      <c r="H873" s="5" t="s">
        <v>38</v>
      </c>
      <c r="I873" s="5">
        <v>1</v>
      </c>
      <c r="J873" s="5">
        <v>1219</v>
      </c>
      <c r="K873" s="5">
        <v>4</v>
      </c>
      <c r="L873" s="5" t="s">
        <v>39</v>
      </c>
      <c r="M873" s="5">
        <v>97</v>
      </c>
      <c r="N873" s="5">
        <v>3</v>
      </c>
      <c r="O873" s="5">
        <v>1</v>
      </c>
      <c r="P873" s="5" t="s">
        <v>50</v>
      </c>
      <c r="Q873" s="5">
        <v>2</v>
      </c>
      <c r="R873" s="5" t="s">
        <v>48</v>
      </c>
      <c r="S873" s="5">
        <v>2210</v>
      </c>
      <c r="T873" s="5">
        <v>3372</v>
      </c>
      <c r="U873" s="5">
        <v>1</v>
      </c>
      <c r="V873" s="5" t="s">
        <v>42</v>
      </c>
      <c r="W873" s="5" t="s">
        <v>43</v>
      </c>
      <c r="X873" s="5">
        <v>13</v>
      </c>
      <c r="Y873" s="5">
        <v>3</v>
      </c>
      <c r="Z873" s="5">
        <v>1</v>
      </c>
      <c r="AA873" s="5">
        <v>80</v>
      </c>
      <c r="AB873" s="5">
        <v>1</v>
      </c>
      <c r="AC873" s="5">
        <v>1</v>
      </c>
      <c r="AD873" s="5">
        <v>3</v>
      </c>
      <c r="AE873" s="5">
        <v>1</v>
      </c>
      <c r="AF873" s="5">
        <v>1</v>
      </c>
      <c r="AG873" s="5">
        <v>0</v>
      </c>
      <c r="AH873" s="5">
        <v>0</v>
      </c>
      <c r="AI873" s="5">
        <v>0</v>
      </c>
    </row>
    <row r="874" spans="1:35" x14ac:dyDescent="0.25">
      <c r="A874" s="5">
        <v>33</v>
      </c>
      <c r="B874" s="5" t="s">
        <v>43</v>
      </c>
      <c r="C874" s="5" t="s">
        <v>44</v>
      </c>
      <c r="D874" s="5">
        <v>1146</v>
      </c>
      <c r="E874" s="5" t="s">
        <v>37</v>
      </c>
      <c r="F874" s="5">
        <v>25</v>
      </c>
      <c r="G874" s="5">
        <v>3</v>
      </c>
      <c r="H874" s="5" t="s">
        <v>51</v>
      </c>
      <c r="I874" s="5">
        <v>1</v>
      </c>
      <c r="J874" s="5">
        <v>1220</v>
      </c>
      <c r="K874" s="5">
        <v>2</v>
      </c>
      <c r="L874" s="5" t="s">
        <v>39</v>
      </c>
      <c r="M874" s="5">
        <v>82</v>
      </c>
      <c r="N874" s="5">
        <v>3</v>
      </c>
      <c r="O874" s="5">
        <v>2</v>
      </c>
      <c r="P874" s="5" t="s">
        <v>40</v>
      </c>
      <c r="Q874" s="5">
        <v>3</v>
      </c>
      <c r="R874" s="5" t="s">
        <v>48</v>
      </c>
      <c r="S874" s="5">
        <v>4539</v>
      </c>
      <c r="T874" s="5">
        <v>4905</v>
      </c>
      <c r="U874" s="5">
        <v>1</v>
      </c>
      <c r="V874" s="5" t="s">
        <v>42</v>
      </c>
      <c r="W874" s="5" t="s">
        <v>43</v>
      </c>
      <c r="X874" s="5">
        <v>12</v>
      </c>
      <c r="Y874" s="5">
        <v>3</v>
      </c>
      <c r="Z874" s="5">
        <v>1</v>
      </c>
      <c r="AA874" s="5">
        <v>80</v>
      </c>
      <c r="AB874" s="5">
        <v>1</v>
      </c>
      <c r="AC874" s="5">
        <v>10</v>
      </c>
      <c r="AD874" s="5">
        <v>3</v>
      </c>
      <c r="AE874" s="5">
        <v>2</v>
      </c>
      <c r="AF874" s="5">
        <v>10</v>
      </c>
      <c r="AG874" s="5">
        <v>7</v>
      </c>
      <c r="AH874" s="5">
        <v>0</v>
      </c>
      <c r="AI874" s="5">
        <v>1</v>
      </c>
    </row>
    <row r="875" spans="1:35" x14ac:dyDescent="0.25">
      <c r="A875" s="5">
        <v>36</v>
      </c>
      <c r="B875" s="5" t="s">
        <v>43</v>
      </c>
      <c r="C875" s="5" t="s">
        <v>36</v>
      </c>
      <c r="D875" s="5">
        <v>917</v>
      </c>
      <c r="E875" s="5" t="s">
        <v>45</v>
      </c>
      <c r="F875" s="5">
        <v>6</v>
      </c>
      <c r="G875" s="5">
        <v>4</v>
      </c>
      <c r="H875" s="5" t="s">
        <v>38</v>
      </c>
      <c r="I875" s="5">
        <v>1</v>
      </c>
      <c r="J875" s="5">
        <v>1221</v>
      </c>
      <c r="K875" s="5">
        <v>3</v>
      </c>
      <c r="L875" s="5" t="s">
        <v>46</v>
      </c>
      <c r="M875" s="5">
        <v>60</v>
      </c>
      <c r="N875" s="5">
        <v>1</v>
      </c>
      <c r="O875" s="5">
        <v>1</v>
      </c>
      <c r="P875" s="5" t="s">
        <v>50</v>
      </c>
      <c r="Q875" s="5">
        <v>3</v>
      </c>
      <c r="R875" s="5" t="s">
        <v>52</v>
      </c>
      <c r="S875" s="5">
        <v>2741</v>
      </c>
      <c r="T875" s="5">
        <v>6865</v>
      </c>
      <c r="U875" s="5">
        <v>1</v>
      </c>
      <c r="V875" s="5" t="s">
        <v>42</v>
      </c>
      <c r="W875" s="5" t="s">
        <v>43</v>
      </c>
      <c r="X875" s="5">
        <v>14</v>
      </c>
      <c r="Y875" s="5">
        <v>3</v>
      </c>
      <c r="Z875" s="5">
        <v>3</v>
      </c>
      <c r="AA875" s="5">
        <v>80</v>
      </c>
      <c r="AB875" s="5">
        <v>1</v>
      </c>
      <c r="AC875" s="5">
        <v>7</v>
      </c>
      <c r="AD875" s="5">
        <v>4</v>
      </c>
      <c r="AE875" s="5">
        <v>3</v>
      </c>
      <c r="AF875" s="5">
        <v>7</v>
      </c>
      <c r="AG875" s="5">
        <v>7</v>
      </c>
      <c r="AH875" s="5">
        <v>1</v>
      </c>
      <c r="AI875" s="5">
        <v>7</v>
      </c>
    </row>
    <row r="876" spans="1:35" x14ac:dyDescent="0.25">
      <c r="A876" s="5">
        <v>30</v>
      </c>
      <c r="B876" s="5" t="s">
        <v>43</v>
      </c>
      <c r="C876" s="5" t="s">
        <v>36</v>
      </c>
      <c r="D876" s="5">
        <v>853</v>
      </c>
      <c r="E876" s="5" t="s">
        <v>45</v>
      </c>
      <c r="F876" s="5">
        <v>7</v>
      </c>
      <c r="G876" s="5">
        <v>4</v>
      </c>
      <c r="H876" s="5" t="s">
        <v>38</v>
      </c>
      <c r="I876" s="5">
        <v>1</v>
      </c>
      <c r="J876" s="5">
        <v>1224</v>
      </c>
      <c r="K876" s="5">
        <v>3</v>
      </c>
      <c r="L876" s="5" t="s">
        <v>46</v>
      </c>
      <c r="M876" s="5">
        <v>49</v>
      </c>
      <c r="N876" s="5">
        <v>3</v>
      </c>
      <c r="O876" s="5">
        <v>2</v>
      </c>
      <c r="P876" s="5" t="s">
        <v>50</v>
      </c>
      <c r="Q876" s="5">
        <v>3</v>
      </c>
      <c r="R876" s="5" t="s">
        <v>52</v>
      </c>
      <c r="S876" s="5">
        <v>3491</v>
      </c>
      <c r="T876" s="5">
        <v>11309</v>
      </c>
      <c r="U876" s="5">
        <v>1</v>
      </c>
      <c r="V876" s="5" t="s">
        <v>42</v>
      </c>
      <c r="W876" s="5" t="s">
        <v>43</v>
      </c>
      <c r="X876" s="5">
        <v>13</v>
      </c>
      <c r="Y876" s="5">
        <v>3</v>
      </c>
      <c r="Z876" s="5">
        <v>1</v>
      </c>
      <c r="AA876" s="5">
        <v>80</v>
      </c>
      <c r="AB876" s="5">
        <v>3</v>
      </c>
      <c r="AC876" s="5">
        <v>10</v>
      </c>
      <c r="AD876" s="5">
        <v>4</v>
      </c>
      <c r="AE876" s="5">
        <v>2</v>
      </c>
      <c r="AF876" s="5">
        <v>10</v>
      </c>
      <c r="AG876" s="5">
        <v>7</v>
      </c>
      <c r="AH876" s="5">
        <v>8</v>
      </c>
      <c r="AI876" s="5">
        <v>9</v>
      </c>
    </row>
    <row r="877" spans="1:35" x14ac:dyDescent="0.25">
      <c r="A877" s="5">
        <v>44</v>
      </c>
      <c r="B877" s="5" t="s">
        <v>43</v>
      </c>
      <c r="C877" s="5" t="s">
        <v>36</v>
      </c>
      <c r="D877" s="5">
        <v>200</v>
      </c>
      <c r="E877" s="5" t="s">
        <v>45</v>
      </c>
      <c r="F877" s="5">
        <v>29</v>
      </c>
      <c r="G877" s="5">
        <v>4</v>
      </c>
      <c r="H877" s="5" t="s">
        <v>49</v>
      </c>
      <c r="I877" s="5">
        <v>1</v>
      </c>
      <c r="J877" s="5">
        <v>1225</v>
      </c>
      <c r="K877" s="5">
        <v>4</v>
      </c>
      <c r="L877" s="5" t="s">
        <v>46</v>
      </c>
      <c r="M877" s="5">
        <v>32</v>
      </c>
      <c r="N877" s="5">
        <v>3</v>
      </c>
      <c r="O877" s="5">
        <v>2</v>
      </c>
      <c r="P877" s="5" t="s">
        <v>47</v>
      </c>
      <c r="Q877" s="5">
        <v>4</v>
      </c>
      <c r="R877" s="5" t="s">
        <v>41</v>
      </c>
      <c r="S877" s="5">
        <v>4541</v>
      </c>
      <c r="T877" s="5">
        <v>7744</v>
      </c>
      <c r="U877" s="5">
        <v>1</v>
      </c>
      <c r="V877" s="5" t="s">
        <v>42</v>
      </c>
      <c r="W877" s="5" t="s">
        <v>43</v>
      </c>
      <c r="X877" s="5">
        <v>25</v>
      </c>
      <c r="Y877" s="5">
        <v>4</v>
      </c>
      <c r="Z877" s="5">
        <v>2</v>
      </c>
      <c r="AA877" s="5">
        <v>80</v>
      </c>
      <c r="AB877" s="5">
        <v>0</v>
      </c>
      <c r="AC877" s="5">
        <v>20</v>
      </c>
      <c r="AD877" s="5">
        <v>3</v>
      </c>
      <c r="AE877" s="5">
        <v>3</v>
      </c>
      <c r="AF877" s="5">
        <v>20</v>
      </c>
      <c r="AG877" s="5">
        <v>11</v>
      </c>
      <c r="AH877" s="5">
        <v>13</v>
      </c>
      <c r="AI877" s="5">
        <v>17</v>
      </c>
    </row>
    <row r="878" spans="1:35" x14ac:dyDescent="0.25">
      <c r="A878" s="5">
        <v>20</v>
      </c>
      <c r="B878" s="5" t="s">
        <v>43</v>
      </c>
      <c r="C878" s="5" t="s">
        <v>36</v>
      </c>
      <c r="D878" s="5">
        <v>654</v>
      </c>
      <c r="E878" s="5" t="s">
        <v>37</v>
      </c>
      <c r="F878" s="5">
        <v>21</v>
      </c>
      <c r="G878" s="5">
        <v>3</v>
      </c>
      <c r="H878" s="5" t="s">
        <v>59</v>
      </c>
      <c r="I878" s="5">
        <v>1</v>
      </c>
      <c r="J878" s="5">
        <v>1226</v>
      </c>
      <c r="K878" s="5">
        <v>3</v>
      </c>
      <c r="L878" s="5" t="s">
        <v>46</v>
      </c>
      <c r="M878" s="5">
        <v>43</v>
      </c>
      <c r="N878" s="5">
        <v>4</v>
      </c>
      <c r="O878" s="5">
        <v>1</v>
      </c>
      <c r="P878" s="5" t="s">
        <v>57</v>
      </c>
      <c r="Q878" s="5">
        <v>4</v>
      </c>
      <c r="R878" s="5" t="s">
        <v>41</v>
      </c>
      <c r="S878" s="5">
        <v>2678</v>
      </c>
      <c r="T878" s="5">
        <v>5050</v>
      </c>
      <c r="U878" s="5">
        <v>1</v>
      </c>
      <c r="V878" s="5" t="s">
        <v>42</v>
      </c>
      <c r="W878" s="5" t="s">
        <v>43</v>
      </c>
      <c r="X878" s="5">
        <v>17</v>
      </c>
      <c r="Y878" s="5">
        <v>3</v>
      </c>
      <c r="Z878" s="5">
        <v>4</v>
      </c>
      <c r="AA878" s="5">
        <v>80</v>
      </c>
      <c r="AB878" s="5">
        <v>0</v>
      </c>
      <c r="AC878" s="5">
        <v>2</v>
      </c>
      <c r="AD878" s="5">
        <v>2</v>
      </c>
      <c r="AE878" s="5">
        <v>3</v>
      </c>
      <c r="AF878" s="5">
        <v>2</v>
      </c>
      <c r="AG878" s="5">
        <v>1</v>
      </c>
      <c r="AH878" s="5">
        <v>2</v>
      </c>
      <c r="AI878" s="5">
        <v>2</v>
      </c>
    </row>
    <row r="879" spans="1:35" x14ac:dyDescent="0.25">
      <c r="A879" s="5">
        <v>46</v>
      </c>
      <c r="B879" s="5" t="s">
        <v>43</v>
      </c>
      <c r="C879" s="5" t="s">
        <v>36</v>
      </c>
      <c r="D879" s="5">
        <v>150</v>
      </c>
      <c r="E879" s="5" t="s">
        <v>45</v>
      </c>
      <c r="F879" s="5">
        <v>2</v>
      </c>
      <c r="G879" s="5">
        <v>4</v>
      </c>
      <c r="H879" s="5" t="s">
        <v>60</v>
      </c>
      <c r="I879" s="5">
        <v>1</v>
      </c>
      <c r="J879" s="5">
        <v>1228</v>
      </c>
      <c r="K879" s="5">
        <v>4</v>
      </c>
      <c r="L879" s="5" t="s">
        <v>46</v>
      </c>
      <c r="M879" s="5">
        <v>60</v>
      </c>
      <c r="N879" s="5">
        <v>3</v>
      </c>
      <c r="O879" s="5">
        <v>2</v>
      </c>
      <c r="P879" s="5" t="s">
        <v>53</v>
      </c>
      <c r="Q879" s="5">
        <v>4</v>
      </c>
      <c r="R879" s="5" t="s">
        <v>52</v>
      </c>
      <c r="S879" s="5">
        <v>7379</v>
      </c>
      <c r="T879" s="5">
        <v>17433</v>
      </c>
      <c r="U879" s="5">
        <v>2</v>
      </c>
      <c r="V879" s="5" t="s">
        <v>42</v>
      </c>
      <c r="W879" s="5" t="s">
        <v>43</v>
      </c>
      <c r="X879" s="5">
        <v>11</v>
      </c>
      <c r="Y879" s="5">
        <v>3</v>
      </c>
      <c r="Z879" s="5">
        <v>3</v>
      </c>
      <c r="AA879" s="5">
        <v>80</v>
      </c>
      <c r="AB879" s="5">
        <v>1</v>
      </c>
      <c r="AC879" s="5">
        <v>12</v>
      </c>
      <c r="AD879" s="5">
        <v>3</v>
      </c>
      <c r="AE879" s="5">
        <v>2</v>
      </c>
      <c r="AF879" s="5">
        <v>6</v>
      </c>
      <c r="AG879" s="5">
        <v>3</v>
      </c>
      <c r="AH879" s="5">
        <v>1</v>
      </c>
      <c r="AI879" s="5">
        <v>4</v>
      </c>
    </row>
    <row r="880" spans="1:35" x14ac:dyDescent="0.25">
      <c r="A880" s="5">
        <v>42</v>
      </c>
      <c r="B880" s="5" t="s">
        <v>43</v>
      </c>
      <c r="C880" s="5" t="s">
        <v>55</v>
      </c>
      <c r="D880" s="5">
        <v>179</v>
      </c>
      <c r="E880" s="5" t="s">
        <v>61</v>
      </c>
      <c r="F880" s="5">
        <v>2</v>
      </c>
      <c r="G880" s="5">
        <v>5</v>
      </c>
      <c r="H880" s="5" t="s">
        <v>51</v>
      </c>
      <c r="I880" s="5">
        <v>1</v>
      </c>
      <c r="J880" s="5">
        <v>1231</v>
      </c>
      <c r="K880" s="5">
        <v>4</v>
      </c>
      <c r="L880" s="5" t="s">
        <v>46</v>
      </c>
      <c r="M880" s="5">
        <v>79</v>
      </c>
      <c r="N880" s="5">
        <v>4</v>
      </c>
      <c r="O880" s="5">
        <v>2</v>
      </c>
      <c r="P880" s="5" t="s">
        <v>61</v>
      </c>
      <c r="Q880" s="5">
        <v>1</v>
      </c>
      <c r="R880" s="5" t="s">
        <v>48</v>
      </c>
      <c r="S880" s="5">
        <v>6272</v>
      </c>
      <c r="T880" s="5">
        <v>12858</v>
      </c>
      <c r="U880" s="5">
        <v>7</v>
      </c>
      <c r="V880" s="5" t="s">
        <v>42</v>
      </c>
      <c r="W880" s="5" t="s">
        <v>43</v>
      </c>
      <c r="X880" s="5">
        <v>16</v>
      </c>
      <c r="Y880" s="5">
        <v>3</v>
      </c>
      <c r="Z880" s="5">
        <v>1</v>
      </c>
      <c r="AA880" s="5">
        <v>80</v>
      </c>
      <c r="AB880" s="5">
        <v>1</v>
      </c>
      <c r="AC880" s="5">
        <v>10</v>
      </c>
      <c r="AD880" s="5">
        <v>3</v>
      </c>
      <c r="AE880" s="5">
        <v>4</v>
      </c>
      <c r="AF880" s="5">
        <v>4</v>
      </c>
      <c r="AG880" s="5">
        <v>3</v>
      </c>
      <c r="AH880" s="5">
        <v>0</v>
      </c>
      <c r="AI880" s="5">
        <v>3</v>
      </c>
    </row>
    <row r="881" spans="1:35" x14ac:dyDescent="0.25">
      <c r="A881" s="5">
        <v>60</v>
      </c>
      <c r="B881" s="5" t="s">
        <v>43</v>
      </c>
      <c r="C881" s="5" t="s">
        <v>36</v>
      </c>
      <c r="D881" s="5">
        <v>696</v>
      </c>
      <c r="E881" s="5" t="s">
        <v>37</v>
      </c>
      <c r="F881" s="5">
        <v>7</v>
      </c>
      <c r="G881" s="5">
        <v>4</v>
      </c>
      <c r="H881" s="5" t="s">
        <v>59</v>
      </c>
      <c r="I881" s="5">
        <v>1</v>
      </c>
      <c r="J881" s="5">
        <v>1233</v>
      </c>
      <c r="K881" s="5">
        <v>2</v>
      </c>
      <c r="L881" s="5" t="s">
        <v>46</v>
      </c>
      <c r="M881" s="5">
        <v>52</v>
      </c>
      <c r="N881" s="5">
        <v>4</v>
      </c>
      <c r="O881" s="5">
        <v>2</v>
      </c>
      <c r="P881" s="5" t="s">
        <v>40</v>
      </c>
      <c r="Q881" s="5">
        <v>4</v>
      </c>
      <c r="R881" s="5" t="s">
        <v>52</v>
      </c>
      <c r="S881" s="5">
        <v>5220</v>
      </c>
      <c r="T881" s="5">
        <v>10893</v>
      </c>
      <c r="U881" s="5">
        <v>0</v>
      </c>
      <c r="V881" s="5" t="s">
        <v>42</v>
      </c>
      <c r="W881" s="5" t="s">
        <v>35</v>
      </c>
      <c r="X881" s="5">
        <v>18</v>
      </c>
      <c r="Y881" s="5">
        <v>3</v>
      </c>
      <c r="Z881" s="5">
        <v>2</v>
      </c>
      <c r="AA881" s="5">
        <v>80</v>
      </c>
      <c r="AB881" s="5">
        <v>1</v>
      </c>
      <c r="AC881" s="5">
        <v>12</v>
      </c>
      <c r="AD881" s="5">
        <v>3</v>
      </c>
      <c r="AE881" s="5">
        <v>3</v>
      </c>
      <c r="AF881" s="5">
        <v>11</v>
      </c>
      <c r="AG881" s="5">
        <v>7</v>
      </c>
      <c r="AH881" s="5">
        <v>1</v>
      </c>
      <c r="AI881" s="5">
        <v>9</v>
      </c>
    </row>
    <row r="882" spans="1:35" x14ac:dyDescent="0.25">
      <c r="A882" s="5">
        <v>32</v>
      </c>
      <c r="B882" s="5" t="s">
        <v>43</v>
      </c>
      <c r="C882" s="5" t="s">
        <v>44</v>
      </c>
      <c r="D882" s="5">
        <v>116</v>
      </c>
      <c r="E882" s="5" t="s">
        <v>45</v>
      </c>
      <c r="F882" s="5">
        <v>13</v>
      </c>
      <c r="G882" s="5">
        <v>3</v>
      </c>
      <c r="H882" s="5" t="s">
        <v>49</v>
      </c>
      <c r="I882" s="5">
        <v>1</v>
      </c>
      <c r="J882" s="5">
        <v>1234</v>
      </c>
      <c r="K882" s="5">
        <v>3</v>
      </c>
      <c r="L882" s="5" t="s">
        <v>39</v>
      </c>
      <c r="M882" s="5">
        <v>77</v>
      </c>
      <c r="N882" s="5">
        <v>2</v>
      </c>
      <c r="O882" s="5">
        <v>1</v>
      </c>
      <c r="P882" s="5" t="s">
        <v>50</v>
      </c>
      <c r="Q882" s="5">
        <v>2</v>
      </c>
      <c r="R882" s="5" t="s">
        <v>48</v>
      </c>
      <c r="S882" s="5">
        <v>2743</v>
      </c>
      <c r="T882" s="5">
        <v>7331</v>
      </c>
      <c r="U882" s="5">
        <v>1</v>
      </c>
      <c r="V882" s="5" t="s">
        <v>42</v>
      </c>
      <c r="W882" s="5" t="s">
        <v>43</v>
      </c>
      <c r="X882" s="5">
        <v>20</v>
      </c>
      <c r="Y882" s="5">
        <v>4</v>
      </c>
      <c r="Z882" s="5">
        <v>3</v>
      </c>
      <c r="AA882" s="5">
        <v>80</v>
      </c>
      <c r="AB882" s="5">
        <v>1</v>
      </c>
      <c r="AC882" s="5">
        <v>2</v>
      </c>
      <c r="AD882" s="5">
        <v>2</v>
      </c>
      <c r="AE882" s="5">
        <v>3</v>
      </c>
      <c r="AF882" s="5">
        <v>2</v>
      </c>
      <c r="AG882" s="5">
        <v>2</v>
      </c>
      <c r="AH882" s="5">
        <v>2</v>
      </c>
      <c r="AI882" s="5">
        <v>2</v>
      </c>
    </row>
    <row r="883" spans="1:35" x14ac:dyDescent="0.25">
      <c r="A883" s="5">
        <v>32</v>
      </c>
      <c r="B883" s="5" t="s">
        <v>43</v>
      </c>
      <c r="C883" s="5" t="s">
        <v>44</v>
      </c>
      <c r="D883" s="5">
        <v>1316</v>
      </c>
      <c r="E883" s="5" t="s">
        <v>45</v>
      </c>
      <c r="F883" s="5">
        <v>2</v>
      </c>
      <c r="G883" s="5">
        <v>2</v>
      </c>
      <c r="H883" s="5" t="s">
        <v>38</v>
      </c>
      <c r="I883" s="5">
        <v>1</v>
      </c>
      <c r="J883" s="5">
        <v>1235</v>
      </c>
      <c r="K883" s="5">
        <v>4</v>
      </c>
      <c r="L883" s="5" t="s">
        <v>39</v>
      </c>
      <c r="M883" s="5">
        <v>38</v>
      </c>
      <c r="N883" s="5">
        <v>3</v>
      </c>
      <c r="O883" s="5">
        <v>2</v>
      </c>
      <c r="P883" s="5" t="s">
        <v>47</v>
      </c>
      <c r="Q883" s="5">
        <v>3</v>
      </c>
      <c r="R883" s="5" t="s">
        <v>41</v>
      </c>
      <c r="S883" s="5">
        <v>4998</v>
      </c>
      <c r="T883" s="5">
        <v>2338</v>
      </c>
      <c r="U883" s="5">
        <v>4</v>
      </c>
      <c r="V883" s="5" t="s">
        <v>42</v>
      </c>
      <c r="W883" s="5" t="s">
        <v>35</v>
      </c>
      <c r="X883" s="5">
        <v>14</v>
      </c>
      <c r="Y883" s="5">
        <v>3</v>
      </c>
      <c r="Z883" s="5">
        <v>4</v>
      </c>
      <c r="AA883" s="5">
        <v>80</v>
      </c>
      <c r="AB883" s="5">
        <v>0</v>
      </c>
      <c r="AC883" s="5">
        <v>10</v>
      </c>
      <c r="AD883" s="5">
        <v>2</v>
      </c>
      <c r="AE883" s="5">
        <v>3</v>
      </c>
      <c r="AF883" s="5">
        <v>8</v>
      </c>
      <c r="AG883" s="5">
        <v>7</v>
      </c>
      <c r="AH883" s="5">
        <v>0</v>
      </c>
      <c r="AI883" s="5">
        <v>7</v>
      </c>
    </row>
    <row r="884" spans="1:35" x14ac:dyDescent="0.25">
      <c r="A884" s="5">
        <v>36</v>
      </c>
      <c r="B884" s="5" t="s">
        <v>43</v>
      </c>
      <c r="C884" s="5" t="s">
        <v>36</v>
      </c>
      <c r="D884" s="5">
        <v>363</v>
      </c>
      <c r="E884" s="5" t="s">
        <v>45</v>
      </c>
      <c r="F884" s="5">
        <v>1</v>
      </c>
      <c r="G884" s="5">
        <v>3</v>
      </c>
      <c r="H884" s="5" t="s">
        <v>60</v>
      </c>
      <c r="I884" s="5">
        <v>1</v>
      </c>
      <c r="J884" s="5">
        <v>1237</v>
      </c>
      <c r="K884" s="5">
        <v>3</v>
      </c>
      <c r="L884" s="5" t="s">
        <v>39</v>
      </c>
      <c r="M884" s="5">
        <v>77</v>
      </c>
      <c r="N884" s="5">
        <v>1</v>
      </c>
      <c r="O884" s="5">
        <v>3</v>
      </c>
      <c r="P884" s="5" t="s">
        <v>53</v>
      </c>
      <c r="Q884" s="5">
        <v>1</v>
      </c>
      <c r="R884" s="5" t="s">
        <v>52</v>
      </c>
      <c r="S884" s="5">
        <v>10252</v>
      </c>
      <c r="T884" s="5">
        <v>4235</v>
      </c>
      <c r="U884" s="5">
        <v>2</v>
      </c>
      <c r="V884" s="5" t="s">
        <v>42</v>
      </c>
      <c r="W884" s="5" t="s">
        <v>35</v>
      </c>
      <c r="X884" s="5">
        <v>21</v>
      </c>
      <c r="Y884" s="5">
        <v>4</v>
      </c>
      <c r="Z884" s="5">
        <v>3</v>
      </c>
      <c r="AA884" s="5">
        <v>80</v>
      </c>
      <c r="AB884" s="5">
        <v>1</v>
      </c>
      <c r="AC884" s="5">
        <v>17</v>
      </c>
      <c r="AD884" s="5">
        <v>2</v>
      </c>
      <c r="AE884" s="5">
        <v>3</v>
      </c>
      <c r="AF884" s="5">
        <v>7</v>
      </c>
      <c r="AG884" s="5">
        <v>7</v>
      </c>
      <c r="AH884" s="5">
        <v>7</v>
      </c>
      <c r="AI884" s="5">
        <v>7</v>
      </c>
    </row>
    <row r="885" spans="1:35" x14ac:dyDescent="0.25">
      <c r="A885" s="5">
        <v>33</v>
      </c>
      <c r="B885" s="5" t="s">
        <v>43</v>
      </c>
      <c r="C885" s="5" t="s">
        <v>36</v>
      </c>
      <c r="D885" s="5">
        <v>117</v>
      </c>
      <c r="E885" s="5" t="s">
        <v>45</v>
      </c>
      <c r="F885" s="5">
        <v>9</v>
      </c>
      <c r="G885" s="5">
        <v>3</v>
      </c>
      <c r="H885" s="5" t="s">
        <v>51</v>
      </c>
      <c r="I885" s="5">
        <v>1</v>
      </c>
      <c r="J885" s="5">
        <v>1238</v>
      </c>
      <c r="K885" s="5">
        <v>1</v>
      </c>
      <c r="L885" s="5" t="s">
        <v>46</v>
      </c>
      <c r="M885" s="5">
        <v>60</v>
      </c>
      <c r="N885" s="5">
        <v>3</v>
      </c>
      <c r="O885" s="5">
        <v>1</v>
      </c>
      <c r="P885" s="5" t="s">
        <v>47</v>
      </c>
      <c r="Q885" s="5">
        <v>4</v>
      </c>
      <c r="R885" s="5" t="s">
        <v>48</v>
      </c>
      <c r="S885" s="5">
        <v>2781</v>
      </c>
      <c r="T885" s="5">
        <v>6311</v>
      </c>
      <c r="U885" s="5">
        <v>0</v>
      </c>
      <c r="V885" s="5" t="s">
        <v>42</v>
      </c>
      <c r="W885" s="5" t="s">
        <v>43</v>
      </c>
      <c r="X885" s="5">
        <v>13</v>
      </c>
      <c r="Y885" s="5">
        <v>3</v>
      </c>
      <c r="Z885" s="5">
        <v>2</v>
      </c>
      <c r="AA885" s="5">
        <v>80</v>
      </c>
      <c r="AB885" s="5">
        <v>1</v>
      </c>
      <c r="AC885" s="5">
        <v>15</v>
      </c>
      <c r="AD885" s="5">
        <v>5</v>
      </c>
      <c r="AE885" s="5">
        <v>3</v>
      </c>
      <c r="AF885" s="5">
        <v>14</v>
      </c>
      <c r="AG885" s="5">
        <v>10</v>
      </c>
      <c r="AH885" s="5">
        <v>4</v>
      </c>
      <c r="AI885" s="5">
        <v>10</v>
      </c>
    </row>
    <row r="886" spans="1:35" x14ac:dyDescent="0.25">
      <c r="A886" s="5">
        <v>40</v>
      </c>
      <c r="B886" s="5" t="s">
        <v>43</v>
      </c>
      <c r="C886" s="5" t="s">
        <v>36</v>
      </c>
      <c r="D886" s="5">
        <v>107</v>
      </c>
      <c r="E886" s="5" t="s">
        <v>37</v>
      </c>
      <c r="F886" s="5">
        <v>10</v>
      </c>
      <c r="G886" s="5">
        <v>3</v>
      </c>
      <c r="H886" s="5" t="s">
        <v>60</v>
      </c>
      <c r="I886" s="5">
        <v>1</v>
      </c>
      <c r="J886" s="5">
        <v>1239</v>
      </c>
      <c r="K886" s="5">
        <v>2</v>
      </c>
      <c r="L886" s="5" t="s">
        <v>39</v>
      </c>
      <c r="M886" s="5">
        <v>84</v>
      </c>
      <c r="N886" s="5">
        <v>2</v>
      </c>
      <c r="O886" s="5">
        <v>2</v>
      </c>
      <c r="P886" s="5" t="s">
        <v>40</v>
      </c>
      <c r="Q886" s="5">
        <v>2</v>
      </c>
      <c r="R886" s="5" t="s">
        <v>52</v>
      </c>
      <c r="S886" s="5">
        <v>6852</v>
      </c>
      <c r="T886" s="5">
        <v>11591</v>
      </c>
      <c r="U886" s="5">
        <v>7</v>
      </c>
      <c r="V886" s="5" t="s">
        <v>42</v>
      </c>
      <c r="W886" s="5" t="s">
        <v>43</v>
      </c>
      <c r="X886" s="5">
        <v>12</v>
      </c>
      <c r="Y886" s="5">
        <v>3</v>
      </c>
      <c r="Z886" s="5">
        <v>2</v>
      </c>
      <c r="AA886" s="5">
        <v>80</v>
      </c>
      <c r="AB886" s="5">
        <v>1</v>
      </c>
      <c r="AC886" s="5">
        <v>7</v>
      </c>
      <c r="AD886" s="5">
        <v>2</v>
      </c>
      <c r="AE886" s="5">
        <v>4</v>
      </c>
      <c r="AF886" s="5">
        <v>5</v>
      </c>
      <c r="AG886" s="5">
        <v>1</v>
      </c>
      <c r="AH886" s="5">
        <v>1</v>
      </c>
      <c r="AI886" s="5">
        <v>3</v>
      </c>
    </row>
    <row r="887" spans="1:35" x14ac:dyDescent="0.25">
      <c r="A887" s="5">
        <v>25</v>
      </c>
      <c r="B887" s="5" t="s">
        <v>43</v>
      </c>
      <c r="C887" s="5" t="s">
        <v>36</v>
      </c>
      <c r="D887" s="5">
        <v>1356</v>
      </c>
      <c r="E887" s="5" t="s">
        <v>37</v>
      </c>
      <c r="F887" s="5">
        <v>10</v>
      </c>
      <c r="G887" s="5">
        <v>4</v>
      </c>
      <c r="H887" s="5" t="s">
        <v>38</v>
      </c>
      <c r="I887" s="5">
        <v>1</v>
      </c>
      <c r="J887" s="5">
        <v>1240</v>
      </c>
      <c r="K887" s="5">
        <v>3</v>
      </c>
      <c r="L887" s="5" t="s">
        <v>46</v>
      </c>
      <c r="M887" s="5">
        <v>57</v>
      </c>
      <c r="N887" s="5">
        <v>3</v>
      </c>
      <c r="O887" s="5">
        <v>2</v>
      </c>
      <c r="P887" s="5" t="s">
        <v>40</v>
      </c>
      <c r="Q887" s="5">
        <v>4</v>
      </c>
      <c r="R887" s="5" t="s">
        <v>41</v>
      </c>
      <c r="S887" s="5">
        <v>4950</v>
      </c>
      <c r="T887" s="5">
        <v>20623</v>
      </c>
      <c r="U887" s="5">
        <v>0</v>
      </c>
      <c r="V887" s="5" t="s">
        <v>42</v>
      </c>
      <c r="W887" s="5" t="s">
        <v>43</v>
      </c>
      <c r="X887" s="5">
        <v>14</v>
      </c>
      <c r="Y887" s="5">
        <v>3</v>
      </c>
      <c r="Z887" s="5">
        <v>2</v>
      </c>
      <c r="AA887" s="5">
        <v>80</v>
      </c>
      <c r="AB887" s="5">
        <v>0</v>
      </c>
      <c r="AC887" s="5">
        <v>5</v>
      </c>
      <c r="AD887" s="5">
        <v>4</v>
      </c>
      <c r="AE887" s="5">
        <v>3</v>
      </c>
      <c r="AF887" s="5">
        <v>4</v>
      </c>
      <c r="AG887" s="5">
        <v>3</v>
      </c>
      <c r="AH887" s="5">
        <v>1</v>
      </c>
      <c r="AI887" s="5">
        <v>1</v>
      </c>
    </row>
    <row r="888" spans="1:35" x14ac:dyDescent="0.25">
      <c r="A888" s="5">
        <v>30</v>
      </c>
      <c r="B888" s="5" t="s">
        <v>43</v>
      </c>
      <c r="C888" s="5" t="s">
        <v>36</v>
      </c>
      <c r="D888" s="5">
        <v>1465</v>
      </c>
      <c r="E888" s="5" t="s">
        <v>45</v>
      </c>
      <c r="F888" s="5">
        <v>1</v>
      </c>
      <c r="G888" s="5">
        <v>3</v>
      </c>
      <c r="H888" s="5" t="s">
        <v>51</v>
      </c>
      <c r="I888" s="5">
        <v>1</v>
      </c>
      <c r="J888" s="5">
        <v>1241</v>
      </c>
      <c r="K888" s="5">
        <v>4</v>
      </c>
      <c r="L888" s="5" t="s">
        <v>46</v>
      </c>
      <c r="M888" s="5">
        <v>63</v>
      </c>
      <c r="N888" s="5">
        <v>3</v>
      </c>
      <c r="O888" s="5">
        <v>1</v>
      </c>
      <c r="P888" s="5" t="s">
        <v>47</v>
      </c>
      <c r="Q888" s="5">
        <v>2</v>
      </c>
      <c r="R888" s="5" t="s">
        <v>48</v>
      </c>
      <c r="S888" s="5">
        <v>3579</v>
      </c>
      <c r="T888" s="5">
        <v>9369</v>
      </c>
      <c r="U888" s="5">
        <v>0</v>
      </c>
      <c r="V888" s="5" t="s">
        <v>42</v>
      </c>
      <c r="W888" s="5" t="s">
        <v>35</v>
      </c>
      <c r="X888" s="5">
        <v>21</v>
      </c>
      <c r="Y888" s="5">
        <v>4</v>
      </c>
      <c r="Z888" s="5">
        <v>1</v>
      </c>
      <c r="AA888" s="5">
        <v>80</v>
      </c>
      <c r="AB888" s="5">
        <v>1</v>
      </c>
      <c r="AC888" s="5">
        <v>12</v>
      </c>
      <c r="AD888" s="5">
        <v>2</v>
      </c>
      <c r="AE888" s="5">
        <v>3</v>
      </c>
      <c r="AF888" s="5">
        <v>11</v>
      </c>
      <c r="AG888" s="5">
        <v>9</v>
      </c>
      <c r="AH888" s="5">
        <v>5</v>
      </c>
      <c r="AI888" s="5">
        <v>7</v>
      </c>
    </row>
    <row r="889" spans="1:35" x14ac:dyDescent="0.25">
      <c r="A889" s="5">
        <v>42</v>
      </c>
      <c r="B889" s="5" t="s">
        <v>43</v>
      </c>
      <c r="C889" s="5" t="s">
        <v>44</v>
      </c>
      <c r="D889" s="5">
        <v>458</v>
      </c>
      <c r="E889" s="5" t="s">
        <v>45</v>
      </c>
      <c r="F889" s="5">
        <v>26</v>
      </c>
      <c r="G889" s="5">
        <v>5</v>
      </c>
      <c r="H889" s="5" t="s">
        <v>51</v>
      </c>
      <c r="I889" s="5">
        <v>1</v>
      </c>
      <c r="J889" s="5">
        <v>1242</v>
      </c>
      <c r="K889" s="5">
        <v>1</v>
      </c>
      <c r="L889" s="5" t="s">
        <v>39</v>
      </c>
      <c r="M889" s="5">
        <v>60</v>
      </c>
      <c r="N889" s="5">
        <v>3</v>
      </c>
      <c r="O889" s="5">
        <v>3</v>
      </c>
      <c r="P889" s="5" t="s">
        <v>58</v>
      </c>
      <c r="Q889" s="5">
        <v>1</v>
      </c>
      <c r="R889" s="5" t="s">
        <v>48</v>
      </c>
      <c r="S889" s="5">
        <v>13191</v>
      </c>
      <c r="T889" s="5">
        <v>23281</v>
      </c>
      <c r="U889" s="5">
        <v>3</v>
      </c>
      <c r="V889" s="5" t="s">
        <v>42</v>
      </c>
      <c r="W889" s="5" t="s">
        <v>35</v>
      </c>
      <c r="X889" s="5">
        <v>17</v>
      </c>
      <c r="Y889" s="5">
        <v>3</v>
      </c>
      <c r="Z889" s="5">
        <v>3</v>
      </c>
      <c r="AA889" s="5">
        <v>80</v>
      </c>
      <c r="AB889" s="5">
        <v>0</v>
      </c>
      <c r="AC889" s="5">
        <v>20</v>
      </c>
      <c r="AD889" s="5">
        <v>6</v>
      </c>
      <c r="AE889" s="5">
        <v>3</v>
      </c>
      <c r="AF889" s="5">
        <v>1</v>
      </c>
      <c r="AG889" s="5">
        <v>0</v>
      </c>
      <c r="AH889" s="5">
        <v>0</v>
      </c>
      <c r="AI889" s="5">
        <v>0</v>
      </c>
    </row>
    <row r="890" spans="1:35" x14ac:dyDescent="0.25">
      <c r="A890" s="5">
        <v>35</v>
      </c>
      <c r="B890" s="5" t="s">
        <v>43</v>
      </c>
      <c r="C890" s="5" t="s">
        <v>55</v>
      </c>
      <c r="D890" s="5">
        <v>1212</v>
      </c>
      <c r="E890" s="5" t="s">
        <v>37</v>
      </c>
      <c r="F890" s="5">
        <v>8</v>
      </c>
      <c r="G890" s="5">
        <v>2</v>
      </c>
      <c r="H890" s="5" t="s">
        <v>59</v>
      </c>
      <c r="I890" s="5">
        <v>1</v>
      </c>
      <c r="J890" s="5">
        <v>1243</v>
      </c>
      <c r="K890" s="5">
        <v>3</v>
      </c>
      <c r="L890" s="5" t="s">
        <v>39</v>
      </c>
      <c r="M890" s="5">
        <v>78</v>
      </c>
      <c r="N890" s="5">
        <v>2</v>
      </c>
      <c r="O890" s="5">
        <v>3</v>
      </c>
      <c r="P890" s="5" t="s">
        <v>40</v>
      </c>
      <c r="Q890" s="5">
        <v>4</v>
      </c>
      <c r="R890" s="5" t="s">
        <v>48</v>
      </c>
      <c r="S890" s="5">
        <v>10377</v>
      </c>
      <c r="T890" s="5">
        <v>13755</v>
      </c>
      <c r="U890" s="5">
        <v>4</v>
      </c>
      <c r="V890" s="5" t="s">
        <v>42</v>
      </c>
      <c r="W890" s="5" t="s">
        <v>35</v>
      </c>
      <c r="X890" s="5">
        <v>11</v>
      </c>
      <c r="Y890" s="5">
        <v>3</v>
      </c>
      <c r="Z890" s="5">
        <v>2</v>
      </c>
      <c r="AA890" s="5">
        <v>80</v>
      </c>
      <c r="AB890" s="5">
        <v>1</v>
      </c>
      <c r="AC890" s="5">
        <v>16</v>
      </c>
      <c r="AD890" s="5">
        <v>6</v>
      </c>
      <c r="AE890" s="5">
        <v>2</v>
      </c>
      <c r="AF890" s="5">
        <v>13</v>
      </c>
      <c r="AG890" s="5">
        <v>2</v>
      </c>
      <c r="AH890" s="5">
        <v>4</v>
      </c>
      <c r="AI890" s="5">
        <v>12</v>
      </c>
    </row>
    <row r="891" spans="1:35" x14ac:dyDescent="0.25">
      <c r="A891" s="5">
        <v>27</v>
      </c>
      <c r="B891" s="5" t="s">
        <v>43</v>
      </c>
      <c r="C891" s="5" t="s">
        <v>36</v>
      </c>
      <c r="D891" s="5">
        <v>1103</v>
      </c>
      <c r="E891" s="5" t="s">
        <v>45</v>
      </c>
      <c r="F891" s="5">
        <v>14</v>
      </c>
      <c r="G891" s="5">
        <v>3</v>
      </c>
      <c r="H891" s="5" t="s">
        <v>38</v>
      </c>
      <c r="I891" s="5">
        <v>1</v>
      </c>
      <c r="J891" s="5">
        <v>1244</v>
      </c>
      <c r="K891" s="5">
        <v>1</v>
      </c>
      <c r="L891" s="5" t="s">
        <v>46</v>
      </c>
      <c r="M891" s="5">
        <v>42</v>
      </c>
      <c r="N891" s="5">
        <v>3</v>
      </c>
      <c r="O891" s="5">
        <v>1</v>
      </c>
      <c r="P891" s="5" t="s">
        <v>47</v>
      </c>
      <c r="Q891" s="5">
        <v>1</v>
      </c>
      <c r="R891" s="5" t="s">
        <v>48</v>
      </c>
      <c r="S891" s="5">
        <v>2235</v>
      </c>
      <c r="T891" s="5">
        <v>14377</v>
      </c>
      <c r="U891" s="5">
        <v>1</v>
      </c>
      <c r="V891" s="5" t="s">
        <v>42</v>
      </c>
      <c r="W891" s="5" t="s">
        <v>35</v>
      </c>
      <c r="X891" s="5">
        <v>14</v>
      </c>
      <c r="Y891" s="5">
        <v>3</v>
      </c>
      <c r="Z891" s="5">
        <v>4</v>
      </c>
      <c r="AA891" s="5">
        <v>80</v>
      </c>
      <c r="AB891" s="5">
        <v>2</v>
      </c>
      <c r="AC891" s="5">
        <v>9</v>
      </c>
      <c r="AD891" s="5">
        <v>3</v>
      </c>
      <c r="AE891" s="5">
        <v>2</v>
      </c>
      <c r="AF891" s="5">
        <v>9</v>
      </c>
      <c r="AG891" s="5">
        <v>7</v>
      </c>
      <c r="AH891" s="5">
        <v>6</v>
      </c>
      <c r="AI891" s="5">
        <v>8</v>
      </c>
    </row>
    <row r="892" spans="1:35" x14ac:dyDescent="0.25">
      <c r="A892" s="5">
        <v>54</v>
      </c>
      <c r="B892" s="5" t="s">
        <v>43</v>
      </c>
      <c r="C892" s="5" t="s">
        <v>44</v>
      </c>
      <c r="D892" s="5">
        <v>966</v>
      </c>
      <c r="E892" s="5" t="s">
        <v>45</v>
      </c>
      <c r="F892" s="5">
        <v>1</v>
      </c>
      <c r="G892" s="5">
        <v>4</v>
      </c>
      <c r="H892" s="5" t="s">
        <v>38</v>
      </c>
      <c r="I892" s="5">
        <v>1</v>
      </c>
      <c r="J892" s="5">
        <v>1245</v>
      </c>
      <c r="K892" s="5">
        <v>4</v>
      </c>
      <c r="L892" s="5" t="s">
        <v>39</v>
      </c>
      <c r="M892" s="5">
        <v>53</v>
      </c>
      <c r="N892" s="5">
        <v>3</v>
      </c>
      <c r="O892" s="5">
        <v>3</v>
      </c>
      <c r="P892" s="5" t="s">
        <v>53</v>
      </c>
      <c r="Q892" s="5">
        <v>3</v>
      </c>
      <c r="R892" s="5" t="s">
        <v>52</v>
      </c>
      <c r="S892" s="5">
        <v>10502</v>
      </c>
      <c r="T892" s="5">
        <v>9659</v>
      </c>
      <c r="U892" s="5">
        <v>7</v>
      </c>
      <c r="V892" s="5" t="s">
        <v>42</v>
      </c>
      <c r="W892" s="5" t="s">
        <v>43</v>
      </c>
      <c r="X892" s="5">
        <v>17</v>
      </c>
      <c r="Y892" s="5">
        <v>3</v>
      </c>
      <c r="Z892" s="5">
        <v>1</v>
      </c>
      <c r="AA892" s="5">
        <v>80</v>
      </c>
      <c r="AB892" s="5">
        <v>1</v>
      </c>
      <c r="AC892" s="5">
        <v>33</v>
      </c>
      <c r="AD892" s="5">
        <v>2</v>
      </c>
      <c r="AE892" s="5">
        <v>1</v>
      </c>
      <c r="AF892" s="5">
        <v>5</v>
      </c>
      <c r="AG892" s="5">
        <v>4</v>
      </c>
      <c r="AH892" s="5">
        <v>1</v>
      </c>
      <c r="AI892" s="5">
        <v>4</v>
      </c>
    </row>
    <row r="893" spans="1:35" x14ac:dyDescent="0.25">
      <c r="A893" s="5">
        <v>44</v>
      </c>
      <c r="B893" s="5" t="s">
        <v>43</v>
      </c>
      <c r="C893" s="5" t="s">
        <v>36</v>
      </c>
      <c r="D893" s="5">
        <v>1117</v>
      </c>
      <c r="E893" s="5" t="s">
        <v>45</v>
      </c>
      <c r="F893" s="5">
        <v>2</v>
      </c>
      <c r="G893" s="5">
        <v>1</v>
      </c>
      <c r="H893" s="5" t="s">
        <v>38</v>
      </c>
      <c r="I893" s="5">
        <v>1</v>
      </c>
      <c r="J893" s="5">
        <v>1246</v>
      </c>
      <c r="K893" s="5">
        <v>1</v>
      </c>
      <c r="L893" s="5" t="s">
        <v>39</v>
      </c>
      <c r="M893" s="5">
        <v>72</v>
      </c>
      <c r="N893" s="5">
        <v>4</v>
      </c>
      <c r="O893" s="5">
        <v>1</v>
      </c>
      <c r="P893" s="5" t="s">
        <v>47</v>
      </c>
      <c r="Q893" s="5">
        <v>4</v>
      </c>
      <c r="R893" s="5" t="s">
        <v>48</v>
      </c>
      <c r="S893" s="5">
        <v>2011</v>
      </c>
      <c r="T893" s="5">
        <v>19982</v>
      </c>
      <c r="U893" s="5">
        <v>1</v>
      </c>
      <c r="V893" s="5" t="s">
        <v>42</v>
      </c>
      <c r="W893" s="5" t="s">
        <v>43</v>
      </c>
      <c r="X893" s="5">
        <v>13</v>
      </c>
      <c r="Y893" s="5">
        <v>3</v>
      </c>
      <c r="Z893" s="5">
        <v>4</v>
      </c>
      <c r="AA893" s="5">
        <v>80</v>
      </c>
      <c r="AB893" s="5">
        <v>1</v>
      </c>
      <c r="AC893" s="5">
        <v>10</v>
      </c>
      <c r="AD893" s="5">
        <v>5</v>
      </c>
      <c r="AE893" s="5">
        <v>3</v>
      </c>
      <c r="AF893" s="5">
        <v>10</v>
      </c>
      <c r="AG893" s="5">
        <v>5</v>
      </c>
      <c r="AH893" s="5">
        <v>7</v>
      </c>
      <c r="AI893" s="5">
        <v>7</v>
      </c>
    </row>
    <row r="894" spans="1:35" x14ac:dyDescent="0.25">
      <c r="A894" s="5">
        <v>19</v>
      </c>
      <c r="B894" s="5" t="s">
        <v>35</v>
      </c>
      <c r="C894" s="5" t="s">
        <v>55</v>
      </c>
      <c r="D894" s="5">
        <v>504</v>
      </c>
      <c r="E894" s="5" t="s">
        <v>45</v>
      </c>
      <c r="F894" s="5">
        <v>10</v>
      </c>
      <c r="G894" s="5">
        <v>3</v>
      </c>
      <c r="H894" s="5" t="s">
        <v>51</v>
      </c>
      <c r="I894" s="5">
        <v>1</v>
      </c>
      <c r="J894" s="5">
        <v>1248</v>
      </c>
      <c r="K894" s="5">
        <v>1</v>
      </c>
      <c r="L894" s="5" t="s">
        <v>39</v>
      </c>
      <c r="M894" s="5">
        <v>96</v>
      </c>
      <c r="N894" s="5">
        <v>2</v>
      </c>
      <c r="O894" s="5">
        <v>1</v>
      </c>
      <c r="P894" s="5" t="s">
        <v>47</v>
      </c>
      <c r="Q894" s="5">
        <v>2</v>
      </c>
      <c r="R894" s="5" t="s">
        <v>41</v>
      </c>
      <c r="S894" s="5">
        <v>1859</v>
      </c>
      <c r="T894" s="5">
        <v>6148</v>
      </c>
      <c r="U894" s="5">
        <v>1</v>
      </c>
      <c r="V894" s="5" t="s">
        <v>42</v>
      </c>
      <c r="W894" s="5" t="s">
        <v>35</v>
      </c>
      <c r="X894" s="5">
        <v>25</v>
      </c>
      <c r="Y894" s="5">
        <v>4</v>
      </c>
      <c r="Z894" s="5">
        <v>2</v>
      </c>
      <c r="AA894" s="5">
        <v>80</v>
      </c>
      <c r="AB894" s="5">
        <v>0</v>
      </c>
      <c r="AC894" s="5">
        <v>1</v>
      </c>
      <c r="AD894" s="5">
        <v>2</v>
      </c>
      <c r="AE894" s="5">
        <v>4</v>
      </c>
      <c r="AF894" s="5">
        <v>1</v>
      </c>
      <c r="AG894" s="5">
        <v>1</v>
      </c>
      <c r="AH894" s="5">
        <v>0</v>
      </c>
      <c r="AI894" s="5">
        <v>0</v>
      </c>
    </row>
    <row r="895" spans="1:35" x14ac:dyDescent="0.25">
      <c r="A895" s="5">
        <v>29</v>
      </c>
      <c r="B895" s="5" t="s">
        <v>43</v>
      </c>
      <c r="C895" s="5" t="s">
        <v>36</v>
      </c>
      <c r="D895" s="5">
        <v>1010</v>
      </c>
      <c r="E895" s="5" t="s">
        <v>45</v>
      </c>
      <c r="F895" s="5">
        <v>1</v>
      </c>
      <c r="G895" s="5">
        <v>3</v>
      </c>
      <c r="H895" s="5" t="s">
        <v>38</v>
      </c>
      <c r="I895" s="5">
        <v>1</v>
      </c>
      <c r="J895" s="5">
        <v>1249</v>
      </c>
      <c r="K895" s="5">
        <v>1</v>
      </c>
      <c r="L895" s="5" t="s">
        <v>39</v>
      </c>
      <c r="M895" s="5">
        <v>97</v>
      </c>
      <c r="N895" s="5">
        <v>3</v>
      </c>
      <c r="O895" s="5">
        <v>1</v>
      </c>
      <c r="P895" s="5" t="s">
        <v>47</v>
      </c>
      <c r="Q895" s="5">
        <v>4</v>
      </c>
      <c r="R895" s="5" t="s">
        <v>52</v>
      </c>
      <c r="S895" s="5">
        <v>3760</v>
      </c>
      <c r="T895" s="5">
        <v>5598</v>
      </c>
      <c r="U895" s="5">
        <v>1</v>
      </c>
      <c r="V895" s="5" t="s">
        <v>42</v>
      </c>
      <c r="W895" s="5" t="s">
        <v>43</v>
      </c>
      <c r="X895" s="5">
        <v>15</v>
      </c>
      <c r="Y895" s="5">
        <v>3</v>
      </c>
      <c r="Z895" s="5">
        <v>1</v>
      </c>
      <c r="AA895" s="5">
        <v>80</v>
      </c>
      <c r="AB895" s="5">
        <v>3</v>
      </c>
      <c r="AC895" s="5">
        <v>3</v>
      </c>
      <c r="AD895" s="5">
        <v>5</v>
      </c>
      <c r="AE895" s="5">
        <v>3</v>
      </c>
      <c r="AF895" s="5">
        <v>3</v>
      </c>
      <c r="AG895" s="5">
        <v>2</v>
      </c>
      <c r="AH895" s="5">
        <v>1</v>
      </c>
      <c r="AI895" s="5">
        <v>2</v>
      </c>
    </row>
    <row r="896" spans="1:35" x14ac:dyDescent="0.25">
      <c r="A896" s="5">
        <v>54</v>
      </c>
      <c r="B896" s="5" t="s">
        <v>43</v>
      </c>
      <c r="C896" s="5" t="s">
        <v>36</v>
      </c>
      <c r="D896" s="5">
        <v>685</v>
      </c>
      <c r="E896" s="5" t="s">
        <v>45</v>
      </c>
      <c r="F896" s="5">
        <v>3</v>
      </c>
      <c r="G896" s="5">
        <v>3</v>
      </c>
      <c r="H896" s="5" t="s">
        <v>38</v>
      </c>
      <c r="I896" s="5">
        <v>1</v>
      </c>
      <c r="J896" s="5">
        <v>1250</v>
      </c>
      <c r="K896" s="5">
        <v>4</v>
      </c>
      <c r="L896" s="5" t="s">
        <v>46</v>
      </c>
      <c r="M896" s="5">
        <v>85</v>
      </c>
      <c r="N896" s="5">
        <v>3</v>
      </c>
      <c r="O896" s="5">
        <v>4</v>
      </c>
      <c r="P896" s="5" t="s">
        <v>58</v>
      </c>
      <c r="Q896" s="5">
        <v>4</v>
      </c>
      <c r="R896" s="5" t="s">
        <v>48</v>
      </c>
      <c r="S896" s="5">
        <v>17779</v>
      </c>
      <c r="T896" s="5">
        <v>23474</v>
      </c>
      <c r="U896" s="5">
        <v>3</v>
      </c>
      <c r="V896" s="5" t="s">
        <v>42</v>
      </c>
      <c r="W896" s="5" t="s">
        <v>43</v>
      </c>
      <c r="X896" s="5">
        <v>14</v>
      </c>
      <c r="Y896" s="5">
        <v>3</v>
      </c>
      <c r="Z896" s="5">
        <v>1</v>
      </c>
      <c r="AA896" s="5">
        <v>80</v>
      </c>
      <c r="AB896" s="5">
        <v>0</v>
      </c>
      <c r="AC896" s="5">
        <v>36</v>
      </c>
      <c r="AD896" s="5">
        <v>2</v>
      </c>
      <c r="AE896" s="5">
        <v>3</v>
      </c>
      <c r="AF896" s="5">
        <v>10</v>
      </c>
      <c r="AG896" s="5">
        <v>9</v>
      </c>
      <c r="AH896" s="5">
        <v>0</v>
      </c>
      <c r="AI896" s="5">
        <v>9</v>
      </c>
    </row>
    <row r="897" spans="1:35" x14ac:dyDescent="0.25">
      <c r="A897" s="5">
        <v>31</v>
      </c>
      <c r="B897" s="5" t="s">
        <v>43</v>
      </c>
      <c r="C897" s="5" t="s">
        <v>36</v>
      </c>
      <c r="D897" s="5">
        <v>1332</v>
      </c>
      <c r="E897" s="5" t="s">
        <v>45</v>
      </c>
      <c r="F897" s="5">
        <v>11</v>
      </c>
      <c r="G897" s="5">
        <v>2</v>
      </c>
      <c r="H897" s="5" t="s">
        <v>51</v>
      </c>
      <c r="I897" s="5">
        <v>1</v>
      </c>
      <c r="J897" s="5">
        <v>1251</v>
      </c>
      <c r="K897" s="5">
        <v>3</v>
      </c>
      <c r="L897" s="5" t="s">
        <v>46</v>
      </c>
      <c r="M897" s="5">
        <v>80</v>
      </c>
      <c r="N897" s="5">
        <v>3</v>
      </c>
      <c r="O897" s="5">
        <v>2</v>
      </c>
      <c r="P897" s="5" t="s">
        <v>54</v>
      </c>
      <c r="Q897" s="5">
        <v>1</v>
      </c>
      <c r="R897" s="5" t="s">
        <v>48</v>
      </c>
      <c r="S897" s="5">
        <v>6833</v>
      </c>
      <c r="T897" s="5">
        <v>17089</v>
      </c>
      <c r="U897" s="5">
        <v>1</v>
      </c>
      <c r="V897" s="5" t="s">
        <v>42</v>
      </c>
      <c r="W897" s="5" t="s">
        <v>35</v>
      </c>
      <c r="X897" s="5">
        <v>12</v>
      </c>
      <c r="Y897" s="5">
        <v>3</v>
      </c>
      <c r="Z897" s="5">
        <v>4</v>
      </c>
      <c r="AA897" s="5">
        <v>80</v>
      </c>
      <c r="AB897" s="5">
        <v>0</v>
      </c>
      <c r="AC897" s="5">
        <v>6</v>
      </c>
      <c r="AD897" s="5">
        <v>2</v>
      </c>
      <c r="AE897" s="5">
        <v>2</v>
      </c>
      <c r="AF897" s="5">
        <v>6</v>
      </c>
      <c r="AG897" s="5">
        <v>5</v>
      </c>
      <c r="AH897" s="5">
        <v>0</v>
      </c>
      <c r="AI897" s="5">
        <v>1</v>
      </c>
    </row>
    <row r="898" spans="1:35" x14ac:dyDescent="0.25">
      <c r="A898" s="5">
        <v>31</v>
      </c>
      <c r="B898" s="5" t="s">
        <v>43</v>
      </c>
      <c r="C898" s="5" t="s">
        <v>36</v>
      </c>
      <c r="D898" s="5">
        <v>1062</v>
      </c>
      <c r="E898" s="5" t="s">
        <v>45</v>
      </c>
      <c r="F898" s="5">
        <v>24</v>
      </c>
      <c r="G898" s="5">
        <v>3</v>
      </c>
      <c r="H898" s="5" t="s">
        <v>51</v>
      </c>
      <c r="I898" s="5">
        <v>1</v>
      </c>
      <c r="J898" s="5">
        <v>1252</v>
      </c>
      <c r="K898" s="5">
        <v>3</v>
      </c>
      <c r="L898" s="5" t="s">
        <v>39</v>
      </c>
      <c r="M898" s="5">
        <v>96</v>
      </c>
      <c r="N898" s="5">
        <v>2</v>
      </c>
      <c r="O898" s="5">
        <v>2</v>
      </c>
      <c r="P898" s="5" t="s">
        <v>54</v>
      </c>
      <c r="Q898" s="5">
        <v>1</v>
      </c>
      <c r="R898" s="5" t="s">
        <v>41</v>
      </c>
      <c r="S898" s="5">
        <v>6812</v>
      </c>
      <c r="T898" s="5">
        <v>17198</v>
      </c>
      <c r="U898" s="5">
        <v>1</v>
      </c>
      <c r="V898" s="5" t="s">
        <v>42</v>
      </c>
      <c r="W898" s="5" t="s">
        <v>43</v>
      </c>
      <c r="X898" s="5">
        <v>19</v>
      </c>
      <c r="Y898" s="5">
        <v>3</v>
      </c>
      <c r="Z898" s="5">
        <v>2</v>
      </c>
      <c r="AA898" s="5">
        <v>80</v>
      </c>
      <c r="AB898" s="5">
        <v>0</v>
      </c>
      <c r="AC898" s="5">
        <v>10</v>
      </c>
      <c r="AD898" s="5">
        <v>2</v>
      </c>
      <c r="AE898" s="5">
        <v>3</v>
      </c>
      <c r="AF898" s="5">
        <v>10</v>
      </c>
      <c r="AG898" s="5">
        <v>9</v>
      </c>
      <c r="AH898" s="5">
        <v>1</v>
      </c>
      <c r="AI898" s="5">
        <v>8</v>
      </c>
    </row>
    <row r="899" spans="1:35" x14ac:dyDescent="0.25">
      <c r="A899" s="5">
        <v>59</v>
      </c>
      <c r="B899" s="5" t="s">
        <v>43</v>
      </c>
      <c r="C899" s="5" t="s">
        <v>36</v>
      </c>
      <c r="D899" s="5">
        <v>326</v>
      </c>
      <c r="E899" s="5" t="s">
        <v>37</v>
      </c>
      <c r="F899" s="5">
        <v>3</v>
      </c>
      <c r="G899" s="5">
        <v>3</v>
      </c>
      <c r="H899" s="5" t="s">
        <v>38</v>
      </c>
      <c r="I899" s="5">
        <v>1</v>
      </c>
      <c r="J899" s="5">
        <v>1254</v>
      </c>
      <c r="K899" s="5">
        <v>3</v>
      </c>
      <c r="L899" s="5" t="s">
        <v>39</v>
      </c>
      <c r="M899" s="5">
        <v>48</v>
      </c>
      <c r="N899" s="5">
        <v>2</v>
      </c>
      <c r="O899" s="5">
        <v>2</v>
      </c>
      <c r="P899" s="5" t="s">
        <v>40</v>
      </c>
      <c r="Q899" s="5">
        <v>4</v>
      </c>
      <c r="R899" s="5" t="s">
        <v>41</v>
      </c>
      <c r="S899" s="5">
        <v>5171</v>
      </c>
      <c r="T899" s="5">
        <v>16490</v>
      </c>
      <c r="U899" s="5">
        <v>5</v>
      </c>
      <c r="V899" s="5" t="s">
        <v>42</v>
      </c>
      <c r="W899" s="5" t="s">
        <v>43</v>
      </c>
      <c r="X899" s="5">
        <v>17</v>
      </c>
      <c r="Y899" s="5">
        <v>3</v>
      </c>
      <c r="Z899" s="5">
        <v>4</v>
      </c>
      <c r="AA899" s="5">
        <v>80</v>
      </c>
      <c r="AB899" s="5">
        <v>0</v>
      </c>
      <c r="AC899" s="5">
        <v>13</v>
      </c>
      <c r="AD899" s="5">
        <v>2</v>
      </c>
      <c r="AE899" s="5">
        <v>3</v>
      </c>
      <c r="AF899" s="5">
        <v>6</v>
      </c>
      <c r="AG899" s="5">
        <v>1</v>
      </c>
      <c r="AH899" s="5">
        <v>0</v>
      </c>
      <c r="AI899" s="5">
        <v>5</v>
      </c>
    </row>
    <row r="900" spans="1:35" x14ac:dyDescent="0.25">
      <c r="A900" s="5">
        <v>43</v>
      </c>
      <c r="B900" s="5" t="s">
        <v>43</v>
      </c>
      <c r="C900" s="5" t="s">
        <v>36</v>
      </c>
      <c r="D900" s="5">
        <v>920</v>
      </c>
      <c r="E900" s="5" t="s">
        <v>45</v>
      </c>
      <c r="F900" s="5">
        <v>3</v>
      </c>
      <c r="G900" s="5">
        <v>3</v>
      </c>
      <c r="H900" s="5" t="s">
        <v>38</v>
      </c>
      <c r="I900" s="5">
        <v>1</v>
      </c>
      <c r="J900" s="5">
        <v>1255</v>
      </c>
      <c r="K900" s="5">
        <v>3</v>
      </c>
      <c r="L900" s="5" t="s">
        <v>46</v>
      </c>
      <c r="M900" s="5">
        <v>96</v>
      </c>
      <c r="N900" s="5">
        <v>1</v>
      </c>
      <c r="O900" s="5">
        <v>5</v>
      </c>
      <c r="P900" s="5" t="s">
        <v>58</v>
      </c>
      <c r="Q900" s="5">
        <v>4</v>
      </c>
      <c r="R900" s="5" t="s">
        <v>48</v>
      </c>
      <c r="S900" s="5">
        <v>19740</v>
      </c>
      <c r="T900" s="5">
        <v>18625</v>
      </c>
      <c r="U900" s="5">
        <v>3</v>
      </c>
      <c r="V900" s="5" t="s">
        <v>42</v>
      </c>
      <c r="W900" s="5" t="s">
        <v>43</v>
      </c>
      <c r="X900" s="5">
        <v>14</v>
      </c>
      <c r="Y900" s="5">
        <v>3</v>
      </c>
      <c r="Z900" s="5">
        <v>2</v>
      </c>
      <c r="AA900" s="5">
        <v>80</v>
      </c>
      <c r="AB900" s="5">
        <v>1</v>
      </c>
      <c r="AC900" s="5">
        <v>25</v>
      </c>
      <c r="AD900" s="5">
        <v>2</v>
      </c>
      <c r="AE900" s="5">
        <v>3</v>
      </c>
      <c r="AF900" s="5">
        <v>8</v>
      </c>
      <c r="AG900" s="5">
        <v>7</v>
      </c>
      <c r="AH900" s="5">
        <v>0</v>
      </c>
      <c r="AI900" s="5">
        <v>7</v>
      </c>
    </row>
    <row r="901" spans="1:35" x14ac:dyDescent="0.25">
      <c r="A901" s="5">
        <v>49</v>
      </c>
      <c r="B901" s="5" t="s">
        <v>43</v>
      </c>
      <c r="C901" s="5" t="s">
        <v>36</v>
      </c>
      <c r="D901" s="5">
        <v>1098</v>
      </c>
      <c r="E901" s="5" t="s">
        <v>45</v>
      </c>
      <c r="F901" s="5">
        <v>4</v>
      </c>
      <c r="G901" s="5">
        <v>2</v>
      </c>
      <c r="H901" s="5" t="s">
        <v>51</v>
      </c>
      <c r="I901" s="5">
        <v>1</v>
      </c>
      <c r="J901" s="5">
        <v>1256</v>
      </c>
      <c r="K901" s="5">
        <v>1</v>
      </c>
      <c r="L901" s="5" t="s">
        <v>46</v>
      </c>
      <c r="M901" s="5">
        <v>85</v>
      </c>
      <c r="N901" s="5">
        <v>2</v>
      </c>
      <c r="O901" s="5">
        <v>5</v>
      </c>
      <c r="P901" s="5" t="s">
        <v>56</v>
      </c>
      <c r="Q901" s="5">
        <v>3</v>
      </c>
      <c r="R901" s="5" t="s">
        <v>48</v>
      </c>
      <c r="S901" s="5">
        <v>18711</v>
      </c>
      <c r="T901" s="5">
        <v>12124</v>
      </c>
      <c r="U901" s="5">
        <v>2</v>
      </c>
      <c r="V901" s="5" t="s">
        <v>42</v>
      </c>
      <c r="W901" s="5" t="s">
        <v>43</v>
      </c>
      <c r="X901" s="5">
        <v>13</v>
      </c>
      <c r="Y901" s="5">
        <v>3</v>
      </c>
      <c r="Z901" s="5">
        <v>3</v>
      </c>
      <c r="AA901" s="5">
        <v>80</v>
      </c>
      <c r="AB901" s="5">
        <v>1</v>
      </c>
      <c r="AC901" s="5">
        <v>23</v>
      </c>
      <c r="AD901" s="5">
        <v>2</v>
      </c>
      <c r="AE901" s="5">
        <v>4</v>
      </c>
      <c r="AF901" s="5">
        <v>1</v>
      </c>
      <c r="AG901" s="5">
        <v>0</v>
      </c>
      <c r="AH901" s="5">
        <v>0</v>
      </c>
      <c r="AI901" s="5">
        <v>0</v>
      </c>
    </row>
    <row r="902" spans="1:35" x14ac:dyDescent="0.25">
      <c r="A902" s="5">
        <v>36</v>
      </c>
      <c r="B902" s="5" t="s">
        <v>43</v>
      </c>
      <c r="C902" s="5" t="s">
        <v>44</v>
      </c>
      <c r="D902" s="5">
        <v>469</v>
      </c>
      <c r="E902" s="5" t="s">
        <v>45</v>
      </c>
      <c r="F902" s="5">
        <v>3</v>
      </c>
      <c r="G902" s="5">
        <v>3</v>
      </c>
      <c r="H902" s="5" t="s">
        <v>60</v>
      </c>
      <c r="I902" s="5">
        <v>1</v>
      </c>
      <c r="J902" s="5">
        <v>1257</v>
      </c>
      <c r="K902" s="5">
        <v>3</v>
      </c>
      <c r="L902" s="5" t="s">
        <v>46</v>
      </c>
      <c r="M902" s="5">
        <v>46</v>
      </c>
      <c r="N902" s="5">
        <v>3</v>
      </c>
      <c r="O902" s="5">
        <v>1</v>
      </c>
      <c r="P902" s="5" t="s">
        <v>47</v>
      </c>
      <c r="Q902" s="5">
        <v>2</v>
      </c>
      <c r="R902" s="5" t="s">
        <v>48</v>
      </c>
      <c r="S902" s="5">
        <v>3692</v>
      </c>
      <c r="T902" s="5">
        <v>9256</v>
      </c>
      <c r="U902" s="5">
        <v>1</v>
      </c>
      <c r="V902" s="5" t="s">
        <v>42</v>
      </c>
      <c r="W902" s="5" t="s">
        <v>43</v>
      </c>
      <c r="X902" s="5">
        <v>12</v>
      </c>
      <c r="Y902" s="5">
        <v>3</v>
      </c>
      <c r="Z902" s="5">
        <v>3</v>
      </c>
      <c r="AA902" s="5">
        <v>80</v>
      </c>
      <c r="AB902" s="5">
        <v>0</v>
      </c>
      <c r="AC902" s="5">
        <v>12</v>
      </c>
      <c r="AD902" s="5">
        <v>2</v>
      </c>
      <c r="AE902" s="5">
        <v>2</v>
      </c>
      <c r="AF902" s="5">
        <v>11</v>
      </c>
      <c r="AG902" s="5">
        <v>10</v>
      </c>
      <c r="AH902" s="5">
        <v>0</v>
      </c>
      <c r="AI902" s="5">
        <v>7</v>
      </c>
    </row>
    <row r="903" spans="1:35" x14ac:dyDescent="0.25">
      <c r="A903" s="5">
        <v>48</v>
      </c>
      <c r="B903" s="5" t="s">
        <v>43</v>
      </c>
      <c r="C903" s="5" t="s">
        <v>36</v>
      </c>
      <c r="D903" s="5">
        <v>969</v>
      </c>
      <c r="E903" s="5" t="s">
        <v>45</v>
      </c>
      <c r="F903" s="5">
        <v>2</v>
      </c>
      <c r="G903" s="5">
        <v>2</v>
      </c>
      <c r="H903" s="5" t="s">
        <v>60</v>
      </c>
      <c r="I903" s="5">
        <v>1</v>
      </c>
      <c r="J903" s="5">
        <v>1258</v>
      </c>
      <c r="K903" s="5">
        <v>4</v>
      </c>
      <c r="L903" s="5" t="s">
        <v>46</v>
      </c>
      <c r="M903" s="5">
        <v>76</v>
      </c>
      <c r="N903" s="5">
        <v>4</v>
      </c>
      <c r="O903" s="5">
        <v>1</v>
      </c>
      <c r="P903" s="5" t="s">
        <v>50</v>
      </c>
      <c r="Q903" s="5">
        <v>2</v>
      </c>
      <c r="R903" s="5" t="s">
        <v>41</v>
      </c>
      <c r="S903" s="5">
        <v>2559</v>
      </c>
      <c r="T903" s="5">
        <v>16620</v>
      </c>
      <c r="U903" s="5">
        <v>5</v>
      </c>
      <c r="V903" s="5" t="s">
        <v>42</v>
      </c>
      <c r="W903" s="5" t="s">
        <v>43</v>
      </c>
      <c r="X903" s="5">
        <v>11</v>
      </c>
      <c r="Y903" s="5">
        <v>3</v>
      </c>
      <c r="Z903" s="5">
        <v>3</v>
      </c>
      <c r="AA903" s="5">
        <v>80</v>
      </c>
      <c r="AB903" s="5">
        <v>0</v>
      </c>
      <c r="AC903" s="5">
        <v>7</v>
      </c>
      <c r="AD903" s="5">
        <v>4</v>
      </c>
      <c r="AE903" s="5">
        <v>2</v>
      </c>
      <c r="AF903" s="5">
        <v>1</v>
      </c>
      <c r="AG903" s="5">
        <v>0</v>
      </c>
      <c r="AH903" s="5">
        <v>0</v>
      </c>
      <c r="AI903" s="5">
        <v>0</v>
      </c>
    </row>
    <row r="904" spans="1:35" x14ac:dyDescent="0.25">
      <c r="A904" s="5">
        <v>27</v>
      </c>
      <c r="B904" s="5" t="s">
        <v>43</v>
      </c>
      <c r="C904" s="5" t="s">
        <v>36</v>
      </c>
      <c r="D904" s="5">
        <v>1167</v>
      </c>
      <c r="E904" s="5" t="s">
        <v>45</v>
      </c>
      <c r="F904" s="5">
        <v>4</v>
      </c>
      <c r="G904" s="5">
        <v>2</v>
      </c>
      <c r="H904" s="5" t="s">
        <v>38</v>
      </c>
      <c r="I904" s="5">
        <v>1</v>
      </c>
      <c r="J904" s="5">
        <v>1259</v>
      </c>
      <c r="K904" s="5">
        <v>1</v>
      </c>
      <c r="L904" s="5" t="s">
        <v>46</v>
      </c>
      <c r="M904" s="5">
        <v>76</v>
      </c>
      <c r="N904" s="5">
        <v>3</v>
      </c>
      <c r="O904" s="5">
        <v>1</v>
      </c>
      <c r="P904" s="5" t="s">
        <v>47</v>
      </c>
      <c r="Q904" s="5">
        <v>3</v>
      </c>
      <c r="R904" s="5" t="s">
        <v>52</v>
      </c>
      <c r="S904" s="5">
        <v>2517</v>
      </c>
      <c r="T904" s="5">
        <v>3208</v>
      </c>
      <c r="U904" s="5">
        <v>1</v>
      </c>
      <c r="V904" s="5" t="s">
        <v>42</v>
      </c>
      <c r="W904" s="5" t="s">
        <v>43</v>
      </c>
      <c r="X904" s="5">
        <v>11</v>
      </c>
      <c r="Y904" s="5">
        <v>3</v>
      </c>
      <c r="Z904" s="5">
        <v>2</v>
      </c>
      <c r="AA904" s="5">
        <v>80</v>
      </c>
      <c r="AB904" s="5">
        <v>3</v>
      </c>
      <c r="AC904" s="5">
        <v>5</v>
      </c>
      <c r="AD904" s="5">
        <v>2</v>
      </c>
      <c r="AE904" s="5">
        <v>3</v>
      </c>
      <c r="AF904" s="5">
        <v>5</v>
      </c>
      <c r="AG904" s="5">
        <v>3</v>
      </c>
      <c r="AH904" s="5">
        <v>0</v>
      </c>
      <c r="AI904" s="5">
        <v>3</v>
      </c>
    </row>
    <row r="905" spans="1:35" x14ac:dyDescent="0.25">
      <c r="A905" s="5">
        <v>29</v>
      </c>
      <c r="B905" s="5" t="s">
        <v>43</v>
      </c>
      <c r="C905" s="5" t="s">
        <v>36</v>
      </c>
      <c r="D905" s="5">
        <v>1329</v>
      </c>
      <c r="E905" s="5" t="s">
        <v>45</v>
      </c>
      <c r="F905" s="5">
        <v>7</v>
      </c>
      <c r="G905" s="5">
        <v>3</v>
      </c>
      <c r="H905" s="5" t="s">
        <v>38</v>
      </c>
      <c r="I905" s="5">
        <v>1</v>
      </c>
      <c r="J905" s="5">
        <v>1260</v>
      </c>
      <c r="K905" s="5">
        <v>3</v>
      </c>
      <c r="L905" s="5" t="s">
        <v>46</v>
      </c>
      <c r="M905" s="5">
        <v>82</v>
      </c>
      <c r="N905" s="5">
        <v>3</v>
      </c>
      <c r="O905" s="5">
        <v>2</v>
      </c>
      <c r="P905" s="5" t="s">
        <v>54</v>
      </c>
      <c r="Q905" s="5">
        <v>4</v>
      </c>
      <c r="R905" s="5" t="s">
        <v>52</v>
      </c>
      <c r="S905" s="5">
        <v>6623</v>
      </c>
      <c r="T905" s="5">
        <v>4204</v>
      </c>
      <c r="U905" s="5">
        <v>1</v>
      </c>
      <c r="V905" s="5" t="s">
        <v>42</v>
      </c>
      <c r="W905" s="5" t="s">
        <v>35</v>
      </c>
      <c r="X905" s="5">
        <v>11</v>
      </c>
      <c r="Y905" s="5">
        <v>3</v>
      </c>
      <c r="Z905" s="5">
        <v>2</v>
      </c>
      <c r="AA905" s="5">
        <v>80</v>
      </c>
      <c r="AB905" s="5">
        <v>2</v>
      </c>
      <c r="AC905" s="5">
        <v>6</v>
      </c>
      <c r="AD905" s="5">
        <v>2</v>
      </c>
      <c r="AE905" s="5">
        <v>3</v>
      </c>
      <c r="AF905" s="5">
        <v>6</v>
      </c>
      <c r="AG905" s="5">
        <v>0</v>
      </c>
      <c r="AH905" s="5">
        <v>1</v>
      </c>
      <c r="AI905" s="5">
        <v>0</v>
      </c>
    </row>
    <row r="906" spans="1:35" x14ac:dyDescent="0.25">
      <c r="A906" s="5">
        <v>48</v>
      </c>
      <c r="B906" s="5" t="s">
        <v>43</v>
      </c>
      <c r="C906" s="5" t="s">
        <v>36</v>
      </c>
      <c r="D906" s="5">
        <v>715</v>
      </c>
      <c r="E906" s="5" t="s">
        <v>45</v>
      </c>
      <c r="F906" s="5">
        <v>1</v>
      </c>
      <c r="G906" s="5">
        <v>3</v>
      </c>
      <c r="H906" s="5" t="s">
        <v>38</v>
      </c>
      <c r="I906" s="5">
        <v>1</v>
      </c>
      <c r="J906" s="5">
        <v>1263</v>
      </c>
      <c r="K906" s="5">
        <v>4</v>
      </c>
      <c r="L906" s="5" t="s">
        <v>46</v>
      </c>
      <c r="M906" s="5">
        <v>76</v>
      </c>
      <c r="N906" s="5">
        <v>2</v>
      </c>
      <c r="O906" s="5">
        <v>5</v>
      </c>
      <c r="P906" s="5" t="s">
        <v>58</v>
      </c>
      <c r="Q906" s="5">
        <v>4</v>
      </c>
      <c r="R906" s="5" t="s">
        <v>41</v>
      </c>
      <c r="S906" s="5">
        <v>18265</v>
      </c>
      <c r="T906" s="5">
        <v>8733</v>
      </c>
      <c r="U906" s="5">
        <v>6</v>
      </c>
      <c r="V906" s="5" t="s">
        <v>42</v>
      </c>
      <c r="W906" s="5" t="s">
        <v>43</v>
      </c>
      <c r="X906" s="5">
        <v>12</v>
      </c>
      <c r="Y906" s="5">
        <v>3</v>
      </c>
      <c r="Z906" s="5">
        <v>3</v>
      </c>
      <c r="AA906" s="5">
        <v>80</v>
      </c>
      <c r="AB906" s="5">
        <v>0</v>
      </c>
      <c r="AC906" s="5">
        <v>25</v>
      </c>
      <c r="AD906" s="5">
        <v>3</v>
      </c>
      <c r="AE906" s="5">
        <v>4</v>
      </c>
      <c r="AF906" s="5">
        <v>1</v>
      </c>
      <c r="AG906" s="5">
        <v>0</v>
      </c>
      <c r="AH906" s="5">
        <v>0</v>
      </c>
      <c r="AI906" s="5">
        <v>0</v>
      </c>
    </row>
    <row r="907" spans="1:35" x14ac:dyDescent="0.25">
      <c r="A907" s="5">
        <v>29</v>
      </c>
      <c r="B907" s="5" t="s">
        <v>43</v>
      </c>
      <c r="C907" s="5" t="s">
        <v>36</v>
      </c>
      <c r="D907" s="5">
        <v>694</v>
      </c>
      <c r="E907" s="5" t="s">
        <v>45</v>
      </c>
      <c r="F907" s="5">
        <v>1</v>
      </c>
      <c r="G907" s="5">
        <v>3</v>
      </c>
      <c r="H907" s="5" t="s">
        <v>38</v>
      </c>
      <c r="I907" s="5">
        <v>1</v>
      </c>
      <c r="J907" s="5">
        <v>1264</v>
      </c>
      <c r="K907" s="5">
        <v>4</v>
      </c>
      <c r="L907" s="5" t="s">
        <v>39</v>
      </c>
      <c r="M907" s="5">
        <v>87</v>
      </c>
      <c r="N907" s="5">
        <v>2</v>
      </c>
      <c r="O907" s="5">
        <v>4</v>
      </c>
      <c r="P907" s="5" t="s">
        <v>58</v>
      </c>
      <c r="Q907" s="5">
        <v>4</v>
      </c>
      <c r="R907" s="5" t="s">
        <v>52</v>
      </c>
      <c r="S907" s="5">
        <v>16124</v>
      </c>
      <c r="T907" s="5">
        <v>3423</v>
      </c>
      <c r="U907" s="5">
        <v>3</v>
      </c>
      <c r="V907" s="5" t="s">
        <v>42</v>
      </c>
      <c r="W907" s="5" t="s">
        <v>43</v>
      </c>
      <c r="X907" s="5">
        <v>14</v>
      </c>
      <c r="Y907" s="5">
        <v>3</v>
      </c>
      <c r="Z907" s="5">
        <v>2</v>
      </c>
      <c r="AA907" s="5">
        <v>80</v>
      </c>
      <c r="AB907" s="5">
        <v>2</v>
      </c>
      <c r="AC907" s="5">
        <v>9</v>
      </c>
      <c r="AD907" s="5">
        <v>2</v>
      </c>
      <c r="AE907" s="5">
        <v>2</v>
      </c>
      <c r="AF907" s="5">
        <v>7</v>
      </c>
      <c r="AG907" s="5">
        <v>7</v>
      </c>
      <c r="AH907" s="5">
        <v>1</v>
      </c>
      <c r="AI907" s="5">
        <v>7</v>
      </c>
    </row>
    <row r="908" spans="1:35" x14ac:dyDescent="0.25">
      <c r="A908" s="5">
        <v>34</v>
      </c>
      <c r="B908" s="5" t="s">
        <v>43</v>
      </c>
      <c r="C908" s="5" t="s">
        <v>36</v>
      </c>
      <c r="D908" s="5">
        <v>1320</v>
      </c>
      <c r="E908" s="5" t="s">
        <v>45</v>
      </c>
      <c r="F908" s="5">
        <v>20</v>
      </c>
      <c r="G908" s="5">
        <v>3</v>
      </c>
      <c r="H908" s="5" t="s">
        <v>60</v>
      </c>
      <c r="I908" s="5">
        <v>1</v>
      </c>
      <c r="J908" s="5">
        <v>1265</v>
      </c>
      <c r="K908" s="5">
        <v>3</v>
      </c>
      <c r="L908" s="5" t="s">
        <v>39</v>
      </c>
      <c r="M908" s="5">
        <v>89</v>
      </c>
      <c r="N908" s="5">
        <v>4</v>
      </c>
      <c r="O908" s="5">
        <v>1</v>
      </c>
      <c r="P908" s="5" t="s">
        <v>47</v>
      </c>
      <c r="Q908" s="5">
        <v>3</v>
      </c>
      <c r="R908" s="5" t="s">
        <v>48</v>
      </c>
      <c r="S908" s="5">
        <v>2585</v>
      </c>
      <c r="T908" s="5">
        <v>21643</v>
      </c>
      <c r="U908" s="5">
        <v>0</v>
      </c>
      <c r="V908" s="5" t="s">
        <v>42</v>
      </c>
      <c r="W908" s="5" t="s">
        <v>43</v>
      </c>
      <c r="X908" s="5">
        <v>17</v>
      </c>
      <c r="Y908" s="5">
        <v>3</v>
      </c>
      <c r="Z908" s="5">
        <v>4</v>
      </c>
      <c r="AA908" s="5">
        <v>80</v>
      </c>
      <c r="AB908" s="5">
        <v>0</v>
      </c>
      <c r="AC908" s="5">
        <v>2</v>
      </c>
      <c r="AD908" s="5">
        <v>5</v>
      </c>
      <c r="AE908" s="5">
        <v>2</v>
      </c>
      <c r="AF908" s="5">
        <v>1</v>
      </c>
      <c r="AG908" s="5">
        <v>0</v>
      </c>
      <c r="AH908" s="5">
        <v>0</v>
      </c>
      <c r="AI908" s="5">
        <v>0</v>
      </c>
    </row>
    <row r="909" spans="1:35" x14ac:dyDescent="0.25">
      <c r="A909" s="5">
        <v>44</v>
      </c>
      <c r="B909" s="5" t="s">
        <v>43</v>
      </c>
      <c r="C909" s="5" t="s">
        <v>36</v>
      </c>
      <c r="D909" s="5">
        <v>1099</v>
      </c>
      <c r="E909" s="5" t="s">
        <v>37</v>
      </c>
      <c r="F909" s="5">
        <v>5</v>
      </c>
      <c r="G909" s="5">
        <v>3</v>
      </c>
      <c r="H909" s="5" t="s">
        <v>59</v>
      </c>
      <c r="I909" s="5">
        <v>1</v>
      </c>
      <c r="J909" s="5">
        <v>1267</v>
      </c>
      <c r="K909" s="5">
        <v>2</v>
      </c>
      <c r="L909" s="5" t="s">
        <v>46</v>
      </c>
      <c r="M909" s="5">
        <v>88</v>
      </c>
      <c r="N909" s="5">
        <v>3</v>
      </c>
      <c r="O909" s="5">
        <v>5</v>
      </c>
      <c r="P909" s="5" t="s">
        <v>56</v>
      </c>
      <c r="Q909" s="5">
        <v>2</v>
      </c>
      <c r="R909" s="5" t="s">
        <v>48</v>
      </c>
      <c r="S909" s="5">
        <v>18213</v>
      </c>
      <c r="T909" s="5">
        <v>8751</v>
      </c>
      <c r="U909" s="5">
        <v>7</v>
      </c>
      <c r="V909" s="5" t="s">
        <v>42</v>
      </c>
      <c r="W909" s="5" t="s">
        <v>43</v>
      </c>
      <c r="X909" s="5">
        <v>11</v>
      </c>
      <c r="Y909" s="5">
        <v>3</v>
      </c>
      <c r="Z909" s="5">
        <v>3</v>
      </c>
      <c r="AA909" s="5">
        <v>80</v>
      </c>
      <c r="AB909" s="5">
        <v>1</v>
      </c>
      <c r="AC909" s="5">
        <v>26</v>
      </c>
      <c r="AD909" s="5">
        <v>5</v>
      </c>
      <c r="AE909" s="5">
        <v>3</v>
      </c>
      <c r="AF909" s="5">
        <v>22</v>
      </c>
      <c r="AG909" s="5">
        <v>9</v>
      </c>
      <c r="AH909" s="5">
        <v>3</v>
      </c>
      <c r="AI909" s="5">
        <v>10</v>
      </c>
    </row>
    <row r="910" spans="1:35" x14ac:dyDescent="0.25">
      <c r="A910" s="5">
        <v>33</v>
      </c>
      <c r="B910" s="5" t="s">
        <v>43</v>
      </c>
      <c r="C910" s="5" t="s">
        <v>36</v>
      </c>
      <c r="D910" s="5">
        <v>536</v>
      </c>
      <c r="E910" s="5" t="s">
        <v>37</v>
      </c>
      <c r="F910" s="5">
        <v>10</v>
      </c>
      <c r="G910" s="5">
        <v>5</v>
      </c>
      <c r="H910" s="5" t="s">
        <v>59</v>
      </c>
      <c r="I910" s="5">
        <v>1</v>
      </c>
      <c r="J910" s="5">
        <v>1268</v>
      </c>
      <c r="K910" s="5">
        <v>4</v>
      </c>
      <c r="L910" s="5" t="s">
        <v>46</v>
      </c>
      <c r="M910" s="5">
        <v>82</v>
      </c>
      <c r="N910" s="5">
        <v>4</v>
      </c>
      <c r="O910" s="5">
        <v>3</v>
      </c>
      <c r="P910" s="5" t="s">
        <v>40</v>
      </c>
      <c r="Q910" s="5">
        <v>3</v>
      </c>
      <c r="R910" s="5" t="s">
        <v>52</v>
      </c>
      <c r="S910" s="5">
        <v>8380</v>
      </c>
      <c r="T910" s="5">
        <v>21708</v>
      </c>
      <c r="U910" s="5">
        <v>0</v>
      </c>
      <c r="V910" s="5" t="s">
        <v>42</v>
      </c>
      <c r="W910" s="5" t="s">
        <v>35</v>
      </c>
      <c r="X910" s="5">
        <v>14</v>
      </c>
      <c r="Y910" s="5">
        <v>3</v>
      </c>
      <c r="Z910" s="5">
        <v>4</v>
      </c>
      <c r="AA910" s="5">
        <v>80</v>
      </c>
      <c r="AB910" s="5">
        <v>2</v>
      </c>
      <c r="AC910" s="5">
        <v>10</v>
      </c>
      <c r="AD910" s="5">
        <v>3</v>
      </c>
      <c r="AE910" s="5">
        <v>3</v>
      </c>
      <c r="AF910" s="5">
        <v>9</v>
      </c>
      <c r="AG910" s="5">
        <v>8</v>
      </c>
      <c r="AH910" s="5">
        <v>0</v>
      </c>
      <c r="AI910" s="5">
        <v>8</v>
      </c>
    </row>
    <row r="911" spans="1:35" x14ac:dyDescent="0.25">
      <c r="A911" s="5">
        <v>19</v>
      </c>
      <c r="B911" s="5" t="s">
        <v>43</v>
      </c>
      <c r="C911" s="5" t="s">
        <v>36</v>
      </c>
      <c r="D911" s="5">
        <v>265</v>
      </c>
      <c r="E911" s="5" t="s">
        <v>45</v>
      </c>
      <c r="F911" s="5">
        <v>25</v>
      </c>
      <c r="G911" s="5">
        <v>3</v>
      </c>
      <c r="H911" s="5" t="s">
        <v>38</v>
      </c>
      <c r="I911" s="5">
        <v>1</v>
      </c>
      <c r="J911" s="5">
        <v>1269</v>
      </c>
      <c r="K911" s="5">
        <v>2</v>
      </c>
      <c r="L911" s="5" t="s">
        <v>39</v>
      </c>
      <c r="M911" s="5">
        <v>57</v>
      </c>
      <c r="N911" s="5">
        <v>4</v>
      </c>
      <c r="O911" s="5">
        <v>1</v>
      </c>
      <c r="P911" s="5" t="s">
        <v>47</v>
      </c>
      <c r="Q911" s="5">
        <v>4</v>
      </c>
      <c r="R911" s="5" t="s">
        <v>41</v>
      </c>
      <c r="S911" s="5">
        <v>2994</v>
      </c>
      <c r="T911" s="5">
        <v>21221</v>
      </c>
      <c r="U911" s="5">
        <v>1</v>
      </c>
      <c r="V911" s="5" t="s">
        <v>42</v>
      </c>
      <c r="W911" s="5" t="s">
        <v>35</v>
      </c>
      <c r="X911" s="5">
        <v>12</v>
      </c>
      <c r="Y911" s="5">
        <v>3</v>
      </c>
      <c r="Z911" s="5">
        <v>4</v>
      </c>
      <c r="AA911" s="5">
        <v>80</v>
      </c>
      <c r="AB911" s="5">
        <v>0</v>
      </c>
      <c r="AC911" s="5">
        <v>1</v>
      </c>
      <c r="AD911" s="5">
        <v>2</v>
      </c>
      <c r="AE911" s="5">
        <v>3</v>
      </c>
      <c r="AF911" s="5">
        <v>1</v>
      </c>
      <c r="AG911" s="5">
        <v>0</v>
      </c>
      <c r="AH911" s="5">
        <v>0</v>
      </c>
      <c r="AI911" s="5">
        <v>1</v>
      </c>
    </row>
    <row r="912" spans="1:35" x14ac:dyDescent="0.25">
      <c r="A912" s="5">
        <v>23</v>
      </c>
      <c r="B912" s="5" t="s">
        <v>43</v>
      </c>
      <c r="C912" s="5" t="s">
        <v>36</v>
      </c>
      <c r="D912" s="5">
        <v>373</v>
      </c>
      <c r="E912" s="5" t="s">
        <v>45</v>
      </c>
      <c r="F912" s="5">
        <v>1</v>
      </c>
      <c r="G912" s="5">
        <v>2</v>
      </c>
      <c r="H912" s="5" t="s">
        <v>38</v>
      </c>
      <c r="I912" s="5">
        <v>1</v>
      </c>
      <c r="J912" s="5">
        <v>1270</v>
      </c>
      <c r="K912" s="5">
        <v>4</v>
      </c>
      <c r="L912" s="5" t="s">
        <v>46</v>
      </c>
      <c r="M912" s="5">
        <v>47</v>
      </c>
      <c r="N912" s="5">
        <v>3</v>
      </c>
      <c r="O912" s="5">
        <v>1</v>
      </c>
      <c r="P912" s="5" t="s">
        <v>47</v>
      </c>
      <c r="Q912" s="5">
        <v>3</v>
      </c>
      <c r="R912" s="5" t="s">
        <v>48</v>
      </c>
      <c r="S912" s="5">
        <v>1223</v>
      </c>
      <c r="T912" s="5">
        <v>16901</v>
      </c>
      <c r="U912" s="5">
        <v>1</v>
      </c>
      <c r="V912" s="5" t="s">
        <v>42</v>
      </c>
      <c r="W912" s="5" t="s">
        <v>43</v>
      </c>
      <c r="X912" s="5">
        <v>22</v>
      </c>
      <c r="Y912" s="5">
        <v>4</v>
      </c>
      <c r="Z912" s="5">
        <v>4</v>
      </c>
      <c r="AA912" s="5">
        <v>80</v>
      </c>
      <c r="AB912" s="5">
        <v>1</v>
      </c>
      <c r="AC912" s="5">
        <v>1</v>
      </c>
      <c r="AD912" s="5">
        <v>2</v>
      </c>
      <c r="AE912" s="5">
        <v>3</v>
      </c>
      <c r="AF912" s="5">
        <v>1</v>
      </c>
      <c r="AG912" s="5">
        <v>0</v>
      </c>
      <c r="AH912" s="5">
        <v>0</v>
      </c>
      <c r="AI912" s="5">
        <v>1</v>
      </c>
    </row>
    <row r="913" spans="1:35" x14ac:dyDescent="0.25">
      <c r="A913" s="5">
        <v>25</v>
      </c>
      <c r="B913" s="5" t="s">
        <v>35</v>
      </c>
      <c r="C913" s="5" t="s">
        <v>44</v>
      </c>
      <c r="D913" s="5">
        <v>599</v>
      </c>
      <c r="E913" s="5" t="s">
        <v>37</v>
      </c>
      <c r="F913" s="5">
        <v>24</v>
      </c>
      <c r="G913" s="5">
        <v>1</v>
      </c>
      <c r="H913" s="5" t="s">
        <v>38</v>
      </c>
      <c r="I913" s="5">
        <v>1</v>
      </c>
      <c r="J913" s="5">
        <v>1273</v>
      </c>
      <c r="K913" s="5">
        <v>3</v>
      </c>
      <c r="L913" s="5" t="s">
        <v>46</v>
      </c>
      <c r="M913" s="5">
        <v>73</v>
      </c>
      <c r="N913" s="5">
        <v>1</v>
      </c>
      <c r="O913" s="5">
        <v>1</v>
      </c>
      <c r="P913" s="5" t="s">
        <v>57</v>
      </c>
      <c r="Q913" s="5">
        <v>4</v>
      </c>
      <c r="R913" s="5" t="s">
        <v>41</v>
      </c>
      <c r="S913" s="5">
        <v>1118</v>
      </c>
      <c r="T913" s="5">
        <v>8040</v>
      </c>
      <c r="U913" s="5">
        <v>1</v>
      </c>
      <c r="V913" s="5" t="s">
        <v>42</v>
      </c>
      <c r="W913" s="5" t="s">
        <v>35</v>
      </c>
      <c r="X913" s="5">
        <v>14</v>
      </c>
      <c r="Y913" s="5">
        <v>3</v>
      </c>
      <c r="Z913" s="5">
        <v>4</v>
      </c>
      <c r="AA913" s="5">
        <v>80</v>
      </c>
      <c r="AB913" s="5">
        <v>0</v>
      </c>
      <c r="AC913" s="5">
        <v>1</v>
      </c>
      <c r="AD913" s="5">
        <v>4</v>
      </c>
      <c r="AE913" s="5">
        <v>3</v>
      </c>
      <c r="AF913" s="5">
        <v>1</v>
      </c>
      <c r="AG913" s="5">
        <v>0</v>
      </c>
      <c r="AH913" s="5">
        <v>1</v>
      </c>
      <c r="AI913" s="5">
        <v>0</v>
      </c>
    </row>
    <row r="914" spans="1:35" x14ac:dyDescent="0.25">
      <c r="A914" s="5">
        <v>26</v>
      </c>
      <c r="B914" s="5" t="s">
        <v>43</v>
      </c>
      <c r="C914" s="5" t="s">
        <v>36</v>
      </c>
      <c r="D914" s="5">
        <v>583</v>
      </c>
      <c r="E914" s="5" t="s">
        <v>45</v>
      </c>
      <c r="F914" s="5">
        <v>4</v>
      </c>
      <c r="G914" s="5">
        <v>2</v>
      </c>
      <c r="H914" s="5" t="s">
        <v>38</v>
      </c>
      <c r="I914" s="5">
        <v>1</v>
      </c>
      <c r="J914" s="5">
        <v>1275</v>
      </c>
      <c r="K914" s="5">
        <v>3</v>
      </c>
      <c r="L914" s="5" t="s">
        <v>46</v>
      </c>
      <c r="M914" s="5">
        <v>53</v>
      </c>
      <c r="N914" s="5">
        <v>3</v>
      </c>
      <c r="O914" s="5">
        <v>1</v>
      </c>
      <c r="P914" s="5" t="s">
        <v>47</v>
      </c>
      <c r="Q914" s="5">
        <v>4</v>
      </c>
      <c r="R914" s="5" t="s">
        <v>41</v>
      </c>
      <c r="S914" s="5">
        <v>2875</v>
      </c>
      <c r="T914" s="5">
        <v>9973</v>
      </c>
      <c r="U914" s="5">
        <v>1</v>
      </c>
      <c r="V914" s="5" t="s">
        <v>42</v>
      </c>
      <c r="W914" s="5" t="s">
        <v>35</v>
      </c>
      <c r="X914" s="5">
        <v>20</v>
      </c>
      <c r="Y914" s="5">
        <v>4</v>
      </c>
      <c r="Z914" s="5">
        <v>2</v>
      </c>
      <c r="AA914" s="5">
        <v>80</v>
      </c>
      <c r="AB914" s="5">
        <v>0</v>
      </c>
      <c r="AC914" s="5">
        <v>8</v>
      </c>
      <c r="AD914" s="5">
        <v>2</v>
      </c>
      <c r="AE914" s="5">
        <v>2</v>
      </c>
      <c r="AF914" s="5">
        <v>8</v>
      </c>
      <c r="AG914" s="5">
        <v>5</v>
      </c>
      <c r="AH914" s="5">
        <v>2</v>
      </c>
      <c r="AI914" s="5">
        <v>2</v>
      </c>
    </row>
    <row r="915" spans="1:35" x14ac:dyDescent="0.25">
      <c r="A915" s="5">
        <v>45</v>
      </c>
      <c r="B915" s="5" t="s">
        <v>35</v>
      </c>
      <c r="C915" s="5" t="s">
        <v>36</v>
      </c>
      <c r="D915" s="5">
        <v>1449</v>
      </c>
      <c r="E915" s="5" t="s">
        <v>37</v>
      </c>
      <c r="F915" s="5">
        <v>2</v>
      </c>
      <c r="G915" s="5">
        <v>3</v>
      </c>
      <c r="H915" s="5" t="s">
        <v>59</v>
      </c>
      <c r="I915" s="5">
        <v>1</v>
      </c>
      <c r="J915" s="5">
        <v>1277</v>
      </c>
      <c r="K915" s="5">
        <v>1</v>
      </c>
      <c r="L915" s="5" t="s">
        <v>39</v>
      </c>
      <c r="M915" s="5">
        <v>94</v>
      </c>
      <c r="N915" s="5">
        <v>1</v>
      </c>
      <c r="O915" s="5">
        <v>5</v>
      </c>
      <c r="P915" s="5" t="s">
        <v>56</v>
      </c>
      <c r="Q915" s="5">
        <v>2</v>
      </c>
      <c r="R915" s="5" t="s">
        <v>41</v>
      </c>
      <c r="S915" s="5">
        <v>18824</v>
      </c>
      <c r="T915" s="5">
        <v>2493</v>
      </c>
      <c r="U915" s="5">
        <v>2</v>
      </c>
      <c r="V915" s="5" t="s">
        <v>42</v>
      </c>
      <c r="W915" s="5" t="s">
        <v>35</v>
      </c>
      <c r="X915" s="5">
        <v>16</v>
      </c>
      <c r="Y915" s="5">
        <v>3</v>
      </c>
      <c r="Z915" s="5">
        <v>1</v>
      </c>
      <c r="AA915" s="5">
        <v>80</v>
      </c>
      <c r="AB915" s="5">
        <v>0</v>
      </c>
      <c r="AC915" s="5">
        <v>26</v>
      </c>
      <c r="AD915" s="5">
        <v>2</v>
      </c>
      <c r="AE915" s="5">
        <v>3</v>
      </c>
      <c r="AF915" s="5">
        <v>24</v>
      </c>
      <c r="AG915" s="5">
        <v>10</v>
      </c>
      <c r="AH915" s="5">
        <v>1</v>
      </c>
      <c r="AI915" s="5">
        <v>11</v>
      </c>
    </row>
    <row r="916" spans="1:35" x14ac:dyDescent="0.25">
      <c r="A916" s="5">
        <v>55</v>
      </c>
      <c r="B916" s="5" t="s">
        <v>43</v>
      </c>
      <c r="C916" s="5" t="s">
        <v>55</v>
      </c>
      <c r="D916" s="5">
        <v>177</v>
      </c>
      <c r="E916" s="5" t="s">
        <v>45</v>
      </c>
      <c r="F916" s="5">
        <v>8</v>
      </c>
      <c r="G916" s="5">
        <v>1</v>
      </c>
      <c r="H916" s="5" t="s">
        <v>51</v>
      </c>
      <c r="I916" s="5">
        <v>1</v>
      </c>
      <c r="J916" s="5">
        <v>1278</v>
      </c>
      <c r="K916" s="5">
        <v>4</v>
      </c>
      <c r="L916" s="5" t="s">
        <v>46</v>
      </c>
      <c r="M916" s="5">
        <v>37</v>
      </c>
      <c r="N916" s="5">
        <v>2</v>
      </c>
      <c r="O916" s="5">
        <v>4</v>
      </c>
      <c r="P916" s="5" t="s">
        <v>54</v>
      </c>
      <c r="Q916" s="5">
        <v>2</v>
      </c>
      <c r="R916" s="5" t="s">
        <v>52</v>
      </c>
      <c r="S916" s="5">
        <v>13577</v>
      </c>
      <c r="T916" s="5">
        <v>25592</v>
      </c>
      <c r="U916" s="5">
        <v>1</v>
      </c>
      <c r="V916" s="5" t="s">
        <v>42</v>
      </c>
      <c r="W916" s="5" t="s">
        <v>35</v>
      </c>
      <c r="X916" s="5">
        <v>15</v>
      </c>
      <c r="Y916" s="5">
        <v>3</v>
      </c>
      <c r="Z916" s="5">
        <v>4</v>
      </c>
      <c r="AA916" s="5">
        <v>80</v>
      </c>
      <c r="AB916" s="5">
        <v>1</v>
      </c>
      <c r="AC916" s="5">
        <v>34</v>
      </c>
      <c r="AD916" s="5">
        <v>3</v>
      </c>
      <c r="AE916" s="5">
        <v>3</v>
      </c>
      <c r="AF916" s="5">
        <v>33</v>
      </c>
      <c r="AG916" s="5">
        <v>9</v>
      </c>
      <c r="AH916" s="5">
        <v>15</v>
      </c>
      <c r="AI916" s="5">
        <v>0</v>
      </c>
    </row>
    <row r="917" spans="1:35" x14ac:dyDescent="0.25">
      <c r="A917" s="5">
        <v>21</v>
      </c>
      <c r="B917" s="5" t="s">
        <v>35</v>
      </c>
      <c r="C917" s="5" t="s">
        <v>44</v>
      </c>
      <c r="D917" s="5">
        <v>251</v>
      </c>
      <c r="E917" s="5" t="s">
        <v>45</v>
      </c>
      <c r="F917" s="5">
        <v>10</v>
      </c>
      <c r="G917" s="5">
        <v>2</v>
      </c>
      <c r="H917" s="5" t="s">
        <v>38</v>
      </c>
      <c r="I917" s="5">
        <v>1</v>
      </c>
      <c r="J917" s="5">
        <v>1279</v>
      </c>
      <c r="K917" s="5">
        <v>1</v>
      </c>
      <c r="L917" s="5" t="s">
        <v>39</v>
      </c>
      <c r="M917" s="5">
        <v>45</v>
      </c>
      <c r="N917" s="5">
        <v>2</v>
      </c>
      <c r="O917" s="5">
        <v>1</v>
      </c>
      <c r="P917" s="5" t="s">
        <v>50</v>
      </c>
      <c r="Q917" s="5">
        <v>3</v>
      </c>
      <c r="R917" s="5" t="s">
        <v>41</v>
      </c>
      <c r="S917" s="5">
        <v>2625</v>
      </c>
      <c r="T917" s="5">
        <v>25308</v>
      </c>
      <c r="U917" s="5">
        <v>1</v>
      </c>
      <c r="V917" s="5" t="s">
        <v>42</v>
      </c>
      <c r="W917" s="5" t="s">
        <v>43</v>
      </c>
      <c r="X917" s="5">
        <v>20</v>
      </c>
      <c r="Y917" s="5">
        <v>4</v>
      </c>
      <c r="Z917" s="5">
        <v>3</v>
      </c>
      <c r="AA917" s="5">
        <v>80</v>
      </c>
      <c r="AB917" s="5">
        <v>0</v>
      </c>
      <c r="AC917" s="5">
        <v>2</v>
      </c>
      <c r="AD917" s="5">
        <v>2</v>
      </c>
      <c r="AE917" s="5">
        <v>1</v>
      </c>
      <c r="AF917" s="5">
        <v>2</v>
      </c>
      <c r="AG917" s="5">
        <v>2</v>
      </c>
      <c r="AH917" s="5">
        <v>2</v>
      </c>
      <c r="AI917" s="5">
        <v>2</v>
      </c>
    </row>
    <row r="918" spans="1:35" x14ac:dyDescent="0.25">
      <c r="A918" s="5">
        <v>46</v>
      </c>
      <c r="B918" s="5" t="s">
        <v>43</v>
      </c>
      <c r="C918" s="5" t="s">
        <v>36</v>
      </c>
      <c r="D918" s="5">
        <v>168</v>
      </c>
      <c r="E918" s="5" t="s">
        <v>37</v>
      </c>
      <c r="F918" s="5">
        <v>4</v>
      </c>
      <c r="G918" s="5">
        <v>2</v>
      </c>
      <c r="H918" s="5" t="s">
        <v>59</v>
      </c>
      <c r="I918" s="5">
        <v>1</v>
      </c>
      <c r="J918" s="5">
        <v>1280</v>
      </c>
      <c r="K918" s="5">
        <v>4</v>
      </c>
      <c r="L918" s="5" t="s">
        <v>39</v>
      </c>
      <c r="M918" s="5">
        <v>33</v>
      </c>
      <c r="N918" s="5">
        <v>2</v>
      </c>
      <c r="O918" s="5">
        <v>5</v>
      </c>
      <c r="P918" s="5" t="s">
        <v>56</v>
      </c>
      <c r="Q918" s="5">
        <v>2</v>
      </c>
      <c r="R918" s="5" t="s">
        <v>48</v>
      </c>
      <c r="S918" s="5">
        <v>18789</v>
      </c>
      <c r="T918" s="5">
        <v>9946</v>
      </c>
      <c r="U918" s="5">
        <v>2</v>
      </c>
      <c r="V918" s="5" t="s">
        <v>42</v>
      </c>
      <c r="W918" s="5" t="s">
        <v>43</v>
      </c>
      <c r="X918" s="5">
        <v>14</v>
      </c>
      <c r="Y918" s="5">
        <v>3</v>
      </c>
      <c r="Z918" s="5">
        <v>3</v>
      </c>
      <c r="AA918" s="5">
        <v>80</v>
      </c>
      <c r="AB918" s="5">
        <v>1</v>
      </c>
      <c r="AC918" s="5">
        <v>26</v>
      </c>
      <c r="AD918" s="5">
        <v>2</v>
      </c>
      <c r="AE918" s="5">
        <v>3</v>
      </c>
      <c r="AF918" s="5">
        <v>11</v>
      </c>
      <c r="AG918" s="5">
        <v>4</v>
      </c>
      <c r="AH918" s="5">
        <v>0</v>
      </c>
      <c r="AI918" s="5">
        <v>8</v>
      </c>
    </row>
    <row r="919" spans="1:35" x14ac:dyDescent="0.25">
      <c r="A919" s="5">
        <v>34</v>
      </c>
      <c r="B919" s="5" t="s">
        <v>43</v>
      </c>
      <c r="C919" s="5" t="s">
        <v>36</v>
      </c>
      <c r="D919" s="5">
        <v>131</v>
      </c>
      <c r="E919" s="5" t="s">
        <v>37</v>
      </c>
      <c r="F919" s="5">
        <v>2</v>
      </c>
      <c r="G919" s="5">
        <v>3</v>
      </c>
      <c r="H919" s="5" t="s">
        <v>59</v>
      </c>
      <c r="I919" s="5">
        <v>1</v>
      </c>
      <c r="J919" s="5">
        <v>1281</v>
      </c>
      <c r="K919" s="5">
        <v>3</v>
      </c>
      <c r="L919" s="5" t="s">
        <v>39</v>
      </c>
      <c r="M919" s="5">
        <v>86</v>
      </c>
      <c r="N919" s="5">
        <v>3</v>
      </c>
      <c r="O919" s="5">
        <v>2</v>
      </c>
      <c r="P919" s="5" t="s">
        <v>40</v>
      </c>
      <c r="Q919" s="5">
        <v>1</v>
      </c>
      <c r="R919" s="5" t="s">
        <v>41</v>
      </c>
      <c r="S919" s="5">
        <v>4538</v>
      </c>
      <c r="T919" s="5">
        <v>6039</v>
      </c>
      <c r="U919" s="5">
        <v>0</v>
      </c>
      <c r="V919" s="5" t="s">
        <v>42</v>
      </c>
      <c r="W919" s="5" t="s">
        <v>35</v>
      </c>
      <c r="X919" s="5">
        <v>12</v>
      </c>
      <c r="Y919" s="5">
        <v>3</v>
      </c>
      <c r="Z919" s="5">
        <v>4</v>
      </c>
      <c r="AA919" s="5">
        <v>80</v>
      </c>
      <c r="AB919" s="5">
        <v>0</v>
      </c>
      <c r="AC919" s="5">
        <v>4</v>
      </c>
      <c r="AD919" s="5">
        <v>3</v>
      </c>
      <c r="AE919" s="5">
        <v>3</v>
      </c>
      <c r="AF919" s="5">
        <v>3</v>
      </c>
      <c r="AG919" s="5">
        <v>2</v>
      </c>
      <c r="AH919" s="5">
        <v>0</v>
      </c>
      <c r="AI919" s="5">
        <v>2</v>
      </c>
    </row>
    <row r="920" spans="1:35" x14ac:dyDescent="0.25">
      <c r="A920" s="5">
        <v>51</v>
      </c>
      <c r="B920" s="5" t="s">
        <v>43</v>
      </c>
      <c r="C920" s="5" t="s">
        <v>44</v>
      </c>
      <c r="D920" s="5">
        <v>237</v>
      </c>
      <c r="E920" s="5" t="s">
        <v>37</v>
      </c>
      <c r="F920" s="5">
        <v>9</v>
      </c>
      <c r="G920" s="5">
        <v>3</v>
      </c>
      <c r="H920" s="5" t="s">
        <v>38</v>
      </c>
      <c r="I920" s="5">
        <v>1</v>
      </c>
      <c r="J920" s="5">
        <v>1282</v>
      </c>
      <c r="K920" s="5">
        <v>4</v>
      </c>
      <c r="L920" s="5" t="s">
        <v>46</v>
      </c>
      <c r="M920" s="5">
        <v>83</v>
      </c>
      <c r="N920" s="5">
        <v>3</v>
      </c>
      <c r="O920" s="5">
        <v>5</v>
      </c>
      <c r="P920" s="5" t="s">
        <v>56</v>
      </c>
      <c r="Q920" s="5">
        <v>2</v>
      </c>
      <c r="R920" s="5" t="s">
        <v>52</v>
      </c>
      <c r="S920" s="5">
        <v>19847</v>
      </c>
      <c r="T920" s="5">
        <v>19196</v>
      </c>
      <c r="U920" s="5">
        <v>4</v>
      </c>
      <c r="V920" s="5" t="s">
        <v>42</v>
      </c>
      <c r="W920" s="5" t="s">
        <v>35</v>
      </c>
      <c r="X920" s="5">
        <v>24</v>
      </c>
      <c r="Y920" s="5">
        <v>4</v>
      </c>
      <c r="Z920" s="5">
        <v>1</v>
      </c>
      <c r="AA920" s="5">
        <v>80</v>
      </c>
      <c r="AB920" s="5">
        <v>1</v>
      </c>
      <c r="AC920" s="5">
        <v>31</v>
      </c>
      <c r="AD920" s="5">
        <v>5</v>
      </c>
      <c r="AE920" s="5">
        <v>2</v>
      </c>
      <c r="AF920" s="5">
        <v>29</v>
      </c>
      <c r="AG920" s="5">
        <v>10</v>
      </c>
      <c r="AH920" s="5">
        <v>11</v>
      </c>
      <c r="AI920" s="5">
        <v>10</v>
      </c>
    </row>
    <row r="921" spans="1:35" x14ac:dyDescent="0.25">
      <c r="A921" s="5">
        <v>59</v>
      </c>
      <c r="B921" s="5" t="s">
        <v>43</v>
      </c>
      <c r="C921" s="5" t="s">
        <v>36</v>
      </c>
      <c r="D921" s="5">
        <v>1429</v>
      </c>
      <c r="E921" s="5" t="s">
        <v>45</v>
      </c>
      <c r="F921" s="5">
        <v>18</v>
      </c>
      <c r="G921" s="5">
        <v>4</v>
      </c>
      <c r="H921" s="5" t="s">
        <v>51</v>
      </c>
      <c r="I921" s="5">
        <v>1</v>
      </c>
      <c r="J921" s="5">
        <v>1283</v>
      </c>
      <c r="K921" s="5">
        <v>4</v>
      </c>
      <c r="L921" s="5" t="s">
        <v>46</v>
      </c>
      <c r="M921" s="5">
        <v>67</v>
      </c>
      <c r="N921" s="5">
        <v>3</v>
      </c>
      <c r="O921" s="5">
        <v>3</v>
      </c>
      <c r="P921" s="5" t="s">
        <v>53</v>
      </c>
      <c r="Q921" s="5">
        <v>4</v>
      </c>
      <c r="R921" s="5" t="s">
        <v>41</v>
      </c>
      <c r="S921" s="5">
        <v>10512</v>
      </c>
      <c r="T921" s="5">
        <v>20002</v>
      </c>
      <c r="U921" s="5">
        <v>6</v>
      </c>
      <c r="V921" s="5" t="s">
        <v>42</v>
      </c>
      <c r="W921" s="5" t="s">
        <v>43</v>
      </c>
      <c r="X921" s="5">
        <v>12</v>
      </c>
      <c r="Y921" s="5">
        <v>3</v>
      </c>
      <c r="Z921" s="5">
        <v>4</v>
      </c>
      <c r="AA921" s="5">
        <v>80</v>
      </c>
      <c r="AB921" s="5">
        <v>0</v>
      </c>
      <c r="AC921" s="5">
        <v>25</v>
      </c>
      <c r="AD921" s="5">
        <v>6</v>
      </c>
      <c r="AE921" s="5">
        <v>2</v>
      </c>
      <c r="AF921" s="5">
        <v>9</v>
      </c>
      <c r="AG921" s="5">
        <v>7</v>
      </c>
      <c r="AH921" s="5">
        <v>5</v>
      </c>
      <c r="AI921" s="5">
        <v>4</v>
      </c>
    </row>
    <row r="922" spans="1:35" x14ac:dyDescent="0.25">
      <c r="A922" s="5">
        <v>34</v>
      </c>
      <c r="B922" s="5" t="s">
        <v>43</v>
      </c>
      <c r="C922" s="5" t="s">
        <v>44</v>
      </c>
      <c r="D922" s="5">
        <v>135</v>
      </c>
      <c r="E922" s="5" t="s">
        <v>45</v>
      </c>
      <c r="F922" s="5">
        <v>19</v>
      </c>
      <c r="G922" s="5">
        <v>3</v>
      </c>
      <c r="H922" s="5" t="s">
        <v>51</v>
      </c>
      <c r="I922" s="5">
        <v>1</v>
      </c>
      <c r="J922" s="5">
        <v>1285</v>
      </c>
      <c r="K922" s="5">
        <v>3</v>
      </c>
      <c r="L922" s="5" t="s">
        <v>39</v>
      </c>
      <c r="M922" s="5">
        <v>46</v>
      </c>
      <c r="N922" s="5">
        <v>3</v>
      </c>
      <c r="O922" s="5">
        <v>2</v>
      </c>
      <c r="P922" s="5" t="s">
        <v>50</v>
      </c>
      <c r="Q922" s="5">
        <v>2</v>
      </c>
      <c r="R922" s="5" t="s">
        <v>52</v>
      </c>
      <c r="S922" s="5">
        <v>4444</v>
      </c>
      <c r="T922" s="5">
        <v>22534</v>
      </c>
      <c r="U922" s="5">
        <v>4</v>
      </c>
      <c r="V922" s="5" t="s">
        <v>42</v>
      </c>
      <c r="W922" s="5" t="s">
        <v>43</v>
      </c>
      <c r="X922" s="5">
        <v>13</v>
      </c>
      <c r="Y922" s="5">
        <v>3</v>
      </c>
      <c r="Z922" s="5">
        <v>3</v>
      </c>
      <c r="AA922" s="5">
        <v>80</v>
      </c>
      <c r="AB922" s="5">
        <v>2</v>
      </c>
      <c r="AC922" s="5">
        <v>15</v>
      </c>
      <c r="AD922" s="5">
        <v>2</v>
      </c>
      <c r="AE922" s="5">
        <v>4</v>
      </c>
      <c r="AF922" s="5">
        <v>11</v>
      </c>
      <c r="AG922" s="5">
        <v>8</v>
      </c>
      <c r="AH922" s="5">
        <v>5</v>
      </c>
      <c r="AI922" s="5">
        <v>10</v>
      </c>
    </row>
    <row r="923" spans="1:35" x14ac:dyDescent="0.25">
      <c r="A923" s="5">
        <v>28</v>
      </c>
      <c r="B923" s="5" t="s">
        <v>43</v>
      </c>
      <c r="C923" s="5" t="s">
        <v>44</v>
      </c>
      <c r="D923" s="5">
        <v>791</v>
      </c>
      <c r="E923" s="5" t="s">
        <v>45</v>
      </c>
      <c r="F923" s="5">
        <v>1</v>
      </c>
      <c r="G923" s="5">
        <v>4</v>
      </c>
      <c r="H923" s="5" t="s">
        <v>51</v>
      </c>
      <c r="I923" s="5">
        <v>1</v>
      </c>
      <c r="J923" s="5">
        <v>1286</v>
      </c>
      <c r="K923" s="5">
        <v>4</v>
      </c>
      <c r="L923" s="5" t="s">
        <v>46</v>
      </c>
      <c r="M923" s="5">
        <v>44</v>
      </c>
      <c r="N923" s="5">
        <v>3</v>
      </c>
      <c r="O923" s="5">
        <v>1</v>
      </c>
      <c r="P923" s="5" t="s">
        <v>50</v>
      </c>
      <c r="Q923" s="5">
        <v>3</v>
      </c>
      <c r="R923" s="5" t="s">
        <v>41</v>
      </c>
      <c r="S923" s="5">
        <v>2154</v>
      </c>
      <c r="T923" s="5">
        <v>6842</v>
      </c>
      <c r="U923" s="5">
        <v>0</v>
      </c>
      <c r="V923" s="5" t="s">
        <v>42</v>
      </c>
      <c r="W923" s="5" t="s">
        <v>35</v>
      </c>
      <c r="X923" s="5">
        <v>11</v>
      </c>
      <c r="Y923" s="5">
        <v>3</v>
      </c>
      <c r="Z923" s="5">
        <v>3</v>
      </c>
      <c r="AA923" s="5">
        <v>80</v>
      </c>
      <c r="AB923" s="5">
        <v>0</v>
      </c>
      <c r="AC923" s="5">
        <v>5</v>
      </c>
      <c r="AD923" s="5">
        <v>2</v>
      </c>
      <c r="AE923" s="5">
        <v>2</v>
      </c>
      <c r="AF923" s="5">
        <v>4</v>
      </c>
      <c r="AG923" s="5">
        <v>2</v>
      </c>
      <c r="AH923" s="5">
        <v>0</v>
      </c>
      <c r="AI923" s="5">
        <v>2</v>
      </c>
    </row>
    <row r="924" spans="1:35" x14ac:dyDescent="0.25">
      <c r="A924" s="5">
        <v>44</v>
      </c>
      <c r="B924" s="5" t="s">
        <v>43</v>
      </c>
      <c r="C924" s="5" t="s">
        <v>36</v>
      </c>
      <c r="D924" s="5">
        <v>1199</v>
      </c>
      <c r="E924" s="5" t="s">
        <v>45</v>
      </c>
      <c r="F924" s="5">
        <v>4</v>
      </c>
      <c r="G924" s="5">
        <v>2</v>
      </c>
      <c r="H924" s="5" t="s">
        <v>38</v>
      </c>
      <c r="I924" s="5">
        <v>1</v>
      </c>
      <c r="J924" s="5">
        <v>1288</v>
      </c>
      <c r="K924" s="5">
        <v>3</v>
      </c>
      <c r="L924" s="5" t="s">
        <v>46</v>
      </c>
      <c r="M924" s="5">
        <v>92</v>
      </c>
      <c r="N924" s="5">
        <v>4</v>
      </c>
      <c r="O924" s="5">
        <v>5</v>
      </c>
      <c r="P924" s="5" t="s">
        <v>56</v>
      </c>
      <c r="Q924" s="5">
        <v>1</v>
      </c>
      <c r="R924" s="5" t="s">
        <v>52</v>
      </c>
      <c r="S924" s="5">
        <v>19190</v>
      </c>
      <c r="T924" s="5">
        <v>17477</v>
      </c>
      <c r="U924" s="5">
        <v>1</v>
      </c>
      <c r="V924" s="5" t="s">
        <v>42</v>
      </c>
      <c r="W924" s="5" t="s">
        <v>43</v>
      </c>
      <c r="X924" s="5">
        <v>14</v>
      </c>
      <c r="Y924" s="5">
        <v>3</v>
      </c>
      <c r="Z924" s="5">
        <v>4</v>
      </c>
      <c r="AA924" s="5">
        <v>80</v>
      </c>
      <c r="AB924" s="5">
        <v>2</v>
      </c>
      <c r="AC924" s="5">
        <v>26</v>
      </c>
      <c r="AD924" s="5">
        <v>4</v>
      </c>
      <c r="AE924" s="5">
        <v>2</v>
      </c>
      <c r="AF924" s="5">
        <v>25</v>
      </c>
      <c r="AG924" s="5">
        <v>9</v>
      </c>
      <c r="AH924" s="5">
        <v>14</v>
      </c>
      <c r="AI924" s="5">
        <v>13</v>
      </c>
    </row>
    <row r="925" spans="1:35" x14ac:dyDescent="0.25">
      <c r="A925" s="5">
        <v>34</v>
      </c>
      <c r="B925" s="5" t="s">
        <v>43</v>
      </c>
      <c r="C925" s="5" t="s">
        <v>44</v>
      </c>
      <c r="D925" s="5">
        <v>648</v>
      </c>
      <c r="E925" s="5" t="s">
        <v>61</v>
      </c>
      <c r="F925" s="5">
        <v>11</v>
      </c>
      <c r="G925" s="5">
        <v>3</v>
      </c>
      <c r="H925" s="5" t="s">
        <v>38</v>
      </c>
      <c r="I925" s="5">
        <v>1</v>
      </c>
      <c r="J925" s="5">
        <v>1289</v>
      </c>
      <c r="K925" s="5">
        <v>3</v>
      </c>
      <c r="L925" s="5" t="s">
        <v>46</v>
      </c>
      <c r="M925" s="5">
        <v>56</v>
      </c>
      <c r="N925" s="5">
        <v>2</v>
      </c>
      <c r="O925" s="5">
        <v>2</v>
      </c>
      <c r="P925" s="5" t="s">
        <v>61</v>
      </c>
      <c r="Q925" s="5">
        <v>2</v>
      </c>
      <c r="R925" s="5" t="s">
        <v>48</v>
      </c>
      <c r="S925" s="5">
        <v>4490</v>
      </c>
      <c r="T925" s="5">
        <v>21833</v>
      </c>
      <c r="U925" s="5">
        <v>4</v>
      </c>
      <c r="V925" s="5" t="s">
        <v>42</v>
      </c>
      <c r="W925" s="5" t="s">
        <v>43</v>
      </c>
      <c r="X925" s="5">
        <v>11</v>
      </c>
      <c r="Y925" s="5">
        <v>3</v>
      </c>
      <c r="Z925" s="5">
        <v>4</v>
      </c>
      <c r="AA925" s="5">
        <v>80</v>
      </c>
      <c r="AB925" s="5">
        <v>2</v>
      </c>
      <c r="AC925" s="5">
        <v>14</v>
      </c>
      <c r="AD925" s="5">
        <v>5</v>
      </c>
      <c r="AE925" s="5">
        <v>4</v>
      </c>
      <c r="AF925" s="5">
        <v>10</v>
      </c>
      <c r="AG925" s="5">
        <v>9</v>
      </c>
      <c r="AH925" s="5">
        <v>1</v>
      </c>
      <c r="AI925" s="5">
        <v>8</v>
      </c>
    </row>
    <row r="926" spans="1:35" x14ac:dyDescent="0.25">
      <c r="A926" s="5">
        <v>35</v>
      </c>
      <c r="B926" s="5" t="s">
        <v>43</v>
      </c>
      <c r="C926" s="5" t="s">
        <v>36</v>
      </c>
      <c r="D926" s="5">
        <v>735</v>
      </c>
      <c r="E926" s="5" t="s">
        <v>45</v>
      </c>
      <c r="F926" s="5">
        <v>6</v>
      </c>
      <c r="G926" s="5">
        <v>1</v>
      </c>
      <c r="H926" s="5" t="s">
        <v>38</v>
      </c>
      <c r="I926" s="5">
        <v>1</v>
      </c>
      <c r="J926" s="5">
        <v>1291</v>
      </c>
      <c r="K926" s="5">
        <v>3</v>
      </c>
      <c r="L926" s="5" t="s">
        <v>46</v>
      </c>
      <c r="M926" s="5">
        <v>66</v>
      </c>
      <c r="N926" s="5">
        <v>3</v>
      </c>
      <c r="O926" s="5">
        <v>1</v>
      </c>
      <c r="P926" s="5" t="s">
        <v>47</v>
      </c>
      <c r="Q926" s="5">
        <v>3</v>
      </c>
      <c r="R926" s="5" t="s">
        <v>48</v>
      </c>
      <c r="S926" s="5">
        <v>3506</v>
      </c>
      <c r="T926" s="5">
        <v>6020</v>
      </c>
      <c r="U926" s="5">
        <v>0</v>
      </c>
      <c r="V926" s="5" t="s">
        <v>42</v>
      </c>
      <c r="W926" s="5" t="s">
        <v>35</v>
      </c>
      <c r="X926" s="5">
        <v>14</v>
      </c>
      <c r="Y926" s="5">
        <v>3</v>
      </c>
      <c r="Z926" s="5">
        <v>4</v>
      </c>
      <c r="AA926" s="5">
        <v>80</v>
      </c>
      <c r="AB926" s="5">
        <v>0</v>
      </c>
      <c r="AC926" s="5">
        <v>4</v>
      </c>
      <c r="AD926" s="5">
        <v>3</v>
      </c>
      <c r="AE926" s="5">
        <v>3</v>
      </c>
      <c r="AF926" s="5">
        <v>3</v>
      </c>
      <c r="AG926" s="5">
        <v>2</v>
      </c>
      <c r="AH926" s="5">
        <v>2</v>
      </c>
      <c r="AI926" s="5">
        <v>2</v>
      </c>
    </row>
    <row r="927" spans="1:35" x14ac:dyDescent="0.25">
      <c r="A927" s="5">
        <v>42</v>
      </c>
      <c r="B927" s="5" t="s">
        <v>43</v>
      </c>
      <c r="C927" s="5" t="s">
        <v>36</v>
      </c>
      <c r="D927" s="5">
        <v>603</v>
      </c>
      <c r="E927" s="5" t="s">
        <v>45</v>
      </c>
      <c r="F927" s="5">
        <v>7</v>
      </c>
      <c r="G927" s="5">
        <v>4</v>
      </c>
      <c r="H927" s="5" t="s">
        <v>51</v>
      </c>
      <c r="I927" s="5">
        <v>1</v>
      </c>
      <c r="J927" s="5">
        <v>1292</v>
      </c>
      <c r="K927" s="5">
        <v>2</v>
      </c>
      <c r="L927" s="5" t="s">
        <v>39</v>
      </c>
      <c r="M927" s="5">
        <v>78</v>
      </c>
      <c r="N927" s="5">
        <v>4</v>
      </c>
      <c r="O927" s="5">
        <v>2</v>
      </c>
      <c r="P927" s="5" t="s">
        <v>47</v>
      </c>
      <c r="Q927" s="5">
        <v>2</v>
      </c>
      <c r="R927" s="5" t="s">
        <v>48</v>
      </c>
      <c r="S927" s="5">
        <v>2372</v>
      </c>
      <c r="T927" s="5">
        <v>5628</v>
      </c>
      <c r="U927" s="5">
        <v>6</v>
      </c>
      <c r="V927" s="5" t="s">
        <v>42</v>
      </c>
      <c r="W927" s="5" t="s">
        <v>35</v>
      </c>
      <c r="X927" s="5">
        <v>16</v>
      </c>
      <c r="Y927" s="5">
        <v>3</v>
      </c>
      <c r="Z927" s="5">
        <v>4</v>
      </c>
      <c r="AA927" s="5">
        <v>80</v>
      </c>
      <c r="AB927" s="5">
        <v>0</v>
      </c>
      <c r="AC927" s="5">
        <v>18</v>
      </c>
      <c r="AD927" s="5">
        <v>2</v>
      </c>
      <c r="AE927" s="5">
        <v>3</v>
      </c>
      <c r="AF927" s="5">
        <v>1</v>
      </c>
      <c r="AG927" s="5">
        <v>0</v>
      </c>
      <c r="AH927" s="5">
        <v>0</v>
      </c>
      <c r="AI927" s="5">
        <v>0</v>
      </c>
    </row>
    <row r="928" spans="1:35" x14ac:dyDescent="0.25">
      <c r="A928" s="5">
        <v>43</v>
      </c>
      <c r="B928" s="5" t="s">
        <v>43</v>
      </c>
      <c r="C928" s="5" t="s">
        <v>36</v>
      </c>
      <c r="D928" s="5">
        <v>531</v>
      </c>
      <c r="E928" s="5" t="s">
        <v>37</v>
      </c>
      <c r="F928" s="5">
        <v>4</v>
      </c>
      <c r="G928" s="5">
        <v>4</v>
      </c>
      <c r="H928" s="5" t="s">
        <v>59</v>
      </c>
      <c r="I928" s="5">
        <v>1</v>
      </c>
      <c r="J928" s="5">
        <v>1293</v>
      </c>
      <c r="K928" s="5">
        <v>4</v>
      </c>
      <c r="L928" s="5" t="s">
        <v>39</v>
      </c>
      <c r="M928" s="5">
        <v>56</v>
      </c>
      <c r="N928" s="5">
        <v>2</v>
      </c>
      <c r="O928" s="5">
        <v>3</v>
      </c>
      <c r="P928" s="5" t="s">
        <v>40</v>
      </c>
      <c r="Q928" s="5">
        <v>4</v>
      </c>
      <c r="R928" s="5" t="s">
        <v>41</v>
      </c>
      <c r="S928" s="5">
        <v>10231</v>
      </c>
      <c r="T928" s="5">
        <v>20364</v>
      </c>
      <c r="U928" s="5">
        <v>3</v>
      </c>
      <c r="V928" s="5" t="s">
        <v>42</v>
      </c>
      <c r="W928" s="5" t="s">
        <v>43</v>
      </c>
      <c r="X928" s="5">
        <v>14</v>
      </c>
      <c r="Y928" s="5">
        <v>3</v>
      </c>
      <c r="Z928" s="5">
        <v>4</v>
      </c>
      <c r="AA928" s="5">
        <v>80</v>
      </c>
      <c r="AB928" s="5">
        <v>0</v>
      </c>
      <c r="AC928" s="5">
        <v>23</v>
      </c>
      <c r="AD928" s="5">
        <v>3</v>
      </c>
      <c r="AE928" s="5">
        <v>4</v>
      </c>
      <c r="AF928" s="5">
        <v>21</v>
      </c>
      <c r="AG928" s="5">
        <v>7</v>
      </c>
      <c r="AH928" s="5">
        <v>15</v>
      </c>
      <c r="AI928" s="5">
        <v>17</v>
      </c>
    </row>
    <row r="929" spans="1:35" x14ac:dyDescent="0.25">
      <c r="A929" s="5">
        <v>36</v>
      </c>
      <c r="B929" s="5" t="s">
        <v>43</v>
      </c>
      <c r="C929" s="5" t="s">
        <v>36</v>
      </c>
      <c r="D929" s="5">
        <v>429</v>
      </c>
      <c r="E929" s="5" t="s">
        <v>45</v>
      </c>
      <c r="F929" s="5">
        <v>2</v>
      </c>
      <c r="G929" s="5">
        <v>4</v>
      </c>
      <c r="H929" s="5" t="s">
        <v>38</v>
      </c>
      <c r="I929" s="5">
        <v>1</v>
      </c>
      <c r="J929" s="5">
        <v>1294</v>
      </c>
      <c r="K929" s="5">
        <v>3</v>
      </c>
      <c r="L929" s="5" t="s">
        <v>39</v>
      </c>
      <c r="M929" s="5">
        <v>53</v>
      </c>
      <c r="N929" s="5">
        <v>3</v>
      </c>
      <c r="O929" s="5">
        <v>2</v>
      </c>
      <c r="P929" s="5" t="s">
        <v>53</v>
      </c>
      <c r="Q929" s="5">
        <v>2</v>
      </c>
      <c r="R929" s="5" t="s">
        <v>41</v>
      </c>
      <c r="S929" s="5">
        <v>5410</v>
      </c>
      <c r="T929" s="5">
        <v>2323</v>
      </c>
      <c r="U929" s="5">
        <v>9</v>
      </c>
      <c r="V929" s="5" t="s">
        <v>42</v>
      </c>
      <c r="W929" s="5" t="s">
        <v>35</v>
      </c>
      <c r="X929" s="5">
        <v>11</v>
      </c>
      <c r="Y929" s="5">
        <v>3</v>
      </c>
      <c r="Z929" s="5">
        <v>4</v>
      </c>
      <c r="AA929" s="5">
        <v>80</v>
      </c>
      <c r="AB929" s="5">
        <v>0</v>
      </c>
      <c r="AC929" s="5">
        <v>18</v>
      </c>
      <c r="AD929" s="5">
        <v>2</v>
      </c>
      <c r="AE929" s="5">
        <v>3</v>
      </c>
      <c r="AF929" s="5">
        <v>16</v>
      </c>
      <c r="AG929" s="5">
        <v>14</v>
      </c>
      <c r="AH929" s="5">
        <v>5</v>
      </c>
      <c r="AI929" s="5">
        <v>12</v>
      </c>
    </row>
    <row r="930" spans="1:35" x14ac:dyDescent="0.25">
      <c r="A930" s="5">
        <v>44</v>
      </c>
      <c r="B930" s="5" t="s">
        <v>35</v>
      </c>
      <c r="C930" s="5" t="s">
        <v>36</v>
      </c>
      <c r="D930" s="5">
        <v>621</v>
      </c>
      <c r="E930" s="5" t="s">
        <v>45</v>
      </c>
      <c r="F930" s="5">
        <v>15</v>
      </c>
      <c r="G930" s="5">
        <v>3</v>
      </c>
      <c r="H930" s="5" t="s">
        <v>51</v>
      </c>
      <c r="I930" s="5">
        <v>1</v>
      </c>
      <c r="J930" s="5">
        <v>1295</v>
      </c>
      <c r="K930" s="5">
        <v>1</v>
      </c>
      <c r="L930" s="5" t="s">
        <v>39</v>
      </c>
      <c r="M930" s="5">
        <v>73</v>
      </c>
      <c r="N930" s="5">
        <v>3</v>
      </c>
      <c r="O930" s="5">
        <v>3</v>
      </c>
      <c r="P930" s="5" t="s">
        <v>54</v>
      </c>
      <c r="Q930" s="5">
        <v>4</v>
      </c>
      <c r="R930" s="5" t="s">
        <v>48</v>
      </c>
      <c r="S930" s="5">
        <v>7978</v>
      </c>
      <c r="T930" s="5">
        <v>14075</v>
      </c>
      <c r="U930" s="5">
        <v>1</v>
      </c>
      <c r="V930" s="5" t="s">
        <v>42</v>
      </c>
      <c r="W930" s="5" t="s">
        <v>43</v>
      </c>
      <c r="X930" s="5">
        <v>11</v>
      </c>
      <c r="Y930" s="5">
        <v>3</v>
      </c>
      <c r="Z930" s="5">
        <v>4</v>
      </c>
      <c r="AA930" s="5">
        <v>80</v>
      </c>
      <c r="AB930" s="5">
        <v>1</v>
      </c>
      <c r="AC930" s="5">
        <v>10</v>
      </c>
      <c r="AD930" s="5">
        <v>2</v>
      </c>
      <c r="AE930" s="5">
        <v>3</v>
      </c>
      <c r="AF930" s="5">
        <v>10</v>
      </c>
      <c r="AG930" s="5">
        <v>7</v>
      </c>
      <c r="AH930" s="5">
        <v>0</v>
      </c>
      <c r="AI930" s="5">
        <v>5</v>
      </c>
    </row>
    <row r="931" spans="1:35" x14ac:dyDescent="0.25">
      <c r="A931" s="5">
        <v>28</v>
      </c>
      <c r="B931" s="5" t="s">
        <v>43</v>
      </c>
      <c r="C931" s="5" t="s">
        <v>44</v>
      </c>
      <c r="D931" s="5">
        <v>193</v>
      </c>
      <c r="E931" s="5" t="s">
        <v>45</v>
      </c>
      <c r="F931" s="5">
        <v>2</v>
      </c>
      <c r="G931" s="5">
        <v>3</v>
      </c>
      <c r="H931" s="5" t="s">
        <v>38</v>
      </c>
      <c r="I931" s="5">
        <v>1</v>
      </c>
      <c r="J931" s="5">
        <v>1296</v>
      </c>
      <c r="K931" s="5">
        <v>4</v>
      </c>
      <c r="L931" s="5" t="s">
        <v>46</v>
      </c>
      <c r="M931" s="5">
        <v>52</v>
      </c>
      <c r="N931" s="5">
        <v>2</v>
      </c>
      <c r="O931" s="5">
        <v>1</v>
      </c>
      <c r="P931" s="5" t="s">
        <v>50</v>
      </c>
      <c r="Q931" s="5">
        <v>4</v>
      </c>
      <c r="R931" s="5" t="s">
        <v>48</v>
      </c>
      <c r="S931" s="5">
        <v>3867</v>
      </c>
      <c r="T931" s="5">
        <v>14222</v>
      </c>
      <c r="U931" s="5">
        <v>1</v>
      </c>
      <c r="V931" s="5" t="s">
        <v>42</v>
      </c>
      <c r="W931" s="5" t="s">
        <v>35</v>
      </c>
      <c r="X931" s="5">
        <v>12</v>
      </c>
      <c r="Y931" s="5">
        <v>3</v>
      </c>
      <c r="Z931" s="5">
        <v>2</v>
      </c>
      <c r="AA931" s="5">
        <v>80</v>
      </c>
      <c r="AB931" s="5">
        <v>1</v>
      </c>
      <c r="AC931" s="5">
        <v>2</v>
      </c>
      <c r="AD931" s="5">
        <v>2</v>
      </c>
      <c r="AE931" s="5">
        <v>3</v>
      </c>
      <c r="AF931" s="5">
        <v>2</v>
      </c>
      <c r="AG931" s="5">
        <v>2</v>
      </c>
      <c r="AH931" s="5">
        <v>2</v>
      </c>
      <c r="AI931" s="5">
        <v>2</v>
      </c>
    </row>
    <row r="932" spans="1:35" x14ac:dyDescent="0.25">
      <c r="A932" s="5">
        <v>51</v>
      </c>
      <c r="B932" s="5" t="s">
        <v>43</v>
      </c>
      <c r="C932" s="5" t="s">
        <v>44</v>
      </c>
      <c r="D932" s="5">
        <v>968</v>
      </c>
      <c r="E932" s="5" t="s">
        <v>45</v>
      </c>
      <c r="F932" s="5">
        <v>6</v>
      </c>
      <c r="G932" s="5">
        <v>2</v>
      </c>
      <c r="H932" s="5" t="s">
        <v>51</v>
      </c>
      <c r="I932" s="5">
        <v>1</v>
      </c>
      <c r="J932" s="5">
        <v>1297</v>
      </c>
      <c r="K932" s="5">
        <v>2</v>
      </c>
      <c r="L932" s="5" t="s">
        <v>39</v>
      </c>
      <c r="M932" s="5">
        <v>40</v>
      </c>
      <c r="N932" s="5">
        <v>2</v>
      </c>
      <c r="O932" s="5">
        <v>1</v>
      </c>
      <c r="P932" s="5" t="s">
        <v>50</v>
      </c>
      <c r="Q932" s="5">
        <v>3</v>
      </c>
      <c r="R932" s="5" t="s">
        <v>41</v>
      </c>
      <c r="S932" s="5">
        <v>2838</v>
      </c>
      <c r="T932" s="5">
        <v>4257</v>
      </c>
      <c r="U932" s="5">
        <v>0</v>
      </c>
      <c r="V932" s="5" t="s">
        <v>42</v>
      </c>
      <c r="W932" s="5" t="s">
        <v>43</v>
      </c>
      <c r="X932" s="5">
        <v>14</v>
      </c>
      <c r="Y932" s="5">
        <v>3</v>
      </c>
      <c r="Z932" s="5">
        <v>2</v>
      </c>
      <c r="AA932" s="5">
        <v>80</v>
      </c>
      <c r="AB932" s="5">
        <v>0</v>
      </c>
      <c r="AC932" s="5">
        <v>8</v>
      </c>
      <c r="AD932" s="5">
        <v>6</v>
      </c>
      <c r="AE932" s="5">
        <v>2</v>
      </c>
      <c r="AF932" s="5">
        <v>7</v>
      </c>
      <c r="AG932" s="5">
        <v>0</v>
      </c>
      <c r="AH932" s="5">
        <v>7</v>
      </c>
      <c r="AI932" s="5">
        <v>7</v>
      </c>
    </row>
    <row r="933" spans="1:35" x14ac:dyDescent="0.25">
      <c r="A933" s="5">
        <v>30</v>
      </c>
      <c r="B933" s="5" t="s">
        <v>43</v>
      </c>
      <c r="C933" s="5" t="s">
        <v>55</v>
      </c>
      <c r="D933" s="5">
        <v>879</v>
      </c>
      <c r="E933" s="5" t="s">
        <v>45</v>
      </c>
      <c r="F933" s="5">
        <v>9</v>
      </c>
      <c r="G933" s="5">
        <v>2</v>
      </c>
      <c r="H933" s="5" t="s">
        <v>51</v>
      </c>
      <c r="I933" s="5">
        <v>1</v>
      </c>
      <c r="J933" s="5">
        <v>1298</v>
      </c>
      <c r="K933" s="5">
        <v>3</v>
      </c>
      <c r="L933" s="5" t="s">
        <v>39</v>
      </c>
      <c r="M933" s="5">
        <v>72</v>
      </c>
      <c r="N933" s="5">
        <v>3</v>
      </c>
      <c r="O933" s="5">
        <v>2</v>
      </c>
      <c r="P933" s="5" t="s">
        <v>53</v>
      </c>
      <c r="Q933" s="5">
        <v>3</v>
      </c>
      <c r="R933" s="5" t="s">
        <v>41</v>
      </c>
      <c r="S933" s="5">
        <v>4695</v>
      </c>
      <c r="T933" s="5">
        <v>12858</v>
      </c>
      <c r="U933" s="5">
        <v>7</v>
      </c>
      <c r="V933" s="5" t="s">
        <v>42</v>
      </c>
      <c r="W933" s="5" t="s">
        <v>35</v>
      </c>
      <c r="X933" s="5">
        <v>18</v>
      </c>
      <c r="Y933" s="5">
        <v>3</v>
      </c>
      <c r="Z933" s="5">
        <v>3</v>
      </c>
      <c r="AA933" s="5">
        <v>80</v>
      </c>
      <c r="AB933" s="5">
        <v>0</v>
      </c>
      <c r="AC933" s="5">
        <v>10</v>
      </c>
      <c r="AD933" s="5">
        <v>3</v>
      </c>
      <c r="AE933" s="5">
        <v>3</v>
      </c>
      <c r="AF933" s="5">
        <v>8</v>
      </c>
      <c r="AG933" s="5">
        <v>4</v>
      </c>
      <c r="AH933" s="5">
        <v>1</v>
      </c>
      <c r="AI933" s="5">
        <v>7</v>
      </c>
    </row>
    <row r="934" spans="1:35" x14ac:dyDescent="0.25">
      <c r="A934" s="5">
        <v>29</v>
      </c>
      <c r="B934" s="5" t="s">
        <v>35</v>
      </c>
      <c r="C934" s="5" t="s">
        <v>36</v>
      </c>
      <c r="D934" s="5">
        <v>806</v>
      </c>
      <c r="E934" s="5" t="s">
        <v>45</v>
      </c>
      <c r="F934" s="5">
        <v>7</v>
      </c>
      <c r="G934" s="5">
        <v>3</v>
      </c>
      <c r="H934" s="5" t="s">
        <v>60</v>
      </c>
      <c r="I934" s="5">
        <v>1</v>
      </c>
      <c r="J934" s="5">
        <v>1299</v>
      </c>
      <c r="K934" s="5">
        <v>2</v>
      </c>
      <c r="L934" s="5" t="s">
        <v>39</v>
      </c>
      <c r="M934" s="5">
        <v>39</v>
      </c>
      <c r="N934" s="5">
        <v>3</v>
      </c>
      <c r="O934" s="5">
        <v>1</v>
      </c>
      <c r="P934" s="5" t="s">
        <v>50</v>
      </c>
      <c r="Q934" s="5">
        <v>3</v>
      </c>
      <c r="R934" s="5" t="s">
        <v>52</v>
      </c>
      <c r="S934" s="5">
        <v>3339</v>
      </c>
      <c r="T934" s="5">
        <v>17285</v>
      </c>
      <c r="U934" s="5">
        <v>3</v>
      </c>
      <c r="V934" s="5" t="s">
        <v>42</v>
      </c>
      <c r="W934" s="5" t="s">
        <v>35</v>
      </c>
      <c r="X934" s="5">
        <v>13</v>
      </c>
      <c r="Y934" s="5">
        <v>3</v>
      </c>
      <c r="Z934" s="5">
        <v>1</v>
      </c>
      <c r="AA934" s="5">
        <v>80</v>
      </c>
      <c r="AB934" s="5">
        <v>2</v>
      </c>
      <c r="AC934" s="5">
        <v>10</v>
      </c>
      <c r="AD934" s="5">
        <v>2</v>
      </c>
      <c r="AE934" s="5">
        <v>3</v>
      </c>
      <c r="AF934" s="5">
        <v>7</v>
      </c>
      <c r="AG934" s="5">
        <v>7</v>
      </c>
      <c r="AH934" s="5">
        <v>7</v>
      </c>
      <c r="AI934" s="5">
        <v>7</v>
      </c>
    </row>
    <row r="935" spans="1:35" x14ac:dyDescent="0.25">
      <c r="A935" s="5">
        <v>28</v>
      </c>
      <c r="B935" s="5" t="s">
        <v>43</v>
      </c>
      <c r="C935" s="5" t="s">
        <v>36</v>
      </c>
      <c r="D935" s="5">
        <v>640</v>
      </c>
      <c r="E935" s="5" t="s">
        <v>45</v>
      </c>
      <c r="F935" s="5">
        <v>1</v>
      </c>
      <c r="G935" s="5">
        <v>3</v>
      </c>
      <c r="H935" s="5" t="s">
        <v>60</v>
      </c>
      <c r="I935" s="5">
        <v>1</v>
      </c>
      <c r="J935" s="5">
        <v>1301</v>
      </c>
      <c r="K935" s="5">
        <v>4</v>
      </c>
      <c r="L935" s="5" t="s">
        <v>46</v>
      </c>
      <c r="M935" s="5">
        <v>84</v>
      </c>
      <c r="N935" s="5">
        <v>3</v>
      </c>
      <c r="O935" s="5">
        <v>1</v>
      </c>
      <c r="P935" s="5" t="s">
        <v>47</v>
      </c>
      <c r="Q935" s="5">
        <v>1</v>
      </c>
      <c r="R935" s="5" t="s">
        <v>41</v>
      </c>
      <c r="S935" s="5">
        <v>2080</v>
      </c>
      <c r="T935" s="5">
        <v>4732</v>
      </c>
      <c r="U935" s="5">
        <v>2</v>
      </c>
      <c r="V935" s="5" t="s">
        <v>42</v>
      </c>
      <c r="W935" s="5" t="s">
        <v>43</v>
      </c>
      <c r="X935" s="5">
        <v>11</v>
      </c>
      <c r="Y935" s="5">
        <v>3</v>
      </c>
      <c r="Z935" s="5">
        <v>2</v>
      </c>
      <c r="AA935" s="5">
        <v>80</v>
      </c>
      <c r="AB935" s="5">
        <v>0</v>
      </c>
      <c r="AC935" s="5">
        <v>5</v>
      </c>
      <c r="AD935" s="5">
        <v>2</v>
      </c>
      <c r="AE935" s="5">
        <v>2</v>
      </c>
      <c r="AF935" s="5">
        <v>3</v>
      </c>
      <c r="AG935" s="5">
        <v>2</v>
      </c>
      <c r="AH935" s="5">
        <v>1</v>
      </c>
      <c r="AI935" s="5">
        <v>2</v>
      </c>
    </row>
    <row r="936" spans="1:35" x14ac:dyDescent="0.25">
      <c r="A936" s="5">
        <v>25</v>
      </c>
      <c r="B936" s="5" t="s">
        <v>43</v>
      </c>
      <c r="C936" s="5" t="s">
        <v>36</v>
      </c>
      <c r="D936" s="5">
        <v>266</v>
      </c>
      <c r="E936" s="5" t="s">
        <v>45</v>
      </c>
      <c r="F936" s="5">
        <v>1</v>
      </c>
      <c r="G936" s="5">
        <v>3</v>
      </c>
      <c r="H936" s="5" t="s">
        <v>51</v>
      </c>
      <c r="I936" s="5">
        <v>1</v>
      </c>
      <c r="J936" s="5">
        <v>1303</v>
      </c>
      <c r="K936" s="5">
        <v>4</v>
      </c>
      <c r="L936" s="5" t="s">
        <v>39</v>
      </c>
      <c r="M936" s="5">
        <v>40</v>
      </c>
      <c r="N936" s="5">
        <v>3</v>
      </c>
      <c r="O936" s="5">
        <v>1</v>
      </c>
      <c r="P936" s="5" t="s">
        <v>47</v>
      </c>
      <c r="Q936" s="5">
        <v>2</v>
      </c>
      <c r="R936" s="5" t="s">
        <v>41</v>
      </c>
      <c r="S936" s="5">
        <v>2096</v>
      </c>
      <c r="T936" s="5">
        <v>18830</v>
      </c>
      <c r="U936" s="5">
        <v>1</v>
      </c>
      <c r="V936" s="5" t="s">
        <v>42</v>
      </c>
      <c r="W936" s="5" t="s">
        <v>43</v>
      </c>
      <c r="X936" s="5">
        <v>18</v>
      </c>
      <c r="Y936" s="5">
        <v>3</v>
      </c>
      <c r="Z936" s="5">
        <v>4</v>
      </c>
      <c r="AA936" s="5">
        <v>80</v>
      </c>
      <c r="AB936" s="5">
        <v>0</v>
      </c>
      <c r="AC936" s="5">
        <v>2</v>
      </c>
      <c r="AD936" s="5">
        <v>3</v>
      </c>
      <c r="AE936" s="5">
        <v>2</v>
      </c>
      <c r="AF936" s="5">
        <v>2</v>
      </c>
      <c r="AG936" s="5">
        <v>2</v>
      </c>
      <c r="AH936" s="5">
        <v>2</v>
      </c>
      <c r="AI936" s="5">
        <v>1</v>
      </c>
    </row>
    <row r="937" spans="1:35" x14ac:dyDescent="0.25">
      <c r="A937" s="5">
        <v>32</v>
      </c>
      <c r="B937" s="5" t="s">
        <v>43</v>
      </c>
      <c r="C937" s="5" t="s">
        <v>36</v>
      </c>
      <c r="D937" s="5">
        <v>604</v>
      </c>
      <c r="E937" s="5" t="s">
        <v>37</v>
      </c>
      <c r="F937" s="5">
        <v>8</v>
      </c>
      <c r="G937" s="5">
        <v>3</v>
      </c>
      <c r="H937" s="5" t="s">
        <v>51</v>
      </c>
      <c r="I937" s="5">
        <v>1</v>
      </c>
      <c r="J937" s="5">
        <v>1304</v>
      </c>
      <c r="K937" s="5">
        <v>3</v>
      </c>
      <c r="L937" s="5" t="s">
        <v>46</v>
      </c>
      <c r="M937" s="5">
        <v>56</v>
      </c>
      <c r="N937" s="5">
        <v>4</v>
      </c>
      <c r="O937" s="5">
        <v>2</v>
      </c>
      <c r="P937" s="5" t="s">
        <v>40</v>
      </c>
      <c r="Q937" s="5">
        <v>4</v>
      </c>
      <c r="R937" s="5" t="s">
        <v>48</v>
      </c>
      <c r="S937" s="5">
        <v>6209</v>
      </c>
      <c r="T937" s="5">
        <v>11693</v>
      </c>
      <c r="U937" s="5">
        <v>1</v>
      </c>
      <c r="V937" s="5" t="s">
        <v>42</v>
      </c>
      <c r="W937" s="5" t="s">
        <v>43</v>
      </c>
      <c r="X937" s="5">
        <v>15</v>
      </c>
      <c r="Y937" s="5">
        <v>3</v>
      </c>
      <c r="Z937" s="5">
        <v>3</v>
      </c>
      <c r="AA937" s="5">
        <v>80</v>
      </c>
      <c r="AB937" s="5">
        <v>2</v>
      </c>
      <c r="AC937" s="5">
        <v>10</v>
      </c>
      <c r="AD937" s="5">
        <v>4</v>
      </c>
      <c r="AE937" s="5">
        <v>4</v>
      </c>
      <c r="AF937" s="5">
        <v>10</v>
      </c>
      <c r="AG937" s="5">
        <v>7</v>
      </c>
      <c r="AH937" s="5">
        <v>0</v>
      </c>
      <c r="AI937" s="5">
        <v>8</v>
      </c>
    </row>
    <row r="938" spans="1:35" x14ac:dyDescent="0.25">
      <c r="A938" s="5">
        <v>45</v>
      </c>
      <c r="B938" s="5" t="s">
        <v>43</v>
      </c>
      <c r="C938" s="5" t="s">
        <v>44</v>
      </c>
      <c r="D938" s="5">
        <v>364</v>
      </c>
      <c r="E938" s="5" t="s">
        <v>45</v>
      </c>
      <c r="F938" s="5">
        <v>25</v>
      </c>
      <c r="G938" s="5">
        <v>3</v>
      </c>
      <c r="H938" s="5" t="s">
        <v>51</v>
      </c>
      <c r="I938" s="5">
        <v>1</v>
      </c>
      <c r="J938" s="5">
        <v>1306</v>
      </c>
      <c r="K938" s="5">
        <v>2</v>
      </c>
      <c r="L938" s="5" t="s">
        <v>39</v>
      </c>
      <c r="M938" s="5">
        <v>83</v>
      </c>
      <c r="N938" s="5">
        <v>3</v>
      </c>
      <c r="O938" s="5">
        <v>5</v>
      </c>
      <c r="P938" s="5" t="s">
        <v>56</v>
      </c>
      <c r="Q938" s="5">
        <v>2</v>
      </c>
      <c r="R938" s="5" t="s">
        <v>41</v>
      </c>
      <c r="S938" s="5">
        <v>18061</v>
      </c>
      <c r="T938" s="5">
        <v>13035</v>
      </c>
      <c r="U938" s="5">
        <v>3</v>
      </c>
      <c r="V938" s="5" t="s">
        <v>42</v>
      </c>
      <c r="W938" s="5" t="s">
        <v>43</v>
      </c>
      <c r="X938" s="5">
        <v>22</v>
      </c>
      <c r="Y938" s="5">
        <v>4</v>
      </c>
      <c r="Z938" s="5">
        <v>3</v>
      </c>
      <c r="AA938" s="5">
        <v>80</v>
      </c>
      <c r="AB938" s="5">
        <v>0</v>
      </c>
      <c r="AC938" s="5">
        <v>22</v>
      </c>
      <c r="AD938" s="5">
        <v>4</v>
      </c>
      <c r="AE938" s="5">
        <v>3</v>
      </c>
      <c r="AF938" s="5">
        <v>0</v>
      </c>
      <c r="AG938" s="5">
        <v>0</v>
      </c>
      <c r="AH938" s="5">
        <v>0</v>
      </c>
      <c r="AI938" s="5">
        <v>0</v>
      </c>
    </row>
    <row r="939" spans="1:35" x14ac:dyDescent="0.25">
      <c r="A939" s="5">
        <v>39</v>
      </c>
      <c r="B939" s="5" t="s">
        <v>43</v>
      </c>
      <c r="C939" s="5" t="s">
        <v>36</v>
      </c>
      <c r="D939" s="5">
        <v>412</v>
      </c>
      <c r="E939" s="5" t="s">
        <v>45</v>
      </c>
      <c r="F939" s="5">
        <v>13</v>
      </c>
      <c r="G939" s="5">
        <v>4</v>
      </c>
      <c r="H939" s="5" t="s">
        <v>51</v>
      </c>
      <c r="I939" s="5">
        <v>1</v>
      </c>
      <c r="J939" s="5">
        <v>1307</v>
      </c>
      <c r="K939" s="5">
        <v>3</v>
      </c>
      <c r="L939" s="5" t="s">
        <v>39</v>
      </c>
      <c r="M939" s="5">
        <v>94</v>
      </c>
      <c r="N939" s="5">
        <v>2</v>
      </c>
      <c r="O939" s="5">
        <v>4</v>
      </c>
      <c r="P939" s="5" t="s">
        <v>56</v>
      </c>
      <c r="Q939" s="5">
        <v>2</v>
      </c>
      <c r="R939" s="5" t="s">
        <v>52</v>
      </c>
      <c r="S939" s="5">
        <v>17123</v>
      </c>
      <c r="T939" s="5">
        <v>17334</v>
      </c>
      <c r="U939" s="5">
        <v>6</v>
      </c>
      <c r="V939" s="5" t="s">
        <v>42</v>
      </c>
      <c r="W939" s="5" t="s">
        <v>35</v>
      </c>
      <c r="X939" s="5">
        <v>13</v>
      </c>
      <c r="Y939" s="5">
        <v>3</v>
      </c>
      <c r="Z939" s="5">
        <v>4</v>
      </c>
      <c r="AA939" s="5">
        <v>80</v>
      </c>
      <c r="AB939" s="5">
        <v>2</v>
      </c>
      <c r="AC939" s="5">
        <v>21</v>
      </c>
      <c r="AD939" s="5">
        <v>4</v>
      </c>
      <c r="AE939" s="5">
        <v>3</v>
      </c>
      <c r="AF939" s="5">
        <v>19</v>
      </c>
      <c r="AG939" s="5">
        <v>9</v>
      </c>
      <c r="AH939" s="5">
        <v>15</v>
      </c>
      <c r="AI939" s="5">
        <v>2</v>
      </c>
    </row>
    <row r="940" spans="1:35" x14ac:dyDescent="0.25">
      <c r="A940" s="5">
        <v>58</v>
      </c>
      <c r="B940" s="5" t="s">
        <v>43</v>
      </c>
      <c r="C940" s="5" t="s">
        <v>36</v>
      </c>
      <c r="D940" s="5">
        <v>848</v>
      </c>
      <c r="E940" s="5" t="s">
        <v>45</v>
      </c>
      <c r="F940" s="5">
        <v>23</v>
      </c>
      <c r="G940" s="5">
        <v>4</v>
      </c>
      <c r="H940" s="5" t="s">
        <v>38</v>
      </c>
      <c r="I940" s="5">
        <v>1</v>
      </c>
      <c r="J940" s="5">
        <v>1308</v>
      </c>
      <c r="K940" s="5">
        <v>1</v>
      </c>
      <c r="L940" s="5" t="s">
        <v>46</v>
      </c>
      <c r="M940" s="5">
        <v>88</v>
      </c>
      <c r="N940" s="5">
        <v>3</v>
      </c>
      <c r="O940" s="5">
        <v>1</v>
      </c>
      <c r="P940" s="5" t="s">
        <v>47</v>
      </c>
      <c r="Q940" s="5">
        <v>3</v>
      </c>
      <c r="R940" s="5" t="s">
        <v>52</v>
      </c>
      <c r="S940" s="5">
        <v>2372</v>
      </c>
      <c r="T940" s="5">
        <v>26076</v>
      </c>
      <c r="U940" s="5">
        <v>1</v>
      </c>
      <c r="V940" s="5" t="s">
        <v>42</v>
      </c>
      <c r="W940" s="5" t="s">
        <v>43</v>
      </c>
      <c r="X940" s="5">
        <v>12</v>
      </c>
      <c r="Y940" s="5">
        <v>3</v>
      </c>
      <c r="Z940" s="5">
        <v>4</v>
      </c>
      <c r="AA940" s="5">
        <v>80</v>
      </c>
      <c r="AB940" s="5">
        <v>2</v>
      </c>
      <c r="AC940" s="5">
        <v>2</v>
      </c>
      <c r="AD940" s="5">
        <v>3</v>
      </c>
      <c r="AE940" s="5">
        <v>3</v>
      </c>
      <c r="AF940" s="5">
        <v>2</v>
      </c>
      <c r="AG940" s="5">
        <v>2</v>
      </c>
      <c r="AH940" s="5">
        <v>2</v>
      </c>
      <c r="AI940" s="5">
        <v>2</v>
      </c>
    </row>
    <row r="941" spans="1:35" x14ac:dyDescent="0.25">
      <c r="A941" s="5">
        <v>32</v>
      </c>
      <c r="B941" s="5" t="s">
        <v>35</v>
      </c>
      <c r="C941" s="5" t="s">
        <v>36</v>
      </c>
      <c r="D941" s="5">
        <v>1089</v>
      </c>
      <c r="E941" s="5" t="s">
        <v>45</v>
      </c>
      <c r="F941" s="5">
        <v>7</v>
      </c>
      <c r="G941" s="5">
        <v>2</v>
      </c>
      <c r="H941" s="5" t="s">
        <v>38</v>
      </c>
      <c r="I941" s="5">
        <v>1</v>
      </c>
      <c r="J941" s="5">
        <v>1309</v>
      </c>
      <c r="K941" s="5">
        <v>4</v>
      </c>
      <c r="L941" s="5" t="s">
        <v>46</v>
      </c>
      <c r="M941" s="5">
        <v>79</v>
      </c>
      <c r="N941" s="5">
        <v>3</v>
      </c>
      <c r="O941" s="5">
        <v>2</v>
      </c>
      <c r="P941" s="5" t="s">
        <v>50</v>
      </c>
      <c r="Q941" s="5">
        <v>3</v>
      </c>
      <c r="R941" s="5" t="s">
        <v>48</v>
      </c>
      <c r="S941" s="5">
        <v>4883</v>
      </c>
      <c r="T941" s="5">
        <v>22845</v>
      </c>
      <c r="U941" s="5">
        <v>1</v>
      </c>
      <c r="V941" s="5" t="s">
        <v>42</v>
      </c>
      <c r="W941" s="5" t="s">
        <v>43</v>
      </c>
      <c r="X941" s="5">
        <v>18</v>
      </c>
      <c r="Y941" s="5">
        <v>3</v>
      </c>
      <c r="Z941" s="5">
        <v>1</v>
      </c>
      <c r="AA941" s="5">
        <v>80</v>
      </c>
      <c r="AB941" s="5">
        <v>1</v>
      </c>
      <c r="AC941" s="5">
        <v>10</v>
      </c>
      <c r="AD941" s="5">
        <v>3</v>
      </c>
      <c r="AE941" s="5">
        <v>3</v>
      </c>
      <c r="AF941" s="5">
        <v>10</v>
      </c>
      <c r="AG941" s="5">
        <v>4</v>
      </c>
      <c r="AH941" s="5">
        <v>1</v>
      </c>
      <c r="AI941" s="5">
        <v>1</v>
      </c>
    </row>
    <row r="942" spans="1:35" x14ac:dyDescent="0.25">
      <c r="A942" s="5">
        <v>39</v>
      </c>
      <c r="B942" s="5" t="s">
        <v>35</v>
      </c>
      <c r="C942" s="5" t="s">
        <v>36</v>
      </c>
      <c r="D942" s="5">
        <v>360</v>
      </c>
      <c r="E942" s="5" t="s">
        <v>45</v>
      </c>
      <c r="F942" s="5">
        <v>23</v>
      </c>
      <c r="G942" s="5">
        <v>3</v>
      </c>
      <c r="H942" s="5" t="s">
        <v>51</v>
      </c>
      <c r="I942" s="5">
        <v>1</v>
      </c>
      <c r="J942" s="5">
        <v>1310</v>
      </c>
      <c r="K942" s="5">
        <v>3</v>
      </c>
      <c r="L942" s="5" t="s">
        <v>46</v>
      </c>
      <c r="M942" s="5">
        <v>93</v>
      </c>
      <c r="N942" s="5">
        <v>3</v>
      </c>
      <c r="O942" s="5">
        <v>1</v>
      </c>
      <c r="P942" s="5" t="s">
        <v>47</v>
      </c>
      <c r="Q942" s="5">
        <v>1</v>
      </c>
      <c r="R942" s="5" t="s">
        <v>41</v>
      </c>
      <c r="S942" s="5">
        <v>3904</v>
      </c>
      <c r="T942" s="5">
        <v>22154</v>
      </c>
      <c r="U942" s="5">
        <v>0</v>
      </c>
      <c r="V942" s="5" t="s">
        <v>42</v>
      </c>
      <c r="W942" s="5" t="s">
        <v>43</v>
      </c>
      <c r="X942" s="5">
        <v>13</v>
      </c>
      <c r="Y942" s="5">
        <v>3</v>
      </c>
      <c r="Z942" s="5">
        <v>1</v>
      </c>
      <c r="AA942" s="5">
        <v>80</v>
      </c>
      <c r="AB942" s="5">
        <v>0</v>
      </c>
      <c r="AC942" s="5">
        <v>6</v>
      </c>
      <c r="AD942" s="5">
        <v>2</v>
      </c>
      <c r="AE942" s="5">
        <v>3</v>
      </c>
      <c r="AF942" s="5">
        <v>5</v>
      </c>
      <c r="AG942" s="5">
        <v>2</v>
      </c>
      <c r="AH942" s="5">
        <v>0</v>
      </c>
      <c r="AI942" s="5">
        <v>3</v>
      </c>
    </row>
    <row r="943" spans="1:35" x14ac:dyDescent="0.25">
      <c r="A943" s="5">
        <v>30</v>
      </c>
      <c r="B943" s="5" t="s">
        <v>43</v>
      </c>
      <c r="C943" s="5" t="s">
        <v>36</v>
      </c>
      <c r="D943" s="5">
        <v>1138</v>
      </c>
      <c r="E943" s="5" t="s">
        <v>45</v>
      </c>
      <c r="F943" s="5">
        <v>6</v>
      </c>
      <c r="G943" s="5">
        <v>3</v>
      </c>
      <c r="H943" s="5" t="s">
        <v>60</v>
      </c>
      <c r="I943" s="5">
        <v>1</v>
      </c>
      <c r="J943" s="5">
        <v>1311</v>
      </c>
      <c r="K943" s="5">
        <v>1</v>
      </c>
      <c r="L943" s="5" t="s">
        <v>39</v>
      </c>
      <c r="M943" s="5">
        <v>48</v>
      </c>
      <c r="N943" s="5">
        <v>2</v>
      </c>
      <c r="O943" s="5">
        <v>2</v>
      </c>
      <c r="P943" s="5" t="s">
        <v>50</v>
      </c>
      <c r="Q943" s="5">
        <v>4</v>
      </c>
      <c r="R943" s="5" t="s">
        <v>48</v>
      </c>
      <c r="S943" s="5">
        <v>4627</v>
      </c>
      <c r="T943" s="5">
        <v>23631</v>
      </c>
      <c r="U943" s="5">
        <v>0</v>
      </c>
      <c r="V943" s="5" t="s">
        <v>42</v>
      </c>
      <c r="W943" s="5" t="s">
        <v>43</v>
      </c>
      <c r="X943" s="5">
        <v>12</v>
      </c>
      <c r="Y943" s="5">
        <v>3</v>
      </c>
      <c r="Z943" s="5">
        <v>1</v>
      </c>
      <c r="AA943" s="5">
        <v>80</v>
      </c>
      <c r="AB943" s="5">
        <v>1</v>
      </c>
      <c r="AC943" s="5">
        <v>10</v>
      </c>
      <c r="AD943" s="5">
        <v>6</v>
      </c>
      <c r="AE943" s="5">
        <v>3</v>
      </c>
      <c r="AF943" s="5">
        <v>9</v>
      </c>
      <c r="AG943" s="5">
        <v>2</v>
      </c>
      <c r="AH943" s="5">
        <v>6</v>
      </c>
      <c r="AI943" s="5">
        <v>7</v>
      </c>
    </row>
    <row r="944" spans="1:35" x14ac:dyDescent="0.25">
      <c r="A944" s="5">
        <v>36</v>
      </c>
      <c r="B944" s="5" t="s">
        <v>43</v>
      </c>
      <c r="C944" s="5" t="s">
        <v>36</v>
      </c>
      <c r="D944" s="5">
        <v>325</v>
      </c>
      <c r="E944" s="5" t="s">
        <v>45</v>
      </c>
      <c r="F944" s="5">
        <v>10</v>
      </c>
      <c r="G944" s="5">
        <v>4</v>
      </c>
      <c r="H944" s="5" t="s">
        <v>60</v>
      </c>
      <c r="I944" s="5">
        <v>1</v>
      </c>
      <c r="J944" s="5">
        <v>1312</v>
      </c>
      <c r="K944" s="5">
        <v>4</v>
      </c>
      <c r="L944" s="5" t="s">
        <v>39</v>
      </c>
      <c r="M944" s="5">
        <v>63</v>
      </c>
      <c r="N944" s="5">
        <v>3</v>
      </c>
      <c r="O944" s="5">
        <v>3</v>
      </c>
      <c r="P944" s="5" t="s">
        <v>54</v>
      </c>
      <c r="Q944" s="5">
        <v>3</v>
      </c>
      <c r="R944" s="5" t="s">
        <v>48</v>
      </c>
      <c r="S944" s="5">
        <v>7094</v>
      </c>
      <c r="T944" s="5">
        <v>5747</v>
      </c>
      <c r="U944" s="5">
        <v>3</v>
      </c>
      <c r="V944" s="5" t="s">
        <v>42</v>
      </c>
      <c r="W944" s="5" t="s">
        <v>43</v>
      </c>
      <c r="X944" s="5">
        <v>12</v>
      </c>
      <c r="Y944" s="5">
        <v>3</v>
      </c>
      <c r="Z944" s="5">
        <v>1</v>
      </c>
      <c r="AA944" s="5">
        <v>80</v>
      </c>
      <c r="AB944" s="5">
        <v>0</v>
      </c>
      <c r="AC944" s="5">
        <v>10</v>
      </c>
      <c r="AD944" s="5">
        <v>0</v>
      </c>
      <c r="AE944" s="5">
        <v>3</v>
      </c>
      <c r="AF944" s="5">
        <v>7</v>
      </c>
      <c r="AG944" s="5">
        <v>7</v>
      </c>
      <c r="AH944" s="5">
        <v>1</v>
      </c>
      <c r="AI944" s="5">
        <v>7</v>
      </c>
    </row>
    <row r="945" spans="1:35" x14ac:dyDescent="0.25">
      <c r="A945" s="5">
        <v>46</v>
      </c>
      <c r="B945" s="5" t="s">
        <v>43</v>
      </c>
      <c r="C945" s="5" t="s">
        <v>36</v>
      </c>
      <c r="D945" s="5">
        <v>991</v>
      </c>
      <c r="E945" s="5" t="s">
        <v>61</v>
      </c>
      <c r="F945" s="5">
        <v>1</v>
      </c>
      <c r="G945" s="5">
        <v>2</v>
      </c>
      <c r="H945" s="5" t="s">
        <v>38</v>
      </c>
      <c r="I945" s="5">
        <v>1</v>
      </c>
      <c r="J945" s="5">
        <v>1314</v>
      </c>
      <c r="K945" s="5">
        <v>4</v>
      </c>
      <c r="L945" s="5" t="s">
        <v>39</v>
      </c>
      <c r="M945" s="5">
        <v>44</v>
      </c>
      <c r="N945" s="5">
        <v>3</v>
      </c>
      <c r="O945" s="5">
        <v>1</v>
      </c>
      <c r="P945" s="5" t="s">
        <v>61</v>
      </c>
      <c r="Q945" s="5">
        <v>1</v>
      </c>
      <c r="R945" s="5" t="s">
        <v>41</v>
      </c>
      <c r="S945" s="5">
        <v>3423</v>
      </c>
      <c r="T945" s="5">
        <v>22957</v>
      </c>
      <c r="U945" s="5">
        <v>6</v>
      </c>
      <c r="V945" s="5" t="s">
        <v>42</v>
      </c>
      <c r="W945" s="5" t="s">
        <v>43</v>
      </c>
      <c r="X945" s="5">
        <v>12</v>
      </c>
      <c r="Y945" s="5">
        <v>3</v>
      </c>
      <c r="Z945" s="5">
        <v>3</v>
      </c>
      <c r="AA945" s="5">
        <v>80</v>
      </c>
      <c r="AB945" s="5">
        <v>0</v>
      </c>
      <c r="AC945" s="5">
        <v>10</v>
      </c>
      <c r="AD945" s="5">
        <v>3</v>
      </c>
      <c r="AE945" s="5">
        <v>4</v>
      </c>
      <c r="AF945" s="5">
        <v>7</v>
      </c>
      <c r="AG945" s="5">
        <v>6</v>
      </c>
      <c r="AH945" s="5">
        <v>5</v>
      </c>
      <c r="AI945" s="5">
        <v>7</v>
      </c>
    </row>
    <row r="946" spans="1:35" x14ac:dyDescent="0.25">
      <c r="A946" s="5">
        <v>28</v>
      </c>
      <c r="B946" s="5" t="s">
        <v>43</v>
      </c>
      <c r="C946" s="5" t="s">
        <v>55</v>
      </c>
      <c r="D946" s="5">
        <v>1476</v>
      </c>
      <c r="E946" s="5" t="s">
        <v>45</v>
      </c>
      <c r="F946" s="5">
        <v>1</v>
      </c>
      <c r="G946" s="5">
        <v>3</v>
      </c>
      <c r="H946" s="5" t="s">
        <v>38</v>
      </c>
      <c r="I946" s="5">
        <v>1</v>
      </c>
      <c r="J946" s="5">
        <v>1315</v>
      </c>
      <c r="K946" s="5">
        <v>3</v>
      </c>
      <c r="L946" s="5" t="s">
        <v>39</v>
      </c>
      <c r="M946" s="5">
        <v>55</v>
      </c>
      <c r="N946" s="5">
        <v>1</v>
      </c>
      <c r="O946" s="5">
        <v>2</v>
      </c>
      <c r="P946" s="5" t="s">
        <v>50</v>
      </c>
      <c r="Q946" s="5">
        <v>4</v>
      </c>
      <c r="R946" s="5" t="s">
        <v>48</v>
      </c>
      <c r="S946" s="5">
        <v>6674</v>
      </c>
      <c r="T946" s="5">
        <v>16392</v>
      </c>
      <c r="U946" s="5">
        <v>0</v>
      </c>
      <c r="V946" s="5" t="s">
        <v>42</v>
      </c>
      <c r="W946" s="5" t="s">
        <v>43</v>
      </c>
      <c r="X946" s="5">
        <v>11</v>
      </c>
      <c r="Y946" s="5">
        <v>3</v>
      </c>
      <c r="Z946" s="5">
        <v>1</v>
      </c>
      <c r="AA946" s="5">
        <v>80</v>
      </c>
      <c r="AB946" s="5">
        <v>3</v>
      </c>
      <c r="AC946" s="5">
        <v>10</v>
      </c>
      <c r="AD946" s="5">
        <v>6</v>
      </c>
      <c r="AE946" s="5">
        <v>3</v>
      </c>
      <c r="AF946" s="5">
        <v>9</v>
      </c>
      <c r="AG946" s="5">
        <v>8</v>
      </c>
      <c r="AH946" s="5">
        <v>7</v>
      </c>
      <c r="AI946" s="5">
        <v>5</v>
      </c>
    </row>
    <row r="947" spans="1:35" x14ac:dyDescent="0.25">
      <c r="A947" s="5">
        <v>50</v>
      </c>
      <c r="B947" s="5" t="s">
        <v>43</v>
      </c>
      <c r="C947" s="5" t="s">
        <v>36</v>
      </c>
      <c r="D947" s="5">
        <v>1322</v>
      </c>
      <c r="E947" s="5" t="s">
        <v>45</v>
      </c>
      <c r="F947" s="5">
        <v>28</v>
      </c>
      <c r="G947" s="5">
        <v>3</v>
      </c>
      <c r="H947" s="5" t="s">
        <v>38</v>
      </c>
      <c r="I947" s="5">
        <v>1</v>
      </c>
      <c r="J947" s="5">
        <v>1317</v>
      </c>
      <c r="K947" s="5">
        <v>4</v>
      </c>
      <c r="L947" s="5" t="s">
        <v>39</v>
      </c>
      <c r="M947" s="5">
        <v>43</v>
      </c>
      <c r="N947" s="5">
        <v>3</v>
      </c>
      <c r="O947" s="5">
        <v>4</v>
      </c>
      <c r="P947" s="5" t="s">
        <v>58</v>
      </c>
      <c r="Q947" s="5">
        <v>1</v>
      </c>
      <c r="R947" s="5" t="s">
        <v>48</v>
      </c>
      <c r="S947" s="5">
        <v>16880</v>
      </c>
      <c r="T947" s="5">
        <v>22422</v>
      </c>
      <c r="U947" s="5">
        <v>4</v>
      </c>
      <c r="V947" s="5" t="s">
        <v>42</v>
      </c>
      <c r="W947" s="5" t="s">
        <v>35</v>
      </c>
      <c r="X947" s="5">
        <v>11</v>
      </c>
      <c r="Y947" s="5">
        <v>3</v>
      </c>
      <c r="Z947" s="5">
        <v>2</v>
      </c>
      <c r="AA947" s="5">
        <v>80</v>
      </c>
      <c r="AB947" s="5">
        <v>0</v>
      </c>
      <c r="AC947" s="5">
        <v>25</v>
      </c>
      <c r="AD947" s="5">
        <v>2</v>
      </c>
      <c r="AE947" s="5">
        <v>3</v>
      </c>
      <c r="AF947" s="5">
        <v>3</v>
      </c>
      <c r="AG947" s="5">
        <v>2</v>
      </c>
      <c r="AH947" s="5">
        <v>1</v>
      </c>
      <c r="AI947" s="5">
        <v>2</v>
      </c>
    </row>
    <row r="948" spans="1:35" x14ac:dyDescent="0.25">
      <c r="A948" s="5">
        <v>40</v>
      </c>
      <c r="B948" s="5" t="s">
        <v>35</v>
      </c>
      <c r="C948" s="5" t="s">
        <v>36</v>
      </c>
      <c r="D948" s="5">
        <v>299</v>
      </c>
      <c r="E948" s="5" t="s">
        <v>37</v>
      </c>
      <c r="F948" s="5">
        <v>25</v>
      </c>
      <c r="G948" s="5">
        <v>4</v>
      </c>
      <c r="H948" s="5" t="s">
        <v>59</v>
      </c>
      <c r="I948" s="5">
        <v>1</v>
      </c>
      <c r="J948" s="5">
        <v>1318</v>
      </c>
      <c r="K948" s="5">
        <v>4</v>
      </c>
      <c r="L948" s="5" t="s">
        <v>46</v>
      </c>
      <c r="M948" s="5">
        <v>57</v>
      </c>
      <c r="N948" s="5">
        <v>2</v>
      </c>
      <c r="O948" s="5">
        <v>3</v>
      </c>
      <c r="P948" s="5" t="s">
        <v>40</v>
      </c>
      <c r="Q948" s="5">
        <v>2</v>
      </c>
      <c r="R948" s="5" t="s">
        <v>41</v>
      </c>
      <c r="S948" s="5">
        <v>9094</v>
      </c>
      <c r="T948" s="5">
        <v>17235</v>
      </c>
      <c r="U948" s="5">
        <v>2</v>
      </c>
      <c r="V948" s="5" t="s">
        <v>42</v>
      </c>
      <c r="W948" s="5" t="s">
        <v>35</v>
      </c>
      <c r="X948" s="5">
        <v>12</v>
      </c>
      <c r="Y948" s="5">
        <v>3</v>
      </c>
      <c r="Z948" s="5">
        <v>3</v>
      </c>
      <c r="AA948" s="5">
        <v>80</v>
      </c>
      <c r="AB948" s="5">
        <v>0</v>
      </c>
      <c r="AC948" s="5">
        <v>9</v>
      </c>
      <c r="AD948" s="5">
        <v>2</v>
      </c>
      <c r="AE948" s="5">
        <v>3</v>
      </c>
      <c r="AF948" s="5">
        <v>5</v>
      </c>
      <c r="AG948" s="5">
        <v>4</v>
      </c>
      <c r="AH948" s="5">
        <v>1</v>
      </c>
      <c r="AI948" s="5">
        <v>0</v>
      </c>
    </row>
    <row r="949" spans="1:35" x14ac:dyDescent="0.25">
      <c r="A949" s="5">
        <v>52</v>
      </c>
      <c r="B949" s="5" t="s">
        <v>35</v>
      </c>
      <c r="C949" s="5" t="s">
        <v>36</v>
      </c>
      <c r="D949" s="5">
        <v>1030</v>
      </c>
      <c r="E949" s="5" t="s">
        <v>37</v>
      </c>
      <c r="F949" s="5">
        <v>5</v>
      </c>
      <c r="G949" s="5">
        <v>3</v>
      </c>
      <c r="H949" s="5" t="s">
        <v>38</v>
      </c>
      <c r="I949" s="5">
        <v>1</v>
      </c>
      <c r="J949" s="5">
        <v>1319</v>
      </c>
      <c r="K949" s="5">
        <v>2</v>
      </c>
      <c r="L949" s="5" t="s">
        <v>46</v>
      </c>
      <c r="M949" s="5">
        <v>64</v>
      </c>
      <c r="N949" s="5">
        <v>3</v>
      </c>
      <c r="O949" s="5">
        <v>3</v>
      </c>
      <c r="P949" s="5" t="s">
        <v>40</v>
      </c>
      <c r="Q949" s="5">
        <v>2</v>
      </c>
      <c r="R949" s="5" t="s">
        <v>41</v>
      </c>
      <c r="S949" s="5">
        <v>8446</v>
      </c>
      <c r="T949" s="5">
        <v>21534</v>
      </c>
      <c r="U949" s="5">
        <v>9</v>
      </c>
      <c r="V949" s="5" t="s">
        <v>42</v>
      </c>
      <c r="W949" s="5" t="s">
        <v>35</v>
      </c>
      <c r="X949" s="5">
        <v>19</v>
      </c>
      <c r="Y949" s="5">
        <v>3</v>
      </c>
      <c r="Z949" s="5">
        <v>3</v>
      </c>
      <c r="AA949" s="5">
        <v>80</v>
      </c>
      <c r="AB949" s="5">
        <v>0</v>
      </c>
      <c r="AC949" s="5">
        <v>10</v>
      </c>
      <c r="AD949" s="5">
        <v>2</v>
      </c>
      <c r="AE949" s="5">
        <v>2</v>
      </c>
      <c r="AF949" s="5">
        <v>8</v>
      </c>
      <c r="AG949" s="5">
        <v>7</v>
      </c>
      <c r="AH949" s="5">
        <v>7</v>
      </c>
      <c r="AI949" s="5">
        <v>7</v>
      </c>
    </row>
    <row r="950" spans="1:35" x14ac:dyDescent="0.25">
      <c r="A950" s="5">
        <v>30</v>
      </c>
      <c r="B950" s="5" t="s">
        <v>43</v>
      </c>
      <c r="C950" s="5" t="s">
        <v>36</v>
      </c>
      <c r="D950" s="5">
        <v>634</v>
      </c>
      <c r="E950" s="5" t="s">
        <v>45</v>
      </c>
      <c r="F950" s="5">
        <v>17</v>
      </c>
      <c r="G950" s="5">
        <v>4</v>
      </c>
      <c r="H950" s="5" t="s">
        <v>51</v>
      </c>
      <c r="I950" s="5">
        <v>1</v>
      </c>
      <c r="J950" s="5">
        <v>1321</v>
      </c>
      <c r="K950" s="5">
        <v>2</v>
      </c>
      <c r="L950" s="5" t="s">
        <v>39</v>
      </c>
      <c r="M950" s="5">
        <v>95</v>
      </c>
      <c r="N950" s="5">
        <v>3</v>
      </c>
      <c r="O950" s="5">
        <v>3</v>
      </c>
      <c r="P950" s="5" t="s">
        <v>56</v>
      </c>
      <c r="Q950" s="5">
        <v>1</v>
      </c>
      <c r="R950" s="5" t="s">
        <v>48</v>
      </c>
      <c r="S950" s="5">
        <v>11916</v>
      </c>
      <c r="T950" s="5">
        <v>25927</v>
      </c>
      <c r="U950" s="5">
        <v>1</v>
      </c>
      <c r="V950" s="5" t="s">
        <v>42</v>
      </c>
      <c r="W950" s="5" t="s">
        <v>35</v>
      </c>
      <c r="X950" s="5">
        <v>23</v>
      </c>
      <c r="Y950" s="5">
        <v>4</v>
      </c>
      <c r="Z950" s="5">
        <v>4</v>
      </c>
      <c r="AA950" s="5">
        <v>80</v>
      </c>
      <c r="AB950" s="5">
        <v>2</v>
      </c>
      <c r="AC950" s="5">
        <v>9</v>
      </c>
      <c r="AD950" s="5">
        <v>2</v>
      </c>
      <c r="AE950" s="5">
        <v>3</v>
      </c>
      <c r="AF950" s="5">
        <v>9</v>
      </c>
      <c r="AG950" s="5">
        <v>1</v>
      </c>
      <c r="AH950" s="5">
        <v>0</v>
      </c>
      <c r="AI950" s="5">
        <v>8</v>
      </c>
    </row>
    <row r="951" spans="1:35" x14ac:dyDescent="0.25">
      <c r="A951" s="5">
        <v>39</v>
      </c>
      <c r="B951" s="5" t="s">
        <v>43</v>
      </c>
      <c r="C951" s="5" t="s">
        <v>36</v>
      </c>
      <c r="D951" s="5">
        <v>524</v>
      </c>
      <c r="E951" s="5" t="s">
        <v>45</v>
      </c>
      <c r="F951" s="5">
        <v>18</v>
      </c>
      <c r="G951" s="5">
        <v>2</v>
      </c>
      <c r="H951" s="5" t="s">
        <v>38</v>
      </c>
      <c r="I951" s="5">
        <v>1</v>
      </c>
      <c r="J951" s="5">
        <v>1322</v>
      </c>
      <c r="K951" s="5">
        <v>1</v>
      </c>
      <c r="L951" s="5" t="s">
        <v>46</v>
      </c>
      <c r="M951" s="5">
        <v>32</v>
      </c>
      <c r="N951" s="5">
        <v>3</v>
      </c>
      <c r="O951" s="5">
        <v>2</v>
      </c>
      <c r="P951" s="5" t="s">
        <v>53</v>
      </c>
      <c r="Q951" s="5">
        <v>3</v>
      </c>
      <c r="R951" s="5" t="s">
        <v>41</v>
      </c>
      <c r="S951" s="5">
        <v>4534</v>
      </c>
      <c r="T951" s="5">
        <v>13352</v>
      </c>
      <c r="U951" s="5">
        <v>0</v>
      </c>
      <c r="V951" s="5" t="s">
        <v>42</v>
      </c>
      <c r="W951" s="5" t="s">
        <v>43</v>
      </c>
      <c r="X951" s="5">
        <v>11</v>
      </c>
      <c r="Y951" s="5">
        <v>3</v>
      </c>
      <c r="Z951" s="5">
        <v>1</v>
      </c>
      <c r="AA951" s="5">
        <v>80</v>
      </c>
      <c r="AB951" s="5">
        <v>0</v>
      </c>
      <c r="AC951" s="5">
        <v>9</v>
      </c>
      <c r="AD951" s="5">
        <v>6</v>
      </c>
      <c r="AE951" s="5">
        <v>3</v>
      </c>
      <c r="AF951" s="5">
        <v>8</v>
      </c>
      <c r="AG951" s="5">
        <v>7</v>
      </c>
      <c r="AH951" s="5">
        <v>1</v>
      </c>
      <c r="AI951" s="5">
        <v>7</v>
      </c>
    </row>
    <row r="952" spans="1:35" x14ac:dyDescent="0.25">
      <c r="A952" s="5">
        <v>31</v>
      </c>
      <c r="B952" s="5" t="s">
        <v>43</v>
      </c>
      <c r="C952" s="5" t="s">
        <v>55</v>
      </c>
      <c r="D952" s="5">
        <v>587</v>
      </c>
      <c r="E952" s="5" t="s">
        <v>37</v>
      </c>
      <c r="F952" s="5">
        <v>2</v>
      </c>
      <c r="G952" s="5">
        <v>4</v>
      </c>
      <c r="H952" s="5" t="s">
        <v>38</v>
      </c>
      <c r="I952" s="5">
        <v>1</v>
      </c>
      <c r="J952" s="5">
        <v>1324</v>
      </c>
      <c r="K952" s="5">
        <v>4</v>
      </c>
      <c r="L952" s="5" t="s">
        <v>39</v>
      </c>
      <c r="M952" s="5">
        <v>57</v>
      </c>
      <c r="N952" s="5">
        <v>3</v>
      </c>
      <c r="O952" s="5">
        <v>3</v>
      </c>
      <c r="P952" s="5" t="s">
        <v>40</v>
      </c>
      <c r="Q952" s="5">
        <v>3</v>
      </c>
      <c r="R952" s="5" t="s">
        <v>52</v>
      </c>
      <c r="S952" s="5">
        <v>9852</v>
      </c>
      <c r="T952" s="5">
        <v>8935</v>
      </c>
      <c r="U952" s="5">
        <v>1</v>
      </c>
      <c r="V952" s="5" t="s">
        <v>42</v>
      </c>
      <c r="W952" s="5" t="s">
        <v>35</v>
      </c>
      <c r="X952" s="5">
        <v>19</v>
      </c>
      <c r="Y952" s="5">
        <v>3</v>
      </c>
      <c r="Z952" s="5">
        <v>1</v>
      </c>
      <c r="AA952" s="5">
        <v>80</v>
      </c>
      <c r="AB952" s="5">
        <v>1</v>
      </c>
      <c r="AC952" s="5">
        <v>10</v>
      </c>
      <c r="AD952" s="5">
        <v>5</v>
      </c>
      <c r="AE952" s="5">
        <v>2</v>
      </c>
      <c r="AF952" s="5">
        <v>10</v>
      </c>
      <c r="AG952" s="5">
        <v>8</v>
      </c>
      <c r="AH952" s="5">
        <v>9</v>
      </c>
      <c r="AI952" s="5">
        <v>6</v>
      </c>
    </row>
    <row r="953" spans="1:35" x14ac:dyDescent="0.25">
      <c r="A953" s="5">
        <v>41</v>
      </c>
      <c r="B953" s="5" t="s">
        <v>43</v>
      </c>
      <c r="C953" s="5" t="s">
        <v>55</v>
      </c>
      <c r="D953" s="5">
        <v>256</v>
      </c>
      <c r="E953" s="5" t="s">
        <v>37</v>
      </c>
      <c r="F953" s="5">
        <v>10</v>
      </c>
      <c r="G953" s="5">
        <v>2</v>
      </c>
      <c r="H953" s="5" t="s">
        <v>51</v>
      </c>
      <c r="I953" s="5">
        <v>1</v>
      </c>
      <c r="J953" s="5">
        <v>1329</v>
      </c>
      <c r="K953" s="5">
        <v>3</v>
      </c>
      <c r="L953" s="5" t="s">
        <v>46</v>
      </c>
      <c r="M953" s="5">
        <v>40</v>
      </c>
      <c r="N953" s="5">
        <v>1</v>
      </c>
      <c r="O953" s="5">
        <v>2</v>
      </c>
      <c r="P953" s="5" t="s">
        <v>40</v>
      </c>
      <c r="Q953" s="5">
        <v>2</v>
      </c>
      <c r="R953" s="5" t="s">
        <v>41</v>
      </c>
      <c r="S953" s="5">
        <v>6151</v>
      </c>
      <c r="T953" s="5">
        <v>22074</v>
      </c>
      <c r="U953" s="5">
        <v>1</v>
      </c>
      <c r="V953" s="5" t="s">
        <v>42</v>
      </c>
      <c r="W953" s="5" t="s">
        <v>43</v>
      </c>
      <c r="X953" s="5">
        <v>13</v>
      </c>
      <c r="Y953" s="5">
        <v>3</v>
      </c>
      <c r="Z953" s="5">
        <v>1</v>
      </c>
      <c r="AA953" s="5">
        <v>80</v>
      </c>
      <c r="AB953" s="5">
        <v>0</v>
      </c>
      <c r="AC953" s="5">
        <v>19</v>
      </c>
      <c r="AD953" s="5">
        <v>4</v>
      </c>
      <c r="AE953" s="5">
        <v>3</v>
      </c>
      <c r="AF953" s="5">
        <v>19</v>
      </c>
      <c r="AG953" s="5">
        <v>2</v>
      </c>
      <c r="AH953" s="5">
        <v>11</v>
      </c>
      <c r="AI953" s="5">
        <v>9</v>
      </c>
    </row>
    <row r="954" spans="1:35" x14ac:dyDescent="0.25">
      <c r="A954" s="5">
        <v>31</v>
      </c>
      <c r="B954" s="5" t="s">
        <v>35</v>
      </c>
      <c r="C954" s="5" t="s">
        <v>44</v>
      </c>
      <c r="D954" s="5">
        <v>1060</v>
      </c>
      <c r="E954" s="5" t="s">
        <v>37</v>
      </c>
      <c r="F954" s="5">
        <v>1</v>
      </c>
      <c r="G954" s="5">
        <v>3</v>
      </c>
      <c r="H954" s="5" t="s">
        <v>38</v>
      </c>
      <c r="I954" s="5">
        <v>1</v>
      </c>
      <c r="J954" s="5">
        <v>1331</v>
      </c>
      <c r="K954" s="5">
        <v>4</v>
      </c>
      <c r="L954" s="5" t="s">
        <v>39</v>
      </c>
      <c r="M954" s="5">
        <v>54</v>
      </c>
      <c r="N954" s="5">
        <v>3</v>
      </c>
      <c r="O954" s="5">
        <v>1</v>
      </c>
      <c r="P954" s="5" t="s">
        <v>57</v>
      </c>
      <c r="Q954" s="5">
        <v>2</v>
      </c>
      <c r="R954" s="5" t="s">
        <v>41</v>
      </c>
      <c r="S954" s="5">
        <v>2302</v>
      </c>
      <c r="T954" s="5">
        <v>8319</v>
      </c>
      <c r="U954" s="5">
        <v>1</v>
      </c>
      <c r="V954" s="5" t="s">
        <v>42</v>
      </c>
      <c r="W954" s="5" t="s">
        <v>35</v>
      </c>
      <c r="X954" s="5">
        <v>11</v>
      </c>
      <c r="Y954" s="5">
        <v>3</v>
      </c>
      <c r="Z954" s="5">
        <v>1</v>
      </c>
      <c r="AA954" s="5">
        <v>80</v>
      </c>
      <c r="AB954" s="5">
        <v>0</v>
      </c>
      <c r="AC954" s="5">
        <v>3</v>
      </c>
      <c r="AD954" s="5">
        <v>2</v>
      </c>
      <c r="AE954" s="5">
        <v>4</v>
      </c>
      <c r="AF954" s="5">
        <v>3</v>
      </c>
      <c r="AG954" s="5">
        <v>2</v>
      </c>
      <c r="AH954" s="5">
        <v>2</v>
      </c>
      <c r="AI954" s="5">
        <v>2</v>
      </c>
    </row>
    <row r="955" spans="1:35" x14ac:dyDescent="0.25">
      <c r="A955" s="5">
        <v>44</v>
      </c>
      <c r="B955" s="5" t="s">
        <v>35</v>
      </c>
      <c r="C955" s="5" t="s">
        <v>36</v>
      </c>
      <c r="D955" s="5">
        <v>935</v>
      </c>
      <c r="E955" s="5" t="s">
        <v>45</v>
      </c>
      <c r="F955" s="5">
        <v>3</v>
      </c>
      <c r="G955" s="5">
        <v>3</v>
      </c>
      <c r="H955" s="5" t="s">
        <v>38</v>
      </c>
      <c r="I955" s="5">
        <v>1</v>
      </c>
      <c r="J955" s="5">
        <v>1333</v>
      </c>
      <c r="K955" s="5">
        <v>1</v>
      </c>
      <c r="L955" s="5" t="s">
        <v>46</v>
      </c>
      <c r="M955" s="5">
        <v>89</v>
      </c>
      <c r="N955" s="5">
        <v>3</v>
      </c>
      <c r="O955" s="5">
        <v>1</v>
      </c>
      <c r="P955" s="5" t="s">
        <v>50</v>
      </c>
      <c r="Q955" s="5">
        <v>1</v>
      </c>
      <c r="R955" s="5" t="s">
        <v>48</v>
      </c>
      <c r="S955" s="5">
        <v>2362</v>
      </c>
      <c r="T955" s="5">
        <v>14669</v>
      </c>
      <c r="U955" s="5">
        <v>4</v>
      </c>
      <c r="V955" s="5" t="s">
        <v>42</v>
      </c>
      <c r="W955" s="5" t="s">
        <v>43</v>
      </c>
      <c r="X955" s="5">
        <v>12</v>
      </c>
      <c r="Y955" s="5">
        <v>3</v>
      </c>
      <c r="Z955" s="5">
        <v>3</v>
      </c>
      <c r="AA955" s="5">
        <v>80</v>
      </c>
      <c r="AB955" s="5">
        <v>0</v>
      </c>
      <c r="AC955" s="5">
        <v>10</v>
      </c>
      <c r="AD955" s="5">
        <v>4</v>
      </c>
      <c r="AE955" s="5">
        <v>4</v>
      </c>
      <c r="AF955" s="5">
        <v>3</v>
      </c>
      <c r="AG955" s="5">
        <v>2</v>
      </c>
      <c r="AH955" s="5">
        <v>1</v>
      </c>
      <c r="AI955" s="5">
        <v>2</v>
      </c>
    </row>
    <row r="956" spans="1:35" x14ac:dyDescent="0.25">
      <c r="A956" s="5">
        <v>42</v>
      </c>
      <c r="B956" s="5" t="s">
        <v>43</v>
      </c>
      <c r="C956" s="5" t="s">
        <v>55</v>
      </c>
      <c r="D956" s="5">
        <v>495</v>
      </c>
      <c r="E956" s="5" t="s">
        <v>45</v>
      </c>
      <c r="F956" s="5">
        <v>2</v>
      </c>
      <c r="G956" s="5">
        <v>1</v>
      </c>
      <c r="H956" s="5" t="s">
        <v>38</v>
      </c>
      <c r="I956" s="5">
        <v>1</v>
      </c>
      <c r="J956" s="5">
        <v>1334</v>
      </c>
      <c r="K956" s="5">
        <v>3</v>
      </c>
      <c r="L956" s="5" t="s">
        <v>46</v>
      </c>
      <c r="M956" s="5">
        <v>37</v>
      </c>
      <c r="N956" s="5">
        <v>3</v>
      </c>
      <c r="O956" s="5">
        <v>4</v>
      </c>
      <c r="P956" s="5" t="s">
        <v>56</v>
      </c>
      <c r="Q956" s="5">
        <v>3</v>
      </c>
      <c r="R956" s="5" t="s">
        <v>48</v>
      </c>
      <c r="S956" s="5">
        <v>17861</v>
      </c>
      <c r="T956" s="5">
        <v>26582</v>
      </c>
      <c r="U956" s="5">
        <v>0</v>
      </c>
      <c r="V956" s="5" t="s">
        <v>42</v>
      </c>
      <c r="W956" s="5" t="s">
        <v>35</v>
      </c>
      <c r="X956" s="5">
        <v>13</v>
      </c>
      <c r="Y956" s="5">
        <v>3</v>
      </c>
      <c r="Z956" s="5">
        <v>4</v>
      </c>
      <c r="AA956" s="5">
        <v>80</v>
      </c>
      <c r="AB956" s="5">
        <v>0</v>
      </c>
      <c r="AC956" s="5">
        <v>21</v>
      </c>
      <c r="AD956" s="5">
        <v>3</v>
      </c>
      <c r="AE956" s="5">
        <v>2</v>
      </c>
      <c r="AF956" s="5">
        <v>20</v>
      </c>
      <c r="AG956" s="5">
        <v>8</v>
      </c>
      <c r="AH956" s="5">
        <v>2</v>
      </c>
      <c r="AI956" s="5">
        <v>10</v>
      </c>
    </row>
    <row r="957" spans="1:35" x14ac:dyDescent="0.25">
      <c r="A957" s="5">
        <v>55</v>
      </c>
      <c r="B957" s="5" t="s">
        <v>43</v>
      </c>
      <c r="C957" s="5" t="s">
        <v>36</v>
      </c>
      <c r="D957" s="5">
        <v>282</v>
      </c>
      <c r="E957" s="5" t="s">
        <v>45</v>
      </c>
      <c r="F957" s="5">
        <v>2</v>
      </c>
      <c r="G957" s="5">
        <v>2</v>
      </c>
      <c r="H957" s="5" t="s">
        <v>51</v>
      </c>
      <c r="I957" s="5">
        <v>1</v>
      </c>
      <c r="J957" s="5">
        <v>1336</v>
      </c>
      <c r="K957" s="5">
        <v>4</v>
      </c>
      <c r="L957" s="5" t="s">
        <v>39</v>
      </c>
      <c r="M957" s="5">
        <v>58</v>
      </c>
      <c r="N957" s="5">
        <v>1</v>
      </c>
      <c r="O957" s="5">
        <v>5</v>
      </c>
      <c r="P957" s="5" t="s">
        <v>56</v>
      </c>
      <c r="Q957" s="5">
        <v>3</v>
      </c>
      <c r="R957" s="5" t="s">
        <v>48</v>
      </c>
      <c r="S957" s="5">
        <v>19187</v>
      </c>
      <c r="T957" s="5">
        <v>6992</v>
      </c>
      <c r="U957" s="5">
        <v>4</v>
      </c>
      <c r="V957" s="5" t="s">
        <v>42</v>
      </c>
      <c r="W957" s="5" t="s">
        <v>43</v>
      </c>
      <c r="X957" s="5">
        <v>14</v>
      </c>
      <c r="Y957" s="5">
        <v>3</v>
      </c>
      <c r="Z957" s="5">
        <v>4</v>
      </c>
      <c r="AA957" s="5">
        <v>80</v>
      </c>
      <c r="AB957" s="5">
        <v>1</v>
      </c>
      <c r="AC957" s="5">
        <v>23</v>
      </c>
      <c r="AD957" s="5">
        <v>5</v>
      </c>
      <c r="AE957" s="5">
        <v>3</v>
      </c>
      <c r="AF957" s="5">
        <v>19</v>
      </c>
      <c r="AG957" s="5">
        <v>9</v>
      </c>
      <c r="AH957" s="5">
        <v>9</v>
      </c>
      <c r="AI957" s="5">
        <v>11</v>
      </c>
    </row>
    <row r="958" spans="1:35" x14ac:dyDescent="0.25">
      <c r="A958" s="5">
        <v>56</v>
      </c>
      <c r="B958" s="5" t="s">
        <v>43</v>
      </c>
      <c r="C958" s="5" t="s">
        <v>36</v>
      </c>
      <c r="D958" s="5">
        <v>206</v>
      </c>
      <c r="E958" s="5" t="s">
        <v>61</v>
      </c>
      <c r="F958" s="5">
        <v>8</v>
      </c>
      <c r="G958" s="5">
        <v>4</v>
      </c>
      <c r="H958" s="5" t="s">
        <v>38</v>
      </c>
      <c r="I958" s="5">
        <v>1</v>
      </c>
      <c r="J958" s="5">
        <v>1338</v>
      </c>
      <c r="K958" s="5">
        <v>4</v>
      </c>
      <c r="L958" s="5" t="s">
        <v>46</v>
      </c>
      <c r="M958" s="5">
        <v>99</v>
      </c>
      <c r="N958" s="5">
        <v>3</v>
      </c>
      <c r="O958" s="5">
        <v>5</v>
      </c>
      <c r="P958" s="5" t="s">
        <v>56</v>
      </c>
      <c r="Q958" s="5">
        <v>2</v>
      </c>
      <c r="R958" s="5" t="s">
        <v>41</v>
      </c>
      <c r="S958" s="5">
        <v>19717</v>
      </c>
      <c r="T958" s="5">
        <v>4022</v>
      </c>
      <c r="U958" s="5">
        <v>6</v>
      </c>
      <c r="V958" s="5" t="s">
        <v>42</v>
      </c>
      <c r="W958" s="5" t="s">
        <v>43</v>
      </c>
      <c r="X958" s="5">
        <v>14</v>
      </c>
      <c r="Y958" s="5">
        <v>3</v>
      </c>
      <c r="Z958" s="5">
        <v>1</v>
      </c>
      <c r="AA958" s="5">
        <v>80</v>
      </c>
      <c r="AB958" s="5">
        <v>0</v>
      </c>
      <c r="AC958" s="5">
        <v>36</v>
      </c>
      <c r="AD958" s="5">
        <v>4</v>
      </c>
      <c r="AE958" s="5">
        <v>3</v>
      </c>
      <c r="AF958" s="5">
        <v>7</v>
      </c>
      <c r="AG958" s="5">
        <v>3</v>
      </c>
      <c r="AH958" s="5">
        <v>7</v>
      </c>
      <c r="AI958" s="5">
        <v>7</v>
      </c>
    </row>
    <row r="959" spans="1:35" x14ac:dyDescent="0.25">
      <c r="A959" s="5">
        <v>40</v>
      </c>
      <c r="B959" s="5" t="s">
        <v>43</v>
      </c>
      <c r="C959" s="5" t="s">
        <v>55</v>
      </c>
      <c r="D959" s="5">
        <v>458</v>
      </c>
      <c r="E959" s="5" t="s">
        <v>45</v>
      </c>
      <c r="F959" s="5">
        <v>16</v>
      </c>
      <c r="G959" s="5">
        <v>2</v>
      </c>
      <c r="H959" s="5" t="s">
        <v>38</v>
      </c>
      <c r="I959" s="5">
        <v>1</v>
      </c>
      <c r="J959" s="5">
        <v>1340</v>
      </c>
      <c r="K959" s="5">
        <v>3</v>
      </c>
      <c r="L959" s="5" t="s">
        <v>46</v>
      </c>
      <c r="M959" s="5">
        <v>74</v>
      </c>
      <c r="N959" s="5">
        <v>3</v>
      </c>
      <c r="O959" s="5">
        <v>1</v>
      </c>
      <c r="P959" s="5" t="s">
        <v>47</v>
      </c>
      <c r="Q959" s="5">
        <v>3</v>
      </c>
      <c r="R959" s="5" t="s">
        <v>52</v>
      </c>
      <c r="S959" s="5">
        <v>3544</v>
      </c>
      <c r="T959" s="5">
        <v>8532</v>
      </c>
      <c r="U959" s="5">
        <v>9</v>
      </c>
      <c r="V959" s="5" t="s">
        <v>42</v>
      </c>
      <c r="W959" s="5" t="s">
        <v>43</v>
      </c>
      <c r="X959" s="5">
        <v>16</v>
      </c>
      <c r="Y959" s="5">
        <v>3</v>
      </c>
      <c r="Z959" s="5">
        <v>2</v>
      </c>
      <c r="AA959" s="5">
        <v>80</v>
      </c>
      <c r="AB959" s="5">
        <v>1</v>
      </c>
      <c r="AC959" s="5">
        <v>6</v>
      </c>
      <c r="AD959" s="5">
        <v>0</v>
      </c>
      <c r="AE959" s="5">
        <v>3</v>
      </c>
      <c r="AF959" s="5">
        <v>4</v>
      </c>
      <c r="AG959" s="5">
        <v>2</v>
      </c>
      <c r="AH959" s="5">
        <v>0</v>
      </c>
      <c r="AI959" s="5">
        <v>0</v>
      </c>
    </row>
    <row r="960" spans="1:35" x14ac:dyDescent="0.25">
      <c r="A960" s="5">
        <v>34</v>
      </c>
      <c r="B960" s="5" t="s">
        <v>43</v>
      </c>
      <c r="C960" s="5" t="s">
        <v>36</v>
      </c>
      <c r="D960" s="5">
        <v>943</v>
      </c>
      <c r="E960" s="5" t="s">
        <v>45</v>
      </c>
      <c r="F960" s="5">
        <v>9</v>
      </c>
      <c r="G960" s="5">
        <v>3</v>
      </c>
      <c r="H960" s="5" t="s">
        <v>38</v>
      </c>
      <c r="I960" s="5">
        <v>1</v>
      </c>
      <c r="J960" s="5">
        <v>1344</v>
      </c>
      <c r="K960" s="5">
        <v>4</v>
      </c>
      <c r="L960" s="5" t="s">
        <v>46</v>
      </c>
      <c r="M960" s="5">
        <v>86</v>
      </c>
      <c r="N960" s="5">
        <v>3</v>
      </c>
      <c r="O960" s="5">
        <v>3</v>
      </c>
      <c r="P960" s="5" t="s">
        <v>54</v>
      </c>
      <c r="Q960" s="5">
        <v>4</v>
      </c>
      <c r="R960" s="5" t="s">
        <v>52</v>
      </c>
      <c r="S960" s="5">
        <v>8500</v>
      </c>
      <c r="T960" s="5">
        <v>5494</v>
      </c>
      <c r="U960" s="5">
        <v>0</v>
      </c>
      <c r="V960" s="5" t="s">
        <v>42</v>
      </c>
      <c r="W960" s="5" t="s">
        <v>43</v>
      </c>
      <c r="X960" s="5">
        <v>11</v>
      </c>
      <c r="Y960" s="5">
        <v>3</v>
      </c>
      <c r="Z960" s="5">
        <v>4</v>
      </c>
      <c r="AA960" s="5">
        <v>80</v>
      </c>
      <c r="AB960" s="5">
        <v>1</v>
      </c>
      <c r="AC960" s="5">
        <v>10</v>
      </c>
      <c r="AD960" s="5">
        <v>0</v>
      </c>
      <c r="AE960" s="5">
        <v>2</v>
      </c>
      <c r="AF960" s="5">
        <v>9</v>
      </c>
      <c r="AG960" s="5">
        <v>7</v>
      </c>
      <c r="AH960" s="5">
        <v>1</v>
      </c>
      <c r="AI960" s="5">
        <v>6</v>
      </c>
    </row>
    <row r="961" spans="1:35" x14ac:dyDescent="0.25">
      <c r="A961" s="5">
        <v>40</v>
      </c>
      <c r="B961" s="5" t="s">
        <v>43</v>
      </c>
      <c r="C961" s="5" t="s">
        <v>36</v>
      </c>
      <c r="D961" s="5">
        <v>523</v>
      </c>
      <c r="E961" s="5" t="s">
        <v>45</v>
      </c>
      <c r="F961" s="5">
        <v>2</v>
      </c>
      <c r="G961" s="5">
        <v>3</v>
      </c>
      <c r="H961" s="5" t="s">
        <v>38</v>
      </c>
      <c r="I961" s="5">
        <v>1</v>
      </c>
      <c r="J961" s="5">
        <v>1346</v>
      </c>
      <c r="K961" s="5">
        <v>3</v>
      </c>
      <c r="L961" s="5" t="s">
        <v>46</v>
      </c>
      <c r="M961" s="5">
        <v>98</v>
      </c>
      <c r="N961" s="5">
        <v>3</v>
      </c>
      <c r="O961" s="5">
        <v>2</v>
      </c>
      <c r="P961" s="5" t="s">
        <v>47</v>
      </c>
      <c r="Q961" s="5">
        <v>4</v>
      </c>
      <c r="R961" s="5" t="s">
        <v>41</v>
      </c>
      <c r="S961" s="5">
        <v>4661</v>
      </c>
      <c r="T961" s="5">
        <v>22455</v>
      </c>
      <c r="U961" s="5">
        <v>1</v>
      </c>
      <c r="V961" s="5" t="s">
        <v>42</v>
      </c>
      <c r="W961" s="5" t="s">
        <v>43</v>
      </c>
      <c r="X961" s="5">
        <v>13</v>
      </c>
      <c r="Y961" s="5">
        <v>3</v>
      </c>
      <c r="Z961" s="5">
        <v>3</v>
      </c>
      <c r="AA961" s="5">
        <v>80</v>
      </c>
      <c r="AB961" s="5">
        <v>0</v>
      </c>
      <c r="AC961" s="5">
        <v>9</v>
      </c>
      <c r="AD961" s="5">
        <v>4</v>
      </c>
      <c r="AE961" s="5">
        <v>3</v>
      </c>
      <c r="AF961" s="5">
        <v>9</v>
      </c>
      <c r="AG961" s="5">
        <v>8</v>
      </c>
      <c r="AH961" s="5">
        <v>8</v>
      </c>
      <c r="AI961" s="5">
        <v>8</v>
      </c>
    </row>
    <row r="962" spans="1:35" x14ac:dyDescent="0.25">
      <c r="A962" s="5">
        <v>41</v>
      </c>
      <c r="B962" s="5" t="s">
        <v>43</v>
      </c>
      <c r="C962" s="5" t="s">
        <v>44</v>
      </c>
      <c r="D962" s="5">
        <v>1018</v>
      </c>
      <c r="E962" s="5" t="s">
        <v>37</v>
      </c>
      <c r="F962" s="5">
        <v>1</v>
      </c>
      <c r="G962" s="5">
        <v>3</v>
      </c>
      <c r="H962" s="5" t="s">
        <v>59</v>
      </c>
      <c r="I962" s="5">
        <v>1</v>
      </c>
      <c r="J962" s="5">
        <v>1349</v>
      </c>
      <c r="K962" s="5">
        <v>3</v>
      </c>
      <c r="L962" s="5" t="s">
        <v>39</v>
      </c>
      <c r="M962" s="5">
        <v>66</v>
      </c>
      <c r="N962" s="5">
        <v>3</v>
      </c>
      <c r="O962" s="5">
        <v>2</v>
      </c>
      <c r="P962" s="5" t="s">
        <v>40</v>
      </c>
      <c r="Q962" s="5">
        <v>1</v>
      </c>
      <c r="R962" s="5" t="s">
        <v>52</v>
      </c>
      <c r="S962" s="5">
        <v>4103</v>
      </c>
      <c r="T962" s="5">
        <v>4297</v>
      </c>
      <c r="U962" s="5">
        <v>0</v>
      </c>
      <c r="V962" s="5" t="s">
        <v>42</v>
      </c>
      <c r="W962" s="5" t="s">
        <v>43</v>
      </c>
      <c r="X962" s="5">
        <v>17</v>
      </c>
      <c r="Y962" s="5">
        <v>3</v>
      </c>
      <c r="Z962" s="5">
        <v>4</v>
      </c>
      <c r="AA962" s="5">
        <v>80</v>
      </c>
      <c r="AB962" s="5">
        <v>1</v>
      </c>
      <c r="AC962" s="5">
        <v>10</v>
      </c>
      <c r="AD962" s="5">
        <v>2</v>
      </c>
      <c r="AE962" s="5">
        <v>3</v>
      </c>
      <c r="AF962" s="5">
        <v>9</v>
      </c>
      <c r="AG962" s="5">
        <v>3</v>
      </c>
      <c r="AH962" s="5">
        <v>1</v>
      </c>
      <c r="AI962" s="5">
        <v>7</v>
      </c>
    </row>
    <row r="963" spans="1:35" x14ac:dyDescent="0.25">
      <c r="A963" s="5">
        <v>35</v>
      </c>
      <c r="B963" s="5" t="s">
        <v>43</v>
      </c>
      <c r="C963" s="5" t="s">
        <v>44</v>
      </c>
      <c r="D963" s="5">
        <v>482</v>
      </c>
      <c r="E963" s="5" t="s">
        <v>45</v>
      </c>
      <c r="F963" s="5">
        <v>4</v>
      </c>
      <c r="G963" s="5">
        <v>4</v>
      </c>
      <c r="H963" s="5" t="s">
        <v>38</v>
      </c>
      <c r="I963" s="5">
        <v>1</v>
      </c>
      <c r="J963" s="5">
        <v>1350</v>
      </c>
      <c r="K963" s="5">
        <v>3</v>
      </c>
      <c r="L963" s="5" t="s">
        <v>46</v>
      </c>
      <c r="M963" s="5">
        <v>87</v>
      </c>
      <c r="N963" s="5">
        <v>3</v>
      </c>
      <c r="O963" s="5">
        <v>2</v>
      </c>
      <c r="P963" s="5" t="s">
        <v>47</v>
      </c>
      <c r="Q963" s="5">
        <v>3</v>
      </c>
      <c r="R963" s="5" t="s">
        <v>41</v>
      </c>
      <c r="S963" s="5">
        <v>4249</v>
      </c>
      <c r="T963" s="5">
        <v>2690</v>
      </c>
      <c r="U963" s="5">
        <v>1</v>
      </c>
      <c r="V963" s="5" t="s">
        <v>42</v>
      </c>
      <c r="W963" s="5" t="s">
        <v>35</v>
      </c>
      <c r="X963" s="5">
        <v>11</v>
      </c>
      <c r="Y963" s="5">
        <v>3</v>
      </c>
      <c r="Z963" s="5">
        <v>2</v>
      </c>
      <c r="AA963" s="5">
        <v>80</v>
      </c>
      <c r="AB963" s="5">
        <v>0</v>
      </c>
      <c r="AC963" s="5">
        <v>9</v>
      </c>
      <c r="AD963" s="5">
        <v>3</v>
      </c>
      <c r="AE963" s="5">
        <v>3</v>
      </c>
      <c r="AF963" s="5">
        <v>9</v>
      </c>
      <c r="AG963" s="5">
        <v>6</v>
      </c>
      <c r="AH963" s="5">
        <v>1</v>
      </c>
      <c r="AI963" s="5">
        <v>1</v>
      </c>
    </row>
    <row r="964" spans="1:35" x14ac:dyDescent="0.25">
      <c r="A964" s="5">
        <v>51</v>
      </c>
      <c r="B964" s="5" t="s">
        <v>43</v>
      </c>
      <c r="C964" s="5" t="s">
        <v>36</v>
      </c>
      <c r="D964" s="5">
        <v>770</v>
      </c>
      <c r="E964" s="5" t="s">
        <v>61</v>
      </c>
      <c r="F964" s="5">
        <v>5</v>
      </c>
      <c r="G964" s="5">
        <v>3</v>
      </c>
      <c r="H964" s="5" t="s">
        <v>38</v>
      </c>
      <c r="I964" s="5">
        <v>1</v>
      </c>
      <c r="J964" s="5">
        <v>1352</v>
      </c>
      <c r="K964" s="5">
        <v>3</v>
      </c>
      <c r="L964" s="5" t="s">
        <v>46</v>
      </c>
      <c r="M964" s="5">
        <v>84</v>
      </c>
      <c r="N964" s="5">
        <v>3</v>
      </c>
      <c r="O964" s="5">
        <v>4</v>
      </c>
      <c r="P964" s="5" t="s">
        <v>56</v>
      </c>
      <c r="Q964" s="5">
        <v>2</v>
      </c>
      <c r="R964" s="5" t="s">
        <v>52</v>
      </c>
      <c r="S964" s="5">
        <v>14026</v>
      </c>
      <c r="T964" s="5">
        <v>17588</v>
      </c>
      <c r="U964" s="5">
        <v>1</v>
      </c>
      <c r="V964" s="5" t="s">
        <v>42</v>
      </c>
      <c r="W964" s="5" t="s">
        <v>35</v>
      </c>
      <c r="X964" s="5">
        <v>11</v>
      </c>
      <c r="Y964" s="5">
        <v>3</v>
      </c>
      <c r="Z964" s="5">
        <v>2</v>
      </c>
      <c r="AA964" s="5">
        <v>80</v>
      </c>
      <c r="AB964" s="5">
        <v>1</v>
      </c>
      <c r="AC964" s="5">
        <v>33</v>
      </c>
      <c r="AD964" s="5">
        <v>2</v>
      </c>
      <c r="AE964" s="5">
        <v>3</v>
      </c>
      <c r="AF964" s="5">
        <v>33</v>
      </c>
      <c r="AG964" s="5">
        <v>9</v>
      </c>
      <c r="AH964" s="5">
        <v>0</v>
      </c>
      <c r="AI964" s="5">
        <v>10</v>
      </c>
    </row>
    <row r="965" spans="1:35" x14ac:dyDescent="0.25">
      <c r="A965" s="5">
        <v>38</v>
      </c>
      <c r="B965" s="5" t="s">
        <v>43</v>
      </c>
      <c r="C965" s="5" t="s">
        <v>36</v>
      </c>
      <c r="D965" s="5">
        <v>1009</v>
      </c>
      <c r="E965" s="5" t="s">
        <v>37</v>
      </c>
      <c r="F965" s="5">
        <v>2</v>
      </c>
      <c r="G965" s="5">
        <v>2</v>
      </c>
      <c r="H965" s="5" t="s">
        <v>38</v>
      </c>
      <c r="I965" s="5">
        <v>1</v>
      </c>
      <c r="J965" s="5">
        <v>1355</v>
      </c>
      <c r="K965" s="5">
        <v>2</v>
      </c>
      <c r="L965" s="5" t="s">
        <v>39</v>
      </c>
      <c r="M965" s="5">
        <v>31</v>
      </c>
      <c r="N965" s="5">
        <v>3</v>
      </c>
      <c r="O965" s="5">
        <v>2</v>
      </c>
      <c r="P965" s="5" t="s">
        <v>40</v>
      </c>
      <c r="Q965" s="5">
        <v>1</v>
      </c>
      <c r="R965" s="5" t="s">
        <v>52</v>
      </c>
      <c r="S965" s="5">
        <v>6893</v>
      </c>
      <c r="T965" s="5">
        <v>19461</v>
      </c>
      <c r="U965" s="5">
        <v>3</v>
      </c>
      <c r="V965" s="5" t="s">
        <v>42</v>
      </c>
      <c r="W965" s="5" t="s">
        <v>43</v>
      </c>
      <c r="X965" s="5">
        <v>15</v>
      </c>
      <c r="Y965" s="5">
        <v>3</v>
      </c>
      <c r="Z965" s="5">
        <v>4</v>
      </c>
      <c r="AA965" s="5">
        <v>80</v>
      </c>
      <c r="AB965" s="5">
        <v>1</v>
      </c>
      <c r="AC965" s="5">
        <v>11</v>
      </c>
      <c r="AD965" s="5">
        <v>3</v>
      </c>
      <c r="AE965" s="5">
        <v>3</v>
      </c>
      <c r="AF965" s="5">
        <v>7</v>
      </c>
      <c r="AG965" s="5">
        <v>7</v>
      </c>
      <c r="AH965" s="5">
        <v>1</v>
      </c>
      <c r="AI965" s="5">
        <v>7</v>
      </c>
    </row>
    <row r="966" spans="1:35" x14ac:dyDescent="0.25">
      <c r="A966" s="5">
        <v>34</v>
      </c>
      <c r="B966" s="5" t="s">
        <v>43</v>
      </c>
      <c r="C966" s="5" t="s">
        <v>36</v>
      </c>
      <c r="D966" s="5">
        <v>507</v>
      </c>
      <c r="E966" s="5" t="s">
        <v>37</v>
      </c>
      <c r="F966" s="5">
        <v>15</v>
      </c>
      <c r="G966" s="5">
        <v>2</v>
      </c>
      <c r="H966" s="5" t="s">
        <v>51</v>
      </c>
      <c r="I966" s="5">
        <v>1</v>
      </c>
      <c r="J966" s="5">
        <v>1356</v>
      </c>
      <c r="K966" s="5">
        <v>3</v>
      </c>
      <c r="L966" s="5" t="s">
        <v>39</v>
      </c>
      <c r="M966" s="5">
        <v>66</v>
      </c>
      <c r="N966" s="5">
        <v>3</v>
      </c>
      <c r="O966" s="5">
        <v>2</v>
      </c>
      <c r="P966" s="5" t="s">
        <v>40</v>
      </c>
      <c r="Q966" s="5">
        <v>1</v>
      </c>
      <c r="R966" s="5" t="s">
        <v>41</v>
      </c>
      <c r="S966" s="5">
        <v>6125</v>
      </c>
      <c r="T966" s="5">
        <v>23553</v>
      </c>
      <c r="U966" s="5">
        <v>1</v>
      </c>
      <c r="V966" s="5" t="s">
        <v>42</v>
      </c>
      <c r="W966" s="5" t="s">
        <v>43</v>
      </c>
      <c r="X966" s="5">
        <v>12</v>
      </c>
      <c r="Y966" s="5">
        <v>3</v>
      </c>
      <c r="Z966" s="5">
        <v>4</v>
      </c>
      <c r="AA966" s="5">
        <v>80</v>
      </c>
      <c r="AB966" s="5">
        <v>0</v>
      </c>
      <c r="AC966" s="5">
        <v>10</v>
      </c>
      <c r="AD966" s="5">
        <v>6</v>
      </c>
      <c r="AE966" s="5">
        <v>4</v>
      </c>
      <c r="AF966" s="5">
        <v>10</v>
      </c>
      <c r="AG966" s="5">
        <v>8</v>
      </c>
      <c r="AH966" s="5">
        <v>9</v>
      </c>
      <c r="AI966" s="5">
        <v>6</v>
      </c>
    </row>
    <row r="967" spans="1:35" x14ac:dyDescent="0.25">
      <c r="A967" s="5">
        <v>25</v>
      </c>
      <c r="B967" s="5" t="s">
        <v>43</v>
      </c>
      <c r="C967" s="5" t="s">
        <v>36</v>
      </c>
      <c r="D967" s="5">
        <v>882</v>
      </c>
      <c r="E967" s="5" t="s">
        <v>45</v>
      </c>
      <c r="F967" s="5">
        <v>19</v>
      </c>
      <c r="G967" s="5">
        <v>1</v>
      </c>
      <c r="H967" s="5" t="s">
        <v>51</v>
      </c>
      <c r="I967" s="5">
        <v>1</v>
      </c>
      <c r="J967" s="5">
        <v>1358</v>
      </c>
      <c r="K967" s="5">
        <v>4</v>
      </c>
      <c r="L967" s="5" t="s">
        <v>46</v>
      </c>
      <c r="M967" s="5">
        <v>67</v>
      </c>
      <c r="N967" s="5">
        <v>3</v>
      </c>
      <c r="O967" s="5">
        <v>1</v>
      </c>
      <c r="P967" s="5" t="s">
        <v>50</v>
      </c>
      <c r="Q967" s="5">
        <v>4</v>
      </c>
      <c r="R967" s="5" t="s">
        <v>48</v>
      </c>
      <c r="S967" s="5">
        <v>3669</v>
      </c>
      <c r="T967" s="5">
        <v>9075</v>
      </c>
      <c r="U967" s="5">
        <v>3</v>
      </c>
      <c r="V967" s="5" t="s">
        <v>42</v>
      </c>
      <c r="W967" s="5" t="s">
        <v>43</v>
      </c>
      <c r="X967" s="5">
        <v>11</v>
      </c>
      <c r="Y967" s="5">
        <v>3</v>
      </c>
      <c r="Z967" s="5">
        <v>3</v>
      </c>
      <c r="AA967" s="5">
        <v>80</v>
      </c>
      <c r="AB967" s="5">
        <v>3</v>
      </c>
      <c r="AC967" s="5">
        <v>7</v>
      </c>
      <c r="AD967" s="5">
        <v>6</v>
      </c>
      <c r="AE967" s="5">
        <v>2</v>
      </c>
      <c r="AF967" s="5">
        <v>3</v>
      </c>
      <c r="AG967" s="5">
        <v>2</v>
      </c>
      <c r="AH967" s="5">
        <v>1</v>
      </c>
      <c r="AI967" s="5">
        <v>2</v>
      </c>
    </row>
    <row r="968" spans="1:35" x14ac:dyDescent="0.25">
      <c r="A968" s="5">
        <v>58</v>
      </c>
      <c r="B968" s="5" t="s">
        <v>35</v>
      </c>
      <c r="C968" s="5" t="s">
        <v>36</v>
      </c>
      <c r="D968" s="5">
        <v>601</v>
      </c>
      <c r="E968" s="5" t="s">
        <v>45</v>
      </c>
      <c r="F968" s="5">
        <v>7</v>
      </c>
      <c r="G968" s="5">
        <v>4</v>
      </c>
      <c r="H968" s="5" t="s">
        <v>51</v>
      </c>
      <c r="I968" s="5">
        <v>1</v>
      </c>
      <c r="J968" s="5">
        <v>1360</v>
      </c>
      <c r="K968" s="5">
        <v>3</v>
      </c>
      <c r="L968" s="5" t="s">
        <v>39</v>
      </c>
      <c r="M968" s="5">
        <v>53</v>
      </c>
      <c r="N968" s="5">
        <v>2</v>
      </c>
      <c r="O968" s="5">
        <v>3</v>
      </c>
      <c r="P968" s="5" t="s">
        <v>53</v>
      </c>
      <c r="Q968" s="5">
        <v>1</v>
      </c>
      <c r="R968" s="5" t="s">
        <v>48</v>
      </c>
      <c r="S968" s="5">
        <v>10008</v>
      </c>
      <c r="T968" s="5">
        <v>12023</v>
      </c>
      <c r="U968" s="5">
        <v>7</v>
      </c>
      <c r="V968" s="5" t="s">
        <v>42</v>
      </c>
      <c r="W968" s="5" t="s">
        <v>35</v>
      </c>
      <c r="X968" s="5">
        <v>14</v>
      </c>
      <c r="Y968" s="5">
        <v>3</v>
      </c>
      <c r="Z968" s="5">
        <v>4</v>
      </c>
      <c r="AA968" s="5">
        <v>80</v>
      </c>
      <c r="AB968" s="5">
        <v>0</v>
      </c>
      <c r="AC968" s="5">
        <v>31</v>
      </c>
      <c r="AD968" s="5">
        <v>0</v>
      </c>
      <c r="AE968" s="5">
        <v>2</v>
      </c>
      <c r="AF968" s="5">
        <v>10</v>
      </c>
      <c r="AG968" s="5">
        <v>9</v>
      </c>
      <c r="AH968" s="5">
        <v>5</v>
      </c>
      <c r="AI968" s="5">
        <v>9</v>
      </c>
    </row>
    <row r="969" spans="1:35" x14ac:dyDescent="0.25">
      <c r="A969" s="5">
        <v>40</v>
      </c>
      <c r="B969" s="5" t="s">
        <v>43</v>
      </c>
      <c r="C969" s="5" t="s">
        <v>36</v>
      </c>
      <c r="D969" s="5">
        <v>329</v>
      </c>
      <c r="E969" s="5" t="s">
        <v>45</v>
      </c>
      <c r="F969" s="5">
        <v>1</v>
      </c>
      <c r="G969" s="5">
        <v>4</v>
      </c>
      <c r="H969" s="5" t="s">
        <v>38</v>
      </c>
      <c r="I969" s="5">
        <v>1</v>
      </c>
      <c r="J969" s="5">
        <v>1361</v>
      </c>
      <c r="K969" s="5">
        <v>2</v>
      </c>
      <c r="L969" s="5" t="s">
        <v>46</v>
      </c>
      <c r="M969" s="5">
        <v>88</v>
      </c>
      <c r="N969" s="5">
        <v>3</v>
      </c>
      <c r="O969" s="5">
        <v>1</v>
      </c>
      <c r="P969" s="5" t="s">
        <v>50</v>
      </c>
      <c r="Q969" s="5">
        <v>2</v>
      </c>
      <c r="R969" s="5" t="s">
        <v>48</v>
      </c>
      <c r="S969" s="5">
        <v>2387</v>
      </c>
      <c r="T969" s="5">
        <v>6762</v>
      </c>
      <c r="U969" s="5">
        <v>3</v>
      </c>
      <c r="V969" s="5" t="s">
        <v>42</v>
      </c>
      <c r="W969" s="5" t="s">
        <v>43</v>
      </c>
      <c r="X969" s="5">
        <v>22</v>
      </c>
      <c r="Y969" s="5">
        <v>4</v>
      </c>
      <c r="Z969" s="5">
        <v>3</v>
      </c>
      <c r="AA969" s="5">
        <v>80</v>
      </c>
      <c r="AB969" s="5">
        <v>1</v>
      </c>
      <c r="AC969" s="5">
        <v>7</v>
      </c>
      <c r="AD969" s="5">
        <v>3</v>
      </c>
      <c r="AE969" s="5">
        <v>3</v>
      </c>
      <c r="AF969" s="5">
        <v>4</v>
      </c>
      <c r="AG969" s="5">
        <v>2</v>
      </c>
      <c r="AH969" s="5">
        <v>0</v>
      </c>
      <c r="AI969" s="5">
        <v>3</v>
      </c>
    </row>
    <row r="970" spans="1:35" x14ac:dyDescent="0.25">
      <c r="A970" s="5">
        <v>36</v>
      </c>
      <c r="B970" s="5" t="s">
        <v>43</v>
      </c>
      <c r="C970" s="5" t="s">
        <v>44</v>
      </c>
      <c r="D970" s="5">
        <v>607</v>
      </c>
      <c r="E970" s="5" t="s">
        <v>37</v>
      </c>
      <c r="F970" s="5">
        <v>7</v>
      </c>
      <c r="G970" s="5">
        <v>3</v>
      </c>
      <c r="H970" s="5" t="s">
        <v>59</v>
      </c>
      <c r="I970" s="5">
        <v>1</v>
      </c>
      <c r="J970" s="5">
        <v>1362</v>
      </c>
      <c r="K970" s="5">
        <v>1</v>
      </c>
      <c r="L970" s="5" t="s">
        <v>39</v>
      </c>
      <c r="M970" s="5">
        <v>83</v>
      </c>
      <c r="N970" s="5">
        <v>4</v>
      </c>
      <c r="O970" s="5">
        <v>2</v>
      </c>
      <c r="P970" s="5" t="s">
        <v>40</v>
      </c>
      <c r="Q970" s="5">
        <v>1</v>
      </c>
      <c r="R970" s="5" t="s">
        <v>48</v>
      </c>
      <c r="S970" s="5">
        <v>4639</v>
      </c>
      <c r="T970" s="5">
        <v>2261</v>
      </c>
      <c r="U970" s="5">
        <v>2</v>
      </c>
      <c r="V970" s="5" t="s">
        <v>42</v>
      </c>
      <c r="W970" s="5" t="s">
        <v>43</v>
      </c>
      <c r="X970" s="5">
        <v>16</v>
      </c>
      <c r="Y970" s="5">
        <v>3</v>
      </c>
      <c r="Z970" s="5">
        <v>4</v>
      </c>
      <c r="AA970" s="5">
        <v>80</v>
      </c>
      <c r="AB970" s="5">
        <v>1</v>
      </c>
      <c r="AC970" s="5">
        <v>17</v>
      </c>
      <c r="AD970" s="5">
        <v>2</v>
      </c>
      <c r="AE970" s="5">
        <v>2</v>
      </c>
      <c r="AF970" s="5">
        <v>15</v>
      </c>
      <c r="AG970" s="5">
        <v>7</v>
      </c>
      <c r="AH970" s="5">
        <v>6</v>
      </c>
      <c r="AI970" s="5">
        <v>13</v>
      </c>
    </row>
    <row r="971" spans="1:35" x14ac:dyDescent="0.25">
      <c r="A971" s="5">
        <v>48</v>
      </c>
      <c r="B971" s="5" t="s">
        <v>43</v>
      </c>
      <c r="C971" s="5" t="s">
        <v>36</v>
      </c>
      <c r="D971" s="5">
        <v>855</v>
      </c>
      <c r="E971" s="5" t="s">
        <v>45</v>
      </c>
      <c r="F971" s="5">
        <v>4</v>
      </c>
      <c r="G971" s="5">
        <v>3</v>
      </c>
      <c r="H971" s="5" t="s">
        <v>38</v>
      </c>
      <c r="I971" s="5">
        <v>1</v>
      </c>
      <c r="J971" s="5">
        <v>1363</v>
      </c>
      <c r="K971" s="5">
        <v>4</v>
      </c>
      <c r="L971" s="5" t="s">
        <v>46</v>
      </c>
      <c r="M971" s="5">
        <v>54</v>
      </c>
      <c r="N971" s="5">
        <v>3</v>
      </c>
      <c r="O971" s="5">
        <v>3</v>
      </c>
      <c r="P971" s="5" t="s">
        <v>53</v>
      </c>
      <c r="Q971" s="5">
        <v>4</v>
      </c>
      <c r="R971" s="5" t="s">
        <v>41</v>
      </c>
      <c r="S971" s="5">
        <v>7898</v>
      </c>
      <c r="T971" s="5">
        <v>18706</v>
      </c>
      <c r="U971" s="5">
        <v>1</v>
      </c>
      <c r="V971" s="5" t="s">
        <v>42</v>
      </c>
      <c r="W971" s="5" t="s">
        <v>43</v>
      </c>
      <c r="X971" s="5">
        <v>11</v>
      </c>
      <c r="Y971" s="5">
        <v>3</v>
      </c>
      <c r="Z971" s="5">
        <v>3</v>
      </c>
      <c r="AA971" s="5">
        <v>80</v>
      </c>
      <c r="AB971" s="5">
        <v>0</v>
      </c>
      <c r="AC971" s="5">
        <v>11</v>
      </c>
      <c r="AD971" s="5">
        <v>2</v>
      </c>
      <c r="AE971" s="5">
        <v>3</v>
      </c>
      <c r="AF971" s="5">
        <v>10</v>
      </c>
      <c r="AG971" s="5">
        <v>9</v>
      </c>
      <c r="AH971" s="5">
        <v>0</v>
      </c>
      <c r="AI971" s="5">
        <v>8</v>
      </c>
    </row>
    <row r="972" spans="1:35" x14ac:dyDescent="0.25">
      <c r="A972" s="5">
        <v>27</v>
      </c>
      <c r="B972" s="5" t="s">
        <v>43</v>
      </c>
      <c r="C972" s="5" t="s">
        <v>36</v>
      </c>
      <c r="D972" s="5">
        <v>1291</v>
      </c>
      <c r="E972" s="5" t="s">
        <v>37</v>
      </c>
      <c r="F972" s="5">
        <v>11</v>
      </c>
      <c r="G972" s="5">
        <v>3</v>
      </c>
      <c r="H972" s="5" t="s">
        <v>51</v>
      </c>
      <c r="I972" s="5">
        <v>1</v>
      </c>
      <c r="J972" s="5">
        <v>1364</v>
      </c>
      <c r="K972" s="5">
        <v>3</v>
      </c>
      <c r="L972" s="5" t="s">
        <v>39</v>
      </c>
      <c r="M972" s="5">
        <v>98</v>
      </c>
      <c r="N972" s="5">
        <v>4</v>
      </c>
      <c r="O972" s="5">
        <v>1</v>
      </c>
      <c r="P972" s="5" t="s">
        <v>57</v>
      </c>
      <c r="Q972" s="5">
        <v>4</v>
      </c>
      <c r="R972" s="5" t="s">
        <v>48</v>
      </c>
      <c r="S972" s="5">
        <v>2534</v>
      </c>
      <c r="T972" s="5">
        <v>6527</v>
      </c>
      <c r="U972" s="5">
        <v>8</v>
      </c>
      <c r="V972" s="5" t="s">
        <v>42</v>
      </c>
      <c r="W972" s="5" t="s">
        <v>43</v>
      </c>
      <c r="X972" s="5">
        <v>14</v>
      </c>
      <c r="Y972" s="5">
        <v>3</v>
      </c>
      <c r="Z972" s="5">
        <v>2</v>
      </c>
      <c r="AA972" s="5">
        <v>80</v>
      </c>
      <c r="AB972" s="5">
        <v>1</v>
      </c>
      <c r="AC972" s="5">
        <v>5</v>
      </c>
      <c r="AD972" s="5">
        <v>4</v>
      </c>
      <c r="AE972" s="5">
        <v>3</v>
      </c>
      <c r="AF972" s="5">
        <v>1</v>
      </c>
      <c r="AG972" s="5">
        <v>0</v>
      </c>
      <c r="AH972" s="5">
        <v>0</v>
      </c>
      <c r="AI972" s="5">
        <v>0</v>
      </c>
    </row>
    <row r="973" spans="1:35" x14ac:dyDescent="0.25">
      <c r="A973" s="5">
        <v>51</v>
      </c>
      <c r="B973" s="5" t="s">
        <v>43</v>
      </c>
      <c r="C973" s="5" t="s">
        <v>36</v>
      </c>
      <c r="D973" s="5">
        <v>1405</v>
      </c>
      <c r="E973" s="5" t="s">
        <v>45</v>
      </c>
      <c r="F973" s="5">
        <v>11</v>
      </c>
      <c r="G973" s="5">
        <v>2</v>
      </c>
      <c r="H973" s="5" t="s">
        <v>60</v>
      </c>
      <c r="I973" s="5">
        <v>1</v>
      </c>
      <c r="J973" s="5">
        <v>1367</v>
      </c>
      <c r="K973" s="5">
        <v>4</v>
      </c>
      <c r="L973" s="5" t="s">
        <v>39</v>
      </c>
      <c r="M973" s="5">
        <v>82</v>
      </c>
      <c r="N973" s="5">
        <v>2</v>
      </c>
      <c r="O973" s="5">
        <v>4</v>
      </c>
      <c r="P973" s="5" t="s">
        <v>53</v>
      </c>
      <c r="Q973" s="5">
        <v>2</v>
      </c>
      <c r="R973" s="5" t="s">
        <v>41</v>
      </c>
      <c r="S973" s="5">
        <v>13142</v>
      </c>
      <c r="T973" s="5">
        <v>24439</v>
      </c>
      <c r="U973" s="5">
        <v>3</v>
      </c>
      <c r="V973" s="5" t="s">
        <v>42</v>
      </c>
      <c r="W973" s="5" t="s">
        <v>43</v>
      </c>
      <c r="X973" s="5">
        <v>16</v>
      </c>
      <c r="Y973" s="5">
        <v>3</v>
      </c>
      <c r="Z973" s="5">
        <v>2</v>
      </c>
      <c r="AA973" s="5">
        <v>80</v>
      </c>
      <c r="AB973" s="5">
        <v>0</v>
      </c>
      <c r="AC973" s="5">
        <v>29</v>
      </c>
      <c r="AD973" s="5">
        <v>1</v>
      </c>
      <c r="AE973" s="5">
        <v>2</v>
      </c>
      <c r="AF973" s="5">
        <v>5</v>
      </c>
      <c r="AG973" s="5">
        <v>2</v>
      </c>
      <c r="AH973" s="5">
        <v>0</v>
      </c>
      <c r="AI973" s="5">
        <v>3</v>
      </c>
    </row>
    <row r="974" spans="1:35" x14ac:dyDescent="0.25">
      <c r="A974" s="5">
        <v>18</v>
      </c>
      <c r="B974" s="5" t="s">
        <v>43</v>
      </c>
      <c r="C974" s="5" t="s">
        <v>55</v>
      </c>
      <c r="D974" s="5">
        <v>1124</v>
      </c>
      <c r="E974" s="5" t="s">
        <v>45</v>
      </c>
      <c r="F974" s="5">
        <v>1</v>
      </c>
      <c r="G974" s="5">
        <v>3</v>
      </c>
      <c r="H974" s="5" t="s">
        <v>38</v>
      </c>
      <c r="I974" s="5">
        <v>1</v>
      </c>
      <c r="J974" s="5">
        <v>1368</v>
      </c>
      <c r="K974" s="5">
        <v>4</v>
      </c>
      <c r="L974" s="5" t="s">
        <v>39</v>
      </c>
      <c r="M974" s="5">
        <v>97</v>
      </c>
      <c r="N974" s="5">
        <v>3</v>
      </c>
      <c r="O974" s="5">
        <v>1</v>
      </c>
      <c r="P974" s="5" t="s">
        <v>50</v>
      </c>
      <c r="Q974" s="5">
        <v>4</v>
      </c>
      <c r="R974" s="5" t="s">
        <v>41</v>
      </c>
      <c r="S974" s="5">
        <v>1611</v>
      </c>
      <c r="T974" s="5">
        <v>19305</v>
      </c>
      <c r="U974" s="5">
        <v>1</v>
      </c>
      <c r="V974" s="5" t="s">
        <v>42</v>
      </c>
      <c r="W974" s="5" t="s">
        <v>43</v>
      </c>
      <c r="X974" s="5">
        <v>15</v>
      </c>
      <c r="Y974" s="5">
        <v>3</v>
      </c>
      <c r="Z974" s="5">
        <v>3</v>
      </c>
      <c r="AA974" s="5">
        <v>80</v>
      </c>
      <c r="AB974" s="5">
        <v>0</v>
      </c>
      <c r="AC974" s="5">
        <v>0</v>
      </c>
      <c r="AD974" s="5">
        <v>5</v>
      </c>
      <c r="AE974" s="5">
        <v>4</v>
      </c>
      <c r="AF974" s="5">
        <v>0</v>
      </c>
      <c r="AG974" s="5">
        <v>0</v>
      </c>
      <c r="AH974" s="5">
        <v>0</v>
      </c>
      <c r="AI974" s="5">
        <v>0</v>
      </c>
    </row>
    <row r="975" spans="1:35" x14ac:dyDescent="0.25">
      <c r="A975" s="5">
        <v>35</v>
      </c>
      <c r="B975" s="5" t="s">
        <v>43</v>
      </c>
      <c r="C975" s="5" t="s">
        <v>36</v>
      </c>
      <c r="D975" s="5">
        <v>817</v>
      </c>
      <c r="E975" s="5" t="s">
        <v>45</v>
      </c>
      <c r="F975" s="5">
        <v>1</v>
      </c>
      <c r="G975" s="5">
        <v>3</v>
      </c>
      <c r="H975" s="5" t="s">
        <v>51</v>
      </c>
      <c r="I975" s="5">
        <v>1</v>
      </c>
      <c r="J975" s="5">
        <v>1369</v>
      </c>
      <c r="K975" s="5">
        <v>4</v>
      </c>
      <c r="L975" s="5" t="s">
        <v>39</v>
      </c>
      <c r="M975" s="5">
        <v>60</v>
      </c>
      <c r="N975" s="5">
        <v>2</v>
      </c>
      <c r="O975" s="5">
        <v>2</v>
      </c>
      <c r="P975" s="5" t="s">
        <v>50</v>
      </c>
      <c r="Q975" s="5">
        <v>4</v>
      </c>
      <c r="R975" s="5" t="s">
        <v>48</v>
      </c>
      <c r="S975" s="5">
        <v>5363</v>
      </c>
      <c r="T975" s="5">
        <v>10846</v>
      </c>
      <c r="U975" s="5">
        <v>0</v>
      </c>
      <c r="V975" s="5" t="s">
        <v>42</v>
      </c>
      <c r="W975" s="5" t="s">
        <v>43</v>
      </c>
      <c r="X975" s="5">
        <v>12</v>
      </c>
      <c r="Y975" s="5">
        <v>3</v>
      </c>
      <c r="Z975" s="5">
        <v>2</v>
      </c>
      <c r="AA975" s="5">
        <v>80</v>
      </c>
      <c r="AB975" s="5">
        <v>1</v>
      </c>
      <c r="AC975" s="5">
        <v>10</v>
      </c>
      <c r="AD975" s="5">
        <v>0</v>
      </c>
      <c r="AE975" s="5">
        <v>3</v>
      </c>
      <c r="AF975" s="5">
        <v>9</v>
      </c>
      <c r="AG975" s="5">
        <v>7</v>
      </c>
      <c r="AH975" s="5">
        <v>0</v>
      </c>
      <c r="AI975" s="5">
        <v>0</v>
      </c>
    </row>
    <row r="976" spans="1:35" x14ac:dyDescent="0.25">
      <c r="A976" s="5">
        <v>27</v>
      </c>
      <c r="B976" s="5" t="s">
        <v>43</v>
      </c>
      <c r="C976" s="5" t="s">
        <v>44</v>
      </c>
      <c r="D976" s="5">
        <v>793</v>
      </c>
      <c r="E976" s="5" t="s">
        <v>37</v>
      </c>
      <c r="F976" s="5">
        <v>2</v>
      </c>
      <c r="G976" s="5">
        <v>1</v>
      </c>
      <c r="H976" s="5" t="s">
        <v>38</v>
      </c>
      <c r="I976" s="5">
        <v>1</v>
      </c>
      <c r="J976" s="5">
        <v>1371</v>
      </c>
      <c r="K976" s="5">
        <v>4</v>
      </c>
      <c r="L976" s="5" t="s">
        <v>46</v>
      </c>
      <c r="M976" s="5">
        <v>43</v>
      </c>
      <c r="N976" s="5">
        <v>1</v>
      </c>
      <c r="O976" s="5">
        <v>2</v>
      </c>
      <c r="P976" s="5" t="s">
        <v>40</v>
      </c>
      <c r="Q976" s="5">
        <v>4</v>
      </c>
      <c r="R976" s="5" t="s">
        <v>41</v>
      </c>
      <c r="S976" s="5">
        <v>5071</v>
      </c>
      <c r="T976" s="5">
        <v>20392</v>
      </c>
      <c r="U976" s="5">
        <v>3</v>
      </c>
      <c r="V976" s="5" t="s">
        <v>42</v>
      </c>
      <c r="W976" s="5" t="s">
        <v>43</v>
      </c>
      <c r="X976" s="5">
        <v>20</v>
      </c>
      <c r="Y976" s="5">
        <v>4</v>
      </c>
      <c r="Z976" s="5">
        <v>2</v>
      </c>
      <c r="AA976" s="5">
        <v>80</v>
      </c>
      <c r="AB976" s="5">
        <v>0</v>
      </c>
      <c r="AC976" s="5">
        <v>8</v>
      </c>
      <c r="AD976" s="5">
        <v>3</v>
      </c>
      <c r="AE976" s="5">
        <v>3</v>
      </c>
      <c r="AF976" s="5">
        <v>6</v>
      </c>
      <c r="AG976" s="5">
        <v>2</v>
      </c>
      <c r="AH976" s="5">
        <v>0</v>
      </c>
      <c r="AI976" s="5">
        <v>0</v>
      </c>
    </row>
    <row r="977" spans="1:35" x14ac:dyDescent="0.25">
      <c r="A977" s="5">
        <v>55</v>
      </c>
      <c r="B977" s="5" t="s">
        <v>35</v>
      </c>
      <c r="C977" s="5" t="s">
        <v>36</v>
      </c>
      <c r="D977" s="5">
        <v>267</v>
      </c>
      <c r="E977" s="5" t="s">
        <v>37</v>
      </c>
      <c r="F977" s="5">
        <v>13</v>
      </c>
      <c r="G977" s="5">
        <v>4</v>
      </c>
      <c r="H977" s="5" t="s">
        <v>59</v>
      </c>
      <c r="I977" s="5">
        <v>1</v>
      </c>
      <c r="J977" s="5">
        <v>1372</v>
      </c>
      <c r="K977" s="5">
        <v>1</v>
      </c>
      <c r="L977" s="5" t="s">
        <v>46</v>
      </c>
      <c r="M977" s="5">
        <v>85</v>
      </c>
      <c r="N977" s="5">
        <v>4</v>
      </c>
      <c r="O977" s="5">
        <v>4</v>
      </c>
      <c r="P977" s="5" t="s">
        <v>40</v>
      </c>
      <c r="Q977" s="5">
        <v>3</v>
      </c>
      <c r="R977" s="5" t="s">
        <v>41</v>
      </c>
      <c r="S977" s="5">
        <v>13695</v>
      </c>
      <c r="T977" s="5">
        <v>9277</v>
      </c>
      <c r="U977" s="5">
        <v>6</v>
      </c>
      <c r="V977" s="5" t="s">
        <v>42</v>
      </c>
      <c r="W977" s="5" t="s">
        <v>35</v>
      </c>
      <c r="X977" s="5">
        <v>17</v>
      </c>
      <c r="Y977" s="5">
        <v>3</v>
      </c>
      <c r="Z977" s="5">
        <v>3</v>
      </c>
      <c r="AA977" s="5">
        <v>80</v>
      </c>
      <c r="AB977" s="5">
        <v>0</v>
      </c>
      <c r="AC977" s="5">
        <v>24</v>
      </c>
      <c r="AD977" s="5">
        <v>2</v>
      </c>
      <c r="AE977" s="5">
        <v>2</v>
      </c>
      <c r="AF977" s="5">
        <v>19</v>
      </c>
      <c r="AG977" s="5">
        <v>7</v>
      </c>
      <c r="AH977" s="5">
        <v>3</v>
      </c>
      <c r="AI977" s="5">
        <v>8</v>
      </c>
    </row>
    <row r="978" spans="1:35" x14ac:dyDescent="0.25">
      <c r="A978" s="5">
        <v>56</v>
      </c>
      <c r="B978" s="5" t="s">
        <v>43</v>
      </c>
      <c r="C978" s="5" t="s">
        <v>36</v>
      </c>
      <c r="D978" s="5">
        <v>1369</v>
      </c>
      <c r="E978" s="5" t="s">
        <v>45</v>
      </c>
      <c r="F978" s="5">
        <v>23</v>
      </c>
      <c r="G978" s="5">
        <v>3</v>
      </c>
      <c r="H978" s="5" t="s">
        <v>38</v>
      </c>
      <c r="I978" s="5">
        <v>1</v>
      </c>
      <c r="J978" s="5">
        <v>1373</v>
      </c>
      <c r="K978" s="5">
        <v>4</v>
      </c>
      <c r="L978" s="5" t="s">
        <v>46</v>
      </c>
      <c r="M978" s="5">
        <v>68</v>
      </c>
      <c r="N978" s="5">
        <v>3</v>
      </c>
      <c r="O978" s="5">
        <v>4</v>
      </c>
      <c r="P978" s="5" t="s">
        <v>53</v>
      </c>
      <c r="Q978" s="5">
        <v>2</v>
      </c>
      <c r="R978" s="5" t="s">
        <v>48</v>
      </c>
      <c r="S978" s="5">
        <v>13402</v>
      </c>
      <c r="T978" s="5">
        <v>18235</v>
      </c>
      <c r="U978" s="5">
        <v>4</v>
      </c>
      <c r="V978" s="5" t="s">
        <v>42</v>
      </c>
      <c r="W978" s="5" t="s">
        <v>35</v>
      </c>
      <c r="X978" s="5">
        <v>12</v>
      </c>
      <c r="Y978" s="5">
        <v>3</v>
      </c>
      <c r="Z978" s="5">
        <v>1</v>
      </c>
      <c r="AA978" s="5">
        <v>80</v>
      </c>
      <c r="AB978" s="5">
        <v>1</v>
      </c>
      <c r="AC978" s="5">
        <v>33</v>
      </c>
      <c r="AD978" s="5">
        <v>0</v>
      </c>
      <c r="AE978" s="5">
        <v>3</v>
      </c>
      <c r="AF978" s="5">
        <v>19</v>
      </c>
      <c r="AG978" s="5">
        <v>16</v>
      </c>
      <c r="AH978" s="5">
        <v>15</v>
      </c>
      <c r="AI978" s="5">
        <v>9</v>
      </c>
    </row>
    <row r="979" spans="1:35" x14ac:dyDescent="0.25">
      <c r="A979" s="5">
        <v>34</v>
      </c>
      <c r="B979" s="5" t="s">
        <v>43</v>
      </c>
      <c r="C979" s="5" t="s">
        <v>55</v>
      </c>
      <c r="D979" s="5">
        <v>999</v>
      </c>
      <c r="E979" s="5" t="s">
        <v>45</v>
      </c>
      <c r="F979" s="5">
        <v>26</v>
      </c>
      <c r="G979" s="5">
        <v>1</v>
      </c>
      <c r="H979" s="5" t="s">
        <v>60</v>
      </c>
      <c r="I979" s="5">
        <v>1</v>
      </c>
      <c r="J979" s="5">
        <v>1374</v>
      </c>
      <c r="K979" s="5">
        <v>1</v>
      </c>
      <c r="L979" s="5" t="s">
        <v>39</v>
      </c>
      <c r="M979" s="5">
        <v>92</v>
      </c>
      <c r="N979" s="5">
        <v>2</v>
      </c>
      <c r="O979" s="5">
        <v>1</v>
      </c>
      <c r="P979" s="5" t="s">
        <v>47</v>
      </c>
      <c r="Q979" s="5">
        <v>3</v>
      </c>
      <c r="R979" s="5" t="s">
        <v>52</v>
      </c>
      <c r="S979" s="5">
        <v>2029</v>
      </c>
      <c r="T979" s="5">
        <v>15891</v>
      </c>
      <c r="U979" s="5">
        <v>1</v>
      </c>
      <c r="V979" s="5" t="s">
        <v>42</v>
      </c>
      <c r="W979" s="5" t="s">
        <v>43</v>
      </c>
      <c r="X979" s="5">
        <v>20</v>
      </c>
      <c r="Y979" s="5">
        <v>4</v>
      </c>
      <c r="Z979" s="5">
        <v>3</v>
      </c>
      <c r="AA979" s="5">
        <v>80</v>
      </c>
      <c r="AB979" s="5">
        <v>3</v>
      </c>
      <c r="AC979" s="5">
        <v>5</v>
      </c>
      <c r="AD979" s="5">
        <v>2</v>
      </c>
      <c r="AE979" s="5">
        <v>3</v>
      </c>
      <c r="AF979" s="5">
        <v>5</v>
      </c>
      <c r="AG979" s="5">
        <v>4</v>
      </c>
      <c r="AH979" s="5">
        <v>0</v>
      </c>
      <c r="AI979" s="5">
        <v>0</v>
      </c>
    </row>
    <row r="980" spans="1:35" x14ac:dyDescent="0.25">
      <c r="A980" s="5">
        <v>40</v>
      </c>
      <c r="B980" s="5" t="s">
        <v>43</v>
      </c>
      <c r="C980" s="5" t="s">
        <v>36</v>
      </c>
      <c r="D980" s="5">
        <v>1202</v>
      </c>
      <c r="E980" s="5" t="s">
        <v>45</v>
      </c>
      <c r="F980" s="5">
        <v>2</v>
      </c>
      <c r="G980" s="5">
        <v>1</v>
      </c>
      <c r="H980" s="5" t="s">
        <v>51</v>
      </c>
      <c r="I980" s="5">
        <v>1</v>
      </c>
      <c r="J980" s="5">
        <v>1375</v>
      </c>
      <c r="K980" s="5">
        <v>2</v>
      </c>
      <c r="L980" s="5" t="s">
        <v>39</v>
      </c>
      <c r="M980" s="5">
        <v>89</v>
      </c>
      <c r="N980" s="5">
        <v>4</v>
      </c>
      <c r="O980" s="5">
        <v>2</v>
      </c>
      <c r="P980" s="5" t="s">
        <v>54</v>
      </c>
      <c r="Q980" s="5">
        <v>3</v>
      </c>
      <c r="R980" s="5" t="s">
        <v>52</v>
      </c>
      <c r="S980" s="5">
        <v>6377</v>
      </c>
      <c r="T980" s="5">
        <v>13888</v>
      </c>
      <c r="U980" s="5">
        <v>5</v>
      </c>
      <c r="V980" s="5" t="s">
        <v>42</v>
      </c>
      <c r="W980" s="5" t="s">
        <v>43</v>
      </c>
      <c r="X980" s="5">
        <v>20</v>
      </c>
      <c r="Y980" s="5">
        <v>4</v>
      </c>
      <c r="Z980" s="5">
        <v>2</v>
      </c>
      <c r="AA980" s="5">
        <v>80</v>
      </c>
      <c r="AB980" s="5">
        <v>3</v>
      </c>
      <c r="AC980" s="5">
        <v>15</v>
      </c>
      <c r="AD980" s="5">
        <v>0</v>
      </c>
      <c r="AE980" s="5">
        <v>3</v>
      </c>
      <c r="AF980" s="5">
        <v>12</v>
      </c>
      <c r="AG980" s="5">
        <v>11</v>
      </c>
      <c r="AH980" s="5">
        <v>11</v>
      </c>
      <c r="AI980" s="5">
        <v>8</v>
      </c>
    </row>
    <row r="981" spans="1:35" x14ac:dyDescent="0.25">
      <c r="A981" s="5">
        <v>34</v>
      </c>
      <c r="B981" s="5" t="s">
        <v>43</v>
      </c>
      <c r="C981" s="5" t="s">
        <v>36</v>
      </c>
      <c r="D981" s="5">
        <v>285</v>
      </c>
      <c r="E981" s="5" t="s">
        <v>45</v>
      </c>
      <c r="F981" s="5">
        <v>29</v>
      </c>
      <c r="G981" s="5">
        <v>3</v>
      </c>
      <c r="H981" s="5" t="s">
        <v>51</v>
      </c>
      <c r="I981" s="5">
        <v>1</v>
      </c>
      <c r="J981" s="5">
        <v>1377</v>
      </c>
      <c r="K981" s="5">
        <v>2</v>
      </c>
      <c r="L981" s="5" t="s">
        <v>46</v>
      </c>
      <c r="M981" s="5">
        <v>86</v>
      </c>
      <c r="N981" s="5">
        <v>3</v>
      </c>
      <c r="O981" s="5">
        <v>2</v>
      </c>
      <c r="P981" s="5" t="s">
        <v>50</v>
      </c>
      <c r="Q981" s="5">
        <v>3</v>
      </c>
      <c r="R981" s="5" t="s">
        <v>48</v>
      </c>
      <c r="S981" s="5">
        <v>5429</v>
      </c>
      <c r="T981" s="5">
        <v>17491</v>
      </c>
      <c r="U981" s="5">
        <v>4</v>
      </c>
      <c r="V981" s="5" t="s">
        <v>42</v>
      </c>
      <c r="W981" s="5" t="s">
        <v>43</v>
      </c>
      <c r="X981" s="5">
        <v>13</v>
      </c>
      <c r="Y981" s="5">
        <v>3</v>
      </c>
      <c r="Z981" s="5">
        <v>1</v>
      </c>
      <c r="AA981" s="5">
        <v>80</v>
      </c>
      <c r="AB981" s="5">
        <v>2</v>
      </c>
      <c r="AC981" s="5">
        <v>10</v>
      </c>
      <c r="AD981" s="5">
        <v>1</v>
      </c>
      <c r="AE981" s="5">
        <v>3</v>
      </c>
      <c r="AF981" s="5">
        <v>8</v>
      </c>
      <c r="AG981" s="5">
        <v>7</v>
      </c>
      <c r="AH981" s="5">
        <v>7</v>
      </c>
      <c r="AI981" s="5">
        <v>7</v>
      </c>
    </row>
    <row r="982" spans="1:35" x14ac:dyDescent="0.25">
      <c r="A982" s="5">
        <v>31</v>
      </c>
      <c r="B982" s="5" t="s">
        <v>35</v>
      </c>
      <c r="C982" s="5" t="s">
        <v>44</v>
      </c>
      <c r="D982" s="5">
        <v>703</v>
      </c>
      <c r="E982" s="5" t="s">
        <v>37</v>
      </c>
      <c r="F982" s="5">
        <v>2</v>
      </c>
      <c r="G982" s="5">
        <v>3</v>
      </c>
      <c r="H982" s="5" t="s">
        <v>38</v>
      </c>
      <c r="I982" s="5">
        <v>1</v>
      </c>
      <c r="J982" s="5">
        <v>1379</v>
      </c>
      <c r="K982" s="5">
        <v>3</v>
      </c>
      <c r="L982" s="5" t="s">
        <v>39</v>
      </c>
      <c r="M982" s="5">
        <v>90</v>
      </c>
      <c r="N982" s="5">
        <v>2</v>
      </c>
      <c r="O982" s="5">
        <v>1</v>
      </c>
      <c r="P982" s="5" t="s">
        <v>57</v>
      </c>
      <c r="Q982" s="5">
        <v>4</v>
      </c>
      <c r="R982" s="5" t="s">
        <v>41</v>
      </c>
      <c r="S982" s="5">
        <v>2785</v>
      </c>
      <c r="T982" s="5">
        <v>11882</v>
      </c>
      <c r="U982" s="5">
        <v>7</v>
      </c>
      <c r="V982" s="5" t="s">
        <v>42</v>
      </c>
      <c r="W982" s="5" t="s">
        <v>43</v>
      </c>
      <c r="X982" s="5">
        <v>14</v>
      </c>
      <c r="Y982" s="5">
        <v>3</v>
      </c>
      <c r="Z982" s="5">
        <v>3</v>
      </c>
      <c r="AA982" s="5">
        <v>80</v>
      </c>
      <c r="AB982" s="5">
        <v>0</v>
      </c>
      <c r="AC982" s="5">
        <v>3</v>
      </c>
      <c r="AD982" s="5">
        <v>3</v>
      </c>
      <c r="AE982" s="5">
        <v>4</v>
      </c>
      <c r="AF982" s="5">
        <v>1</v>
      </c>
      <c r="AG982" s="5">
        <v>0</v>
      </c>
      <c r="AH982" s="5">
        <v>0</v>
      </c>
      <c r="AI982" s="5">
        <v>0</v>
      </c>
    </row>
    <row r="983" spans="1:35" x14ac:dyDescent="0.25">
      <c r="A983" s="5">
        <v>35</v>
      </c>
      <c r="B983" s="5" t="s">
        <v>35</v>
      </c>
      <c r="C983" s="5" t="s">
        <v>44</v>
      </c>
      <c r="D983" s="5">
        <v>662</v>
      </c>
      <c r="E983" s="5" t="s">
        <v>37</v>
      </c>
      <c r="F983" s="5">
        <v>18</v>
      </c>
      <c r="G983" s="5">
        <v>4</v>
      </c>
      <c r="H983" s="5" t="s">
        <v>59</v>
      </c>
      <c r="I983" s="5">
        <v>1</v>
      </c>
      <c r="J983" s="5">
        <v>1380</v>
      </c>
      <c r="K983" s="5">
        <v>4</v>
      </c>
      <c r="L983" s="5" t="s">
        <v>39</v>
      </c>
      <c r="M983" s="5">
        <v>67</v>
      </c>
      <c r="N983" s="5">
        <v>3</v>
      </c>
      <c r="O983" s="5">
        <v>2</v>
      </c>
      <c r="P983" s="5" t="s">
        <v>40</v>
      </c>
      <c r="Q983" s="5">
        <v>3</v>
      </c>
      <c r="R983" s="5" t="s">
        <v>48</v>
      </c>
      <c r="S983" s="5">
        <v>4614</v>
      </c>
      <c r="T983" s="5">
        <v>23288</v>
      </c>
      <c r="U983" s="5">
        <v>0</v>
      </c>
      <c r="V983" s="5" t="s">
        <v>42</v>
      </c>
      <c r="W983" s="5" t="s">
        <v>35</v>
      </c>
      <c r="X983" s="5">
        <v>18</v>
      </c>
      <c r="Y983" s="5">
        <v>3</v>
      </c>
      <c r="Z983" s="5">
        <v>3</v>
      </c>
      <c r="AA983" s="5">
        <v>80</v>
      </c>
      <c r="AB983" s="5">
        <v>1</v>
      </c>
      <c r="AC983" s="5">
        <v>5</v>
      </c>
      <c r="AD983" s="5">
        <v>0</v>
      </c>
      <c r="AE983" s="5">
        <v>2</v>
      </c>
      <c r="AF983" s="5">
        <v>4</v>
      </c>
      <c r="AG983" s="5">
        <v>2</v>
      </c>
      <c r="AH983" s="5">
        <v>3</v>
      </c>
      <c r="AI983" s="5">
        <v>2</v>
      </c>
    </row>
    <row r="984" spans="1:35" x14ac:dyDescent="0.25">
      <c r="A984" s="5">
        <v>38</v>
      </c>
      <c r="B984" s="5" t="s">
        <v>43</v>
      </c>
      <c r="C984" s="5" t="s">
        <v>44</v>
      </c>
      <c r="D984" s="5">
        <v>693</v>
      </c>
      <c r="E984" s="5" t="s">
        <v>45</v>
      </c>
      <c r="F984" s="5">
        <v>7</v>
      </c>
      <c r="G984" s="5">
        <v>3</v>
      </c>
      <c r="H984" s="5" t="s">
        <v>38</v>
      </c>
      <c r="I984" s="5">
        <v>1</v>
      </c>
      <c r="J984" s="5">
        <v>1382</v>
      </c>
      <c r="K984" s="5">
        <v>4</v>
      </c>
      <c r="L984" s="5" t="s">
        <v>46</v>
      </c>
      <c r="M984" s="5">
        <v>57</v>
      </c>
      <c r="N984" s="5">
        <v>4</v>
      </c>
      <c r="O984" s="5">
        <v>1</v>
      </c>
      <c r="P984" s="5" t="s">
        <v>47</v>
      </c>
      <c r="Q984" s="5">
        <v>3</v>
      </c>
      <c r="R984" s="5" t="s">
        <v>52</v>
      </c>
      <c r="S984" s="5">
        <v>2610</v>
      </c>
      <c r="T984" s="5">
        <v>15748</v>
      </c>
      <c r="U984" s="5">
        <v>1</v>
      </c>
      <c r="V984" s="5" t="s">
        <v>42</v>
      </c>
      <c r="W984" s="5" t="s">
        <v>43</v>
      </c>
      <c r="X984" s="5">
        <v>11</v>
      </c>
      <c r="Y984" s="5">
        <v>3</v>
      </c>
      <c r="Z984" s="5">
        <v>4</v>
      </c>
      <c r="AA984" s="5">
        <v>80</v>
      </c>
      <c r="AB984" s="5">
        <v>3</v>
      </c>
      <c r="AC984" s="5">
        <v>4</v>
      </c>
      <c r="AD984" s="5">
        <v>2</v>
      </c>
      <c r="AE984" s="5">
        <v>3</v>
      </c>
      <c r="AF984" s="5">
        <v>4</v>
      </c>
      <c r="AG984" s="5">
        <v>2</v>
      </c>
      <c r="AH984" s="5">
        <v>0</v>
      </c>
      <c r="AI984" s="5">
        <v>3</v>
      </c>
    </row>
    <row r="985" spans="1:35" x14ac:dyDescent="0.25">
      <c r="A985" s="5">
        <v>34</v>
      </c>
      <c r="B985" s="5" t="s">
        <v>43</v>
      </c>
      <c r="C985" s="5" t="s">
        <v>36</v>
      </c>
      <c r="D985" s="5">
        <v>404</v>
      </c>
      <c r="E985" s="5" t="s">
        <v>45</v>
      </c>
      <c r="F985" s="5">
        <v>2</v>
      </c>
      <c r="G985" s="5">
        <v>4</v>
      </c>
      <c r="H985" s="5" t="s">
        <v>60</v>
      </c>
      <c r="I985" s="5">
        <v>1</v>
      </c>
      <c r="J985" s="5">
        <v>1383</v>
      </c>
      <c r="K985" s="5">
        <v>3</v>
      </c>
      <c r="L985" s="5" t="s">
        <v>39</v>
      </c>
      <c r="M985" s="5">
        <v>98</v>
      </c>
      <c r="N985" s="5">
        <v>3</v>
      </c>
      <c r="O985" s="5">
        <v>2</v>
      </c>
      <c r="P985" s="5" t="s">
        <v>54</v>
      </c>
      <c r="Q985" s="5">
        <v>4</v>
      </c>
      <c r="R985" s="5" t="s">
        <v>41</v>
      </c>
      <c r="S985" s="5">
        <v>6687</v>
      </c>
      <c r="T985" s="5">
        <v>6163</v>
      </c>
      <c r="U985" s="5">
        <v>1</v>
      </c>
      <c r="V985" s="5" t="s">
        <v>42</v>
      </c>
      <c r="W985" s="5" t="s">
        <v>43</v>
      </c>
      <c r="X985" s="5">
        <v>11</v>
      </c>
      <c r="Y985" s="5">
        <v>3</v>
      </c>
      <c r="Z985" s="5">
        <v>4</v>
      </c>
      <c r="AA985" s="5">
        <v>80</v>
      </c>
      <c r="AB985" s="5">
        <v>0</v>
      </c>
      <c r="AC985" s="5">
        <v>14</v>
      </c>
      <c r="AD985" s="5">
        <v>2</v>
      </c>
      <c r="AE985" s="5">
        <v>4</v>
      </c>
      <c r="AF985" s="5">
        <v>14</v>
      </c>
      <c r="AG985" s="5">
        <v>11</v>
      </c>
      <c r="AH985" s="5">
        <v>4</v>
      </c>
      <c r="AI985" s="5">
        <v>11</v>
      </c>
    </row>
    <row r="986" spans="1:35" x14ac:dyDescent="0.25">
      <c r="A986" s="5">
        <v>28</v>
      </c>
      <c r="B986" s="5" t="s">
        <v>43</v>
      </c>
      <c r="C986" s="5" t="s">
        <v>36</v>
      </c>
      <c r="D986" s="5">
        <v>736</v>
      </c>
      <c r="E986" s="5" t="s">
        <v>37</v>
      </c>
      <c r="F986" s="5">
        <v>26</v>
      </c>
      <c r="G986" s="5">
        <v>3</v>
      </c>
      <c r="H986" s="5" t="s">
        <v>38</v>
      </c>
      <c r="I986" s="5">
        <v>1</v>
      </c>
      <c r="J986" s="5">
        <v>1387</v>
      </c>
      <c r="K986" s="5">
        <v>3</v>
      </c>
      <c r="L986" s="5" t="s">
        <v>46</v>
      </c>
      <c r="M986" s="5">
        <v>48</v>
      </c>
      <c r="N986" s="5">
        <v>2</v>
      </c>
      <c r="O986" s="5">
        <v>2</v>
      </c>
      <c r="P986" s="5" t="s">
        <v>40</v>
      </c>
      <c r="Q986" s="5">
        <v>1</v>
      </c>
      <c r="R986" s="5" t="s">
        <v>48</v>
      </c>
      <c r="S986" s="5">
        <v>4724</v>
      </c>
      <c r="T986" s="5">
        <v>24232</v>
      </c>
      <c r="U986" s="5">
        <v>1</v>
      </c>
      <c r="V986" s="5" t="s">
        <v>42</v>
      </c>
      <c r="W986" s="5" t="s">
        <v>43</v>
      </c>
      <c r="X986" s="5">
        <v>11</v>
      </c>
      <c r="Y986" s="5">
        <v>3</v>
      </c>
      <c r="Z986" s="5">
        <v>3</v>
      </c>
      <c r="AA986" s="5">
        <v>80</v>
      </c>
      <c r="AB986" s="5">
        <v>1</v>
      </c>
      <c r="AC986" s="5">
        <v>5</v>
      </c>
      <c r="AD986" s="5">
        <v>0</v>
      </c>
      <c r="AE986" s="5">
        <v>3</v>
      </c>
      <c r="AF986" s="5">
        <v>5</v>
      </c>
      <c r="AG986" s="5">
        <v>3</v>
      </c>
      <c r="AH986" s="5">
        <v>0</v>
      </c>
      <c r="AI986" s="5">
        <v>4</v>
      </c>
    </row>
    <row r="987" spans="1:35" x14ac:dyDescent="0.25">
      <c r="A987" s="5">
        <v>31</v>
      </c>
      <c r="B987" s="5" t="s">
        <v>35</v>
      </c>
      <c r="C987" s="5" t="s">
        <v>36</v>
      </c>
      <c r="D987" s="5">
        <v>330</v>
      </c>
      <c r="E987" s="5" t="s">
        <v>45</v>
      </c>
      <c r="F987" s="5">
        <v>22</v>
      </c>
      <c r="G987" s="5">
        <v>4</v>
      </c>
      <c r="H987" s="5" t="s">
        <v>51</v>
      </c>
      <c r="I987" s="5">
        <v>1</v>
      </c>
      <c r="J987" s="5">
        <v>1389</v>
      </c>
      <c r="K987" s="5">
        <v>4</v>
      </c>
      <c r="L987" s="5" t="s">
        <v>46</v>
      </c>
      <c r="M987" s="5">
        <v>98</v>
      </c>
      <c r="N987" s="5">
        <v>3</v>
      </c>
      <c r="O987" s="5">
        <v>2</v>
      </c>
      <c r="P987" s="5" t="s">
        <v>53</v>
      </c>
      <c r="Q987" s="5">
        <v>3</v>
      </c>
      <c r="R987" s="5" t="s">
        <v>48</v>
      </c>
      <c r="S987" s="5">
        <v>6179</v>
      </c>
      <c r="T987" s="5">
        <v>21057</v>
      </c>
      <c r="U987" s="5">
        <v>1</v>
      </c>
      <c r="V987" s="5" t="s">
        <v>42</v>
      </c>
      <c r="W987" s="5" t="s">
        <v>35</v>
      </c>
      <c r="X987" s="5">
        <v>15</v>
      </c>
      <c r="Y987" s="5">
        <v>3</v>
      </c>
      <c r="Z987" s="5">
        <v>4</v>
      </c>
      <c r="AA987" s="5">
        <v>80</v>
      </c>
      <c r="AB987" s="5">
        <v>2</v>
      </c>
      <c r="AC987" s="5">
        <v>10</v>
      </c>
      <c r="AD987" s="5">
        <v>3</v>
      </c>
      <c r="AE987" s="5">
        <v>2</v>
      </c>
      <c r="AF987" s="5">
        <v>10</v>
      </c>
      <c r="AG987" s="5">
        <v>2</v>
      </c>
      <c r="AH987" s="5">
        <v>6</v>
      </c>
      <c r="AI987" s="5">
        <v>7</v>
      </c>
    </row>
    <row r="988" spans="1:35" x14ac:dyDescent="0.25">
      <c r="A988" s="5">
        <v>39</v>
      </c>
      <c r="B988" s="5" t="s">
        <v>43</v>
      </c>
      <c r="C988" s="5" t="s">
        <v>36</v>
      </c>
      <c r="D988" s="5">
        <v>1498</v>
      </c>
      <c r="E988" s="5" t="s">
        <v>37</v>
      </c>
      <c r="F988" s="5">
        <v>21</v>
      </c>
      <c r="G988" s="5">
        <v>4</v>
      </c>
      <c r="H988" s="5" t="s">
        <v>38</v>
      </c>
      <c r="I988" s="5">
        <v>1</v>
      </c>
      <c r="J988" s="5">
        <v>1390</v>
      </c>
      <c r="K988" s="5">
        <v>1</v>
      </c>
      <c r="L988" s="5" t="s">
        <v>46</v>
      </c>
      <c r="M988" s="5">
        <v>44</v>
      </c>
      <c r="N988" s="5">
        <v>2</v>
      </c>
      <c r="O988" s="5">
        <v>2</v>
      </c>
      <c r="P988" s="5" t="s">
        <v>40</v>
      </c>
      <c r="Q988" s="5">
        <v>4</v>
      </c>
      <c r="R988" s="5" t="s">
        <v>48</v>
      </c>
      <c r="S988" s="5">
        <v>6120</v>
      </c>
      <c r="T988" s="5">
        <v>3567</v>
      </c>
      <c r="U988" s="5">
        <v>3</v>
      </c>
      <c r="V988" s="5" t="s">
        <v>42</v>
      </c>
      <c r="W988" s="5" t="s">
        <v>35</v>
      </c>
      <c r="X988" s="5">
        <v>12</v>
      </c>
      <c r="Y988" s="5">
        <v>3</v>
      </c>
      <c r="Z988" s="5">
        <v>4</v>
      </c>
      <c r="AA988" s="5">
        <v>80</v>
      </c>
      <c r="AB988" s="5">
        <v>2</v>
      </c>
      <c r="AC988" s="5">
        <v>8</v>
      </c>
      <c r="AD988" s="5">
        <v>2</v>
      </c>
      <c r="AE988" s="5">
        <v>4</v>
      </c>
      <c r="AF988" s="5">
        <v>5</v>
      </c>
      <c r="AG988" s="5">
        <v>4</v>
      </c>
      <c r="AH988" s="5">
        <v>1</v>
      </c>
      <c r="AI988" s="5">
        <v>4</v>
      </c>
    </row>
    <row r="989" spans="1:35" x14ac:dyDescent="0.25">
      <c r="A989" s="5">
        <v>51</v>
      </c>
      <c r="B989" s="5" t="s">
        <v>43</v>
      </c>
      <c r="C989" s="5" t="s">
        <v>44</v>
      </c>
      <c r="D989" s="5">
        <v>541</v>
      </c>
      <c r="E989" s="5" t="s">
        <v>37</v>
      </c>
      <c r="F989" s="5">
        <v>2</v>
      </c>
      <c r="G989" s="5">
        <v>3</v>
      </c>
      <c r="H989" s="5" t="s">
        <v>59</v>
      </c>
      <c r="I989" s="5">
        <v>1</v>
      </c>
      <c r="J989" s="5">
        <v>1391</v>
      </c>
      <c r="K989" s="5">
        <v>2</v>
      </c>
      <c r="L989" s="5" t="s">
        <v>46</v>
      </c>
      <c r="M989" s="5">
        <v>52</v>
      </c>
      <c r="N989" s="5">
        <v>3</v>
      </c>
      <c r="O989" s="5">
        <v>3</v>
      </c>
      <c r="P989" s="5" t="s">
        <v>40</v>
      </c>
      <c r="Q989" s="5">
        <v>2</v>
      </c>
      <c r="R989" s="5" t="s">
        <v>48</v>
      </c>
      <c r="S989" s="5">
        <v>10596</v>
      </c>
      <c r="T989" s="5">
        <v>15395</v>
      </c>
      <c r="U989" s="5">
        <v>2</v>
      </c>
      <c r="V989" s="5" t="s">
        <v>42</v>
      </c>
      <c r="W989" s="5" t="s">
        <v>43</v>
      </c>
      <c r="X989" s="5">
        <v>11</v>
      </c>
      <c r="Y989" s="5">
        <v>3</v>
      </c>
      <c r="Z989" s="5">
        <v>2</v>
      </c>
      <c r="AA989" s="5">
        <v>80</v>
      </c>
      <c r="AB989" s="5">
        <v>0</v>
      </c>
      <c r="AC989" s="5">
        <v>14</v>
      </c>
      <c r="AD989" s="5">
        <v>5</v>
      </c>
      <c r="AE989" s="5">
        <v>3</v>
      </c>
      <c r="AF989" s="5">
        <v>4</v>
      </c>
      <c r="AG989" s="5">
        <v>2</v>
      </c>
      <c r="AH989" s="5">
        <v>3</v>
      </c>
      <c r="AI989" s="5">
        <v>2</v>
      </c>
    </row>
    <row r="990" spans="1:35" x14ac:dyDescent="0.25">
      <c r="A990" s="5">
        <v>41</v>
      </c>
      <c r="B990" s="5" t="s">
        <v>43</v>
      </c>
      <c r="C990" s="5" t="s">
        <v>44</v>
      </c>
      <c r="D990" s="5">
        <v>1200</v>
      </c>
      <c r="E990" s="5" t="s">
        <v>45</v>
      </c>
      <c r="F990" s="5">
        <v>22</v>
      </c>
      <c r="G990" s="5">
        <v>3</v>
      </c>
      <c r="H990" s="5" t="s">
        <v>38</v>
      </c>
      <c r="I990" s="5">
        <v>1</v>
      </c>
      <c r="J990" s="5">
        <v>1392</v>
      </c>
      <c r="K990" s="5">
        <v>4</v>
      </c>
      <c r="L990" s="5" t="s">
        <v>39</v>
      </c>
      <c r="M990" s="5">
        <v>75</v>
      </c>
      <c r="N990" s="5">
        <v>3</v>
      </c>
      <c r="O990" s="5">
        <v>2</v>
      </c>
      <c r="P990" s="5" t="s">
        <v>47</v>
      </c>
      <c r="Q990" s="5">
        <v>4</v>
      </c>
      <c r="R990" s="5" t="s">
        <v>52</v>
      </c>
      <c r="S990" s="5">
        <v>5467</v>
      </c>
      <c r="T990" s="5">
        <v>13953</v>
      </c>
      <c r="U990" s="5">
        <v>3</v>
      </c>
      <c r="V990" s="5" t="s">
        <v>42</v>
      </c>
      <c r="W990" s="5" t="s">
        <v>35</v>
      </c>
      <c r="X990" s="5">
        <v>14</v>
      </c>
      <c r="Y990" s="5">
        <v>3</v>
      </c>
      <c r="Z990" s="5">
        <v>1</v>
      </c>
      <c r="AA990" s="5">
        <v>80</v>
      </c>
      <c r="AB990" s="5">
        <v>2</v>
      </c>
      <c r="AC990" s="5">
        <v>12</v>
      </c>
      <c r="AD990" s="5">
        <v>4</v>
      </c>
      <c r="AE990" s="5">
        <v>2</v>
      </c>
      <c r="AF990" s="5">
        <v>6</v>
      </c>
      <c r="AG990" s="5">
        <v>2</v>
      </c>
      <c r="AH990" s="5">
        <v>3</v>
      </c>
      <c r="AI990" s="5">
        <v>3</v>
      </c>
    </row>
    <row r="991" spans="1:35" x14ac:dyDescent="0.25">
      <c r="A991" s="5">
        <v>37</v>
      </c>
      <c r="B991" s="5" t="s">
        <v>43</v>
      </c>
      <c r="C991" s="5" t="s">
        <v>36</v>
      </c>
      <c r="D991" s="5">
        <v>1439</v>
      </c>
      <c r="E991" s="5" t="s">
        <v>45</v>
      </c>
      <c r="F991" s="5">
        <v>4</v>
      </c>
      <c r="G991" s="5">
        <v>1</v>
      </c>
      <c r="H991" s="5" t="s">
        <v>38</v>
      </c>
      <c r="I991" s="5">
        <v>1</v>
      </c>
      <c r="J991" s="5">
        <v>1394</v>
      </c>
      <c r="K991" s="5">
        <v>3</v>
      </c>
      <c r="L991" s="5" t="s">
        <v>46</v>
      </c>
      <c r="M991" s="5">
        <v>54</v>
      </c>
      <c r="N991" s="5">
        <v>3</v>
      </c>
      <c r="O991" s="5">
        <v>1</v>
      </c>
      <c r="P991" s="5" t="s">
        <v>47</v>
      </c>
      <c r="Q991" s="5">
        <v>3</v>
      </c>
      <c r="R991" s="5" t="s">
        <v>48</v>
      </c>
      <c r="S991" s="5">
        <v>2996</v>
      </c>
      <c r="T991" s="5">
        <v>5182</v>
      </c>
      <c r="U991" s="5">
        <v>7</v>
      </c>
      <c r="V991" s="5" t="s">
        <v>42</v>
      </c>
      <c r="W991" s="5" t="s">
        <v>35</v>
      </c>
      <c r="X991" s="5">
        <v>15</v>
      </c>
      <c r="Y991" s="5">
        <v>3</v>
      </c>
      <c r="Z991" s="5">
        <v>4</v>
      </c>
      <c r="AA991" s="5">
        <v>80</v>
      </c>
      <c r="AB991" s="5">
        <v>0</v>
      </c>
      <c r="AC991" s="5">
        <v>8</v>
      </c>
      <c r="AD991" s="5">
        <v>2</v>
      </c>
      <c r="AE991" s="5">
        <v>3</v>
      </c>
      <c r="AF991" s="5">
        <v>6</v>
      </c>
      <c r="AG991" s="5">
        <v>4</v>
      </c>
      <c r="AH991" s="5">
        <v>1</v>
      </c>
      <c r="AI991" s="5">
        <v>3</v>
      </c>
    </row>
    <row r="992" spans="1:35" x14ac:dyDescent="0.25">
      <c r="A992" s="5">
        <v>33</v>
      </c>
      <c r="B992" s="5" t="s">
        <v>43</v>
      </c>
      <c r="C992" s="5" t="s">
        <v>44</v>
      </c>
      <c r="D992" s="5">
        <v>1111</v>
      </c>
      <c r="E992" s="5" t="s">
        <v>37</v>
      </c>
      <c r="F992" s="5">
        <v>5</v>
      </c>
      <c r="G992" s="5">
        <v>1</v>
      </c>
      <c r="H992" s="5" t="s">
        <v>38</v>
      </c>
      <c r="I992" s="5">
        <v>1</v>
      </c>
      <c r="J992" s="5">
        <v>1395</v>
      </c>
      <c r="K992" s="5">
        <v>2</v>
      </c>
      <c r="L992" s="5" t="s">
        <v>46</v>
      </c>
      <c r="M992" s="5">
        <v>61</v>
      </c>
      <c r="N992" s="5">
        <v>3</v>
      </c>
      <c r="O992" s="5">
        <v>2</v>
      </c>
      <c r="P992" s="5" t="s">
        <v>40</v>
      </c>
      <c r="Q992" s="5">
        <v>4</v>
      </c>
      <c r="R992" s="5" t="s">
        <v>48</v>
      </c>
      <c r="S992" s="5">
        <v>9998</v>
      </c>
      <c r="T992" s="5">
        <v>19293</v>
      </c>
      <c r="U992" s="5">
        <v>6</v>
      </c>
      <c r="V992" s="5" t="s">
        <v>42</v>
      </c>
      <c r="W992" s="5" t="s">
        <v>43</v>
      </c>
      <c r="X992" s="5">
        <v>13</v>
      </c>
      <c r="Y992" s="5">
        <v>3</v>
      </c>
      <c r="Z992" s="5">
        <v>1</v>
      </c>
      <c r="AA992" s="5">
        <v>80</v>
      </c>
      <c r="AB992" s="5">
        <v>0</v>
      </c>
      <c r="AC992" s="5">
        <v>8</v>
      </c>
      <c r="AD992" s="5">
        <v>2</v>
      </c>
      <c r="AE992" s="5">
        <v>4</v>
      </c>
      <c r="AF992" s="5">
        <v>5</v>
      </c>
      <c r="AG992" s="5">
        <v>4</v>
      </c>
      <c r="AH992" s="5">
        <v>1</v>
      </c>
      <c r="AI992" s="5">
        <v>2</v>
      </c>
    </row>
    <row r="993" spans="1:35" x14ac:dyDescent="0.25">
      <c r="A993" s="5">
        <v>32</v>
      </c>
      <c r="B993" s="5" t="s">
        <v>43</v>
      </c>
      <c r="C993" s="5" t="s">
        <v>36</v>
      </c>
      <c r="D993" s="5">
        <v>499</v>
      </c>
      <c r="E993" s="5" t="s">
        <v>37</v>
      </c>
      <c r="F993" s="5">
        <v>2</v>
      </c>
      <c r="G993" s="5">
        <v>1</v>
      </c>
      <c r="H993" s="5" t="s">
        <v>59</v>
      </c>
      <c r="I993" s="5">
        <v>1</v>
      </c>
      <c r="J993" s="5">
        <v>1396</v>
      </c>
      <c r="K993" s="5">
        <v>3</v>
      </c>
      <c r="L993" s="5" t="s">
        <v>46</v>
      </c>
      <c r="M993" s="5">
        <v>36</v>
      </c>
      <c r="N993" s="5">
        <v>3</v>
      </c>
      <c r="O993" s="5">
        <v>2</v>
      </c>
      <c r="P993" s="5" t="s">
        <v>40</v>
      </c>
      <c r="Q993" s="5">
        <v>2</v>
      </c>
      <c r="R993" s="5" t="s">
        <v>48</v>
      </c>
      <c r="S993" s="5">
        <v>4078</v>
      </c>
      <c r="T993" s="5">
        <v>20497</v>
      </c>
      <c r="U993" s="5">
        <v>0</v>
      </c>
      <c r="V993" s="5" t="s">
        <v>42</v>
      </c>
      <c r="W993" s="5" t="s">
        <v>35</v>
      </c>
      <c r="X993" s="5">
        <v>13</v>
      </c>
      <c r="Y993" s="5">
        <v>3</v>
      </c>
      <c r="Z993" s="5">
        <v>1</v>
      </c>
      <c r="AA993" s="5">
        <v>80</v>
      </c>
      <c r="AB993" s="5">
        <v>3</v>
      </c>
      <c r="AC993" s="5">
        <v>4</v>
      </c>
      <c r="AD993" s="5">
        <v>3</v>
      </c>
      <c r="AE993" s="5">
        <v>2</v>
      </c>
      <c r="AF993" s="5">
        <v>3</v>
      </c>
      <c r="AG993" s="5">
        <v>2</v>
      </c>
      <c r="AH993" s="5">
        <v>1</v>
      </c>
      <c r="AI993" s="5">
        <v>2</v>
      </c>
    </row>
    <row r="994" spans="1:35" x14ac:dyDescent="0.25">
      <c r="A994" s="5">
        <v>39</v>
      </c>
      <c r="B994" s="5" t="s">
        <v>43</v>
      </c>
      <c r="C994" s="5" t="s">
        <v>55</v>
      </c>
      <c r="D994" s="5">
        <v>1485</v>
      </c>
      <c r="E994" s="5" t="s">
        <v>45</v>
      </c>
      <c r="F994" s="5">
        <v>25</v>
      </c>
      <c r="G994" s="5">
        <v>2</v>
      </c>
      <c r="H994" s="5" t="s">
        <v>38</v>
      </c>
      <c r="I994" s="5">
        <v>1</v>
      </c>
      <c r="J994" s="5">
        <v>1397</v>
      </c>
      <c r="K994" s="5">
        <v>3</v>
      </c>
      <c r="L994" s="5" t="s">
        <v>46</v>
      </c>
      <c r="M994" s="5">
        <v>71</v>
      </c>
      <c r="N994" s="5">
        <v>3</v>
      </c>
      <c r="O994" s="5">
        <v>3</v>
      </c>
      <c r="P994" s="5" t="s">
        <v>54</v>
      </c>
      <c r="Q994" s="5">
        <v>3</v>
      </c>
      <c r="R994" s="5" t="s">
        <v>48</v>
      </c>
      <c r="S994" s="5">
        <v>10920</v>
      </c>
      <c r="T994" s="5">
        <v>3449</v>
      </c>
      <c r="U994" s="5">
        <v>3</v>
      </c>
      <c r="V994" s="5" t="s">
        <v>42</v>
      </c>
      <c r="W994" s="5" t="s">
        <v>43</v>
      </c>
      <c r="X994" s="5">
        <v>21</v>
      </c>
      <c r="Y994" s="5">
        <v>4</v>
      </c>
      <c r="Z994" s="5">
        <v>2</v>
      </c>
      <c r="AA994" s="5">
        <v>80</v>
      </c>
      <c r="AB994" s="5">
        <v>1</v>
      </c>
      <c r="AC994" s="5">
        <v>13</v>
      </c>
      <c r="AD994" s="5">
        <v>2</v>
      </c>
      <c r="AE994" s="5">
        <v>3</v>
      </c>
      <c r="AF994" s="5">
        <v>6</v>
      </c>
      <c r="AG994" s="5">
        <v>4</v>
      </c>
      <c r="AH994" s="5">
        <v>0</v>
      </c>
      <c r="AI994" s="5">
        <v>5</v>
      </c>
    </row>
    <row r="995" spans="1:35" x14ac:dyDescent="0.25">
      <c r="A995" s="5">
        <v>25</v>
      </c>
      <c r="B995" s="5" t="s">
        <v>43</v>
      </c>
      <c r="C995" s="5" t="s">
        <v>36</v>
      </c>
      <c r="D995" s="5">
        <v>1372</v>
      </c>
      <c r="E995" s="5" t="s">
        <v>37</v>
      </c>
      <c r="F995" s="5">
        <v>18</v>
      </c>
      <c r="G995" s="5">
        <v>1</v>
      </c>
      <c r="H995" s="5" t="s">
        <v>38</v>
      </c>
      <c r="I995" s="5">
        <v>1</v>
      </c>
      <c r="J995" s="5">
        <v>1399</v>
      </c>
      <c r="K995" s="5">
        <v>1</v>
      </c>
      <c r="L995" s="5" t="s">
        <v>46</v>
      </c>
      <c r="M995" s="5">
        <v>93</v>
      </c>
      <c r="N995" s="5">
        <v>4</v>
      </c>
      <c r="O995" s="5">
        <v>2</v>
      </c>
      <c r="P995" s="5" t="s">
        <v>40</v>
      </c>
      <c r="Q995" s="5">
        <v>3</v>
      </c>
      <c r="R995" s="5" t="s">
        <v>48</v>
      </c>
      <c r="S995" s="5">
        <v>6232</v>
      </c>
      <c r="T995" s="5">
        <v>12477</v>
      </c>
      <c r="U995" s="5">
        <v>2</v>
      </c>
      <c r="V995" s="5" t="s">
        <v>42</v>
      </c>
      <c r="W995" s="5" t="s">
        <v>43</v>
      </c>
      <c r="X995" s="5">
        <v>11</v>
      </c>
      <c r="Y995" s="5">
        <v>3</v>
      </c>
      <c r="Z995" s="5">
        <v>2</v>
      </c>
      <c r="AA995" s="5">
        <v>80</v>
      </c>
      <c r="AB995" s="5">
        <v>0</v>
      </c>
      <c r="AC995" s="5">
        <v>6</v>
      </c>
      <c r="AD995" s="5">
        <v>3</v>
      </c>
      <c r="AE995" s="5">
        <v>2</v>
      </c>
      <c r="AF995" s="5">
        <v>3</v>
      </c>
      <c r="AG995" s="5">
        <v>2</v>
      </c>
      <c r="AH995" s="5">
        <v>1</v>
      </c>
      <c r="AI995" s="5">
        <v>2</v>
      </c>
    </row>
    <row r="996" spans="1:35" x14ac:dyDescent="0.25">
      <c r="A996" s="5">
        <v>52</v>
      </c>
      <c r="B996" s="5" t="s">
        <v>43</v>
      </c>
      <c r="C996" s="5" t="s">
        <v>44</v>
      </c>
      <c r="D996" s="5">
        <v>322</v>
      </c>
      <c r="E996" s="5" t="s">
        <v>45</v>
      </c>
      <c r="F996" s="5">
        <v>28</v>
      </c>
      <c r="G996" s="5">
        <v>2</v>
      </c>
      <c r="H996" s="5" t="s">
        <v>51</v>
      </c>
      <c r="I996" s="5">
        <v>1</v>
      </c>
      <c r="J996" s="5">
        <v>1401</v>
      </c>
      <c r="K996" s="5">
        <v>4</v>
      </c>
      <c r="L996" s="5" t="s">
        <v>39</v>
      </c>
      <c r="M996" s="5">
        <v>59</v>
      </c>
      <c r="N996" s="5">
        <v>4</v>
      </c>
      <c r="O996" s="5">
        <v>4</v>
      </c>
      <c r="P996" s="5" t="s">
        <v>53</v>
      </c>
      <c r="Q996" s="5">
        <v>3</v>
      </c>
      <c r="R996" s="5" t="s">
        <v>48</v>
      </c>
      <c r="S996" s="5">
        <v>13247</v>
      </c>
      <c r="T996" s="5">
        <v>9731</v>
      </c>
      <c r="U996" s="5">
        <v>2</v>
      </c>
      <c r="V996" s="5" t="s">
        <v>42</v>
      </c>
      <c r="W996" s="5" t="s">
        <v>35</v>
      </c>
      <c r="X996" s="5">
        <v>11</v>
      </c>
      <c r="Y996" s="5">
        <v>3</v>
      </c>
      <c r="Z996" s="5">
        <v>2</v>
      </c>
      <c r="AA996" s="5">
        <v>80</v>
      </c>
      <c r="AB996" s="5">
        <v>1</v>
      </c>
      <c r="AC996" s="5">
        <v>24</v>
      </c>
      <c r="AD996" s="5">
        <v>3</v>
      </c>
      <c r="AE996" s="5">
        <v>2</v>
      </c>
      <c r="AF996" s="5">
        <v>5</v>
      </c>
      <c r="AG996" s="5">
        <v>3</v>
      </c>
      <c r="AH996" s="5">
        <v>0</v>
      </c>
      <c r="AI996" s="5">
        <v>2</v>
      </c>
    </row>
    <row r="997" spans="1:35" x14ac:dyDescent="0.25">
      <c r="A997" s="5">
        <v>43</v>
      </c>
      <c r="B997" s="5" t="s">
        <v>43</v>
      </c>
      <c r="C997" s="5" t="s">
        <v>36</v>
      </c>
      <c r="D997" s="5">
        <v>930</v>
      </c>
      <c r="E997" s="5" t="s">
        <v>45</v>
      </c>
      <c r="F997" s="5">
        <v>6</v>
      </c>
      <c r="G997" s="5">
        <v>3</v>
      </c>
      <c r="H997" s="5" t="s">
        <v>51</v>
      </c>
      <c r="I997" s="5">
        <v>1</v>
      </c>
      <c r="J997" s="5">
        <v>1402</v>
      </c>
      <c r="K997" s="5">
        <v>1</v>
      </c>
      <c r="L997" s="5" t="s">
        <v>39</v>
      </c>
      <c r="M997" s="5">
        <v>73</v>
      </c>
      <c r="N997" s="5">
        <v>2</v>
      </c>
      <c r="O997" s="5">
        <v>2</v>
      </c>
      <c r="P997" s="5" t="s">
        <v>47</v>
      </c>
      <c r="Q997" s="5">
        <v>3</v>
      </c>
      <c r="R997" s="5" t="s">
        <v>41</v>
      </c>
      <c r="S997" s="5">
        <v>4081</v>
      </c>
      <c r="T997" s="5">
        <v>20003</v>
      </c>
      <c r="U997" s="5">
        <v>1</v>
      </c>
      <c r="V997" s="5" t="s">
        <v>42</v>
      </c>
      <c r="W997" s="5" t="s">
        <v>35</v>
      </c>
      <c r="X997" s="5">
        <v>14</v>
      </c>
      <c r="Y997" s="5">
        <v>3</v>
      </c>
      <c r="Z997" s="5">
        <v>1</v>
      </c>
      <c r="AA997" s="5">
        <v>80</v>
      </c>
      <c r="AB997" s="5">
        <v>0</v>
      </c>
      <c r="AC997" s="5">
        <v>20</v>
      </c>
      <c r="AD997" s="5">
        <v>3</v>
      </c>
      <c r="AE997" s="5">
        <v>1</v>
      </c>
      <c r="AF997" s="5">
        <v>20</v>
      </c>
      <c r="AG997" s="5">
        <v>7</v>
      </c>
      <c r="AH997" s="5">
        <v>1</v>
      </c>
      <c r="AI997" s="5">
        <v>8</v>
      </c>
    </row>
    <row r="998" spans="1:35" x14ac:dyDescent="0.25">
      <c r="A998" s="5">
        <v>27</v>
      </c>
      <c r="B998" s="5" t="s">
        <v>43</v>
      </c>
      <c r="C998" s="5" t="s">
        <v>36</v>
      </c>
      <c r="D998" s="5">
        <v>205</v>
      </c>
      <c r="E998" s="5" t="s">
        <v>37</v>
      </c>
      <c r="F998" s="5">
        <v>10</v>
      </c>
      <c r="G998" s="5">
        <v>3</v>
      </c>
      <c r="H998" s="5" t="s">
        <v>59</v>
      </c>
      <c r="I998" s="5">
        <v>1</v>
      </c>
      <c r="J998" s="5">
        <v>1403</v>
      </c>
      <c r="K998" s="5">
        <v>4</v>
      </c>
      <c r="L998" s="5" t="s">
        <v>39</v>
      </c>
      <c r="M998" s="5">
        <v>98</v>
      </c>
      <c r="N998" s="5">
        <v>2</v>
      </c>
      <c r="O998" s="5">
        <v>2</v>
      </c>
      <c r="P998" s="5" t="s">
        <v>40</v>
      </c>
      <c r="Q998" s="5">
        <v>4</v>
      </c>
      <c r="R998" s="5" t="s">
        <v>48</v>
      </c>
      <c r="S998" s="5">
        <v>5769</v>
      </c>
      <c r="T998" s="5">
        <v>7100</v>
      </c>
      <c r="U998" s="5">
        <v>1</v>
      </c>
      <c r="V998" s="5" t="s">
        <v>42</v>
      </c>
      <c r="W998" s="5" t="s">
        <v>35</v>
      </c>
      <c r="X998" s="5">
        <v>11</v>
      </c>
      <c r="Y998" s="5">
        <v>3</v>
      </c>
      <c r="Z998" s="5">
        <v>4</v>
      </c>
      <c r="AA998" s="5">
        <v>80</v>
      </c>
      <c r="AB998" s="5">
        <v>0</v>
      </c>
      <c r="AC998" s="5">
        <v>6</v>
      </c>
      <c r="AD998" s="5">
        <v>3</v>
      </c>
      <c r="AE998" s="5">
        <v>3</v>
      </c>
      <c r="AF998" s="5">
        <v>6</v>
      </c>
      <c r="AG998" s="5">
        <v>2</v>
      </c>
      <c r="AH998" s="5">
        <v>4</v>
      </c>
      <c r="AI998" s="5">
        <v>4</v>
      </c>
    </row>
    <row r="999" spans="1:35" x14ac:dyDescent="0.25">
      <c r="A999" s="5">
        <v>27</v>
      </c>
      <c r="B999" s="5" t="s">
        <v>35</v>
      </c>
      <c r="C999" s="5" t="s">
        <v>36</v>
      </c>
      <c r="D999" s="5">
        <v>135</v>
      </c>
      <c r="E999" s="5" t="s">
        <v>45</v>
      </c>
      <c r="F999" s="5">
        <v>17</v>
      </c>
      <c r="G999" s="5">
        <v>4</v>
      </c>
      <c r="H999" s="5" t="s">
        <v>38</v>
      </c>
      <c r="I999" s="5">
        <v>1</v>
      </c>
      <c r="J999" s="5">
        <v>1405</v>
      </c>
      <c r="K999" s="5">
        <v>4</v>
      </c>
      <c r="L999" s="5" t="s">
        <v>39</v>
      </c>
      <c r="M999" s="5">
        <v>51</v>
      </c>
      <c r="N999" s="5">
        <v>3</v>
      </c>
      <c r="O999" s="5">
        <v>1</v>
      </c>
      <c r="P999" s="5" t="s">
        <v>47</v>
      </c>
      <c r="Q999" s="5">
        <v>3</v>
      </c>
      <c r="R999" s="5" t="s">
        <v>41</v>
      </c>
      <c r="S999" s="5">
        <v>2394</v>
      </c>
      <c r="T999" s="5">
        <v>25681</v>
      </c>
      <c r="U999" s="5">
        <v>1</v>
      </c>
      <c r="V999" s="5" t="s">
        <v>42</v>
      </c>
      <c r="W999" s="5" t="s">
        <v>35</v>
      </c>
      <c r="X999" s="5">
        <v>13</v>
      </c>
      <c r="Y999" s="5">
        <v>3</v>
      </c>
      <c r="Z999" s="5">
        <v>4</v>
      </c>
      <c r="AA999" s="5">
        <v>80</v>
      </c>
      <c r="AB999" s="5">
        <v>0</v>
      </c>
      <c r="AC999" s="5">
        <v>8</v>
      </c>
      <c r="AD999" s="5">
        <v>2</v>
      </c>
      <c r="AE999" s="5">
        <v>3</v>
      </c>
      <c r="AF999" s="5">
        <v>8</v>
      </c>
      <c r="AG999" s="5">
        <v>2</v>
      </c>
      <c r="AH999" s="5">
        <v>7</v>
      </c>
      <c r="AI999" s="5">
        <v>7</v>
      </c>
    </row>
    <row r="1000" spans="1:35" x14ac:dyDescent="0.25">
      <c r="A1000" s="5">
        <v>26</v>
      </c>
      <c r="B1000" s="5" t="s">
        <v>43</v>
      </c>
      <c r="C1000" s="5" t="s">
        <v>36</v>
      </c>
      <c r="D1000" s="5">
        <v>683</v>
      </c>
      <c r="E1000" s="5" t="s">
        <v>45</v>
      </c>
      <c r="F1000" s="5">
        <v>2</v>
      </c>
      <c r="G1000" s="5">
        <v>1</v>
      </c>
      <c r="H1000" s="5" t="s">
        <v>51</v>
      </c>
      <c r="I1000" s="5">
        <v>1</v>
      </c>
      <c r="J1000" s="5">
        <v>1407</v>
      </c>
      <c r="K1000" s="5">
        <v>1</v>
      </c>
      <c r="L1000" s="5" t="s">
        <v>46</v>
      </c>
      <c r="M1000" s="5">
        <v>36</v>
      </c>
      <c r="N1000" s="5">
        <v>2</v>
      </c>
      <c r="O1000" s="5">
        <v>1</v>
      </c>
      <c r="P1000" s="5" t="s">
        <v>47</v>
      </c>
      <c r="Q1000" s="5">
        <v>4</v>
      </c>
      <c r="R1000" s="5" t="s">
        <v>41</v>
      </c>
      <c r="S1000" s="5">
        <v>3904</v>
      </c>
      <c r="T1000" s="5">
        <v>4050</v>
      </c>
      <c r="U1000" s="5">
        <v>0</v>
      </c>
      <c r="V1000" s="5" t="s">
        <v>42</v>
      </c>
      <c r="W1000" s="5" t="s">
        <v>43</v>
      </c>
      <c r="X1000" s="5">
        <v>12</v>
      </c>
      <c r="Y1000" s="5">
        <v>3</v>
      </c>
      <c r="Z1000" s="5">
        <v>4</v>
      </c>
      <c r="AA1000" s="5">
        <v>80</v>
      </c>
      <c r="AB1000" s="5">
        <v>0</v>
      </c>
      <c r="AC1000" s="5">
        <v>5</v>
      </c>
      <c r="AD1000" s="5">
        <v>2</v>
      </c>
      <c r="AE1000" s="5">
        <v>3</v>
      </c>
      <c r="AF1000" s="5">
        <v>4</v>
      </c>
      <c r="AG1000" s="5">
        <v>3</v>
      </c>
      <c r="AH1000" s="5">
        <v>1</v>
      </c>
      <c r="AI1000" s="5">
        <v>1</v>
      </c>
    </row>
    <row r="1001" spans="1:35" x14ac:dyDescent="0.25">
      <c r="A1001" s="5">
        <v>42</v>
      </c>
      <c r="B1001" s="5" t="s">
        <v>43</v>
      </c>
      <c r="C1001" s="5" t="s">
        <v>36</v>
      </c>
      <c r="D1001" s="5">
        <v>1147</v>
      </c>
      <c r="E1001" s="5" t="s">
        <v>61</v>
      </c>
      <c r="F1001" s="5">
        <v>10</v>
      </c>
      <c r="G1001" s="5">
        <v>3</v>
      </c>
      <c r="H1001" s="5" t="s">
        <v>61</v>
      </c>
      <c r="I1001" s="5">
        <v>1</v>
      </c>
      <c r="J1001" s="5">
        <v>1408</v>
      </c>
      <c r="K1001" s="5">
        <v>3</v>
      </c>
      <c r="L1001" s="5" t="s">
        <v>39</v>
      </c>
      <c r="M1001" s="5">
        <v>31</v>
      </c>
      <c r="N1001" s="5">
        <v>3</v>
      </c>
      <c r="O1001" s="5">
        <v>4</v>
      </c>
      <c r="P1001" s="5" t="s">
        <v>56</v>
      </c>
      <c r="Q1001" s="5">
        <v>1</v>
      </c>
      <c r="R1001" s="5" t="s">
        <v>48</v>
      </c>
      <c r="S1001" s="5">
        <v>16799</v>
      </c>
      <c r="T1001" s="5">
        <v>16616</v>
      </c>
      <c r="U1001" s="5">
        <v>0</v>
      </c>
      <c r="V1001" s="5" t="s">
        <v>42</v>
      </c>
      <c r="W1001" s="5" t="s">
        <v>43</v>
      </c>
      <c r="X1001" s="5">
        <v>14</v>
      </c>
      <c r="Y1001" s="5">
        <v>3</v>
      </c>
      <c r="Z1001" s="5">
        <v>3</v>
      </c>
      <c r="AA1001" s="5">
        <v>80</v>
      </c>
      <c r="AB1001" s="5">
        <v>1</v>
      </c>
      <c r="AC1001" s="5">
        <v>21</v>
      </c>
      <c r="AD1001" s="5">
        <v>5</v>
      </c>
      <c r="AE1001" s="5">
        <v>3</v>
      </c>
      <c r="AF1001" s="5">
        <v>20</v>
      </c>
      <c r="AG1001" s="5">
        <v>7</v>
      </c>
      <c r="AH1001" s="5">
        <v>0</v>
      </c>
      <c r="AI1001" s="5">
        <v>9</v>
      </c>
    </row>
    <row r="1002" spans="1:35" x14ac:dyDescent="0.25">
      <c r="A1002" s="5">
        <v>52</v>
      </c>
      <c r="B1002" s="5" t="s">
        <v>43</v>
      </c>
      <c r="C1002" s="5" t="s">
        <v>36</v>
      </c>
      <c r="D1002" s="5">
        <v>258</v>
      </c>
      <c r="E1002" s="5" t="s">
        <v>45</v>
      </c>
      <c r="F1002" s="5">
        <v>8</v>
      </c>
      <c r="G1002" s="5">
        <v>4</v>
      </c>
      <c r="H1002" s="5" t="s">
        <v>49</v>
      </c>
      <c r="I1002" s="5">
        <v>1</v>
      </c>
      <c r="J1002" s="5">
        <v>1409</v>
      </c>
      <c r="K1002" s="5">
        <v>3</v>
      </c>
      <c r="L1002" s="5" t="s">
        <v>39</v>
      </c>
      <c r="M1002" s="5">
        <v>54</v>
      </c>
      <c r="N1002" s="5">
        <v>3</v>
      </c>
      <c r="O1002" s="5">
        <v>1</v>
      </c>
      <c r="P1002" s="5" t="s">
        <v>50</v>
      </c>
      <c r="Q1002" s="5">
        <v>1</v>
      </c>
      <c r="R1002" s="5" t="s">
        <v>48</v>
      </c>
      <c r="S1002" s="5">
        <v>2950</v>
      </c>
      <c r="T1002" s="5">
        <v>17363</v>
      </c>
      <c r="U1002" s="5">
        <v>9</v>
      </c>
      <c r="V1002" s="5" t="s">
        <v>42</v>
      </c>
      <c r="W1002" s="5" t="s">
        <v>43</v>
      </c>
      <c r="X1002" s="5">
        <v>13</v>
      </c>
      <c r="Y1002" s="5">
        <v>3</v>
      </c>
      <c r="Z1002" s="5">
        <v>3</v>
      </c>
      <c r="AA1002" s="5">
        <v>80</v>
      </c>
      <c r="AB1002" s="5">
        <v>0</v>
      </c>
      <c r="AC1002" s="5">
        <v>12</v>
      </c>
      <c r="AD1002" s="5">
        <v>2</v>
      </c>
      <c r="AE1002" s="5">
        <v>1</v>
      </c>
      <c r="AF1002" s="5">
        <v>5</v>
      </c>
      <c r="AG1002" s="5">
        <v>4</v>
      </c>
      <c r="AH1002" s="5">
        <v>0</v>
      </c>
      <c r="AI1002" s="5">
        <v>4</v>
      </c>
    </row>
    <row r="1003" spans="1:35" x14ac:dyDescent="0.25">
      <c r="A1003" s="5">
        <v>37</v>
      </c>
      <c r="B1003" s="5" t="s">
        <v>43</v>
      </c>
      <c r="C1003" s="5" t="s">
        <v>36</v>
      </c>
      <c r="D1003" s="5">
        <v>1462</v>
      </c>
      <c r="E1003" s="5" t="s">
        <v>45</v>
      </c>
      <c r="F1003" s="5">
        <v>11</v>
      </c>
      <c r="G1003" s="5">
        <v>3</v>
      </c>
      <c r="H1003" s="5" t="s">
        <v>51</v>
      </c>
      <c r="I1003" s="5">
        <v>1</v>
      </c>
      <c r="J1003" s="5">
        <v>1411</v>
      </c>
      <c r="K1003" s="5">
        <v>1</v>
      </c>
      <c r="L1003" s="5" t="s">
        <v>39</v>
      </c>
      <c r="M1003" s="5">
        <v>94</v>
      </c>
      <c r="N1003" s="5">
        <v>3</v>
      </c>
      <c r="O1003" s="5">
        <v>1</v>
      </c>
      <c r="P1003" s="5" t="s">
        <v>50</v>
      </c>
      <c r="Q1003" s="5">
        <v>3</v>
      </c>
      <c r="R1003" s="5" t="s">
        <v>41</v>
      </c>
      <c r="S1003" s="5">
        <v>3629</v>
      </c>
      <c r="T1003" s="5">
        <v>19106</v>
      </c>
      <c r="U1003" s="5">
        <v>4</v>
      </c>
      <c r="V1003" s="5" t="s">
        <v>42</v>
      </c>
      <c r="W1003" s="5" t="s">
        <v>43</v>
      </c>
      <c r="X1003" s="5">
        <v>18</v>
      </c>
      <c r="Y1003" s="5">
        <v>3</v>
      </c>
      <c r="Z1003" s="5">
        <v>1</v>
      </c>
      <c r="AA1003" s="5">
        <v>80</v>
      </c>
      <c r="AB1003" s="5">
        <v>0</v>
      </c>
      <c r="AC1003" s="5">
        <v>8</v>
      </c>
      <c r="AD1003" s="5">
        <v>6</v>
      </c>
      <c r="AE1003" s="5">
        <v>3</v>
      </c>
      <c r="AF1003" s="5">
        <v>3</v>
      </c>
      <c r="AG1003" s="5">
        <v>2</v>
      </c>
      <c r="AH1003" s="5">
        <v>0</v>
      </c>
      <c r="AI1003" s="5">
        <v>2</v>
      </c>
    </row>
    <row r="1004" spans="1:35" x14ac:dyDescent="0.25">
      <c r="A1004" s="5">
        <v>35</v>
      </c>
      <c r="B1004" s="5" t="s">
        <v>43</v>
      </c>
      <c r="C1004" s="5" t="s">
        <v>44</v>
      </c>
      <c r="D1004" s="5">
        <v>200</v>
      </c>
      <c r="E1004" s="5" t="s">
        <v>45</v>
      </c>
      <c r="F1004" s="5">
        <v>18</v>
      </c>
      <c r="G1004" s="5">
        <v>2</v>
      </c>
      <c r="H1004" s="5" t="s">
        <v>38</v>
      </c>
      <c r="I1004" s="5">
        <v>1</v>
      </c>
      <c r="J1004" s="5">
        <v>1412</v>
      </c>
      <c r="K1004" s="5">
        <v>3</v>
      </c>
      <c r="L1004" s="5" t="s">
        <v>46</v>
      </c>
      <c r="M1004" s="5">
        <v>60</v>
      </c>
      <c r="N1004" s="5">
        <v>3</v>
      </c>
      <c r="O1004" s="5">
        <v>3</v>
      </c>
      <c r="P1004" s="5" t="s">
        <v>53</v>
      </c>
      <c r="Q1004" s="5">
        <v>4</v>
      </c>
      <c r="R1004" s="5" t="s">
        <v>41</v>
      </c>
      <c r="S1004" s="5">
        <v>9362</v>
      </c>
      <c r="T1004" s="5">
        <v>19944</v>
      </c>
      <c r="U1004" s="5">
        <v>2</v>
      </c>
      <c r="V1004" s="5" t="s">
        <v>42</v>
      </c>
      <c r="W1004" s="5" t="s">
        <v>43</v>
      </c>
      <c r="X1004" s="5">
        <v>11</v>
      </c>
      <c r="Y1004" s="5">
        <v>3</v>
      </c>
      <c r="Z1004" s="5">
        <v>3</v>
      </c>
      <c r="AA1004" s="5">
        <v>80</v>
      </c>
      <c r="AB1004" s="5">
        <v>0</v>
      </c>
      <c r="AC1004" s="5">
        <v>10</v>
      </c>
      <c r="AD1004" s="5">
        <v>2</v>
      </c>
      <c r="AE1004" s="5">
        <v>3</v>
      </c>
      <c r="AF1004" s="5">
        <v>2</v>
      </c>
      <c r="AG1004" s="5">
        <v>2</v>
      </c>
      <c r="AH1004" s="5">
        <v>2</v>
      </c>
      <c r="AI1004" s="5">
        <v>2</v>
      </c>
    </row>
    <row r="1005" spans="1:35" x14ac:dyDescent="0.25">
      <c r="A1005" s="5">
        <v>25</v>
      </c>
      <c r="B1005" s="5" t="s">
        <v>43</v>
      </c>
      <c r="C1005" s="5" t="s">
        <v>36</v>
      </c>
      <c r="D1005" s="5">
        <v>949</v>
      </c>
      <c r="E1005" s="5" t="s">
        <v>45</v>
      </c>
      <c r="F1005" s="5">
        <v>1</v>
      </c>
      <c r="G1005" s="5">
        <v>3</v>
      </c>
      <c r="H1005" s="5" t="s">
        <v>60</v>
      </c>
      <c r="I1005" s="5">
        <v>1</v>
      </c>
      <c r="J1005" s="5">
        <v>1415</v>
      </c>
      <c r="K1005" s="5">
        <v>1</v>
      </c>
      <c r="L1005" s="5" t="s">
        <v>46</v>
      </c>
      <c r="M1005" s="5">
        <v>81</v>
      </c>
      <c r="N1005" s="5">
        <v>3</v>
      </c>
      <c r="O1005" s="5">
        <v>1</v>
      </c>
      <c r="P1005" s="5" t="s">
        <v>50</v>
      </c>
      <c r="Q1005" s="5">
        <v>4</v>
      </c>
      <c r="R1005" s="5" t="s">
        <v>48</v>
      </c>
      <c r="S1005" s="5">
        <v>3229</v>
      </c>
      <c r="T1005" s="5">
        <v>4910</v>
      </c>
      <c r="U1005" s="5">
        <v>4</v>
      </c>
      <c r="V1005" s="5" t="s">
        <v>42</v>
      </c>
      <c r="W1005" s="5" t="s">
        <v>43</v>
      </c>
      <c r="X1005" s="5">
        <v>11</v>
      </c>
      <c r="Y1005" s="5">
        <v>3</v>
      </c>
      <c r="Z1005" s="5">
        <v>2</v>
      </c>
      <c r="AA1005" s="5">
        <v>80</v>
      </c>
      <c r="AB1005" s="5">
        <v>1</v>
      </c>
      <c r="AC1005" s="5">
        <v>7</v>
      </c>
      <c r="AD1005" s="5">
        <v>2</v>
      </c>
      <c r="AE1005" s="5">
        <v>2</v>
      </c>
      <c r="AF1005" s="5">
        <v>3</v>
      </c>
      <c r="AG1005" s="5">
        <v>2</v>
      </c>
      <c r="AH1005" s="5">
        <v>0</v>
      </c>
      <c r="AI1005" s="5">
        <v>2</v>
      </c>
    </row>
    <row r="1006" spans="1:35" x14ac:dyDescent="0.25">
      <c r="A1006" s="5">
        <v>26</v>
      </c>
      <c r="B1006" s="5" t="s">
        <v>43</v>
      </c>
      <c r="C1006" s="5" t="s">
        <v>36</v>
      </c>
      <c r="D1006" s="5">
        <v>652</v>
      </c>
      <c r="E1006" s="5" t="s">
        <v>45</v>
      </c>
      <c r="F1006" s="5">
        <v>7</v>
      </c>
      <c r="G1006" s="5">
        <v>3</v>
      </c>
      <c r="H1006" s="5" t="s">
        <v>49</v>
      </c>
      <c r="I1006" s="5">
        <v>1</v>
      </c>
      <c r="J1006" s="5">
        <v>1417</v>
      </c>
      <c r="K1006" s="5">
        <v>3</v>
      </c>
      <c r="L1006" s="5" t="s">
        <v>46</v>
      </c>
      <c r="M1006" s="5">
        <v>100</v>
      </c>
      <c r="N1006" s="5">
        <v>4</v>
      </c>
      <c r="O1006" s="5">
        <v>1</v>
      </c>
      <c r="P1006" s="5" t="s">
        <v>50</v>
      </c>
      <c r="Q1006" s="5">
        <v>1</v>
      </c>
      <c r="R1006" s="5" t="s">
        <v>41</v>
      </c>
      <c r="S1006" s="5">
        <v>3578</v>
      </c>
      <c r="T1006" s="5">
        <v>23577</v>
      </c>
      <c r="U1006" s="5">
        <v>0</v>
      </c>
      <c r="V1006" s="5" t="s">
        <v>42</v>
      </c>
      <c r="W1006" s="5" t="s">
        <v>43</v>
      </c>
      <c r="X1006" s="5">
        <v>12</v>
      </c>
      <c r="Y1006" s="5">
        <v>3</v>
      </c>
      <c r="Z1006" s="5">
        <v>4</v>
      </c>
      <c r="AA1006" s="5">
        <v>80</v>
      </c>
      <c r="AB1006" s="5">
        <v>0</v>
      </c>
      <c r="AC1006" s="5">
        <v>8</v>
      </c>
      <c r="AD1006" s="5">
        <v>2</v>
      </c>
      <c r="AE1006" s="5">
        <v>3</v>
      </c>
      <c r="AF1006" s="5">
        <v>7</v>
      </c>
      <c r="AG1006" s="5">
        <v>7</v>
      </c>
      <c r="AH1006" s="5">
        <v>0</v>
      </c>
      <c r="AI1006" s="5">
        <v>7</v>
      </c>
    </row>
    <row r="1007" spans="1:35" x14ac:dyDescent="0.25">
      <c r="A1007" s="5">
        <v>29</v>
      </c>
      <c r="B1007" s="5" t="s">
        <v>43</v>
      </c>
      <c r="C1007" s="5" t="s">
        <v>36</v>
      </c>
      <c r="D1007" s="5">
        <v>332</v>
      </c>
      <c r="E1007" s="5" t="s">
        <v>61</v>
      </c>
      <c r="F1007" s="5">
        <v>17</v>
      </c>
      <c r="G1007" s="5">
        <v>3</v>
      </c>
      <c r="H1007" s="5" t="s">
        <v>49</v>
      </c>
      <c r="I1007" s="5">
        <v>1</v>
      </c>
      <c r="J1007" s="5">
        <v>1419</v>
      </c>
      <c r="K1007" s="5">
        <v>2</v>
      </c>
      <c r="L1007" s="5" t="s">
        <v>46</v>
      </c>
      <c r="M1007" s="5">
        <v>51</v>
      </c>
      <c r="N1007" s="5">
        <v>2</v>
      </c>
      <c r="O1007" s="5">
        <v>3</v>
      </c>
      <c r="P1007" s="5" t="s">
        <v>61</v>
      </c>
      <c r="Q1007" s="5">
        <v>1</v>
      </c>
      <c r="R1007" s="5" t="s">
        <v>41</v>
      </c>
      <c r="S1007" s="5">
        <v>7988</v>
      </c>
      <c r="T1007" s="5">
        <v>9769</v>
      </c>
      <c r="U1007" s="5">
        <v>1</v>
      </c>
      <c r="V1007" s="5" t="s">
        <v>42</v>
      </c>
      <c r="W1007" s="5" t="s">
        <v>43</v>
      </c>
      <c r="X1007" s="5">
        <v>13</v>
      </c>
      <c r="Y1007" s="5">
        <v>3</v>
      </c>
      <c r="Z1007" s="5">
        <v>1</v>
      </c>
      <c r="AA1007" s="5">
        <v>80</v>
      </c>
      <c r="AB1007" s="5">
        <v>0</v>
      </c>
      <c r="AC1007" s="5">
        <v>10</v>
      </c>
      <c r="AD1007" s="5">
        <v>3</v>
      </c>
      <c r="AE1007" s="5">
        <v>2</v>
      </c>
      <c r="AF1007" s="5">
        <v>10</v>
      </c>
      <c r="AG1007" s="5">
        <v>9</v>
      </c>
      <c r="AH1007" s="5">
        <v>0</v>
      </c>
      <c r="AI1007" s="5">
        <v>9</v>
      </c>
    </row>
    <row r="1008" spans="1:35" x14ac:dyDescent="0.25">
      <c r="A1008" s="5">
        <v>49</v>
      </c>
      <c r="B1008" s="5" t="s">
        <v>35</v>
      </c>
      <c r="C1008" s="5" t="s">
        <v>44</v>
      </c>
      <c r="D1008" s="5">
        <v>1475</v>
      </c>
      <c r="E1008" s="5" t="s">
        <v>45</v>
      </c>
      <c r="F1008" s="5">
        <v>28</v>
      </c>
      <c r="G1008" s="5">
        <v>2</v>
      </c>
      <c r="H1008" s="5" t="s">
        <v>38</v>
      </c>
      <c r="I1008" s="5">
        <v>1</v>
      </c>
      <c r="J1008" s="5">
        <v>1420</v>
      </c>
      <c r="K1008" s="5">
        <v>1</v>
      </c>
      <c r="L1008" s="5" t="s">
        <v>46</v>
      </c>
      <c r="M1008" s="5">
        <v>97</v>
      </c>
      <c r="N1008" s="5">
        <v>2</v>
      </c>
      <c r="O1008" s="5">
        <v>2</v>
      </c>
      <c r="P1008" s="5" t="s">
        <v>50</v>
      </c>
      <c r="Q1008" s="5">
        <v>1</v>
      </c>
      <c r="R1008" s="5" t="s">
        <v>41</v>
      </c>
      <c r="S1008" s="5">
        <v>4284</v>
      </c>
      <c r="T1008" s="5">
        <v>22710</v>
      </c>
      <c r="U1008" s="5">
        <v>3</v>
      </c>
      <c r="V1008" s="5" t="s">
        <v>42</v>
      </c>
      <c r="W1008" s="5" t="s">
        <v>43</v>
      </c>
      <c r="X1008" s="5">
        <v>20</v>
      </c>
      <c r="Y1008" s="5">
        <v>4</v>
      </c>
      <c r="Z1008" s="5">
        <v>1</v>
      </c>
      <c r="AA1008" s="5">
        <v>80</v>
      </c>
      <c r="AB1008" s="5">
        <v>0</v>
      </c>
      <c r="AC1008" s="5">
        <v>20</v>
      </c>
      <c r="AD1008" s="5">
        <v>2</v>
      </c>
      <c r="AE1008" s="5">
        <v>3</v>
      </c>
      <c r="AF1008" s="5">
        <v>4</v>
      </c>
      <c r="AG1008" s="5">
        <v>3</v>
      </c>
      <c r="AH1008" s="5">
        <v>1</v>
      </c>
      <c r="AI1008" s="5">
        <v>3</v>
      </c>
    </row>
    <row r="1009" spans="1:35" x14ac:dyDescent="0.25">
      <c r="A1009" s="5">
        <v>29</v>
      </c>
      <c r="B1009" s="5" t="s">
        <v>35</v>
      </c>
      <c r="C1009" s="5" t="s">
        <v>44</v>
      </c>
      <c r="D1009" s="5">
        <v>337</v>
      </c>
      <c r="E1009" s="5" t="s">
        <v>45</v>
      </c>
      <c r="F1009" s="5">
        <v>14</v>
      </c>
      <c r="G1009" s="5">
        <v>1</v>
      </c>
      <c r="H1009" s="5" t="s">
        <v>49</v>
      </c>
      <c r="I1009" s="5">
        <v>1</v>
      </c>
      <c r="J1009" s="5">
        <v>1421</v>
      </c>
      <c r="K1009" s="5">
        <v>3</v>
      </c>
      <c r="L1009" s="5" t="s">
        <v>39</v>
      </c>
      <c r="M1009" s="5">
        <v>84</v>
      </c>
      <c r="N1009" s="5">
        <v>3</v>
      </c>
      <c r="O1009" s="5">
        <v>3</v>
      </c>
      <c r="P1009" s="5" t="s">
        <v>54</v>
      </c>
      <c r="Q1009" s="5">
        <v>4</v>
      </c>
      <c r="R1009" s="5" t="s">
        <v>41</v>
      </c>
      <c r="S1009" s="5">
        <v>7553</v>
      </c>
      <c r="T1009" s="5">
        <v>22930</v>
      </c>
      <c r="U1009" s="5">
        <v>0</v>
      </c>
      <c r="V1009" s="5" t="s">
        <v>42</v>
      </c>
      <c r="W1009" s="5" t="s">
        <v>35</v>
      </c>
      <c r="X1009" s="5">
        <v>12</v>
      </c>
      <c r="Y1009" s="5">
        <v>3</v>
      </c>
      <c r="Z1009" s="5">
        <v>1</v>
      </c>
      <c r="AA1009" s="5">
        <v>80</v>
      </c>
      <c r="AB1009" s="5">
        <v>0</v>
      </c>
      <c r="AC1009" s="5">
        <v>9</v>
      </c>
      <c r="AD1009" s="5">
        <v>1</v>
      </c>
      <c r="AE1009" s="5">
        <v>3</v>
      </c>
      <c r="AF1009" s="5">
        <v>8</v>
      </c>
      <c r="AG1009" s="5">
        <v>7</v>
      </c>
      <c r="AH1009" s="5">
        <v>7</v>
      </c>
      <c r="AI1009" s="5">
        <v>7</v>
      </c>
    </row>
    <row r="1010" spans="1:35" x14ac:dyDescent="0.25">
      <c r="A1010" s="5">
        <v>54</v>
      </c>
      <c r="B1010" s="5" t="s">
        <v>43</v>
      </c>
      <c r="C1010" s="5" t="s">
        <v>36</v>
      </c>
      <c r="D1010" s="5">
        <v>971</v>
      </c>
      <c r="E1010" s="5" t="s">
        <v>45</v>
      </c>
      <c r="F1010" s="5">
        <v>1</v>
      </c>
      <c r="G1010" s="5">
        <v>3</v>
      </c>
      <c r="H1010" s="5" t="s">
        <v>51</v>
      </c>
      <c r="I1010" s="5">
        <v>1</v>
      </c>
      <c r="J1010" s="5">
        <v>1422</v>
      </c>
      <c r="K1010" s="5">
        <v>4</v>
      </c>
      <c r="L1010" s="5" t="s">
        <v>39</v>
      </c>
      <c r="M1010" s="5">
        <v>54</v>
      </c>
      <c r="N1010" s="5">
        <v>3</v>
      </c>
      <c r="O1010" s="5">
        <v>4</v>
      </c>
      <c r="P1010" s="5" t="s">
        <v>58</v>
      </c>
      <c r="Q1010" s="5">
        <v>4</v>
      </c>
      <c r="R1010" s="5" t="s">
        <v>41</v>
      </c>
      <c r="S1010" s="5">
        <v>17328</v>
      </c>
      <c r="T1010" s="5">
        <v>5652</v>
      </c>
      <c r="U1010" s="5">
        <v>6</v>
      </c>
      <c r="V1010" s="5" t="s">
        <v>42</v>
      </c>
      <c r="W1010" s="5" t="s">
        <v>43</v>
      </c>
      <c r="X1010" s="5">
        <v>19</v>
      </c>
      <c r="Y1010" s="5">
        <v>3</v>
      </c>
      <c r="Z1010" s="5">
        <v>4</v>
      </c>
      <c r="AA1010" s="5">
        <v>80</v>
      </c>
      <c r="AB1010" s="5">
        <v>0</v>
      </c>
      <c r="AC1010" s="5">
        <v>29</v>
      </c>
      <c r="AD1010" s="5">
        <v>3</v>
      </c>
      <c r="AE1010" s="5">
        <v>2</v>
      </c>
      <c r="AF1010" s="5">
        <v>20</v>
      </c>
      <c r="AG1010" s="5">
        <v>7</v>
      </c>
      <c r="AH1010" s="5">
        <v>12</v>
      </c>
      <c r="AI1010" s="5">
        <v>7</v>
      </c>
    </row>
    <row r="1011" spans="1:35" x14ac:dyDescent="0.25">
      <c r="A1011" s="5">
        <v>58</v>
      </c>
      <c r="B1011" s="5" t="s">
        <v>43</v>
      </c>
      <c r="C1011" s="5" t="s">
        <v>36</v>
      </c>
      <c r="D1011" s="5">
        <v>1055</v>
      </c>
      <c r="E1011" s="5" t="s">
        <v>45</v>
      </c>
      <c r="F1011" s="5">
        <v>1</v>
      </c>
      <c r="G1011" s="5">
        <v>3</v>
      </c>
      <c r="H1011" s="5" t="s">
        <v>51</v>
      </c>
      <c r="I1011" s="5">
        <v>1</v>
      </c>
      <c r="J1011" s="5">
        <v>1423</v>
      </c>
      <c r="K1011" s="5">
        <v>4</v>
      </c>
      <c r="L1011" s="5" t="s">
        <v>39</v>
      </c>
      <c r="M1011" s="5">
        <v>76</v>
      </c>
      <c r="N1011" s="5">
        <v>3</v>
      </c>
      <c r="O1011" s="5">
        <v>5</v>
      </c>
      <c r="P1011" s="5" t="s">
        <v>58</v>
      </c>
      <c r="Q1011" s="5">
        <v>1</v>
      </c>
      <c r="R1011" s="5" t="s">
        <v>48</v>
      </c>
      <c r="S1011" s="5">
        <v>19701</v>
      </c>
      <c r="T1011" s="5">
        <v>22456</v>
      </c>
      <c r="U1011" s="5">
        <v>3</v>
      </c>
      <c r="V1011" s="5" t="s">
        <v>42</v>
      </c>
      <c r="W1011" s="5" t="s">
        <v>35</v>
      </c>
      <c r="X1011" s="5">
        <v>21</v>
      </c>
      <c r="Y1011" s="5">
        <v>4</v>
      </c>
      <c r="Z1011" s="5">
        <v>3</v>
      </c>
      <c r="AA1011" s="5">
        <v>80</v>
      </c>
      <c r="AB1011" s="5">
        <v>1</v>
      </c>
      <c r="AC1011" s="5">
        <v>32</v>
      </c>
      <c r="AD1011" s="5">
        <v>3</v>
      </c>
      <c r="AE1011" s="5">
        <v>3</v>
      </c>
      <c r="AF1011" s="5">
        <v>9</v>
      </c>
      <c r="AG1011" s="5">
        <v>8</v>
      </c>
      <c r="AH1011" s="5">
        <v>1</v>
      </c>
      <c r="AI1011" s="5">
        <v>5</v>
      </c>
    </row>
    <row r="1012" spans="1:35" x14ac:dyDescent="0.25">
      <c r="A1012" s="5">
        <v>55</v>
      </c>
      <c r="B1012" s="5" t="s">
        <v>43</v>
      </c>
      <c r="C1012" s="5" t="s">
        <v>36</v>
      </c>
      <c r="D1012" s="5">
        <v>1136</v>
      </c>
      <c r="E1012" s="5" t="s">
        <v>45</v>
      </c>
      <c r="F1012" s="5">
        <v>1</v>
      </c>
      <c r="G1012" s="5">
        <v>4</v>
      </c>
      <c r="H1012" s="5" t="s">
        <v>51</v>
      </c>
      <c r="I1012" s="5">
        <v>1</v>
      </c>
      <c r="J1012" s="5">
        <v>1424</v>
      </c>
      <c r="K1012" s="5">
        <v>2</v>
      </c>
      <c r="L1012" s="5" t="s">
        <v>46</v>
      </c>
      <c r="M1012" s="5">
        <v>81</v>
      </c>
      <c r="N1012" s="5">
        <v>4</v>
      </c>
      <c r="O1012" s="5">
        <v>4</v>
      </c>
      <c r="P1012" s="5" t="s">
        <v>58</v>
      </c>
      <c r="Q1012" s="5">
        <v>4</v>
      </c>
      <c r="R1012" s="5" t="s">
        <v>52</v>
      </c>
      <c r="S1012" s="5">
        <v>14732</v>
      </c>
      <c r="T1012" s="5">
        <v>12414</v>
      </c>
      <c r="U1012" s="5">
        <v>2</v>
      </c>
      <c r="V1012" s="5" t="s">
        <v>42</v>
      </c>
      <c r="W1012" s="5" t="s">
        <v>43</v>
      </c>
      <c r="X1012" s="5">
        <v>13</v>
      </c>
      <c r="Y1012" s="5">
        <v>3</v>
      </c>
      <c r="Z1012" s="5">
        <v>4</v>
      </c>
      <c r="AA1012" s="5">
        <v>80</v>
      </c>
      <c r="AB1012" s="5">
        <v>2</v>
      </c>
      <c r="AC1012" s="5">
        <v>31</v>
      </c>
      <c r="AD1012" s="5">
        <v>4</v>
      </c>
      <c r="AE1012" s="5">
        <v>4</v>
      </c>
      <c r="AF1012" s="5">
        <v>7</v>
      </c>
      <c r="AG1012" s="5">
        <v>7</v>
      </c>
      <c r="AH1012" s="5">
        <v>0</v>
      </c>
      <c r="AI1012" s="5">
        <v>0</v>
      </c>
    </row>
    <row r="1013" spans="1:35" x14ac:dyDescent="0.25">
      <c r="A1013" s="5">
        <v>36</v>
      </c>
      <c r="B1013" s="5" t="s">
        <v>43</v>
      </c>
      <c r="C1013" s="5" t="s">
        <v>36</v>
      </c>
      <c r="D1013" s="5">
        <v>1174</v>
      </c>
      <c r="E1013" s="5" t="s">
        <v>37</v>
      </c>
      <c r="F1013" s="5">
        <v>3</v>
      </c>
      <c r="G1013" s="5">
        <v>4</v>
      </c>
      <c r="H1013" s="5" t="s">
        <v>59</v>
      </c>
      <c r="I1013" s="5">
        <v>1</v>
      </c>
      <c r="J1013" s="5">
        <v>1425</v>
      </c>
      <c r="K1013" s="5">
        <v>1</v>
      </c>
      <c r="L1013" s="5" t="s">
        <v>39</v>
      </c>
      <c r="M1013" s="5">
        <v>99</v>
      </c>
      <c r="N1013" s="5">
        <v>3</v>
      </c>
      <c r="O1013" s="5">
        <v>2</v>
      </c>
      <c r="P1013" s="5" t="s">
        <v>40</v>
      </c>
      <c r="Q1013" s="5">
        <v>2</v>
      </c>
      <c r="R1013" s="5" t="s">
        <v>41</v>
      </c>
      <c r="S1013" s="5">
        <v>9278</v>
      </c>
      <c r="T1013" s="5">
        <v>20763</v>
      </c>
      <c r="U1013" s="5">
        <v>3</v>
      </c>
      <c r="V1013" s="5" t="s">
        <v>42</v>
      </c>
      <c r="W1013" s="5" t="s">
        <v>35</v>
      </c>
      <c r="X1013" s="5">
        <v>16</v>
      </c>
      <c r="Y1013" s="5">
        <v>3</v>
      </c>
      <c r="Z1013" s="5">
        <v>4</v>
      </c>
      <c r="AA1013" s="5">
        <v>80</v>
      </c>
      <c r="AB1013" s="5">
        <v>0</v>
      </c>
      <c r="AC1013" s="5">
        <v>15</v>
      </c>
      <c r="AD1013" s="5">
        <v>3</v>
      </c>
      <c r="AE1013" s="5">
        <v>3</v>
      </c>
      <c r="AF1013" s="5">
        <v>5</v>
      </c>
      <c r="AG1013" s="5">
        <v>4</v>
      </c>
      <c r="AH1013" s="5">
        <v>0</v>
      </c>
      <c r="AI1013" s="5">
        <v>1</v>
      </c>
    </row>
    <row r="1014" spans="1:35" x14ac:dyDescent="0.25">
      <c r="A1014" s="5">
        <v>31</v>
      </c>
      <c r="B1014" s="5" t="s">
        <v>35</v>
      </c>
      <c r="C1014" s="5" t="s">
        <v>44</v>
      </c>
      <c r="D1014" s="5">
        <v>667</v>
      </c>
      <c r="E1014" s="5" t="s">
        <v>37</v>
      </c>
      <c r="F1014" s="5">
        <v>1</v>
      </c>
      <c r="G1014" s="5">
        <v>4</v>
      </c>
      <c r="H1014" s="5" t="s">
        <v>38</v>
      </c>
      <c r="I1014" s="5">
        <v>1</v>
      </c>
      <c r="J1014" s="5">
        <v>1427</v>
      </c>
      <c r="K1014" s="5">
        <v>2</v>
      </c>
      <c r="L1014" s="5" t="s">
        <v>39</v>
      </c>
      <c r="M1014" s="5">
        <v>50</v>
      </c>
      <c r="N1014" s="5">
        <v>1</v>
      </c>
      <c r="O1014" s="5">
        <v>1</v>
      </c>
      <c r="P1014" s="5" t="s">
        <v>57</v>
      </c>
      <c r="Q1014" s="5">
        <v>3</v>
      </c>
      <c r="R1014" s="5" t="s">
        <v>41</v>
      </c>
      <c r="S1014" s="5">
        <v>1359</v>
      </c>
      <c r="T1014" s="5">
        <v>16154</v>
      </c>
      <c r="U1014" s="5">
        <v>1</v>
      </c>
      <c r="V1014" s="5" t="s">
        <v>42</v>
      </c>
      <c r="W1014" s="5" t="s">
        <v>43</v>
      </c>
      <c r="X1014" s="5">
        <v>12</v>
      </c>
      <c r="Y1014" s="5">
        <v>3</v>
      </c>
      <c r="Z1014" s="5">
        <v>2</v>
      </c>
      <c r="AA1014" s="5">
        <v>80</v>
      </c>
      <c r="AB1014" s="5">
        <v>0</v>
      </c>
      <c r="AC1014" s="5">
        <v>1</v>
      </c>
      <c r="AD1014" s="5">
        <v>3</v>
      </c>
      <c r="AE1014" s="5">
        <v>3</v>
      </c>
      <c r="AF1014" s="5">
        <v>1</v>
      </c>
      <c r="AG1014" s="5">
        <v>0</v>
      </c>
      <c r="AH1014" s="5">
        <v>0</v>
      </c>
      <c r="AI1014" s="5">
        <v>0</v>
      </c>
    </row>
    <row r="1015" spans="1:35" x14ac:dyDescent="0.25">
      <c r="A1015" s="5">
        <v>30</v>
      </c>
      <c r="B1015" s="5" t="s">
        <v>43</v>
      </c>
      <c r="C1015" s="5" t="s">
        <v>36</v>
      </c>
      <c r="D1015" s="5">
        <v>855</v>
      </c>
      <c r="E1015" s="5" t="s">
        <v>37</v>
      </c>
      <c r="F1015" s="5">
        <v>7</v>
      </c>
      <c r="G1015" s="5">
        <v>4</v>
      </c>
      <c r="H1015" s="5" t="s">
        <v>59</v>
      </c>
      <c r="I1015" s="5">
        <v>1</v>
      </c>
      <c r="J1015" s="5">
        <v>1428</v>
      </c>
      <c r="K1015" s="5">
        <v>4</v>
      </c>
      <c r="L1015" s="5" t="s">
        <v>39</v>
      </c>
      <c r="M1015" s="5">
        <v>73</v>
      </c>
      <c r="N1015" s="5">
        <v>3</v>
      </c>
      <c r="O1015" s="5">
        <v>2</v>
      </c>
      <c r="P1015" s="5" t="s">
        <v>40</v>
      </c>
      <c r="Q1015" s="5">
        <v>1</v>
      </c>
      <c r="R1015" s="5" t="s">
        <v>52</v>
      </c>
      <c r="S1015" s="5">
        <v>4779</v>
      </c>
      <c r="T1015" s="5">
        <v>12761</v>
      </c>
      <c r="U1015" s="5">
        <v>7</v>
      </c>
      <c r="V1015" s="5" t="s">
        <v>42</v>
      </c>
      <c r="W1015" s="5" t="s">
        <v>43</v>
      </c>
      <c r="X1015" s="5">
        <v>14</v>
      </c>
      <c r="Y1015" s="5">
        <v>3</v>
      </c>
      <c r="Z1015" s="5">
        <v>2</v>
      </c>
      <c r="AA1015" s="5">
        <v>80</v>
      </c>
      <c r="AB1015" s="5">
        <v>2</v>
      </c>
      <c r="AC1015" s="5">
        <v>8</v>
      </c>
      <c r="AD1015" s="5">
        <v>3</v>
      </c>
      <c r="AE1015" s="5">
        <v>3</v>
      </c>
      <c r="AF1015" s="5">
        <v>3</v>
      </c>
      <c r="AG1015" s="5">
        <v>2</v>
      </c>
      <c r="AH1015" s="5">
        <v>0</v>
      </c>
      <c r="AI1015" s="5">
        <v>2</v>
      </c>
    </row>
    <row r="1016" spans="1:35" x14ac:dyDescent="0.25">
      <c r="A1016" s="5">
        <v>31</v>
      </c>
      <c r="B1016" s="5" t="s">
        <v>43</v>
      </c>
      <c r="C1016" s="5" t="s">
        <v>36</v>
      </c>
      <c r="D1016" s="5">
        <v>182</v>
      </c>
      <c r="E1016" s="5" t="s">
        <v>45</v>
      </c>
      <c r="F1016" s="5">
        <v>8</v>
      </c>
      <c r="G1016" s="5">
        <v>5</v>
      </c>
      <c r="H1016" s="5" t="s">
        <v>38</v>
      </c>
      <c r="I1016" s="5">
        <v>1</v>
      </c>
      <c r="J1016" s="5">
        <v>1430</v>
      </c>
      <c r="K1016" s="5">
        <v>1</v>
      </c>
      <c r="L1016" s="5" t="s">
        <v>39</v>
      </c>
      <c r="M1016" s="5">
        <v>93</v>
      </c>
      <c r="N1016" s="5">
        <v>3</v>
      </c>
      <c r="O1016" s="5">
        <v>4</v>
      </c>
      <c r="P1016" s="5" t="s">
        <v>58</v>
      </c>
      <c r="Q1016" s="5">
        <v>2</v>
      </c>
      <c r="R1016" s="5" t="s">
        <v>41</v>
      </c>
      <c r="S1016" s="5">
        <v>16422</v>
      </c>
      <c r="T1016" s="5">
        <v>8847</v>
      </c>
      <c r="U1016" s="5">
        <v>3</v>
      </c>
      <c r="V1016" s="5" t="s">
        <v>42</v>
      </c>
      <c r="W1016" s="5" t="s">
        <v>43</v>
      </c>
      <c r="X1016" s="5">
        <v>11</v>
      </c>
      <c r="Y1016" s="5">
        <v>3</v>
      </c>
      <c r="Z1016" s="5">
        <v>3</v>
      </c>
      <c r="AA1016" s="5">
        <v>80</v>
      </c>
      <c r="AB1016" s="5">
        <v>0</v>
      </c>
      <c r="AC1016" s="5">
        <v>9</v>
      </c>
      <c r="AD1016" s="5">
        <v>3</v>
      </c>
      <c r="AE1016" s="5">
        <v>4</v>
      </c>
      <c r="AF1016" s="5">
        <v>3</v>
      </c>
      <c r="AG1016" s="5">
        <v>2</v>
      </c>
      <c r="AH1016" s="5">
        <v>1</v>
      </c>
      <c r="AI1016" s="5">
        <v>0</v>
      </c>
    </row>
    <row r="1017" spans="1:35" x14ac:dyDescent="0.25">
      <c r="A1017" s="5">
        <v>34</v>
      </c>
      <c r="B1017" s="5" t="s">
        <v>43</v>
      </c>
      <c r="C1017" s="5" t="s">
        <v>44</v>
      </c>
      <c r="D1017" s="5">
        <v>560</v>
      </c>
      <c r="E1017" s="5" t="s">
        <v>45</v>
      </c>
      <c r="F1017" s="5">
        <v>1</v>
      </c>
      <c r="G1017" s="5">
        <v>4</v>
      </c>
      <c r="H1017" s="5" t="s">
        <v>49</v>
      </c>
      <c r="I1017" s="5">
        <v>1</v>
      </c>
      <c r="J1017" s="5">
        <v>1431</v>
      </c>
      <c r="K1017" s="5">
        <v>4</v>
      </c>
      <c r="L1017" s="5" t="s">
        <v>46</v>
      </c>
      <c r="M1017" s="5">
        <v>91</v>
      </c>
      <c r="N1017" s="5">
        <v>3</v>
      </c>
      <c r="O1017" s="5">
        <v>1</v>
      </c>
      <c r="P1017" s="5" t="s">
        <v>47</v>
      </c>
      <c r="Q1017" s="5">
        <v>1</v>
      </c>
      <c r="R1017" s="5" t="s">
        <v>52</v>
      </c>
      <c r="S1017" s="5">
        <v>2996</v>
      </c>
      <c r="T1017" s="5">
        <v>20284</v>
      </c>
      <c r="U1017" s="5">
        <v>5</v>
      </c>
      <c r="V1017" s="5" t="s">
        <v>42</v>
      </c>
      <c r="W1017" s="5" t="s">
        <v>43</v>
      </c>
      <c r="X1017" s="5">
        <v>14</v>
      </c>
      <c r="Y1017" s="5">
        <v>3</v>
      </c>
      <c r="Z1017" s="5">
        <v>3</v>
      </c>
      <c r="AA1017" s="5">
        <v>80</v>
      </c>
      <c r="AB1017" s="5">
        <v>2</v>
      </c>
      <c r="AC1017" s="5">
        <v>10</v>
      </c>
      <c r="AD1017" s="5">
        <v>2</v>
      </c>
      <c r="AE1017" s="5">
        <v>3</v>
      </c>
      <c r="AF1017" s="5">
        <v>4</v>
      </c>
      <c r="AG1017" s="5">
        <v>3</v>
      </c>
      <c r="AH1017" s="5">
        <v>1</v>
      </c>
      <c r="AI1017" s="5">
        <v>3</v>
      </c>
    </row>
    <row r="1018" spans="1:35" x14ac:dyDescent="0.25">
      <c r="A1018" s="5">
        <v>31</v>
      </c>
      <c r="B1018" s="5" t="s">
        <v>35</v>
      </c>
      <c r="C1018" s="5" t="s">
        <v>36</v>
      </c>
      <c r="D1018" s="5">
        <v>202</v>
      </c>
      <c r="E1018" s="5" t="s">
        <v>45</v>
      </c>
      <c r="F1018" s="5">
        <v>8</v>
      </c>
      <c r="G1018" s="5">
        <v>3</v>
      </c>
      <c r="H1018" s="5" t="s">
        <v>38</v>
      </c>
      <c r="I1018" s="5">
        <v>1</v>
      </c>
      <c r="J1018" s="5">
        <v>1433</v>
      </c>
      <c r="K1018" s="5">
        <v>1</v>
      </c>
      <c r="L1018" s="5" t="s">
        <v>39</v>
      </c>
      <c r="M1018" s="5">
        <v>34</v>
      </c>
      <c r="N1018" s="5">
        <v>2</v>
      </c>
      <c r="O1018" s="5">
        <v>1</v>
      </c>
      <c r="P1018" s="5" t="s">
        <v>47</v>
      </c>
      <c r="Q1018" s="5">
        <v>2</v>
      </c>
      <c r="R1018" s="5" t="s">
        <v>41</v>
      </c>
      <c r="S1018" s="5">
        <v>1261</v>
      </c>
      <c r="T1018" s="5">
        <v>22262</v>
      </c>
      <c r="U1018" s="5">
        <v>1</v>
      </c>
      <c r="V1018" s="5" t="s">
        <v>42</v>
      </c>
      <c r="W1018" s="5" t="s">
        <v>43</v>
      </c>
      <c r="X1018" s="5">
        <v>12</v>
      </c>
      <c r="Y1018" s="5">
        <v>3</v>
      </c>
      <c r="Z1018" s="5">
        <v>3</v>
      </c>
      <c r="AA1018" s="5">
        <v>80</v>
      </c>
      <c r="AB1018" s="5">
        <v>0</v>
      </c>
      <c r="AC1018" s="5">
        <v>1</v>
      </c>
      <c r="AD1018" s="5">
        <v>3</v>
      </c>
      <c r="AE1018" s="5">
        <v>4</v>
      </c>
      <c r="AF1018" s="5">
        <v>1</v>
      </c>
      <c r="AG1018" s="5">
        <v>0</v>
      </c>
      <c r="AH1018" s="5">
        <v>0</v>
      </c>
      <c r="AI1018" s="5">
        <v>0</v>
      </c>
    </row>
    <row r="1019" spans="1:35" x14ac:dyDescent="0.25">
      <c r="A1019" s="5">
        <v>27</v>
      </c>
      <c r="B1019" s="5" t="s">
        <v>43</v>
      </c>
      <c r="C1019" s="5" t="s">
        <v>36</v>
      </c>
      <c r="D1019" s="5">
        <v>1377</v>
      </c>
      <c r="E1019" s="5" t="s">
        <v>45</v>
      </c>
      <c r="F1019" s="5">
        <v>11</v>
      </c>
      <c r="G1019" s="5">
        <v>1</v>
      </c>
      <c r="H1019" s="5" t="s">
        <v>38</v>
      </c>
      <c r="I1019" s="5">
        <v>1</v>
      </c>
      <c r="J1019" s="5">
        <v>1434</v>
      </c>
      <c r="K1019" s="5">
        <v>2</v>
      </c>
      <c r="L1019" s="5" t="s">
        <v>46</v>
      </c>
      <c r="M1019" s="5">
        <v>91</v>
      </c>
      <c r="N1019" s="5">
        <v>3</v>
      </c>
      <c r="O1019" s="5">
        <v>1</v>
      </c>
      <c r="P1019" s="5" t="s">
        <v>50</v>
      </c>
      <c r="Q1019" s="5">
        <v>1</v>
      </c>
      <c r="R1019" s="5" t="s">
        <v>48</v>
      </c>
      <c r="S1019" s="5">
        <v>2099</v>
      </c>
      <c r="T1019" s="5">
        <v>7679</v>
      </c>
      <c r="U1019" s="5">
        <v>0</v>
      </c>
      <c r="V1019" s="5" t="s">
        <v>42</v>
      </c>
      <c r="W1019" s="5" t="s">
        <v>43</v>
      </c>
      <c r="X1019" s="5">
        <v>14</v>
      </c>
      <c r="Y1019" s="5">
        <v>3</v>
      </c>
      <c r="Z1019" s="5">
        <v>2</v>
      </c>
      <c r="AA1019" s="5">
        <v>80</v>
      </c>
      <c r="AB1019" s="5">
        <v>0</v>
      </c>
      <c r="AC1019" s="5">
        <v>6</v>
      </c>
      <c r="AD1019" s="5">
        <v>3</v>
      </c>
      <c r="AE1019" s="5">
        <v>4</v>
      </c>
      <c r="AF1019" s="5">
        <v>5</v>
      </c>
      <c r="AG1019" s="5">
        <v>0</v>
      </c>
      <c r="AH1019" s="5">
        <v>1</v>
      </c>
      <c r="AI1019" s="5">
        <v>4</v>
      </c>
    </row>
    <row r="1020" spans="1:35" x14ac:dyDescent="0.25">
      <c r="A1020" s="5">
        <v>36</v>
      </c>
      <c r="B1020" s="5" t="s">
        <v>43</v>
      </c>
      <c r="C1020" s="5" t="s">
        <v>36</v>
      </c>
      <c r="D1020" s="5">
        <v>172</v>
      </c>
      <c r="E1020" s="5" t="s">
        <v>45</v>
      </c>
      <c r="F1020" s="5">
        <v>4</v>
      </c>
      <c r="G1020" s="5">
        <v>4</v>
      </c>
      <c r="H1020" s="5" t="s">
        <v>38</v>
      </c>
      <c r="I1020" s="5">
        <v>1</v>
      </c>
      <c r="J1020" s="5">
        <v>1435</v>
      </c>
      <c r="K1020" s="5">
        <v>1</v>
      </c>
      <c r="L1020" s="5" t="s">
        <v>46</v>
      </c>
      <c r="M1020" s="5">
        <v>37</v>
      </c>
      <c r="N1020" s="5">
        <v>2</v>
      </c>
      <c r="O1020" s="5">
        <v>2</v>
      </c>
      <c r="P1020" s="5" t="s">
        <v>50</v>
      </c>
      <c r="Q1020" s="5">
        <v>4</v>
      </c>
      <c r="R1020" s="5" t="s">
        <v>41</v>
      </c>
      <c r="S1020" s="5">
        <v>5810</v>
      </c>
      <c r="T1020" s="5">
        <v>22604</v>
      </c>
      <c r="U1020" s="5">
        <v>1</v>
      </c>
      <c r="V1020" s="5" t="s">
        <v>42</v>
      </c>
      <c r="W1020" s="5" t="s">
        <v>43</v>
      </c>
      <c r="X1020" s="5">
        <v>16</v>
      </c>
      <c r="Y1020" s="5">
        <v>3</v>
      </c>
      <c r="Z1020" s="5">
        <v>3</v>
      </c>
      <c r="AA1020" s="5">
        <v>80</v>
      </c>
      <c r="AB1020" s="5">
        <v>0</v>
      </c>
      <c r="AC1020" s="5">
        <v>10</v>
      </c>
      <c r="AD1020" s="5">
        <v>2</v>
      </c>
      <c r="AE1020" s="5">
        <v>2</v>
      </c>
      <c r="AF1020" s="5">
        <v>10</v>
      </c>
      <c r="AG1020" s="5">
        <v>4</v>
      </c>
      <c r="AH1020" s="5">
        <v>1</v>
      </c>
      <c r="AI1020" s="5">
        <v>8</v>
      </c>
    </row>
    <row r="1021" spans="1:35" x14ac:dyDescent="0.25">
      <c r="A1021" s="5">
        <v>36</v>
      </c>
      <c r="B1021" s="5" t="s">
        <v>43</v>
      </c>
      <c r="C1021" s="5" t="s">
        <v>36</v>
      </c>
      <c r="D1021" s="5">
        <v>329</v>
      </c>
      <c r="E1021" s="5" t="s">
        <v>37</v>
      </c>
      <c r="F1021" s="5">
        <v>16</v>
      </c>
      <c r="G1021" s="5">
        <v>4</v>
      </c>
      <c r="H1021" s="5" t="s">
        <v>59</v>
      </c>
      <c r="I1021" s="5">
        <v>1</v>
      </c>
      <c r="J1021" s="5">
        <v>1436</v>
      </c>
      <c r="K1021" s="5">
        <v>3</v>
      </c>
      <c r="L1021" s="5" t="s">
        <v>39</v>
      </c>
      <c r="M1021" s="5">
        <v>98</v>
      </c>
      <c r="N1021" s="5">
        <v>2</v>
      </c>
      <c r="O1021" s="5">
        <v>2</v>
      </c>
      <c r="P1021" s="5" t="s">
        <v>40</v>
      </c>
      <c r="Q1021" s="5">
        <v>1</v>
      </c>
      <c r="R1021" s="5" t="s">
        <v>48</v>
      </c>
      <c r="S1021" s="5">
        <v>5647</v>
      </c>
      <c r="T1021" s="5">
        <v>13494</v>
      </c>
      <c r="U1021" s="5">
        <v>4</v>
      </c>
      <c r="V1021" s="5" t="s">
        <v>42</v>
      </c>
      <c r="W1021" s="5" t="s">
        <v>43</v>
      </c>
      <c r="X1021" s="5">
        <v>13</v>
      </c>
      <c r="Y1021" s="5">
        <v>3</v>
      </c>
      <c r="Z1021" s="5">
        <v>1</v>
      </c>
      <c r="AA1021" s="5">
        <v>80</v>
      </c>
      <c r="AB1021" s="5">
        <v>2</v>
      </c>
      <c r="AC1021" s="5">
        <v>11</v>
      </c>
      <c r="AD1021" s="5">
        <v>3</v>
      </c>
      <c r="AE1021" s="5">
        <v>2</v>
      </c>
      <c r="AF1021" s="5">
        <v>3</v>
      </c>
      <c r="AG1021" s="5">
        <v>2</v>
      </c>
      <c r="AH1021" s="5">
        <v>0</v>
      </c>
      <c r="AI1021" s="5">
        <v>2</v>
      </c>
    </row>
    <row r="1022" spans="1:35" x14ac:dyDescent="0.25">
      <c r="A1022" s="5">
        <v>47</v>
      </c>
      <c r="B1022" s="5" t="s">
        <v>43</v>
      </c>
      <c r="C1022" s="5" t="s">
        <v>36</v>
      </c>
      <c r="D1022" s="5">
        <v>465</v>
      </c>
      <c r="E1022" s="5" t="s">
        <v>45</v>
      </c>
      <c r="F1022" s="5">
        <v>1</v>
      </c>
      <c r="G1022" s="5">
        <v>3</v>
      </c>
      <c r="H1022" s="5" t="s">
        <v>60</v>
      </c>
      <c r="I1022" s="5">
        <v>1</v>
      </c>
      <c r="J1022" s="5">
        <v>1438</v>
      </c>
      <c r="K1022" s="5">
        <v>1</v>
      </c>
      <c r="L1022" s="5" t="s">
        <v>46</v>
      </c>
      <c r="M1022" s="5">
        <v>74</v>
      </c>
      <c r="N1022" s="5">
        <v>3</v>
      </c>
      <c r="O1022" s="5">
        <v>1</v>
      </c>
      <c r="P1022" s="5" t="s">
        <v>47</v>
      </c>
      <c r="Q1022" s="5">
        <v>4</v>
      </c>
      <c r="R1022" s="5" t="s">
        <v>48</v>
      </c>
      <c r="S1022" s="5">
        <v>3420</v>
      </c>
      <c r="T1022" s="5">
        <v>10205</v>
      </c>
      <c r="U1022" s="5">
        <v>7</v>
      </c>
      <c r="V1022" s="5" t="s">
        <v>42</v>
      </c>
      <c r="W1022" s="5" t="s">
        <v>43</v>
      </c>
      <c r="X1022" s="5">
        <v>12</v>
      </c>
      <c r="Y1022" s="5">
        <v>3</v>
      </c>
      <c r="Z1022" s="5">
        <v>3</v>
      </c>
      <c r="AA1022" s="5">
        <v>80</v>
      </c>
      <c r="AB1022" s="5">
        <v>1</v>
      </c>
      <c r="AC1022" s="5">
        <v>17</v>
      </c>
      <c r="AD1022" s="5">
        <v>2</v>
      </c>
      <c r="AE1022" s="5">
        <v>2</v>
      </c>
      <c r="AF1022" s="5">
        <v>6</v>
      </c>
      <c r="AG1022" s="5">
        <v>5</v>
      </c>
      <c r="AH1022" s="5">
        <v>1</v>
      </c>
      <c r="AI1022" s="5">
        <v>2</v>
      </c>
    </row>
    <row r="1023" spans="1:35" x14ac:dyDescent="0.25">
      <c r="A1023" s="5">
        <v>25</v>
      </c>
      <c r="B1023" s="5" t="s">
        <v>35</v>
      </c>
      <c r="C1023" s="5" t="s">
        <v>36</v>
      </c>
      <c r="D1023" s="5">
        <v>383</v>
      </c>
      <c r="E1023" s="5" t="s">
        <v>37</v>
      </c>
      <c r="F1023" s="5">
        <v>9</v>
      </c>
      <c r="G1023" s="5">
        <v>2</v>
      </c>
      <c r="H1023" s="5" t="s">
        <v>38</v>
      </c>
      <c r="I1023" s="5">
        <v>1</v>
      </c>
      <c r="J1023" s="5">
        <v>1439</v>
      </c>
      <c r="K1023" s="5">
        <v>1</v>
      </c>
      <c r="L1023" s="5" t="s">
        <v>46</v>
      </c>
      <c r="M1023" s="5">
        <v>68</v>
      </c>
      <c r="N1023" s="5">
        <v>2</v>
      </c>
      <c r="O1023" s="5">
        <v>1</v>
      </c>
      <c r="P1023" s="5" t="s">
        <v>57</v>
      </c>
      <c r="Q1023" s="5">
        <v>1</v>
      </c>
      <c r="R1023" s="5" t="s">
        <v>48</v>
      </c>
      <c r="S1023" s="5">
        <v>4400</v>
      </c>
      <c r="T1023" s="5">
        <v>15182</v>
      </c>
      <c r="U1023" s="5">
        <v>3</v>
      </c>
      <c r="V1023" s="5" t="s">
        <v>42</v>
      </c>
      <c r="W1023" s="5" t="s">
        <v>43</v>
      </c>
      <c r="X1023" s="5">
        <v>12</v>
      </c>
      <c r="Y1023" s="5">
        <v>3</v>
      </c>
      <c r="Z1023" s="5">
        <v>1</v>
      </c>
      <c r="AA1023" s="5">
        <v>80</v>
      </c>
      <c r="AB1023" s="5">
        <v>0</v>
      </c>
      <c r="AC1023" s="5">
        <v>6</v>
      </c>
      <c r="AD1023" s="5">
        <v>2</v>
      </c>
      <c r="AE1023" s="5">
        <v>3</v>
      </c>
      <c r="AF1023" s="5">
        <v>3</v>
      </c>
      <c r="AG1023" s="5">
        <v>2</v>
      </c>
      <c r="AH1023" s="5">
        <v>2</v>
      </c>
      <c r="AI1023" s="5">
        <v>2</v>
      </c>
    </row>
    <row r="1024" spans="1:35" x14ac:dyDescent="0.25">
      <c r="A1024" s="5">
        <v>37</v>
      </c>
      <c r="B1024" s="5" t="s">
        <v>43</v>
      </c>
      <c r="C1024" s="5" t="s">
        <v>55</v>
      </c>
      <c r="D1024" s="5">
        <v>1413</v>
      </c>
      <c r="E1024" s="5" t="s">
        <v>45</v>
      </c>
      <c r="F1024" s="5">
        <v>5</v>
      </c>
      <c r="G1024" s="5">
        <v>2</v>
      </c>
      <c r="H1024" s="5" t="s">
        <v>60</v>
      </c>
      <c r="I1024" s="5">
        <v>1</v>
      </c>
      <c r="J1024" s="5">
        <v>1440</v>
      </c>
      <c r="K1024" s="5">
        <v>3</v>
      </c>
      <c r="L1024" s="5" t="s">
        <v>46</v>
      </c>
      <c r="M1024" s="5">
        <v>84</v>
      </c>
      <c r="N1024" s="5">
        <v>4</v>
      </c>
      <c r="O1024" s="5">
        <v>1</v>
      </c>
      <c r="P1024" s="5" t="s">
        <v>50</v>
      </c>
      <c r="Q1024" s="5">
        <v>3</v>
      </c>
      <c r="R1024" s="5" t="s">
        <v>41</v>
      </c>
      <c r="S1024" s="5">
        <v>3500</v>
      </c>
      <c r="T1024" s="5">
        <v>25470</v>
      </c>
      <c r="U1024" s="5">
        <v>0</v>
      </c>
      <c r="V1024" s="5" t="s">
        <v>42</v>
      </c>
      <c r="W1024" s="5" t="s">
        <v>43</v>
      </c>
      <c r="X1024" s="5">
        <v>14</v>
      </c>
      <c r="Y1024" s="5">
        <v>3</v>
      </c>
      <c r="Z1024" s="5">
        <v>1</v>
      </c>
      <c r="AA1024" s="5">
        <v>80</v>
      </c>
      <c r="AB1024" s="5">
        <v>0</v>
      </c>
      <c r="AC1024" s="5">
        <v>7</v>
      </c>
      <c r="AD1024" s="5">
        <v>2</v>
      </c>
      <c r="AE1024" s="5">
        <v>1</v>
      </c>
      <c r="AF1024" s="5">
        <v>6</v>
      </c>
      <c r="AG1024" s="5">
        <v>5</v>
      </c>
      <c r="AH1024" s="5">
        <v>1</v>
      </c>
      <c r="AI1024" s="5">
        <v>3</v>
      </c>
    </row>
    <row r="1025" spans="1:35" x14ac:dyDescent="0.25">
      <c r="A1025" s="5">
        <v>56</v>
      </c>
      <c r="B1025" s="5" t="s">
        <v>43</v>
      </c>
      <c r="C1025" s="5" t="s">
        <v>36</v>
      </c>
      <c r="D1025" s="5">
        <v>1255</v>
      </c>
      <c r="E1025" s="5" t="s">
        <v>45</v>
      </c>
      <c r="F1025" s="5">
        <v>1</v>
      </c>
      <c r="G1025" s="5">
        <v>2</v>
      </c>
      <c r="H1025" s="5" t="s">
        <v>38</v>
      </c>
      <c r="I1025" s="5">
        <v>1</v>
      </c>
      <c r="J1025" s="5">
        <v>1441</v>
      </c>
      <c r="K1025" s="5">
        <v>1</v>
      </c>
      <c r="L1025" s="5" t="s">
        <v>39</v>
      </c>
      <c r="M1025" s="5">
        <v>90</v>
      </c>
      <c r="N1025" s="5">
        <v>3</v>
      </c>
      <c r="O1025" s="5">
        <v>1</v>
      </c>
      <c r="P1025" s="5" t="s">
        <v>47</v>
      </c>
      <c r="Q1025" s="5">
        <v>1</v>
      </c>
      <c r="R1025" s="5" t="s">
        <v>48</v>
      </c>
      <c r="S1025" s="5">
        <v>2066</v>
      </c>
      <c r="T1025" s="5">
        <v>10494</v>
      </c>
      <c r="U1025" s="5">
        <v>2</v>
      </c>
      <c r="V1025" s="5" t="s">
        <v>42</v>
      </c>
      <c r="W1025" s="5" t="s">
        <v>43</v>
      </c>
      <c r="X1025" s="5">
        <v>22</v>
      </c>
      <c r="Y1025" s="5">
        <v>4</v>
      </c>
      <c r="Z1025" s="5">
        <v>4</v>
      </c>
      <c r="AA1025" s="5">
        <v>80</v>
      </c>
      <c r="AB1025" s="5">
        <v>1</v>
      </c>
      <c r="AC1025" s="5">
        <v>5</v>
      </c>
      <c r="AD1025" s="5">
        <v>3</v>
      </c>
      <c r="AE1025" s="5">
        <v>4</v>
      </c>
      <c r="AF1025" s="5">
        <v>3</v>
      </c>
      <c r="AG1025" s="5">
        <v>2</v>
      </c>
      <c r="AH1025" s="5">
        <v>1</v>
      </c>
      <c r="AI1025" s="5">
        <v>0</v>
      </c>
    </row>
    <row r="1026" spans="1:35" x14ac:dyDescent="0.25">
      <c r="A1026" s="5">
        <v>47</v>
      </c>
      <c r="B1026" s="5" t="s">
        <v>43</v>
      </c>
      <c r="C1026" s="5" t="s">
        <v>36</v>
      </c>
      <c r="D1026" s="5">
        <v>359</v>
      </c>
      <c r="E1026" s="5" t="s">
        <v>45</v>
      </c>
      <c r="F1026" s="5">
        <v>2</v>
      </c>
      <c r="G1026" s="5">
        <v>4</v>
      </c>
      <c r="H1026" s="5" t="s">
        <v>51</v>
      </c>
      <c r="I1026" s="5">
        <v>1</v>
      </c>
      <c r="J1026" s="5">
        <v>1443</v>
      </c>
      <c r="K1026" s="5">
        <v>1</v>
      </c>
      <c r="L1026" s="5" t="s">
        <v>39</v>
      </c>
      <c r="M1026" s="5">
        <v>82</v>
      </c>
      <c r="N1026" s="5">
        <v>3</v>
      </c>
      <c r="O1026" s="5">
        <v>4</v>
      </c>
      <c r="P1026" s="5" t="s">
        <v>58</v>
      </c>
      <c r="Q1026" s="5">
        <v>3</v>
      </c>
      <c r="R1026" s="5" t="s">
        <v>48</v>
      </c>
      <c r="S1026" s="5">
        <v>17169</v>
      </c>
      <c r="T1026" s="5">
        <v>26703</v>
      </c>
      <c r="U1026" s="5">
        <v>3</v>
      </c>
      <c r="V1026" s="5" t="s">
        <v>42</v>
      </c>
      <c r="W1026" s="5" t="s">
        <v>43</v>
      </c>
      <c r="X1026" s="5">
        <v>19</v>
      </c>
      <c r="Y1026" s="5">
        <v>3</v>
      </c>
      <c r="Z1026" s="5">
        <v>2</v>
      </c>
      <c r="AA1026" s="5">
        <v>80</v>
      </c>
      <c r="AB1026" s="5">
        <v>2</v>
      </c>
      <c r="AC1026" s="5">
        <v>26</v>
      </c>
      <c r="AD1026" s="5">
        <v>2</v>
      </c>
      <c r="AE1026" s="5">
        <v>4</v>
      </c>
      <c r="AF1026" s="5">
        <v>20</v>
      </c>
      <c r="AG1026" s="5">
        <v>17</v>
      </c>
      <c r="AH1026" s="5">
        <v>5</v>
      </c>
      <c r="AI1026" s="5">
        <v>6</v>
      </c>
    </row>
    <row r="1027" spans="1:35" x14ac:dyDescent="0.25">
      <c r="A1027" s="5">
        <v>24</v>
      </c>
      <c r="B1027" s="5" t="s">
        <v>43</v>
      </c>
      <c r="C1027" s="5" t="s">
        <v>36</v>
      </c>
      <c r="D1027" s="5">
        <v>1476</v>
      </c>
      <c r="E1027" s="5" t="s">
        <v>37</v>
      </c>
      <c r="F1027" s="5">
        <v>4</v>
      </c>
      <c r="G1027" s="5">
        <v>1</v>
      </c>
      <c r="H1027" s="5" t="s">
        <v>51</v>
      </c>
      <c r="I1027" s="5">
        <v>1</v>
      </c>
      <c r="J1027" s="5">
        <v>1445</v>
      </c>
      <c r="K1027" s="5">
        <v>4</v>
      </c>
      <c r="L1027" s="5" t="s">
        <v>39</v>
      </c>
      <c r="M1027" s="5">
        <v>42</v>
      </c>
      <c r="N1027" s="5">
        <v>3</v>
      </c>
      <c r="O1027" s="5">
        <v>2</v>
      </c>
      <c r="P1027" s="5" t="s">
        <v>40</v>
      </c>
      <c r="Q1027" s="5">
        <v>3</v>
      </c>
      <c r="R1027" s="5" t="s">
        <v>48</v>
      </c>
      <c r="S1027" s="5">
        <v>4162</v>
      </c>
      <c r="T1027" s="5">
        <v>15211</v>
      </c>
      <c r="U1027" s="5">
        <v>1</v>
      </c>
      <c r="V1027" s="5" t="s">
        <v>42</v>
      </c>
      <c r="W1027" s="5" t="s">
        <v>35</v>
      </c>
      <c r="X1027" s="5">
        <v>12</v>
      </c>
      <c r="Y1027" s="5">
        <v>3</v>
      </c>
      <c r="Z1027" s="5">
        <v>3</v>
      </c>
      <c r="AA1027" s="5">
        <v>80</v>
      </c>
      <c r="AB1027" s="5">
        <v>2</v>
      </c>
      <c r="AC1027" s="5">
        <v>5</v>
      </c>
      <c r="AD1027" s="5">
        <v>3</v>
      </c>
      <c r="AE1027" s="5">
        <v>3</v>
      </c>
      <c r="AF1027" s="5">
        <v>5</v>
      </c>
      <c r="AG1027" s="5">
        <v>4</v>
      </c>
      <c r="AH1027" s="5">
        <v>0</v>
      </c>
      <c r="AI1027" s="5">
        <v>3</v>
      </c>
    </row>
    <row r="1028" spans="1:35" x14ac:dyDescent="0.25">
      <c r="A1028" s="5">
        <v>32</v>
      </c>
      <c r="B1028" s="5" t="s">
        <v>43</v>
      </c>
      <c r="C1028" s="5" t="s">
        <v>36</v>
      </c>
      <c r="D1028" s="5">
        <v>601</v>
      </c>
      <c r="E1028" s="5" t="s">
        <v>37</v>
      </c>
      <c r="F1028" s="5">
        <v>7</v>
      </c>
      <c r="G1028" s="5">
        <v>5</v>
      </c>
      <c r="H1028" s="5" t="s">
        <v>59</v>
      </c>
      <c r="I1028" s="5">
        <v>1</v>
      </c>
      <c r="J1028" s="5">
        <v>1446</v>
      </c>
      <c r="K1028" s="5">
        <v>4</v>
      </c>
      <c r="L1028" s="5" t="s">
        <v>46</v>
      </c>
      <c r="M1028" s="5">
        <v>97</v>
      </c>
      <c r="N1028" s="5">
        <v>3</v>
      </c>
      <c r="O1028" s="5">
        <v>2</v>
      </c>
      <c r="P1028" s="5" t="s">
        <v>40</v>
      </c>
      <c r="Q1028" s="5">
        <v>4</v>
      </c>
      <c r="R1028" s="5" t="s">
        <v>48</v>
      </c>
      <c r="S1028" s="5">
        <v>9204</v>
      </c>
      <c r="T1028" s="5">
        <v>23343</v>
      </c>
      <c r="U1028" s="5">
        <v>4</v>
      </c>
      <c r="V1028" s="5" t="s">
        <v>42</v>
      </c>
      <c r="W1028" s="5" t="s">
        <v>43</v>
      </c>
      <c r="X1028" s="5">
        <v>12</v>
      </c>
      <c r="Y1028" s="5">
        <v>3</v>
      </c>
      <c r="Z1028" s="5">
        <v>3</v>
      </c>
      <c r="AA1028" s="5">
        <v>80</v>
      </c>
      <c r="AB1028" s="5">
        <v>1</v>
      </c>
      <c r="AC1028" s="5">
        <v>7</v>
      </c>
      <c r="AD1028" s="5">
        <v>3</v>
      </c>
      <c r="AE1028" s="5">
        <v>2</v>
      </c>
      <c r="AF1028" s="5">
        <v>4</v>
      </c>
      <c r="AG1028" s="5">
        <v>3</v>
      </c>
      <c r="AH1028" s="5">
        <v>0</v>
      </c>
      <c r="AI1028" s="5">
        <v>3</v>
      </c>
    </row>
    <row r="1029" spans="1:35" x14ac:dyDescent="0.25">
      <c r="A1029" s="5">
        <v>34</v>
      </c>
      <c r="B1029" s="5" t="s">
        <v>43</v>
      </c>
      <c r="C1029" s="5" t="s">
        <v>36</v>
      </c>
      <c r="D1029" s="5">
        <v>401</v>
      </c>
      <c r="E1029" s="5" t="s">
        <v>45</v>
      </c>
      <c r="F1029" s="5">
        <v>1</v>
      </c>
      <c r="G1029" s="5">
        <v>3</v>
      </c>
      <c r="H1029" s="5" t="s">
        <v>38</v>
      </c>
      <c r="I1029" s="5">
        <v>1</v>
      </c>
      <c r="J1029" s="5">
        <v>1447</v>
      </c>
      <c r="K1029" s="5">
        <v>4</v>
      </c>
      <c r="L1029" s="5" t="s">
        <v>39</v>
      </c>
      <c r="M1029" s="5">
        <v>86</v>
      </c>
      <c r="N1029" s="5">
        <v>2</v>
      </c>
      <c r="O1029" s="5">
        <v>1</v>
      </c>
      <c r="P1029" s="5" t="s">
        <v>50</v>
      </c>
      <c r="Q1029" s="5">
        <v>2</v>
      </c>
      <c r="R1029" s="5" t="s">
        <v>48</v>
      </c>
      <c r="S1029" s="5">
        <v>3294</v>
      </c>
      <c r="T1029" s="5">
        <v>3708</v>
      </c>
      <c r="U1029" s="5">
        <v>5</v>
      </c>
      <c r="V1029" s="5" t="s">
        <v>42</v>
      </c>
      <c r="W1029" s="5" t="s">
        <v>43</v>
      </c>
      <c r="X1029" s="5">
        <v>17</v>
      </c>
      <c r="Y1029" s="5">
        <v>3</v>
      </c>
      <c r="Z1029" s="5">
        <v>1</v>
      </c>
      <c r="AA1029" s="5">
        <v>80</v>
      </c>
      <c r="AB1029" s="5">
        <v>1</v>
      </c>
      <c r="AC1029" s="5">
        <v>7</v>
      </c>
      <c r="AD1029" s="5">
        <v>2</v>
      </c>
      <c r="AE1029" s="5">
        <v>2</v>
      </c>
      <c r="AF1029" s="5">
        <v>5</v>
      </c>
      <c r="AG1029" s="5">
        <v>4</v>
      </c>
      <c r="AH1029" s="5">
        <v>0</v>
      </c>
      <c r="AI1029" s="5">
        <v>2</v>
      </c>
    </row>
    <row r="1030" spans="1:35" x14ac:dyDescent="0.25">
      <c r="A1030" s="5">
        <v>41</v>
      </c>
      <c r="B1030" s="5" t="s">
        <v>43</v>
      </c>
      <c r="C1030" s="5" t="s">
        <v>36</v>
      </c>
      <c r="D1030" s="5">
        <v>1283</v>
      </c>
      <c r="E1030" s="5" t="s">
        <v>45</v>
      </c>
      <c r="F1030" s="5">
        <v>5</v>
      </c>
      <c r="G1030" s="5">
        <v>5</v>
      </c>
      <c r="H1030" s="5" t="s">
        <v>51</v>
      </c>
      <c r="I1030" s="5">
        <v>1</v>
      </c>
      <c r="J1030" s="5">
        <v>1448</v>
      </c>
      <c r="K1030" s="5">
        <v>2</v>
      </c>
      <c r="L1030" s="5" t="s">
        <v>46</v>
      </c>
      <c r="M1030" s="5">
        <v>90</v>
      </c>
      <c r="N1030" s="5">
        <v>4</v>
      </c>
      <c r="O1030" s="5">
        <v>1</v>
      </c>
      <c r="P1030" s="5" t="s">
        <v>47</v>
      </c>
      <c r="Q1030" s="5">
        <v>3</v>
      </c>
      <c r="R1030" s="5" t="s">
        <v>48</v>
      </c>
      <c r="S1030" s="5">
        <v>2127</v>
      </c>
      <c r="T1030" s="5">
        <v>5561</v>
      </c>
      <c r="U1030" s="5">
        <v>2</v>
      </c>
      <c r="V1030" s="5" t="s">
        <v>42</v>
      </c>
      <c r="W1030" s="5" t="s">
        <v>35</v>
      </c>
      <c r="X1030" s="5">
        <v>12</v>
      </c>
      <c r="Y1030" s="5">
        <v>3</v>
      </c>
      <c r="Z1030" s="5">
        <v>1</v>
      </c>
      <c r="AA1030" s="5">
        <v>80</v>
      </c>
      <c r="AB1030" s="5">
        <v>0</v>
      </c>
      <c r="AC1030" s="5">
        <v>7</v>
      </c>
      <c r="AD1030" s="5">
        <v>5</v>
      </c>
      <c r="AE1030" s="5">
        <v>2</v>
      </c>
      <c r="AF1030" s="5">
        <v>4</v>
      </c>
      <c r="AG1030" s="5">
        <v>2</v>
      </c>
      <c r="AH1030" s="5">
        <v>0</v>
      </c>
      <c r="AI1030" s="5">
        <v>3</v>
      </c>
    </row>
    <row r="1031" spans="1:35" x14ac:dyDescent="0.25">
      <c r="A1031" s="5">
        <v>40</v>
      </c>
      <c r="B1031" s="5" t="s">
        <v>43</v>
      </c>
      <c r="C1031" s="5" t="s">
        <v>55</v>
      </c>
      <c r="D1031" s="5">
        <v>663</v>
      </c>
      <c r="E1031" s="5" t="s">
        <v>45</v>
      </c>
      <c r="F1031" s="5">
        <v>9</v>
      </c>
      <c r="G1031" s="5">
        <v>4</v>
      </c>
      <c r="H1031" s="5" t="s">
        <v>49</v>
      </c>
      <c r="I1031" s="5">
        <v>1</v>
      </c>
      <c r="J1031" s="5">
        <v>1449</v>
      </c>
      <c r="K1031" s="5">
        <v>3</v>
      </c>
      <c r="L1031" s="5" t="s">
        <v>46</v>
      </c>
      <c r="M1031" s="5">
        <v>81</v>
      </c>
      <c r="N1031" s="5">
        <v>3</v>
      </c>
      <c r="O1031" s="5">
        <v>2</v>
      </c>
      <c r="P1031" s="5" t="s">
        <v>50</v>
      </c>
      <c r="Q1031" s="5">
        <v>3</v>
      </c>
      <c r="R1031" s="5" t="s">
        <v>52</v>
      </c>
      <c r="S1031" s="5">
        <v>3975</v>
      </c>
      <c r="T1031" s="5">
        <v>23099</v>
      </c>
      <c r="U1031" s="5">
        <v>3</v>
      </c>
      <c r="V1031" s="5" t="s">
        <v>42</v>
      </c>
      <c r="W1031" s="5" t="s">
        <v>43</v>
      </c>
      <c r="X1031" s="5">
        <v>11</v>
      </c>
      <c r="Y1031" s="5">
        <v>3</v>
      </c>
      <c r="Z1031" s="5">
        <v>3</v>
      </c>
      <c r="AA1031" s="5">
        <v>80</v>
      </c>
      <c r="AB1031" s="5">
        <v>2</v>
      </c>
      <c r="AC1031" s="5">
        <v>11</v>
      </c>
      <c r="AD1031" s="5">
        <v>2</v>
      </c>
      <c r="AE1031" s="5">
        <v>4</v>
      </c>
      <c r="AF1031" s="5">
        <v>8</v>
      </c>
      <c r="AG1031" s="5">
        <v>7</v>
      </c>
      <c r="AH1031" s="5">
        <v>0</v>
      </c>
      <c r="AI1031" s="5">
        <v>7</v>
      </c>
    </row>
    <row r="1032" spans="1:35" x14ac:dyDescent="0.25">
      <c r="A1032" s="5">
        <v>31</v>
      </c>
      <c r="B1032" s="5" t="s">
        <v>43</v>
      </c>
      <c r="C1032" s="5" t="s">
        <v>36</v>
      </c>
      <c r="D1032" s="5">
        <v>326</v>
      </c>
      <c r="E1032" s="5" t="s">
        <v>37</v>
      </c>
      <c r="F1032" s="5">
        <v>8</v>
      </c>
      <c r="G1032" s="5">
        <v>2</v>
      </c>
      <c r="H1032" s="5" t="s">
        <v>38</v>
      </c>
      <c r="I1032" s="5">
        <v>1</v>
      </c>
      <c r="J1032" s="5">
        <v>1453</v>
      </c>
      <c r="K1032" s="5">
        <v>1</v>
      </c>
      <c r="L1032" s="5" t="s">
        <v>46</v>
      </c>
      <c r="M1032" s="5">
        <v>31</v>
      </c>
      <c r="N1032" s="5">
        <v>3</v>
      </c>
      <c r="O1032" s="5">
        <v>3</v>
      </c>
      <c r="P1032" s="5" t="s">
        <v>40</v>
      </c>
      <c r="Q1032" s="5">
        <v>4</v>
      </c>
      <c r="R1032" s="5" t="s">
        <v>52</v>
      </c>
      <c r="S1032" s="5">
        <v>10793</v>
      </c>
      <c r="T1032" s="5">
        <v>8386</v>
      </c>
      <c r="U1032" s="5">
        <v>1</v>
      </c>
      <c r="V1032" s="5" t="s">
        <v>42</v>
      </c>
      <c r="W1032" s="5" t="s">
        <v>43</v>
      </c>
      <c r="X1032" s="5">
        <v>18</v>
      </c>
      <c r="Y1032" s="5">
        <v>3</v>
      </c>
      <c r="Z1032" s="5">
        <v>1</v>
      </c>
      <c r="AA1032" s="5">
        <v>80</v>
      </c>
      <c r="AB1032" s="5">
        <v>1</v>
      </c>
      <c r="AC1032" s="5">
        <v>13</v>
      </c>
      <c r="AD1032" s="5">
        <v>5</v>
      </c>
      <c r="AE1032" s="5">
        <v>3</v>
      </c>
      <c r="AF1032" s="5">
        <v>13</v>
      </c>
      <c r="AG1032" s="5">
        <v>7</v>
      </c>
      <c r="AH1032" s="5">
        <v>9</v>
      </c>
      <c r="AI1032" s="5">
        <v>9</v>
      </c>
    </row>
    <row r="1033" spans="1:35" x14ac:dyDescent="0.25">
      <c r="A1033" s="5">
        <v>46</v>
      </c>
      <c r="B1033" s="5" t="s">
        <v>35</v>
      </c>
      <c r="C1033" s="5" t="s">
        <v>36</v>
      </c>
      <c r="D1033" s="5">
        <v>377</v>
      </c>
      <c r="E1033" s="5" t="s">
        <v>37</v>
      </c>
      <c r="F1033" s="5">
        <v>9</v>
      </c>
      <c r="G1033" s="5">
        <v>3</v>
      </c>
      <c r="H1033" s="5" t="s">
        <v>59</v>
      </c>
      <c r="I1033" s="5">
        <v>1</v>
      </c>
      <c r="J1033" s="5">
        <v>1457</v>
      </c>
      <c r="K1033" s="5">
        <v>1</v>
      </c>
      <c r="L1033" s="5" t="s">
        <v>46</v>
      </c>
      <c r="M1033" s="5">
        <v>52</v>
      </c>
      <c r="N1033" s="5">
        <v>3</v>
      </c>
      <c r="O1033" s="5">
        <v>3</v>
      </c>
      <c r="P1033" s="5" t="s">
        <v>40</v>
      </c>
      <c r="Q1033" s="5">
        <v>4</v>
      </c>
      <c r="R1033" s="5" t="s">
        <v>52</v>
      </c>
      <c r="S1033" s="5">
        <v>10096</v>
      </c>
      <c r="T1033" s="5">
        <v>15986</v>
      </c>
      <c r="U1033" s="5">
        <v>4</v>
      </c>
      <c r="V1033" s="5" t="s">
        <v>42</v>
      </c>
      <c r="W1033" s="5" t="s">
        <v>43</v>
      </c>
      <c r="X1033" s="5">
        <v>11</v>
      </c>
      <c r="Y1033" s="5">
        <v>3</v>
      </c>
      <c r="Z1033" s="5">
        <v>1</v>
      </c>
      <c r="AA1033" s="5">
        <v>80</v>
      </c>
      <c r="AB1033" s="5">
        <v>1</v>
      </c>
      <c r="AC1033" s="5">
        <v>28</v>
      </c>
      <c r="AD1033" s="5">
        <v>1</v>
      </c>
      <c r="AE1033" s="5">
        <v>4</v>
      </c>
      <c r="AF1033" s="5">
        <v>7</v>
      </c>
      <c r="AG1033" s="5">
        <v>7</v>
      </c>
      <c r="AH1033" s="5">
        <v>4</v>
      </c>
      <c r="AI1033" s="5">
        <v>3</v>
      </c>
    </row>
    <row r="1034" spans="1:35" x14ac:dyDescent="0.25">
      <c r="A1034" s="5">
        <v>39</v>
      </c>
      <c r="B1034" s="5" t="s">
        <v>35</v>
      </c>
      <c r="C1034" s="5" t="s">
        <v>55</v>
      </c>
      <c r="D1034" s="5">
        <v>592</v>
      </c>
      <c r="E1034" s="5" t="s">
        <v>45</v>
      </c>
      <c r="F1034" s="5">
        <v>2</v>
      </c>
      <c r="G1034" s="5">
        <v>3</v>
      </c>
      <c r="H1034" s="5" t="s">
        <v>38</v>
      </c>
      <c r="I1034" s="5">
        <v>1</v>
      </c>
      <c r="J1034" s="5">
        <v>1458</v>
      </c>
      <c r="K1034" s="5">
        <v>1</v>
      </c>
      <c r="L1034" s="5" t="s">
        <v>39</v>
      </c>
      <c r="M1034" s="5">
        <v>54</v>
      </c>
      <c r="N1034" s="5">
        <v>2</v>
      </c>
      <c r="O1034" s="5">
        <v>1</v>
      </c>
      <c r="P1034" s="5" t="s">
        <v>50</v>
      </c>
      <c r="Q1034" s="5">
        <v>1</v>
      </c>
      <c r="R1034" s="5" t="s">
        <v>41</v>
      </c>
      <c r="S1034" s="5">
        <v>3646</v>
      </c>
      <c r="T1034" s="5">
        <v>17181</v>
      </c>
      <c r="U1034" s="5">
        <v>2</v>
      </c>
      <c r="V1034" s="5" t="s">
        <v>42</v>
      </c>
      <c r="W1034" s="5" t="s">
        <v>35</v>
      </c>
      <c r="X1034" s="5">
        <v>23</v>
      </c>
      <c r="Y1034" s="5">
        <v>4</v>
      </c>
      <c r="Z1034" s="5">
        <v>2</v>
      </c>
      <c r="AA1034" s="5">
        <v>80</v>
      </c>
      <c r="AB1034" s="5">
        <v>0</v>
      </c>
      <c r="AC1034" s="5">
        <v>11</v>
      </c>
      <c r="AD1034" s="5">
        <v>2</v>
      </c>
      <c r="AE1034" s="5">
        <v>4</v>
      </c>
      <c r="AF1034" s="5">
        <v>1</v>
      </c>
      <c r="AG1034" s="5">
        <v>0</v>
      </c>
      <c r="AH1034" s="5">
        <v>0</v>
      </c>
      <c r="AI1034" s="5">
        <v>0</v>
      </c>
    </row>
    <row r="1035" spans="1:35" x14ac:dyDescent="0.25">
      <c r="A1035" s="5">
        <v>31</v>
      </c>
      <c r="B1035" s="5" t="s">
        <v>35</v>
      </c>
      <c r="C1035" s="5" t="s">
        <v>44</v>
      </c>
      <c r="D1035" s="5">
        <v>1445</v>
      </c>
      <c r="E1035" s="5" t="s">
        <v>45</v>
      </c>
      <c r="F1035" s="5">
        <v>1</v>
      </c>
      <c r="G1035" s="5">
        <v>5</v>
      </c>
      <c r="H1035" s="5" t="s">
        <v>38</v>
      </c>
      <c r="I1035" s="5">
        <v>1</v>
      </c>
      <c r="J1035" s="5">
        <v>1459</v>
      </c>
      <c r="K1035" s="5">
        <v>3</v>
      </c>
      <c r="L1035" s="5" t="s">
        <v>39</v>
      </c>
      <c r="M1035" s="5">
        <v>100</v>
      </c>
      <c r="N1035" s="5">
        <v>4</v>
      </c>
      <c r="O1035" s="5">
        <v>3</v>
      </c>
      <c r="P1035" s="5" t="s">
        <v>53</v>
      </c>
      <c r="Q1035" s="5">
        <v>2</v>
      </c>
      <c r="R1035" s="5" t="s">
        <v>41</v>
      </c>
      <c r="S1035" s="5">
        <v>7446</v>
      </c>
      <c r="T1035" s="5">
        <v>8931</v>
      </c>
      <c r="U1035" s="5">
        <v>1</v>
      </c>
      <c r="V1035" s="5" t="s">
        <v>42</v>
      </c>
      <c r="W1035" s="5" t="s">
        <v>43</v>
      </c>
      <c r="X1035" s="5">
        <v>11</v>
      </c>
      <c r="Y1035" s="5">
        <v>3</v>
      </c>
      <c r="Z1035" s="5">
        <v>1</v>
      </c>
      <c r="AA1035" s="5">
        <v>80</v>
      </c>
      <c r="AB1035" s="5">
        <v>0</v>
      </c>
      <c r="AC1035" s="5">
        <v>10</v>
      </c>
      <c r="AD1035" s="5">
        <v>2</v>
      </c>
      <c r="AE1035" s="5">
        <v>3</v>
      </c>
      <c r="AF1035" s="5">
        <v>10</v>
      </c>
      <c r="AG1035" s="5">
        <v>8</v>
      </c>
      <c r="AH1035" s="5">
        <v>4</v>
      </c>
      <c r="AI1035" s="5">
        <v>7</v>
      </c>
    </row>
    <row r="1036" spans="1:35" x14ac:dyDescent="0.25">
      <c r="A1036" s="5">
        <v>45</v>
      </c>
      <c r="B1036" s="5" t="s">
        <v>43</v>
      </c>
      <c r="C1036" s="5" t="s">
        <v>36</v>
      </c>
      <c r="D1036" s="5">
        <v>1038</v>
      </c>
      <c r="E1036" s="5" t="s">
        <v>45</v>
      </c>
      <c r="F1036" s="5">
        <v>20</v>
      </c>
      <c r="G1036" s="5">
        <v>3</v>
      </c>
      <c r="H1036" s="5" t="s">
        <v>51</v>
      </c>
      <c r="I1036" s="5">
        <v>1</v>
      </c>
      <c r="J1036" s="5">
        <v>1460</v>
      </c>
      <c r="K1036" s="5">
        <v>2</v>
      </c>
      <c r="L1036" s="5" t="s">
        <v>46</v>
      </c>
      <c r="M1036" s="5">
        <v>95</v>
      </c>
      <c r="N1036" s="5">
        <v>1</v>
      </c>
      <c r="O1036" s="5">
        <v>3</v>
      </c>
      <c r="P1036" s="5" t="s">
        <v>54</v>
      </c>
      <c r="Q1036" s="5">
        <v>1</v>
      </c>
      <c r="R1036" s="5" t="s">
        <v>52</v>
      </c>
      <c r="S1036" s="5">
        <v>10851</v>
      </c>
      <c r="T1036" s="5">
        <v>19863</v>
      </c>
      <c r="U1036" s="5">
        <v>2</v>
      </c>
      <c r="V1036" s="5" t="s">
        <v>42</v>
      </c>
      <c r="W1036" s="5" t="s">
        <v>35</v>
      </c>
      <c r="X1036" s="5">
        <v>18</v>
      </c>
      <c r="Y1036" s="5">
        <v>3</v>
      </c>
      <c r="Z1036" s="5">
        <v>2</v>
      </c>
      <c r="AA1036" s="5">
        <v>80</v>
      </c>
      <c r="AB1036" s="5">
        <v>1</v>
      </c>
      <c r="AC1036" s="5">
        <v>24</v>
      </c>
      <c r="AD1036" s="5">
        <v>2</v>
      </c>
      <c r="AE1036" s="5">
        <v>3</v>
      </c>
      <c r="AF1036" s="5">
        <v>7</v>
      </c>
      <c r="AG1036" s="5">
        <v>7</v>
      </c>
      <c r="AH1036" s="5">
        <v>0</v>
      </c>
      <c r="AI1036" s="5">
        <v>7</v>
      </c>
    </row>
    <row r="1037" spans="1:35" x14ac:dyDescent="0.25">
      <c r="A1037" s="5">
        <v>31</v>
      </c>
      <c r="B1037" s="5" t="s">
        <v>43</v>
      </c>
      <c r="C1037" s="5" t="s">
        <v>36</v>
      </c>
      <c r="D1037" s="5">
        <v>1398</v>
      </c>
      <c r="E1037" s="5" t="s">
        <v>61</v>
      </c>
      <c r="F1037" s="5">
        <v>8</v>
      </c>
      <c r="G1037" s="5">
        <v>2</v>
      </c>
      <c r="H1037" s="5" t="s">
        <v>51</v>
      </c>
      <c r="I1037" s="5">
        <v>1</v>
      </c>
      <c r="J1037" s="5">
        <v>1461</v>
      </c>
      <c r="K1037" s="5">
        <v>4</v>
      </c>
      <c r="L1037" s="5" t="s">
        <v>39</v>
      </c>
      <c r="M1037" s="5">
        <v>96</v>
      </c>
      <c r="N1037" s="5">
        <v>4</v>
      </c>
      <c r="O1037" s="5">
        <v>1</v>
      </c>
      <c r="P1037" s="5" t="s">
        <v>61</v>
      </c>
      <c r="Q1037" s="5">
        <v>2</v>
      </c>
      <c r="R1037" s="5" t="s">
        <v>41</v>
      </c>
      <c r="S1037" s="5">
        <v>2109</v>
      </c>
      <c r="T1037" s="5">
        <v>24609</v>
      </c>
      <c r="U1037" s="5">
        <v>9</v>
      </c>
      <c r="V1037" s="5" t="s">
        <v>42</v>
      </c>
      <c r="W1037" s="5" t="s">
        <v>43</v>
      </c>
      <c r="X1037" s="5">
        <v>18</v>
      </c>
      <c r="Y1037" s="5">
        <v>3</v>
      </c>
      <c r="Z1037" s="5">
        <v>4</v>
      </c>
      <c r="AA1037" s="5">
        <v>80</v>
      </c>
      <c r="AB1037" s="5">
        <v>0</v>
      </c>
      <c r="AC1037" s="5">
        <v>8</v>
      </c>
      <c r="AD1037" s="5">
        <v>3</v>
      </c>
      <c r="AE1037" s="5">
        <v>3</v>
      </c>
      <c r="AF1037" s="5">
        <v>3</v>
      </c>
      <c r="AG1037" s="5">
        <v>2</v>
      </c>
      <c r="AH1037" s="5">
        <v>0</v>
      </c>
      <c r="AI1037" s="5">
        <v>2</v>
      </c>
    </row>
    <row r="1038" spans="1:35" x14ac:dyDescent="0.25">
      <c r="A1038" s="5">
        <v>31</v>
      </c>
      <c r="B1038" s="5" t="s">
        <v>35</v>
      </c>
      <c r="C1038" s="5" t="s">
        <v>44</v>
      </c>
      <c r="D1038" s="5">
        <v>523</v>
      </c>
      <c r="E1038" s="5" t="s">
        <v>45</v>
      </c>
      <c r="F1038" s="5">
        <v>2</v>
      </c>
      <c r="G1038" s="5">
        <v>3</v>
      </c>
      <c r="H1038" s="5" t="s">
        <v>38</v>
      </c>
      <c r="I1038" s="5">
        <v>1</v>
      </c>
      <c r="J1038" s="5">
        <v>1464</v>
      </c>
      <c r="K1038" s="5">
        <v>2</v>
      </c>
      <c r="L1038" s="5" t="s">
        <v>46</v>
      </c>
      <c r="M1038" s="5">
        <v>94</v>
      </c>
      <c r="N1038" s="5">
        <v>3</v>
      </c>
      <c r="O1038" s="5">
        <v>1</v>
      </c>
      <c r="P1038" s="5" t="s">
        <v>50</v>
      </c>
      <c r="Q1038" s="5">
        <v>4</v>
      </c>
      <c r="R1038" s="5" t="s">
        <v>48</v>
      </c>
      <c r="S1038" s="5">
        <v>3722</v>
      </c>
      <c r="T1038" s="5">
        <v>21081</v>
      </c>
      <c r="U1038" s="5">
        <v>6</v>
      </c>
      <c r="V1038" s="5" t="s">
        <v>42</v>
      </c>
      <c r="W1038" s="5" t="s">
        <v>35</v>
      </c>
      <c r="X1038" s="5">
        <v>13</v>
      </c>
      <c r="Y1038" s="5">
        <v>3</v>
      </c>
      <c r="Z1038" s="5">
        <v>3</v>
      </c>
      <c r="AA1038" s="5">
        <v>80</v>
      </c>
      <c r="AB1038" s="5">
        <v>1</v>
      </c>
      <c r="AC1038" s="5">
        <v>7</v>
      </c>
      <c r="AD1038" s="5">
        <v>2</v>
      </c>
      <c r="AE1038" s="5">
        <v>1</v>
      </c>
      <c r="AF1038" s="5">
        <v>2</v>
      </c>
      <c r="AG1038" s="5">
        <v>2</v>
      </c>
      <c r="AH1038" s="5">
        <v>2</v>
      </c>
      <c r="AI1038" s="5">
        <v>2</v>
      </c>
    </row>
    <row r="1039" spans="1:35" x14ac:dyDescent="0.25">
      <c r="A1039" s="5">
        <v>45</v>
      </c>
      <c r="B1039" s="5" t="s">
        <v>43</v>
      </c>
      <c r="C1039" s="5" t="s">
        <v>36</v>
      </c>
      <c r="D1039" s="5">
        <v>1448</v>
      </c>
      <c r="E1039" s="5" t="s">
        <v>45</v>
      </c>
      <c r="F1039" s="5">
        <v>29</v>
      </c>
      <c r="G1039" s="5">
        <v>3</v>
      </c>
      <c r="H1039" s="5" t="s">
        <v>60</v>
      </c>
      <c r="I1039" s="5">
        <v>1</v>
      </c>
      <c r="J1039" s="5">
        <v>1465</v>
      </c>
      <c r="K1039" s="5">
        <v>2</v>
      </c>
      <c r="L1039" s="5" t="s">
        <v>46</v>
      </c>
      <c r="M1039" s="5">
        <v>55</v>
      </c>
      <c r="N1039" s="5">
        <v>3</v>
      </c>
      <c r="O1039" s="5">
        <v>3</v>
      </c>
      <c r="P1039" s="5" t="s">
        <v>53</v>
      </c>
      <c r="Q1039" s="5">
        <v>4</v>
      </c>
      <c r="R1039" s="5" t="s">
        <v>48</v>
      </c>
      <c r="S1039" s="5">
        <v>9380</v>
      </c>
      <c r="T1039" s="5">
        <v>14720</v>
      </c>
      <c r="U1039" s="5">
        <v>4</v>
      </c>
      <c r="V1039" s="5" t="s">
        <v>42</v>
      </c>
      <c r="W1039" s="5" t="s">
        <v>35</v>
      </c>
      <c r="X1039" s="5">
        <v>18</v>
      </c>
      <c r="Y1039" s="5">
        <v>3</v>
      </c>
      <c r="Z1039" s="5">
        <v>4</v>
      </c>
      <c r="AA1039" s="5">
        <v>80</v>
      </c>
      <c r="AB1039" s="5">
        <v>2</v>
      </c>
      <c r="AC1039" s="5">
        <v>10</v>
      </c>
      <c r="AD1039" s="5">
        <v>4</v>
      </c>
      <c r="AE1039" s="5">
        <v>4</v>
      </c>
      <c r="AF1039" s="5">
        <v>3</v>
      </c>
      <c r="AG1039" s="5">
        <v>1</v>
      </c>
      <c r="AH1039" s="5">
        <v>1</v>
      </c>
      <c r="AI1039" s="5">
        <v>2</v>
      </c>
    </row>
    <row r="1040" spans="1:35" x14ac:dyDescent="0.25">
      <c r="A1040" s="5">
        <v>48</v>
      </c>
      <c r="B1040" s="5" t="s">
        <v>43</v>
      </c>
      <c r="C1040" s="5" t="s">
        <v>36</v>
      </c>
      <c r="D1040" s="5">
        <v>1221</v>
      </c>
      <c r="E1040" s="5" t="s">
        <v>37</v>
      </c>
      <c r="F1040" s="5">
        <v>7</v>
      </c>
      <c r="G1040" s="5">
        <v>3</v>
      </c>
      <c r="H1040" s="5" t="s">
        <v>59</v>
      </c>
      <c r="I1040" s="5">
        <v>1</v>
      </c>
      <c r="J1040" s="5">
        <v>1466</v>
      </c>
      <c r="K1040" s="5">
        <v>3</v>
      </c>
      <c r="L1040" s="5" t="s">
        <v>46</v>
      </c>
      <c r="M1040" s="5">
        <v>96</v>
      </c>
      <c r="N1040" s="5">
        <v>3</v>
      </c>
      <c r="O1040" s="5">
        <v>2</v>
      </c>
      <c r="P1040" s="5" t="s">
        <v>40</v>
      </c>
      <c r="Q1040" s="5">
        <v>1</v>
      </c>
      <c r="R1040" s="5" t="s">
        <v>52</v>
      </c>
      <c r="S1040" s="5">
        <v>5486</v>
      </c>
      <c r="T1040" s="5">
        <v>24795</v>
      </c>
      <c r="U1040" s="5">
        <v>4</v>
      </c>
      <c r="V1040" s="5" t="s">
        <v>42</v>
      </c>
      <c r="W1040" s="5" t="s">
        <v>43</v>
      </c>
      <c r="X1040" s="5">
        <v>11</v>
      </c>
      <c r="Y1040" s="5">
        <v>3</v>
      </c>
      <c r="Z1040" s="5">
        <v>1</v>
      </c>
      <c r="AA1040" s="5">
        <v>80</v>
      </c>
      <c r="AB1040" s="5">
        <v>3</v>
      </c>
      <c r="AC1040" s="5">
        <v>15</v>
      </c>
      <c r="AD1040" s="5">
        <v>3</v>
      </c>
      <c r="AE1040" s="5">
        <v>3</v>
      </c>
      <c r="AF1040" s="5">
        <v>2</v>
      </c>
      <c r="AG1040" s="5">
        <v>2</v>
      </c>
      <c r="AH1040" s="5">
        <v>2</v>
      </c>
      <c r="AI1040" s="5">
        <v>2</v>
      </c>
    </row>
    <row r="1041" spans="1:35" x14ac:dyDescent="0.25">
      <c r="A1041" s="5">
        <v>34</v>
      </c>
      <c r="B1041" s="5" t="s">
        <v>35</v>
      </c>
      <c r="C1041" s="5" t="s">
        <v>36</v>
      </c>
      <c r="D1041" s="5">
        <v>1107</v>
      </c>
      <c r="E1041" s="5" t="s">
        <v>61</v>
      </c>
      <c r="F1041" s="5">
        <v>9</v>
      </c>
      <c r="G1041" s="5">
        <v>4</v>
      </c>
      <c r="H1041" s="5" t="s">
        <v>60</v>
      </c>
      <c r="I1041" s="5">
        <v>1</v>
      </c>
      <c r="J1041" s="5">
        <v>1467</v>
      </c>
      <c r="K1041" s="5">
        <v>1</v>
      </c>
      <c r="L1041" s="5" t="s">
        <v>39</v>
      </c>
      <c r="M1041" s="5">
        <v>52</v>
      </c>
      <c r="N1041" s="5">
        <v>3</v>
      </c>
      <c r="O1041" s="5">
        <v>1</v>
      </c>
      <c r="P1041" s="5" t="s">
        <v>61</v>
      </c>
      <c r="Q1041" s="5">
        <v>3</v>
      </c>
      <c r="R1041" s="5" t="s">
        <v>48</v>
      </c>
      <c r="S1041" s="5">
        <v>2742</v>
      </c>
      <c r="T1041" s="5">
        <v>3072</v>
      </c>
      <c r="U1041" s="5">
        <v>1</v>
      </c>
      <c r="V1041" s="5" t="s">
        <v>42</v>
      </c>
      <c r="W1041" s="5" t="s">
        <v>43</v>
      </c>
      <c r="X1041" s="5">
        <v>15</v>
      </c>
      <c r="Y1041" s="5">
        <v>3</v>
      </c>
      <c r="Z1041" s="5">
        <v>4</v>
      </c>
      <c r="AA1041" s="5">
        <v>80</v>
      </c>
      <c r="AB1041" s="5">
        <v>0</v>
      </c>
      <c r="AC1041" s="5">
        <v>2</v>
      </c>
      <c r="AD1041" s="5">
        <v>0</v>
      </c>
      <c r="AE1041" s="5">
        <v>3</v>
      </c>
      <c r="AF1041" s="5">
        <v>2</v>
      </c>
      <c r="AG1041" s="5">
        <v>2</v>
      </c>
      <c r="AH1041" s="5">
        <v>2</v>
      </c>
      <c r="AI1041" s="5">
        <v>2</v>
      </c>
    </row>
    <row r="1042" spans="1:35" x14ac:dyDescent="0.25">
      <c r="A1042" s="5">
        <v>40</v>
      </c>
      <c r="B1042" s="5" t="s">
        <v>43</v>
      </c>
      <c r="C1042" s="5" t="s">
        <v>55</v>
      </c>
      <c r="D1042" s="5">
        <v>218</v>
      </c>
      <c r="E1042" s="5" t="s">
        <v>45</v>
      </c>
      <c r="F1042" s="5">
        <v>8</v>
      </c>
      <c r="G1042" s="5">
        <v>1</v>
      </c>
      <c r="H1042" s="5" t="s">
        <v>51</v>
      </c>
      <c r="I1042" s="5">
        <v>1</v>
      </c>
      <c r="J1042" s="5">
        <v>1468</v>
      </c>
      <c r="K1042" s="5">
        <v>4</v>
      </c>
      <c r="L1042" s="5" t="s">
        <v>46</v>
      </c>
      <c r="M1042" s="5">
        <v>55</v>
      </c>
      <c r="N1042" s="5">
        <v>2</v>
      </c>
      <c r="O1042" s="5">
        <v>3</v>
      </c>
      <c r="P1042" s="5" t="s">
        <v>58</v>
      </c>
      <c r="Q1042" s="5">
        <v>2</v>
      </c>
      <c r="R1042" s="5" t="s">
        <v>52</v>
      </c>
      <c r="S1042" s="5">
        <v>13757</v>
      </c>
      <c r="T1042" s="5">
        <v>25178</v>
      </c>
      <c r="U1042" s="5">
        <v>2</v>
      </c>
      <c r="V1042" s="5" t="s">
        <v>42</v>
      </c>
      <c r="W1042" s="5" t="s">
        <v>43</v>
      </c>
      <c r="X1042" s="5">
        <v>11</v>
      </c>
      <c r="Y1042" s="5">
        <v>3</v>
      </c>
      <c r="Z1042" s="5">
        <v>3</v>
      </c>
      <c r="AA1042" s="5">
        <v>80</v>
      </c>
      <c r="AB1042" s="5">
        <v>1</v>
      </c>
      <c r="AC1042" s="5">
        <v>16</v>
      </c>
      <c r="AD1042" s="5">
        <v>5</v>
      </c>
      <c r="AE1042" s="5">
        <v>3</v>
      </c>
      <c r="AF1042" s="5">
        <v>9</v>
      </c>
      <c r="AG1042" s="5">
        <v>8</v>
      </c>
      <c r="AH1042" s="5">
        <v>4</v>
      </c>
      <c r="AI1042" s="5">
        <v>8</v>
      </c>
    </row>
    <row r="1043" spans="1:35" x14ac:dyDescent="0.25">
      <c r="A1043" s="5">
        <v>28</v>
      </c>
      <c r="B1043" s="5" t="s">
        <v>43</v>
      </c>
      <c r="C1043" s="5" t="s">
        <v>36</v>
      </c>
      <c r="D1043" s="5">
        <v>866</v>
      </c>
      <c r="E1043" s="5" t="s">
        <v>37</v>
      </c>
      <c r="F1043" s="5">
        <v>5</v>
      </c>
      <c r="G1043" s="5">
        <v>3</v>
      </c>
      <c r="H1043" s="5" t="s">
        <v>51</v>
      </c>
      <c r="I1043" s="5">
        <v>1</v>
      </c>
      <c r="J1043" s="5">
        <v>1469</v>
      </c>
      <c r="K1043" s="5">
        <v>4</v>
      </c>
      <c r="L1043" s="5" t="s">
        <v>46</v>
      </c>
      <c r="M1043" s="5">
        <v>84</v>
      </c>
      <c r="N1043" s="5">
        <v>3</v>
      </c>
      <c r="O1043" s="5">
        <v>2</v>
      </c>
      <c r="P1043" s="5" t="s">
        <v>40</v>
      </c>
      <c r="Q1043" s="5">
        <v>1</v>
      </c>
      <c r="R1043" s="5" t="s">
        <v>41</v>
      </c>
      <c r="S1043" s="5">
        <v>8463</v>
      </c>
      <c r="T1043" s="5">
        <v>23490</v>
      </c>
      <c r="U1043" s="5">
        <v>0</v>
      </c>
      <c r="V1043" s="5" t="s">
        <v>42</v>
      </c>
      <c r="W1043" s="5" t="s">
        <v>43</v>
      </c>
      <c r="X1043" s="5">
        <v>18</v>
      </c>
      <c r="Y1043" s="5">
        <v>3</v>
      </c>
      <c r="Z1043" s="5">
        <v>4</v>
      </c>
      <c r="AA1043" s="5">
        <v>80</v>
      </c>
      <c r="AB1043" s="5">
        <v>0</v>
      </c>
      <c r="AC1043" s="5">
        <v>6</v>
      </c>
      <c r="AD1043" s="5">
        <v>4</v>
      </c>
      <c r="AE1043" s="5">
        <v>3</v>
      </c>
      <c r="AF1043" s="5">
        <v>5</v>
      </c>
      <c r="AG1043" s="5">
        <v>4</v>
      </c>
      <c r="AH1043" s="5">
        <v>1</v>
      </c>
      <c r="AI1043" s="5">
        <v>3</v>
      </c>
    </row>
    <row r="1044" spans="1:35" x14ac:dyDescent="0.25">
      <c r="A1044" s="5">
        <v>44</v>
      </c>
      <c r="B1044" s="5" t="s">
        <v>43</v>
      </c>
      <c r="C1044" s="5" t="s">
        <v>55</v>
      </c>
      <c r="D1044" s="5">
        <v>981</v>
      </c>
      <c r="E1044" s="5" t="s">
        <v>45</v>
      </c>
      <c r="F1044" s="5">
        <v>5</v>
      </c>
      <c r="G1044" s="5">
        <v>3</v>
      </c>
      <c r="H1044" s="5" t="s">
        <v>38</v>
      </c>
      <c r="I1044" s="5">
        <v>1</v>
      </c>
      <c r="J1044" s="5">
        <v>1471</v>
      </c>
      <c r="K1044" s="5">
        <v>3</v>
      </c>
      <c r="L1044" s="5" t="s">
        <v>46</v>
      </c>
      <c r="M1044" s="5">
        <v>90</v>
      </c>
      <c r="N1044" s="5">
        <v>2</v>
      </c>
      <c r="O1044" s="5">
        <v>1</v>
      </c>
      <c r="P1044" s="5" t="s">
        <v>50</v>
      </c>
      <c r="Q1044" s="5">
        <v>3</v>
      </c>
      <c r="R1044" s="5" t="s">
        <v>41</v>
      </c>
      <c r="S1044" s="5">
        <v>3162</v>
      </c>
      <c r="T1044" s="5">
        <v>7973</v>
      </c>
      <c r="U1044" s="5">
        <v>3</v>
      </c>
      <c r="V1044" s="5" t="s">
        <v>42</v>
      </c>
      <c r="W1044" s="5" t="s">
        <v>43</v>
      </c>
      <c r="X1044" s="5">
        <v>14</v>
      </c>
      <c r="Y1044" s="5">
        <v>3</v>
      </c>
      <c r="Z1044" s="5">
        <v>4</v>
      </c>
      <c r="AA1044" s="5">
        <v>80</v>
      </c>
      <c r="AB1044" s="5">
        <v>0</v>
      </c>
      <c r="AC1044" s="5">
        <v>7</v>
      </c>
      <c r="AD1044" s="5">
        <v>5</v>
      </c>
      <c r="AE1044" s="5">
        <v>3</v>
      </c>
      <c r="AF1044" s="5">
        <v>5</v>
      </c>
      <c r="AG1044" s="5">
        <v>2</v>
      </c>
      <c r="AH1044" s="5">
        <v>0</v>
      </c>
      <c r="AI1044" s="5">
        <v>3</v>
      </c>
    </row>
    <row r="1045" spans="1:35" x14ac:dyDescent="0.25">
      <c r="A1045" s="5">
        <v>53</v>
      </c>
      <c r="B1045" s="5" t="s">
        <v>43</v>
      </c>
      <c r="C1045" s="5" t="s">
        <v>36</v>
      </c>
      <c r="D1045" s="5">
        <v>447</v>
      </c>
      <c r="E1045" s="5" t="s">
        <v>45</v>
      </c>
      <c r="F1045" s="5">
        <v>2</v>
      </c>
      <c r="G1045" s="5">
        <v>3</v>
      </c>
      <c r="H1045" s="5" t="s">
        <v>51</v>
      </c>
      <c r="I1045" s="5">
        <v>1</v>
      </c>
      <c r="J1045" s="5">
        <v>1472</v>
      </c>
      <c r="K1045" s="5">
        <v>4</v>
      </c>
      <c r="L1045" s="5" t="s">
        <v>46</v>
      </c>
      <c r="M1045" s="5">
        <v>39</v>
      </c>
      <c r="N1045" s="5">
        <v>4</v>
      </c>
      <c r="O1045" s="5">
        <v>4</v>
      </c>
      <c r="P1045" s="5" t="s">
        <v>58</v>
      </c>
      <c r="Q1045" s="5">
        <v>2</v>
      </c>
      <c r="R1045" s="5" t="s">
        <v>41</v>
      </c>
      <c r="S1045" s="5">
        <v>16598</v>
      </c>
      <c r="T1045" s="5">
        <v>19764</v>
      </c>
      <c r="U1045" s="5">
        <v>4</v>
      </c>
      <c r="V1045" s="5" t="s">
        <v>42</v>
      </c>
      <c r="W1045" s="5" t="s">
        <v>43</v>
      </c>
      <c r="X1045" s="5">
        <v>12</v>
      </c>
      <c r="Y1045" s="5">
        <v>3</v>
      </c>
      <c r="Z1045" s="5">
        <v>2</v>
      </c>
      <c r="AA1045" s="5">
        <v>80</v>
      </c>
      <c r="AB1045" s="5">
        <v>0</v>
      </c>
      <c r="AC1045" s="5">
        <v>35</v>
      </c>
      <c r="AD1045" s="5">
        <v>2</v>
      </c>
      <c r="AE1045" s="5">
        <v>2</v>
      </c>
      <c r="AF1045" s="5">
        <v>9</v>
      </c>
      <c r="AG1045" s="5">
        <v>8</v>
      </c>
      <c r="AH1045" s="5">
        <v>8</v>
      </c>
      <c r="AI1045" s="5">
        <v>8</v>
      </c>
    </row>
    <row r="1046" spans="1:35" x14ac:dyDescent="0.25">
      <c r="A1046" s="5">
        <v>49</v>
      </c>
      <c r="B1046" s="5" t="s">
        <v>43</v>
      </c>
      <c r="C1046" s="5" t="s">
        <v>36</v>
      </c>
      <c r="D1046" s="5">
        <v>1495</v>
      </c>
      <c r="E1046" s="5" t="s">
        <v>45</v>
      </c>
      <c r="F1046" s="5">
        <v>5</v>
      </c>
      <c r="G1046" s="5">
        <v>4</v>
      </c>
      <c r="H1046" s="5" t="s">
        <v>60</v>
      </c>
      <c r="I1046" s="5">
        <v>1</v>
      </c>
      <c r="J1046" s="5">
        <v>1473</v>
      </c>
      <c r="K1046" s="5">
        <v>1</v>
      </c>
      <c r="L1046" s="5" t="s">
        <v>46</v>
      </c>
      <c r="M1046" s="5">
        <v>96</v>
      </c>
      <c r="N1046" s="5">
        <v>3</v>
      </c>
      <c r="O1046" s="5">
        <v>2</v>
      </c>
      <c r="P1046" s="5" t="s">
        <v>54</v>
      </c>
      <c r="Q1046" s="5">
        <v>3</v>
      </c>
      <c r="R1046" s="5" t="s">
        <v>48</v>
      </c>
      <c r="S1046" s="5">
        <v>6651</v>
      </c>
      <c r="T1046" s="5">
        <v>21534</v>
      </c>
      <c r="U1046" s="5">
        <v>2</v>
      </c>
      <c r="V1046" s="5" t="s">
        <v>42</v>
      </c>
      <c r="W1046" s="5" t="s">
        <v>43</v>
      </c>
      <c r="X1046" s="5">
        <v>14</v>
      </c>
      <c r="Y1046" s="5">
        <v>3</v>
      </c>
      <c r="Z1046" s="5">
        <v>2</v>
      </c>
      <c r="AA1046" s="5">
        <v>80</v>
      </c>
      <c r="AB1046" s="5">
        <v>1</v>
      </c>
      <c r="AC1046" s="5">
        <v>20</v>
      </c>
      <c r="AD1046" s="5">
        <v>0</v>
      </c>
      <c r="AE1046" s="5">
        <v>2</v>
      </c>
      <c r="AF1046" s="5">
        <v>3</v>
      </c>
      <c r="AG1046" s="5">
        <v>2</v>
      </c>
      <c r="AH1046" s="5">
        <v>1</v>
      </c>
      <c r="AI1046" s="5">
        <v>2</v>
      </c>
    </row>
    <row r="1047" spans="1:35" x14ac:dyDescent="0.25">
      <c r="A1047" s="5">
        <v>40</v>
      </c>
      <c r="B1047" s="5" t="s">
        <v>43</v>
      </c>
      <c r="C1047" s="5" t="s">
        <v>36</v>
      </c>
      <c r="D1047" s="5">
        <v>896</v>
      </c>
      <c r="E1047" s="5" t="s">
        <v>45</v>
      </c>
      <c r="F1047" s="5">
        <v>2</v>
      </c>
      <c r="G1047" s="5">
        <v>3</v>
      </c>
      <c r="H1047" s="5" t="s">
        <v>51</v>
      </c>
      <c r="I1047" s="5">
        <v>1</v>
      </c>
      <c r="J1047" s="5">
        <v>1474</v>
      </c>
      <c r="K1047" s="5">
        <v>3</v>
      </c>
      <c r="L1047" s="5" t="s">
        <v>46</v>
      </c>
      <c r="M1047" s="5">
        <v>68</v>
      </c>
      <c r="N1047" s="5">
        <v>3</v>
      </c>
      <c r="O1047" s="5">
        <v>1</v>
      </c>
      <c r="P1047" s="5" t="s">
        <v>47</v>
      </c>
      <c r="Q1047" s="5">
        <v>3</v>
      </c>
      <c r="R1047" s="5" t="s">
        <v>52</v>
      </c>
      <c r="S1047" s="5">
        <v>2345</v>
      </c>
      <c r="T1047" s="5">
        <v>8045</v>
      </c>
      <c r="U1047" s="5">
        <v>2</v>
      </c>
      <c r="V1047" s="5" t="s">
        <v>42</v>
      </c>
      <c r="W1047" s="5" t="s">
        <v>43</v>
      </c>
      <c r="X1047" s="5">
        <v>14</v>
      </c>
      <c r="Y1047" s="5">
        <v>3</v>
      </c>
      <c r="Z1047" s="5">
        <v>3</v>
      </c>
      <c r="AA1047" s="5">
        <v>80</v>
      </c>
      <c r="AB1047" s="5">
        <v>1</v>
      </c>
      <c r="AC1047" s="5">
        <v>8</v>
      </c>
      <c r="AD1047" s="5">
        <v>3</v>
      </c>
      <c r="AE1047" s="5">
        <v>4</v>
      </c>
      <c r="AF1047" s="5">
        <v>3</v>
      </c>
      <c r="AG1047" s="5">
        <v>1</v>
      </c>
      <c r="AH1047" s="5">
        <v>1</v>
      </c>
      <c r="AI1047" s="5">
        <v>2</v>
      </c>
    </row>
    <row r="1048" spans="1:35" x14ac:dyDescent="0.25">
      <c r="A1048" s="5">
        <v>44</v>
      </c>
      <c r="B1048" s="5" t="s">
        <v>43</v>
      </c>
      <c r="C1048" s="5" t="s">
        <v>36</v>
      </c>
      <c r="D1048" s="5">
        <v>1467</v>
      </c>
      <c r="E1048" s="5" t="s">
        <v>45</v>
      </c>
      <c r="F1048" s="5">
        <v>20</v>
      </c>
      <c r="G1048" s="5">
        <v>3</v>
      </c>
      <c r="H1048" s="5" t="s">
        <v>38</v>
      </c>
      <c r="I1048" s="5">
        <v>1</v>
      </c>
      <c r="J1048" s="5">
        <v>1475</v>
      </c>
      <c r="K1048" s="5">
        <v>4</v>
      </c>
      <c r="L1048" s="5" t="s">
        <v>46</v>
      </c>
      <c r="M1048" s="5">
        <v>49</v>
      </c>
      <c r="N1048" s="5">
        <v>3</v>
      </c>
      <c r="O1048" s="5">
        <v>1</v>
      </c>
      <c r="P1048" s="5" t="s">
        <v>47</v>
      </c>
      <c r="Q1048" s="5">
        <v>2</v>
      </c>
      <c r="R1048" s="5" t="s">
        <v>41</v>
      </c>
      <c r="S1048" s="5">
        <v>3420</v>
      </c>
      <c r="T1048" s="5">
        <v>21158</v>
      </c>
      <c r="U1048" s="5">
        <v>1</v>
      </c>
      <c r="V1048" s="5" t="s">
        <v>42</v>
      </c>
      <c r="W1048" s="5" t="s">
        <v>43</v>
      </c>
      <c r="X1048" s="5">
        <v>13</v>
      </c>
      <c r="Y1048" s="5">
        <v>3</v>
      </c>
      <c r="Z1048" s="5">
        <v>3</v>
      </c>
      <c r="AA1048" s="5">
        <v>80</v>
      </c>
      <c r="AB1048" s="5">
        <v>0</v>
      </c>
      <c r="AC1048" s="5">
        <v>6</v>
      </c>
      <c r="AD1048" s="5">
        <v>3</v>
      </c>
      <c r="AE1048" s="5">
        <v>2</v>
      </c>
      <c r="AF1048" s="5">
        <v>5</v>
      </c>
      <c r="AG1048" s="5">
        <v>2</v>
      </c>
      <c r="AH1048" s="5">
        <v>1</v>
      </c>
      <c r="AI1048" s="5">
        <v>3</v>
      </c>
    </row>
    <row r="1049" spans="1:35" x14ac:dyDescent="0.25">
      <c r="A1049" s="5">
        <v>33</v>
      </c>
      <c r="B1049" s="5" t="s">
        <v>43</v>
      </c>
      <c r="C1049" s="5" t="s">
        <v>44</v>
      </c>
      <c r="D1049" s="5">
        <v>430</v>
      </c>
      <c r="E1049" s="5" t="s">
        <v>37</v>
      </c>
      <c r="F1049" s="5">
        <v>7</v>
      </c>
      <c r="G1049" s="5">
        <v>3</v>
      </c>
      <c r="H1049" s="5" t="s">
        <v>51</v>
      </c>
      <c r="I1049" s="5">
        <v>1</v>
      </c>
      <c r="J1049" s="5">
        <v>1477</v>
      </c>
      <c r="K1049" s="5">
        <v>4</v>
      </c>
      <c r="L1049" s="5" t="s">
        <v>46</v>
      </c>
      <c r="M1049" s="5">
        <v>54</v>
      </c>
      <c r="N1049" s="5">
        <v>3</v>
      </c>
      <c r="O1049" s="5">
        <v>2</v>
      </c>
      <c r="P1049" s="5" t="s">
        <v>40</v>
      </c>
      <c r="Q1049" s="5">
        <v>1</v>
      </c>
      <c r="R1049" s="5" t="s">
        <v>48</v>
      </c>
      <c r="S1049" s="5">
        <v>4373</v>
      </c>
      <c r="T1049" s="5">
        <v>17456</v>
      </c>
      <c r="U1049" s="5">
        <v>0</v>
      </c>
      <c r="V1049" s="5" t="s">
        <v>42</v>
      </c>
      <c r="W1049" s="5" t="s">
        <v>43</v>
      </c>
      <c r="X1049" s="5">
        <v>14</v>
      </c>
      <c r="Y1049" s="5">
        <v>3</v>
      </c>
      <c r="Z1049" s="5">
        <v>1</v>
      </c>
      <c r="AA1049" s="5">
        <v>80</v>
      </c>
      <c r="AB1049" s="5">
        <v>2</v>
      </c>
      <c r="AC1049" s="5">
        <v>5</v>
      </c>
      <c r="AD1049" s="5">
        <v>2</v>
      </c>
      <c r="AE1049" s="5">
        <v>3</v>
      </c>
      <c r="AF1049" s="5">
        <v>4</v>
      </c>
      <c r="AG1049" s="5">
        <v>3</v>
      </c>
      <c r="AH1049" s="5">
        <v>0</v>
      </c>
      <c r="AI1049" s="5">
        <v>3</v>
      </c>
    </row>
    <row r="1050" spans="1:35" x14ac:dyDescent="0.25">
      <c r="A1050" s="5">
        <v>34</v>
      </c>
      <c r="B1050" s="5" t="s">
        <v>43</v>
      </c>
      <c r="C1050" s="5" t="s">
        <v>36</v>
      </c>
      <c r="D1050" s="5">
        <v>1326</v>
      </c>
      <c r="E1050" s="5" t="s">
        <v>37</v>
      </c>
      <c r="F1050" s="5">
        <v>3</v>
      </c>
      <c r="G1050" s="5">
        <v>3</v>
      </c>
      <c r="H1050" s="5" t="s">
        <v>49</v>
      </c>
      <c r="I1050" s="5">
        <v>1</v>
      </c>
      <c r="J1050" s="5">
        <v>1478</v>
      </c>
      <c r="K1050" s="5">
        <v>4</v>
      </c>
      <c r="L1050" s="5" t="s">
        <v>46</v>
      </c>
      <c r="M1050" s="5">
        <v>81</v>
      </c>
      <c r="N1050" s="5">
        <v>1</v>
      </c>
      <c r="O1050" s="5">
        <v>2</v>
      </c>
      <c r="P1050" s="5" t="s">
        <v>40</v>
      </c>
      <c r="Q1050" s="5">
        <v>1</v>
      </c>
      <c r="R1050" s="5" t="s">
        <v>41</v>
      </c>
      <c r="S1050" s="5">
        <v>4759</v>
      </c>
      <c r="T1050" s="5">
        <v>15891</v>
      </c>
      <c r="U1050" s="5">
        <v>3</v>
      </c>
      <c r="V1050" s="5" t="s">
        <v>42</v>
      </c>
      <c r="W1050" s="5" t="s">
        <v>43</v>
      </c>
      <c r="X1050" s="5">
        <v>18</v>
      </c>
      <c r="Y1050" s="5">
        <v>3</v>
      </c>
      <c r="Z1050" s="5">
        <v>4</v>
      </c>
      <c r="AA1050" s="5">
        <v>80</v>
      </c>
      <c r="AB1050" s="5">
        <v>0</v>
      </c>
      <c r="AC1050" s="5">
        <v>15</v>
      </c>
      <c r="AD1050" s="5">
        <v>2</v>
      </c>
      <c r="AE1050" s="5">
        <v>3</v>
      </c>
      <c r="AF1050" s="5">
        <v>13</v>
      </c>
      <c r="AG1050" s="5">
        <v>9</v>
      </c>
      <c r="AH1050" s="5">
        <v>3</v>
      </c>
      <c r="AI1050" s="5">
        <v>12</v>
      </c>
    </row>
    <row r="1051" spans="1:35" x14ac:dyDescent="0.25">
      <c r="A1051" s="5">
        <v>30</v>
      </c>
      <c r="B1051" s="5" t="s">
        <v>43</v>
      </c>
      <c r="C1051" s="5" t="s">
        <v>36</v>
      </c>
      <c r="D1051" s="5">
        <v>1358</v>
      </c>
      <c r="E1051" s="5" t="s">
        <v>37</v>
      </c>
      <c r="F1051" s="5">
        <v>16</v>
      </c>
      <c r="G1051" s="5">
        <v>1</v>
      </c>
      <c r="H1051" s="5" t="s">
        <v>38</v>
      </c>
      <c r="I1051" s="5">
        <v>1</v>
      </c>
      <c r="J1051" s="5">
        <v>1479</v>
      </c>
      <c r="K1051" s="5">
        <v>4</v>
      </c>
      <c r="L1051" s="5" t="s">
        <v>46</v>
      </c>
      <c r="M1051" s="5">
        <v>96</v>
      </c>
      <c r="N1051" s="5">
        <v>3</v>
      </c>
      <c r="O1051" s="5">
        <v>2</v>
      </c>
      <c r="P1051" s="5" t="s">
        <v>40</v>
      </c>
      <c r="Q1051" s="5">
        <v>3</v>
      </c>
      <c r="R1051" s="5" t="s">
        <v>48</v>
      </c>
      <c r="S1051" s="5">
        <v>5301</v>
      </c>
      <c r="T1051" s="5">
        <v>2939</v>
      </c>
      <c r="U1051" s="5">
        <v>8</v>
      </c>
      <c r="V1051" s="5" t="s">
        <v>42</v>
      </c>
      <c r="W1051" s="5" t="s">
        <v>43</v>
      </c>
      <c r="X1051" s="5">
        <v>15</v>
      </c>
      <c r="Y1051" s="5">
        <v>3</v>
      </c>
      <c r="Z1051" s="5">
        <v>3</v>
      </c>
      <c r="AA1051" s="5">
        <v>80</v>
      </c>
      <c r="AB1051" s="5">
        <v>2</v>
      </c>
      <c r="AC1051" s="5">
        <v>4</v>
      </c>
      <c r="AD1051" s="5">
        <v>2</v>
      </c>
      <c r="AE1051" s="5">
        <v>2</v>
      </c>
      <c r="AF1051" s="5">
        <v>2</v>
      </c>
      <c r="AG1051" s="5">
        <v>1</v>
      </c>
      <c r="AH1051" s="5">
        <v>2</v>
      </c>
      <c r="AI1051" s="5">
        <v>2</v>
      </c>
    </row>
    <row r="1052" spans="1:35" x14ac:dyDescent="0.25">
      <c r="A1052" s="5">
        <v>42</v>
      </c>
      <c r="B1052" s="5" t="s">
        <v>43</v>
      </c>
      <c r="C1052" s="5" t="s">
        <v>44</v>
      </c>
      <c r="D1052" s="5">
        <v>748</v>
      </c>
      <c r="E1052" s="5" t="s">
        <v>45</v>
      </c>
      <c r="F1052" s="5">
        <v>9</v>
      </c>
      <c r="G1052" s="5">
        <v>2</v>
      </c>
      <c r="H1052" s="5" t="s">
        <v>51</v>
      </c>
      <c r="I1052" s="5">
        <v>1</v>
      </c>
      <c r="J1052" s="5">
        <v>1480</v>
      </c>
      <c r="K1052" s="5">
        <v>1</v>
      </c>
      <c r="L1052" s="5" t="s">
        <v>39</v>
      </c>
      <c r="M1052" s="5">
        <v>74</v>
      </c>
      <c r="N1052" s="5">
        <v>3</v>
      </c>
      <c r="O1052" s="5">
        <v>1</v>
      </c>
      <c r="P1052" s="5" t="s">
        <v>50</v>
      </c>
      <c r="Q1052" s="5">
        <v>4</v>
      </c>
      <c r="R1052" s="5" t="s">
        <v>41</v>
      </c>
      <c r="S1052" s="5">
        <v>3673</v>
      </c>
      <c r="T1052" s="5">
        <v>16458</v>
      </c>
      <c r="U1052" s="5">
        <v>1</v>
      </c>
      <c r="V1052" s="5" t="s">
        <v>42</v>
      </c>
      <c r="W1052" s="5" t="s">
        <v>43</v>
      </c>
      <c r="X1052" s="5">
        <v>13</v>
      </c>
      <c r="Y1052" s="5">
        <v>3</v>
      </c>
      <c r="Z1052" s="5">
        <v>3</v>
      </c>
      <c r="AA1052" s="5">
        <v>80</v>
      </c>
      <c r="AB1052" s="5">
        <v>0</v>
      </c>
      <c r="AC1052" s="5">
        <v>12</v>
      </c>
      <c r="AD1052" s="5">
        <v>3</v>
      </c>
      <c r="AE1052" s="5">
        <v>3</v>
      </c>
      <c r="AF1052" s="5">
        <v>12</v>
      </c>
      <c r="AG1052" s="5">
        <v>9</v>
      </c>
      <c r="AH1052" s="5">
        <v>5</v>
      </c>
      <c r="AI1052" s="5">
        <v>8</v>
      </c>
    </row>
    <row r="1053" spans="1:35" x14ac:dyDescent="0.25">
      <c r="A1053" s="5">
        <v>44</v>
      </c>
      <c r="B1053" s="5" t="s">
        <v>43</v>
      </c>
      <c r="C1053" s="5" t="s">
        <v>44</v>
      </c>
      <c r="D1053" s="5">
        <v>383</v>
      </c>
      <c r="E1053" s="5" t="s">
        <v>37</v>
      </c>
      <c r="F1053" s="5">
        <v>1</v>
      </c>
      <c r="G1053" s="5">
        <v>5</v>
      </c>
      <c r="H1053" s="5" t="s">
        <v>59</v>
      </c>
      <c r="I1053" s="5">
        <v>1</v>
      </c>
      <c r="J1053" s="5">
        <v>1481</v>
      </c>
      <c r="K1053" s="5">
        <v>1</v>
      </c>
      <c r="L1053" s="5" t="s">
        <v>39</v>
      </c>
      <c r="M1053" s="5">
        <v>79</v>
      </c>
      <c r="N1053" s="5">
        <v>3</v>
      </c>
      <c r="O1053" s="5">
        <v>2</v>
      </c>
      <c r="P1053" s="5" t="s">
        <v>40</v>
      </c>
      <c r="Q1053" s="5">
        <v>3</v>
      </c>
      <c r="R1053" s="5" t="s">
        <v>48</v>
      </c>
      <c r="S1053" s="5">
        <v>4768</v>
      </c>
      <c r="T1053" s="5">
        <v>9282</v>
      </c>
      <c r="U1053" s="5">
        <v>7</v>
      </c>
      <c r="V1053" s="5" t="s">
        <v>42</v>
      </c>
      <c r="W1053" s="5" t="s">
        <v>43</v>
      </c>
      <c r="X1053" s="5">
        <v>12</v>
      </c>
      <c r="Y1053" s="5">
        <v>3</v>
      </c>
      <c r="Z1053" s="5">
        <v>3</v>
      </c>
      <c r="AA1053" s="5">
        <v>80</v>
      </c>
      <c r="AB1053" s="5">
        <v>1</v>
      </c>
      <c r="AC1053" s="5">
        <v>11</v>
      </c>
      <c r="AD1053" s="5">
        <v>4</v>
      </c>
      <c r="AE1053" s="5">
        <v>2</v>
      </c>
      <c r="AF1053" s="5">
        <v>1</v>
      </c>
      <c r="AG1053" s="5">
        <v>0</v>
      </c>
      <c r="AH1053" s="5">
        <v>0</v>
      </c>
      <c r="AI1053" s="5">
        <v>0</v>
      </c>
    </row>
    <row r="1054" spans="1:35" x14ac:dyDescent="0.25">
      <c r="A1054" s="5">
        <v>30</v>
      </c>
      <c r="B1054" s="5" t="s">
        <v>43</v>
      </c>
      <c r="C1054" s="5" t="s">
        <v>55</v>
      </c>
      <c r="D1054" s="5">
        <v>990</v>
      </c>
      <c r="E1054" s="5" t="s">
        <v>45</v>
      </c>
      <c r="F1054" s="5">
        <v>7</v>
      </c>
      <c r="G1054" s="5">
        <v>3</v>
      </c>
      <c r="H1054" s="5" t="s">
        <v>60</v>
      </c>
      <c r="I1054" s="5">
        <v>1</v>
      </c>
      <c r="J1054" s="5">
        <v>1482</v>
      </c>
      <c r="K1054" s="5">
        <v>3</v>
      </c>
      <c r="L1054" s="5" t="s">
        <v>46</v>
      </c>
      <c r="M1054" s="5">
        <v>64</v>
      </c>
      <c r="N1054" s="5">
        <v>3</v>
      </c>
      <c r="O1054" s="5">
        <v>1</v>
      </c>
      <c r="P1054" s="5" t="s">
        <v>47</v>
      </c>
      <c r="Q1054" s="5">
        <v>3</v>
      </c>
      <c r="R1054" s="5" t="s">
        <v>52</v>
      </c>
      <c r="S1054" s="5">
        <v>1274</v>
      </c>
      <c r="T1054" s="5">
        <v>7152</v>
      </c>
      <c r="U1054" s="5">
        <v>1</v>
      </c>
      <c r="V1054" s="5" t="s">
        <v>42</v>
      </c>
      <c r="W1054" s="5" t="s">
        <v>43</v>
      </c>
      <c r="X1054" s="5">
        <v>13</v>
      </c>
      <c r="Y1054" s="5">
        <v>3</v>
      </c>
      <c r="Z1054" s="5">
        <v>2</v>
      </c>
      <c r="AA1054" s="5">
        <v>80</v>
      </c>
      <c r="AB1054" s="5">
        <v>2</v>
      </c>
      <c r="AC1054" s="5">
        <v>1</v>
      </c>
      <c r="AD1054" s="5">
        <v>2</v>
      </c>
      <c r="AE1054" s="5">
        <v>2</v>
      </c>
      <c r="AF1054" s="5">
        <v>1</v>
      </c>
      <c r="AG1054" s="5">
        <v>0</v>
      </c>
      <c r="AH1054" s="5">
        <v>0</v>
      </c>
      <c r="AI1054" s="5">
        <v>0</v>
      </c>
    </row>
    <row r="1055" spans="1:35" x14ac:dyDescent="0.25">
      <c r="A1055" s="5">
        <v>57</v>
      </c>
      <c r="B1055" s="5" t="s">
        <v>43</v>
      </c>
      <c r="C1055" s="5" t="s">
        <v>36</v>
      </c>
      <c r="D1055" s="5">
        <v>405</v>
      </c>
      <c r="E1055" s="5" t="s">
        <v>45</v>
      </c>
      <c r="F1055" s="5">
        <v>1</v>
      </c>
      <c r="G1055" s="5">
        <v>2</v>
      </c>
      <c r="H1055" s="5" t="s">
        <v>38</v>
      </c>
      <c r="I1055" s="5">
        <v>1</v>
      </c>
      <c r="J1055" s="5">
        <v>1483</v>
      </c>
      <c r="K1055" s="5">
        <v>2</v>
      </c>
      <c r="L1055" s="5" t="s">
        <v>46</v>
      </c>
      <c r="M1055" s="5">
        <v>93</v>
      </c>
      <c r="N1055" s="5">
        <v>4</v>
      </c>
      <c r="O1055" s="5">
        <v>2</v>
      </c>
      <c r="P1055" s="5" t="s">
        <v>47</v>
      </c>
      <c r="Q1055" s="5">
        <v>3</v>
      </c>
      <c r="R1055" s="5" t="s">
        <v>48</v>
      </c>
      <c r="S1055" s="5">
        <v>4900</v>
      </c>
      <c r="T1055" s="5">
        <v>2721</v>
      </c>
      <c r="U1055" s="5">
        <v>0</v>
      </c>
      <c r="V1055" s="5" t="s">
        <v>42</v>
      </c>
      <c r="W1055" s="5" t="s">
        <v>43</v>
      </c>
      <c r="X1055" s="5">
        <v>24</v>
      </c>
      <c r="Y1055" s="5">
        <v>4</v>
      </c>
      <c r="Z1055" s="5">
        <v>1</v>
      </c>
      <c r="AA1055" s="5">
        <v>80</v>
      </c>
      <c r="AB1055" s="5">
        <v>1</v>
      </c>
      <c r="AC1055" s="5">
        <v>13</v>
      </c>
      <c r="AD1055" s="5">
        <v>2</v>
      </c>
      <c r="AE1055" s="5">
        <v>2</v>
      </c>
      <c r="AF1055" s="5">
        <v>12</v>
      </c>
      <c r="AG1055" s="5">
        <v>9</v>
      </c>
      <c r="AH1055" s="5">
        <v>2</v>
      </c>
      <c r="AI1055" s="5">
        <v>8</v>
      </c>
    </row>
    <row r="1056" spans="1:35" x14ac:dyDescent="0.25">
      <c r="A1056" s="5">
        <v>49</v>
      </c>
      <c r="B1056" s="5" t="s">
        <v>43</v>
      </c>
      <c r="C1056" s="5" t="s">
        <v>36</v>
      </c>
      <c r="D1056" s="5">
        <v>1490</v>
      </c>
      <c r="E1056" s="5" t="s">
        <v>45</v>
      </c>
      <c r="F1056" s="5">
        <v>7</v>
      </c>
      <c r="G1056" s="5">
        <v>4</v>
      </c>
      <c r="H1056" s="5" t="s">
        <v>38</v>
      </c>
      <c r="I1056" s="5">
        <v>1</v>
      </c>
      <c r="J1056" s="5">
        <v>1484</v>
      </c>
      <c r="K1056" s="5">
        <v>3</v>
      </c>
      <c r="L1056" s="5" t="s">
        <v>46</v>
      </c>
      <c r="M1056" s="5">
        <v>35</v>
      </c>
      <c r="N1056" s="5">
        <v>3</v>
      </c>
      <c r="O1056" s="5">
        <v>3</v>
      </c>
      <c r="P1056" s="5" t="s">
        <v>54</v>
      </c>
      <c r="Q1056" s="5">
        <v>2</v>
      </c>
      <c r="R1056" s="5" t="s">
        <v>52</v>
      </c>
      <c r="S1056" s="5">
        <v>10466</v>
      </c>
      <c r="T1056" s="5">
        <v>20948</v>
      </c>
      <c r="U1056" s="5">
        <v>3</v>
      </c>
      <c r="V1056" s="5" t="s">
        <v>42</v>
      </c>
      <c r="W1056" s="5" t="s">
        <v>43</v>
      </c>
      <c r="X1056" s="5">
        <v>14</v>
      </c>
      <c r="Y1056" s="5">
        <v>3</v>
      </c>
      <c r="Z1056" s="5">
        <v>2</v>
      </c>
      <c r="AA1056" s="5">
        <v>80</v>
      </c>
      <c r="AB1056" s="5">
        <v>2</v>
      </c>
      <c r="AC1056" s="5">
        <v>29</v>
      </c>
      <c r="AD1056" s="5">
        <v>3</v>
      </c>
      <c r="AE1056" s="5">
        <v>3</v>
      </c>
      <c r="AF1056" s="5">
        <v>8</v>
      </c>
      <c r="AG1056" s="5">
        <v>7</v>
      </c>
      <c r="AH1056" s="5">
        <v>0</v>
      </c>
      <c r="AI1056" s="5">
        <v>7</v>
      </c>
    </row>
    <row r="1057" spans="1:35" x14ac:dyDescent="0.25">
      <c r="A1057" s="5">
        <v>34</v>
      </c>
      <c r="B1057" s="5" t="s">
        <v>43</v>
      </c>
      <c r="C1057" s="5" t="s">
        <v>44</v>
      </c>
      <c r="D1057" s="5">
        <v>829</v>
      </c>
      <c r="E1057" s="5" t="s">
        <v>45</v>
      </c>
      <c r="F1057" s="5">
        <v>15</v>
      </c>
      <c r="G1057" s="5">
        <v>3</v>
      </c>
      <c r="H1057" s="5" t="s">
        <v>51</v>
      </c>
      <c r="I1057" s="5">
        <v>1</v>
      </c>
      <c r="J1057" s="5">
        <v>1485</v>
      </c>
      <c r="K1057" s="5">
        <v>2</v>
      </c>
      <c r="L1057" s="5" t="s">
        <v>46</v>
      </c>
      <c r="M1057" s="5">
        <v>71</v>
      </c>
      <c r="N1057" s="5">
        <v>3</v>
      </c>
      <c r="O1057" s="5">
        <v>4</v>
      </c>
      <c r="P1057" s="5" t="s">
        <v>58</v>
      </c>
      <c r="Q1057" s="5">
        <v>1</v>
      </c>
      <c r="R1057" s="5" t="s">
        <v>52</v>
      </c>
      <c r="S1057" s="5">
        <v>17007</v>
      </c>
      <c r="T1057" s="5">
        <v>11929</v>
      </c>
      <c r="U1057" s="5">
        <v>7</v>
      </c>
      <c r="V1057" s="5" t="s">
        <v>42</v>
      </c>
      <c r="W1057" s="5" t="s">
        <v>43</v>
      </c>
      <c r="X1057" s="5">
        <v>14</v>
      </c>
      <c r="Y1057" s="5">
        <v>3</v>
      </c>
      <c r="Z1057" s="5">
        <v>4</v>
      </c>
      <c r="AA1057" s="5">
        <v>80</v>
      </c>
      <c r="AB1057" s="5">
        <v>2</v>
      </c>
      <c r="AC1057" s="5">
        <v>16</v>
      </c>
      <c r="AD1057" s="5">
        <v>3</v>
      </c>
      <c r="AE1057" s="5">
        <v>2</v>
      </c>
      <c r="AF1057" s="5">
        <v>14</v>
      </c>
      <c r="AG1057" s="5">
        <v>8</v>
      </c>
      <c r="AH1057" s="5">
        <v>6</v>
      </c>
      <c r="AI1057" s="5">
        <v>9</v>
      </c>
    </row>
    <row r="1058" spans="1:35" x14ac:dyDescent="0.25">
      <c r="A1058" s="5">
        <v>28</v>
      </c>
      <c r="B1058" s="5" t="s">
        <v>35</v>
      </c>
      <c r="C1058" s="5" t="s">
        <v>44</v>
      </c>
      <c r="D1058" s="5">
        <v>1496</v>
      </c>
      <c r="E1058" s="5" t="s">
        <v>37</v>
      </c>
      <c r="F1058" s="5">
        <v>1</v>
      </c>
      <c r="G1058" s="5">
        <v>3</v>
      </c>
      <c r="H1058" s="5" t="s">
        <v>60</v>
      </c>
      <c r="I1058" s="5">
        <v>1</v>
      </c>
      <c r="J1058" s="5">
        <v>1486</v>
      </c>
      <c r="K1058" s="5">
        <v>1</v>
      </c>
      <c r="L1058" s="5" t="s">
        <v>46</v>
      </c>
      <c r="M1058" s="5">
        <v>92</v>
      </c>
      <c r="N1058" s="5">
        <v>3</v>
      </c>
      <c r="O1058" s="5">
        <v>1</v>
      </c>
      <c r="P1058" s="5" t="s">
        <v>57</v>
      </c>
      <c r="Q1058" s="5">
        <v>3</v>
      </c>
      <c r="R1058" s="5" t="s">
        <v>48</v>
      </c>
      <c r="S1058" s="5">
        <v>2909</v>
      </c>
      <c r="T1058" s="5">
        <v>15747</v>
      </c>
      <c r="U1058" s="5">
        <v>3</v>
      </c>
      <c r="V1058" s="5" t="s">
        <v>42</v>
      </c>
      <c r="W1058" s="5" t="s">
        <v>43</v>
      </c>
      <c r="X1058" s="5">
        <v>15</v>
      </c>
      <c r="Y1058" s="5">
        <v>3</v>
      </c>
      <c r="Z1058" s="5">
        <v>4</v>
      </c>
      <c r="AA1058" s="5">
        <v>80</v>
      </c>
      <c r="AB1058" s="5">
        <v>1</v>
      </c>
      <c r="AC1058" s="5">
        <v>5</v>
      </c>
      <c r="AD1058" s="5">
        <v>3</v>
      </c>
      <c r="AE1058" s="5">
        <v>4</v>
      </c>
      <c r="AF1058" s="5">
        <v>3</v>
      </c>
      <c r="AG1058" s="5">
        <v>2</v>
      </c>
      <c r="AH1058" s="5">
        <v>1</v>
      </c>
      <c r="AI1058" s="5">
        <v>2</v>
      </c>
    </row>
    <row r="1059" spans="1:35" x14ac:dyDescent="0.25">
      <c r="A1059" s="5">
        <v>29</v>
      </c>
      <c r="B1059" s="5" t="s">
        <v>35</v>
      </c>
      <c r="C1059" s="5" t="s">
        <v>44</v>
      </c>
      <c r="D1059" s="5">
        <v>115</v>
      </c>
      <c r="E1059" s="5" t="s">
        <v>37</v>
      </c>
      <c r="F1059" s="5">
        <v>13</v>
      </c>
      <c r="G1059" s="5">
        <v>3</v>
      </c>
      <c r="H1059" s="5" t="s">
        <v>60</v>
      </c>
      <c r="I1059" s="5">
        <v>1</v>
      </c>
      <c r="J1059" s="5">
        <v>1487</v>
      </c>
      <c r="K1059" s="5">
        <v>1</v>
      </c>
      <c r="L1059" s="5" t="s">
        <v>39</v>
      </c>
      <c r="M1059" s="5">
        <v>51</v>
      </c>
      <c r="N1059" s="5">
        <v>3</v>
      </c>
      <c r="O1059" s="5">
        <v>2</v>
      </c>
      <c r="P1059" s="5" t="s">
        <v>40</v>
      </c>
      <c r="Q1059" s="5">
        <v>2</v>
      </c>
      <c r="R1059" s="5" t="s">
        <v>41</v>
      </c>
      <c r="S1059" s="5">
        <v>5765</v>
      </c>
      <c r="T1059" s="5">
        <v>17485</v>
      </c>
      <c r="U1059" s="5">
        <v>5</v>
      </c>
      <c r="V1059" s="5" t="s">
        <v>42</v>
      </c>
      <c r="W1059" s="5" t="s">
        <v>43</v>
      </c>
      <c r="X1059" s="5">
        <v>11</v>
      </c>
      <c r="Y1059" s="5">
        <v>3</v>
      </c>
      <c r="Z1059" s="5">
        <v>1</v>
      </c>
      <c r="AA1059" s="5">
        <v>80</v>
      </c>
      <c r="AB1059" s="5">
        <v>0</v>
      </c>
      <c r="AC1059" s="5">
        <v>7</v>
      </c>
      <c r="AD1059" s="5">
        <v>4</v>
      </c>
      <c r="AE1059" s="5">
        <v>1</v>
      </c>
      <c r="AF1059" s="5">
        <v>5</v>
      </c>
      <c r="AG1059" s="5">
        <v>3</v>
      </c>
      <c r="AH1059" s="5">
        <v>0</v>
      </c>
      <c r="AI1059" s="5">
        <v>0</v>
      </c>
    </row>
    <row r="1060" spans="1:35" x14ac:dyDescent="0.25">
      <c r="A1060" s="5">
        <v>34</v>
      </c>
      <c r="B1060" s="5" t="s">
        <v>35</v>
      </c>
      <c r="C1060" s="5" t="s">
        <v>36</v>
      </c>
      <c r="D1060" s="5">
        <v>790</v>
      </c>
      <c r="E1060" s="5" t="s">
        <v>37</v>
      </c>
      <c r="F1060" s="5">
        <v>24</v>
      </c>
      <c r="G1060" s="5">
        <v>4</v>
      </c>
      <c r="H1060" s="5" t="s">
        <v>51</v>
      </c>
      <c r="I1060" s="5">
        <v>1</v>
      </c>
      <c r="J1060" s="5">
        <v>1489</v>
      </c>
      <c r="K1060" s="5">
        <v>1</v>
      </c>
      <c r="L1060" s="5" t="s">
        <v>39</v>
      </c>
      <c r="M1060" s="5">
        <v>40</v>
      </c>
      <c r="N1060" s="5">
        <v>2</v>
      </c>
      <c r="O1060" s="5">
        <v>2</v>
      </c>
      <c r="P1060" s="5" t="s">
        <v>40</v>
      </c>
      <c r="Q1060" s="5">
        <v>2</v>
      </c>
      <c r="R1060" s="5" t="s">
        <v>41</v>
      </c>
      <c r="S1060" s="5">
        <v>4599</v>
      </c>
      <c r="T1060" s="5">
        <v>7815</v>
      </c>
      <c r="U1060" s="5">
        <v>0</v>
      </c>
      <c r="V1060" s="5" t="s">
        <v>42</v>
      </c>
      <c r="W1060" s="5" t="s">
        <v>35</v>
      </c>
      <c r="X1060" s="5">
        <v>23</v>
      </c>
      <c r="Y1060" s="5">
        <v>4</v>
      </c>
      <c r="Z1060" s="5">
        <v>3</v>
      </c>
      <c r="AA1060" s="5">
        <v>80</v>
      </c>
      <c r="AB1060" s="5">
        <v>0</v>
      </c>
      <c r="AC1060" s="5">
        <v>16</v>
      </c>
      <c r="AD1060" s="5">
        <v>2</v>
      </c>
      <c r="AE1060" s="5">
        <v>4</v>
      </c>
      <c r="AF1060" s="5">
        <v>15</v>
      </c>
      <c r="AG1060" s="5">
        <v>9</v>
      </c>
      <c r="AH1060" s="5">
        <v>10</v>
      </c>
      <c r="AI1060" s="5">
        <v>10</v>
      </c>
    </row>
    <row r="1061" spans="1:35" x14ac:dyDescent="0.25">
      <c r="A1061" s="5">
        <v>35</v>
      </c>
      <c r="B1061" s="5" t="s">
        <v>43</v>
      </c>
      <c r="C1061" s="5" t="s">
        <v>36</v>
      </c>
      <c r="D1061" s="5">
        <v>660</v>
      </c>
      <c r="E1061" s="5" t="s">
        <v>37</v>
      </c>
      <c r="F1061" s="5">
        <v>7</v>
      </c>
      <c r="G1061" s="5">
        <v>1</v>
      </c>
      <c r="H1061" s="5" t="s">
        <v>38</v>
      </c>
      <c r="I1061" s="5">
        <v>1</v>
      </c>
      <c r="J1061" s="5">
        <v>1492</v>
      </c>
      <c r="K1061" s="5">
        <v>4</v>
      </c>
      <c r="L1061" s="5" t="s">
        <v>46</v>
      </c>
      <c r="M1061" s="5">
        <v>76</v>
      </c>
      <c r="N1061" s="5">
        <v>3</v>
      </c>
      <c r="O1061" s="5">
        <v>1</v>
      </c>
      <c r="P1061" s="5" t="s">
        <v>57</v>
      </c>
      <c r="Q1061" s="5">
        <v>3</v>
      </c>
      <c r="R1061" s="5" t="s">
        <v>48</v>
      </c>
      <c r="S1061" s="5">
        <v>2404</v>
      </c>
      <c r="T1061" s="5">
        <v>16192</v>
      </c>
      <c r="U1061" s="5">
        <v>1</v>
      </c>
      <c r="V1061" s="5" t="s">
        <v>42</v>
      </c>
      <c r="W1061" s="5" t="s">
        <v>43</v>
      </c>
      <c r="X1061" s="5">
        <v>13</v>
      </c>
      <c r="Y1061" s="5">
        <v>3</v>
      </c>
      <c r="Z1061" s="5">
        <v>1</v>
      </c>
      <c r="AA1061" s="5">
        <v>80</v>
      </c>
      <c r="AB1061" s="5">
        <v>1</v>
      </c>
      <c r="AC1061" s="5">
        <v>1</v>
      </c>
      <c r="AD1061" s="5">
        <v>3</v>
      </c>
      <c r="AE1061" s="5">
        <v>3</v>
      </c>
      <c r="AF1061" s="5">
        <v>1</v>
      </c>
      <c r="AG1061" s="5">
        <v>0</v>
      </c>
      <c r="AH1061" s="5">
        <v>0</v>
      </c>
      <c r="AI1061" s="5">
        <v>0</v>
      </c>
    </row>
    <row r="1062" spans="1:35" x14ac:dyDescent="0.25">
      <c r="A1062" s="5">
        <v>24</v>
      </c>
      <c r="B1062" s="5" t="s">
        <v>35</v>
      </c>
      <c r="C1062" s="5" t="s">
        <v>44</v>
      </c>
      <c r="D1062" s="5">
        <v>381</v>
      </c>
      <c r="E1062" s="5" t="s">
        <v>45</v>
      </c>
      <c r="F1062" s="5">
        <v>9</v>
      </c>
      <c r="G1062" s="5">
        <v>3</v>
      </c>
      <c r="H1062" s="5" t="s">
        <v>51</v>
      </c>
      <c r="I1062" s="5">
        <v>1</v>
      </c>
      <c r="J1062" s="5">
        <v>1494</v>
      </c>
      <c r="K1062" s="5">
        <v>2</v>
      </c>
      <c r="L1062" s="5" t="s">
        <v>46</v>
      </c>
      <c r="M1062" s="5">
        <v>89</v>
      </c>
      <c r="N1062" s="5">
        <v>3</v>
      </c>
      <c r="O1062" s="5">
        <v>1</v>
      </c>
      <c r="P1062" s="5" t="s">
        <v>50</v>
      </c>
      <c r="Q1062" s="5">
        <v>1</v>
      </c>
      <c r="R1062" s="5" t="s">
        <v>41</v>
      </c>
      <c r="S1062" s="5">
        <v>3172</v>
      </c>
      <c r="T1062" s="5">
        <v>16998</v>
      </c>
      <c r="U1062" s="5">
        <v>2</v>
      </c>
      <c r="V1062" s="5" t="s">
        <v>42</v>
      </c>
      <c r="W1062" s="5" t="s">
        <v>35</v>
      </c>
      <c r="X1062" s="5">
        <v>11</v>
      </c>
      <c r="Y1062" s="5">
        <v>3</v>
      </c>
      <c r="Z1062" s="5">
        <v>3</v>
      </c>
      <c r="AA1062" s="5">
        <v>80</v>
      </c>
      <c r="AB1062" s="5">
        <v>0</v>
      </c>
      <c r="AC1062" s="5">
        <v>4</v>
      </c>
      <c r="AD1062" s="5">
        <v>2</v>
      </c>
      <c r="AE1062" s="5">
        <v>2</v>
      </c>
      <c r="AF1062" s="5">
        <v>0</v>
      </c>
      <c r="AG1062" s="5">
        <v>0</v>
      </c>
      <c r="AH1062" s="5">
        <v>0</v>
      </c>
      <c r="AI1062" s="5">
        <v>0</v>
      </c>
    </row>
    <row r="1063" spans="1:35" x14ac:dyDescent="0.25">
      <c r="A1063" s="5">
        <v>24</v>
      </c>
      <c r="B1063" s="5" t="s">
        <v>43</v>
      </c>
      <c r="C1063" s="5" t="s">
        <v>55</v>
      </c>
      <c r="D1063" s="5">
        <v>830</v>
      </c>
      <c r="E1063" s="5" t="s">
        <v>37</v>
      </c>
      <c r="F1063" s="5">
        <v>13</v>
      </c>
      <c r="G1063" s="5">
        <v>2</v>
      </c>
      <c r="H1063" s="5" t="s">
        <v>38</v>
      </c>
      <c r="I1063" s="5">
        <v>1</v>
      </c>
      <c r="J1063" s="5">
        <v>1495</v>
      </c>
      <c r="K1063" s="5">
        <v>4</v>
      </c>
      <c r="L1063" s="5" t="s">
        <v>39</v>
      </c>
      <c r="M1063" s="5">
        <v>78</v>
      </c>
      <c r="N1063" s="5">
        <v>3</v>
      </c>
      <c r="O1063" s="5">
        <v>1</v>
      </c>
      <c r="P1063" s="5" t="s">
        <v>57</v>
      </c>
      <c r="Q1063" s="5">
        <v>2</v>
      </c>
      <c r="R1063" s="5" t="s">
        <v>48</v>
      </c>
      <c r="S1063" s="5">
        <v>2033</v>
      </c>
      <c r="T1063" s="5">
        <v>7103</v>
      </c>
      <c r="U1063" s="5">
        <v>1</v>
      </c>
      <c r="V1063" s="5" t="s">
        <v>42</v>
      </c>
      <c r="W1063" s="5" t="s">
        <v>43</v>
      </c>
      <c r="X1063" s="5">
        <v>13</v>
      </c>
      <c r="Y1063" s="5">
        <v>3</v>
      </c>
      <c r="Z1063" s="5">
        <v>3</v>
      </c>
      <c r="AA1063" s="5">
        <v>80</v>
      </c>
      <c r="AB1063" s="5">
        <v>1</v>
      </c>
      <c r="AC1063" s="5">
        <v>1</v>
      </c>
      <c r="AD1063" s="5">
        <v>2</v>
      </c>
      <c r="AE1063" s="5">
        <v>3</v>
      </c>
      <c r="AF1063" s="5">
        <v>1</v>
      </c>
      <c r="AG1063" s="5">
        <v>0</v>
      </c>
      <c r="AH1063" s="5">
        <v>0</v>
      </c>
      <c r="AI1063" s="5">
        <v>0</v>
      </c>
    </row>
    <row r="1064" spans="1:35" x14ac:dyDescent="0.25">
      <c r="A1064" s="5">
        <v>44</v>
      </c>
      <c r="B1064" s="5" t="s">
        <v>43</v>
      </c>
      <c r="C1064" s="5" t="s">
        <v>44</v>
      </c>
      <c r="D1064" s="5">
        <v>1193</v>
      </c>
      <c r="E1064" s="5" t="s">
        <v>45</v>
      </c>
      <c r="F1064" s="5">
        <v>2</v>
      </c>
      <c r="G1064" s="5">
        <v>1</v>
      </c>
      <c r="H1064" s="5" t="s">
        <v>51</v>
      </c>
      <c r="I1064" s="5">
        <v>1</v>
      </c>
      <c r="J1064" s="5">
        <v>1496</v>
      </c>
      <c r="K1064" s="5">
        <v>2</v>
      </c>
      <c r="L1064" s="5" t="s">
        <v>46</v>
      </c>
      <c r="M1064" s="5">
        <v>86</v>
      </c>
      <c r="N1064" s="5">
        <v>3</v>
      </c>
      <c r="O1064" s="5">
        <v>3</v>
      </c>
      <c r="P1064" s="5" t="s">
        <v>53</v>
      </c>
      <c r="Q1064" s="5">
        <v>3</v>
      </c>
      <c r="R1064" s="5" t="s">
        <v>41</v>
      </c>
      <c r="S1064" s="5">
        <v>10209</v>
      </c>
      <c r="T1064" s="5">
        <v>19719</v>
      </c>
      <c r="U1064" s="5">
        <v>5</v>
      </c>
      <c r="V1064" s="5" t="s">
        <v>42</v>
      </c>
      <c r="W1064" s="5" t="s">
        <v>35</v>
      </c>
      <c r="X1064" s="5">
        <v>18</v>
      </c>
      <c r="Y1064" s="5">
        <v>3</v>
      </c>
      <c r="Z1064" s="5">
        <v>2</v>
      </c>
      <c r="AA1064" s="5">
        <v>80</v>
      </c>
      <c r="AB1064" s="5">
        <v>0</v>
      </c>
      <c r="AC1064" s="5">
        <v>16</v>
      </c>
      <c r="AD1064" s="5">
        <v>2</v>
      </c>
      <c r="AE1064" s="5">
        <v>2</v>
      </c>
      <c r="AF1064" s="5">
        <v>2</v>
      </c>
      <c r="AG1064" s="5">
        <v>2</v>
      </c>
      <c r="AH1064" s="5">
        <v>2</v>
      </c>
      <c r="AI1064" s="5">
        <v>2</v>
      </c>
    </row>
    <row r="1065" spans="1:35" x14ac:dyDescent="0.25">
      <c r="A1065" s="5">
        <v>29</v>
      </c>
      <c r="B1065" s="5" t="s">
        <v>43</v>
      </c>
      <c r="C1065" s="5" t="s">
        <v>36</v>
      </c>
      <c r="D1065" s="5">
        <v>1246</v>
      </c>
      <c r="E1065" s="5" t="s">
        <v>37</v>
      </c>
      <c r="F1065" s="5">
        <v>19</v>
      </c>
      <c r="G1065" s="5">
        <v>3</v>
      </c>
      <c r="H1065" s="5" t="s">
        <v>38</v>
      </c>
      <c r="I1065" s="5">
        <v>1</v>
      </c>
      <c r="J1065" s="5">
        <v>1497</v>
      </c>
      <c r="K1065" s="5">
        <v>3</v>
      </c>
      <c r="L1065" s="5" t="s">
        <v>46</v>
      </c>
      <c r="M1065" s="5">
        <v>77</v>
      </c>
      <c r="N1065" s="5">
        <v>2</v>
      </c>
      <c r="O1065" s="5">
        <v>2</v>
      </c>
      <c r="P1065" s="5" t="s">
        <v>40</v>
      </c>
      <c r="Q1065" s="5">
        <v>3</v>
      </c>
      <c r="R1065" s="5" t="s">
        <v>52</v>
      </c>
      <c r="S1065" s="5">
        <v>8620</v>
      </c>
      <c r="T1065" s="5">
        <v>23757</v>
      </c>
      <c r="U1065" s="5">
        <v>1</v>
      </c>
      <c r="V1065" s="5" t="s">
        <v>42</v>
      </c>
      <c r="W1065" s="5" t="s">
        <v>43</v>
      </c>
      <c r="X1065" s="5">
        <v>14</v>
      </c>
      <c r="Y1065" s="5">
        <v>3</v>
      </c>
      <c r="Z1065" s="5">
        <v>3</v>
      </c>
      <c r="AA1065" s="5">
        <v>80</v>
      </c>
      <c r="AB1065" s="5">
        <v>2</v>
      </c>
      <c r="AC1065" s="5">
        <v>10</v>
      </c>
      <c r="AD1065" s="5">
        <v>3</v>
      </c>
      <c r="AE1065" s="5">
        <v>3</v>
      </c>
      <c r="AF1065" s="5">
        <v>10</v>
      </c>
      <c r="AG1065" s="5">
        <v>7</v>
      </c>
      <c r="AH1065" s="5">
        <v>0</v>
      </c>
      <c r="AI1065" s="5">
        <v>4</v>
      </c>
    </row>
    <row r="1066" spans="1:35" x14ac:dyDescent="0.25">
      <c r="A1066" s="5">
        <v>30</v>
      </c>
      <c r="B1066" s="5" t="s">
        <v>43</v>
      </c>
      <c r="C1066" s="5" t="s">
        <v>36</v>
      </c>
      <c r="D1066" s="5">
        <v>330</v>
      </c>
      <c r="E1066" s="5" t="s">
        <v>61</v>
      </c>
      <c r="F1066" s="5">
        <v>1</v>
      </c>
      <c r="G1066" s="5">
        <v>3</v>
      </c>
      <c r="H1066" s="5" t="s">
        <v>38</v>
      </c>
      <c r="I1066" s="5">
        <v>1</v>
      </c>
      <c r="J1066" s="5">
        <v>1499</v>
      </c>
      <c r="K1066" s="5">
        <v>3</v>
      </c>
      <c r="L1066" s="5" t="s">
        <v>46</v>
      </c>
      <c r="M1066" s="5">
        <v>46</v>
      </c>
      <c r="N1066" s="5">
        <v>3</v>
      </c>
      <c r="O1066" s="5">
        <v>1</v>
      </c>
      <c r="P1066" s="5" t="s">
        <v>61</v>
      </c>
      <c r="Q1066" s="5">
        <v>3</v>
      </c>
      <c r="R1066" s="5" t="s">
        <v>52</v>
      </c>
      <c r="S1066" s="5">
        <v>2064</v>
      </c>
      <c r="T1066" s="5">
        <v>15428</v>
      </c>
      <c r="U1066" s="5">
        <v>0</v>
      </c>
      <c r="V1066" s="5" t="s">
        <v>42</v>
      </c>
      <c r="W1066" s="5" t="s">
        <v>43</v>
      </c>
      <c r="X1066" s="5">
        <v>21</v>
      </c>
      <c r="Y1066" s="5">
        <v>4</v>
      </c>
      <c r="Z1066" s="5">
        <v>1</v>
      </c>
      <c r="AA1066" s="5">
        <v>80</v>
      </c>
      <c r="AB1066" s="5">
        <v>1</v>
      </c>
      <c r="AC1066" s="5">
        <v>6</v>
      </c>
      <c r="AD1066" s="5">
        <v>3</v>
      </c>
      <c r="AE1066" s="5">
        <v>4</v>
      </c>
      <c r="AF1066" s="5">
        <v>5</v>
      </c>
      <c r="AG1066" s="5">
        <v>3</v>
      </c>
      <c r="AH1066" s="5">
        <v>1</v>
      </c>
      <c r="AI1066" s="5">
        <v>3</v>
      </c>
    </row>
    <row r="1067" spans="1:35" x14ac:dyDescent="0.25">
      <c r="A1067" s="5">
        <v>55</v>
      </c>
      <c r="B1067" s="5" t="s">
        <v>43</v>
      </c>
      <c r="C1067" s="5" t="s">
        <v>36</v>
      </c>
      <c r="D1067" s="5">
        <v>1229</v>
      </c>
      <c r="E1067" s="5" t="s">
        <v>45</v>
      </c>
      <c r="F1067" s="5">
        <v>4</v>
      </c>
      <c r="G1067" s="5">
        <v>4</v>
      </c>
      <c r="H1067" s="5" t="s">
        <v>38</v>
      </c>
      <c r="I1067" s="5">
        <v>1</v>
      </c>
      <c r="J1067" s="5">
        <v>1501</v>
      </c>
      <c r="K1067" s="5">
        <v>4</v>
      </c>
      <c r="L1067" s="5" t="s">
        <v>46</v>
      </c>
      <c r="M1067" s="5">
        <v>30</v>
      </c>
      <c r="N1067" s="5">
        <v>3</v>
      </c>
      <c r="O1067" s="5">
        <v>2</v>
      </c>
      <c r="P1067" s="5" t="s">
        <v>54</v>
      </c>
      <c r="Q1067" s="5">
        <v>3</v>
      </c>
      <c r="R1067" s="5" t="s">
        <v>48</v>
      </c>
      <c r="S1067" s="5">
        <v>4035</v>
      </c>
      <c r="T1067" s="5">
        <v>16143</v>
      </c>
      <c r="U1067" s="5">
        <v>0</v>
      </c>
      <c r="V1067" s="5" t="s">
        <v>42</v>
      </c>
      <c r="W1067" s="5" t="s">
        <v>35</v>
      </c>
      <c r="X1067" s="5">
        <v>16</v>
      </c>
      <c r="Y1067" s="5">
        <v>3</v>
      </c>
      <c r="Z1067" s="5">
        <v>2</v>
      </c>
      <c r="AA1067" s="5">
        <v>80</v>
      </c>
      <c r="AB1067" s="5">
        <v>0</v>
      </c>
      <c r="AC1067" s="5">
        <v>4</v>
      </c>
      <c r="AD1067" s="5">
        <v>2</v>
      </c>
      <c r="AE1067" s="5">
        <v>3</v>
      </c>
      <c r="AF1067" s="5">
        <v>3</v>
      </c>
      <c r="AG1067" s="5">
        <v>2</v>
      </c>
      <c r="AH1067" s="5">
        <v>1</v>
      </c>
      <c r="AI1067" s="5">
        <v>2</v>
      </c>
    </row>
    <row r="1068" spans="1:35" x14ac:dyDescent="0.25">
      <c r="A1068" s="5">
        <v>33</v>
      </c>
      <c r="B1068" s="5" t="s">
        <v>43</v>
      </c>
      <c r="C1068" s="5" t="s">
        <v>36</v>
      </c>
      <c r="D1068" s="5">
        <v>1099</v>
      </c>
      <c r="E1068" s="5" t="s">
        <v>45</v>
      </c>
      <c r="F1068" s="5">
        <v>4</v>
      </c>
      <c r="G1068" s="5">
        <v>4</v>
      </c>
      <c r="H1068" s="5" t="s">
        <v>51</v>
      </c>
      <c r="I1068" s="5">
        <v>1</v>
      </c>
      <c r="J1068" s="5">
        <v>1502</v>
      </c>
      <c r="K1068" s="5">
        <v>1</v>
      </c>
      <c r="L1068" s="5" t="s">
        <v>39</v>
      </c>
      <c r="M1068" s="5">
        <v>82</v>
      </c>
      <c r="N1068" s="5">
        <v>2</v>
      </c>
      <c r="O1068" s="5">
        <v>1</v>
      </c>
      <c r="P1068" s="5" t="s">
        <v>50</v>
      </c>
      <c r="Q1068" s="5">
        <v>2</v>
      </c>
      <c r="R1068" s="5" t="s">
        <v>48</v>
      </c>
      <c r="S1068" s="5">
        <v>3838</v>
      </c>
      <c r="T1068" s="5">
        <v>8192</v>
      </c>
      <c r="U1068" s="5">
        <v>8</v>
      </c>
      <c r="V1068" s="5" t="s">
        <v>42</v>
      </c>
      <c r="W1068" s="5" t="s">
        <v>43</v>
      </c>
      <c r="X1068" s="5">
        <v>11</v>
      </c>
      <c r="Y1068" s="5">
        <v>3</v>
      </c>
      <c r="Z1068" s="5">
        <v>4</v>
      </c>
      <c r="AA1068" s="5">
        <v>80</v>
      </c>
      <c r="AB1068" s="5">
        <v>0</v>
      </c>
      <c r="AC1068" s="5">
        <v>8</v>
      </c>
      <c r="AD1068" s="5">
        <v>5</v>
      </c>
      <c r="AE1068" s="5">
        <v>3</v>
      </c>
      <c r="AF1068" s="5">
        <v>5</v>
      </c>
      <c r="AG1068" s="5">
        <v>4</v>
      </c>
      <c r="AH1068" s="5">
        <v>0</v>
      </c>
      <c r="AI1068" s="5">
        <v>2</v>
      </c>
    </row>
    <row r="1069" spans="1:35" x14ac:dyDescent="0.25">
      <c r="A1069" s="5">
        <v>47</v>
      </c>
      <c r="B1069" s="5" t="s">
        <v>43</v>
      </c>
      <c r="C1069" s="5" t="s">
        <v>36</v>
      </c>
      <c r="D1069" s="5">
        <v>571</v>
      </c>
      <c r="E1069" s="5" t="s">
        <v>37</v>
      </c>
      <c r="F1069" s="5">
        <v>14</v>
      </c>
      <c r="G1069" s="5">
        <v>3</v>
      </c>
      <c r="H1069" s="5" t="s">
        <v>51</v>
      </c>
      <c r="I1069" s="5">
        <v>1</v>
      </c>
      <c r="J1069" s="5">
        <v>1503</v>
      </c>
      <c r="K1069" s="5">
        <v>3</v>
      </c>
      <c r="L1069" s="5" t="s">
        <v>39</v>
      </c>
      <c r="M1069" s="5">
        <v>78</v>
      </c>
      <c r="N1069" s="5">
        <v>3</v>
      </c>
      <c r="O1069" s="5">
        <v>2</v>
      </c>
      <c r="P1069" s="5" t="s">
        <v>40</v>
      </c>
      <c r="Q1069" s="5">
        <v>3</v>
      </c>
      <c r="R1069" s="5" t="s">
        <v>48</v>
      </c>
      <c r="S1069" s="5">
        <v>4591</v>
      </c>
      <c r="T1069" s="5">
        <v>24200</v>
      </c>
      <c r="U1069" s="5">
        <v>3</v>
      </c>
      <c r="V1069" s="5" t="s">
        <v>42</v>
      </c>
      <c r="W1069" s="5" t="s">
        <v>35</v>
      </c>
      <c r="X1069" s="5">
        <v>17</v>
      </c>
      <c r="Y1069" s="5">
        <v>3</v>
      </c>
      <c r="Z1069" s="5">
        <v>3</v>
      </c>
      <c r="AA1069" s="5">
        <v>80</v>
      </c>
      <c r="AB1069" s="5">
        <v>1</v>
      </c>
      <c r="AC1069" s="5">
        <v>11</v>
      </c>
      <c r="AD1069" s="5">
        <v>4</v>
      </c>
      <c r="AE1069" s="5">
        <v>2</v>
      </c>
      <c r="AF1069" s="5">
        <v>5</v>
      </c>
      <c r="AG1069" s="5">
        <v>4</v>
      </c>
      <c r="AH1069" s="5">
        <v>1</v>
      </c>
      <c r="AI1069" s="5">
        <v>2</v>
      </c>
    </row>
    <row r="1070" spans="1:35" x14ac:dyDescent="0.25">
      <c r="A1070" s="5">
        <v>28</v>
      </c>
      <c r="B1070" s="5" t="s">
        <v>35</v>
      </c>
      <c r="C1070" s="5" t="s">
        <v>44</v>
      </c>
      <c r="D1070" s="5">
        <v>289</v>
      </c>
      <c r="E1070" s="5" t="s">
        <v>45</v>
      </c>
      <c r="F1070" s="5">
        <v>2</v>
      </c>
      <c r="G1070" s="5">
        <v>2</v>
      </c>
      <c r="H1070" s="5" t="s">
        <v>51</v>
      </c>
      <c r="I1070" s="5">
        <v>1</v>
      </c>
      <c r="J1070" s="5">
        <v>1504</v>
      </c>
      <c r="K1070" s="5">
        <v>3</v>
      </c>
      <c r="L1070" s="5" t="s">
        <v>46</v>
      </c>
      <c r="M1070" s="5">
        <v>38</v>
      </c>
      <c r="N1070" s="5">
        <v>2</v>
      </c>
      <c r="O1070" s="5">
        <v>1</v>
      </c>
      <c r="P1070" s="5" t="s">
        <v>50</v>
      </c>
      <c r="Q1070" s="5">
        <v>1</v>
      </c>
      <c r="R1070" s="5" t="s">
        <v>41</v>
      </c>
      <c r="S1070" s="5">
        <v>2561</v>
      </c>
      <c r="T1070" s="5">
        <v>5355</v>
      </c>
      <c r="U1070" s="5">
        <v>7</v>
      </c>
      <c r="V1070" s="5" t="s">
        <v>42</v>
      </c>
      <c r="W1070" s="5" t="s">
        <v>43</v>
      </c>
      <c r="X1070" s="5">
        <v>11</v>
      </c>
      <c r="Y1070" s="5">
        <v>3</v>
      </c>
      <c r="Z1070" s="5">
        <v>3</v>
      </c>
      <c r="AA1070" s="5">
        <v>80</v>
      </c>
      <c r="AB1070" s="5">
        <v>0</v>
      </c>
      <c r="AC1070" s="5">
        <v>8</v>
      </c>
      <c r="AD1070" s="5">
        <v>2</v>
      </c>
      <c r="AE1070" s="5">
        <v>2</v>
      </c>
      <c r="AF1070" s="5">
        <v>0</v>
      </c>
      <c r="AG1070" s="5">
        <v>0</v>
      </c>
      <c r="AH1070" s="5">
        <v>0</v>
      </c>
      <c r="AI1070" s="5">
        <v>0</v>
      </c>
    </row>
    <row r="1071" spans="1:35" x14ac:dyDescent="0.25">
      <c r="A1071" s="5">
        <v>28</v>
      </c>
      <c r="B1071" s="5" t="s">
        <v>43</v>
      </c>
      <c r="C1071" s="5" t="s">
        <v>36</v>
      </c>
      <c r="D1071" s="5">
        <v>1423</v>
      </c>
      <c r="E1071" s="5" t="s">
        <v>45</v>
      </c>
      <c r="F1071" s="5">
        <v>1</v>
      </c>
      <c r="G1071" s="5">
        <v>3</v>
      </c>
      <c r="H1071" s="5" t="s">
        <v>38</v>
      </c>
      <c r="I1071" s="5">
        <v>1</v>
      </c>
      <c r="J1071" s="5">
        <v>1506</v>
      </c>
      <c r="K1071" s="5">
        <v>1</v>
      </c>
      <c r="L1071" s="5" t="s">
        <v>46</v>
      </c>
      <c r="M1071" s="5">
        <v>72</v>
      </c>
      <c r="N1071" s="5">
        <v>2</v>
      </c>
      <c r="O1071" s="5">
        <v>1</v>
      </c>
      <c r="P1071" s="5" t="s">
        <v>47</v>
      </c>
      <c r="Q1071" s="5">
        <v>3</v>
      </c>
      <c r="R1071" s="5" t="s">
        <v>52</v>
      </c>
      <c r="S1071" s="5">
        <v>1563</v>
      </c>
      <c r="T1071" s="5">
        <v>12530</v>
      </c>
      <c r="U1071" s="5">
        <v>1</v>
      </c>
      <c r="V1071" s="5" t="s">
        <v>42</v>
      </c>
      <c r="W1071" s="5" t="s">
        <v>43</v>
      </c>
      <c r="X1071" s="5">
        <v>14</v>
      </c>
      <c r="Y1071" s="5">
        <v>3</v>
      </c>
      <c r="Z1071" s="5">
        <v>4</v>
      </c>
      <c r="AA1071" s="5">
        <v>80</v>
      </c>
      <c r="AB1071" s="5">
        <v>1</v>
      </c>
      <c r="AC1071" s="5">
        <v>1</v>
      </c>
      <c r="AD1071" s="5">
        <v>2</v>
      </c>
      <c r="AE1071" s="5">
        <v>1</v>
      </c>
      <c r="AF1071" s="5">
        <v>1</v>
      </c>
      <c r="AG1071" s="5">
        <v>0</v>
      </c>
      <c r="AH1071" s="5">
        <v>0</v>
      </c>
      <c r="AI1071" s="5">
        <v>0</v>
      </c>
    </row>
    <row r="1072" spans="1:35" x14ac:dyDescent="0.25">
      <c r="A1072" s="5">
        <v>28</v>
      </c>
      <c r="B1072" s="5" t="s">
        <v>43</v>
      </c>
      <c r="C1072" s="5" t="s">
        <v>44</v>
      </c>
      <c r="D1072" s="5">
        <v>467</v>
      </c>
      <c r="E1072" s="5" t="s">
        <v>37</v>
      </c>
      <c r="F1072" s="5">
        <v>7</v>
      </c>
      <c r="G1072" s="5">
        <v>3</v>
      </c>
      <c r="H1072" s="5" t="s">
        <v>38</v>
      </c>
      <c r="I1072" s="5">
        <v>1</v>
      </c>
      <c r="J1072" s="5">
        <v>1507</v>
      </c>
      <c r="K1072" s="5">
        <v>3</v>
      </c>
      <c r="L1072" s="5" t="s">
        <v>46</v>
      </c>
      <c r="M1072" s="5">
        <v>55</v>
      </c>
      <c r="N1072" s="5">
        <v>3</v>
      </c>
      <c r="O1072" s="5">
        <v>2</v>
      </c>
      <c r="P1072" s="5" t="s">
        <v>40</v>
      </c>
      <c r="Q1072" s="5">
        <v>1</v>
      </c>
      <c r="R1072" s="5" t="s">
        <v>41</v>
      </c>
      <c r="S1072" s="5">
        <v>4898</v>
      </c>
      <c r="T1072" s="5">
        <v>11827</v>
      </c>
      <c r="U1072" s="5">
        <v>0</v>
      </c>
      <c r="V1072" s="5" t="s">
        <v>42</v>
      </c>
      <c r="W1072" s="5" t="s">
        <v>43</v>
      </c>
      <c r="X1072" s="5">
        <v>14</v>
      </c>
      <c r="Y1072" s="5">
        <v>3</v>
      </c>
      <c r="Z1072" s="5">
        <v>4</v>
      </c>
      <c r="AA1072" s="5">
        <v>80</v>
      </c>
      <c r="AB1072" s="5">
        <v>0</v>
      </c>
      <c r="AC1072" s="5">
        <v>5</v>
      </c>
      <c r="AD1072" s="5">
        <v>5</v>
      </c>
      <c r="AE1072" s="5">
        <v>3</v>
      </c>
      <c r="AF1072" s="5">
        <v>4</v>
      </c>
      <c r="AG1072" s="5">
        <v>2</v>
      </c>
      <c r="AH1072" s="5">
        <v>1</v>
      </c>
      <c r="AI1072" s="5">
        <v>3</v>
      </c>
    </row>
    <row r="1073" spans="1:35" x14ac:dyDescent="0.25">
      <c r="A1073" s="5">
        <v>49</v>
      </c>
      <c r="B1073" s="5" t="s">
        <v>43</v>
      </c>
      <c r="C1073" s="5" t="s">
        <v>36</v>
      </c>
      <c r="D1073" s="5">
        <v>271</v>
      </c>
      <c r="E1073" s="5" t="s">
        <v>45</v>
      </c>
      <c r="F1073" s="5">
        <v>3</v>
      </c>
      <c r="G1073" s="5">
        <v>2</v>
      </c>
      <c r="H1073" s="5" t="s">
        <v>51</v>
      </c>
      <c r="I1073" s="5">
        <v>1</v>
      </c>
      <c r="J1073" s="5">
        <v>1509</v>
      </c>
      <c r="K1073" s="5">
        <v>3</v>
      </c>
      <c r="L1073" s="5" t="s">
        <v>39</v>
      </c>
      <c r="M1073" s="5">
        <v>43</v>
      </c>
      <c r="N1073" s="5">
        <v>2</v>
      </c>
      <c r="O1073" s="5">
        <v>2</v>
      </c>
      <c r="P1073" s="5" t="s">
        <v>50</v>
      </c>
      <c r="Q1073" s="5">
        <v>1</v>
      </c>
      <c r="R1073" s="5" t="s">
        <v>48</v>
      </c>
      <c r="S1073" s="5">
        <v>4789</v>
      </c>
      <c r="T1073" s="5">
        <v>23070</v>
      </c>
      <c r="U1073" s="5">
        <v>4</v>
      </c>
      <c r="V1073" s="5" t="s">
        <v>42</v>
      </c>
      <c r="W1073" s="5" t="s">
        <v>43</v>
      </c>
      <c r="X1073" s="5">
        <v>25</v>
      </c>
      <c r="Y1073" s="5">
        <v>4</v>
      </c>
      <c r="Z1073" s="5">
        <v>1</v>
      </c>
      <c r="AA1073" s="5">
        <v>80</v>
      </c>
      <c r="AB1073" s="5">
        <v>1</v>
      </c>
      <c r="AC1073" s="5">
        <v>10</v>
      </c>
      <c r="AD1073" s="5">
        <v>3</v>
      </c>
      <c r="AE1073" s="5">
        <v>3</v>
      </c>
      <c r="AF1073" s="5">
        <v>3</v>
      </c>
      <c r="AG1073" s="5">
        <v>2</v>
      </c>
      <c r="AH1073" s="5">
        <v>1</v>
      </c>
      <c r="AI1073" s="5">
        <v>2</v>
      </c>
    </row>
    <row r="1074" spans="1:35" x14ac:dyDescent="0.25">
      <c r="A1074" s="5">
        <v>29</v>
      </c>
      <c r="B1074" s="5" t="s">
        <v>43</v>
      </c>
      <c r="C1074" s="5" t="s">
        <v>44</v>
      </c>
      <c r="D1074" s="5">
        <v>410</v>
      </c>
      <c r="E1074" s="5" t="s">
        <v>45</v>
      </c>
      <c r="F1074" s="5">
        <v>2</v>
      </c>
      <c r="G1074" s="5">
        <v>1</v>
      </c>
      <c r="H1074" s="5" t="s">
        <v>38</v>
      </c>
      <c r="I1074" s="5">
        <v>1</v>
      </c>
      <c r="J1074" s="5">
        <v>1513</v>
      </c>
      <c r="K1074" s="5">
        <v>4</v>
      </c>
      <c r="L1074" s="5" t="s">
        <v>39</v>
      </c>
      <c r="M1074" s="5">
        <v>97</v>
      </c>
      <c r="N1074" s="5">
        <v>3</v>
      </c>
      <c r="O1074" s="5">
        <v>1</v>
      </c>
      <c r="P1074" s="5" t="s">
        <v>50</v>
      </c>
      <c r="Q1074" s="5">
        <v>2</v>
      </c>
      <c r="R1074" s="5" t="s">
        <v>48</v>
      </c>
      <c r="S1074" s="5">
        <v>3180</v>
      </c>
      <c r="T1074" s="5">
        <v>4668</v>
      </c>
      <c r="U1074" s="5">
        <v>0</v>
      </c>
      <c r="V1074" s="5" t="s">
        <v>42</v>
      </c>
      <c r="W1074" s="5" t="s">
        <v>43</v>
      </c>
      <c r="X1074" s="5">
        <v>13</v>
      </c>
      <c r="Y1074" s="5">
        <v>3</v>
      </c>
      <c r="Z1074" s="5">
        <v>3</v>
      </c>
      <c r="AA1074" s="5">
        <v>80</v>
      </c>
      <c r="AB1074" s="5">
        <v>3</v>
      </c>
      <c r="AC1074" s="5">
        <v>4</v>
      </c>
      <c r="AD1074" s="5">
        <v>3</v>
      </c>
      <c r="AE1074" s="5">
        <v>3</v>
      </c>
      <c r="AF1074" s="5">
        <v>3</v>
      </c>
      <c r="AG1074" s="5">
        <v>2</v>
      </c>
      <c r="AH1074" s="5">
        <v>0</v>
      </c>
      <c r="AI1074" s="5">
        <v>2</v>
      </c>
    </row>
    <row r="1075" spans="1:35" x14ac:dyDescent="0.25">
      <c r="A1075" s="5">
        <v>28</v>
      </c>
      <c r="B1075" s="5" t="s">
        <v>43</v>
      </c>
      <c r="C1075" s="5" t="s">
        <v>36</v>
      </c>
      <c r="D1075" s="5">
        <v>1083</v>
      </c>
      <c r="E1075" s="5" t="s">
        <v>45</v>
      </c>
      <c r="F1075" s="5">
        <v>29</v>
      </c>
      <c r="G1075" s="5">
        <v>1</v>
      </c>
      <c r="H1075" s="5" t="s">
        <v>38</v>
      </c>
      <c r="I1075" s="5">
        <v>1</v>
      </c>
      <c r="J1075" s="5">
        <v>1514</v>
      </c>
      <c r="K1075" s="5">
        <v>3</v>
      </c>
      <c r="L1075" s="5" t="s">
        <v>46</v>
      </c>
      <c r="M1075" s="5">
        <v>96</v>
      </c>
      <c r="N1075" s="5">
        <v>1</v>
      </c>
      <c r="O1075" s="5">
        <v>2</v>
      </c>
      <c r="P1075" s="5" t="s">
        <v>53</v>
      </c>
      <c r="Q1075" s="5">
        <v>2</v>
      </c>
      <c r="R1075" s="5" t="s">
        <v>48</v>
      </c>
      <c r="S1075" s="5">
        <v>6549</v>
      </c>
      <c r="T1075" s="5">
        <v>3173</v>
      </c>
      <c r="U1075" s="5">
        <v>1</v>
      </c>
      <c r="V1075" s="5" t="s">
        <v>42</v>
      </c>
      <c r="W1075" s="5" t="s">
        <v>43</v>
      </c>
      <c r="X1075" s="5">
        <v>14</v>
      </c>
      <c r="Y1075" s="5">
        <v>3</v>
      </c>
      <c r="Z1075" s="5">
        <v>2</v>
      </c>
      <c r="AA1075" s="5">
        <v>80</v>
      </c>
      <c r="AB1075" s="5">
        <v>2</v>
      </c>
      <c r="AC1075" s="5">
        <v>8</v>
      </c>
      <c r="AD1075" s="5">
        <v>2</v>
      </c>
      <c r="AE1075" s="5">
        <v>2</v>
      </c>
      <c r="AF1075" s="5">
        <v>8</v>
      </c>
      <c r="AG1075" s="5">
        <v>6</v>
      </c>
      <c r="AH1075" s="5">
        <v>1</v>
      </c>
      <c r="AI1075" s="5">
        <v>7</v>
      </c>
    </row>
    <row r="1076" spans="1:35" x14ac:dyDescent="0.25">
      <c r="A1076" s="5">
        <v>33</v>
      </c>
      <c r="B1076" s="5" t="s">
        <v>43</v>
      </c>
      <c r="C1076" s="5" t="s">
        <v>36</v>
      </c>
      <c r="D1076" s="5">
        <v>516</v>
      </c>
      <c r="E1076" s="5" t="s">
        <v>45</v>
      </c>
      <c r="F1076" s="5">
        <v>8</v>
      </c>
      <c r="G1076" s="5">
        <v>5</v>
      </c>
      <c r="H1076" s="5" t="s">
        <v>38</v>
      </c>
      <c r="I1076" s="5">
        <v>1</v>
      </c>
      <c r="J1076" s="5">
        <v>1515</v>
      </c>
      <c r="K1076" s="5">
        <v>4</v>
      </c>
      <c r="L1076" s="5" t="s">
        <v>46</v>
      </c>
      <c r="M1076" s="5">
        <v>69</v>
      </c>
      <c r="N1076" s="5">
        <v>3</v>
      </c>
      <c r="O1076" s="5">
        <v>2</v>
      </c>
      <c r="P1076" s="5" t="s">
        <v>54</v>
      </c>
      <c r="Q1076" s="5">
        <v>3</v>
      </c>
      <c r="R1076" s="5" t="s">
        <v>41</v>
      </c>
      <c r="S1076" s="5">
        <v>6388</v>
      </c>
      <c r="T1076" s="5">
        <v>22049</v>
      </c>
      <c r="U1076" s="5">
        <v>2</v>
      </c>
      <c r="V1076" s="5" t="s">
        <v>42</v>
      </c>
      <c r="W1076" s="5" t="s">
        <v>35</v>
      </c>
      <c r="X1076" s="5">
        <v>17</v>
      </c>
      <c r="Y1076" s="5">
        <v>3</v>
      </c>
      <c r="Z1076" s="5">
        <v>1</v>
      </c>
      <c r="AA1076" s="5">
        <v>80</v>
      </c>
      <c r="AB1076" s="5">
        <v>0</v>
      </c>
      <c r="AC1076" s="5">
        <v>14</v>
      </c>
      <c r="AD1076" s="5">
        <v>6</v>
      </c>
      <c r="AE1076" s="5">
        <v>3</v>
      </c>
      <c r="AF1076" s="5">
        <v>0</v>
      </c>
      <c r="AG1076" s="5">
        <v>0</v>
      </c>
      <c r="AH1076" s="5">
        <v>0</v>
      </c>
      <c r="AI1076" s="5">
        <v>0</v>
      </c>
    </row>
    <row r="1077" spans="1:35" x14ac:dyDescent="0.25">
      <c r="A1077" s="5">
        <v>32</v>
      </c>
      <c r="B1077" s="5" t="s">
        <v>43</v>
      </c>
      <c r="C1077" s="5" t="s">
        <v>36</v>
      </c>
      <c r="D1077" s="5">
        <v>495</v>
      </c>
      <c r="E1077" s="5" t="s">
        <v>45</v>
      </c>
      <c r="F1077" s="5">
        <v>10</v>
      </c>
      <c r="G1077" s="5">
        <v>3</v>
      </c>
      <c r="H1077" s="5" t="s">
        <v>51</v>
      </c>
      <c r="I1077" s="5">
        <v>1</v>
      </c>
      <c r="J1077" s="5">
        <v>1516</v>
      </c>
      <c r="K1077" s="5">
        <v>3</v>
      </c>
      <c r="L1077" s="5" t="s">
        <v>46</v>
      </c>
      <c r="M1077" s="5">
        <v>64</v>
      </c>
      <c r="N1077" s="5">
        <v>3</v>
      </c>
      <c r="O1077" s="5">
        <v>3</v>
      </c>
      <c r="P1077" s="5" t="s">
        <v>56</v>
      </c>
      <c r="Q1077" s="5">
        <v>4</v>
      </c>
      <c r="R1077" s="5" t="s">
        <v>41</v>
      </c>
      <c r="S1077" s="5">
        <v>11244</v>
      </c>
      <c r="T1077" s="5">
        <v>21072</v>
      </c>
      <c r="U1077" s="5">
        <v>2</v>
      </c>
      <c r="V1077" s="5" t="s">
        <v>42</v>
      </c>
      <c r="W1077" s="5" t="s">
        <v>43</v>
      </c>
      <c r="X1077" s="5">
        <v>25</v>
      </c>
      <c r="Y1077" s="5">
        <v>4</v>
      </c>
      <c r="Z1077" s="5">
        <v>2</v>
      </c>
      <c r="AA1077" s="5">
        <v>80</v>
      </c>
      <c r="AB1077" s="5">
        <v>0</v>
      </c>
      <c r="AC1077" s="5">
        <v>10</v>
      </c>
      <c r="AD1077" s="5">
        <v>5</v>
      </c>
      <c r="AE1077" s="5">
        <v>4</v>
      </c>
      <c r="AF1077" s="5">
        <v>5</v>
      </c>
      <c r="AG1077" s="5">
        <v>2</v>
      </c>
      <c r="AH1077" s="5">
        <v>0</v>
      </c>
      <c r="AI1077" s="5">
        <v>0</v>
      </c>
    </row>
    <row r="1078" spans="1:35" x14ac:dyDescent="0.25">
      <c r="A1078" s="5">
        <v>54</v>
      </c>
      <c r="B1078" s="5" t="s">
        <v>43</v>
      </c>
      <c r="C1078" s="5" t="s">
        <v>44</v>
      </c>
      <c r="D1078" s="5">
        <v>1050</v>
      </c>
      <c r="E1078" s="5" t="s">
        <v>45</v>
      </c>
      <c r="F1078" s="5">
        <v>11</v>
      </c>
      <c r="G1078" s="5">
        <v>4</v>
      </c>
      <c r="H1078" s="5" t="s">
        <v>51</v>
      </c>
      <c r="I1078" s="5">
        <v>1</v>
      </c>
      <c r="J1078" s="5">
        <v>1520</v>
      </c>
      <c r="K1078" s="5">
        <v>2</v>
      </c>
      <c r="L1078" s="5" t="s">
        <v>39</v>
      </c>
      <c r="M1078" s="5">
        <v>87</v>
      </c>
      <c r="N1078" s="5">
        <v>3</v>
      </c>
      <c r="O1078" s="5">
        <v>4</v>
      </c>
      <c r="P1078" s="5" t="s">
        <v>56</v>
      </c>
      <c r="Q1078" s="5">
        <v>4</v>
      </c>
      <c r="R1078" s="5" t="s">
        <v>52</v>
      </c>
      <c r="S1078" s="5">
        <v>16032</v>
      </c>
      <c r="T1078" s="5">
        <v>24456</v>
      </c>
      <c r="U1078" s="5">
        <v>3</v>
      </c>
      <c r="V1078" s="5" t="s">
        <v>42</v>
      </c>
      <c r="W1078" s="5" t="s">
        <v>43</v>
      </c>
      <c r="X1078" s="5">
        <v>20</v>
      </c>
      <c r="Y1078" s="5">
        <v>4</v>
      </c>
      <c r="Z1078" s="5">
        <v>1</v>
      </c>
      <c r="AA1078" s="5">
        <v>80</v>
      </c>
      <c r="AB1078" s="5">
        <v>1</v>
      </c>
      <c r="AC1078" s="5">
        <v>26</v>
      </c>
      <c r="AD1078" s="5">
        <v>2</v>
      </c>
      <c r="AE1078" s="5">
        <v>3</v>
      </c>
      <c r="AF1078" s="5">
        <v>14</v>
      </c>
      <c r="AG1078" s="5">
        <v>9</v>
      </c>
      <c r="AH1078" s="5">
        <v>1</v>
      </c>
      <c r="AI1078" s="5">
        <v>12</v>
      </c>
    </row>
    <row r="1079" spans="1:35" x14ac:dyDescent="0.25">
      <c r="A1079" s="5">
        <v>29</v>
      </c>
      <c r="B1079" s="5" t="s">
        <v>35</v>
      </c>
      <c r="C1079" s="5" t="s">
        <v>36</v>
      </c>
      <c r="D1079" s="5">
        <v>224</v>
      </c>
      <c r="E1079" s="5" t="s">
        <v>45</v>
      </c>
      <c r="F1079" s="5">
        <v>1</v>
      </c>
      <c r="G1079" s="5">
        <v>4</v>
      </c>
      <c r="H1079" s="5" t="s">
        <v>60</v>
      </c>
      <c r="I1079" s="5">
        <v>1</v>
      </c>
      <c r="J1079" s="5">
        <v>1522</v>
      </c>
      <c r="K1079" s="5">
        <v>1</v>
      </c>
      <c r="L1079" s="5" t="s">
        <v>46</v>
      </c>
      <c r="M1079" s="5">
        <v>100</v>
      </c>
      <c r="N1079" s="5">
        <v>2</v>
      </c>
      <c r="O1079" s="5">
        <v>1</v>
      </c>
      <c r="P1079" s="5" t="s">
        <v>47</v>
      </c>
      <c r="Q1079" s="5">
        <v>1</v>
      </c>
      <c r="R1079" s="5" t="s">
        <v>41</v>
      </c>
      <c r="S1079" s="5">
        <v>2362</v>
      </c>
      <c r="T1079" s="5">
        <v>7568</v>
      </c>
      <c r="U1079" s="5">
        <v>6</v>
      </c>
      <c r="V1079" s="5" t="s">
        <v>42</v>
      </c>
      <c r="W1079" s="5" t="s">
        <v>43</v>
      </c>
      <c r="X1079" s="5">
        <v>13</v>
      </c>
      <c r="Y1079" s="5">
        <v>3</v>
      </c>
      <c r="Z1079" s="5">
        <v>3</v>
      </c>
      <c r="AA1079" s="5">
        <v>80</v>
      </c>
      <c r="AB1079" s="5">
        <v>0</v>
      </c>
      <c r="AC1079" s="5">
        <v>11</v>
      </c>
      <c r="AD1079" s="5">
        <v>2</v>
      </c>
      <c r="AE1079" s="5">
        <v>1</v>
      </c>
      <c r="AF1079" s="5">
        <v>9</v>
      </c>
      <c r="AG1079" s="5">
        <v>7</v>
      </c>
      <c r="AH1079" s="5">
        <v>0</v>
      </c>
      <c r="AI1079" s="5">
        <v>7</v>
      </c>
    </row>
    <row r="1080" spans="1:35" x14ac:dyDescent="0.25">
      <c r="A1080" s="5">
        <v>44</v>
      </c>
      <c r="B1080" s="5" t="s">
        <v>43</v>
      </c>
      <c r="C1080" s="5" t="s">
        <v>36</v>
      </c>
      <c r="D1080" s="5">
        <v>136</v>
      </c>
      <c r="E1080" s="5" t="s">
        <v>45</v>
      </c>
      <c r="F1080" s="5">
        <v>28</v>
      </c>
      <c r="G1080" s="5">
        <v>3</v>
      </c>
      <c r="H1080" s="5" t="s">
        <v>38</v>
      </c>
      <c r="I1080" s="5">
        <v>1</v>
      </c>
      <c r="J1080" s="5">
        <v>1523</v>
      </c>
      <c r="K1080" s="5">
        <v>4</v>
      </c>
      <c r="L1080" s="5" t="s">
        <v>46</v>
      </c>
      <c r="M1080" s="5">
        <v>32</v>
      </c>
      <c r="N1080" s="5">
        <v>3</v>
      </c>
      <c r="O1080" s="5">
        <v>4</v>
      </c>
      <c r="P1080" s="5" t="s">
        <v>58</v>
      </c>
      <c r="Q1080" s="5">
        <v>1</v>
      </c>
      <c r="R1080" s="5" t="s">
        <v>48</v>
      </c>
      <c r="S1080" s="5">
        <v>16328</v>
      </c>
      <c r="T1080" s="5">
        <v>22074</v>
      </c>
      <c r="U1080" s="5">
        <v>3</v>
      </c>
      <c r="V1080" s="5" t="s">
        <v>42</v>
      </c>
      <c r="W1080" s="5" t="s">
        <v>43</v>
      </c>
      <c r="X1080" s="5">
        <v>13</v>
      </c>
      <c r="Y1080" s="5">
        <v>3</v>
      </c>
      <c r="Z1080" s="5">
        <v>3</v>
      </c>
      <c r="AA1080" s="5">
        <v>80</v>
      </c>
      <c r="AB1080" s="5">
        <v>1</v>
      </c>
      <c r="AC1080" s="5">
        <v>24</v>
      </c>
      <c r="AD1080" s="5">
        <v>1</v>
      </c>
      <c r="AE1080" s="5">
        <v>4</v>
      </c>
      <c r="AF1080" s="5">
        <v>20</v>
      </c>
      <c r="AG1080" s="5">
        <v>6</v>
      </c>
      <c r="AH1080" s="5">
        <v>14</v>
      </c>
      <c r="AI1080" s="5">
        <v>17</v>
      </c>
    </row>
    <row r="1081" spans="1:35" x14ac:dyDescent="0.25">
      <c r="A1081" s="5">
        <v>39</v>
      </c>
      <c r="B1081" s="5" t="s">
        <v>43</v>
      </c>
      <c r="C1081" s="5" t="s">
        <v>36</v>
      </c>
      <c r="D1081" s="5">
        <v>1089</v>
      </c>
      <c r="E1081" s="5" t="s">
        <v>45</v>
      </c>
      <c r="F1081" s="5">
        <v>6</v>
      </c>
      <c r="G1081" s="5">
        <v>3</v>
      </c>
      <c r="H1081" s="5" t="s">
        <v>38</v>
      </c>
      <c r="I1081" s="5">
        <v>1</v>
      </c>
      <c r="J1081" s="5">
        <v>1525</v>
      </c>
      <c r="K1081" s="5">
        <v>2</v>
      </c>
      <c r="L1081" s="5" t="s">
        <v>39</v>
      </c>
      <c r="M1081" s="5">
        <v>32</v>
      </c>
      <c r="N1081" s="5">
        <v>3</v>
      </c>
      <c r="O1081" s="5">
        <v>3</v>
      </c>
      <c r="P1081" s="5" t="s">
        <v>53</v>
      </c>
      <c r="Q1081" s="5">
        <v>2</v>
      </c>
      <c r="R1081" s="5" t="s">
        <v>41</v>
      </c>
      <c r="S1081" s="5">
        <v>8376</v>
      </c>
      <c r="T1081" s="5">
        <v>9150</v>
      </c>
      <c r="U1081" s="5">
        <v>4</v>
      </c>
      <c r="V1081" s="5" t="s">
        <v>42</v>
      </c>
      <c r="W1081" s="5" t="s">
        <v>43</v>
      </c>
      <c r="X1081" s="5">
        <v>18</v>
      </c>
      <c r="Y1081" s="5">
        <v>3</v>
      </c>
      <c r="Z1081" s="5">
        <v>4</v>
      </c>
      <c r="AA1081" s="5">
        <v>80</v>
      </c>
      <c r="AB1081" s="5">
        <v>0</v>
      </c>
      <c r="AC1081" s="5">
        <v>9</v>
      </c>
      <c r="AD1081" s="5">
        <v>3</v>
      </c>
      <c r="AE1081" s="5">
        <v>3</v>
      </c>
      <c r="AF1081" s="5">
        <v>2</v>
      </c>
      <c r="AG1081" s="5">
        <v>0</v>
      </c>
      <c r="AH1081" s="5">
        <v>2</v>
      </c>
      <c r="AI1081" s="5">
        <v>2</v>
      </c>
    </row>
    <row r="1082" spans="1:35" x14ac:dyDescent="0.25">
      <c r="A1082" s="5">
        <v>46</v>
      </c>
      <c r="B1082" s="5" t="s">
        <v>43</v>
      </c>
      <c r="C1082" s="5" t="s">
        <v>36</v>
      </c>
      <c r="D1082" s="5">
        <v>228</v>
      </c>
      <c r="E1082" s="5" t="s">
        <v>37</v>
      </c>
      <c r="F1082" s="5">
        <v>3</v>
      </c>
      <c r="G1082" s="5">
        <v>3</v>
      </c>
      <c r="H1082" s="5" t="s">
        <v>38</v>
      </c>
      <c r="I1082" s="5">
        <v>1</v>
      </c>
      <c r="J1082" s="5">
        <v>1527</v>
      </c>
      <c r="K1082" s="5">
        <v>3</v>
      </c>
      <c r="L1082" s="5" t="s">
        <v>39</v>
      </c>
      <c r="M1082" s="5">
        <v>51</v>
      </c>
      <c r="N1082" s="5">
        <v>3</v>
      </c>
      <c r="O1082" s="5">
        <v>4</v>
      </c>
      <c r="P1082" s="5" t="s">
        <v>56</v>
      </c>
      <c r="Q1082" s="5">
        <v>2</v>
      </c>
      <c r="R1082" s="5" t="s">
        <v>48</v>
      </c>
      <c r="S1082" s="5">
        <v>16606</v>
      </c>
      <c r="T1082" s="5">
        <v>11380</v>
      </c>
      <c r="U1082" s="5">
        <v>8</v>
      </c>
      <c r="V1082" s="5" t="s">
        <v>42</v>
      </c>
      <c r="W1082" s="5" t="s">
        <v>43</v>
      </c>
      <c r="X1082" s="5">
        <v>12</v>
      </c>
      <c r="Y1082" s="5">
        <v>3</v>
      </c>
      <c r="Z1082" s="5">
        <v>4</v>
      </c>
      <c r="AA1082" s="5">
        <v>80</v>
      </c>
      <c r="AB1082" s="5">
        <v>1</v>
      </c>
      <c r="AC1082" s="5">
        <v>23</v>
      </c>
      <c r="AD1082" s="5">
        <v>2</v>
      </c>
      <c r="AE1082" s="5">
        <v>4</v>
      </c>
      <c r="AF1082" s="5">
        <v>13</v>
      </c>
      <c r="AG1082" s="5">
        <v>12</v>
      </c>
      <c r="AH1082" s="5">
        <v>5</v>
      </c>
      <c r="AI1082" s="5">
        <v>1</v>
      </c>
    </row>
    <row r="1083" spans="1:35" x14ac:dyDescent="0.25">
      <c r="A1083" s="5">
        <v>35</v>
      </c>
      <c r="B1083" s="5" t="s">
        <v>43</v>
      </c>
      <c r="C1083" s="5" t="s">
        <v>36</v>
      </c>
      <c r="D1083" s="5">
        <v>1029</v>
      </c>
      <c r="E1083" s="5" t="s">
        <v>45</v>
      </c>
      <c r="F1083" s="5">
        <v>16</v>
      </c>
      <c r="G1083" s="5">
        <v>3</v>
      </c>
      <c r="H1083" s="5" t="s">
        <v>38</v>
      </c>
      <c r="I1083" s="5">
        <v>1</v>
      </c>
      <c r="J1083" s="5">
        <v>1529</v>
      </c>
      <c r="K1083" s="5">
        <v>4</v>
      </c>
      <c r="L1083" s="5" t="s">
        <v>39</v>
      </c>
      <c r="M1083" s="5">
        <v>91</v>
      </c>
      <c r="N1083" s="5">
        <v>2</v>
      </c>
      <c r="O1083" s="5">
        <v>3</v>
      </c>
      <c r="P1083" s="5" t="s">
        <v>54</v>
      </c>
      <c r="Q1083" s="5">
        <v>2</v>
      </c>
      <c r="R1083" s="5" t="s">
        <v>41</v>
      </c>
      <c r="S1083" s="5">
        <v>8606</v>
      </c>
      <c r="T1083" s="5">
        <v>21195</v>
      </c>
      <c r="U1083" s="5">
        <v>1</v>
      </c>
      <c r="V1083" s="5" t="s">
        <v>42</v>
      </c>
      <c r="W1083" s="5" t="s">
        <v>43</v>
      </c>
      <c r="X1083" s="5">
        <v>19</v>
      </c>
      <c r="Y1083" s="5">
        <v>3</v>
      </c>
      <c r="Z1083" s="5">
        <v>4</v>
      </c>
      <c r="AA1083" s="5">
        <v>80</v>
      </c>
      <c r="AB1083" s="5">
        <v>0</v>
      </c>
      <c r="AC1083" s="5">
        <v>11</v>
      </c>
      <c r="AD1083" s="5">
        <v>3</v>
      </c>
      <c r="AE1083" s="5">
        <v>1</v>
      </c>
      <c r="AF1083" s="5">
        <v>11</v>
      </c>
      <c r="AG1083" s="5">
        <v>8</v>
      </c>
      <c r="AH1083" s="5">
        <v>3</v>
      </c>
      <c r="AI1083" s="5">
        <v>3</v>
      </c>
    </row>
    <row r="1084" spans="1:35" x14ac:dyDescent="0.25">
      <c r="A1084" s="5">
        <v>23</v>
      </c>
      <c r="B1084" s="5" t="s">
        <v>43</v>
      </c>
      <c r="C1084" s="5" t="s">
        <v>36</v>
      </c>
      <c r="D1084" s="5">
        <v>507</v>
      </c>
      <c r="E1084" s="5" t="s">
        <v>45</v>
      </c>
      <c r="F1084" s="5">
        <v>20</v>
      </c>
      <c r="G1084" s="5">
        <v>1</v>
      </c>
      <c r="H1084" s="5" t="s">
        <v>38</v>
      </c>
      <c r="I1084" s="5">
        <v>1</v>
      </c>
      <c r="J1084" s="5">
        <v>1533</v>
      </c>
      <c r="K1084" s="5">
        <v>1</v>
      </c>
      <c r="L1084" s="5" t="s">
        <v>46</v>
      </c>
      <c r="M1084" s="5">
        <v>97</v>
      </c>
      <c r="N1084" s="5">
        <v>3</v>
      </c>
      <c r="O1084" s="5">
        <v>2</v>
      </c>
      <c r="P1084" s="5" t="s">
        <v>50</v>
      </c>
      <c r="Q1084" s="5">
        <v>3</v>
      </c>
      <c r="R1084" s="5" t="s">
        <v>41</v>
      </c>
      <c r="S1084" s="5">
        <v>2272</v>
      </c>
      <c r="T1084" s="5">
        <v>24812</v>
      </c>
      <c r="U1084" s="5">
        <v>0</v>
      </c>
      <c r="V1084" s="5" t="s">
        <v>42</v>
      </c>
      <c r="W1084" s="5" t="s">
        <v>43</v>
      </c>
      <c r="X1084" s="5">
        <v>14</v>
      </c>
      <c r="Y1084" s="5">
        <v>3</v>
      </c>
      <c r="Z1084" s="5">
        <v>2</v>
      </c>
      <c r="AA1084" s="5">
        <v>80</v>
      </c>
      <c r="AB1084" s="5">
        <v>0</v>
      </c>
      <c r="AC1084" s="5">
        <v>5</v>
      </c>
      <c r="AD1084" s="5">
        <v>2</v>
      </c>
      <c r="AE1084" s="5">
        <v>3</v>
      </c>
      <c r="AF1084" s="5">
        <v>4</v>
      </c>
      <c r="AG1084" s="5">
        <v>3</v>
      </c>
      <c r="AH1084" s="5">
        <v>1</v>
      </c>
      <c r="AI1084" s="5">
        <v>2</v>
      </c>
    </row>
    <row r="1085" spans="1:35" x14ac:dyDescent="0.25">
      <c r="A1085" s="5">
        <v>40</v>
      </c>
      <c r="B1085" s="5" t="s">
        <v>35</v>
      </c>
      <c r="C1085" s="5" t="s">
        <v>36</v>
      </c>
      <c r="D1085" s="5">
        <v>676</v>
      </c>
      <c r="E1085" s="5" t="s">
        <v>45</v>
      </c>
      <c r="F1085" s="5">
        <v>9</v>
      </c>
      <c r="G1085" s="5">
        <v>4</v>
      </c>
      <c r="H1085" s="5" t="s">
        <v>38</v>
      </c>
      <c r="I1085" s="5">
        <v>1</v>
      </c>
      <c r="J1085" s="5">
        <v>1534</v>
      </c>
      <c r="K1085" s="5">
        <v>4</v>
      </c>
      <c r="L1085" s="5" t="s">
        <v>46</v>
      </c>
      <c r="M1085" s="5">
        <v>86</v>
      </c>
      <c r="N1085" s="5">
        <v>3</v>
      </c>
      <c r="O1085" s="5">
        <v>1</v>
      </c>
      <c r="P1085" s="5" t="s">
        <v>50</v>
      </c>
      <c r="Q1085" s="5">
        <v>1</v>
      </c>
      <c r="R1085" s="5" t="s">
        <v>41</v>
      </c>
      <c r="S1085" s="5">
        <v>2018</v>
      </c>
      <c r="T1085" s="5">
        <v>21831</v>
      </c>
      <c r="U1085" s="5">
        <v>3</v>
      </c>
      <c r="V1085" s="5" t="s">
        <v>42</v>
      </c>
      <c r="W1085" s="5" t="s">
        <v>43</v>
      </c>
      <c r="X1085" s="5">
        <v>14</v>
      </c>
      <c r="Y1085" s="5">
        <v>3</v>
      </c>
      <c r="Z1085" s="5">
        <v>2</v>
      </c>
      <c r="AA1085" s="5">
        <v>80</v>
      </c>
      <c r="AB1085" s="5">
        <v>0</v>
      </c>
      <c r="AC1085" s="5">
        <v>15</v>
      </c>
      <c r="AD1085" s="5">
        <v>3</v>
      </c>
      <c r="AE1085" s="5">
        <v>1</v>
      </c>
      <c r="AF1085" s="5">
        <v>5</v>
      </c>
      <c r="AG1085" s="5">
        <v>4</v>
      </c>
      <c r="AH1085" s="5">
        <v>1</v>
      </c>
      <c r="AI1085" s="5">
        <v>0</v>
      </c>
    </row>
    <row r="1086" spans="1:35" x14ac:dyDescent="0.25">
      <c r="A1086" s="5">
        <v>34</v>
      </c>
      <c r="B1086" s="5" t="s">
        <v>43</v>
      </c>
      <c r="C1086" s="5" t="s">
        <v>36</v>
      </c>
      <c r="D1086" s="5">
        <v>971</v>
      </c>
      <c r="E1086" s="5" t="s">
        <v>37</v>
      </c>
      <c r="F1086" s="5">
        <v>1</v>
      </c>
      <c r="G1086" s="5">
        <v>3</v>
      </c>
      <c r="H1086" s="5" t="s">
        <v>60</v>
      </c>
      <c r="I1086" s="5">
        <v>1</v>
      </c>
      <c r="J1086" s="5">
        <v>1535</v>
      </c>
      <c r="K1086" s="5">
        <v>4</v>
      </c>
      <c r="L1086" s="5" t="s">
        <v>46</v>
      </c>
      <c r="M1086" s="5">
        <v>64</v>
      </c>
      <c r="N1086" s="5">
        <v>2</v>
      </c>
      <c r="O1086" s="5">
        <v>3</v>
      </c>
      <c r="P1086" s="5" t="s">
        <v>40</v>
      </c>
      <c r="Q1086" s="5">
        <v>3</v>
      </c>
      <c r="R1086" s="5" t="s">
        <v>48</v>
      </c>
      <c r="S1086" s="5">
        <v>7083</v>
      </c>
      <c r="T1086" s="5">
        <v>12288</v>
      </c>
      <c r="U1086" s="5">
        <v>1</v>
      </c>
      <c r="V1086" s="5" t="s">
        <v>42</v>
      </c>
      <c r="W1086" s="5" t="s">
        <v>35</v>
      </c>
      <c r="X1086" s="5">
        <v>14</v>
      </c>
      <c r="Y1086" s="5">
        <v>3</v>
      </c>
      <c r="Z1086" s="5">
        <v>4</v>
      </c>
      <c r="AA1086" s="5">
        <v>80</v>
      </c>
      <c r="AB1086" s="5">
        <v>0</v>
      </c>
      <c r="AC1086" s="5">
        <v>10</v>
      </c>
      <c r="AD1086" s="5">
        <v>3</v>
      </c>
      <c r="AE1086" s="5">
        <v>3</v>
      </c>
      <c r="AF1086" s="5">
        <v>10</v>
      </c>
      <c r="AG1086" s="5">
        <v>9</v>
      </c>
      <c r="AH1086" s="5">
        <v>8</v>
      </c>
      <c r="AI1086" s="5">
        <v>6</v>
      </c>
    </row>
    <row r="1087" spans="1:35" x14ac:dyDescent="0.25">
      <c r="A1087" s="5">
        <v>31</v>
      </c>
      <c r="B1087" s="5" t="s">
        <v>35</v>
      </c>
      <c r="C1087" s="5" t="s">
        <v>44</v>
      </c>
      <c r="D1087" s="5">
        <v>561</v>
      </c>
      <c r="E1087" s="5" t="s">
        <v>45</v>
      </c>
      <c r="F1087" s="5">
        <v>3</v>
      </c>
      <c r="G1087" s="5">
        <v>3</v>
      </c>
      <c r="H1087" s="5" t="s">
        <v>38</v>
      </c>
      <c r="I1087" s="5">
        <v>1</v>
      </c>
      <c r="J1087" s="5">
        <v>1537</v>
      </c>
      <c r="K1087" s="5">
        <v>4</v>
      </c>
      <c r="L1087" s="5" t="s">
        <v>39</v>
      </c>
      <c r="M1087" s="5">
        <v>33</v>
      </c>
      <c r="N1087" s="5">
        <v>3</v>
      </c>
      <c r="O1087" s="5">
        <v>1</v>
      </c>
      <c r="P1087" s="5" t="s">
        <v>47</v>
      </c>
      <c r="Q1087" s="5">
        <v>3</v>
      </c>
      <c r="R1087" s="5" t="s">
        <v>41</v>
      </c>
      <c r="S1087" s="5">
        <v>4084</v>
      </c>
      <c r="T1087" s="5">
        <v>4156</v>
      </c>
      <c r="U1087" s="5">
        <v>1</v>
      </c>
      <c r="V1087" s="5" t="s">
        <v>42</v>
      </c>
      <c r="W1087" s="5" t="s">
        <v>43</v>
      </c>
      <c r="X1087" s="5">
        <v>12</v>
      </c>
      <c r="Y1087" s="5">
        <v>3</v>
      </c>
      <c r="Z1087" s="5">
        <v>1</v>
      </c>
      <c r="AA1087" s="5">
        <v>80</v>
      </c>
      <c r="AB1087" s="5">
        <v>0</v>
      </c>
      <c r="AC1087" s="5">
        <v>7</v>
      </c>
      <c r="AD1087" s="5">
        <v>2</v>
      </c>
      <c r="AE1087" s="5">
        <v>1</v>
      </c>
      <c r="AF1087" s="5">
        <v>7</v>
      </c>
      <c r="AG1087" s="5">
        <v>2</v>
      </c>
      <c r="AH1087" s="5">
        <v>7</v>
      </c>
      <c r="AI1087" s="5">
        <v>7</v>
      </c>
    </row>
    <row r="1088" spans="1:35" x14ac:dyDescent="0.25">
      <c r="A1088" s="5">
        <v>50</v>
      </c>
      <c r="B1088" s="5" t="s">
        <v>43</v>
      </c>
      <c r="C1088" s="5" t="s">
        <v>44</v>
      </c>
      <c r="D1088" s="5">
        <v>333</v>
      </c>
      <c r="E1088" s="5" t="s">
        <v>45</v>
      </c>
      <c r="F1088" s="5">
        <v>22</v>
      </c>
      <c r="G1088" s="5">
        <v>5</v>
      </c>
      <c r="H1088" s="5" t="s">
        <v>51</v>
      </c>
      <c r="I1088" s="5">
        <v>1</v>
      </c>
      <c r="J1088" s="5">
        <v>1539</v>
      </c>
      <c r="K1088" s="5">
        <v>3</v>
      </c>
      <c r="L1088" s="5" t="s">
        <v>46</v>
      </c>
      <c r="M1088" s="5">
        <v>88</v>
      </c>
      <c r="N1088" s="5">
        <v>1</v>
      </c>
      <c r="O1088" s="5">
        <v>4</v>
      </c>
      <c r="P1088" s="5" t="s">
        <v>58</v>
      </c>
      <c r="Q1088" s="5">
        <v>4</v>
      </c>
      <c r="R1088" s="5" t="s">
        <v>41</v>
      </c>
      <c r="S1088" s="5">
        <v>14411</v>
      </c>
      <c r="T1088" s="5">
        <v>24450</v>
      </c>
      <c r="U1088" s="5">
        <v>1</v>
      </c>
      <c r="V1088" s="5" t="s">
        <v>42</v>
      </c>
      <c r="W1088" s="5" t="s">
        <v>35</v>
      </c>
      <c r="X1088" s="5">
        <v>13</v>
      </c>
      <c r="Y1088" s="5">
        <v>3</v>
      </c>
      <c r="Z1088" s="5">
        <v>4</v>
      </c>
      <c r="AA1088" s="5">
        <v>80</v>
      </c>
      <c r="AB1088" s="5">
        <v>0</v>
      </c>
      <c r="AC1088" s="5">
        <v>32</v>
      </c>
      <c r="AD1088" s="5">
        <v>2</v>
      </c>
      <c r="AE1088" s="5">
        <v>3</v>
      </c>
      <c r="AF1088" s="5">
        <v>32</v>
      </c>
      <c r="AG1088" s="5">
        <v>6</v>
      </c>
      <c r="AH1088" s="5">
        <v>13</v>
      </c>
      <c r="AI1088" s="5">
        <v>9</v>
      </c>
    </row>
    <row r="1089" spans="1:35" x14ac:dyDescent="0.25">
      <c r="A1089" s="5">
        <v>34</v>
      </c>
      <c r="B1089" s="5" t="s">
        <v>43</v>
      </c>
      <c r="C1089" s="5" t="s">
        <v>36</v>
      </c>
      <c r="D1089" s="5">
        <v>1440</v>
      </c>
      <c r="E1089" s="5" t="s">
        <v>37</v>
      </c>
      <c r="F1089" s="5">
        <v>7</v>
      </c>
      <c r="G1089" s="5">
        <v>2</v>
      </c>
      <c r="H1089" s="5" t="s">
        <v>60</v>
      </c>
      <c r="I1089" s="5">
        <v>1</v>
      </c>
      <c r="J1089" s="5">
        <v>1541</v>
      </c>
      <c r="K1089" s="5">
        <v>2</v>
      </c>
      <c r="L1089" s="5" t="s">
        <v>46</v>
      </c>
      <c r="M1089" s="5">
        <v>55</v>
      </c>
      <c r="N1089" s="5">
        <v>3</v>
      </c>
      <c r="O1089" s="5">
        <v>1</v>
      </c>
      <c r="P1089" s="5" t="s">
        <v>57</v>
      </c>
      <c r="Q1089" s="5">
        <v>3</v>
      </c>
      <c r="R1089" s="5" t="s">
        <v>48</v>
      </c>
      <c r="S1089" s="5">
        <v>2308</v>
      </c>
      <c r="T1089" s="5">
        <v>4944</v>
      </c>
      <c r="U1089" s="5">
        <v>0</v>
      </c>
      <c r="V1089" s="5" t="s">
        <v>42</v>
      </c>
      <c r="W1089" s="5" t="s">
        <v>35</v>
      </c>
      <c r="X1089" s="5">
        <v>25</v>
      </c>
      <c r="Y1089" s="5">
        <v>4</v>
      </c>
      <c r="Z1089" s="5">
        <v>2</v>
      </c>
      <c r="AA1089" s="5">
        <v>80</v>
      </c>
      <c r="AB1089" s="5">
        <v>1</v>
      </c>
      <c r="AC1089" s="5">
        <v>12</v>
      </c>
      <c r="AD1089" s="5">
        <v>4</v>
      </c>
      <c r="AE1089" s="5">
        <v>3</v>
      </c>
      <c r="AF1089" s="5">
        <v>11</v>
      </c>
      <c r="AG1089" s="5">
        <v>10</v>
      </c>
      <c r="AH1089" s="5">
        <v>5</v>
      </c>
      <c r="AI1089" s="5">
        <v>7</v>
      </c>
    </row>
    <row r="1090" spans="1:35" x14ac:dyDescent="0.25">
      <c r="A1090" s="5">
        <v>42</v>
      </c>
      <c r="B1090" s="5" t="s">
        <v>43</v>
      </c>
      <c r="C1090" s="5" t="s">
        <v>36</v>
      </c>
      <c r="D1090" s="5">
        <v>1210</v>
      </c>
      <c r="E1090" s="5" t="s">
        <v>45</v>
      </c>
      <c r="F1090" s="5">
        <v>2</v>
      </c>
      <c r="G1090" s="5">
        <v>3</v>
      </c>
      <c r="H1090" s="5" t="s">
        <v>51</v>
      </c>
      <c r="I1090" s="5">
        <v>1</v>
      </c>
      <c r="J1090" s="5">
        <v>1542</v>
      </c>
      <c r="K1090" s="5">
        <v>3</v>
      </c>
      <c r="L1090" s="5" t="s">
        <v>46</v>
      </c>
      <c r="M1090" s="5">
        <v>68</v>
      </c>
      <c r="N1090" s="5">
        <v>2</v>
      </c>
      <c r="O1090" s="5">
        <v>1</v>
      </c>
      <c r="P1090" s="5" t="s">
        <v>50</v>
      </c>
      <c r="Q1090" s="5">
        <v>2</v>
      </c>
      <c r="R1090" s="5" t="s">
        <v>48</v>
      </c>
      <c r="S1090" s="5">
        <v>4841</v>
      </c>
      <c r="T1090" s="5">
        <v>24052</v>
      </c>
      <c r="U1090" s="5">
        <v>4</v>
      </c>
      <c r="V1090" s="5" t="s">
        <v>42</v>
      </c>
      <c r="W1090" s="5" t="s">
        <v>43</v>
      </c>
      <c r="X1090" s="5">
        <v>14</v>
      </c>
      <c r="Y1090" s="5">
        <v>3</v>
      </c>
      <c r="Z1090" s="5">
        <v>2</v>
      </c>
      <c r="AA1090" s="5">
        <v>80</v>
      </c>
      <c r="AB1090" s="5">
        <v>1</v>
      </c>
      <c r="AC1090" s="5">
        <v>4</v>
      </c>
      <c r="AD1090" s="5">
        <v>3</v>
      </c>
      <c r="AE1090" s="5">
        <v>3</v>
      </c>
      <c r="AF1090" s="5">
        <v>1</v>
      </c>
      <c r="AG1090" s="5">
        <v>0</v>
      </c>
      <c r="AH1090" s="5">
        <v>0</v>
      </c>
      <c r="AI1090" s="5">
        <v>0</v>
      </c>
    </row>
    <row r="1091" spans="1:35" x14ac:dyDescent="0.25">
      <c r="A1091" s="5">
        <v>37</v>
      </c>
      <c r="B1091" s="5" t="s">
        <v>43</v>
      </c>
      <c r="C1091" s="5" t="s">
        <v>36</v>
      </c>
      <c r="D1091" s="5">
        <v>674</v>
      </c>
      <c r="E1091" s="5" t="s">
        <v>45</v>
      </c>
      <c r="F1091" s="5">
        <v>13</v>
      </c>
      <c r="G1091" s="5">
        <v>3</v>
      </c>
      <c r="H1091" s="5" t="s">
        <v>51</v>
      </c>
      <c r="I1091" s="5">
        <v>1</v>
      </c>
      <c r="J1091" s="5">
        <v>1543</v>
      </c>
      <c r="K1091" s="5">
        <v>1</v>
      </c>
      <c r="L1091" s="5" t="s">
        <v>46</v>
      </c>
      <c r="M1091" s="5">
        <v>47</v>
      </c>
      <c r="N1091" s="5">
        <v>3</v>
      </c>
      <c r="O1091" s="5">
        <v>2</v>
      </c>
      <c r="P1091" s="5" t="s">
        <v>47</v>
      </c>
      <c r="Q1091" s="5">
        <v>4</v>
      </c>
      <c r="R1091" s="5" t="s">
        <v>48</v>
      </c>
      <c r="S1091" s="5">
        <v>4285</v>
      </c>
      <c r="T1091" s="5">
        <v>3031</v>
      </c>
      <c r="U1091" s="5">
        <v>1</v>
      </c>
      <c r="V1091" s="5" t="s">
        <v>42</v>
      </c>
      <c r="W1091" s="5" t="s">
        <v>43</v>
      </c>
      <c r="X1091" s="5">
        <v>17</v>
      </c>
      <c r="Y1091" s="5">
        <v>3</v>
      </c>
      <c r="Z1091" s="5">
        <v>1</v>
      </c>
      <c r="AA1091" s="5">
        <v>80</v>
      </c>
      <c r="AB1091" s="5">
        <v>0</v>
      </c>
      <c r="AC1091" s="5">
        <v>10</v>
      </c>
      <c r="AD1091" s="5">
        <v>2</v>
      </c>
      <c r="AE1091" s="5">
        <v>3</v>
      </c>
      <c r="AF1091" s="5">
        <v>10</v>
      </c>
      <c r="AG1091" s="5">
        <v>8</v>
      </c>
      <c r="AH1091" s="5">
        <v>3</v>
      </c>
      <c r="AI1091" s="5">
        <v>7</v>
      </c>
    </row>
    <row r="1092" spans="1:35" x14ac:dyDescent="0.25">
      <c r="A1092" s="5">
        <v>29</v>
      </c>
      <c r="B1092" s="5" t="s">
        <v>43</v>
      </c>
      <c r="C1092" s="5" t="s">
        <v>36</v>
      </c>
      <c r="D1092" s="5">
        <v>441</v>
      </c>
      <c r="E1092" s="5" t="s">
        <v>45</v>
      </c>
      <c r="F1092" s="5">
        <v>8</v>
      </c>
      <c r="G1092" s="5">
        <v>1</v>
      </c>
      <c r="H1092" s="5" t="s">
        <v>49</v>
      </c>
      <c r="I1092" s="5">
        <v>1</v>
      </c>
      <c r="J1092" s="5">
        <v>1544</v>
      </c>
      <c r="K1092" s="5">
        <v>3</v>
      </c>
      <c r="L1092" s="5" t="s">
        <v>39</v>
      </c>
      <c r="M1092" s="5">
        <v>39</v>
      </c>
      <c r="N1092" s="5">
        <v>1</v>
      </c>
      <c r="O1092" s="5">
        <v>2</v>
      </c>
      <c r="P1092" s="5" t="s">
        <v>54</v>
      </c>
      <c r="Q1092" s="5">
        <v>1</v>
      </c>
      <c r="R1092" s="5" t="s">
        <v>48</v>
      </c>
      <c r="S1092" s="5">
        <v>9715</v>
      </c>
      <c r="T1092" s="5">
        <v>7288</v>
      </c>
      <c r="U1092" s="5">
        <v>3</v>
      </c>
      <c r="V1092" s="5" t="s">
        <v>42</v>
      </c>
      <c r="W1092" s="5" t="s">
        <v>43</v>
      </c>
      <c r="X1092" s="5">
        <v>13</v>
      </c>
      <c r="Y1092" s="5">
        <v>3</v>
      </c>
      <c r="Z1092" s="5">
        <v>3</v>
      </c>
      <c r="AA1092" s="5">
        <v>80</v>
      </c>
      <c r="AB1092" s="5">
        <v>1</v>
      </c>
      <c r="AC1092" s="5">
        <v>9</v>
      </c>
      <c r="AD1092" s="5">
        <v>3</v>
      </c>
      <c r="AE1092" s="5">
        <v>3</v>
      </c>
      <c r="AF1092" s="5">
        <v>7</v>
      </c>
      <c r="AG1092" s="5">
        <v>7</v>
      </c>
      <c r="AH1092" s="5">
        <v>0</v>
      </c>
      <c r="AI1092" s="5">
        <v>7</v>
      </c>
    </row>
    <row r="1093" spans="1:35" x14ac:dyDescent="0.25">
      <c r="A1093" s="5">
        <v>33</v>
      </c>
      <c r="B1093" s="5" t="s">
        <v>43</v>
      </c>
      <c r="C1093" s="5" t="s">
        <v>36</v>
      </c>
      <c r="D1093" s="5">
        <v>575</v>
      </c>
      <c r="E1093" s="5" t="s">
        <v>45</v>
      </c>
      <c r="F1093" s="5">
        <v>25</v>
      </c>
      <c r="G1093" s="5">
        <v>3</v>
      </c>
      <c r="H1093" s="5" t="s">
        <v>38</v>
      </c>
      <c r="I1093" s="5">
        <v>1</v>
      </c>
      <c r="J1093" s="5">
        <v>1545</v>
      </c>
      <c r="K1093" s="5">
        <v>4</v>
      </c>
      <c r="L1093" s="5" t="s">
        <v>46</v>
      </c>
      <c r="M1093" s="5">
        <v>44</v>
      </c>
      <c r="N1093" s="5">
        <v>2</v>
      </c>
      <c r="O1093" s="5">
        <v>2</v>
      </c>
      <c r="P1093" s="5" t="s">
        <v>53</v>
      </c>
      <c r="Q1093" s="5">
        <v>2</v>
      </c>
      <c r="R1093" s="5" t="s">
        <v>41</v>
      </c>
      <c r="S1093" s="5">
        <v>4320</v>
      </c>
      <c r="T1093" s="5">
        <v>24152</v>
      </c>
      <c r="U1093" s="5">
        <v>1</v>
      </c>
      <c r="V1093" s="5" t="s">
        <v>42</v>
      </c>
      <c r="W1093" s="5" t="s">
        <v>43</v>
      </c>
      <c r="X1093" s="5">
        <v>13</v>
      </c>
      <c r="Y1093" s="5">
        <v>3</v>
      </c>
      <c r="Z1093" s="5">
        <v>4</v>
      </c>
      <c r="AA1093" s="5">
        <v>80</v>
      </c>
      <c r="AB1093" s="5">
        <v>0</v>
      </c>
      <c r="AC1093" s="5">
        <v>5</v>
      </c>
      <c r="AD1093" s="5">
        <v>2</v>
      </c>
      <c r="AE1093" s="5">
        <v>3</v>
      </c>
      <c r="AF1093" s="5">
        <v>5</v>
      </c>
      <c r="AG1093" s="5">
        <v>3</v>
      </c>
      <c r="AH1093" s="5">
        <v>0</v>
      </c>
      <c r="AI1093" s="5">
        <v>2</v>
      </c>
    </row>
    <row r="1094" spans="1:35" x14ac:dyDescent="0.25">
      <c r="A1094" s="5">
        <v>45</v>
      </c>
      <c r="B1094" s="5" t="s">
        <v>43</v>
      </c>
      <c r="C1094" s="5" t="s">
        <v>36</v>
      </c>
      <c r="D1094" s="5">
        <v>950</v>
      </c>
      <c r="E1094" s="5" t="s">
        <v>45</v>
      </c>
      <c r="F1094" s="5">
        <v>28</v>
      </c>
      <c r="G1094" s="5">
        <v>3</v>
      </c>
      <c r="H1094" s="5" t="s">
        <v>60</v>
      </c>
      <c r="I1094" s="5">
        <v>1</v>
      </c>
      <c r="J1094" s="5">
        <v>1546</v>
      </c>
      <c r="K1094" s="5">
        <v>4</v>
      </c>
      <c r="L1094" s="5" t="s">
        <v>46</v>
      </c>
      <c r="M1094" s="5">
        <v>97</v>
      </c>
      <c r="N1094" s="5">
        <v>3</v>
      </c>
      <c r="O1094" s="5">
        <v>1</v>
      </c>
      <c r="P1094" s="5" t="s">
        <v>47</v>
      </c>
      <c r="Q1094" s="5">
        <v>4</v>
      </c>
      <c r="R1094" s="5" t="s">
        <v>48</v>
      </c>
      <c r="S1094" s="5">
        <v>2132</v>
      </c>
      <c r="T1094" s="5">
        <v>4585</v>
      </c>
      <c r="U1094" s="5">
        <v>4</v>
      </c>
      <c r="V1094" s="5" t="s">
        <v>42</v>
      </c>
      <c r="W1094" s="5" t="s">
        <v>43</v>
      </c>
      <c r="X1094" s="5">
        <v>20</v>
      </c>
      <c r="Y1094" s="5">
        <v>4</v>
      </c>
      <c r="Z1094" s="5">
        <v>4</v>
      </c>
      <c r="AA1094" s="5">
        <v>80</v>
      </c>
      <c r="AB1094" s="5">
        <v>1</v>
      </c>
      <c r="AC1094" s="5">
        <v>8</v>
      </c>
      <c r="AD1094" s="5">
        <v>3</v>
      </c>
      <c r="AE1094" s="5">
        <v>3</v>
      </c>
      <c r="AF1094" s="5">
        <v>5</v>
      </c>
      <c r="AG1094" s="5">
        <v>4</v>
      </c>
      <c r="AH1094" s="5">
        <v>0</v>
      </c>
      <c r="AI1094" s="5">
        <v>3</v>
      </c>
    </row>
    <row r="1095" spans="1:35" x14ac:dyDescent="0.25">
      <c r="A1095" s="5">
        <v>42</v>
      </c>
      <c r="B1095" s="5" t="s">
        <v>43</v>
      </c>
      <c r="C1095" s="5" t="s">
        <v>44</v>
      </c>
      <c r="D1095" s="5">
        <v>288</v>
      </c>
      <c r="E1095" s="5" t="s">
        <v>45</v>
      </c>
      <c r="F1095" s="5">
        <v>2</v>
      </c>
      <c r="G1095" s="5">
        <v>3</v>
      </c>
      <c r="H1095" s="5" t="s">
        <v>38</v>
      </c>
      <c r="I1095" s="5">
        <v>1</v>
      </c>
      <c r="J1095" s="5">
        <v>1547</v>
      </c>
      <c r="K1095" s="5">
        <v>4</v>
      </c>
      <c r="L1095" s="5" t="s">
        <v>46</v>
      </c>
      <c r="M1095" s="5">
        <v>40</v>
      </c>
      <c r="N1095" s="5">
        <v>3</v>
      </c>
      <c r="O1095" s="5">
        <v>3</v>
      </c>
      <c r="P1095" s="5" t="s">
        <v>54</v>
      </c>
      <c r="Q1095" s="5">
        <v>4</v>
      </c>
      <c r="R1095" s="5" t="s">
        <v>48</v>
      </c>
      <c r="S1095" s="5">
        <v>10124</v>
      </c>
      <c r="T1095" s="5">
        <v>18611</v>
      </c>
      <c r="U1095" s="5">
        <v>2</v>
      </c>
      <c r="V1095" s="5" t="s">
        <v>42</v>
      </c>
      <c r="W1095" s="5" t="s">
        <v>35</v>
      </c>
      <c r="X1095" s="5">
        <v>14</v>
      </c>
      <c r="Y1095" s="5">
        <v>3</v>
      </c>
      <c r="Z1095" s="5">
        <v>3</v>
      </c>
      <c r="AA1095" s="5">
        <v>80</v>
      </c>
      <c r="AB1095" s="5">
        <v>1</v>
      </c>
      <c r="AC1095" s="5">
        <v>24</v>
      </c>
      <c r="AD1095" s="5">
        <v>3</v>
      </c>
      <c r="AE1095" s="5">
        <v>1</v>
      </c>
      <c r="AF1095" s="5">
        <v>20</v>
      </c>
      <c r="AG1095" s="5">
        <v>8</v>
      </c>
      <c r="AH1095" s="5">
        <v>13</v>
      </c>
      <c r="AI1095" s="5">
        <v>9</v>
      </c>
    </row>
    <row r="1096" spans="1:35" x14ac:dyDescent="0.25">
      <c r="A1096" s="5">
        <v>40</v>
      </c>
      <c r="B1096" s="5" t="s">
        <v>43</v>
      </c>
      <c r="C1096" s="5" t="s">
        <v>36</v>
      </c>
      <c r="D1096" s="5">
        <v>1342</v>
      </c>
      <c r="E1096" s="5" t="s">
        <v>37</v>
      </c>
      <c r="F1096" s="5">
        <v>9</v>
      </c>
      <c r="G1096" s="5">
        <v>2</v>
      </c>
      <c r="H1096" s="5" t="s">
        <v>51</v>
      </c>
      <c r="I1096" s="5">
        <v>1</v>
      </c>
      <c r="J1096" s="5">
        <v>1548</v>
      </c>
      <c r="K1096" s="5">
        <v>1</v>
      </c>
      <c r="L1096" s="5" t="s">
        <v>46</v>
      </c>
      <c r="M1096" s="5">
        <v>47</v>
      </c>
      <c r="N1096" s="5">
        <v>3</v>
      </c>
      <c r="O1096" s="5">
        <v>2</v>
      </c>
      <c r="P1096" s="5" t="s">
        <v>40</v>
      </c>
      <c r="Q1096" s="5">
        <v>1</v>
      </c>
      <c r="R1096" s="5" t="s">
        <v>48</v>
      </c>
      <c r="S1096" s="5">
        <v>5473</v>
      </c>
      <c r="T1096" s="5">
        <v>19345</v>
      </c>
      <c r="U1096" s="5">
        <v>0</v>
      </c>
      <c r="V1096" s="5" t="s">
        <v>42</v>
      </c>
      <c r="W1096" s="5" t="s">
        <v>43</v>
      </c>
      <c r="X1096" s="5">
        <v>12</v>
      </c>
      <c r="Y1096" s="5">
        <v>3</v>
      </c>
      <c r="Z1096" s="5">
        <v>4</v>
      </c>
      <c r="AA1096" s="5">
        <v>80</v>
      </c>
      <c r="AB1096" s="5">
        <v>0</v>
      </c>
      <c r="AC1096" s="5">
        <v>9</v>
      </c>
      <c r="AD1096" s="5">
        <v>5</v>
      </c>
      <c r="AE1096" s="5">
        <v>4</v>
      </c>
      <c r="AF1096" s="5">
        <v>8</v>
      </c>
      <c r="AG1096" s="5">
        <v>4</v>
      </c>
      <c r="AH1096" s="5">
        <v>7</v>
      </c>
      <c r="AI1096" s="5">
        <v>1</v>
      </c>
    </row>
    <row r="1097" spans="1:35" x14ac:dyDescent="0.25">
      <c r="A1097" s="5">
        <v>33</v>
      </c>
      <c r="B1097" s="5" t="s">
        <v>43</v>
      </c>
      <c r="C1097" s="5" t="s">
        <v>36</v>
      </c>
      <c r="D1097" s="5">
        <v>589</v>
      </c>
      <c r="E1097" s="5" t="s">
        <v>45</v>
      </c>
      <c r="F1097" s="5">
        <v>28</v>
      </c>
      <c r="G1097" s="5">
        <v>4</v>
      </c>
      <c r="H1097" s="5" t="s">
        <v>38</v>
      </c>
      <c r="I1097" s="5">
        <v>1</v>
      </c>
      <c r="J1097" s="5">
        <v>1549</v>
      </c>
      <c r="K1097" s="5">
        <v>2</v>
      </c>
      <c r="L1097" s="5" t="s">
        <v>46</v>
      </c>
      <c r="M1097" s="5">
        <v>79</v>
      </c>
      <c r="N1097" s="5">
        <v>3</v>
      </c>
      <c r="O1097" s="5">
        <v>2</v>
      </c>
      <c r="P1097" s="5" t="s">
        <v>50</v>
      </c>
      <c r="Q1097" s="5">
        <v>3</v>
      </c>
      <c r="R1097" s="5" t="s">
        <v>48</v>
      </c>
      <c r="S1097" s="5">
        <v>5207</v>
      </c>
      <c r="T1097" s="5">
        <v>22949</v>
      </c>
      <c r="U1097" s="5">
        <v>1</v>
      </c>
      <c r="V1097" s="5" t="s">
        <v>42</v>
      </c>
      <c r="W1097" s="5" t="s">
        <v>35</v>
      </c>
      <c r="X1097" s="5">
        <v>12</v>
      </c>
      <c r="Y1097" s="5">
        <v>3</v>
      </c>
      <c r="Z1097" s="5">
        <v>2</v>
      </c>
      <c r="AA1097" s="5">
        <v>80</v>
      </c>
      <c r="AB1097" s="5">
        <v>1</v>
      </c>
      <c r="AC1097" s="5">
        <v>15</v>
      </c>
      <c r="AD1097" s="5">
        <v>3</v>
      </c>
      <c r="AE1097" s="5">
        <v>3</v>
      </c>
      <c r="AF1097" s="5">
        <v>15</v>
      </c>
      <c r="AG1097" s="5">
        <v>14</v>
      </c>
      <c r="AH1097" s="5">
        <v>5</v>
      </c>
      <c r="AI1097" s="5">
        <v>7</v>
      </c>
    </row>
    <row r="1098" spans="1:35" x14ac:dyDescent="0.25">
      <c r="A1098" s="5">
        <v>40</v>
      </c>
      <c r="B1098" s="5" t="s">
        <v>43</v>
      </c>
      <c r="C1098" s="5" t="s">
        <v>36</v>
      </c>
      <c r="D1098" s="5">
        <v>898</v>
      </c>
      <c r="E1098" s="5" t="s">
        <v>61</v>
      </c>
      <c r="F1098" s="5">
        <v>6</v>
      </c>
      <c r="G1098" s="5">
        <v>2</v>
      </c>
      <c r="H1098" s="5" t="s">
        <v>51</v>
      </c>
      <c r="I1098" s="5">
        <v>1</v>
      </c>
      <c r="J1098" s="5">
        <v>1550</v>
      </c>
      <c r="K1098" s="5">
        <v>3</v>
      </c>
      <c r="L1098" s="5" t="s">
        <v>46</v>
      </c>
      <c r="M1098" s="5">
        <v>38</v>
      </c>
      <c r="N1098" s="5">
        <v>3</v>
      </c>
      <c r="O1098" s="5">
        <v>4</v>
      </c>
      <c r="P1098" s="5" t="s">
        <v>56</v>
      </c>
      <c r="Q1098" s="5">
        <v>4</v>
      </c>
      <c r="R1098" s="5" t="s">
        <v>41</v>
      </c>
      <c r="S1098" s="5">
        <v>16437</v>
      </c>
      <c r="T1098" s="5">
        <v>17381</v>
      </c>
      <c r="U1098" s="5">
        <v>1</v>
      </c>
      <c r="V1098" s="5" t="s">
        <v>42</v>
      </c>
      <c r="W1098" s="5" t="s">
        <v>35</v>
      </c>
      <c r="X1098" s="5">
        <v>21</v>
      </c>
      <c r="Y1098" s="5">
        <v>4</v>
      </c>
      <c r="Z1098" s="5">
        <v>4</v>
      </c>
      <c r="AA1098" s="5">
        <v>80</v>
      </c>
      <c r="AB1098" s="5">
        <v>0</v>
      </c>
      <c r="AC1098" s="5">
        <v>21</v>
      </c>
      <c r="AD1098" s="5">
        <v>2</v>
      </c>
      <c r="AE1098" s="5">
        <v>3</v>
      </c>
      <c r="AF1098" s="5">
        <v>21</v>
      </c>
      <c r="AG1098" s="5">
        <v>7</v>
      </c>
      <c r="AH1098" s="5">
        <v>7</v>
      </c>
      <c r="AI1098" s="5">
        <v>7</v>
      </c>
    </row>
    <row r="1099" spans="1:35" x14ac:dyDescent="0.25">
      <c r="A1099" s="5">
        <v>24</v>
      </c>
      <c r="B1099" s="5" t="s">
        <v>43</v>
      </c>
      <c r="C1099" s="5" t="s">
        <v>36</v>
      </c>
      <c r="D1099" s="5">
        <v>350</v>
      </c>
      <c r="E1099" s="5" t="s">
        <v>45</v>
      </c>
      <c r="F1099" s="5">
        <v>21</v>
      </c>
      <c r="G1099" s="5">
        <v>2</v>
      </c>
      <c r="H1099" s="5" t="s">
        <v>60</v>
      </c>
      <c r="I1099" s="5">
        <v>1</v>
      </c>
      <c r="J1099" s="5">
        <v>1551</v>
      </c>
      <c r="K1099" s="5">
        <v>3</v>
      </c>
      <c r="L1099" s="5" t="s">
        <v>46</v>
      </c>
      <c r="M1099" s="5">
        <v>57</v>
      </c>
      <c r="N1099" s="5">
        <v>2</v>
      </c>
      <c r="O1099" s="5">
        <v>1</v>
      </c>
      <c r="P1099" s="5" t="s">
        <v>50</v>
      </c>
      <c r="Q1099" s="5">
        <v>1</v>
      </c>
      <c r="R1099" s="5" t="s">
        <v>52</v>
      </c>
      <c r="S1099" s="5">
        <v>2296</v>
      </c>
      <c r="T1099" s="5">
        <v>10036</v>
      </c>
      <c r="U1099" s="5">
        <v>0</v>
      </c>
      <c r="V1099" s="5" t="s">
        <v>42</v>
      </c>
      <c r="W1099" s="5" t="s">
        <v>43</v>
      </c>
      <c r="X1099" s="5">
        <v>14</v>
      </c>
      <c r="Y1099" s="5">
        <v>3</v>
      </c>
      <c r="Z1099" s="5">
        <v>2</v>
      </c>
      <c r="AA1099" s="5">
        <v>80</v>
      </c>
      <c r="AB1099" s="5">
        <v>3</v>
      </c>
      <c r="AC1099" s="5">
        <v>2</v>
      </c>
      <c r="AD1099" s="5">
        <v>3</v>
      </c>
      <c r="AE1099" s="5">
        <v>3</v>
      </c>
      <c r="AF1099" s="5">
        <v>1</v>
      </c>
      <c r="AG1099" s="5">
        <v>1</v>
      </c>
      <c r="AH1099" s="5">
        <v>0</v>
      </c>
      <c r="AI1099" s="5">
        <v>0</v>
      </c>
    </row>
    <row r="1100" spans="1:35" x14ac:dyDescent="0.25">
      <c r="A1100" s="5">
        <v>40</v>
      </c>
      <c r="B1100" s="5" t="s">
        <v>43</v>
      </c>
      <c r="C1100" s="5" t="s">
        <v>55</v>
      </c>
      <c r="D1100" s="5">
        <v>1142</v>
      </c>
      <c r="E1100" s="5" t="s">
        <v>45</v>
      </c>
      <c r="F1100" s="5">
        <v>8</v>
      </c>
      <c r="G1100" s="5">
        <v>2</v>
      </c>
      <c r="H1100" s="5" t="s">
        <v>38</v>
      </c>
      <c r="I1100" s="5">
        <v>1</v>
      </c>
      <c r="J1100" s="5">
        <v>1552</v>
      </c>
      <c r="K1100" s="5">
        <v>4</v>
      </c>
      <c r="L1100" s="5" t="s">
        <v>46</v>
      </c>
      <c r="M1100" s="5">
        <v>72</v>
      </c>
      <c r="N1100" s="5">
        <v>3</v>
      </c>
      <c r="O1100" s="5">
        <v>2</v>
      </c>
      <c r="P1100" s="5" t="s">
        <v>54</v>
      </c>
      <c r="Q1100" s="5">
        <v>4</v>
      </c>
      <c r="R1100" s="5" t="s">
        <v>52</v>
      </c>
      <c r="S1100" s="5">
        <v>4069</v>
      </c>
      <c r="T1100" s="5">
        <v>8841</v>
      </c>
      <c r="U1100" s="5">
        <v>3</v>
      </c>
      <c r="V1100" s="5" t="s">
        <v>42</v>
      </c>
      <c r="W1100" s="5" t="s">
        <v>35</v>
      </c>
      <c r="X1100" s="5">
        <v>18</v>
      </c>
      <c r="Y1100" s="5">
        <v>3</v>
      </c>
      <c r="Z1100" s="5">
        <v>3</v>
      </c>
      <c r="AA1100" s="5">
        <v>80</v>
      </c>
      <c r="AB1100" s="5">
        <v>0</v>
      </c>
      <c r="AC1100" s="5">
        <v>8</v>
      </c>
      <c r="AD1100" s="5">
        <v>2</v>
      </c>
      <c r="AE1100" s="5">
        <v>3</v>
      </c>
      <c r="AF1100" s="5">
        <v>2</v>
      </c>
      <c r="AG1100" s="5">
        <v>2</v>
      </c>
      <c r="AH1100" s="5">
        <v>2</v>
      </c>
      <c r="AI1100" s="5">
        <v>2</v>
      </c>
    </row>
    <row r="1101" spans="1:35" x14ac:dyDescent="0.25">
      <c r="A1101" s="5">
        <v>45</v>
      </c>
      <c r="B1101" s="5" t="s">
        <v>43</v>
      </c>
      <c r="C1101" s="5" t="s">
        <v>36</v>
      </c>
      <c r="D1101" s="5">
        <v>538</v>
      </c>
      <c r="E1101" s="5" t="s">
        <v>45</v>
      </c>
      <c r="F1101" s="5">
        <v>1</v>
      </c>
      <c r="G1101" s="5">
        <v>4</v>
      </c>
      <c r="H1101" s="5" t="s">
        <v>60</v>
      </c>
      <c r="I1101" s="5">
        <v>1</v>
      </c>
      <c r="J1101" s="5">
        <v>1553</v>
      </c>
      <c r="K1101" s="5">
        <v>1</v>
      </c>
      <c r="L1101" s="5" t="s">
        <v>46</v>
      </c>
      <c r="M1101" s="5">
        <v>66</v>
      </c>
      <c r="N1101" s="5">
        <v>3</v>
      </c>
      <c r="O1101" s="5">
        <v>3</v>
      </c>
      <c r="P1101" s="5" t="s">
        <v>54</v>
      </c>
      <c r="Q1101" s="5">
        <v>2</v>
      </c>
      <c r="R1101" s="5" t="s">
        <v>52</v>
      </c>
      <c r="S1101" s="5">
        <v>7441</v>
      </c>
      <c r="T1101" s="5">
        <v>20933</v>
      </c>
      <c r="U1101" s="5">
        <v>1</v>
      </c>
      <c r="V1101" s="5" t="s">
        <v>42</v>
      </c>
      <c r="W1101" s="5" t="s">
        <v>43</v>
      </c>
      <c r="X1101" s="5">
        <v>12</v>
      </c>
      <c r="Y1101" s="5">
        <v>3</v>
      </c>
      <c r="Z1101" s="5">
        <v>1</v>
      </c>
      <c r="AA1101" s="5">
        <v>80</v>
      </c>
      <c r="AB1101" s="5">
        <v>3</v>
      </c>
      <c r="AC1101" s="5">
        <v>10</v>
      </c>
      <c r="AD1101" s="5">
        <v>4</v>
      </c>
      <c r="AE1101" s="5">
        <v>3</v>
      </c>
      <c r="AF1101" s="5">
        <v>10</v>
      </c>
      <c r="AG1101" s="5">
        <v>8</v>
      </c>
      <c r="AH1101" s="5">
        <v>7</v>
      </c>
      <c r="AI1101" s="5">
        <v>7</v>
      </c>
    </row>
    <row r="1102" spans="1:35" x14ac:dyDescent="0.25">
      <c r="A1102" s="5">
        <v>35</v>
      </c>
      <c r="B1102" s="5" t="s">
        <v>43</v>
      </c>
      <c r="C1102" s="5" t="s">
        <v>36</v>
      </c>
      <c r="D1102" s="5">
        <v>1402</v>
      </c>
      <c r="E1102" s="5" t="s">
        <v>37</v>
      </c>
      <c r="F1102" s="5">
        <v>28</v>
      </c>
      <c r="G1102" s="5">
        <v>4</v>
      </c>
      <c r="H1102" s="5" t="s">
        <v>38</v>
      </c>
      <c r="I1102" s="5">
        <v>1</v>
      </c>
      <c r="J1102" s="5">
        <v>1554</v>
      </c>
      <c r="K1102" s="5">
        <v>2</v>
      </c>
      <c r="L1102" s="5" t="s">
        <v>39</v>
      </c>
      <c r="M1102" s="5">
        <v>98</v>
      </c>
      <c r="N1102" s="5">
        <v>2</v>
      </c>
      <c r="O1102" s="5">
        <v>1</v>
      </c>
      <c r="P1102" s="5" t="s">
        <v>57</v>
      </c>
      <c r="Q1102" s="5">
        <v>3</v>
      </c>
      <c r="R1102" s="5" t="s">
        <v>48</v>
      </c>
      <c r="S1102" s="5">
        <v>2430</v>
      </c>
      <c r="T1102" s="5">
        <v>26204</v>
      </c>
      <c r="U1102" s="5">
        <v>0</v>
      </c>
      <c r="V1102" s="5" t="s">
        <v>42</v>
      </c>
      <c r="W1102" s="5" t="s">
        <v>43</v>
      </c>
      <c r="X1102" s="5">
        <v>23</v>
      </c>
      <c r="Y1102" s="5">
        <v>4</v>
      </c>
      <c r="Z1102" s="5">
        <v>1</v>
      </c>
      <c r="AA1102" s="5">
        <v>80</v>
      </c>
      <c r="AB1102" s="5">
        <v>2</v>
      </c>
      <c r="AC1102" s="5">
        <v>6</v>
      </c>
      <c r="AD1102" s="5">
        <v>5</v>
      </c>
      <c r="AE1102" s="5">
        <v>3</v>
      </c>
      <c r="AF1102" s="5">
        <v>5</v>
      </c>
      <c r="AG1102" s="5">
        <v>3</v>
      </c>
      <c r="AH1102" s="5">
        <v>4</v>
      </c>
      <c r="AI1102" s="5">
        <v>2</v>
      </c>
    </row>
    <row r="1103" spans="1:35" x14ac:dyDescent="0.25">
      <c r="A1103" s="5">
        <v>32</v>
      </c>
      <c r="B1103" s="5" t="s">
        <v>43</v>
      </c>
      <c r="C1103" s="5" t="s">
        <v>36</v>
      </c>
      <c r="D1103" s="5">
        <v>824</v>
      </c>
      <c r="E1103" s="5" t="s">
        <v>45</v>
      </c>
      <c r="F1103" s="5">
        <v>5</v>
      </c>
      <c r="G1103" s="5">
        <v>2</v>
      </c>
      <c r="H1103" s="5" t="s">
        <v>38</v>
      </c>
      <c r="I1103" s="5">
        <v>1</v>
      </c>
      <c r="J1103" s="5">
        <v>1555</v>
      </c>
      <c r="K1103" s="5">
        <v>4</v>
      </c>
      <c r="L1103" s="5" t="s">
        <v>39</v>
      </c>
      <c r="M1103" s="5">
        <v>67</v>
      </c>
      <c r="N1103" s="5">
        <v>2</v>
      </c>
      <c r="O1103" s="5">
        <v>2</v>
      </c>
      <c r="P1103" s="5" t="s">
        <v>47</v>
      </c>
      <c r="Q1103" s="5">
        <v>2</v>
      </c>
      <c r="R1103" s="5" t="s">
        <v>48</v>
      </c>
      <c r="S1103" s="5">
        <v>5878</v>
      </c>
      <c r="T1103" s="5">
        <v>15624</v>
      </c>
      <c r="U1103" s="5">
        <v>3</v>
      </c>
      <c r="V1103" s="5" t="s">
        <v>42</v>
      </c>
      <c r="W1103" s="5" t="s">
        <v>43</v>
      </c>
      <c r="X1103" s="5">
        <v>12</v>
      </c>
      <c r="Y1103" s="5">
        <v>3</v>
      </c>
      <c r="Z1103" s="5">
        <v>1</v>
      </c>
      <c r="AA1103" s="5">
        <v>80</v>
      </c>
      <c r="AB1103" s="5">
        <v>1</v>
      </c>
      <c r="AC1103" s="5">
        <v>12</v>
      </c>
      <c r="AD1103" s="5">
        <v>2</v>
      </c>
      <c r="AE1103" s="5">
        <v>3</v>
      </c>
      <c r="AF1103" s="5">
        <v>7</v>
      </c>
      <c r="AG1103" s="5">
        <v>1</v>
      </c>
      <c r="AH1103" s="5">
        <v>2</v>
      </c>
      <c r="AI1103" s="5">
        <v>5</v>
      </c>
    </row>
    <row r="1104" spans="1:35" x14ac:dyDescent="0.25">
      <c r="A1104" s="5">
        <v>36</v>
      </c>
      <c r="B1104" s="5" t="s">
        <v>43</v>
      </c>
      <c r="C1104" s="5" t="s">
        <v>36</v>
      </c>
      <c r="D1104" s="5">
        <v>1157</v>
      </c>
      <c r="E1104" s="5" t="s">
        <v>37</v>
      </c>
      <c r="F1104" s="5">
        <v>2</v>
      </c>
      <c r="G1104" s="5">
        <v>4</v>
      </c>
      <c r="H1104" s="5" t="s">
        <v>38</v>
      </c>
      <c r="I1104" s="5">
        <v>1</v>
      </c>
      <c r="J1104" s="5">
        <v>1556</v>
      </c>
      <c r="K1104" s="5">
        <v>3</v>
      </c>
      <c r="L1104" s="5" t="s">
        <v>46</v>
      </c>
      <c r="M1104" s="5">
        <v>70</v>
      </c>
      <c r="N1104" s="5">
        <v>3</v>
      </c>
      <c r="O1104" s="5">
        <v>1</v>
      </c>
      <c r="P1104" s="5" t="s">
        <v>57</v>
      </c>
      <c r="Q1104" s="5">
        <v>4</v>
      </c>
      <c r="R1104" s="5" t="s">
        <v>41</v>
      </c>
      <c r="S1104" s="5">
        <v>2644</v>
      </c>
      <c r="T1104" s="5">
        <v>17001</v>
      </c>
      <c r="U1104" s="5">
        <v>3</v>
      </c>
      <c r="V1104" s="5" t="s">
        <v>42</v>
      </c>
      <c r="W1104" s="5" t="s">
        <v>35</v>
      </c>
      <c r="X1104" s="5">
        <v>21</v>
      </c>
      <c r="Y1104" s="5">
        <v>4</v>
      </c>
      <c r="Z1104" s="5">
        <v>4</v>
      </c>
      <c r="AA1104" s="5">
        <v>80</v>
      </c>
      <c r="AB1104" s="5">
        <v>0</v>
      </c>
      <c r="AC1104" s="5">
        <v>7</v>
      </c>
      <c r="AD1104" s="5">
        <v>3</v>
      </c>
      <c r="AE1104" s="5">
        <v>2</v>
      </c>
      <c r="AF1104" s="5">
        <v>3</v>
      </c>
      <c r="AG1104" s="5">
        <v>2</v>
      </c>
      <c r="AH1104" s="5">
        <v>1</v>
      </c>
      <c r="AI1104" s="5">
        <v>2</v>
      </c>
    </row>
    <row r="1105" spans="1:35" x14ac:dyDescent="0.25">
      <c r="A1105" s="5">
        <v>48</v>
      </c>
      <c r="B1105" s="5" t="s">
        <v>43</v>
      </c>
      <c r="C1105" s="5" t="s">
        <v>36</v>
      </c>
      <c r="D1105" s="5">
        <v>492</v>
      </c>
      <c r="E1105" s="5" t="s">
        <v>37</v>
      </c>
      <c r="F1105" s="5">
        <v>16</v>
      </c>
      <c r="G1105" s="5">
        <v>4</v>
      </c>
      <c r="H1105" s="5" t="s">
        <v>38</v>
      </c>
      <c r="I1105" s="5">
        <v>1</v>
      </c>
      <c r="J1105" s="5">
        <v>1557</v>
      </c>
      <c r="K1105" s="5">
        <v>3</v>
      </c>
      <c r="L1105" s="5" t="s">
        <v>39</v>
      </c>
      <c r="M1105" s="5">
        <v>96</v>
      </c>
      <c r="N1105" s="5">
        <v>3</v>
      </c>
      <c r="O1105" s="5">
        <v>2</v>
      </c>
      <c r="P1105" s="5" t="s">
        <v>40</v>
      </c>
      <c r="Q1105" s="5">
        <v>3</v>
      </c>
      <c r="R1105" s="5" t="s">
        <v>52</v>
      </c>
      <c r="S1105" s="5">
        <v>6439</v>
      </c>
      <c r="T1105" s="5">
        <v>13693</v>
      </c>
      <c r="U1105" s="5">
        <v>8</v>
      </c>
      <c r="V1105" s="5" t="s">
        <v>42</v>
      </c>
      <c r="W1105" s="5" t="s">
        <v>43</v>
      </c>
      <c r="X1105" s="5">
        <v>14</v>
      </c>
      <c r="Y1105" s="5">
        <v>3</v>
      </c>
      <c r="Z1105" s="5">
        <v>3</v>
      </c>
      <c r="AA1105" s="5">
        <v>80</v>
      </c>
      <c r="AB1105" s="5">
        <v>1</v>
      </c>
      <c r="AC1105" s="5">
        <v>18</v>
      </c>
      <c r="AD1105" s="5">
        <v>2</v>
      </c>
      <c r="AE1105" s="5">
        <v>3</v>
      </c>
      <c r="AF1105" s="5">
        <v>8</v>
      </c>
      <c r="AG1105" s="5">
        <v>7</v>
      </c>
      <c r="AH1105" s="5">
        <v>7</v>
      </c>
      <c r="AI1105" s="5">
        <v>7</v>
      </c>
    </row>
    <row r="1106" spans="1:35" x14ac:dyDescent="0.25">
      <c r="A1106" s="5">
        <v>29</v>
      </c>
      <c r="B1106" s="5" t="s">
        <v>43</v>
      </c>
      <c r="C1106" s="5" t="s">
        <v>36</v>
      </c>
      <c r="D1106" s="5">
        <v>598</v>
      </c>
      <c r="E1106" s="5" t="s">
        <v>45</v>
      </c>
      <c r="F1106" s="5">
        <v>9</v>
      </c>
      <c r="G1106" s="5">
        <v>3</v>
      </c>
      <c r="H1106" s="5" t="s">
        <v>38</v>
      </c>
      <c r="I1106" s="5">
        <v>1</v>
      </c>
      <c r="J1106" s="5">
        <v>1558</v>
      </c>
      <c r="K1106" s="5">
        <v>3</v>
      </c>
      <c r="L1106" s="5" t="s">
        <v>46</v>
      </c>
      <c r="M1106" s="5">
        <v>91</v>
      </c>
      <c r="N1106" s="5">
        <v>4</v>
      </c>
      <c r="O1106" s="5">
        <v>1</v>
      </c>
      <c r="P1106" s="5" t="s">
        <v>47</v>
      </c>
      <c r="Q1106" s="5">
        <v>3</v>
      </c>
      <c r="R1106" s="5" t="s">
        <v>48</v>
      </c>
      <c r="S1106" s="5">
        <v>2451</v>
      </c>
      <c r="T1106" s="5">
        <v>22376</v>
      </c>
      <c r="U1106" s="5">
        <v>6</v>
      </c>
      <c r="V1106" s="5" t="s">
        <v>42</v>
      </c>
      <c r="W1106" s="5" t="s">
        <v>43</v>
      </c>
      <c r="X1106" s="5">
        <v>18</v>
      </c>
      <c r="Y1106" s="5">
        <v>3</v>
      </c>
      <c r="Z1106" s="5">
        <v>1</v>
      </c>
      <c r="AA1106" s="5">
        <v>80</v>
      </c>
      <c r="AB1106" s="5">
        <v>2</v>
      </c>
      <c r="AC1106" s="5">
        <v>5</v>
      </c>
      <c r="AD1106" s="5">
        <v>2</v>
      </c>
      <c r="AE1106" s="5">
        <v>2</v>
      </c>
      <c r="AF1106" s="5">
        <v>1</v>
      </c>
      <c r="AG1106" s="5">
        <v>0</v>
      </c>
      <c r="AH1106" s="5">
        <v>0</v>
      </c>
      <c r="AI1106" s="5">
        <v>0</v>
      </c>
    </row>
    <row r="1107" spans="1:35" x14ac:dyDescent="0.25">
      <c r="A1107" s="5">
        <v>33</v>
      </c>
      <c r="B1107" s="5" t="s">
        <v>43</v>
      </c>
      <c r="C1107" s="5" t="s">
        <v>36</v>
      </c>
      <c r="D1107" s="5">
        <v>1242</v>
      </c>
      <c r="E1107" s="5" t="s">
        <v>37</v>
      </c>
      <c r="F1107" s="5">
        <v>8</v>
      </c>
      <c r="G1107" s="5">
        <v>4</v>
      </c>
      <c r="H1107" s="5" t="s">
        <v>38</v>
      </c>
      <c r="I1107" s="5">
        <v>1</v>
      </c>
      <c r="J1107" s="5">
        <v>1560</v>
      </c>
      <c r="K1107" s="5">
        <v>1</v>
      </c>
      <c r="L1107" s="5" t="s">
        <v>46</v>
      </c>
      <c r="M1107" s="5">
        <v>46</v>
      </c>
      <c r="N1107" s="5">
        <v>3</v>
      </c>
      <c r="O1107" s="5">
        <v>2</v>
      </c>
      <c r="P1107" s="5" t="s">
        <v>40</v>
      </c>
      <c r="Q1107" s="5">
        <v>1</v>
      </c>
      <c r="R1107" s="5" t="s">
        <v>48</v>
      </c>
      <c r="S1107" s="5">
        <v>6392</v>
      </c>
      <c r="T1107" s="5">
        <v>10589</v>
      </c>
      <c r="U1107" s="5">
        <v>2</v>
      </c>
      <c r="V1107" s="5" t="s">
        <v>42</v>
      </c>
      <c r="W1107" s="5" t="s">
        <v>43</v>
      </c>
      <c r="X1107" s="5">
        <v>13</v>
      </c>
      <c r="Y1107" s="5">
        <v>3</v>
      </c>
      <c r="Z1107" s="5">
        <v>4</v>
      </c>
      <c r="AA1107" s="5">
        <v>80</v>
      </c>
      <c r="AB1107" s="5">
        <v>1</v>
      </c>
      <c r="AC1107" s="5">
        <v>8</v>
      </c>
      <c r="AD1107" s="5">
        <v>6</v>
      </c>
      <c r="AE1107" s="5">
        <v>1</v>
      </c>
      <c r="AF1107" s="5">
        <v>2</v>
      </c>
      <c r="AG1107" s="5">
        <v>2</v>
      </c>
      <c r="AH1107" s="5">
        <v>2</v>
      </c>
      <c r="AI1107" s="5">
        <v>2</v>
      </c>
    </row>
    <row r="1108" spans="1:35" x14ac:dyDescent="0.25">
      <c r="A1108" s="5">
        <v>30</v>
      </c>
      <c r="B1108" s="5" t="s">
        <v>35</v>
      </c>
      <c r="C1108" s="5" t="s">
        <v>36</v>
      </c>
      <c r="D1108" s="5">
        <v>740</v>
      </c>
      <c r="E1108" s="5" t="s">
        <v>37</v>
      </c>
      <c r="F1108" s="5">
        <v>1</v>
      </c>
      <c r="G1108" s="5">
        <v>3</v>
      </c>
      <c r="H1108" s="5" t="s">
        <v>38</v>
      </c>
      <c r="I1108" s="5">
        <v>1</v>
      </c>
      <c r="J1108" s="5">
        <v>1562</v>
      </c>
      <c r="K1108" s="5">
        <v>2</v>
      </c>
      <c r="L1108" s="5" t="s">
        <v>46</v>
      </c>
      <c r="M1108" s="5">
        <v>64</v>
      </c>
      <c r="N1108" s="5">
        <v>2</v>
      </c>
      <c r="O1108" s="5">
        <v>2</v>
      </c>
      <c r="P1108" s="5" t="s">
        <v>40</v>
      </c>
      <c r="Q1108" s="5">
        <v>1</v>
      </c>
      <c r="R1108" s="5" t="s">
        <v>48</v>
      </c>
      <c r="S1108" s="5">
        <v>9714</v>
      </c>
      <c r="T1108" s="5">
        <v>5323</v>
      </c>
      <c r="U1108" s="5">
        <v>1</v>
      </c>
      <c r="V1108" s="5" t="s">
        <v>42</v>
      </c>
      <c r="W1108" s="5" t="s">
        <v>43</v>
      </c>
      <c r="X1108" s="5">
        <v>11</v>
      </c>
      <c r="Y1108" s="5">
        <v>3</v>
      </c>
      <c r="Z1108" s="5">
        <v>4</v>
      </c>
      <c r="AA1108" s="5">
        <v>80</v>
      </c>
      <c r="AB1108" s="5">
        <v>1</v>
      </c>
      <c r="AC1108" s="5">
        <v>10</v>
      </c>
      <c r="AD1108" s="5">
        <v>4</v>
      </c>
      <c r="AE1108" s="5">
        <v>3</v>
      </c>
      <c r="AF1108" s="5">
        <v>10</v>
      </c>
      <c r="AG1108" s="5">
        <v>8</v>
      </c>
      <c r="AH1108" s="5">
        <v>6</v>
      </c>
      <c r="AI1108" s="5">
        <v>7</v>
      </c>
    </row>
    <row r="1109" spans="1:35" x14ac:dyDescent="0.25">
      <c r="A1109" s="5">
        <v>38</v>
      </c>
      <c r="B1109" s="5" t="s">
        <v>43</v>
      </c>
      <c r="C1109" s="5" t="s">
        <v>44</v>
      </c>
      <c r="D1109" s="5">
        <v>888</v>
      </c>
      <c r="E1109" s="5" t="s">
        <v>61</v>
      </c>
      <c r="F1109" s="5">
        <v>10</v>
      </c>
      <c r="G1109" s="5">
        <v>4</v>
      </c>
      <c r="H1109" s="5" t="s">
        <v>61</v>
      </c>
      <c r="I1109" s="5">
        <v>1</v>
      </c>
      <c r="J1109" s="5">
        <v>1563</v>
      </c>
      <c r="K1109" s="5">
        <v>3</v>
      </c>
      <c r="L1109" s="5" t="s">
        <v>46</v>
      </c>
      <c r="M1109" s="5">
        <v>71</v>
      </c>
      <c r="N1109" s="5">
        <v>3</v>
      </c>
      <c r="O1109" s="5">
        <v>2</v>
      </c>
      <c r="P1109" s="5" t="s">
        <v>61</v>
      </c>
      <c r="Q1109" s="5">
        <v>3</v>
      </c>
      <c r="R1109" s="5" t="s">
        <v>48</v>
      </c>
      <c r="S1109" s="5">
        <v>6077</v>
      </c>
      <c r="T1109" s="5">
        <v>14814</v>
      </c>
      <c r="U1109" s="5">
        <v>3</v>
      </c>
      <c r="V1109" s="5" t="s">
        <v>42</v>
      </c>
      <c r="W1109" s="5" t="s">
        <v>43</v>
      </c>
      <c r="X1109" s="5">
        <v>11</v>
      </c>
      <c r="Y1109" s="5">
        <v>3</v>
      </c>
      <c r="Z1109" s="5">
        <v>3</v>
      </c>
      <c r="AA1109" s="5">
        <v>80</v>
      </c>
      <c r="AB1109" s="5">
        <v>0</v>
      </c>
      <c r="AC1109" s="5">
        <v>10</v>
      </c>
      <c r="AD1109" s="5">
        <v>2</v>
      </c>
      <c r="AE1109" s="5">
        <v>3</v>
      </c>
      <c r="AF1109" s="5">
        <v>6</v>
      </c>
      <c r="AG1109" s="5">
        <v>3</v>
      </c>
      <c r="AH1109" s="5">
        <v>1</v>
      </c>
      <c r="AI1109" s="5">
        <v>2</v>
      </c>
    </row>
    <row r="1110" spans="1:35" x14ac:dyDescent="0.25">
      <c r="A1110" s="5">
        <v>35</v>
      </c>
      <c r="B1110" s="5" t="s">
        <v>43</v>
      </c>
      <c r="C1110" s="5" t="s">
        <v>36</v>
      </c>
      <c r="D1110" s="5">
        <v>992</v>
      </c>
      <c r="E1110" s="5" t="s">
        <v>45</v>
      </c>
      <c r="F1110" s="5">
        <v>1</v>
      </c>
      <c r="G1110" s="5">
        <v>3</v>
      </c>
      <c r="H1110" s="5" t="s">
        <v>51</v>
      </c>
      <c r="I1110" s="5">
        <v>1</v>
      </c>
      <c r="J1110" s="5">
        <v>1564</v>
      </c>
      <c r="K1110" s="5">
        <v>4</v>
      </c>
      <c r="L1110" s="5" t="s">
        <v>46</v>
      </c>
      <c r="M1110" s="5">
        <v>68</v>
      </c>
      <c r="N1110" s="5">
        <v>2</v>
      </c>
      <c r="O1110" s="5">
        <v>1</v>
      </c>
      <c r="P1110" s="5" t="s">
        <v>50</v>
      </c>
      <c r="Q1110" s="5">
        <v>1</v>
      </c>
      <c r="R1110" s="5" t="s">
        <v>41</v>
      </c>
      <c r="S1110" s="5">
        <v>2450</v>
      </c>
      <c r="T1110" s="5">
        <v>21731</v>
      </c>
      <c r="U1110" s="5">
        <v>1</v>
      </c>
      <c r="V1110" s="5" t="s">
        <v>42</v>
      </c>
      <c r="W1110" s="5" t="s">
        <v>43</v>
      </c>
      <c r="X1110" s="5">
        <v>19</v>
      </c>
      <c r="Y1110" s="5">
        <v>3</v>
      </c>
      <c r="Z1110" s="5">
        <v>2</v>
      </c>
      <c r="AA1110" s="5">
        <v>80</v>
      </c>
      <c r="AB1110" s="5">
        <v>0</v>
      </c>
      <c r="AC1110" s="5">
        <v>3</v>
      </c>
      <c r="AD1110" s="5">
        <v>3</v>
      </c>
      <c r="AE1110" s="5">
        <v>3</v>
      </c>
      <c r="AF1110" s="5">
        <v>3</v>
      </c>
      <c r="AG1110" s="5">
        <v>0</v>
      </c>
      <c r="AH1110" s="5">
        <v>1</v>
      </c>
      <c r="AI1110" s="5">
        <v>2</v>
      </c>
    </row>
    <row r="1111" spans="1:35" x14ac:dyDescent="0.25">
      <c r="A1111" s="5">
        <v>30</v>
      </c>
      <c r="B1111" s="5" t="s">
        <v>43</v>
      </c>
      <c r="C1111" s="5" t="s">
        <v>36</v>
      </c>
      <c r="D1111" s="5">
        <v>1288</v>
      </c>
      <c r="E1111" s="5" t="s">
        <v>37</v>
      </c>
      <c r="F1111" s="5">
        <v>29</v>
      </c>
      <c r="G1111" s="5">
        <v>4</v>
      </c>
      <c r="H1111" s="5" t="s">
        <v>60</v>
      </c>
      <c r="I1111" s="5">
        <v>1</v>
      </c>
      <c r="J1111" s="5">
        <v>1568</v>
      </c>
      <c r="K1111" s="5">
        <v>3</v>
      </c>
      <c r="L1111" s="5" t="s">
        <v>46</v>
      </c>
      <c r="M1111" s="5">
        <v>33</v>
      </c>
      <c r="N1111" s="5">
        <v>3</v>
      </c>
      <c r="O1111" s="5">
        <v>3</v>
      </c>
      <c r="P1111" s="5" t="s">
        <v>40</v>
      </c>
      <c r="Q1111" s="5">
        <v>2</v>
      </c>
      <c r="R1111" s="5" t="s">
        <v>48</v>
      </c>
      <c r="S1111" s="5">
        <v>9250</v>
      </c>
      <c r="T1111" s="5">
        <v>17799</v>
      </c>
      <c r="U1111" s="5">
        <v>3</v>
      </c>
      <c r="V1111" s="5" t="s">
        <v>42</v>
      </c>
      <c r="W1111" s="5" t="s">
        <v>43</v>
      </c>
      <c r="X1111" s="5">
        <v>12</v>
      </c>
      <c r="Y1111" s="5">
        <v>3</v>
      </c>
      <c r="Z1111" s="5">
        <v>2</v>
      </c>
      <c r="AA1111" s="5">
        <v>80</v>
      </c>
      <c r="AB1111" s="5">
        <v>1</v>
      </c>
      <c r="AC1111" s="5">
        <v>9</v>
      </c>
      <c r="AD1111" s="5">
        <v>3</v>
      </c>
      <c r="AE1111" s="5">
        <v>3</v>
      </c>
      <c r="AF1111" s="5">
        <v>4</v>
      </c>
      <c r="AG1111" s="5">
        <v>2</v>
      </c>
      <c r="AH1111" s="5">
        <v>1</v>
      </c>
      <c r="AI1111" s="5">
        <v>3</v>
      </c>
    </row>
    <row r="1112" spans="1:35" x14ac:dyDescent="0.25">
      <c r="A1112" s="5">
        <v>35</v>
      </c>
      <c r="B1112" s="5" t="s">
        <v>35</v>
      </c>
      <c r="C1112" s="5" t="s">
        <v>36</v>
      </c>
      <c r="D1112" s="5">
        <v>104</v>
      </c>
      <c r="E1112" s="5" t="s">
        <v>45</v>
      </c>
      <c r="F1112" s="5">
        <v>2</v>
      </c>
      <c r="G1112" s="5">
        <v>3</v>
      </c>
      <c r="H1112" s="5" t="s">
        <v>38</v>
      </c>
      <c r="I1112" s="5">
        <v>1</v>
      </c>
      <c r="J1112" s="5">
        <v>1569</v>
      </c>
      <c r="K1112" s="5">
        <v>1</v>
      </c>
      <c r="L1112" s="5" t="s">
        <v>39</v>
      </c>
      <c r="M1112" s="5">
        <v>69</v>
      </c>
      <c r="N1112" s="5">
        <v>3</v>
      </c>
      <c r="O1112" s="5">
        <v>1</v>
      </c>
      <c r="P1112" s="5" t="s">
        <v>50</v>
      </c>
      <c r="Q1112" s="5">
        <v>1</v>
      </c>
      <c r="R1112" s="5" t="s">
        <v>52</v>
      </c>
      <c r="S1112" s="5">
        <v>2074</v>
      </c>
      <c r="T1112" s="5">
        <v>26619</v>
      </c>
      <c r="U1112" s="5">
        <v>1</v>
      </c>
      <c r="V1112" s="5" t="s">
        <v>42</v>
      </c>
      <c r="W1112" s="5" t="s">
        <v>35</v>
      </c>
      <c r="X1112" s="5">
        <v>12</v>
      </c>
      <c r="Y1112" s="5">
        <v>3</v>
      </c>
      <c r="Z1112" s="5">
        <v>4</v>
      </c>
      <c r="AA1112" s="5">
        <v>80</v>
      </c>
      <c r="AB1112" s="5">
        <v>1</v>
      </c>
      <c r="AC1112" s="5">
        <v>1</v>
      </c>
      <c r="AD1112" s="5">
        <v>2</v>
      </c>
      <c r="AE1112" s="5">
        <v>3</v>
      </c>
      <c r="AF1112" s="5">
        <v>1</v>
      </c>
      <c r="AG1112" s="5">
        <v>0</v>
      </c>
      <c r="AH1112" s="5">
        <v>0</v>
      </c>
      <c r="AI1112" s="5">
        <v>0</v>
      </c>
    </row>
    <row r="1113" spans="1:35" x14ac:dyDescent="0.25">
      <c r="A1113" s="5">
        <v>53</v>
      </c>
      <c r="B1113" s="5" t="s">
        <v>35</v>
      </c>
      <c r="C1113" s="5" t="s">
        <v>36</v>
      </c>
      <c r="D1113" s="5">
        <v>607</v>
      </c>
      <c r="E1113" s="5" t="s">
        <v>45</v>
      </c>
      <c r="F1113" s="5">
        <v>2</v>
      </c>
      <c r="G1113" s="5">
        <v>5</v>
      </c>
      <c r="H1113" s="5" t="s">
        <v>60</v>
      </c>
      <c r="I1113" s="5">
        <v>1</v>
      </c>
      <c r="J1113" s="5">
        <v>1572</v>
      </c>
      <c r="K1113" s="5">
        <v>3</v>
      </c>
      <c r="L1113" s="5" t="s">
        <v>39</v>
      </c>
      <c r="M1113" s="5">
        <v>78</v>
      </c>
      <c r="N1113" s="5">
        <v>2</v>
      </c>
      <c r="O1113" s="5">
        <v>3</v>
      </c>
      <c r="P1113" s="5" t="s">
        <v>53</v>
      </c>
      <c r="Q1113" s="5">
        <v>4</v>
      </c>
      <c r="R1113" s="5" t="s">
        <v>48</v>
      </c>
      <c r="S1113" s="5">
        <v>10169</v>
      </c>
      <c r="T1113" s="5">
        <v>14618</v>
      </c>
      <c r="U1113" s="5">
        <v>0</v>
      </c>
      <c r="V1113" s="5" t="s">
        <v>42</v>
      </c>
      <c r="W1113" s="5" t="s">
        <v>43</v>
      </c>
      <c r="X1113" s="5">
        <v>16</v>
      </c>
      <c r="Y1113" s="5">
        <v>3</v>
      </c>
      <c r="Z1113" s="5">
        <v>2</v>
      </c>
      <c r="AA1113" s="5">
        <v>80</v>
      </c>
      <c r="AB1113" s="5">
        <v>1</v>
      </c>
      <c r="AC1113" s="5">
        <v>34</v>
      </c>
      <c r="AD1113" s="5">
        <v>4</v>
      </c>
      <c r="AE1113" s="5">
        <v>3</v>
      </c>
      <c r="AF1113" s="5">
        <v>33</v>
      </c>
      <c r="AG1113" s="5">
        <v>7</v>
      </c>
      <c r="AH1113" s="5">
        <v>1</v>
      </c>
      <c r="AI1113" s="5">
        <v>9</v>
      </c>
    </row>
    <row r="1114" spans="1:35" x14ac:dyDescent="0.25">
      <c r="A1114" s="5">
        <v>38</v>
      </c>
      <c r="B1114" s="5" t="s">
        <v>35</v>
      </c>
      <c r="C1114" s="5" t="s">
        <v>36</v>
      </c>
      <c r="D1114" s="5">
        <v>903</v>
      </c>
      <c r="E1114" s="5" t="s">
        <v>45</v>
      </c>
      <c r="F1114" s="5">
        <v>2</v>
      </c>
      <c r="G1114" s="5">
        <v>3</v>
      </c>
      <c r="H1114" s="5" t="s">
        <v>51</v>
      </c>
      <c r="I1114" s="5">
        <v>1</v>
      </c>
      <c r="J1114" s="5">
        <v>1573</v>
      </c>
      <c r="K1114" s="5">
        <v>3</v>
      </c>
      <c r="L1114" s="5" t="s">
        <v>46</v>
      </c>
      <c r="M1114" s="5">
        <v>81</v>
      </c>
      <c r="N1114" s="5">
        <v>3</v>
      </c>
      <c r="O1114" s="5">
        <v>2</v>
      </c>
      <c r="P1114" s="5" t="s">
        <v>53</v>
      </c>
      <c r="Q1114" s="5">
        <v>2</v>
      </c>
      <c r="R1114" s="5" t="s">
        <v>48</v>
      </c>
      <c r="S1114" s="5">
        <v>4855</v>
      </c>
      <c r="T1114" s="5">
        <v>7653</v>
      </c>
      <c r="U1114" s="5">
        <v>4</v>
      </c>
      <c r="V1114" s="5" t="s">
        <v>42</v>
      </c>
      <c r="W1114" s="5" t="s">
        <v>43</v>
      </c>
      <c r="X1114" s="5">
        <v>11</v>
      </c>
      <c r="Y1114" s="5">
        <v>3</v>
      </c>
      <c r="Z1114" s="5">
        <v>1</v>
      </c>
      <c r="AA1114" s="5">
        <v>80</v>
      </c>
      <c r="AB1114" s="5">
        <v>2</v>
      </c>
      <c r="AC1114" s="5">
        <v>7</v>
      </c>
      <c r="AD1114" s="5">
        <v>2</v>
      </c>
      <c r="AE1114" s="5">
        <v>3</v>
      </c>
      <c r="AF1114" s="5">
        <v>5</v>
      </c>
      <c r="AG1114" s="5">
        <v>2</v>
      </c>
      <c r="AH1114" s="5">
        <v>1</v>
      </c>
      <c r="AI1114" s="5">
        <v>4</v>
      </c>
    </row>
    <row r="1115" spans="1:35" x14ac:dyDescent="0.25">
      <c r="A1115" s="5">
        <v>32</v>
      </c>
      <c r="B1115" s="5" t="s">
        <v>43</v>
      </c>
      <c r="C1115" s="5" t="s">
        <v>55</v>
      </c>
      <c r="D1115" s="5">
        <v>1200</v>
      </c>
      <c r="E1115" s="5" t="s">
        <v>45</v>
      </c>
      <c r="F1115" s="5">
        <v>1</v>
      </c>
      <c r="G1115" s="5">
        <v>4</v>
      </c>
      <c r="H1115" s="5" t="s">
        <v>60</v>
      </c>
      <c r="I1115" s="5">
        <v>1</v>
      </c>
      <c r="J1115" s="5">
        <v>1574</v>
      </c>
      <c r="K1115" s="5">
        <v>4</v>
      </c>
      <c r="L1115" s="5" t="s">
        <v>46</v>
      </c>
      <c r="M1115" s="5">
        <v>62</v>
      </c>
      <c r="N1115" s="5">
        <v>3</v>
      </c>
      <c r="O1115" s="5">
        <v>2</v>
      </c>
      <c r="P1115" s="5" t="s">
        <v>47</v>
      </c>
      <c r="Q1115" s="5">
        <v>1</v>
      </c>
      <c r="R1115" s="5" t="s">
        <v>48</v>
      </c>
      <c r="S1115" s="5">
        <v>4087</v>
      </c>
      <c r="T1115" s="5">
        <v>25174</v>
      </c>
      <c r="U1115" s="5">
        <v>4</v>
      </c>
      <c r="V1115" s="5" t="s">
        <v>42</v>
      </c>
      <c r="W1115" s="5" t="s">
        <v>43</v>
      </c>
      <c r="X1115" s="5">
        <v>14</v>
      </c>
      <c r="Y1115" s="5">
        <v>3</v>
      </c>
      <c r="Z1115" s="5">
        <v>2</v>
      </c>
      <c r="AA1115" s="5">
        <v>80</v>
      </c>
      <c r="AB1115" s="5">
        <v>1</v>
      </c>
      <c r="AC1115" s="5">
        <v>9</v>
      </c>
      <c r="AD1115" s="5">
        <v>3</v>
      </c>
      <c r="AE1115" s="5">
        <v>2</v>
      </c>
      <c r="AF1115" s="5">
        <v>6</v>
      </c>
      <c r="AG1115" s="5">
        <v>5</v>
      </c>
      <c r="AH1115" s="5">
        <v>1</v>
      </c>
      <c r="AI1115" s="5">
        <v>2</v>
      </c>
    </row>
    <row r="1116" spans="1:35" x14ac:dyDescent="0.25">
      <c r="A1116" s="5">
        <v>48</v>
      </c>
      <c r="B1116" s="5" t="s">
        <v>43</v>
      </c>
      <c r="C1116" s="5" t="s">
        <v>36</v>
      </c>
      <c r="D1116" s="5">
        <v>1108</v>
      </c>
      <c r="E1116" s="5" t="s">
        <v>45</v>
      </c>
      <c r="F1116" s="5">
        <v>15</v>
      </c>
      <c r="G1116" s="5">
        <v>4</v>
      </c>
      <c r="H1116" s="5" t="s">
        <v>49</v>
      </c>
      <c r="I1116" s="5">
        <v>1</v>
      </c>
      <c r="J1116" s="5">
        <v>1576</v>
      </c>
      <c r="K1116" s="5">
        <v>3</v>
      </c>
      <c r="L1116" s="5" t="s">
        <v>39</v>
      </c>
      <c r="M1116" s="5">
        <v>65</v>
      </c>
      <c r="N1116" s="5">
        <v>3</v>
      </c>
      <c r="O1116" s="5">
        <v>1</v>
      </c>
      <c r="P1116" s="5" t="s">
        <v>47</v>
      </c>
      <c r="Q1116" s="5">
        <v>1</v>
      </c>
      <c r="R1116" s="5" t="s">
        <v>48</v>
      </c>
      <c r="S1116" s="5">
        <v>2367</v>
      </c>
      <c r="T1116" s="5">
        <v>16530</v>
      </c>
      <c r="U1116" s="5">
        <v>8</v>
      </c>
      <c r="V1116" s="5" t="s">
        <v>42</v>
      </c>
      <c r="W1116" s="5" t="s">
        <v>43</v>
      </c>
      <c r="X1116" s="5">
        <v>12</v>
      </c>
      <c r="Y1116" s="5">
        <v>3</v>
      </c>
      <c r="Z1116" s="5">
        <v>4</v>
      </c>
      <c r="AA1116" s="5">
        <v>80</v>
      </c>
      <c r="AB1116" s="5">
        <v>1</v>
      </c>
      <c r="AC1116" s="5">
        <v>10</v>
      </c>
      <c r="AD1116" s="5">
        <v>3</v>
      </c>
      <c r="AE1116" s="5">
        <v>2</v>
      </c>
      <c r="AF1116" s="5">
        <v>8</v>
      </c>
      <c r="AG1116" s="5">
        <v>2</v>
      </c>
      <c r="AH1116" s="5">
        <v>7</v>
      </c>
      <c r="AI1116" s="5">
        <v>6</v>
      </c>
    </row>
    <row r="1117" spans="1:35" x14ac:dyDescent="0.25">
      <c r="A1117" s="5">
        <v>34</v>
      </c>
      <c r="B1117" s="5" t="s">
        <v>43</v>
      </c>
      <c r="C1117" s="5" t="s">
        <v>36</v>
      </c>
      <c r="D1117" s="5">
        <v>479</v>
      </c>
      <c r="E1117" s="5" t="s">
        <v>45</v>
      </c>
      <c r="F1117" s="5">
        <v>7</v>
      </c>
      <c r="G1117" s="5">
        <v>4</v>
      </c>
      <c r="H1117" s="5" t="s">
        <v>51</v>
      </c>
      <c r="I1117" s="5">
        <v>1</v>
      </c>
      <c r="J1117" s="5">
        <v>1577</v>
      </c>
      <c r="K1117" s="5">
        <v>1</v>
      </c>
      <c r="L1117" s="5" t="s">
        <v>46</v>
      </c>
      <c r="M1117" s="5">
        <v>35</v>
      </c>
      <c r="N1117" s="5">
        <v>3</v>
      </c>
      <c r="O1117" s="5">
        <v>1</v>
      </c>
      <c r="P1117" s="5" t="s">
        <v>47</v>
      </c>
      <c r="Q1117" s="5">
        <v>4</v>
      </c>
      <c r="R1117" s="5" t="s">
        <v>41</v>
      </c>
      <c r="S1117" s="5">
        <v>2972</v>
      </c>
      <c r="T1117" s="5">
        <v>22061</v>
      </c>
      <c r="U1117" s="5">
        <v>1</v>
      </c>
      <c r="V1117" s="5" t="s">
        <v>42</v>
      </c>
      <c r="W1117" s="5" t="s">
        <v>43</v>
      </c>
      <c r="X1117" s="5">
        <v>13</v>
      </c>
      <c r="Y1117" s="5">
        <v>3</v>
      </c>
      <c r="Z1117" s="5">
        <v>3</v>
      </c>
      <c r="AA1117" s="5">
        <v>80</v>
      </c>
      <c r="AB1117" s="5">
        <v>0</v>
      </c>
      <c r="AC1117" s="5">
        <v>1</v>
      </c>
      <c r="AD1117" s="5">
        <v>4</v>
      </c>
      <c r="AE1117" s="5">
        <v>1</v>
      </c>
      <c r="AF1117" s="5">
        <v>1</v>
      </c>
      <c r="AG1117" s="5">
        <v>0</v>
      </c>
      <c r="AH1117" s="5">
        <v>0</v>
      </c>
      <c r="AI1117" s="5">
        <v>0</v>
      </c>
    </row>
    <row r="1118" spans="1:35" x14ac:dyDescent="0.25">
      <c r="A1118" s="5">
        <v>55</v>
      </c>
      <c r="B1118" s="5" t="s">
        <v>43</v>
      </c>
      <c r="C1118" s="5" t="s">
        <v>36</v>
      </c>
      <c r="D1118" s="5">
        <v>685</v>
      </c>
      <c r="E1118" s="5" t="s">
        <v>37</v>
      </c>
      <c r="F1118" s="5">
        <v>26</v>
      </c>
      <c r="G1118" s="5">
        <v>5</v>
      </c>
      <c r="H1118" s="5" t="s">
        <v>59</v>
      </c>
      <c r="I1118" s="5">
        <v>1</v>
      </c>
      <c r="J1118" s="5">
        <v>1578</v>
      </c>
      <c r="K1118" s="5">
        <v>3</v>
      </c>
      <c r="L1118" s="5" t="s">
        <v>46</v>
      </c>
      <c r="M1118" s="5">
        <v>60</v>
      </c>
      <c r="N1118" s="5">
        <v>2</v>
      </c>
      <c r="O1118" s="5">
        <v>5</v>
      </c>
      <c r="P1118" s="5" t="s">
        <v>56</v>
      </c>
      <c r="Q1118" s="5">
        <v>4</v>
      </c>
      <c r="R1118" s="5" t="s">
        <v>48</v>
      </c>
      <c r="S1118" s="5">
        <v>19586</v>
      </c>
      <c r="T1118" s="5">
        <v>23037</v>
      </c>
      <c r="U1118" s="5">
        <v>1</v>
      </c>
      <c r="V1118" s="5" t="s">
        <v>42</v>
      </c>
      <c r="W1118" s="5" t="s">
        <v>43</v>
      </c>
      <c r="X1118" s="5">
        <v>21</v>
      </c>
      <c r="Y1118" s="5">
        <v>4</v>
      </c>
      <c r="Z1118" s="5">
        <v>3</v>
      </c>
      <c r="AA1118" s="5">
        <v>80</v>
      </c>
      <c r="AB1118" s="5">
        <v>1</v>
      </c>
      <c r="AC1118" s="5">
        <v>36</v>
      </c>
      <c r="AD1118" s="5">
        <v>3</v>
      </c>
      <c r="AE1118" s="5">
        <v>3</v>
      </c>
      <c r="AF1118" s="5">
        <v>36</v>
      </c>
      <c r="AG1118" s="5">
        <v>6</v>
      </c>
      <c r="AH1118" s="5">
        <v>2</v>
      </c>
      <c r="AI1118" s="5">
        <v>13</v>
      </c>
    </row>
    <row r="1119" spans="1:35" x14ac:dyDescent="0.25">
      <c r="A1119" s="5">
        <v>34</v>
      </c>
      <c r="B1119" s="5" t="s">
        <v>43</v>
      </c>
      <c r="C1119" s="5" t="s">
        <v>36</v>
      </c>
      <c r="D1119" s="5">
        <v>1351</v>
      </c>
      <c r="E1119" s="5" t="s">
        <v>45</v>
      </c>
      <c r="F1119" s="5">
        <v>1</v>
      </c>
      <c r="G1119" s="5">
        <v>4</v>
      </c>
      <c r="H1119" s="5" t="s">
        <v>38</v>
      </c>
      <c r="I1119" s="5">
        <v>1</v>
      </c>
      <c r="J1119" s="5">
        <v>1580</v>
      </c>
      <c r="K1119" s="5">
        <v>2</v>
      </c>
      <c r="L1119" s="5" t="s">
        <v>46</v>
      </c>
      <c r="M1119" s="5">
        <v>45</v>
      </c>
      <c r="N1119" s="5">
        <v>3</v>
      </c>
      <c r="O1119" s="5">
        <v>2</v>
      </c>
      <c r="P1119" s="5" t="s">
        <v>47</v>
      </c>
      <c r="Q1119" s="5">
        <v>4</v>
      </c>
      <c r="R1119" s="5" t="s">
        <v>48</v>
      </c>
      <c r="S1119" s="5">
        <v>5484</v>
      </c>
      <c r="T1119" s="5">
        <v>13008</v>
      </c>
      <c r="U1119" s="5">
        <v>9</v>
      </c>
      <c r="V1119" s="5" t="s">
        <v>42</v>
      </c>
      <c r="W1119" s="5" t="s">
        <v>43</v>
      </c>
      <c r="X1119" s="5">
        <v>17</v>
      </c>
      <c r="Y1119" s="5">
        <v>3</v>
      </c>
      <c r="Z1119" s="5">
        <v>2</v>
      </c>
      <c r="AA1119" s="5">
        <v>80</v>
      </c>
      <c r="AB1119" s="5">
        <v>1</v>
      </c>
      <c r="AC1119" s="5">
        <v>9</v>
      </c>
      <c r="AD1119" s="5">
        <v>3</v>
      </c>
      <c r="AE1119" s="5">
        <v>2</v>
      </c>
      <c r="AF1119" s="5">
        <v>2</v>
      </c>
      <c r="AG1119" s="5">
        <v>2</v>
      </c>
      <c r="AH1119" s="5">
        <v>2</v>
      </c>
      <c r="AI1119" s="5">
        <v>1</v>
      </c>
    </row>
    <row r="1120" spans="1:35" x14ac:dyDescent="0.25">
      <c r="A1120" s="5">
        <v>26</v>
      </c>
      <c r="B1120" s="5" t="s">
        <v>43</v>
      </c>
      <c r="C1120" s="5" t="s">
        <v>36</v>
      </c>
      <c r="D1120" s="5">
        <v>474</v>
      </c>
      <c r="E1120" s="5" t="s">
        <v>45</v>
      </c>
      <c r="F1120" s="5">
        <v>3</v>
      </c>
      <c r="G1120" s="5">
        <v>3</v>
      </c>
      <c r="H1120" s="5" t="s">
        <v>38</v>
      </c>
      <c r="I1120" s="5">
        <v>1</v>
      </c>
      <c r="J1120" s="5">
        <v>1581</v>
      </c>
      <c r="K1120" s="5">
        <v>1</v>
      </c>
      <c r="L1120" s="5" t="s">
        <v>39</v>
      </c>
      <c r="M1120" s="5">
        <v>89</v>
      </c>
      <c r="N1120" s="5">
        <v>3</v>
      </c>
      <c r="O1120" s="5">
        <v>1</v>
      </c>
      <c r="P1120" s="5" t="s">
        <v>47</v>
      </c>
      <c r="Q1120" s="5">
        <v>4</v>
      </c>
      <c r="R1120" s="5" t="s">
        <v>48</v>
      </c>
      <c r="S1120" s="5">
        <v>2061</v>
      </c>
      <c r="T1120" s="5">
        <v>11133</v>
      </c>
      <c r="U1120" s="5">
        <v>1</v>
      </c>
      <c r="V1120" s="5" t="s">
        <v>42</v>
      </c>
      <c r="W1120" s="5" t="s">
        <v>43</v>
      </c>
      <c r="X1120" s="5">
        <v>21</v>
      </c>
      <c r="Y1120" s="5">
        <v>4</v>
      </c>
      <c r="Z1120" s="5">
        <v>1</v>
      </c>
      <c r="AA1120" s="5">
        <v>80</v>
      </c>
      <c r="AB1120" s="5">
        <v>0</v>
      </c>
      <c r="AC1120" s="5">
        <v>1</v>
      </c>
      <c r="AD1120" s="5">
        <v>5</v>
      </c>
      <c r="AE1120" s="5">
        <v>3</v>
      </c>
      <c r="AF1120" s="5">
        <v>1</v>
      </c>
      <c r="AG1120" s="5">
        <v>0</v>
      </c>
      <c r="AH1120" s="5">
        <v>0</v>
      </c>
      <c r="AI1120" s="5">
        <v>0</v>
      </c>
    </row>
    <row r="1121" spans="1:35" x14ac:dyDescent="0.25">
      <c r="A1121" s="5">
        <v>38</v>
      </c>
      <c r="B1121" s="5" t="s">
        <v>43</v>
      </c>
      <c r="C1121" s="5" t="s">
        <v>36</v>
      </c>
      <c r="D1121" s="5">
        <v>1245</v>
      </c>
      <c r="E1121" s="5" t="s">
        <v>37</v>
      </c>
      <c r="F1121" s="5">
        <v>14</v>
      </c>
      <c r="G1121" s="5">
        <v>3</v>
      </c>
      <c r="H1121" s="5" t="s">
        <v>38</v>
      </c>
      <c r="I1121" s="5">
        <v>1</v>
      </c>
      <c r="J1121" s="5">
        <v>1582</v>
      </c>
      <c r="K1121" s="5">
        <v>3</v>
      </c>
      <c r="L1121" s="5" t="s">
        <v>46</v>
      </c>
      <c r="M1121" s="5">
        <v>80</v>
      </c>
      <c r="N1121" s="5">
        <v>3</v>
      </c>
      <c r="O1121" s="5">
        <v>2</v>
      </c>
      <c r="P1121" s="5" t="s">
        <v>40</v>
      </c>
      <c r="Q1121" s="5">
        <v>2</v>
      </c>
      <c r="R1121" s="5" t="s">
        <v>48</v>
      </c>
      <c r="S1121" s="5">
        <v>9924</v>
      </c>
      <c r="T1121" s="5">
        <v>12355</v>
      </c>
      <c r="U1121" s="5">
        <v>0</v>
      </c>
      <c r="V1121" s="5" t="s">
        <v>42</v>
      </c>
      <c r="W1121" s="5" t="s">
        <v>43</v>
      </c>
      <c r="X1121" s="5">
        <v>11</v>
      </c>
      <c r="Y1121" s="5">
        <v>3</v>
      </c>
      <c r="Z1121" s="5">
        <v>4</v>
      </c>
      <c r="AA1121" s="5">
        <v>80</v>
      </c>
      <c r="AB1121" s="5">
        <v>1</v>
      </c>
      <c r="AC1121" s="5">
        <v>10</v>
      </c>
      <c r="AD1121" s="5">
        <v>3</v>
      </c>
      <c r="AE1121" s="5">
        <v>3</v>
      </c>
      <c r="AF1121" s="5">
        <v>9</v>
      </c>
      <c r="AG1121" s="5">
        <v>8</v>
      </c>
      <c r="AH1121" s="5">
        <v>7</v>
      </c>
      <c r="AI1121" s="5">
        <v>7</v>
      </c>
    </row>
    <row r="1122" spans="1:35" x14ac:dyDescent="0.25">
      <c r="A1122" s="5">
        <v>38</v>
      </c>
      <c r="B1122" s="5" t="s">
        <v>43</v>
      </c>
      <c r="C1122" s="5" t="s">
        <v>36</v>
      </c>
      <c r="D1122" s="5">
        <v>437</v>
      </c>
      <c r="E1122" s="5" t="s">
        <v>37</v>
      </c>
      <c r="F1122" s="5">
        <v>16</v>
      </c>
      <c r="G1122" s="5">
        <v>3</v>
      </c>
      <c r="H1122" s="5" t="s">
        <v>38</v>
      </c>
      <c r="I1122" s="5">
        <v>1</v>
      </c>
      <c r="J1122" s="5">
        <v>1583</v>
      </c>
      <c r="K1122" s="5">
        <v>2</v>
      </c>
      <c r="L1122" s="5" t="s">
        <v>39</v>
      </c>
      <c r="M1122" s="5">
        <v>90</v>
      </c>
      <c r="N1122" s="5">
        <v>3</v>
      </c>
      <c r="O1122" s="5">
        <v>2</v>
      </c>
      <c r="P1122" s="5" t="s">
        <v>40</v>
      </c>
      <c r="Q1122" s="5">
        <v>2</v>
      </c>
      <c r="R1122" s="5" t="s">
        <v>41</v>
      </c>
      <c r="S1122" s="5">
        <v>4198</v>
      </c>
      <c r="T1122" s="5">
        <v>16379</v>
      </c>
      <c r="U1122" s="5">
        <v>2</v>
      </c>
      <c r="V1122" s="5" t="s">
        <v>42</v>
      </c>
      <c r="W1122" s="5" t="s">
        <v>43</v>
      </c>
      <c r="X1122" s="5">
        <v>12</v>
      </c>
      <c r="Y1122" s="5">
        <v>3</v>
      </c>
      <c r="Z1122" s="5">
        <v>2</v>
      </c>
      <c r="AA1122" s="5">
        <v>80</v>
      </c>
      <c r="AB1122" s="5">
        <v>0</v>
      </c>
      <c r="AC1122" s="5">
        <v>8</v>
      </c>
      <c r="AD1122" s="5">
        <v>5</v>
      </c>
      <c r="AE1122" s="5">
        <v>4</v>
      </c>
      <c r="AF1122" s="5">
        <v>3</v>
      </c>
      <c r="AG1122" s="5">
        <v>2</v>
      </c>
      <c r="AH1122" s="5">
        <v>1</v>
      </c>
      <c r="AI1122" s="5">
        <v>2</v>
      </c>
    </row>
    <row r="1123" spans="1:35" x14ac:dyDescent="0.25">
      <c r="A1123" s="5">
        <v>36</v>
      </c>
      <c r="B1123" s="5" t="s">
        <v>43</v>
      </c>
      <c r="C1123" s="5" t="s">
        <v>36</v>
      </c>
      <c r="D1123" s="5">
        <v>884</v>
      </c>
      <c r="E1123" s="5" t="s">
        <v>37</v>
      </c>
      <c r="F1123" s="5">
        <v>1</v>
      </c>
      <c r="G1123" s="5">
        <v>4</v>
      </c>
      <c r="H1123" s="5" t="s">
        <v>38</v>
      </c>
      <c r="I1123" s="5">
        <v>1</v>
      </c>
      <c r="J1123" s="5">
        <v>1585</v>
      </c>
      <c r="K1123" s="5">
        <v>2</v>
      </c>
      <c r="L1123" s="5" t="s">
        <v>39</v>
      </c>
      <c r="M1123" s="5">
        <v>73</v>
      </c>
      <c r="N1123" s="5">
        <v>3</v>
      </c>
      <c r="O1123" s="5">
        <v>2</v>
      </c>
      <c r="P1123" s="5" t="s">
        <v>40</v>
      </c>
      <c r="Q1123" s="5">
        <v>3</v>
      </c>
      <c r="R1123" s="5" t="s">
        <v>41</v>
      </c>
      <c r="S1123" s="5">
        <v>6815</v>
      </c>
      <c r="T1123" s="5">
        <v>21447</v>
      </c>
      <c r="U1123" s="5">
        <v>6</v>
      </c>
      <c r="V1123" s="5" t="s">
        <v>42</v>
      </c>
      <c r="W1123" s="5" t="s">
        <v>43</v>
      </c>
      <c r="X1123" s="5">
        <v>13</v>
      </c>
      <c r="Y1123" s="5">
        <v>3</v>
      </c>
      <c r="Z1123" s="5">
        <v>1</v>
      </c>
      <c r="AA1123" s="5">
        <v>80</v>
      </c>
      <c r="AB1123" s="5">
        <v>0</v>
      </c>
      <c r="AC1123" s="5">
        <v>15</v>
      </c>
      <c r="AD1123" s="5">
        <v>5</v>
      </c>
      <c r="AE1123" s="5">
        <v>3</v>
      </c>
      <c r="AF1123" s="5">
        <v>1</v>
      </c>
      <c r="AG1123" s="5">
        <v>0</v>
      </c>
      <c r="AH1123" s="5">
        <v>0</v>
      </c>
      <c r="AI1123" s="5">
        <v>0</v>
      </c>
    </row>
    <row r="1124" spans="1:35" x14ac:dyDescent="0.25">
      <c r="A1124" s="5">
        <v>29</v>
      </c>
      <c r="B1124" s="5" t="s">
        <v>43</v>
      </c>
      <c r="C1124" s="5" t="s">
        <v>36</v>
      </c>
      <c r="D1124" s="5">
        <v>1370</v>
      </c>
      <c r="E1124" s="5" t="s">
        <v>45</v>
      </c>
      <c r="F1124" s="5">
        <v>3</v>
      </c>
      <c r="G1124" s="5">
        <v>1</v>
      </c>
      <c r="H1124" s="5" t="s">
        <v>51</v>
      </c>
      <c r="I1124" s="5">
        <v>1</v>
      </c>
      <c r="J1124" s="5">
        <v>1586</v>
      </c>
      <c r="K1124" s="5">
        <v>2</v>
      </c>
      <c r="L1124" s="5" t="s">
        <v>46</v>
      </c>
      <c r="M1124" s="5">
        <v>87</v>
      </c>
      <c r="N1124" s="5">
        <v>3</v>
      </c>
      <c r="O1124" s="5">
        <v>1</v>
      </c>
      <c r="P1124" s="5" t="s">
        <v>50</v>
      </c>
      <c r="Q1124" s="5">
        <v>1</v>
      </c>
      <c r="R1124" s="5" t="s">
        <v>41</v>
      </c>
      <c r="S1124" s="5">
        <v>4723</v>
      </c>
      <c r="T1124" s="5">
        <v>16213</v>
      </c>
      <c r="U1124" s="5">
        <v>1</v>
      </c>
      <c r="V1124" s="5" t="s">
        <v>42</v>
      </c>
      <c r="W1124" s="5" t="s">
        <v>35</v>
      </c>
      <c r="X1124" s="5">
        <v>18</v>
      </c>
      <c r="Y1124" s="5">
        <v>3</v>
      </c>
      <c r="Z1124" s="5">
        <v>4</v>
      </c>
      <c r="AA1124" s="5">
        <v>80</v>
      </c>
      <c r="AB1124" s="5">
        <v>0</v>
      </c>
      <c r="AC1124" s="5">
        <v>10</v>
      </c>
      <c r="AD1124" s="5">
        <v>3</v>
      </c>
      <c r="AE1124" s="5">
        <v>3</v>
      </c>
      <c r="AF1124" s="5">
        <v>10</v>
      </c>
      <c r="AG1124" s="5">
        <v>9</v>
      </c>
      <c r="AH1124" s="5">
        <v>1</v>
      </c>
      <c r="AI1124" s="5">
        <v>5</v>
      </c>
    </row>
    <row r="1125" spans="1:35" x14ac:dyDescent="0.25">
      <c r="A1125" s="5">
        <v>35</v>
      </c>
      <c r="B1125" s="5" t="s">
        <v>43</v>
      </c>
      <c r="C1125" s="5" t="s">
        <v>36</v>
      </c>
      <c r="D1125" s="5">
        <v>670</v>
      </c>
      <c r="E1125" s="5" t="s">
        <v>45</v>
      </c>
      <c r="F1125" s="5">
        <v>10</v>
      </c>
      <c r="G1125" s="5">
        <v>4</v>
      </c>
      <c r="H1125" s="5" t="s">
        <v>51</v>
      </c>
      <c r="I1125" s="5">
        <v>1</v>
      </c>
      <c r="J1125" s="5">
        <v>1587</v>
      </c>
      <c r="K1125" s="5">
        <v>1</v>
      </c>
      <c r="L1125" s="5" t="s">
        <v>39</v>
      </c>
      <c r="M1125" s="5">
        <v>51</v>
      </c>
      <c r="N1125" s="5">
        <v>3</v>
      </c>
      <c r="O1125" s="5">
        <v>2</v>
      </c>
      <c r="P1125" s="5" t="s">
        <v>54</v>
      </c>
      <c r="Q1125" s="5">
        <v>3</v>
      </c>
      <c r="R1125" s="5" t="s">
        <v>41</v>
      </c>
      <c r="S1125" s="5">
        <v>6142</v>
      </c>
      <c r="T1125" s="5">
        <v>4223</v>
      </c>
      <c r="U1125" s="5">
        <v>3</v>
      </c>
      <c r="V1125" s="5" t="s">
        <v>42</v>
      </c>
      <c r="W1125" s="5" t="s">
        <v>35</v>
      </c>
      <c r="X1125" s="5">
        <v>16</v>
      </c>
      <c r="Y1125" s="5">
        <v>3</v>
      </c>
      <c r="Z1125" s="5">
        <v>3</v>
      </c>
      <c r="AA1125" s="5">
        <v>80</v>
      </c>
      <c r="AB1125" s="5">
        <v>0</v>
      </c>
      <c r="AC1125" s="5">
        <v>10</v>
      </c>
      <c r="AD1125" s="5">
        <v>4</v>
      </c>
      <c r="AE1125" s="5">
        <v>3</v>
      </c>
      <c r="AF1125" s="5">
        <v>5</v>
      </c>
      <c r="AG1125" s="5">
        <v>2</v>
      </c>
      <c r="AH1125" s="5">
        <v>0</v>
      </c>
      <c r="AI1125" s="5">
        <v>4</v>
      </c>
    </row>
    <row r="1126" spans="1:35" x14ac:dyDescent="0.25">
      <c r="A1126" s="5">
        <v>39</v>
      </c>
      <c r="B1126" s="5" t="s">
        <v>43</v>
      </c>
      <c r="C1126" s="5" t="s">
        <v>36</v>
      </c>
      <c r="D1126" s="5">
        <v>1462</v>
      </c>
      <c r="E1126" s="5" t="s">
        <v>37</v>
      </c>
      <c r="F1126" s="5">
        <v>6</v>
      </c>
      <c r="G1126" s="5">
        <v>3</v>
      </c>
      <c r="H1126" s="5" t="s">
        <v>51</v>
      </c>
      <c r="I1126" s="5">
        <v>1</v>
      </c>
      <c r="J1126" s="5">
        <v>1588</v>
      </c>
      <c r="K1126" s="5">
        <v>4</v>
      </c>
      <c r="L1126" s="5" t="s">
        <v>46</v>
      </c>
      <c r="M1126" s="5">
        <v>38</v>
      </c>
      <c r="N1126" s="5">
        <v>4</v>
      </c>
      <c r="O1126" s="5">
        <v>3</v>
      </c>
      <c r="P1126" s="5" t="s">
        <v>40</v>
      </c>
      <c r="Q1126" s="5">
        <v>3</v>
      </c>
      <c r="R1126" s="5" t="s">
        <v>48</v>
      </c>
      <c r="S1126" s="5">
        <v>8237</v>
      </c>
      <c r="T1126" s="5">
        <v>4658</v>
      </c>
      <c r="U1126" s="5">
        <v>2</v>
      </c>
      <c r="V1126" s="5" t="s">
        <v>42</v>
      </c>
      <c r="W1126" s="5" t="s">
        <v>43</v>
      </c>
      <c r="X1126" s="5">
        <v>11</v>
      </c>
      <c r="Y1126" s="5">
        <v>3</v>
      </c>
      <c r="Z1126" s="5">
        <v>1</v>
      </c>
      <c r="AA1126" s="5">
        <v>80</v>
      </c>
      <c r="AB1126" s="5">
        <v>1</v>
      </c>
      <c r="AC1126" s="5">
        <v>11</v>
      </c>
      <c r="AD1126" s="5">
        <v>3</v>
      </c>
      <c r="AE1126" s="5">
        <v>3</v>
      </c>
      <c r="AF1126" s="5">
        <v>7</v>
      </c>
      <c r="AG1126" s="5">
        <v>6</v>
      </c>
      <c r="AH1126" s="5">
        <v>7</v>
      </c>
      <c r="AI1126" s="5">
        <v>6</v>
      </c>
    </row>
    <row r="1127" spans="1:35" x14ac:dyDescent="0.25">
      <c r="A1127" s="5">
        <v>29</v>
      </c>
      <c r="B1127" s="5" t="s">
        <v>43</v>
      </c>
      <c r="C1127" s="5" t="s">
        <v>44</v>
      </c>
      <c r="D1127" s="5">
        <v>995</v>
      </c>
      <c r="E1127" s="5" t="s">
        <v>45</v>
      </c>
      <c r="F1127" s="5">
        <v>2</v>
      </c>
      <c r="G1127" s="5">
        <v>1</v>
      </c>
      <c r="H1127" s="5" t="s">
        <v>38</v>
      </c>
      <c r="I1127" s="5">
        <v>1</v>
      </c>
      <c r="J1127" s="5">
        <v>1590</v>
      </c>
      <c r="K1127" s="5">
        <v>1</v>
      </c>
      <c r="L1127" s="5" t="s">
        <v>46</v>
      </c>
      <c r="M1127" s="5">
        <v>87</v>
      </c>
      <c r="N1127" s="5">
        <v>3</v>
      </c>
      <c r="O1127" s="5">
        <v>2</v>
      </c>
      <c r="P1127" s="5" t="s">
        <v>54</v>
      </c>
      <c r="Q1127" s="5">
        <v>4</v>
      </c>
      <c r="R1127" s="5" t="s">
        <v>52</v>
      </c>
      <c r="S1127" s="5">
        <v>8853</v>
      </c>
      <c r="T1127" s="5">
        <v>24483</v>
      </c>
      <c r="U1127" s="5">
        <v>1</v>
      </c>
      <c r="V1127" s="5" t="s">
        <v>42</v>
      </c>
      <c r="W1127" s="5" t="s">
        <v>43</v>
      </c>
      <c r="X1127" s="5">
        <v>19</v>
      </c>
      <c r="Y1127" s="5">
        <v>3</v>
      </c>
      <c r="Z1127" s="5">
        <v>4</v>
      </c>
      <c r="AA1127" s="5">
        <v>80</v>
      </c>
      <c r="AB1127" s="5">
        <v>1</v>
      </c>
      <c r="AC1127" s="5">
        <v>6</v>
      </c>
      <c r="AD1127" s="5">
        <v>0</v>
      </c>
      <c r="AE1127" s="5">
        <v>4</v>
      </c>
      <c r="AF1127" s="5">
        <v>6</v>
      </c>
      <c r="AG1127" s="5">
        <v>4</v>
      </c>
      <c r="AH1127" s="5">
        <v>1</v>
      </c>
      <c r="AI1127" s="5">
        <v>3</v>
      </c>
    </row>
    <row r="1128" spans="1:35" x14ac:dyDescent="0.25">
      <c r="A1128" s="5">
        <v>50</v>
      </c>
      <c r="B1128" s="5" t="s">
        <v>43</v>
      </c>
      <c r="C1128" s="5" t="s">
        <v>36</v>
      </c>
      <c r="D1128" s="5">
        <v>264</v>
      </c>
      <c r="E1128" s="5" t="s">
        <v>37</v>
      </c>
      <c r="F1128" s="5">
        <v>9</v>
      </c>
      <c r="G1128" s="5">
        <v>3</v>
      </c>
      <c r="H1128" s="5" t="s">
        <v>59</v>
      </c>
      <c r="I1128" s="5">
        <v>1</v>
      </c>
      <c r="J1128" s="5">
        <v>1591</v>
      </c>
      <c r="K1128" s="5">
        <v>3</v>
      </c>
      <c r="L1128" s="5" t="s">
        <v>46</v>
      </c>
      <c r="M1128" s="5">
        <v>59</v>
      </c>
      <c r="N1128" s="5">
        <v>3</v>
      </c>
      <c r="O1128" s="5">
        <v>5</v>
      </c>
      <c r="P1128" s="5" t="s">
        <v>56</v>
      </c>
      <c r="Q1128" s="5">
        <v>3</v>
      </c>
      <c r="R1128" s="5" t="s">
        <v>48</v>
      </c>
      <c r="S1128" s="5">
        <v>19331</v>
      </c>
      <c r="T1128" s="5">
        <v>19519</v>
      </c>
      <c r="U1128" s="5">
        <v>4</v>
      </c>
      <c r="V1128" s="5" t="s">
        <v>42</v>
      </c>
      <c r="W1128" s="5" t="s">
        <v>35</v>
      </c>
      <c r="X1128" s="5">
        <v>16</v>
      </c>
      <c r="Y1128" s="5">
        <v>3</v>
      </c>
      <c r="Z1128" s="5">
        <v>3</v>
      </c>
      <c r="AA1128" s="5">
        <v>80</v>
      </c>
      <c r="AB1128" s="5">
        <v>1</v>
      </c>
      <c r="AC1128" s="5">
        <v>27</v>
      </c>
      <c r="AD1128" s="5">
        <v>2</v>
      </c>
      <c r="AE1128" s="5">
        <v>3</v>
      </c>
      <c r="AF1128" s="5">
        <v>1</v>
      </c>
      <c r="AG1128" s="5">
        <v>0</v>
      </c>
      <c r="AH1128" s="5">
        <v>0</v>
      </c>
      <c r="AI1128" s="5">
        <v>0</v>
      </c>
    </row>
    <row r="1129" spans="1:35" x14ac:dyDescent="0.25">
      <c r="A1129" s="5">
        <v>23</v>
      </c>
      <c r="B1129" s="5" t="s">
        <v>43</v>
      </c>
      <c r="C1129" s="5" t="s">
        <v>36</v>
      </c>
      <c r="D1129" s="5">
        <v>977</v>
      </c>
      <c r="E1129" s="5" t="s">
        <v>45</v>
      </c>
      <c r="F1129" s="5">
        <v>10</v>
      </c>
      <c r="G1129" s="5">
        <v>3</v>
      </c>
      <c r="H1129" s="5" t="s">
        <v>60</v>
      </c>
      <c r="I1129" s="5">
        <v>1</v>
      </c>
      <c r="J1129" s="5">
        <v>1592</v>
      </c>
      <c r="K1129" s="5">
        <v>4</v>
      </c>
      <c r="L1129" s="5" t="s">
        <v>46</v>
      </c>
      <c r="M1129" s="5">
        <v>45</v>
      </c>
      <c r="N1129" s="5">
        <v>4</v>
      </c>
      <c r="O1129" s="5">
        <v>1</v>
      </c>
      <c r="P1129" s="5" t="s">
        <v>47</v>
      </c>
      <c r="Q1129" s="5">
        <v>3</v>
      </c>
      <c r="R1129" s="5" t="s">
        <v>48</v>
      </c>
      <c r="S1129" s="5">
        <v>2073</v>
      </c>
      <c r="T1129" s="5">
        <v>12826</v>
      </c>
      <c r="U1129" s="5">
        <v>2</v>
      </c>
      <c r="V1129" s="5" t="s">
        <v>42</v>
      </c>
      <c r="W1129" s="5" t="s">
        <v>43</v>
      </c>
      <c r="X1129" s="5">
        <v>16</v>
      </c>
      <c r="Y1129" s="5">
        <v>3</v>
      </c>
      <c r="Z1129" s="5">
        <v>4</v>
      </c>
      <c r="AA1129" s="5">
        <v>80</v>
      </c>
      <c r="AB1129" s="5">
        <v>1</v>
      </c>
      <c r="AC1129" s="5">
        <v>4</v>
      </c>
      <c r="AD1129" s="5">
        <v>2</v>
      </c>
      <c r="AE1129" s="5">
        <v>3</v>
      </c>
      <c r="AF1129" s="5">
        <v>2</v>
      </c>
      <c r="AG1129" s="5">
        <v>2</v>
      </c>
      <c r="AH1129" s="5">
        <v>2</v>
      </c>
      <c r="AI1129" s="5">
        <v>2</v>
      </c>
    </row>
    <row r="1130" spans="1:35" x14ac:dyDescent="0.25">
      <c r="A1130" s="5">
        <v>36</v>
      </c>
      <c r="B1130" s="5" t="s">
        <v>43</v>
      </c>
      <c r="C1130" s="5" t="s">
        <v>44</v>
      </c>
      <c r="D1130" s="5">
        <v>1302</v>
      </c>
      <c r="E1130" s="5" t="s">
        <v>45</v>
      </c>
      <c r="F1130" s="5">
        <v>6</v>
      </c>
      <c r="G1130" s="5">
        <v>4</v>
      </c>
      <c r="H1130" s="5" t="s">
        <v>38</v>
      </c>
      <c r="I1130" s="5">
        <v>1</v>
      </c>
      <c r="J1130" s="5">
        <v>1594</v>
      </c>
      <c r="K1130" s="5">
        <v>1</v>
      </c>
      <c r="L1130" s="5" t="s">
        <v>46</v>
      </c>
      <c r="M1130" s="5">
        <v>80</v>
      </c>
      <c r="N1130" s="5">
        <v>4</v>
      </c>
      <c r="O1130" s="5">
        <v>2</v>
      </c>
      <c r="P1130" s="5" t="s">
        <v>50</v>
      </c>
      <c r="Q1130" s="5">
        <v>1</v>
      </c>
      <c r="R1130" s="5" t="s">
        <v>48</v>
      </c>
      <c r="S1130" s="5">
        <v>5562</v>
      </c>
      <c r="T1130" s="5">
        <v>19711</v>
      </c>
      <c r="U1130" s="5">
        <v>3</v>
      </c>
      <c r="V1130" s="5" t="s">
        <v>42</v>
      </c>
      <c r="W1130" s="5" t="s">
        <v>35</v>
      </c>
      <c r="X1130" s="5">
        <v>13</v>
      </c>
      <c r="Y1130" s="5">
        <v>3</v>
      </c>
      <c r="Z1130" s="5">
        <v>4</v>
      </c>
      <c r="AA1130" s="5">
        <v>80</v>
      </c>
      <c r="AB1130" s="5">
        <v>1</v>
      </c>
      <c r="AC1130" s="5">
        <v>9</v>
      </c>
      <c r="AD1130" s="5">
        <v>3</v>
      </c>
      <c r="AE1130" s="5">
        <v>3</v>
      </c>
      <c r="AF1130" s="5">
        <v>3</v>
      </c>
      <c r="AG1130" s="5">
        <v>2</v>
      </c>
      <c r="AH1130" s="5">
        <v>0</v>
      </c>
      <c r="AI1130" s="5">
        <v>2</v>
      </c>
    </row>
    <row r="1131" spans="1:35" x14ac:dyDescent="0.25">
      <c r="A1131" s="5">
        <v>42</v>
      </c>
      <c r="B1131" s="5" t="s">
        <v>43</v>
      </c>
      <c r="C1131" s="5" t="s">
        <v>36</v>
      </c>
      <c r="D1131" s="5">
        <v>1059</v>
      </c>
      <c r="E1131" s="5" t="s">
        <v>45</v>
      </c>
      <c r="F1131" s="5">
        <v>9</v>
      </c>
      <c r="G1131" s="5">
        <v>2</v>
      </c>
      <c r="H1131" s="5" t="s">
        <v>49</v>
      </c>
      <c r="I1131" s="5">
        <v>1</v>
      </c>
      <c r="J1131" s="5">
        <v>1595</v>
      </c>
      <c r="K1131" s="5">
        <v>4</v>
      </c>
      <c r="L1131" s="5" t="s">
        <v>46</v>
      </c>
      <c r="M1131" s="5">
        <v>93</v>
      </c>
      <c r="N1131" s="5">
        <v>2</v>
      </c>
      <c r="O1131" s="5">
        <v>5</v>
      </c>
      <c r="P1131" s="5" t="s">
        <v>56</v>
      </c>
      <c r="Q1131" s="5">
        <v>4</v>
      </c>
      <c r="R1131" s="5" t="s">
        <v>41</v>
      </c>
      <c r="S1131" s="5">
        <v>19613</v>
      </c>
      <c r="T1131" s="5">
        <v>26362</v>
      </c>
      <c r="U1131" s="5">
        <v>8</v>
      </c>
      <c r="V1131" s="5" t="s">
        <v>42</v>
      </c>
      <c r="W1131" s="5" t="s">
        <v>43</v>
      </c>
      <c r="X1131" s="5">
        <v>22</v>
      </c>
      <c r="Y1131" s="5">
        <v>4</v>
      </c>
      <c r="Z1131" s="5">
        <v>4</v>
      </c>
      <c r="AA1131" s="5">
        <v>80</v>
      </c>
      <c r="AB1131" s="5">
        <v>0</v>
      </c>
      <c r="AC1131" s="5">
        <v>24</v>
      </c>
      <c r="AD1131" s="5">
        <v>2</v>
      </c>
      <c r="AE1131" s="5">
        <v>3</v>
      </c>
      <c r="AF1131" s="5">
        <v>1</v>
      </c>
      <c r="AG1131" s="5">
        <v>0</v>
      </c>
      <c r="AH1131" s="5">
        <v>0</v>
      </c>
      <c r="AI1131" s="5">
        <v>1</v>
      </c>
    </row>
    <row r="1132" spans="1:35" x14ac:dyDescent="0.25">
      <c r="A1132" s="5">
        <v>35</v>
      </c>
      <c r="B1132" s="5" t="s">
        <v>43</v>
      </c>
      <c r="C1132" s="5" t="s">
        <v>36</v>
      </c>
      <c r="D1132" s="5">
        <v>750</v>
      </c>
      <c r="E1132" s="5" t="s">
        <v>45</v>
      </c>
      <c r="F1132" s="5">
        <v>28</v>
      </c>
      <c r="G1132" s="5">
        <v>3</v>
      </c>
      <c r="H1132" s="5" t="s">
        <v>38</v>
      </c>
      <c r="I1132" s="5">
        <v>1</v>
      </c>
      <c r="J1132" s="5">
        <v>1596</v>
      </c>
      <c r="K1132" s="5">
        <v>2</v>
      </c>
      <c r="L1132" s="5" t="s">
        <v>46</v>
      </c>
      <c r="M1132" s="5">
        <v>46</v>
      </c>
      <c r="N1132" s="5">
        <v>4</v>
      </c>
      <c r="O1132" s="5">
        <v>2</v>
      </c>
      <c r="P1132" s="5" t="s">
        <v>50</v>
      </c>
      <c r="Q1132" s="5">
        <v>3</v>
      </c>
      <c r="R1132" s="5" t="s">
        <v>48</v>
      </c>
      <c r="S1132" s="5">
        <v>3407</v>
      </c>
      <c r="T1132" s="5">
        <v>25348</v>
      </c>
      <c r="U1132" s="5">
        <v>1</v>
      </c>
      <c r="V1132" s="5" t="s">
        <v>42</v>
      </c>
      <c r="W1132" s="5" t="s">
        <v>43</v>
      </c>
      <c r="X1132" s="5">
        <v>17</v>
      </c>
      <c r="Y1132" s="5">
        <v>3</v>
      </c>
      <c r="Z1132" s="5">
        <v>4</v>
      </c>
      <c r="AA1132" s="5">
        <v>80</v>
      </c>
      <c r="AB1132" s="5">
        <v>2</v>
      </c>
      <c r="AC1132" s="5">
        <v>10</v>
      </c>
      <c r="AD1132" s="5">
        <v>3</v>
      </c>
      <c r="AE1132" s="5">
        <v>2</v>
      </c>
      <c r="AF1132" s="5">
        <v>10</v>
      </c>
      <c r="AG1132" s="5">
        <v>9</v>
      </c>
      <c r="AH1132" s="5">
        <v>6</v>
      </c>
      <c r="AI1132" s="5">
        <v>8</v>
      </c>
    </row>
    <row r="1133" spans="1:35" x14ac:dyDescent="0.25">
      <c r="A1133" s="5">
        <v>34</v>
      </c>
      <c r="B1133" s="5" t="s">
        <v>43</v>
      </c>
      <c r="C1133" s="5" t="s">
        <v>44</v>
      </c>
      <c r="D1133" s="5">
        <v>653</v>
      </c>
      <c r="E1133" s="5" t="s">
        <v>45</v>
      </c>
      <c r="F1133" s="5">
        <v>10</v>
      </c>
      <c r="G1133" s="5">
        <v>4</v>
      </c>
      <c r="H1133" s="5" t="s">
        <v>60</v>
      </c>
      <c r="I1133" s="5">
        <v>1</v>
      </c>
      <c r="J1133" s="5">
        <v>1597</v>
      </c>
      <c r="K1133" s="5">
        <v>4</v>
      </c>
      <c r="L1133" s="5" t="s">
        <v>46</v>
      </c>
      <c r="M1133" s="5">
        <v>92</v>
      </c>
      <c r="N1133" s="5">
        <v>2</v>
      </c>
      <c r="O1133" s="5">
        <v>2</v>
      </c>
      <c r="P1133" s="5" t="s">
        <v>54</v>
      </c>
      <c r="Q1133" s="5">
        <v>3</v>
      </c>
      <c r="R1133" s="5" t="s">
        <v>48</v>
      </c>
      <c r="S1133" s="5">
        <v>5063</v>
      </c>
      <c r="T1133" s="5">
        <v>15332</v>
      </c>
      <c r="U1133" s="5">
        <v>1</v>
      </c>
      <c r="V1133" s="5" t="s">
        <v>42</v>
      </c>
      <c r="W1133" s="5" t="s">
        <v>43</v>
      </c>
      <c r="X1133" s="5">
        <v>14</v>
      </c>
      <c r="Y1133" s="5">
        <v>3</v>
      </c>
      <c r="Z1133" s="5">
        <v>2</v>
      </c>
      <c r="AA1133" s="5">
        <v>80</v>
      </c>
      <c r="AB1133" s="5">
        <v>1</v>
      </c>
      <c r="AC1133" s="5">
        <v>8</v>
      </c>
      <c r="AD1133" s="5">
        <v>3</v>
      </c>
      <c r="AE1133" s="5">
        <v>2</v>
      </c>
      <c r="AF1133" s="5">
        <v>8</v>
      </c>
      <c r="AG1133" s="5">
        <v>2</v>
      </c>
      <c r="AH1133" s="5">
        <v>7</v>
      </c>
      <c r="AI1133" s="5">
        <v>7</v>
      </c>
    </row>
    <row r="1134" spans="1:35" x14ac:dyDescent="0.25">
      <c r="A1134" s="5">
        <v>40</v>
      </c>
      <c r="B1134" s="5" t="s">
        <v>43</v>
      </c>
      <c r="C1134" s="5" t="s">
        <v>36</v>
      </c>
      <c r="D1134" s="5">
        <v>118</v>
      </c>
      <c r="E1134" s="5" t="s">
        <v>37</v>
      </c>
      <c r="F1134" s="5">
        <v>14</v>
      </c>
      <c r="G1134" s="5">
        <v>2</v>
      </c>
      <c r="H1134" s="5" t="s">
        <v>38</v>
      </c>
      <c r="I1134" s="5">
        <v>1</v>
      </c>
      <c r="J1134" s="5">
        <v>1598</v>
      </c>
      <c r="K1134" s="5">
        <v>4</v>
      </c>
      <c r="L1134" s="5" t="s">
        <v>39</v>
      </c>
      <c r="M1134" s="5">
        <v>84</v>
      </c>
      <c r="N1134" s="5">
        <v>3</v>
      </c>
      <c r="O1134" s="5">
        <v>2</v>
      </c>
      <c r="P1134" s="5" t="s">
        <v>40</v>
      </c>
      <c r="Q1134" s="5">
        <v>1</v>
      </c>
      <c r="R1134" s="5" t="s">
        <v>48</v>
      </c>
      <c r="S1134" s="5">
        <v>4639</v>
      </c>
      <c r="T1134" s="5">
        <v>11262</v>
      </c>
      <c r="U1134" s="5">
        <v>1</v>
      </c>
      <c r="V1134" s="5" t="s">
        <v>42</v>
      </c>
      <c r="W1134" s="5" t="s">
        <v>43</v>
      </c>
      <c r="X1134" s="5">
        <v>15</v>
      </c>
      <c r="Y1134" s="5">
        <v>3</v>
      </c>
      <c r="Z1134" s="5">
        <v>3</v>
      </c>
      <c r="AA1134" s="5">
        <v>80</v>
      </c>
      <c r="AB1134" s="5">
        <v>1</v>
      </c>
      <c r="AC1134" s="5">
        <v>5</v>
      </c>
      <c r="AD1134" s="5">
        <v>2</v>
      </c>
      <c r="AE1134" s="5">
        <v>3</v>
      </c>
      <c r="AF1134" s="5">
        <v>5</v>
      </c>
      <c r="AG1134" s="5">
        <v>4</v>
      </c>
      <c r="AH1134" s="5">
        <v>1</v>
      </c>
      <c r="AI1134" s="5">
        <v>2</v>
      </c>
    </row>
    <row r="1135" spans="1:35" x14ac:dyDescent="0.25">
      <c r="A1135" s="5">
        <v>43</v>
      </c>
      <c r="B1135" s="5" t="s">
        <v>43</v>
      </c>
      <c r="C1135" s="5" t="s">
        <v>36</v>
      </c>
      <c r="D1135" s="5">
        <v>990</v>
      </c>
      <c r="E1135" s="5" t="s">
        <v>45</v>
      </c>
      <c r="F1135" s="5">
        <v>27</v>
      </c>
      <c r="G1135" s="5">
        <v>3</v>
      </c>
      <c r="H1135" s="5" t="s">
        <v>60</v>
      </c>
      <c r="I1135" s="5">
        <v>1</v>
      </c>
      <c r="J1135" s="5">
        <v>1599</v>
      </c>
      <c r="K1135" s="5">
        <v>4</v>
      </c>
      <c r="L1135" s="5" t="s">
        <v>46</v>
      </c>
      <c r="M1135" s="5">
        <v>87</v>
      </c>
      <c r="N1135" s="5">
        <v>4</v>
      </c>
      <c r="O1135" s="5">
        <v>1</v>
      </c>
      <c r="P1135" s="5" t="s">
        <v>50</v>
      </c>
      <c r="Q1135" s="5">
        <v>2</v>
      </c>
      <c r="R1135" s="5" t="s">
        <v>52</v>
      </c>
      <c r="S1135" s="5">
        <v>4876</v>
      </c>
      <c r="T1135" s="5">
        <v>5855</v>
      </c>
      <c r="U1135" s="5">
        <v>5</v>
      </c>
      <c r="V1135" s="5" t="s">
        <v>42</v>
      </c>
      <c r="W1135" s="5" t="s">
        <v>43</v>
      </c>
      <c r="X1135" s="5">
        <v>12</v>
      </c>
      <c r="Y1135" s="5">
        <v>3</v>
      </c>
      <c r="Z1135" s="5">
        <v>3</v>
      </c>
      <c r="AA1135" s="5">
        <v>80</v>
      </c>
      <c r="AB1135" s="5">
        <v>1</v>
      </c>
      <c r="AC1135" s="5">
        <v>8</v>
      </c>
      <c r="AD1135" s="5">
        <v>0</v>
      </c>
      <c r="AE1135" s="5">
        <v>3</v>
      </c>
      <c r="AF1135" s="5">
        <v>6</v>
      </c>
      <c r="AG1135" s="5">
        <v>4</v>
      </c>
      <c r="AH1135" s="5">
        <v>0</v>
      </c>
      <c r="AI1135" s="5">
        <v>2</v>
      </c>
    </row>
    <row r="1136" spans="1:35" x14ac:dyDescent="0.25">
      <c r="A1136" s="5">
        <v>35</v>
      </c>
      <c r="B1136" s="5" t="s">
        <v>43</v>
      </c>
      <c r="C1136" s="5" t="s">
        <v>36</v>
      </c>
      <c r="D1136" s="5">
        <v>1349</v>
      </c>
      <c r="E1136" s="5" t="s">
        <v>45</v>
      </c>
      <c r="F1136" s="5">
        <v>7</v>
      </c>
      <c r="G1136" s="5">
        <v>2</v>
      </c>
      <c r="H1136" s="5" t="s">
        <v>38</v>
      </c>
      <c r="I1136" s="5">
        <v>1</v>
      </c>
      <c r="J1136" s="5">
        <v>1601</v>
      </c>
      <c r="K1136" s="5">
        <v>3</v>
      </c>
      <c r="L1136" s="5" t="s">
        <v>46</v>
      </c>
      <c r="M1136" s="5">
        <v>63</v>
      </c>
      <c r="N1136" s="5">
        <v>2</v>
      </c>
      <c r="O1136" s="5">
        <v>1</v>
      </c>
      <c r="P1136" s="5" t="s">
        <v>50</v>
      </c>
      <c r="Q1136" s="5">
        <v>4</v>
      </c>
      <c r="R1136" s="5" t="s">
        <v>48</v>
      </c>
      <c r="S1136" s="5">
        <v>2690</v>
      </c>
      <c r="T1136" s="5">
        <v>7713</v>
      </c>
      <c r="U1136" s="5">
        <v>1</v>
      </c>
      <c r="V1136" s="5" t="s">
        <v>42</v>
      </c>
      <c r="W1136" s="5" t="s">
        <v>43</v>
      </c>
      <c r="X1136" s="5">
        <v>18</v>
      </c>
      <c r="Y1136" s="5">
        <v>3</v>
      </c>
      <c r="Z1136" s="5">
        <v>4</v>
      </c>
      <c r="AA1136" s="5">
        <v>80</v>
      </c>
      <c r="AB1136" s="5">
        <v>1</v>
      </c>
      <c r="AC1136" s="5">
        <v>1</v>
      </c>
      <c r="AD1136" s="5">
        <v>5</v>
      </c>
      <c r="AE1136" s="5">
        <v>2</v>
      </c>
      <c r="AF1136" s="5">
        <v>1</v>
      </c>
      <c r="AG1136" s="5">
        <v>0</v>
      </c>
      <c r="AH1136" s="5">
        <v>0</v>
      </c>
      <c r="AI1136" s="5">
        <v>1</v>
      </c>
    </row>
    <row r="1137" spans="1:35" x14ac:dyDescent="0.25">
      <c r="A1137" s="5">
        <v>46</v>
      </c>
      <c r="B1137" s="5" t="s">
        <v>43</v>
      </c>
      <c r="C1137" s="5" t="s">
        <v>36</v>
      </c>
      <c r="D1137" s="5">
        <v>563</v>
      </c>
      <c r="E1137" s="5" t="s">
        <v>37</v>
      </c>
      <c r="F1137" s="5">
        <v>1</v>
      </c>
      <c r="G1137" s="5">
        <v>4</v>
      </c>
      <c r="H1137" s="5" t="s">
        <v>38</v>
      </c>
      <c r="I1137" s="5">
        <v>1</v>
      </c>
      <c r="J1137" s="5">
        <v>1602</v>
      </c>
      <c r="K1137" s="5">
        <v>4</v>
      </c>
      <c r="L1137" s="5" t="s">
        <v>46</v>
      </c>
      <c r="M1137" s="5">
        <v>56</v>
      </c>
      <c r="N1137" s="5">
        <v>4</v>
      </c>
      <c r="O1137" s="5">
        <v>4</v>
      </c>
      <c r="P1137" s="5" t="s">
        <v>56</v>
      </c>
      <c r="Q1137" s="5">
        <v>1</v>
      </c>
      <c r="R1137" s="5" t="s">
        <v>41</v>
      </c>
      <c r="S1137" s="5">
        <v>17567</v>
      </c>
      <c r="T1137" s="5">
        <v>3156</v>
      </c>
      <c r="U1137" s="5">
        <v>1</v>
      </c>
      <c r="V1137" s="5" t="s">
        <v>42</v>
      </c>
      <c r="W1137" s="5" t="s">
        <v>43</v>
      </c>
      <c r="X1137" s="5">
        <v>15</v>
      </c>
      <c r="Y1137" s="5">
        <v>3</v>
      </c>
      <c r="Z1137" s="5">
        <v>2</v>
      </c>
      <c r="AA1137" s="5">
        <v>80</v>
      </c>
      <c r="AB1137" s="5">
        <v>0</v>
      </c>
      <c r="AC1137" s="5">
        <v>27</v>
      </c>
      <c r="AD1137" s="5">
        <v>5</v>
      </c>
      <c r="AE1137" s="5">
        <v>1</v>
      </c>
      <c r="AF1137" s="5">
        <v>26</v>
      </c>
      <c r="AG1137" s="5">
        <v>0</v>
      </c>
      <c r="AH1137" s="5">
        <v>0</v>
      </c>
      <c r="AI1137" s="5">
        <v>12</v>
      </c>
    </row>
    <row r="1138" spans="1:35" x14ac:dyDescent="0.25">
      <c r="A1138" s="5">
        <v>28</v>
      </c>
      <c r="B1138" s="5" t="s">
        <v>35</v>
      </c>
      <c r="C1138" s="5" t="s">
        <v>36</v>
      </c>
      <c r="D1138" s="5">
        <v>329</v>
      </c>
      <c r="E1138" s="5" t="s">
        <v>45</v>
      </c>
      <c r="F1138" s="5">
        <v>24</v>
      </c>
      <c r="G1138" s="5">
        <v>3</v>
      </c>
      <c r="H1138" s="5" t="s">
        <v>51</v>
      </c>
      <c r="I1138" s="5">
        <v>1</v>
      </c>
      <c r="J1138" s="5">
        <v>1604</v>
      </c>
      <c r="K1138" s="5">
        <v>3</v>
      </c>
      <c r="L1138" s="5" t="s">
        <v>46</v>
      </c>
      <c r="M1138" s="5">
        <v>51</v>
      </c>
      <c r="N1138" s="5">
        <v>3</v>
      </c>
      <c r="O1138" s="5">
        <v>1</v>
      </c>
      <c r="P1138" s="5" t="s">
        <v>50</v>
      </c>
      <c r="Q1138" s="5">
        <v>2</v>
      </c>
      <c r="R1138" s="5" t="s">
        <v>48</v>
      </c>
      <c r="S1138" s="5">
        <v>2408</v>
      </c>
      <c r="T1138" s="5">
        <v>7324</v>
      </c>
      <c r="U1138" s="5">
        <v>1</v>
      </c>
      <c r="V1138" s="5" t="s">
        <v>42</v>
      </c>
      <c r="W1138" s="5" t="s">
        <v>35</v>
      </c>
      <c r="X1138" s="5">
        <v>17</v>
      </c>
      <c r="Y1138" s="5">
        <v>3</v>
      </c>
      <c r="Z1138" s="5">
        <v>3</v>
      </c>
      <c r="AA1138" s="5">
        <v>80</v>
      </c>
      <c r="AB1138" s="5">
        <v>3</v>
      </c>
      <c r="AC1138" s="5">
        <v>1</v>
      </c>
      <c r="AD1138" s="5">
        <v>3</v>
      </c>
      <c r="AE1138" s="5">
        <v>3</v>
      </c>
      <c r="AF1138" s="5">
        <v>1</v>
      </c>
      <c r="AG1138" s="5">
        <v>1</v>
      </c>
      <c r="AH1138" s="5">
        <v>0</v>
      </c>
      <c r="AI1138" s="5">
        <v>0</v>
      </c>
    </row>
    <row r="1139" spans="1:35" x14ac:dyDescent="0.25">
      <c r="A1139" s="5">
        <v>22</v>
      </c>
      <c r="B1139" s="5" t="s">
        <v>43</v>
      </c>
      <c r="C1139" s="5" t="s">
        <v>55</v>
      </c>
      <c r="D1139" s="5">
        <v>457</v>
      </c>
      <c r="E1139" s="5" t="s">
        <v>45</v>
      </c>
      <c r="F1139" s="5">
        <v>26</v>
      </c>
      <c r="G1139" s="5">
        <v>2</v>
      </c>
      <c r="H1139" s="5" t="s">
        <v>49</v>
      </c>
      <c r="I1139" s="5">
        <v>1</v>
      </c>
      <c r="J1139" s="5">
        <v>1605</v>
      </c>
      <c r="K1139" s="5">
        <v>2</v>
      </c>
      <c r="L1139" s="5" t="s">
        <v>39</v>
      </c>
      <c r="M1139" s="5">
        <v>85</v>
      </c>
      <c r="N1139" s="5">
        <v>2</v>
      </c>
      <c r="O1139" s="5">
        <v>1</v>
      </c>
      <c r="P1139" s="5" t="s">
        <v>47</v>
      </c>
      <c r="Q1139" s="5">
        <v>3</v>
      </c>
      <c r="R1139" s="5" t="s">
        <v>48</v>
      </c>
      <c r="S1139" s="5">
        <v>2814</v>
      </c>
      <c r="T1139" s="5">
        <v>10293</v>
      </c>
      <c r="U1139" s="5">
        <v>1</v>
      </c>
      <c r="V1139" s="5" t="s">
        <v>42</v>
      </c>
      <c r="W1139" s="5" t="s">
        <v>35</v>
      </c>
      <c r="X1139" s="5">
        <v>14</v>
      </c>
      <c r="Y1139" s="5">
        <v>3</v>
      </c>
      <c r="Z1139" s="5">
        <v>2</v>
      </c>
      <c r="AA1139" s="5">
        <v>80</v>
      </c>
      <c r="AB1139" s="5">
        <v>0</v>
      </c>
      <c r="AC1139" s="5">
        <v>4</v>
      </c>
      <c r="AD1139" s="5">
        <v>2</v>
      </c>
      <c r="AE1139" s="5">
        <v>2</v>
      </c>
      <c r="AF1139" s="5">
        <v>4</v>
      </c>
      <c r="AG1139" s="5">
        <v>2</v>
      </c>
      <c r="AH1139" s="5">
        <v>1</v>
      </c>
      <c r="AI1139" s="5">
        <v>3</v>
      </c>
    </row>
    <row r="1140" spans="1:35" x14ac:dyDescent="0.25">
      <c r="A1140" s="5">
        <v>50</v>
      </c>
      <c r="B1140" s="5" t="s">
        <v>43</v>
      </c>
      <c r="C1140" s="5" t="s">
        <v>44</v>
      </c>
      <c r="D1140" s="5">
        <v>1234</v>
      </c>
      <c r="E1140" s="5" t="s">
        <v>45</v>
      </c>
      <c r="F1140" s="5">
        <v>20</v>
      </c>
      <c r="G1140" s="5">
        <v>5</v>
      </c>
      <c r="H1140" s="5" t="s">
        <v>51</v>
      </c>
      <c r="I1140" s="5">
        <v>1</v>
      </c>
      <c r="J1140" s="5">
        <v>1606</v>
      </c>
      <c r="K1140" s="5">
        <v>2</v>
      </c>
      <c r="L1140" s="5" t="s">
        <v>46</v>
      </c>
      <c r="M1140" s="5">
        <v>41</v>
      </c>
      <c r="N1140" s="5">
        <v>3</v>
      </c>
      <c r="O1140" s="5">
        <v>4</v>
      </c>
      <c r="P1140" s="5" t="s">
        <v>54</v>
      </c>
      <c r="Q1140" s="5">
        <v>3</v>
      </c>
      <c r="R1140" s="5" t="s">
        <v>48</v>
      </c>
      <c r="S1140" s="5">
        <v>11245</v>
      </c>
      <c r="T1140" s="5">
        <v>20689</v>
      </c>
      <c r="U1140" s="5">
        <v>2</v>
      </c>
      <c r="V1140" s="5" t="s">
        <v>42</v>
      </c>
      <c r="W1140" s="5" t="s">
        <v>35</v>
      </c>
      <c r="X1140" s="5">
        <v>15</v>
      </c>
      <c r="Y1140" s="5">
        <v>3</v>
      </c>
      <c r="Z1140" s="5">
        <v>3</v>
      </c>
      <c r="AA1140" s="5">
        <v>80</v>
      </c>
      <c r="AB1140" s="5">
        <v>1</v>
      </c>
      <c r="AC1140" s="5">
        <v>32</v>
      </c>
      <c r="AD1140" s="5">
        <v>3</v>
      </c>
      <c r="AE1140" s="5">
        <v>3</v>
      </c>
      <c r="AF1140" s="5">
        <v>30</v>
      </c>
      <c r="AG1140" s="5">
        <v>8</v>
      </c>
      <c r="AH1140" s="5">
        <v>12</v>
      </c>
      <c r="AI1140" s="5">
        <v>13</v>
      </c>
    </row>
    <row r="1141" spans="1:35" x14ac:dyDescent="0.25">
      <c r="A1141" s="5">
        <v>32</v>
      </c>
      <c r="B1141" s="5" t="s">
        <v>43</v>
      </c>
      <c r="C1141" s="5" t="s">
        <v>36</v>
      </c>
      <c r="D1141" s="5">
        <v>634</v>
      </c>
      <c r="E1141" s="5" t="s">
        <v>45</v>
      </c>
      <c r="F1141" s="5">
        <v>5</v>
      </c>
      <c r="G1141" s="5">
        <v>4</v>
      </c>
      <c r="H1141" s="5" t="s">
        <v>49</v>
      </c>
      <c r="I1141" s="5">
        <v>1</v>
      </c>
      <c r="J1141" s="5">
        <v>1607</v>
      </c>
      <c r="K1141" s="5">
        <v>2</v>
      </c>
      <c r="L1141" s="5" t="s">
        <v>39</v>
      </c>
      <c r="M1141" s="5">
        <v>35</v>
      </c>
      <c r="N1141" s="5">
        <v>4</v>
      </c>
      <c r="O1141" s="5">
        <v>1</v>
      </c>
      <c r="P1141" s="5" t="s">
        <v>47</v>
      </c>
      <c r="Q1141" s="5">
        <v>4</v>
      </c>
      <c r="R1141" s="5" t="s">
        <v>48</v>
      </c>
      <c r="S1141" s="5">
        <v>3312</v>
      </c>
      <c r="T1141" s="5">
        <v>18783</v>
      </c>
      <c r="U1141" s="5">
        <v>3</v>
      </c>
      <c r="V1141" s="5" t="s">
        <v>42</v>
      </c>
      <c r="W1141" s="5" t="s">
        <v>43</v>
      </c>
      <c r="X1141" s="5">
        <v>17</v>
      </c>
      <c r="Y1141" s="5">
        <v>3</v>
      </c>
      <c r="Z1141" s="5">
        <v>4</v>
      </c>
      <c r="AA1141" s="5">
        <v>80</v>
      </c>
      <c r="AB1141" s="5">
        <v>2</v>
      </c>
      <c r="AC1141" s="5">
        <v>6</v>
      </c>
      <c r="AD1141" s="5">
        <v>3</v>
      </c>
      <c r="AE1141" s="5">
        <v>3</v>
      </c>
      <c r="AF1141" s="5">
        <v>3</v>
      </c>
      <c r="AG1141" s="5">
        <v>2</v>
      </c>
      <c r="AH1141" s="5">
        <v>0</v>
      </c>
      <c r="AI1141" s="5">
        <v>2</v>
      </c>
    </row>
    <row r="1142" spans="1:35" x14ac:dyDescent="0.25">
      <c r="A1142" s="5">
        <v>44</v>
      </c>
      <c r="B1142" s="5" t="s">
        <v>43</v>
      </c>
      <c r="C1142" s="5" t="s">
        <v>36</v>
      </c>
      <c r="D1142" s="5">
        <v>1313</v>
      </c>
      <c r="E1142" s="5" t="s">
        <v>45</v>
      </c>
      <c r="F1142" s="5">
        <v>7</v>
      </c>
      <c r="G1142" s="5">
        <v>3</v>
      </c>
      <c r="H1142" s="5" t="s">
        <v>51</v>
      </c>
      <c r="I1142" s="5">
        <v>1</v>
      </c>
      <c r="J1142" s="5">
        <v>1608</v>
      </c>
      <c r="K1142" s="5">
        <v>2</v>
      </c>
      <c r="L1142" s="5" t="s">
        <v>39</v>
      </c>
      <c r="M1142" s="5">
        <v>31</v>
      </c>
      <c r="N1142" s="5">
        <v>3</v>
      </c>
      <c r="O1142" s="5">
        <v>5</v>
      </c>
      <c r="P1142" s="5" t="s">
        <v>58</v>
      </c>
      <c r="Q1142" s="5">
        <v>4</v>
      </c>
      <c r="R1142" s="5" t="s">
        <v>52</v>
      </c>
      <c r="S1142" s="5">
        <v>19049</v>
      </c>
      <c r="T1142" s="5">
        <v>3549</v>
      </c>
      <c r="U1142" s="5">
        <v>0</v>
      </c>
      <c r="V1142" s="5" t="s">
        <v>42</v>
      </c>
      <c r="W1142" s="5" t="s">
        <v>35</v>
      </c>
      <c r="X1142" s="5">
        <v>14</v>
      </c>
      <c r="Y1142" s="5">
        <v>3</v>
      </c>
      <c r="Z1142" s="5">
        <v>4</v>
      </c>
      <c r="AA1142" s="5">
        <v>80</v>
      </c>
      <c r="AB1142" s="5">
        <v>1</v>
      </c>
      <c r="AC1142" s="5">
        <v>23</v>
      </c>
      <c r="AD1142" s="5">
        <v>4</v>
      </c>
      <c r="AE1142" s="5">
        <v>2</v>
      </c>
      <c r="AF1142" s="5">
        <v>22</v>
      </c>
      <c r="AG1142" s="5">
        <v>7</v>
      </c>
      <c r="AH1142" s="5">
        <v>1</v>
      </c>
      <c r="AI1142" s="5">
        <v>10</v>
      </c>
    </row>
    <row r="1143" spans="1:35" x14ac:dyDescent="0.25">
      <c r="A1143" s="5">
        <v>30</v>
      </c>
      <c r="B1143" s="5" t="s">
        <v>43</v>
      </c>
      <c r="C1143" s="5" t="s">
        <v>36</v>
      </c>
      <c r="D1143" s="5">
        <v>241</v>
      </c>
      <c r="E1143" s="5" t="s">
        <v>45</v>
      </c>
      <c r="F1143" s="5">
        <v>7</v>
      </c>
      <c r="G1143" s="5">
        <v>3</v>
      </c>
      <c r="H1143" s="5" t="s">
        <v>51</v>
      </c>
      <c r="I1143" s="5">
        <v>1</v>
      </c>
      <c r="J1143" s="5">
        <v>1609</v>
      </c>
      <c r="K1143" s="5">
        <v>2</v>
      </c>
      <c r="L1143" s="5" t="s">
        <v>46</v>
      </c>
      <c r="M1143" s="5">
        <v>48</v>
      </c>
      <c r="N1143" s="5">
        <v>2</v>
      </c>
      <c r="O1143" s="5">
        <v>1</v>
      </c>
      <c r="P1143" s="5" t="s">
        <v>47</v>
      </c>
      <c r="Q1143" s="5">
        <v>2</v>
      </c>
      <c r="R1143" s="5" t="s">
        <v>48</v>
      </c>
      <c r="S1143" s="5">
        <v>2141</v>
      </c>
      <c r="T1143" s="5">
        <v>5348</v>
      </c>
      <c r="U1143" s="5">
        <v>1</v>
      </c>
      <c r="V1143" s="5" t="s">
        <v>42</v>
      </c>
      <c r="W1143" s="5" t="s">
        <v>43</v>
      </c>
      <c r="X1143" s="5">
        <v>12</v>
      </c>
      <c r="Y1143" s="5">
        <v>3</v>
      </c>
      <c r="Z1143" s="5">
        <v>2</v>
      </c>
      <c r="AA1143" s="5">
        <v>80</v>
      </c>
      <c r="AB1143" s="5">
        <v>1</v>
      </c>
      <c r="AC1143" s="5">
        <v>6</v>
      </c>
      <c r="AD1143" s="5">
        <v>3</v>
      </c>
      <c r="AE1143" s="5">
        <v>2</v>
      </c>
      <c r="AF1143" s="5">
        <v>6</v>
      </c>
      <c r="AG1143" s="5">
        <v>4</v>
      </c>
      <c r="AH1143" s="5">
        <v>1</v>
      </c>
      <c r="AI1143" s="5">
        <v>1</v>
      </c>
    </row>
    <row r="1144" spans="1:35" x14ac:dyDescent="0.25">
      <c r="A1144" s="5">
        <v>45</v>
      </c>
      <c r="B1144" s="5" t="s">
        <v>43</v>
      </c>
      <c r="C1144" s="5" t="s">
        <v>36</v>
      </c>
      <c r="D1144" s="5">
        <v>1015</v>
      </c>
      <c r="E1144" s="5" t="s">
        <v>45</v>
      </c>
      <c r="F1144" s="5">
        <v>5</v>
      </c>
      <c r="G1144" s="5">
        <v>5</v>
      </c>
      <c r="H1144" s="5" t="s">
        <v>51</v>
      </c>
      <c r="I1144" s="5">
        <v>1</v>
      </c>
      <c r="J1144" s="5">
        <v>1611</v>
      </c>
      <c r="K1144" s="5">
        <v>3</v>
      </c>
      <c r="L1144" s="5" t="s">
        <v>39</v>
      </c>
      <c r="M1144" s="5">
        <v>50</v>
      </c>
      <c r="N1144" s="5">
        <v>1</v>
      </c>
      <c r="O1144" s="5">
        <v>2</v>
      </c>
      <c r="P1144" s="5" t="s">
        <v>50</v>
      </c>
      <c r="Q1144" s="5">
        <v>1</v>
      </c>
      <c r="R1144" s="5" t="s">
        <v>41</v>
      </c>
      <c r="S1144" s="5">
        <v>5769</v>
      </c>
      <c r="T1144" s="5">
        <v>23447</v>
      </c>
      <c r="U1144" s="5">
        <v>1</v>
      </c>
      <c r="V1144" s="5" t="s">
        <v>42</v>
      </c>
      <c r="W1144" s="5" t="s">
        <v>35</v>
      </c>
      <c r="X1144" s="5">
        <v>14</v>
      </c>
      <c r="Y1144" s="5">
        <v>3</v>
      </c>
      <c r="Z1144" s="5">
        <v>1</v>
      </c>
      <c r="AA1144" s="5">
        <v>80</v>
      </c>
      <c r="AB1144" s="5">
        <v>0</v>
      </c>
      <c r="AC1144" s="5">
        <v>10</v>
      </c>
      <c r="AD1144" s="5">
        <v>3</v>
      </c>
      <c r="AE1144" s="5">
        <v>3</v>
      </c>
      <c r="AF1144" s="5">
        <v>10</v>
      </c>
      <c r="AG1144" s="5">
        <v>7</v>
      </c>
      <c r="AH1144" s="5">
        <v>1</v>
      </c>
      <c r="AI1144" s="5">
        <v>4</v>
      </c>
    </row>
    <row r="1145" spans="1:35" x14ac:dyDescent="0.25">
      <c r="A1145" s="5">
        <v>45</v>
      </c>
      <c r="B1145" s="5" t="s">
        <v>43</v>
      </c>
      <c r="C1145" s="5" t="s">
        <v>55</v>
      </c>
      <c r="D1145" s="5">
        <v>336</v>
      </c>
      <c r="E1145" s="5" t="s">
        <v>37</v>
      </c>
      <c r="F1145" s="5">
        <v>26</v>
      </c>
      <c r="G1145" s="5">
        <v>3</v>
      </c>
      <c r="H1145" s="5" t="s">
        <v>59</v>
      </c>
      <c r="I1145" s="5">
        <v>1</v>
      </c>
      <c r="J1145" s="5">
        <v>1612</v>
      </c>
      <c r="K1145" s="5">
        <v>1</v>
      </c>
      <c r="L1145" s="5" t="s">
        <v>46</v>
      </c>
      <c r="M1145" s="5">
        <v>52</v>
      </c>
      <c r="N1145" s="5">
        <v>2</v>
      </c>
      <c r="O1145" s="5">
        <v>2</v>
      </c>
      <c r="P1145" s="5" t="s">
        <v>40</v>
      </c>
      <c r="Q1145" s="5">
        <v>1</v>
      </c>
      <c r="R1145" s="5" t="s">
        <v>48</v>
      </c>
      <c r="S1145" s="5">
        <v>4385</v>
      </c>
      <c r="T1145" s="5">
        <v>24162</v>
      </c>
      <c r="U1145" s="5">
        <v>1</v>
      </c>
      <c r="V1145" s="5" t="s">
        <v>42</v>
      </c>
      <c r="W1145" s="5" t="s">
        <v>43</v>
      </c>
      <c r="X1145" s="5">
        <v>15</v>
      </c>
      <c r="Y1145" s="5">
        <v>3</v>
      </c>
      <c r="Z1145" s="5">
        <v>1</v>
      </c>
      <c r="AA1145" s="5">
        <v>80</v>
      </c>
      <c r="AB1145" s="5">
        <v>1</v>
      </c>
      <c r="AC1145" s="5">
        <v>10</v>
      </c>
      <c r="AD1145" s="5">
        <v>2</v>
      </c>
      <c r="AE1145" s="5">
        <v>3</v>
      </c>
      <c r="AF1145" s="5">
        <v>10</v>
      </c>
      <c r="AG1145" s="5">
        <v>7</v>
      </c>
      <c r="AH1145" s="5">
        <v>4</v>
      </c>
      <c r="AI1145" s="5">
        <v>5</v>
      </c>
    </row>
    <row r="1146" spans="1:35" x14ac:dyDescent="0.25">
      <c r="A1146" s="5">
        <v>31</v>
      </c>
      <c r="B1146" s="5" t="s">
        <v>43</v>
      </c>
      <c r="C1146" s="5" t="s">
        <v>44</v>
      </c>
      <c r="D1146" s="5">
        <v>715</v>
      </c>
      <c r="E1146" s="5" t="s">
        <v>37</v>
      </c>
      <c r="F1146" s="5">
        <v>2</v>
      </c>
      <c r="G1146" s="5">
        <v>4</v>
      </c>
      <c r="H1146" s="5" t="s">
        <v>49</v>
      </c>
      <c r="I1146" s="5">
        <v>1</v>
      </c>
      <c r="J1146" s="5">
        <v>1613</v>
      </c>
      <c r="K1146" s="5">
        <v>4</v>
      </c>
      <c r="L1146" s="5" t="s">
        <v>46</v>
      </c>
      <c r="M1146" s="5">
        <v>54</v>
      </c>
      <c r="N1146" s="5">
        <v>3</v>
      </c>
      <c r="O1146" s="5">
        <v>2</v>
      </c>
      <c r="P1146" s="5" t="s">
        <v>40</v>
      </c>
      <c r="Q1146" s="5">
        <v>1</v>
      </c>
      <c r="R1146" s="5" t="s">
        <v>41</v>
      </c>
      <c r="S1146" s="5">
        <v>5332</v>
      </c>
      <c r="T1146" s="5">
        <v>21602</v>
      </c>
      <c r="U1146" s="5">
        <v>7</v>
      </c>
      <c r="V1146" s="5" t="s">
        <v>42</v>
      </c>
      <c r="W1146" s="5" t="s">
        <v>43</v>
      </c>
      <c r="X1146" s="5">
        <v>13</v>
      </c>
      <c r="Y1146" s="5">
        <v>3</v>
      </c>
      <c r="Z1146" s="5">
        <v>4</v>
      </c>
      <c r="AA1146" s="5">
        <v>80</v>
      </c>
      <c r="AB1146" s="5">
        <v>0</v>
      </c>
      <c r="AC1146" s="5">
        <v>10</v>
      </c>
      <c r="AD1146" s="5">
        <v>3</v>
      </c>
      <c r="AE1146" s="5">
        <v>3</v>
      </c>
      <c r="AF1146" s="5">
        <v>5</v>
      </c>
      <c r="AG1146" s="5">
        <v>2</v>
      </c>
      <c r="AH1146" s="5">
        <v>0</v>
      </c>
      <c r="AI1146" s="5">
        <v>3</v>
      </c>
    </row>
    <row r="1147" spans="1:35" x14ac:dyDescent="0.25">
      <c r="A1147" s="5">
        <v>36</v>
      </c>
      <c r="B1147" s="5" t="s">
        <v>43</v>
      </c>
      <c r="C1147" s="5" t="s">
        <v>36</v>
      </c>
      <c r="D1147" s="5">
        <v>559</v>
      </c>
      <c r="E1147" s="5" t="s">
        <v>45</v>
      </c>
      <c r="F1147" s="5">
        <v>12</v>
      </c>
      <c r="G1147" s="5">
        <v>4</v>
      </c>
      <c r="H1147" s="5" t="s">
        <v>38</v>
      </c>
      <c r="I1147" s="5">
        <v>1</v>
      </c>
      <c r="J1147" s="5">
        <v>1614</v>
      </c>
      <c r="K1147" s="5">
        <v>3</v>
      </c>
      <c r="L1147" s="5" t="s">
        <v>39</v>
      </c>
      <c r="M1147" s="5">
        <v>76</v>
      </c>
      <c r="N1147" s="5">
        <v>3</v>
      </c>
      <c r="O1147" s="5">
        <v>2</v>
      </c>
      <c r="P1147" s="5" t="s">
        <v>53</v>
      </c>
      <c r="Q1147" s="5">
        <v>3</v>
      </c>
      <c r="R1147" s="5" t="s">
        <v>48</v>
      </c>
      <c r="S1147" s="5">
        <v>4663</v>
      </c>
      <c r="T1147" s="5">
        <v>12421</v>
      </c>
      <c r="U1147" s="5">
        <v>9</v>
      </c>
      <c r="V1147" s="5" t="s">
        <v>42</v>
      </c>
      <c r="W1147" s="5" t="s">
        <v>35</v>
      </c>
      <c r="X1147" s="5">
        <v>12</v>
      </c>
      <c r="Y1147" s="5">
        <v>3</v>
      </c>
      <c r="Z1147" s="5">
        <v>2</v>
      </c>
      <c r="AA1147" s="5">
        <v>80</v>
      </c>
      <c r="AB1147" s="5">
        <v>2</v>
      </c>
      <c r="AC1147" s="5">
        <v>7</v>
      </c>
      <c r="AD1147" s="5">
        <v>2</v>
      </c>
      <c r="AE1147" s="5">
        <v>3</v>
      </c>
      <c r="AF1147" s="5">
        <v>3</v>
      </c>
      <c r="AG1147" s="5">
        <v>2</v>
      </c>
      <c r="AH1147" s="5">
        <v>1</v>
      </c>
      <c r="AI1147" s="5">
        <v>1</v>
      </c>
    </row>
    <row r="1148" spans="1:35" x14ac:dyDescent="0.25">
      <c r="A1148" s="5">
        <v>34</v>
      </c>
      <c r="B1148" s="5" t="s">
        <v>43</v>
      </c>
      <c r="C1148" s="5" t="s">
        <v>44</v>
      </c>
      <c r="D1148" s="5">
        <v>426</v>
      </c>
      <c r="E1148" s="5" t="s">
        <v>45</v>
      </c>
      <c r="F1148" s="5">
        <v>10</v>
      </c>
      <c r="G1148" s="5">
        <v>4</v>
      </c>
      <c r="H1148" s="5" t="s">
        <v>38</v>
      </c>
      <c r="I1148" s="5">
        <v>1</v>
      </c>
      <c r="J1148" s="5">
        <v>1615</v>
      </c>
      <c r="K1148" s="5">
        <v>3</v>
      </c>
      <c r="L1148" s="5" t="s">
        <v>46</v>
      </c>
      <c r="M1148" s="5">
        <v>42</v>
      </c>
      <c r="N1148" s="5">
        <v>4</v>
      </c>
      <c r="O1148" s="5">
        <v>2</v>
      </c>
      <c r="P1148" s="5" t="s">
        <v>53</v>
      </c>
      <c r="Q1148" s="5">
        <v>4</v>
      </c>
      <c r="R1148" s="5" t="s">
        <v>52</v>
      </c>
      <c r="S1148" s="5">
        <v>4724</v>
      </c>
      <c r="T1148" s="5">
        <v>17000</v>
      </c>
      <c r="U1148" s="5">
        <v>1</v>
      </c>
      <c r="V1148" s="5" t="s">
        <v>42</v>
      </c>
      <c r="W1148" s="5" t="s">
        <v>43</v>
      </c>
      <c r="X1148" s="5">
        <v>13</v>
      </c>
      <c r="Y1148" s="5">
        <v>3</v>
      </c>
      <c r="Z1148" s="5">
        <v>1</v>
      </c>
      <c r="AA1148" s="5">
        <v>80</v>
      </c>
      <c r="AB1148" s="5">
        <v>1</v>
      </c>
      <c r="AC1148" s="5">
        <v>9</v>
      </c>
      <c r="AD1148" s="5">
        <v>3</v>
      </c>
      <c r="AE1148" s="5">
        <v>3</v>
      </c>
      <c r="AF1148" s="5">
        <v>9</v>
      </c>
      <c r="AG1148" s="5">
        <v>7</v>
      </c>
      <c r="AH1148" s="5">
        <v>7</v>
      </c>
      <c r="AI1148" s="5">
        <v>2</v>
      </c>
    </row>
    <row r="1149" spans="1:35" x14ac:dyDescent="0.25">
      <c r="A1149" s="5">
        <v>49</v>
      </c>
      <c r="B1149" s="5" t="s">
        <v>43</v>
      </c>
      <c r="C1149" s="5" t="s">
        <v>36</v>
      </c>
      <c r="D1149" s="5">
        <v>722</v>
      </c>
      <c r="E1149" s="5" t="s">
        <v>45</v>
      </c>
      <c r="F1149" s="5">
        <v>25</v>
      </c>
      <c r="G1149" s="5">
        <v>4</v>
      </c>
      <c r="H1149" s="5" t="s">
        <v>38</v>
      </c>
      <c r="I1149" s="5">
        <v>1</v>
      </c>
      <c r="J1149" s="5">
        <v>1617</v>
      </c>
      <c r="K1149" s="5">
        <v>3</v>
      </c>
      <c r="L1149" s="5" t="s">
        <v>39</v>
      </c>
      <c r="M1149" s="5">
        <v>84</v>
      </c>
      <c r="N1149" s="5">
        <v>3</v>
      </c>
      <c r="O1149" s="5">
        <v>1</v>
      </c>
      <c r="P1149" s="5" t="s">
        <v>50</v>
      </c>
      <c r="Q1149" s="5">
        <v>1</v>
      </c>
      <c r="R1149" s="5" t="s">
        <v>48</v>
      </c>
      <c r="S1149" s="5">
        <v>3211</v>
      </c>
      <c r="T1149" s="5">
        <v>22102</v>
      </c>
      <c r="U1149" s="5">
        <v>1</v>
      </c>
      <c r="V1149" s="5" t="s">
        <v>42</v>
      </c>
      <c r="W1149" s="5" t="s">
        <v>43</v>
      </c>
      <c r="X1149" s="5">
        <v>14</v>
      </c>
      <c r="Y1149" s="5">
        <v>3</v>
      </c>
      <c r="Z1149" s="5">
        <v>4</v>
      </c>
      <c r="AA1149" s="5">
        <v>80</v>
      </c>
      <c r="AB1149" s="5">
        <v>1</v>
      </c>
      <c r="AC1149" s="5">
        <v>10</v>
      </c>
      <c r="AD1149" s="5">
        <v>3</v>
      </c>
      <c r="AE1149" s="5">
        <v>2</v>
      </c>
      <c r="AF1149" s="5">
        <v>9</v>
      </c>
      <c r="AG1149" s="5">
        <v>6</v>
      </c>
      <c r="AH1149" s="5">
        <v>1</v>
      </c>
      <c r="AI1149" s="5">
        <v>4</v>
      </c>
    </row>
    <row r="1150" spans="1:35" x14ac:dyDescent="0.25">
      <c r="A1150" s="5">
        <v>39</v>
      </c>
      <c r="B1150" s="5" t="s">
        <v>43</v>
      </c>
      <c r="C1150" s="5" t="s">
        <v>36</v>
      </c>
      <c r="D1150" s="5">
        <v>1387</v>
      </c>
      <c r="E1150" s="5" t="s">
        <v>45</v>
      </c>
      <c r="F1150" s="5">
        <v>10</v>
      </c>
      <c r="G1150" s="5">
        <v>5</v>
      </c>
      <c r="H1150" s="5" t="s">
        <v>51</v>
      </c>
      <c r="I1150" s="5">
        <v>1</v>
      </c>
      <c r="J1150" s="5">
        <v>1618</v>
      </c>
      <c r="K1150" s="5">
        <v>2</v>
      </c>
      <c r="L1150" s="5" t="s">
        <v>46</v>
      </c>
      <c r="M1150" s="5">
        <v>76</v>
      </c>
      <c r="N1150" s="5">
        <v>3</v>
      </c>
      <c r="O1150" s="5">
        <v>2</v>
      </c>
      <c r="P1150" s="5" t="s">
        <v>53</v>
      </c>
      <c r="Q1150" s="5">
        <v>1</v>
      </c>
      <c r="R1150" s="5" t="s">
        <v>48</v>
      </c>
      <c r="S1150" s="5">
        <v>5377</v>
      </c>
      <c r="T1150" s="5">
        <v>3835</v>
      </c>
      <c r="U1150" s="5">
        <v>2</v>
      </c>
      <c r="V1150" s="5" t="s">
        <v>42</v>
      </c>
      <c r="W1150" s="5" t="s">
        <v>43</v>
      </c>
      <c r="X1150" s="5">
        <v>13</v>
      </c>
      <c r="Y1150" s="5">
        <v>3</v>
      </c>
      <c r="Z1150" s="5">
        <v>4</v>
      </c>
      <c r="AA1150" s="5">
        <v>80</v>
      </c>
      <c r="AB1150" s="5">
        <v>3</v>
      </c>
      <c r="AC1150" s="5">
        <v>10</v>
      </c>
      <c r="AD1150" s="5">
        <v>3</v>
      </c>
      <c r="AE1150" s="5">
        <v>3</v>
      </c>
      <c r="AF1150" s="5">
        <v>7</v>
      </c>
      <c r="AG1150" s="5">
        <v>7</v>
      </c>
      <c r="AH1150" s="5">
        <v>7</v>
      </c>
      <c r="AI1150" s="5">
        <v>7</v>
      </c>
    </row>
    <row r="1151" spans="1:35" x14ac:dyDescent="0.25">
      <c r="A1151" s="5">
        <v>27</v>
      </c>
      <c r="B1151" s="5" t="s">
        <v>43</v>
      </c>
      <c r="C1151" s="5" t="s">
        <v>36</v>
      </c>
      <c r="D1151" s="5">
        <v>1302</v>
      </c>
      <c r="E1151" s="5" t="s">
        <v>45</v>
      </c>
      <c r="F1151" s="5">
        <v>19</v>
      </c>
      <c r="G1151" s="5">
        <v>3</v>
      </c>
      <c r="H1151" s="5" t="s">
        <v>49</v>
      </c>
      <c r="I1151" s="5">
        <v>1</v>
      </c>
      <c r="J1151" s="5">
        <v>1619</v>
      </c>
      <c r="K1151" s="5">
        <v>4</v>
      </c>
      <c r="L1151" s="5" t="s">
        <v>46</v>
      </c>
      <c r="M1151" s="5">
        <v>67</v>
      </c>
      <c r="N1151" s="5">
        <v>2</v>
      </c>
      <c r="O1151" s="5">
        <v>1</v>
      </c>
      <c r="P1151" s="5" t="s">
        <v>50</v>
      </c>
      <c r="Q1151" s="5">
        <v>1</v>
      </c>
      <c r="R1151" s="5" t="s">
        <v>52</v>
      </c>
      <c r="S1151" s="5">
        <v>4066</v>
      </c>
      <c r="T1151" s="5">
        <v>16290</v>
      </c>
      <c r="U1151" s="5">
        <v>1</v>
      </c>
      <c r="V1151" s="5" t="s">
        <v>42</v>
      </c>
      <c r="W1151" s="5" t="s">
        <v>43</v>
      </c>
      <c r="X1151" s="5">
        <v>11</v>
      </c>
      <c r="Y1151" s="5">
        <v>3</v>
      </c>
      <c r="Z1151" s="5">
        <v>1</v>
      </c>
      <c r="AA1151" s="5">
        <v>80</v>
      </c>
      <c r="AB1151" s="5">
        <v>2</v>
      </c>
      <c r="AC1151" s="5">
        <v>7</v>
      </c>
      <c r="AD1151" s="5">
        <v>3</v>
      </c>
      <c r="AE1151" s="5">
        <v>3</v>
      </c>
      <c r="AF1151" s="5">
        <v>7</v>
      </c>
      <c r="AG1151" s="5">
        <v>7</v>
      </c>
      <c r="AH1151" s="5">
        <v>0</v>
      </c>
      <c r="AI1151" s="5">
        <v>7</v>
      </c>
    </row>
    <row r="1152" spans="1:35" x14ac:dyDescent="0.25">
      <c r="A1152" s="5">
        <v>35</v>
      </c>
      <c r="B1152" s="5" t="s">
        <v>43</v>
      </c>
      <c r="C1152" s="5" t="s">
        <v>36</v>
      </c>
      <c r="D1152" s="5">
        <v>819</v>
      </c>
      <c r="E1152" s="5" t="s">
        <v>45</v>
      </c>
      <c r="F1152" s="5">
        <v>18</v>
      </c>
      <c r="G1152" s="5">
        <v>5</v>
      </c>
      <c r="H1152" s="5" t="s">
        <v>38</v>
      </c>
      <c r="I1152" s="5">
        <v>1</v>
      </c>
      <c r="J1152" s="5">
        <v>1621</v>
      </c>
      <c r="K1152" s="5">
        <v>2</v>
      </c>
      <c r="L1152" s="5" t="s">
        <v>46</v>
      </c>
      <c r="M1152" s="5">
        <v>48</v>
      </c>
      <c r="N1152" s="5">
        <v>4</v>
      </c>
      <c r="O1152" s="5">
        <v>2</v>
      </c>
      <c r="P1152" s="5" t="s">
        <v>47</v>
      </c>
      <c r="Q1152" s="5">
        <v>1</v>
      </c>
      <c r="R1152" s="5" t="s">
        <v>48</v>
      </c>
      <c r="S1152" s="5">
        <v>5208</v>
      </c>
      <c r="T1152" s="5">
        <v>26312</v>
      </c>
      <c r="U1152" s="5">
        <v>1</v>
      </c>
      <c r="V1152" s="5" t="s">
        <v>42</v>
      </c>
      <c r="W1152" s="5" t="s">
        <v>43</v>
      </c>
      <c r="X1152" s="5">
        <v>11</v>
      </c>
      <c r="Y1152" s="5">
        <v>3</v>
      </c>
      <c r="Z1152" s="5">
        <v>4</v>
      </c>
      <c r="AA1152" s="5">
        <v>80</v>
      </c>
      <c r="AB1152" s="5">
        <v>0</v>
      </c>
      <c r="AC1152" s="5">
        <v>16</v>
      </c>
      <c r="AD1152" s="5">
        <v>2</v>
      </c>
      <c r="AE1152" s="5">
        <v>3</v>
      </c>
      <c r="AF1152" s="5">
        <v>16</v>
      </c>
      <c r="AG1152" s="5">
        <v>15</v>
      </c>
      <c r="AH1152" s="5">
        <v>1</v>
      </c>
      <c r="AI1152" s="5">
        <v>10</v>
      </c>
    </row>
    <row r="1153" spans="1:35" x14ac:dyDescent="0.25">
      <c r="A1153" s="5">
        <v>28</v>
      </c>
      <c r="B1153" s="5" t="s">
        <v>43</v>
      </c>
      <c r="C1153" s="5" t="s">
        <v>36</v>
      </c>
      <c r="D1153" s="5">
        <v>580</v>
      </c>
      <c r="E1153" s="5" t="s">
        <v>45</v>
      </c>
      <c r="F1153" s="5">
        <v>27</v>
      </c>
      <c r="G1153" s="5">
        <v>3</v>
      </c>
      <c r="H1153" s="5" t="s">
        <v>51</v>
      </c>
      <c r="I1153" s="5">
        <v>1</v>
      </c>
      <c r="J1153" s="5">
        <v>1622</v>
      </c>
      <c r="K1153" s="5">
        <v>2</v>
      </c>
      <c r="L1153" s="5" t="s">
        <v>39</v>
      </c>
      <c r="M1153" s="5">
        <v>39</v>
      </c>
      <c r="N1153" s="5">
        <v>1</v>
      </c>
      <c r="O1153" s="5">
        <v>2</v>
      </c>
      <c r="P1153" s="5" t="s">
        <v>53</v>
      </c>
      <c r="Q1153" s="5">
        <v>1</v>
      </c>
      <c r="R1153" s="5" t="s">
        <v>52</v>
      </c>
      <c r="S1153" s="5">
        <v>4877</v>
      </c>
      <c r="T1153" s="5">
        <v>20460</v>
      </c>
      <c r="U1153" s="5">
        <v>0</v>
      </c>
      <c r="V1153" s="5" t="s">
        <v>42</v>
      </c>
      <c r="W1153" s="5" t="s">
        <v>43</v>
      </c>
      <c r="X1153" s="5">
        <v>21</v>
      </c>
      <c r="Y1153" s="5">
        <v>4</v>
      </c>
      <c r="Z1153" s="5">
        <v>2</v>
      </c>
      <c r="AA1153" s="5">
        <v>80</v>
      </c>
      <c r="AB1153" s="5">
        <v>1</v>
      </c>
      <c r="AC1153" s="5">
        <v>6</v>
      </c>
      <c r="AD1153" s="5">
        <v>5</v>
      </c>
      <c r="AE1153" s="5">
        <v>2</v>
      </c>
      <c r="AF1153" s="5">
        <v>5</v>
      </c>
      <c r="AG1153" s="5">
        <v>3</v>
      </c>
      <c r="AH1153" s="5">
        <v>0</v>
      </c>
      <c r="AI1153" s="5">
        <v>0</v>
      </c>
    </row>
    <row r="1154" spans="1:35" x14ac:dyDescent="0.25">
      <c r="A1154" s="5">
        <v>21</v>
      </c>
      <c r="B1154" s="5" t="s">
        <v>43</v>
      </c>
      <c r="C1154" s="5" t="s">
        <v>36</v>
      </c>
      <c r="D1154" s="5">
        <v>546</v>
      </c>
      <c r="E1154" s="5" t="s">
        <v>45</v>
      </c>
      <c r="F1154" s="5">
        <v>5</v>
      </c>
      <c r="G1154" s="5">
        <v>1</v>
      </c>
      <c r="H1154" s="5" t="s">
        <v>51</v>
      </c>
      <c r="I1154" s="5">
        <v>1</v>
      </c>
      <c r="J1154" s="5">
        <v>1623</v>
      </c>
      <c r="K1154" s="5">
        <v>3</v>
      </c>
      <c r="L1154" s="5" t="s">
        <v>46</v>
      </c>
      <c r="M1154" s="5">
        <v>97</v>
      </c>
      <c r="N1154" s="5">
        <v>3</v>
      </c>
      <c r="O1154" s="5">
        <v>1</v>
      </c>
      <c r="P1154" s="5" t="s">
        <v>47</v>
      </c>
      <c r="Q1154" s="5">
        <v>4</v>
      </c>
      <c r="R1154" s="5" t="s">
        <v>41</v>
      </c>
      <c r="S1154" s="5">
        <v>3117</v>
      </c>
      <c r="T1154" s="5">
        <v>26009</v>
      </c>
      <c r="U1154" s="5">
        <v>1</v>
      </c>
      <c r="V1154" s="5" t="s">
        <v>42</v>
      </c>
      <c r="W1154" s="5" t="s">
        <v>43</v>
      </c>
      <c r="X1154" s="5">
        <v>18</v>
      </c>
      <c r="Y1154" s="5">
        <v>3</v>
      </c>
      <c r="Z1154" s="5">
        <v>3</v>
      </c>
      <c r="AA1154" s="5">
        <v>80</v>
      </c>
      <c r="AB1154" s="5">
        <v>0</v>
      </c>
      <c r="AC1154" s="5">
        <v>3</v>
      </c>
      <c r="AD1154" s="5">
        <v>2</v>
      </c>
      <c r="AE1154" s="5">
        <v>3</v>
      </c>
      <c r="AF1154" s="5">
        <v>2</v>
      </c>
      <c r="AG1154" s="5">
        <v>2</v>
      </c>
      <c r="AH1154" s="5">
        <v>2</v>
      </c>
      <c r="AI1154" s="5">
        <v>2</v>
      </c>
    </row>
    <row r="1155" spans="1:35" x14ac:dyDescent="0.25">
      <c r="A1155" s="5">
        <v>18</v>
      </c>
      <c r="B1155" s="5" t="s">
        <v>35</v>
      </c>
      <c r="C1155" s="5" t="s">
        <v>44</v>
      </c>
      <c r="D1155" s="5">
        <v>544</v>
      </c>
      <c r="E1155" s="5" t="s">
        <v>37</v>
      </c>
      <c r="F1155" s="5">
        <v>3</v>
      </c>
      <c r="G1155" s="5">
        <v>2</v>
      </c>
      <c r="H1155" s="5" t="s">
        <v>51</v>
      </c>
      <c r="I1155" s="5">
        <v>1</v>
      </c>
      <c r="J1155" s="5">
        <v>1624</v>
      </c>
      <c r="K1155" s="5">
        <v>2</v>
      </c>
      <c r="L1155" s="5" t="s">
        <v>39</v>
      </c>
      <c r="M1155" s="5">
        <v>70</v>
      </c>
      <c r="N1155" s="5">
        <v>3</v>
      </c>
      <c r="O1155" s="5">
        <v>1</v>
      </c>
      <c r="P1155" s="5" t="s">
        <v>57</v>
      </c>
      <c r="Q1155" s="5">
        <v>4</v>
      </c>
      <c r="R1155" s="5" t="s">
        <v>41</v>
      </c>
      <c r="S1155" s="5">
        <v>1569</v>
      </c>
      <c r="T1155" s="5">
        <v>18420</v>
      </c>
      <c r="U1155" s="5">
        <v>1</v>
      </c>
      <c r="V1155" s="5" t="s">
        <v>42</v>
      </c>
      <c r="W1155" s="5" t="s">
        <v>35</v>
      </c>
      <c r="X1155" s="5">
        <v>12</v>
      </c>
      <c r="Y1155" s="5">
        <v>3</v>
      </c>
      <c r="Z1155" s="5">
        <v>3</v>
      </c>
      <c r="AA1155" s="5">
        <v>80</v>
      </c>
      <c r="AB1155" s="5">
        <v>0</v>
      </c>
      <c r="AC1155" s="5">
        <v>0</v>
      </c>
      <c r="AD1155" s="5">
        <v>2</v>
      </c>
      <c r="AE1155" s="5">
        <v>4</v>
      </c>
      <c r="AF1155" s="5">
        <v>0</v>
      </c>
      <c r="AG1155" s="5">
        <v>0</v>
      </c>
      <c r="AH1155" s="5">
        <v>0</v>
      </c>
      <c r="AI1155" s="5">
        <v>0</v>
      </c>
    </row>
    <row r="1156" spans="1:35" x14ac:dyDescent="0.25">
      <c r="A1156" s="5">
        <v>47</v>
      </c>
      <c r="B1156" s="5" t="s">
        <v>43</v>
      </c>
      <c r="C1156" s="5" t="s">
        <v>36</v>
      </c>
      <c r="D1156" s="5">
        <v>1176</v>
      </c>
      <c r="E1156" s="5" t="s">
        <v>61</v>
      </c>
      <c r="F1156" s="5">
        <v>26</v>
      </c>
      <c r="G1156" s="5">
        <v>4</v>
      </c>
      <c r="H1156" s="5" t="s">
        <v>38</v>
      </c>
      <c r="I1156" s="5">
        <v>1</v>
      </c>
      <c r="J1156" s="5">
        <v>1625</v>
      </c>
      <c r="K1156" s="5">
        <v>4</v>
      </c>
      <c r="L1156" s="5" t="s">
        <v>39</v>
      </c>
      <c r="M1156" s="5">
        <v>98</v>
      </c>
      <c r="N1156" s="5">
        <v>3</v>
      </c>
      <c r="O1156" s="5">
        <v>5</v>
      </c>
      <c r="P1156" s="5" t="s">
        <v>56</v>
      </c>
      <c r="Q1156" s="5">
        <v>3</v>
      </c>
      <c r="R1156" s="5" t="s">
        <v>48</v>
      </c>
      <c r="S1156" s="5">
        <v>19658</v>
      </c>
      <c r="T1156" s="5">
        <v>5220</v>
      </c>
      <c r="U1156" s="5">
        <v>3</v>
      </c>
      <c r="V1156" s="5" t="s">
        <v>42</v>
      </c>
      <c r="W1156" s="5" t="s">
        <v>43</v>
      </c>
      <c r="X1156" s="5">
        <v>11</v>
      </c>
      <c r="Y1156" s="5">
        <v>3</v>
      </c>
      <c r="Z1156" s="5">
        <v>3</v>
      </c>
      <c r="AA1156" s="5">
        <v>80</v>
      </c>
      <c r="AB1156" s="5">
        <v>1</v>
      </c>
      <c r="AC1156" s="5">
        <v>27</v>
      </c>
      <c r="AD1156" s="5">
        <v>2</v>
      </c>
      <c r="AE1156" s="5">
        <v>3</v>
      </c>
      <c r="AF1156" s="5">
        <v>5</v>
      </c>
      <c r="AG1156" s="5">
        <v>2</v>
      </c>
      <c r="AH1156" s="5">
        <v>1</v>
      </c>
      <c r="AI1156" s="5">
        <v>0</v>
      </c>
    </row>
    <row r="1157" spans="1:35" x14ac:dyDescent="0.25">
      <c r="A1157" s="5">
        <v>39</v>
      </c>
      <c r="B1157" s="5" t="s">
        <v>43</v>
      </c>
      <c r="C1157" s="5" t="s">
        <v>36</v>
      </c>
      <c r="D1157" s="5">
        <v>170</v>
      </c>
      <c r="E1157" s="5" t="s">
        <v>45</v>
      </c>
      <c r="F1157" s="5">
        <v>3</v>
      </c>
      <c r="G1157" s="5">
        <v>2</v>
      </c>
      <c r="H1157" s="5" t="s">
        <v>51</v>
      </c>
      <c r="I1157" s="5">
        <v>1</v>
      </c>
      <c r="J1157" s="5">
        <v>1627</v>
      </c>
      <c r="K1157" s="5">
        <v>3</v>
      </c>
      <c r="L1157" s="5" t="s">
        <v>46</v>
      </c>
      <c r="M1157" s="5">
        <v>76</v>
      </c>
      <c r="N1157" s="5">
        <v>2</v>
      </c>
      <c r="O1157" s="5">
        <v>2</v>
      </c>
      <c r="P1157" s="5" t="s">
        <v>50</v>
      </c>
      <c r="Q1157" s="5">
        <v>3</v>
      </c>
      <c r="R1157" s="5" t="s">
        <v>52</v>
      </c>
      <c r="S1157" s="5">
        <v>3069</v>
      </c>
      <c r="T1157" s="5">
        <v>10302</v>
      </c>
      <c r="U1157" s="5">
        <v>0</v>
      </c>
      <c r="V1157" s="5" t="s">
        <v>42</v>
      </c>
      <c r="W1157" s="5" t="s">
        <v>43</v>
      </c>
      <c r="X1157" s="5">
        <v>15</v>
      </c>
      <c r="Y1157" s="5">
        <v>3</v>
      </c>
      <c r="Z1157" s="5">
        <v>4</v>
      </c>
      <c r="AA1157" s="5">
        <v>80</v>
      </c>
      <c r="AB1157" s="5">
        <v>1</v>
      </c>
      <c r="AC1157" s="5">
        <v>11</v>
      </c>
      <c r="AD1157" s="5">
        <v>3</v>
      </c>
      <c r="AE1157" s="5">
        <v>3</v>
      </c>
      <c r="AF1157" s="5">
        <v>10</v>
      </c>
      <c r="AG1157" s="5">
        <v>8</v>
      </c>
      <c r="AH1157" s="5">
        <v>0</v>
      </c>
      <c r="AI1157" s="5">
        <v>7</v>
      </c>
    </row>
    <row r="1158" spans="1:35" x14ac:dyDescent="0.25">
      <c r="A1158" s="5">
        <v>40</v>
      </c>
      <c r="B1158" s="5" t="s">
        <v>43</v>
      </c>
      <c r="C1158" s="5" t="s">
        <v>36</v>
      </c>
      <c r="D1158" s="5">
        <v>884</v>
      </c>
      <c r="E1158" s="5" t="s">
        <v>45</v>
      </c>
      <c r="F1158" s="5">
        <v>15</v>
      </c>
      <c r="G1158" s="5">
        <v>3</v>
      </c>
      <c r="H1158" s="5" t="s">
        <v>38</v>
      </c>
      <c r="I1158" s="5">
        <v>1</v>
      </c>
      <c r="J1158" s="5">
        <v>1628</v>
      </c>
      <c r="K1158" s="5">
        <v>1</v>
      </c>
      <c r="L1158" s="5" t="s">
        <v>39</v>
      </c>
      <c r="M1158" s="5">
        <v>80</v>
      </c>
      <c r="N1158" s="5">
        <v>2</v>
      </c>
      <c r="O1158" s="5">
        <v>3</v>
      </c>
      <c r="P1158" s="5" t="s">
        <v>53</v>
      </c>
      <c r="Q1158" s="5">
        <v>3</v>
      </c>
      <c r="R1158" s="5" t="s">
        <v>48</v>
      </c>
      <c r="S1158" s="5">
        <v>10435</v>
      </c>
      <c r="T1158" s="5">
        <v>25800</v>
      </c>
      <c r="U1158" s="5">
        <v>1</v>
      </c>
      <c r="V1158" s="5" t="s">
        <v>42</v>
      </c>
      <c r="W1158" s="5" t="s">
        <v>43</v>
      </c>
      <c r="X1158" s="5">
        <v>13</v>
      </c>
      <c r="Y1158" s="5">
        <v>3</v>
      </c>
      <c r="Z1158" s="5">
        <v>4</v>
      </c>
      <c r="AA1158" s="5">
        <v>80</v>
      </c>
      <c r="AB1158" s="5">
        <v>2</v>
      </c>
      <c r="AC1158" s="5">
        <v>18</v>
      </c>
      <c r="AD1158" s="5">
        <v>2</v>
      </c>
      <c r="AE1158" s="5">
        <v>3</v>
      </c>
      <c r="AF1158" s="5">
        <v>18</v>
      </c>
      <c r="AG1158" s="5">
        <v>15</v>
      </c>
      <c r="AH1158" s="5">
        <v>14</v>
      </c>
      <c r="AI1158" s="5">
        <v>12</v>
      </c>
    </row>
    <row r="1159" spans="1:35" x14ac:dyDescent="0.25">
      <c r="A1159" s="5">
        <v>35</v>
      </c>
      <c r="B1159" s="5" t="s">
        <v>43</v>
      </c>
      <c r="C1159" s="5" t="s">
        <v>55</v>
      </c>
      <c r="D1159" s="5">
        <v>208</v>
      </c>
      <c r="E1159" s="5" t="s">
        <v>45</v>
      </c>
      <c r="F1159" s="5">
        <v>8</v>
      </c>
      <c r="G1159" s="5">
        <v>4</v>
      </c>
      <c r="H1159" s="5" t="s">
        <v>38</v>
      </c>
      <c r="I1159" s="5">
        <v>1</v>
      </c>
      <c r="J1159" s="5">
        <v>1630</v>
      </c>
      <c r="K1159" s="5">
        <v>3</v>
      </c>
      <c r="L1159" s="5" t="s">
        <v>39</v>
      </c>
      <c r="M1159" s="5">
        <v>52</v>
      </c>
      <c r="N1159" s="5">
        <v>3</v>
      </c>
      <c r="O1159" s="5">
        <v>2</v>
      </c>
      <c r="P1159" s="5" t="s">
        <v>54</v>
      </c>
      <c r="Q1159" s="5">
        <v>3</v>
      </c>
      <c r="R1159" s="5" t="s">
        <v>48</v>
      </c>
      <c r="S1159" s="5">
        <v>4148</v>
      </c>
      <c r="T1159" s="5">
        <v>12250</v>
      </c>
      <c r="U1159" s="5">
        <v>1</v>
      </c>
      <c r="V1159" s="5" t="s">
        <v>42</v>
      </c>
      <c r="W1159" s="5" t="s">
        <v>43</v>
      </c>
      <c r="X1159" s="5">
        <v>12</v>
      </c>
      <c r="Y1159" s="5">
        <v>3</v>
      </c>
      <c r="Z1159" s="5">
        <v>4</v>
      </c>
      <c r="AA1159" s="5">
        <v>80</v>
      </c>
      <c r="AB1159" s="5">
        <v>1</v>
      </c>
      <c r="AC1159" s="5">
        <v>15</v>
      </c>
      <c r="AD1159" s="5">
        <v>5</v>
      </c>
      <c r="AE1159" s="5">
        <v>3</v>
      </c>
      <c r="AF1159" s="5">
        <v>14</v>
      </c>
      <c r="AG1159" s="5">
        <v>11</v>
      </c>
      <c r="AH1159" s="5">
        <v>2</v>
      </c>
      <c r="AI1159" s="5">
        <v>9</v>
      </c>
    </row>
    <row r="1160" spans="1:35" x14ac:dyDescent="0.25">
      <c r="A1160" s="5">
        <v>37</v>
      </c>
      <c r="B1160" s="5" t="s">
        <v>43</v>
      </c>
      <c r="C1160" s="5" t="s">
        <v>36</v>
      </c>
      <c r="D1160" s="5">
        <v>671</v>
      </c>
      <c r="E1160" s="5" t="s">
        <v>45</v>
      </c>
      <c r="F1160" s="5">
        <v>19</v>
      </c>
      <c r="G1160" s="5">
        <v>3</v>
      </c>
      <c r="H1160" s="5" t="s">
        <v>38</v>
      </c>
      <c r="I1160" s="5">
        <v>1</v>
      </c>
      <c r="J1160" s="5">
        <v>1631</v>
      </c>
      <c r="K1160" s="5">
        <v>3</v>
      </c>
      <c r="L1160" s="5" t="s">
        <v>46</v>
      </c>
      <c r="M1160" s="5">
        <v>85</v>
      </c>
      <c r="N1160" s="5">
        <v>3</v>
      </c>
      <c r="O1160" s="5">
        <v>2</v>
      </c>
      <c r="P1160" s="5" t="s">
        <v>53</v>
      </c>
      <c r="Q1160" s="5">
        <v>3</v>
      </c>
      <c r="R1160" s="5" t="s">
        <v>48</v>
      </c>
      <c r="S1160" s="5">
        <v>5768</v>
      </c>
      <c r="T1160" s="5">
        <v>26493</v>
      </c>
      <c r="U1160" s="5">
        <v>3</v>
      </c>
      <c r="V1160" s="5" t="s">
        <v>42</v>
      </c>
      <c r="W1160" s="5" t="s">
        <v>43</v>
      </c>
      <c r="X1160" s="5">
        <v>17</v>
      </c>
      <c r="Y1160" s="5">
        <v>3</v>
      </c>
      <c r="Z1160" s="5">
        <v>1</v>
      </c>
      <c r="AA1160" s="5">
        <v>80</v>
      </c>
      <c r="AB1160" s="5">
        <v>3</v>
      </c>
      <c r="AC1160" s="5">
        <v>9</v>
      </c>
      <c r="AD1160" s="5">
        <v>2</v>
      </c>
      <c r="AE1160" s="5">
        <v>2</v>
      </c>
      <c r="AF1160" s="5">
        <v>4</v>
      </c>
      <c r="AG1160" s="5">
        <v>3</v>
      </c>
      <c r="AH1160" s="5">
        <v>0</v>
      </c>
      <c r="AI1160" s="5">
        <v>2</v>
      </c>
    </row>
    <row r="1161" spans="1:35" x14ac:dyDescent="0.25">
      <c r="A1161" s="5">
        <v>39</v>
      </c>
      <c r="B1161" s="5" t="s">
        <v>43</v>
      </c>
      <c r="C1161" s="5" t="s">
        <v>44</v>
      </c>
      <c r="D1161" s="5">
        <v>711</v>
      </c>
      <c r="E1161" s="5" t="s">
        <v>45</v>
      </c>
      <c r="F1161" s="5">
        <v>4</v>
      </c>
      <c r="G1161" s="5">
        <v>3</v>
      </c>
      <c r="H1161" s="5" t="s">
        <v>51</v>
      </c>
      <c r="I1161" s="5">
        <v>1</v>
      </c>
      <c r="J1161" s="5">
        <v>1633</v>
      </c>
      <c r="K1161" s="5">
        <v>1</v>
      </c>
      <c r="L1161" s="5" t="s">
        <v>39</v>
      </c>
      <c r="M1161" s="5">
        <v>81</v>
      </c>
      <c r="N1161" s="5">
        <v>3</v>
      </c>
      <c r="O1161" s="5">
        <v>2</v>
      </c>
      <c r="P1161" s="5" t="s">
        <v>53</v>
      </c>
      <c r="Q1161" s="5">
        <v>3</v>
      </c>
      <c r="R1161" s="5" t="s">
        <v>41</v>
      </c>
      <c r="S1161" s="5">
        <v>5042</v>
      </c>
      <c r="T1161" s="5">
        <v>3140</v>
      </c>
      <c r="U1161" s="5">
        <v>0</v>
      </c>
      <c r="V1161" s="5" t="s">
        <v>42</v>
      </c>
      <c r="W1161" s="5" t="s">
        <v>43</v>
      </c>
      <c r="X1161" s="5">
        <v>13</v>
      </c>
      <c r="Y1161" s="5">
        <v>3</v>
      </c>
      <c r="Z1161" s="5">
        <v>4</v>
      </c>
      <c r="AA1161" s="5">
        <v>80</v>
      </c>
      <c r="AB1161" s="5">
        <v>0</v>
      </c>
      <c r="AC1161" s="5">
        <v>10</v>
      </c>
      <c r="AD1161" s="5">
        <v>2</v>
      </c>
      <c r="AE1161" s="5">
        <v>1</v>
      </c>
      <c r="AF1161" s="5">
        <v>9</v>
      </c>
      <c r="AG1161" s="5">
        <v>2</v>
      </c>
      <c r="AH1161" s="5">
        <v>3</v>
      </c>
      <c r="AI1161" s="5">
        <v>8</v>
      </c>
    </row>
    <row r="1162" spans="1:35" x14ac:dyDescent="0.25">
      <c r="A1162" s="5">
        <v>45</v>
      </c>
      <c r="B1162" s="5" t="s">
        <v>43</v>
      </c>
      <c r="C1162" s="5" t="s">
        <v>36</v>
      </c>
      <c r="D1162" s="5">
        <v>1329</v>
      </c>
      <c r="E1162" s="5" t="s">
        <v>45</v>
      </c>
      <c r="F1162" s="5">
        <v>2</v>
      </c>
      <c r="G1162" s="5">
        <v>2</v>
      </c>
      <c r="H1162" s="5" t="s">
        <v>49</v>
      </c>
      <c r="I1162" s="5">
        <v>1</v>
      </c>
      <c r="J1162" s="5">
        <v>1635</v>
      </c>
      <c r="K1162" s="5">
        <v>4</v>
      </c>
      <c r="L1162" s="5" t="s">
        <v>39</v>
      </c>
      <c r="M1162" s="5">
        <v>59</v>
      </c>
      <c r="N1162" s="5">
        <v>2</v>
      </c>
      <c r="O1162" s="5">
        <v>2</v>
      </c>
      <c r="P1162" s="5" t="s">
        <v>53</v>
      </c>
      <c r="Q1162" s="5">
        <v>4</v>
      </c>
      <c r="R1162" s="5" t="s">
        <v>52</v>
      </c>
      <c r="S1162" s="5">
        <v>5770</v>
      </c>
      <c r="T1162" s="5">
        <v>5388</v>
      </c>
      <c r="U1162" s="5">
        <v>1</v>
      </c>
      <c r="V1162" s="5" t="s">
        <v>42</v>
      </c>
      <c r="W1162" s="5" t="s">
        <v>43</v>
      </c>
      <c r="X1162" s="5">
        <v>19</v>
      </c>
      <c r="Y1162" s="5">
        <v>3</v>
      </c>
      <c r="Z1162" s="5">
        <v>1</v>
      </c>
      <c r="AA1162" s="5">
        <v>80</v>
      </c>
      <c r="AB1162" s="5">
        <v>2</v>
      </c>
      <c r="AC1162" s="5">
        <v>10</v>
      </c>
      <c r="AD1162" s="5">
        <v>3</v>
      </c>
      <c r="AE1162" s="5">
        <v>3</v>
      </c>
      <c r="AF1162" s="5">
        <v>10</v>
      </c>
      <c r="AG1162" s="5">
        <v>7</v>
      </c>
      <c r="AH1162" s="5">
        <v>3</v>
      </c>
      <c r="AI1162" s="5">
        <v>9</v>
      </c>
    </row>
    <row r="1163" spans="1:35" x14ac:dyDescent="0.25">
      <c r="A1163" s="5">
        <v>38</v>
      </c>
      <c r="B1163" s="5" t="s">
        <v>43</v>
      </c>
      <c r="C1163" s="5" t="s">
        <v>36</v>
      </c>
      <c r="D1163" s="5">
        <v>397</v>
      </c>
      <c r="E1163" s="5" t="s">
        <v>45</v>
      </c>
      <c r="F1163" s="5">
        <v>2</v>
      </c>
      <c r="G1163" s="5">
        <v>2</v>
      </c>
      <c r="H1163" s="5" t="s">
        <v>51</v>
      </c>
      <c r="I1163" s="5">
        <v>1</v>
      </c>
      <c r="J1163" s="5">
        <v>1638</v>
      </c>
      <c r="K1163" s="5">
        <v>4</v>
      </c>
      <c r="L1163" s="5" t="s">
        <v>39</v>
      </c>
      <c r="M1163" s="5">
        <v>54</v>
      </c>
      <c r="N1163" s="5">
        <v>2</v>
      </c>
      <c r="O1163" s="5">
        <v>3</v>
      </c>
      <c r="P1163" s="5" t="s">
        <v>53</v>
      </c>
      <c r="Q1163" s="5">
        <v>3</v>
      </c>
      <c r="R1163" s="5" t="s">
        <v>48</v>
      </c>
      <c r="S1163" s="5">
        <v>7756</v>
      </c>
      <c r="T1163" s="5">
        <v>14199</v>
      </c>
      <c r="U1163" s="5">
        <v>3</v>
      </c>
      <c r="V1163" s="5" t="s">
        <v>42</v>
      </c>
      <c r="W1163" s="5" t="s">
        <v>35</v>
      </c>
      <c r="X1163" s="5">
        <v>19</v>
      </c>
      <c r="Y1163" s="5">
        <v>3</v>
      </c>
      <c r="Z1163" s="5">
        <v>4</v>
      </c>
      <c r="AA1163" s="5">
        <v>80</v>
      </c>
      <c r="AB1163" s="5">
        <v>1</v>
      </c>
      <c r="AC1163" s="5">
        <v>10</v>
      </c>
      <c r="AD1163" s="5">
        <v>6</v>
      </c>
      <c r="AE1163" s="5">
        <v>4</v>
      </c>
      <c r="AF1163" s="5">
        <v>5</v>
      </c>
      <c r="AG1163" s="5">
        <v>4</v>
      </c>
      <c r="AH1163" s="5">
        <v>0</v>
      </c>
      <c r="AI1163" s="5">
        <v>2</v>
      </c>
    </row>
    <row r="1164" spans="1:35" x14ac:dyDescent="0.25">
      <c r="A1164" s="5">
        <v>35</v>
      </c>
      <c r="B1164" s="5" t="s">
        <v>35</v>
      </c>
      <c r="C1164" s="5" t="s">
        <v>36</v>
      </c>
      <c r="D1164" s="5">
        <v>737</v>
      </c>
      <c r="E1164" s="5" t="s">
        <v>37</v>
      </c>
      <c r="F1164" s="5">
        <v>10</v>
      </c>
      <c r="G1164" s="5">
        <v>3</v>
      </c>
      <c r="H1164" s="5" t="s">
        <v>51</v>
      </c>
      <c r="I1164" s="5">
        <v>1</v>
      </c>
      <c r="J1164" s="5">
        <v>1639</v>
      </c>
      <c r="K1164" s="5">
        <v>4</v>
      </c>
      <c r="L1164" s="5" t="s">
        <v>46</v>
      </c>
      <c r="M1164" s="5">
        <v>55</v>
      </c>
      <c r="N1164" s="5">
        <v>2</v>
      </c>
      <c r="O1164" s="5">
        <v>3</v>
      </c>
      <c r="P1164" s="5" t="s">
        <v>40</v>
      </c>
      <c r="Q1164" s="5">
        <v>1</v>
      </c>
      <c r="R1164" s="5" t="s">
        <v>48</v>
      </c>
      <c r="S1164" s="5">
        <v>10306</v>
      </c>
      <c r="T1164" s="5">
        <v>21530</v>
      </c>
      <c r="U1164" s="5">
        <v>9</v>
      </c>
      <c r="V1164" s="5" t="s">
        <v>42</v>
      </c>
      <c r="W1164" s="5" t="s">
        <v>43</v>
      </c>
      <c r="X1164" s="5">
        <v>17</v>
      </c>
      <c r="Y1164" s="5">
        <v>3</v>
      </c>
      <c r="Z1164" s="5">
        <v>3</v>
      </c>
      <c r="AA1164" s="5">
        <v>80</v>
      </c>
      <c r="AB1164" s="5">
        <v>0</v>
      </c>
      <c r="AC1164" s="5">
        <v>15</v>
      </c>
      <c r="AD1164" s="5">
        <v>3</v>
      </c>
      <c r="AE1164" s="5">
        <v>3</v>
      </c>
      <c r="AF1164" s="5">
        <v>13</v>
      </c>
      <c r="AG1164" s="5">
        <v>12</v>
      </c>
      <c r="AH1164" s="5">
        <v>6</v>
      </c>
      <c r="AI1164" s="5">
        <v>0</v>
      </c>
    </row>
    <row r="1165" spans="1:35" x14ac:dyDescent="0.25">
      <c r="A1165" s="5">
        <v>37</v>
      </c>
      <c r="B1165" s="5" t="s">
        <v>43</v>
      </c>
      <c r="C1165" s="5" t="s">
        <v>36</v>
      </c>
      <c r="D1165" s="5">
        <v>1470</v>
      </c>
      <c r="E1165" s="5" t="s">
        <v>45</v>
      </c>
      <c r="F1165" s="5">
        <v>10</v>
      </c>
      <c r="G1165" s="5">
        <v>3</v>
      </c>
      <c r="H1165" s="5" t="s">
        <v>51</v>
      </c>
      <c r="I1165" s="5">
        <v>1</v>
      </c>
      <c r="J1165" s="5">
        <v>1640</v>
      </c>
      <c r="K1165" s="5">
        <v>2</v>
      </c>
      <c r="L1165" s="5" t="s">
        <v>39</v>
      </c>
      <c r="M1165" s="5">
        <v>71</v>
      </c>
      <c r="N1165" s="5">
        <v>3</v>
      </c>
      <c r="O1165" s="5">
        <v>1</v>
      </c>
      <c r="P1165" s="5" t="s">
        <v>47</v>
      </c>
      <c r="Q1165" s="5">
        <v>2</v>
      </c>
      <c r="R1165" s="5" t="s">
        <v>48</v>
      </c>
      <c r="S1165" s="5">
        <v>3936</v>
      </c>
      <c r="T1165" s="5">
        <v>9953</v>
      </c>
      <c r="U1165" s="5">
        <v>1</v>
      </c>
      <c r="V1165" s="5" t="s">
        <v>42</v>
      </c>
      <c r="W1165" s="5" t="s">
        <v>43</v>
      </c>
      <c r="X1165" s="5">
        <v>11</v>
      </c>
      <c r="Y1165" s="5">
        <v>3</v>
      </c>
      <c r="Z1165" s="5">
        <v>1</v>
      </c>
      <c r="AA1165" s="5">
        <v>80</v>
      </c>
      <c r="AB1165" s="5">
        <v>1</v>
      </c>
      <c r="AC1165" s="5">
        <v>8</v>
      </c>
      <c r="AD1165" s="5">
        <v>2</v>
      </c>
      <c r="AE1165" s="5">
        <v>1</v>
      </c>
      <c r="AF1165" s="5">
        <v>8</v>
      </c>
      <c r="AG1165" s="5">
        <v>4</v>
      </c>
      <c r="AH1165" s="5">
        <v>7</v>
      </c>
      <c r="AI1165" s="5">
        <v>7</v>
      </c>
    </row>
    <row r="1166" spans="1:35" x14ac:dyDescent="0.25">
      <c r="A1166" s="5">
        <v>40</v>
      </c>
      <c r="B1166" s="5" t="s">
        <v>43</v>
      </c>
      <c r="C1166" s="5" t="s">
        <v>36</v>
      </c>
      <c r="D1166" s="5">
        <v>448</v>
      </c>
      <c r="E1166" s="5" t="s">
        <v>45</v>
      </c>
      <c r="F1166" s="5">
        <v>16</v>
      </c>
      <c r="G1166" s="5">
        <v>3</v>
      </c>
      <c r="H1166" s="5" t="s">
        <v>38</v>
      </c>
      <c r="I1166" s="5">
        <v>1</v>
      </c>
      <c r="J1166" s="5">
        <v>1641</v>
      </c>
      <c r="K1166" s="5">
        <v>3</v>
      </c>
      <c r="L1166" s="5" t="s">
        <v>39</v>
      </c>
      <c r="M1166" s="5">
        <v>84</v>
      </c>
      <c r="N1166" s="5">
        <v>3</v>
      </c>
      <c r="O1166" s="5">
        <v>3</v>
      </c>
      <c r="P1166" s="5" t="s">
        <v>53</v>
      </c>
      <c r="Q1166" s="5">
        <v>4</v>
      </c>
      <c r="R1166" s="5" t="s">
        <v>41</v>
      </c>
      <c r="S1166" s="5">
        <v>7945</v>
      </c>
      <c r="T1166" s="5">
        <v>19948</v>
      </c>
      <c r="U1166" s="5">
        <v>6</v>
      </c>
      <c r="V1166" s="5" t="s">
        <v>42</v>
      </c>
      <c r="W1166" s="5" t="s">
        <v>35</v>
      </c>
      <c r="X1166" s="5">
        <v>15</v>
      </c>
      <c r="Y1166" s="5">
        <v>3</v>
      </c>
      <c r="Z1166" s="5">
        <v>4</v>
      </c>
      <c r="AA1166" s="5">
        <v>80</v>
      </c>
      <c r="AB1166" s="5">
        <v>0</v>
      </c>
      <c r="AC1166" s="5">
        <v>18</v>
      </c>
      <c r="AD1166" s="5">
        <v>2</v>
      </c>
      <c r="AE1166" s="5">
        <v>2</v>
      </c>
      <c r="AF1166" s="5">
        <v>4</v>
      </c>
      <c r="AG1166" s="5">
        <v>2</v>
      </c>
      <c r="AH1166" s="5">
        <v>3</v>
      </c>
      <c r="AI1166" s="5">
        <v>3</v>
      </c>
    </row>
    <row r="1167" spans="1:35" x14ac:dyDescent="0.25">
      <c r="A1167" s="5">
        <v>44</v>
      </c>
      <c r="B1167" s="5" t="s">
        <v>43</v>
      </c>
      <c r="C1167" s="5" t="s">
        <v>44</v>
      </c>
      <c r="D1167" s="5">
        <v>602</v>
      </c>
      <c r="E1167" s="5" t="s">
        <v>61</v>
      </c>
      <c r="F1167" s="5">
        <v>1</v>
      </c>
      <c r="G1167" s="5">
        <v>5</v>
      </c>
      <c r="H1167" s="5" t="s">
        <v>61</v>
      </c>
      <c r="I1167" s="5">
        <v>1</v>
      </c>
      <c r="J1167" s="5">
        <v>1642</v>
      </c>
      <c r="K1167" s="5">
        <v>1</v>
      </c>
      <c r="L1167" s="5" t="s">
        <v>46</v>
      </c>
      <c r="M1167" s="5">
        <v>37</v>
      </c>
      <c r="N1167" s="5">
        <v>3</v>
      </c>
      <c r="O1167" s="5">
        <v>2</v>
      </c>
      <c r="P1167" s="5" t="s">
        <v>61</v>
      </c>
      <c r="Q1167" s="5">
        <v>4</v>
      </c>
      <c r="R1167" s="5" t="s">
        <v>48</v>
      </c>
      <c r="S1167" s="5">
        <v>5743</v>
      </c>
      <c r="T1167" s="5">
        <v>10503</v>
      </c>
      <c r="U1167" s="5">
        <v>4</v>
      </c>
      <c r="V1167" s="5" t="s">
        <v>42</v>
      </c>
      <c r="W1167" s="5" t="s">
        <v>35</v>
      </c>
      <c r="X1167" s="5">
        <v>11</v>
      </c>
      <c r="Y1167" s="5">
        <v>3</v>
      </c>
      <c r="Z1167" s="5">
        <v>3</v>
      </c>
      <c r="AA1167" s="5">
        <v>80</v>
      </c>
      <c r="AB1167" s="5">
        <v>0</v>
      </c>
      <c r="AC1167" s="5">
        <v>14</v>
      </c>
      <c r="AD1167" s="5">
        <v>3</v>
      </c>
      <c r="AE1167" s="5">
        <v>3</v>
      </c>
      <c r="AF1167" s="5">
        <v>10</v>
      </c>
      <c r="AG1167" s="5">
        <v>7</v>
      </c>
      <c r="AH1167" s="5">
        <v>0</v>
      </c>
      <c r="AI1167" s="5">
        <v>2</v>
      </c>
    </row>
    <row r="1168" spans="1:35" x14ac:dyDescent="0.25">
      <c r="A1168" s="5">
        <v>48</v>
      </c>
      <c r="B1168" s="5" t="s">
        <v>43</v>
      </c>
      <c r="C1168" s="5" t="s">
        <v>44</v>
      </c>
      <c r="D1168" s="5">
        <v>365</v>
      </c>
      <c r="E1168" s="5" t="s">
        <v>45</v>
      </c>
      <c r="F1168" s="5">
        <v>4</v>
      </c>
      <c r="G1168" s="5">
        <v>5</v>
      </c>
      <c r="H1168" s="5" t="s">
        <v>51</v>
      </c>
      <c r="I1168" s="5">
        <v>1</v>
      </c>
      <c r="J1168" s="5">
        <v>1644</v>
      </c>
      <c r="K1168" s="5">
        <v>3</v>
      </c>
      <c r="L1168" s="5" t="s">
        <v>46</v>
      </c>
      <c r="M1168" s="5">
        <v>89</v>
      </c>
      <c r="N1168" s="5">
        <v>2</v>
      </c>
      <c r="O1168" s="5">
        <v>4</v>
      </c>
      <c r="P1168" s="5" t="s">
        <v>56</v>
      </c>
      <c r="Q1168" s="5">
        <v>4</v>
      </c>
      <c r="R1168" s="5" t="s">
        <v>48</v>
      </c>
      <c r="S1168" s="5">
        <v>15202</v>
      </c>
      <c r="T1168" s="5">
        <v>5602</v>
      </c>
      <c r="U1168" s="5">
        <v>2</v>
      </c>
      <c r="V1168" s="5" t="s">
        <v>42</v>
      </c>
      <c r="W1168" s="5" t="s">
        <v>43</v>
      </c>
      <c r="X1168" s="5">
        <v>25</v>
      </c>
      <c r="Y1168" s="5">
        <v>4</v>
      </c>
      <c r="Z1168" s="5">
        <v>2</v>
      </c>
      <c r="AA1168" s="5">
        <v>80</v>
      </c>
      <c r="AB1168" s="5">
        <v>1</v>
      </c>
      <c r="AC1168" s="5">
        <v>23</v>
      </c>
      <c r="AD1168" s="5">
        <v>3</v>
      </c>
      <c r="AE1168" s="5">
        <v>3</v>
      </c>
      <c r="AF1168" s="5">
        <v>2</v>
      </c>
      <c r="AG1168" s="5">
        <v>2</v>
      </c>
      <c r="AH1168" s="5">
        <v>2</v>
      </c>
      <c r="AI1168" s="5">
        <v>2</v>
      </c>
    </row>
    <row r="1169" spans="1:35" x14ac:dyDescent="0.25">
      <c r="A1169" s="5">
        <v>35</v>
      </c>
      <c r="B1169" s="5" t="s">
        <v>35</v>
      </c>
      <c r="C1169" s="5" t="s">
        <v>36</v>
      </c>
      <c r="D1169" s="5">
        <v>763</v>
      </c>
      <c r="E1169" s="5" t="s">
        <v>37</v>
      </c>
      <c r="F1169" s="5">
        <v>15</v>
      </c>
      <c r="G1169" s="5">
        <v>2</v>
      </c>
      <c r="H1169" s="5" t="s">
        <v>51</v>
      </c>
      <c r="I1169" s="5">
        <v>1</v>
      </c>
      <c r="J1169" s="5">
        <v>1645</v>
      </c>
      <c r="K1169" s="5">
        <v>1</v>
      </c>
      <c r="L1169" s="5" t="s">
        <v>46</v>
      </c>
      <c r="M1169" s="5">
        <v>59</v>
      </c>
      <c r="N1169" s="5">
        <v>1</v>
      </c>
      <c r="O1169" s="5">
        <v>2</v>
      </c>
      <c r="P1169" s="5" t="s">
        <v>40</v>
      </c>
      <c r="Q1169" s="5">
        <v>4</v>
      </c>
      <c r="R1169" s="5" t="s">
        <v>52</v>
      </c>
      <c r="S1169" s="5">
        <v>5440</v>
      </c>
      <c r="T1169" s="5">
        <v>22098</v>
      </c>
      <c r="U1169" s="5">
        <v>6</v>
      </c>
      <c r="V1169" s="5" t="s">
        <v>42</v>
      </c>
      <c r="W1169" s="5" t="s">
        <v>35</v>
      </c>
      <c r="X1169" s="5">
        <v>14</v>
      </c>
      <c r="Y1169" s="5">
        <v>3</v>
      </c>
      <c r="Z1169" s="5">
        <v>4</v>
      </c>
      <c r="AA1169" s="5">
        <v>80</v>
      </c>
      <c r="AB1169" s="5">
        <v>2</v>
      </c>
      <c r="AC1169" s="5">
        <v>7</v>
      </c>
      <c r="AD1169" s="5">
        <v>2</v>
      </c>
      <c r="AE1169" s="5">
        <v>2</v>
      </c>
      <c r="AF1169" s="5">
        <v>2</v>
      </c>
      <c r="AG1169" s="5">
        <v>2</v>
      </c>
      <c r="AH1169" s="5">
        <v>2</v>
      </c>
      <c r="AI1169" s="5">
        <v>2</v>
      </c>
    </row>
    <row r="1170" spans="1:35" x14ac:dyDescent="0.25">
      <c r="A1170" s="5">
        <v>24</v>
      </c>
      <c r="B1170" s="5" t="s">
        <v>43</v>
      </c>
      <c r="C1170" s="5" t="s">
        <v>44</v>
      </c>
      <c r="D1170" s="5">
        <v>567</v>
      </c>
      <c r="E1170" s="5" t="s">
        <v>45</v>
      </c>
      <c r="F1170" s="5">
        <v>2</v>
      </c>
      <c r="G1170" s="5">
        <v>1</v>
      </c>
      <c r="H1170" s="5" t="s">
        <v>60</v>
      </c>
      <c r="I1170" s="5">
        <v>1</v>
      </c>
      <c r="J1170" s="5">
        <v>1646</v>
      </c>
      <c r="K1170" s="5">
        <v>1</v>
      </c>
      <c r="L1170" s="5" t="s">
        <v>39</v>
      </c>
      <c r="M1170" s="5">
        <v>32</v>
      </c>
      <c r="N1170" s="5">
        <v>3</v>
      </c>
      <c r="O1170" s="5">
        <v>1</v>
      </c>
      <c r="P1170" s="5" t="s">
        <v>47</v>
      </c>
      <c r="Q1170" s="5">
        <v>4</v>
      </c>
      <c r="R1170" s="5" t="s">
        <v>41</v>
      </c>
      <c r="S1170" s="5">
        <v>3760</v>
      </c>
      <c r="T1170" s="5">
        <v>17218</v>
      </c>
      <c r="U1170" s="5">
        <v>1</v>
      </c>
      <c r="V1170" s="5" t="s">
        <v>42</v>
      </c>
      <c r="W1170" s="5" t="s">
        <v>35</v>
      </c>
      <c r="X1170" s="5">
        <v>13</v>
      </c>
      <c r="Y1170" s="5">
        <v>3</v>
      </c>
      <c r="Z1170" s="5">
        <v>3</v>
      </c>
      <c r="AA1170" s="5">
        <v>80</v>
      </c>
      <c r="AB1170" s="5">
        <v>0</v>
      </c>
      <c r="AC1170" s="5">
        <v>6</v>
      </c>
      <c r="AD1170" s="5">
        <v>2</v>
      </c>
      <c r="AE1170" s="5">
        <v>3</v>
      </c>
      <c r="AF1170" s="5">
        <v>6</v>
      </c>
      <c r="AG1170" s="5">
        <v>3</v>
      </c>
      <c r="AH1170" s="5">
        <v>1</v>
      </c>
      <c r="AI1170" s="5">
        <v>3</v>
      </c>
    </row>
    <row r="1171" spans="1:35" x14ac:dyDescent="0.25">
      <c r="A1171" s="5">
        <v>27</v>
      </c>
      <c r="B1171" s="5" t="s">
        <v>43</v>
      </c>
      <c r="C1171" s="5" t="s">
        <v>36</v>
      </c>
      <c r="D1171" s="5">
        <v>486</v>
      </c>
      <c r="E1171" s="5" t="s">
        <v>45</v>
      </c>
      <c r="F1171" s="5">
        <v>8</v>
      </c>
      <c r="G1171" s="5">
        <v>3</v>
      </c>
      <c r="H1171" s="5" t="s">
        <v>51</v>
      </c>
      <c r="I1171" s="5">
        <v>1</v>
      </c>
      <c r="J1171" s="5">
        <v>1647</v>
      </c>
      <c r="K1171" s="5">
        <v>2</v>
      </c>
      <c r="L1171" s="5" t="s">
        <v>39</v>
      </c>
      <c r="M1171" s="5">
        <v>86</v>
      </c>
      <c r="N1171" s="5">
        <v>4</v>
      </c>
      <c r="O1171" s="5">
        <v>1</v>
      </c>
      <c r="P1171" s="5" t="s">
        <v>47</v>
      </c>
      <c r="Q1171" s="5">
        <v>3</v>
      </c>
      <c r="R1171" s="5" t="s">
        <v>48</v>
      </c>
      <c r="S1171" s="5">
        <v>3517</v>
      </c>
      <c r="T1171" s="5">
        <v>22490</v>
      </c>
      <c r="U1171" s="5">
        <v>7</v>
      </c>
      <c r="V1171" s="5" t="s">
        <v>42</v>
      </c>
      <c r="W1171" s="5" t="s">
        <v>43</v>
      </c>
      <c r="X1171" s="5">
        <v>17</v>
      </c>
      <c r="Y1171" s="5">
        <v>3</v>
      </c>
      <c r="Z1171" s="5">
        <v>1</v>
      </c>
      <c r="AA1171" s="5">
        <v>80</v>
      </c>
      <c r="AB1171" s="5">
        <v>0</v>
      </c>
      <c r="AC1171" s="5">
        <v>5</v>
      </c>
      <c r="AD1171" s="5">
        <v>0</v>
      </c>
      <c r="AE1171" s="5">
        <v>3</v>
      </c>
      <c r="AF1171" s="5">
        <v>3</v>
      </c>
      <c r="AG1171" s="5">
        <v>2</v>
      </c>
      <c r="AH1171" s="5">
        <v>0</v>
      </c>
      <c r="AI1171" s="5">
        <v>2</v>
      </c>
    </row>
    <row r="1172" spans="1:35" x14ac:dyDescent="0.25">
      <c r="A1172" s="5">
        <v>27</v>
      </c>
      <c r="B1172" s="5" t="s">
        <v>43</v>
      </c>
      <c r="C1172" s="5" t="s">
        <v>44</v>
      </c>
      <c r="D1172" s="5">
        <v>591</v>
      </c>
      <c r="E1172" s="5" t="s">
        <v>45</v>
      </c>
      <c r="F1172" s="5">
        <v>2</v>
      </c>
      <c r="G1172" s="5">
        <v>3</v>
      </c>
      <c r="H1172" s="5" t="s">
        <v>51</v>
      </c>
      <c r="I1172" s="5">
        <v>1</v>
      </c>
      <c r="J1172" s="5">
        <v>1648</v>
      </c>
      <c r="K1172" s="5">
        <v>4</v>
      </c>
      <c r="L1172" s="5" t="s">
        <v>46</v>
      </c>
      <c r="M1172" s="5">
        <v>87</v>
      </c>
      <c r="N1172" s="5">
        <v>3</v>
      </c>
      <c r="O1172" s="5">
        <v>1</v>
      </c>
      <c r="P1172" s="5" t="s">
        <v>47</v>
      </c>
      <c r="Q1172" s="5">
        <v>4</v>
      </c>
      <c r="R1172" s="5" t="s">
        <v>41</v>
      </c>
      <c r="S1172" s="5">
        <v>2580</v>
      </c>
      <c r="T1172" s="5">
        <v>6297</v>
      </c>
      <c r="U1172" s="5">
        <v>2</v>
      </c>
      <c r="V1172" s="5" t="s">
        <v>42</v>
      </c>
      <c r="W1172" s="5" t="s">
        <v>43</v>
      </c>
      <c r="X1172" s="5">
        <v>13</v>
      </c>
      <c r="Y1172" s="5">
        <v>3</v>
      </c>
      <c r="Z1172" s="5">
        <v>3</v>
      </c>
      <c r="AA1172" s="5">
        <v>80</v>
      </c>
      <c r="AB1172" s="5">
        <v>0</v>
      </c>
      <c r="AC1172" s="5">
        <v>6</v>
      </c>
      <c r="AD1172" s="5">
        <v>0</v>
      </c>
      <c r="AE1172" s="5">
        <v>2</v>
      </c>
      <c r="AF1172" s="5">
        <v>4</v>
      </c>
      <c r="AG1172" s="5">
        <v>2</v>
      </c>
      <c r="AH1172" s="5">
        <v>1</v>
      </c>
      <c r="AI1172" s="5">
        <v>2</v>
      </c>
    </row>
    <row r="1173" spans="1:35" x14ac:dyDescent="0.25">
      <c r="A1173" s="5">
        <v>40</v>
      </c>
      <c r="B1173" s="5" t="s">
        <v>35</v>
      </c>
      <c r="C1173" s="5" t="s">
        <v>36</v>
      </c>
      <c r="D1173" s="5">
        <v>1329</v>
      </c>
      <c r="E1173" s="5" t="s">
        <v>45</v>
      </c>
      <c r="F1173" s="5">
        <v>7</v>
      </c>
      <c r="G1173" s="5">
        <v>3</v>
      </c>
      <c r="H1173" s="5" t="s">
        <v>38</v>
      </c>
      <c r="I1173" s="5">
        <v>1</v>
      </c>
      <c r="J1173" s="5">
        <v>1649</v>
      </c>
      <c r="K1173" s="5">
        <v>1</v>
      </c>
      <c r="L1173" s="5" t="s">
        <v>46</v>
      </c>
      <c r="M1173" s="5">
        <v>73</v>
      </c>
      <c r="N1173" s="5">
        <v>3</v>
      </c>
      <c r="O1173" s="5">
        <v>1</v>
      </c>
      <c r="P1173" s="5" t="s">
        <v>50</v>
      </c>
      <c r="Q1173" s="5">
        <v>1</v>
      </c>
      <c r="R1173" s="5" t="s">
        <v>41</v>
      </c>
      <c r="S1173" s="5">
        <v>2166</v>
      </c>
      <c r="T1173" s="5">
        <v>3339</v>
      </c>
      <c r="U1173" s="5">
        <v>3</v>
      </c>
      <c r="V1173" s="5" t="s">
        <v>42</v>
      </c>
      <c r="W1173" s="5" t="s">
        <v>35</v>
      </c>
      <c r="X1173" s="5">
        <v>14</v>
      </c>
      <c r="Y1173" s="5">
        <v>3</v>
      </c>
      <c r="Z1173" s="5">
        <v>2</v>
      </c>
      <c r="AA1173" s="5">
        <v>80</v>
      </c>
      <c r="AB1173" s="5">
        <v>0</v>
      </c>
      <c r="AC1173" s="5">
        <v>10</v>
      </c>
      <c r="AD1173" s="5">
        <v>3</v>
      </c>
      <c r="AE1173" s="5">
        <v>1</v>
      </c>
      <c r="AF1173" s="5">
        <v>4</v>
      </c>
      <c r="AG1173" s="5">
        <v>2</v>
      </c>
      <c r="AH1173" s="5">
        <v>0</v>
      </c>
      <c r="AI1173" s="5">
        <v>3</v>
      </c>
    </row>
    <row r="1174" spans="1:35" x14ac:dyDescent="0.25">
      <c r="A1174" s="5">
        <v>29</v>
      </c>
      <c r="B1174" s="5" t="s">
        <v>43</v>
      </c>
      <c r="C1174" s="5" t="s">
        <v>36</v>
      </c>
      <c r="D1174" s="5">
        <v>469</v>
      </c>
      <c r="E1174" s="5" t="s">
        <v>37</v>
      </c>
      <c r="F1174" s="5">
        <v>10</v>
      </c>
      <c r="G1174" s="5">
        <v>3</v>
      </c>
      <c r="H1174" s="5" t="s">
        <v>51</v>
      </c>
      <c r="I1174" s="5">
        <v>1</v>
      </c>
      <c r="J1174" s="5">
        <v>1650</v>
      </c>
      <c r="K1174" s="5">
        <v>3</v>
      </c>
      <c r="L1174" s="5" t="s">
        <v>46</v>
      </c>
      <c r="M1174" s="5">
        <v>42</v>
      </c>
      <c r="N1174" s="5">
        <v>2</v>
      </c>
      <c r="O1174" s="5">
        <v>2</v>
      </c>
      <c r="P1174" s="5" t="s">
        <v>40</v>
      </c>
      <c r="Q1174" s="5">
        <v>3</v>
      </c>
      <c r="R1174" s="5" t="s">
        <v>41</v>
      </c>
      <c r="S1174" s="5">
        <v>5869</v>
      </c>
      <c r="T1174" s="5">
        <v>23413</v>
      </c>
      <c r="U1174" s="5">
        <v>9</v>
      </c>
      <c r="V1174" s="5" t="s">
        <v>42</v>
      </c>
      <c r="W1174" s="5" t="s">
        <v>43</v>
      </c>
      <c r="X1174" s="5">
        <v>11</v>
      </c>
      <c r="Y1174" s="5">
        <v>3</v>
      </c>
      <c r="Z1174" s="5">
        <v>3</v>
      </c>
      <c r="AA1174" s="5">
        <v>80</v>
      </c>
      <c r="AB1174" s="5">
        <v>0</v>
      </c>
      <c r="AC1174" s="5">
        <v>8</v>
      </c>
      <c r="AD1174" s="5">
        <v>2</v>
      </c>
      <c r="AE1174" s="5">
        <v>3</v>
      </c>
      <c r="AF1174" s="5">
        <v>5</v>
      </c>
      <c r="AG1174" s="5">
        <v>2</v>
      </c>
      <c r="AH1174" s="5">
        <v>1</v>
      </c>
      <c r="AI1174" s="5">
        <v>4</v>
      </c>
    </row>
    <row r="1175" spans="1:35" x14ac:dyDescent="0.25">
      <c r="A1175" s="5">
        <v>36</v>
      </c>
      <c r="B1175" s="5" t="s">
        <v>43</v>
      </c>
      <c r="C1175" s="5" t="s">
        <v>36</v>
      </c>
      <c r="D1175" s="5">
        <v>711</v>
      </c>
      <c r="E1175" s="5" t="s">
        <v>45</v>
      </c>
      <c r="F1175" s="5">
        <v>5</v>
      </c>
      <c r="G1175" s="5">
        <v>4</v>
      </c>
      <c r="H1175" s="5" t="s">
        <v>38</v>
      </c>
      <c r="I1175" s="5">
        <v>1</v>
      </c>
      <c r="J1175" s="5">
        <v>1651</v>
      </c>
      <c r="K1175" s="5">
        <v>2</v>
      </c>
      <c r="L1175" s="5" t="s">
        <v>39</v>
      </c>
      <c r="M1175" s="5">
        <v>42</v>
      </c>
      <c r="N1175" s="5">
        <v>3</v>
      </c>
      <c r="O1175" s="5">
        <v>3</v>
      </c>
      <c r="P1175" s="5" t="s">
        <v>54</v>
      </c>
      <c r="Q1175" s="5">
        <v>1</v>
      </c>
      <c r="R1175" s="5" t="s">
        <v>48</v>
      </c>
      <c r="S1175" s="5">
        <v>8008</v>
      </c>
      <c r="T1175" s="5">
        <v>22792</v>
      </c>
      <c r="U1175" s="5">
        <v>4</v>
      </c>
      <c r="V1175" s="5" t="s">
        <v>42</v>
      </c>
      <c r="W1175" s="5" t="s">
        <v>43</v>
      </c>
      <c r="X1175" s="5">
        <v>12</v>
      </c>
      <c r="Y1175" s="5">
        <v>3</v>
      </c>
      <c r="Z1175" s="5">
        <v>3</v>
      </c>
      <c r="AA1175" s="5">
        <v>80</v>
      </c>
      <c r="AB1175" s="5">
        <v>2</v>
      </c>
      <c r="AC1175" s="5">
        <v>9</v>
      </c>
      <c r="AD1175" s="5">
        <v>6</v>
      </c>
      <c r="AE1175" s="5">
        <v>3</v>
      </c>
      <c r="AF1175" s="5">
        <v>3</v>
      </c>
      <c r="AG1175" s="5">
        <v>2</v>
      </c>
      <c r="AH1175" s="5">
        <v>0</v>
      </c>
      <c r="AI1175" s="5">
        <v>2</v>
      </c>
    </row>
    <row r="1176" spans="1:35" x14ac:dyDescent="0.25">
      <c r="A1176" s="5">
        <v>25</v>
      </c>
      <c r="B1176" s="5" t="s">
        <v>43</v>
      </c>
      <c r="C1176" s="5" t="s">
        <v>44</v>
      </c>
      <c r="D1176" s="5">
        <v>772</v>
      </c>
      <c r="E1176" s="5" t="s">
        <v>45</v>
      </c>
      <c r="F1176" s="5">
        <v>2</v>
      </c>
      <c r="G1176" s="5">
        <v>1</v>
      </c>
      <c r="H1176" s="5" t="s">
        <v>38</v>
      </c>
      <c r="I1176" s="5">
        <v>1</v>
      </c>
      <c r="J1176" s="5">
        <v>1653</v>
      </c>
      <c r="K1176" s="5">
        <v>4</v>
      </c>
      <c r="L1176" s="5" t="s">
        <v>46</v>
      </c>
      <c r="M1176" s="5">
        <v>77</v>
      </c>
      <c r="N1176" s="5">
        <v>4</v>
      </c>
      <c r="O1176" s="5">
        <v>2</v>
      </c>
      <c r="P1176" s="5" t="s">
        <v>53</v>
      </c>
      <c r="Q1176" s="5">
        <v>3</v>
      </c>
      <c r="R1176" s="5" t="s">
        <v>52</v>
      </c>
      <c r="S1176" s="5">
        <v>5206</v>
      </c>
      <c r="T1176" s="5">
        <v>4973</v>
      </c>
      <c r="U1176" s="5">
        <v>1</v>
      </c>
      <c r="V1176" s="5" t="s">
        <v>42</v>
      </c>
      <c r="W1176" s="5" t="s">
        <v>43</v>
      </c>
      <c r="X1176" s="5">
        <v>17</v>
      </c>
      <c r="Y1176" s="5">
        <v>3</v>
      </c>
      <c r="Z1176" s="5">
        <v>3</v>
      </c>
      <c r="AA1176" s="5">
        <v>80</v>
      </c>
      <c r="AB1176" s="5">
        <v>2</v>
      </c>
      <c r="AC1176" s="5">
        <v>7</v>
      </c>
      <c r="AD1176" s="5">
        <v>6</v>
      </c>
      <c r="AE1176" s="5">
        <v>3</v>
      </c>
      <c r="AF1176" s="5">
        <v>7</v>
      </c>
      <c r="AG1176" s="5">
        <v>7</v>
      </c>
      <c r="AH1176" s="5">
        <v>0</v>
      </c>
      <c r="AI1176" s="5">
        <v>7</v>
      </c>
    </row>
    <row r="1177" spans="1:35" x14ac:dyDescent="0.25">
      <c r="A1177" s="5">
        <v>39</v>
      </c>
      <c r="B1177" s="5" t="s">
        <v>43</v>
      </c>
      <c r="C1177" s="5" t="s">
        <v>36</v>
      </c>
      <c r="D1177" s="5">
        <v>492</v>
      </c>
      <c r="E1177" s="5" t="s">
        <v>45</v>
      </c>
      <c r="F1177" s="5">
        <v>12</v>
      </c>
      <c r="G1177" s="5">
        <v>3</v>
      </c>
      <c r="H1177" s="5" t="s">
        <v>51</v>
      </c>
      <c r="I1177" s="5">
        <v>1</v>
      </c>
      <c r="J1177" s="5">
        <v>1654</v>
      </c>
      <c r="K1177" s="5">
        <v>4</v>
      </c>
      <c r="L1177" s="5" t="s">
        <v>46</v>
      </c>
      <c r="M1177" s="5">
        <v>66</v>
      </c>
      <c r="N1177" s="5">
        <v>3</v>
      </c>
      <c r="O1177" s="5">
        <v>2</v>
      </c>
      <c r="P1177" s="5" t="s">
        <v>53</v>
      </c>
      <c r="Q1177" s="5">
        <v>2</v>
      </c>
      <c r="R1177" s="5" t="s">
        <v>48</v>
      </c>
      <c r="S1177" s="5">
        <v>5295</v>
      </c>
      <c r="T1177" s="5">
        <v>7693</v>
      </c>
      <c r="U1177" s="5">
        <v>4</v>
      </c>
      <c r="V1177" s="5" t="s">
        <v>42</v>
      </c>
      <c r="W1177" s="5" t="s">
        <v>43</v>
      </c>
      <c r="X1177" s="5">
        <v>21</v>
      </c>
      <c r="Y1177" s="5">
        <v>4</v>
      </c>
      <c r="Z1177" s="5">
        <v>3</v>
      </c>
      <c r="AA1177" s="5">
        <v>80</v>
      </c>
      <c r="AB1177" s="5">
        <v>0</v>
      </c>
      <c r="AC1177" s="5">
        <v>7</v>
      </c>
      <c r="AD1177" s="5">
        <v>3</v>
      </c>
      <c r="AE1177" s="5">
        <v>3</v>
      </c>
      <c r="AF1177" s="5">
        <v>5</v>
      </c>
      <c r="AG1177" s="5">
        <v>4</v>
      </c>
      <c r="AH1177" s="5">
        <v>1</v>
      </c>
      <c r="AI1177" s="5">
        <v>0</v>
      </c>
    </row>
    <row r="1178" spans="1:35" x14ac:dyDescent="0.25">
      <c r="A1178" s="5">
        <v>49</v>
      </c>
      <c r="B1178" s="5" t="s">
        <v>43</v>
      </c>
      <c r="C1178" s="5" t="s">
        <v>36</v>
      </c>
      <c r="D1178" s="5">
        <v>301</v>
      </c>
      <c r="E1178" s="5" t="s">
        <v>45</v>
      </c>
      <c r="F1178" s="5">
        <v>22</v>
      </c>
      <c r="G1178" s="5">
        <v>4</v>
      </c>
      <c r="H1178" s="5" t="s">
        <v>49</v>
      </c>
      <c r="I1178" s="5">
        <v>1</v>
      </c>
      <c r="J1178" s="5">
        <v>1655</v>
      </c>
      <c r="K1178" s="5">
        <v>1</v>
      </c>
      <c r="L1178" s="5" t="s">
        <v>39</v>
      </c>
      <c r="M1178" s="5">
        <v>72</v>
      </c>
      <c r="N1178" s="5">
        <v>3</v>
      </c>
      <c r="O1178" s="5">
        <v>4</v>
      </c>
      <c r="P1178" s="5" t="s">
        <v>58</v>
      </c>
      <c r="Q1178" s="5">
        <v>2</v>
      </c>
      <c r="R1178" s="5" t="s">
        <v>48</v>
      </c>
      <c r="S1178" s="5">
        <v>16413</v>
      </c>
      <c r="T1178" s="5">
        <v>3498</v>
      </c>
      <c r="U1178" s="5">
        <v>3</v>
      </c>
      <c r="V1178" s="5" t="s">
        <v>42</v>
      </c>
      <c r="W1178" s="5" t="s">
        <v>43</v>
      </c>
      <c r="X1178" s="5">
        <v>16</v>
      </c>
      <c r="Y1178" s="5">
        <v>3</v>
      </c>
      <c r="Z1178" s="5">
        <v>2</v>
      </c>
      <c r="AA1178" s="5">
        <v>80</v>
      </c>
      <c r="AB1178" s="5">
        <v>2</v>
      </c>
      <c r="AC1178" s="5">
        <v>27</v>
      </c>
      <c r="AD1178" s="5">
        <v>2</v>
      </c>
      <c r="AE1178" s="5">
        <v>3</v>
      </c>
      <c r="AF1178" s="5">
        <v>4</v>
      </c>
      <c r="AG1178" s="5">
        <v>2</v>
      </c>
      <c r="AH1178" s="5">
        <v>1</v>
      </c>
      <c r="AI1178" s="5">
        <v>2</v>
      </c>
    </row>
    <row r="1179" spans="1:35" x14ac:dyDescent="0.25">
      <c r="A1179" s="5">
        <v>50</v>
      </c>
      <c r="B1179" s="5" t="s">
        <v>43</v>
      </c>
      <c r="C1179" s="5" t="s">
        <v>36</v>
      </c>
      <c r="D1179" s="5">
        <v>813</v>
      </c>
      <c r="E1179" s="5" t="s">
        <v>45</v>
      </c>
      <c r="F1179" s="5">
        <v>17</v>
      </c>
      <c r="G1179" s="5">
        <v>5</v>
      </c>
      <c r="H1179" s="5" t="s">
        <v>38</v>
      </c>
      <c r="I1179" s="5">
        <v>1</v>
      </c>
      <c r="J1179" s="5">
        <v>1656</v>
      </c>
      <c r="K1179" s="5">
        <v>4</v>
      </c>
      <c r="L1179" s="5" t="s">
        <v>39</v>
      </c>
      <c r="M1179" s="5">
        <v>50</v>
      </c>
      <c r="N1179" s="5">
        <v>2</v>
      </c>
      <c r="O1179" s="5">
        <v>3</v>
      </c>
      <c r="P1179" s="5" t="s">
        <v>58</v>
      </c>
      <c r="Q1179" s="5">
        <v>1</v>
      </c>
      <c r="R1179" s="5" t="s">
        <v>52</v>
      </c>
      <c r="S1179" s="5">
        <v>13269</v>
      </c>
      <c r="T1179" s="5">
        <v>21981</v>
      </c>
      <c r="U1179" s="5">
        <v>5</v>
      </c>
      <c r="V1179" s="5" t="s">
        <v>42</v>
      </c>
      <c r="W1179" s="5" t="s">
        <v>43</v>
      </c>
      <c r="X1179" s="5">
        <v>15</v>
      </c>
      <c r="Y1179" s="5">
        <v>3</v>
      </c>
      <c r="Z1179" s="5">
        <v>3</v>
      </c>
      <c r="AA1179" s="5">
        <v>80</v>
      </c>
      <c r="AB1179" s="5">
        <v>3</v>
      </c>
      <c r="AC1179" s="5">
        <v>19</v>
      </c>
      <c r="AD1179" s="5">
        <v>3</v>
      </c>
      <c r="AE1179" s="5">
        <v>3</v>
      </c>
      <c r="AF1179" s="5">
        <v>14</v>
      </c>
      <c r="AG1179" s="5">
        <v>11</v>
      </c>
      <c r="AH1179" s="5">
        <v>1</v>
      </c>
      <c r="AI1179" s="5">
        <v>11</v>
      </c>
    </row>
    <row r="1180" spans="1:35" x14ac:dyDescent="0.25">
      <c r="A1180" s="5">
        <v>20</v>
      </c>
      <c r="B1180" s="5" t="s">
        <v>43</v>
      </c>
      <c r="C1180" s="5" t="s">
        <v>36</v>
      </c>
      <c r="D1180" s="5">
        <v>1141</v>
      </c>
      <c r="E1180" s="5" t="s">
        <v>37</v>
      </c>
      <c r="F1180" s="5">
        <v>2</v>
      </c>
      <c r="G1180" s="5">
        <v>3</v>
      </c>
      <c r="H1180" s="5" t="s">
        <v>51</v>
      </c>
      <c r="I1180" s="5">
        <v>1</v>
      </c>
      <c r="J1180" s="5">
        <v>1657</v>
      </c>
      <c r="K1180" s="5">
        <v>3</v>
      </c>
      <c r="L1180" s="5" t="s">
        <v>39</v>
      </c>
      <c r="M1180" s="5">
        <v>31</v>
      </c>
      <c r="N1180" s="5">
        <v>3</v>
      </c>
      <c r="O1180" s="5">
        <v>1</v>
      </c>
      <c r="P1180" s="5" t="s">
        <v>57</v>
      </c>
      <c r="Q1180" s="5">
        <v>3</v>
      </c>
      <c r="R1180" s="5" t="s">
        <v>41</v>
      </c>
      <c r="S1180" s="5">
        <v>2783</v>
      </c>
      <c r="T1180" s="5">
        <v>13251</v>
      </c>
      <c r="U1180" s="5">
        <v>1</v>
      </c>
      <c r="V1180" s="5" t="s">
        <v>42</v>
      </c>
      <c r="W1180" s="5" t="s">
        <v>43</v>
      </c>
      <c r="X1180" s="5">
        <v>19</v>
      </c>
      <c r="Y1180" s="5">
        <v>3</v>
      </c>
      <c r="Z1180" s="5">
        <v>1</v>
      </c>
      <c r="AA1180" s="5">
        <v>80</v>
      </c>
      <c r="AB1180" s="5">
        <v>0</v>
      </c>
      <c r="AC1180" s="5">
        <v>2</v>
      </c>
      <c r="AD1180" s="5">
        <v>3</v>
      </c>
      <c r="AE1180" s="5">
        <v>3</v>
      </c>
      <c r="AF1180" s="5">
        <v>2</v>
      </c>
      <c r="AG1180" s="5">
        <v>2</v>
      </c>
      <c r="AH1180" s="5">
        <v>2</v>
      </c>
      <c r="AI1180" s="5">
        <v>2</v>
      </c>
    </row>
    <row r="1181" spans="1:35" x14ac:dyDescent="0.25">
      <c r="A1181" s="5">
        <v>34</v>
      </c>
      <c r="B1181" s="5" t="s">
        <v>43</v>
      </c>
      <c r="C1181" s="5" t="s">
        <v>36</v>
      </c>
      <c r="D1181" s="5">
        <v>1130</v>
      </c>
      <c r="E1181" s="5" t="s">
        <v>45</v>
      </c>
      <c r="F1181" s="5">
        <v>3</v>
      </c>
      <c r="G1181" s="5">
        <v>3</v>
      </c>
      <c r="H1181" s="5" t="s">
        <v>38</v>
      </c>
      <c r="I1181" s="5">
        <v>1</v>
      </c>
      <c r="J1181" s="5">
        <v>1658</v>
      </c>
      <c r="K1181" s="5">
        <v>4</v>
      </c>
      <c r="L1181" s="5" t="s">
        <v>39</v>
      </c>
      <c r="M1181" s="5">
        <v>66</v>
      </c>
      <c r="N1181" s="5">
        <v>3</v>
      </c>
      <c r="O1181" s="5">
        <v>2</v>
      </c>
      <c r="P1181" s="5" t="s">
        <v>47</v>
      </c>
      <c r="Q1181" s="5">
        <v>2</v>
      </c>
      <c r="R1181" s="5" t="s">
        <v>52</v>
      </c>
      <c r="S1181" s="5">
        <v>5433</v>
      </c>
      <c r="T1181" s="5">
        <v>19332</v>
      </c>
      <c r="U1181" s="5">
        <v>1</v>
      </c>
      <c r="V1181" s="5" t="s">
        <v>42</v>
      </c>
      <c r="W1181" s="5" t="s">
        <v>43</v>
      </c>
      <c r="X1181" s="5">
        <v>12</v>
      </c>
      <c r="Y1181" s="5">
        <v>3</v>
      </c>
      <c r="Z1181" s="5">
        <v>3</v>
      </c>
      <c r="AA1181" s="5">
        <v>80</v>
      </c>
      <c r="AB1181" s="5">
        <v>1</v>
      </c>
      <c r="AC1181" s="5">
        <v>11</v>
      </c>
      <c r="AD1181" s="5">
        <v>2</v>
      </c>
      <c r="AE1181" s="5">
        <v>3</v>
      </c>
      <c r="AF1181" s="5">
        <v>11</v>
      </c>
      <c r="AG1181" s="5">
        <v>8</v>
      </c>
      <c r="AH1181" s="5">
        <v>7</v>
      </c>
      <c r="AI1181" s="5">
        <v>9</v>
      </c>
    </row>
    <row r="1182" spans="1:35" x14ac:dyDescent="0.25">
      <c r="A1182" s="5">
        <v>36</v>
      </c>
      <c r="B1182" s="5" t="s">
        <v>43</v>
      </c>
      <c r="C1182" s="5" t="s">
        <v>36</v>
      </c>
      <c r="D1182" s="5">
        <v>311</v>
      </c>
      <c r="E1182" s="5" t="s">
        <v>45</v>
      </c>
      <c r="F1182" s="5">
        <v>7</v>
      </c>
      <c r="G1182" s="5">
        <v>3</v>
      </c>
      <c r="H1182" s="5" t="s">
        <v>38</v>
      </c>
      <c r="I1182" s="5">
        <v>1</v>
      </c>
      <c r="J1182" s="5">
        <v>1659</v>
      </c>
      <c r="K1182" s="5">
        <v>1</v>
      </c>
      <c r="L1182" s="5" t="s">
        <v>46</v>
      </c>
      <c r="M1182" s="5">
        <v>77</v>
      </c>
      <c r="N1182" s="5">
        <v>3</v>
      </c>
      <c r="O1182" s="5">
        <v>1</v>
      </c>
      <c r="P1182" s="5" t="s">
        <v>50</v>
      </c>
      <c r="Q1182" s="5">
        <v>2</v>
      </c>
      <c r="R1182" s="5" t="s">
        <v>41</v>
      </c>
      <c r="S1182" s="5">
        <v>2013</v>
      </c>
      <c r="T1182" s="5">
        <v>10950</v>
      </c>
      <c r="U1182" s="5">
        <v>2</v>
      </c>
      <c r="V1182" s="5" t="s">
        <v>42</v>
      </c>
      <c r="W1182" s="5" t="s">
        <v>43</v>
      </c>
      <c r="X1182" s="5">
        <v>11</v>
      </c>
      <c r="Y1182" s="5">
        <v>3</v>
      </c>
      <c r="Z1182" s="5">
        <v>3</v>
      </c>
      <c r="AA1182" s="5">
        <v>80</v>
      </c>
      <c r="AB1182" s="5">
        <v>0</v>
      </c>
      <c r="AC1182" s="5">
        <v>15</v>
      </c>
      <c r="AD1182" s="5">
        <v>4</v>
      </c>
      <c r="AE1182" s="5">
        <v>3</v>
      </c>
      <c r="AF1182" s="5">
        <v>4</v>
      </c>
      <c r="AG1182" s="5">
        <v>3</v>
      </c>
      <c r="AH1182" s="5">
        <v>1</v>
      </c>
      <c r="AI1182" s="5">
        <v>3</v>
      </c>
    </row>
    <row r="1183" spans="1:35" x14ac:dyDescent="0.25">
      <c r="A1183" s="5">
        <v>49</v>
      </c>
      <c r="B1183" s="5" t="s">
        <v>43</v>
      </c>
      <c r="C1183" s="5" t="s">
        <v>36</v>
      </c>
      <c r="D1183" s="5">
        <v>465</v>
      </c>
      <c r="E1183" s="5" t="s">
        <v>45</v>
      </c>
      <c r="F1183" s="5">
        <v>6</v>
      </c>
      <c r="G1183" s="5">
        <v>1</v>
      </c>
      <c r="H1183" s="5" t="s">
        <v>38</v>
      </c>
      <c r="I1183" s="5">
        <v>1</v>
      </c>
      <c r="J1183" s="5">
        <v>1661</v>
      </c>
      <c r="K1183" s="5">
        <v>3</v>
      </c>
      <c r="L1183" s="5" t="s">
        <v>39</v>
      </c>
      <c r="M1183" s="5">
        <v>41</v>
      </c>
      <c r="N1183" s="5">
        <v>2</v>
      </c>
      <c r="O1183" s="5">
        <v>4</v>
      </c>
      <c r="P1183" s="5" t="s">
        <v>54</v>
      </c>
      <c r="Q1183" s="5">
        <v>3</v>
      </c>
      <c r="R1183" s="5" t="s">
        <v>48</v>
      </c>
      <c r="S1183" s="5">
        <v>13966</v>
      </c>
      <c r="T1183" s="5">
        <v>11652</v>
      </c>
      <c r="U1183" s="5">
        <v>2</v>
      </c>
      <c r="V1183" s="5" t="s">
        <v>42</v>
      </c>
      <c r="W1183" s="5" t="s">
        <v>35</v>
      </c>
      <c r="X1183" s="5">
        <v>19</v>
      </c>
      <c r="Y1183" s="5">
        <v>3</v>
      </c>
      <c r="Z1183" s="5">
        <v>2</v>
      </c>
      <c r="AA1183" s="5">
        <v>80</v>
      </c>
      <c r="AB1183" s="5">
        <v>1</v>
      </c>
      <c r="AC1183" s="5">
        <v>30</v>
      </c>
      <c r="AD1183" s="5">
        <v>3</v>
      </c>
      <c r="AE1183" s="5">
        <v>3</v>
      </c>
      <c r="AF1183" s="5">
        <v>15</v>
      </c>
      <c r="AG1183" s="5">
        <v>11</v>
      </c>
      <c r="AH1183" s="5">
        <v>2</v>
      </c>
      <c r="AI1183" s="5">
        <v>12</v>
      </c>
    </row>
    <row r="1184" spans="1:35" x14ac:dyDescent="0.25">
      <c r="A1184" s="5">
        <v>36</v>
      </c>
      <c r="B1184" s="5" t="s">
        <v>43</v>
      </c>
      <c r="C1184" s="5" t="s">
        <v>55</v>
      </c>
      <c r="D1184" s="5">
        <v>894</v>
      </c>
      <c r="E1184" s="5" t="s">
        <v>45</v>
      </c>
      <c r="F1184" s="5">
        <v>1</v>
      </c>
      <c r="G1184" s="5">
        <v>4</v>
      </c>
      <c r="H1184" s="5" t="s">
        <v>51</v>
      </c>
      <c r="I1184" s="5">
        <v>1</v>
      </c>
      <c r="J1184" s="5">
        <v>1662</v>
      </c>
      <c r="K1184" s="5">
        <v>4</v>
      </c>
      <c r="L1184" s="5" t="s">
        <v>39</v>
      </c>
      <c r="M1184" s="5">
        <v>33</v>
      </c>
      <c r="N1184" s="5">
        <v>2</v>
      </c>
      <c r="O1184" s="5">
        <v>2</v>
      </c>
      <c r="P1184" s="5" t="s">
        <v>53</v>
      </c>
      <c r="Q1184" s="5">
        <v>3</v>
      </c>
      <c r="R1184" s="5" t="s">
        <v>48</v>
      </c>
      <c r="S1184" s="5">
        <v>4374</v>
      </c>
      <c r="T1184" s="5">
        <v>15411</v>
      </c>
      <c r="U1184" s="5">
        <v>0</v>
      </c>
      <c r="V1184" s="5" t="s">
        <v>42</v>
      </c>
      <c r="W1184" s="5" t="s">
        <v>43</v>
      </c>
      <c r="X1184" s="5">
        <v>15</v>
      </c>
      <c r="Y1184" s="5">
        <v>3</v>
      </c>
      <c r="Z1184" s="5">
        <v>3</v>
      </c>
      <c r="AA1184" s="5">
        <v>80</v>
      </c>
      <c r="AB1184" s="5">
        <v>0</v>
      </c>
      <c r="AC1184" s="5">
        <v>4</v>
      </c>
      <c r="AD1184" s="5">
        <v>6</v>
      </c>
      <c r="AE1184" s="5">
        <v>3</v>
      </c>
      <c r="AF1184" s="5">
        <v>3</v>
      </c>
      <c r="AG1184" s="5">
        <v>2</v>
      </c>
      <c r="AH1184" s="5">
        <v>1</v>
      </c>
      <c r="AI1184" s="5">
        <v>2</v>
      </c>
    </row>
    <row r="1185" spans="1:35" x14ac:dyDescent="0.25">
      <c r="A1185" s="5">
        <v>36</v>
      </c>
      <c r="B1185" s="5" t="s">
        <v>43</v>
      </c>
      <c r="C1185" s="5" t="s">
        <v>36</v>
      </c>
      <c r="D1185" s="5">
        <v>1040</v>
      </c>
      <c r="E1185" s="5" t="s">
        <v>45</v>
      </c>
      <c r="F1185" s="5">
        <v>3</v>
      </c>
      <c r="G1185" s="5">
        <v>2</v>
      </c>
      <c r="H1185" s="5" t="s">
        <v>38</v>
      </c>
      <c r="I1185" s="5">
        <v>1</v>
      </c>
      <c r="J1185" s="5">
        <v>1664</v>
      </c>
      <c r="K1185" s="5">
        <v>4</v>
      </c>
      <c r="L1185" s="5" t="s">
        <v>46</v>
      </c>
      <c r="M1185" s="5">
        <v>79</v>
      </c>
      <c r="N1185" s="5">
        <v>4</v>
      </c>
      <c r="O1185" s="5">
        <v>2</v>
      </c>
      <c r="P1185" s="5" t="s">
        <v>54</v>
      </c>
      <c r="Q1185" s="5">
        <v>1</v>
      </c>
      <c r="R1185" s="5" t="s">
        <v>52</v>
      </c>
      <c r="S1185" s="5">
        <v>6842</v>
      </c>
      <c r="T1185" s="5">
        <v>26308</v>
      </c>
      <c r="U1185" s="5">
        <v>6</v>
      </c>
      <c r="V1185" s="5" t="s">
        <v>42</v>
      </c>
      <c r="W1185" s="5" t="s">
        <v>43</v>
      </c>
      <c r="X1185" s="5">
        <v>20</v>
      </c>
      <c r="Y1185" s="5">
        <v>4</v>
      </c>
      <c r="Z1185" s="5">
        <v>1</v>
      </c>
      <c r="AA1185" s="5">
        <v>80</v>
      </c>
      <c r="AB1185" s="5">
        <v>1</v>
      </c>
      <c r="AC1185" s="5">
        <v>13</v>
      </c>
      <c r="AD1185" s="5">
        <v>3</v>
      </c>
      <c r="AE1185" s="5">
        <v>3</v>
      </c>
      <c r="AF1185" s="5">
        <v>5</v>
      </c>
      <c r="AG1185" s="5">
        <v>4</v>
      </c>
      <c r="AH1185" s="5">
        <v>0</v>
      </c>
      <c r="AI1185" s="5">
        <v>4</v>
      </c>
    </row>
    <row r="1186" spans="1:35" x14ac:dyDescent="0.25">
      <c r="A1186" s="5">
        <v>54</v>
      </c>
      <c r="B1186" s="5" t="s">
        <v>43</v>
      </c>
      <c r="C1186" s="5" t="s">
        <v>36</v>
      </c>
      <c r="D1186" s="5">
        <v>584</v>
      </c>
      <c r="E1186" s="5" t="s">
        <v>45</v>
      </c>
      <c r="F1186" s="5">
        <v>22</v>
      </c>
      <c r="G1186" s="5">
        <v>5</v>
      </c>
      <c r="H1186" s="5" t="s">
        <v>51</v>
      </c>
      <c r="I1186" s="5">
        <v>1</v>
      </c>
      <c r="J1186" s="5">
        <v>1665</v>
      </c>
      <c r="K1186" s="5">
        <v>2</v>
      </c>
      <c r="L1186" s="5" t="s">
        <v>39</v>
      </c>
      <c r="M1186" s="5">
        <v>91</v>
      </c>
      <c r="N1186" s="5">
        <v>3</v>
      </c>
      <c r="O1186" s="5">
        <v>4</v>
      </c>
      <c r="P1186" s="5" t="s">
        <v>56</v>
      </c>
      <c r="Q1186" s="5">
        <v>3</v>
      </c>
      <c r="R1186" s="5" t="s">
        <v>48</v>
      </c>
      <c r="S1186" s="5">
        <v>17426</v>
      </c>
      <c r="T1186" s="5">
        <v>18685</v>
      </c>
      <c r="U1186" s="5">
        <v>3</v>
      </c>
      <c r="V1186" s="5" t="s">
        <v>42</v>
      </c>
      <c r="W1186" s="5" t="s">
        <v>43</v>
      </c>
      <c r="X1186" s="5">
        <v>25</v>
      </c>
      <c r="Y1186" s="5">
        <v>4</v>
      </c>
      <c r="Z1186" s="5">
        <v>3</v>
      </c>
      <c r="AA1186" s="5">
        <v>80</v>
      </c>
      <c r="AB1186" s="5">
        <v>1</v>
      </c>
      <c r="AC1186" s="5">
        <v>36</v>
      </c>
      <c r="AD1186" s="5">
        <v>6</v>
      </c>
      <c r="AE1186" s="5">
        <v>3</v>
      </c>
      <c r="AF1186" s="5">
        <v>10</v>
      </c>
      <c r="AG1186" s="5">
        <v>8</v>
      </c>
      <c r="AH1186" s="5">
        <v>4</v>
      </c>
      <c r="AI1186" s="5">
        <v>7</v>
      </c>
    </row>
    <row r="1187" spans="1:35" x14ac:dyDescent="0.25">
      <c r="A1187" s="5">
        <v>43</v>
      </c>
      <c r="B1187" s="5" t="s">
        <v>43</v>
      </c>
      <c r="C1187" s="5" t="s">
        <v>36</v>
      </c>
      <c r="D1187" s="5">
        <v>1291</v>
      </c>
      <c r="E1187" s="5" t="s">
        <v>45</v>
      </c>
      <c r="F1187" s="5">
        <v>15</v>
      </c>
      <c r="G1187" s="5">
        <v>2</v>
      </c>
      <c r="H1187" s="5" t="s">
        <v>38</v>
      </c>
      <c r="I1187" s="5">
        <v>1</v>
      </c>
      <c r="J1187" s="5">
        <v>1666</v>
      </c>
      <c r="K1187" s="5">
        <v>3</v>
      </c>
      <c r="L1187" s="5" t="s">
        <v>46</v>
      </c>
      <c r="M1187" s="5">
        <v>65</v>
      </c>
      <c r="N1187" s="5">
        <v>2</v>
      </c>
      <c r="O1187" s="5">
        <v>4</v>
      </c>
      <c r="P1187" s="5" t="s">
        <v>58</v>
      </c>
      <c r="Q1187" s="5">
        <v>3</v>
      </c>
      <c r="R1187" s="5" t="s">
        <v>48</v>
      </c>
      <c r="S1187" s="5">
        <v>17603</v>
      </c>
      <c r="T1187" s="5">
        <v>3525</v>
      </c>
      <c r="U1187" s="5">
        <v>1</v>
      </c>
      <c r="V1187" s="5" t="s">
        <v>42</v>
      </c>
      <c r="W1187" s="5" t="s">
        <v>43</v>
      </c>
      <c r="X1187" s="5">
        <v>24</v>
      </c>
      <c r="Y1187" s="5">
        <v>4</v>
      </c>
      <c r="Z1187" s="5">
        <v>1</v>
      </c>
      <c r="AA1187" s="5">
        <v>80</v>
      </c>
      <c r="AB1187" s="5">
        <v>1</v>
      </c>
      <c r="AC1187" s="5">
        <v>14</v>
      </c>
      <c r="AD1187" s="5">
        <v>3</v>
      </c>
      <c r="AE1187" s="5">
        <v>3</v>
      </c>
      <c r="AF1187" s="5">
        <v>14</v>
      </c>
      <c r="AG1187" s="5">
        <v>10</v>
      </c>
      <c r="AH1187" s="5">
        <v>6</v>
      </c>
      <c r="AI1187" s="5">
        <v>11</v>
      </c>
    </row>
    <row r="1188" spans="1:35" x14ac:dyDescent="0.25">
      <c r="A1188" s="5">
        <v>35</v>
      </c>
      <c r="B1188" s="5" t="s">
        <v>35</v>
      </c>
      <c r="C1188" s="5" t="s">
        <v>44</v>
      </c>
      <c r="D1188" s="5">
        <v>880</v>
      </c>
      <c r="E1188" s="5" t="s">
        <v>37</v>
      </c>
      <c r="F1188" s="5">
        <v>12</v>
      </c>
      <c r="G1188" s="5">
        <v>4</v>
      </c>
      <c r="H1188" s="5" t="s">
        <v>49</v>
      </c>
      <c r="I1188" s="5">
        <v>1</v>
      </c>
      <c r="J1188" s="5">
        <v>1667</v>
      </c>
      <c r="K1188" s="5">
        <v>4</v>
      </c>
      <c r="L1188" s="5" t="s">
        <v>46</v>
      </c>
      <c r="M1188" s="5">
        <v>36</v>
      </c>
      <c r="N1188" s="5">
        <v>3</v>
      </c>
      <c r="O1188" s="5">
        <v>2</v>
      </c>
      <c r="P1188" s="5" t="s">
        <v>40</v>
      </c>
      <c r="Q1188" s="5">
        <v>4</v>
      </c>
      <c r="R1188" s="5" t="s">
        <v>41</v>
      </c>
      <c r="S1188" s="5">
        <v>4581</v>
      </c>
      <c r="T1188" s="5">
        <v>10414</v>
      </c>
      <c r="U1188" s="5">
        <v>3</v>
      </c>
      <c r="V1188" s="5" t="s">
        <v>42</v>
      </c>
      <c r="W1188" s="5" t="s">
        <v>35</v>
      </c>
      <c r="X1188" s="5">
        <v>24</v>
      </c>
      <c r="Y1188" s="5">
        <v>4</v>
      </c>
      <c r="Z1188" s="5">
        <v>1</v>
      </c>
      <c r="AA1188" s="5">
        <v>80</v>
      </c>
      <c r="AB1188" s="5">
        <v>0</v>
      </c>
      <c r="AC1188" s="5">
        <v>13</v>
      </c>
      <c r="AD1188" s="5">
        <v>2</v>
      </c>
      <c r="AE1188" s="5">
        <v>4</v>
      </c>
      <c r="AF1188" s="5">
        <v>11</v>
      </c>
      <c r="AG1188" s="5">
        <v>9</v>
      </c>
      <c r="AH1188" s="5">
        <v>6</v>
      </c>
      <c r="AI1188" s="5">
        <v>7</v>
      </c>
    </row>
    <row r="1189" spans="1:35" x14ac:dyDescent="0.25">
      <c r="A1189" s="5">
        <v>38</v>
      </c>
      <c r="B1189" s="5" t="s">
        <v>43</v>
      </c>
      <c r="C1189" s="5" t="s">
        <v>44</v>
      </c>
      <c r="D1189" s="5">
        <v>1189</v>
      </c>
      <c r="E1189" s="5" t="s">
        <v>45</v>
      </c>
      <c r="F1189" s="5">
        <v>1</v>
      </c>
      <c r="G1189" s="5">
        <v>3</v>
      </c>
      <c r="H1189" s="5" t="s">
        <v>38</v>
      </c>
      <c r="I1189" s="5">
        <v>1</v>
      </c>
      <c r="J1189" s="5">
        <v>1668</v>
      </c>
      <c r="K1189" s="5">
        <v>4</v>
      </c>
      <c r="L1189" s="5" t="s">
        <v>46</v>
      </c>
      <c r="M1189" s="5">
        <v>90</v>
      </c>
      <c r="N1189" s="5">
        <v>3</v>
      </c>
      <c r="O1189" s="5">
        <v>2</v>
      </c>
      <c r="P1189" s="5" t="s">
        <v>47</v>
      </c>
      <c r="Q1189" s="5">
        <v>4</v>
      </c>
      <c r="R1189" s="5" t="s">
        <v>48</v>
      </c>
      <c r="S1189" s="5">
        <v>4735</v>
      </c>
      <c r="T1189" s="5">
        <v>9867</v>
      </c>
      <c r="U1189" s="5">
        <v>7</v>
      </c>
      <c r="V1189" s="5" t="s">
        <v>42</v>
      </c>
      <c r="W1189" s="5" t="s">
        <v>43</v>
      </c>
      <c r="X1189" s="5">
        <v>15</v>
      </c>
      <c r="Y1189" s="5">
        <v>3</v>
      </c>
      <c r="Z1189" s="5">
        <v>4</v>
      </c>
      <c r="AA1189" s="5">
        <v>80</v>
      </c>
      <c r="AB1189" s="5">
        <v>2</v>
      </c>
      <c r="AC1189" s="5">
        <v>19</v>
      </c>
      <c r="AD1189" s="5">
        <v>4</v>
      </c>
      <c r="AE1189" s="5">
        <v>4</v>
      </c>
      <c r="AF1189" s="5">
        <v>13</v>
      </c>
      <c r="AG1189" s="5">
        <v>11</v>
      </c>
      <c r="AH1189" s="5">
        <v>2</v>
      </c>
      <c r="AI1189" s="5">
        <v>9</v>
      </c>
    </row>
    <row r="1190" spans="1:35" x14ac:dyDescent="0.25">
      <c r="A1190" s="5">
        <v>29</v>
      </c>
      <c r="B1190" s="5" t="s">
        <v>43</v>
      </c>
      <c r="C1190" s="5" t="s">
        <v>36</v>
      </c>
      <c r="D1190" s="5">
        <v>991</v>
      </c>
      <c r="E1190" s="5" t="s">
        <v>37</v>
      </c>
      <c r="F1190" s="5">
        <v>5</v>
      </c>
      <c r="G1190" s="5">
        <v>3</v>
      </c>
      <c r="H1190" s="5" t="s">
        <v>51</v>
      </c>
      <c r="I1190" s="5">
        <v>1</v>
      </c>
      <c r="J1190" s="5">
        <v>1669</v>
      </c>
      <c r="K1190" s="5">
        <v>1</v>
      </c>
      <c r="L1190" s="5" t="s">
        <v>46</v>
      </c>
      <c r="M1190" s="5">
        <v>43</v>
      </c>
      <c r="N1190" s="5">
        <v>2</v>
      </c>
      <c r="O1190" s="5">
        <v>2</v>
      </c>
      <c r="P1190" s="5" t="s">
        <v>40</v>
      </c>
      <c r="Q1190" s="5">
        <v>2</v>
      </c>
      <c r="R1190" s="5" t="s">
        <v>52</v>
      </c>
      <c r="S1190" s="5">
        <v>4187</v>
      </c>
      <c r="T1190" s="5">
        <v>3356</v>
      </c>
      <c r="U1190" s="5">
        <v>1</v>
      </c>
      <c r="V1190" s="5" t="s">
        <v>42</v>
      </c>
      <c r="W1190" s="5" t="s">
        <v>35</v>
      </c>
      <c r="X1190" s="5">
        <v>13</v>
      </c>
      <c r="Y1190" s="5">
        <v>3</v>
      </c>
      <c r="Z1190" s="5">
        <v>2</v>
      </c>
      <c r="AA1190" s="5">
        <v>80</v>
      </c>
      <c r="AB1190" s="5">
        <v>1</v>
      </c>
      <c r="AC1190" s="5">
        <v>10</v>
      </c>
      <c r="AD1190" s="5">
        <v>3</v>
      </c>
      <c r="AE1190" s="5">
        <v>2</v>
      </c>
      <c r="AF1190" s="5">
        <v>10</v>
      </c>
      <c r="AG1190" s="5">
        <v>0</v>
      </c>
      <c r="AH1190" s="5">
        <v>0</v>
      </c>
      <c r="AI1190" s="5">
        <v>9</v>
      </c>
    </row>
    <row r="1191" spans="1:35" x14ac:dyDescent="0.25">
      <c r="A1191" s="5">
        <v>33</v>
      </c>
      <c r="B1191" s="5" t="s">
        <v>43</v>
      </c>
      <c r="C1191" s="5" t="s">
        <v>36</v>
      </c>
      <c r="D1191" s="5">
        <v>392</v>
      </c>
      <c r="E1191" s="5" t="s">
        <v>37</v>
      </c>
      <c r="F1191" s="5">
        <v>2</v>
      </c>
      <c r="G1191" s="5">
        <v>4</v>
      </c>
      <c r="H1191" s="5" t="s">
        <v>51</v>
      </c>
      <c r="I1191" s="5">
        <v>1</v>
      </c>
      <c r="J1191" s="5">
        <v>1670</v>
      </c>
      <c r="K1191" s="5">
        <v>4</v>
      </c>
      <c r="L1191" s="5" t="s">
        <v>46</v>
      </c>
      <c r="M1191" s="5">
        <v>93</v>
      </c>
      <c r="N1191" s="5">
        <v>3</v>
      </c>
      <c r="O1191" s="5">
        <v>2</v>
      </c>
      <c r="P1191" s="5" t="s">
        <v>40</v>
      </c>
      <c r="Q1191" s="5">
        <v>4</v>
      </c>
      <c r="R1191" s="5" t="s">
        <v>52</v>
      </c>
      <c r="S1191" s="5">
        <v>5505</v>
      </c>
      <c r="T1191" s="5">
        <v>3921</v>
      </c>
      <c r="U1191" s="5">
        <v>1</v>
      </c>
      <c r="V1191" s="5" t="s">
        <v>42</v>
      </c>
      <c r="W1191" s="5" t="s">
        <v>43</v>
      </c>
      <c r="X1191" s="5">
        <v>14</v>
      </c>
      <c r="Y1191" s="5">
        <v>3</v>
      </c>
      <c r="Z1191" s="5">
        <v>3</v>
      </c>
      <c r="AA1191" s="5">
        <v>80</v>
      </c>
      <c r="AB1191" s="5">
        <v>2</v>
      </c>
      <c r="AC1191" s="5">
        <v>6</v>
      </c>
      <c r="AD1191" s="5">
        <v>5</v>
      </c>
      <c r="AE1191" s="5">
        <v>3</v>
      </c>
      <c r="AF1191" s="5">
        <v>6</v>
      </c>
      <c r="AG1191" s="5">
        <v>2</v>
      </c>
      <c r="AH1191" s="5">
        <v>0</v>
      </c>
      <c r="AI1191" s="5">
        <v>4</v>
      </c>
    </row>
    <row r="1192" spans="1:35" x14ac:dyDescent="0.25">
      <c r="A1192" s="5">
        <v>32</v>
      </c>
      <c r="B1192" s="5" t="s">
        <v>43</v>
      </c>
      <c r="C1192" s="5" t="s">
        <v>36</v>
      </c>
      <c r="D1192" s="5">
        <v>977</v>
      </c>
      <c r="E1192" s="5" t="s">
        <v>45</v>
      </c>
      <c r="F1192" s="5">
        <v>2</v>
      </c>
      <c r="G1192" s="5">
        <v>3</v>
      </c>
      <c r="H1192" s="5" t="s">
        <v>51</v>
      </c>
      <c r="I1192" s="5">
        <v>1</v>
      </c>
      <c r="J1192" s="5">
        <v>1671</v>
      </c>
      <c r="K1192" s="5">
        <v>4</v>
      </c>
      <c r="L1192" s="5" t="s">
        <v>46</v>
      </c>
      <c r="M1192" s="5">
        <v>45</v>
      </c>
      <c r="N1192" s="5">
        <v>3</v>
      </c>
      <c r="O1192" s="5">
        <v>2</v>
      </c>
      <c r="P1192" s="5" t="s">
        <v>47</v>
      </c>
      <c r="Q1192" s="5">
        <v>2</v>
      </c>
      <c r="R1192" s="5" t="s">
        <v>52</v>
      </c>
      <c r="S1192" s="5">
        <v>5470</v>
      </c>
      <c r="T1192" s="5">
        <v>25518</v>
      </c>
      <c r="U1192" s="5">
        <v>0</v>
      </c>
      <c r="V1192" s="5" t="s">
        <v>42</v>
      </c>
      <c r="W1192" s="5" t="s">
        <v>43</v>
      </c>
      <c r="X1192" s="5">
        <v>13</v>
      </c>
      <c r="Y1192" s="5">
        <v>3</v>
      </c>
      <c r="Z1192" s="5">
        <v>3</v>
      </c>
      <c r="AA1192" s="5">
        <v>80</v>
      </c>
      <c r="AB1192" s="5">
        <v>2</v>
      </c>
      <c r="AC1192" s="5">
        <v>10</v>
      </c>
      <c r="AD1192" s="5">
        <v>4</v>
      </c>
      <c r="AE1192" s="5">
        <v>2</v>
      </c>
      <c r="AF1192" s="5">
        <v>9</v>
      </c>
      <c r="AG1192" s="5">
        <v>5</v>
      </c>
      <c r="AH1192" s="5">
        <v>1</v>
      </c>
      <c r="AI1192" s="5">
        <v>6</v>
      </c>
    </row>
    <row r="1193" spans="1:35" x14ac:dyDescent="0.25">
      <c r="A1193" s="5">
        <v>31</v>
      </c>
      <c r="B1193" s="5" t="s">
        <v>43</v>
      </c>
      <c r="C1193" s="5" t="s">
        <v>36</v>
      </c>
      <c r="D1193" s="5">
        <v>1112</v>
      </c>
      <c r="E1193" s="5" t="s">
        <v>37</v>
      </c>
      <c r="F1193" s="5">
        <v>5</v>
      </c>
      <c r="G1193" s="5">
        <v>4</v>
      </c>
      <c r="H1193" s="5" t="s">
        <v>38</v>
      </c>
      <c r="I1193" s="5">
        <v>1</v>
      </c>
      <c r="J1193" s="5">
        <v>1673</v>
      </c>
      <c r="K1193" s="5">
        <v>1</v>
      </c>
      <c r="L1193" s="5" t="s">
        <v>39</v>
      </c>
      <c r="M1193" s="5">
        <v>67</v>
      </c>
      <c r="N1193" s="5">
        <v>3</v>
      </c>
      <c r="O1193" s="5">
        <v>2</v>
      </c>
      <c r="P1193" s="5" t="s">
        <v>40</v>
      </c>
      <c r="Q1193" s="5">
        <v>4</v>
      </c>
      <c r="R1193" s="5" t="s">
        <v>48</v>
      </c>
      <c r="S1193" s="5">
        <v>5476</v>
      </c>
      <c r="T1193" s="5">
        <v>22589</v>
      </c>
      <c r="U1193" s="5">
        <v>1</v>
      </c>
      <c r="V1193" s="5" t="s">
        <v>42</v>
      </c>
      <c r="W1193" s="5" t="s">
        <v>43</v>
      </c>
      <c r="X1193" s="5">
        <v>11</v>
      </c>
      <c r="Y1193" s="5">
        <v>3</v>
      </c>
      <c r="Z1193" s="5">
        <v>1</v>
      </c>
      <c r="AA1193" s="5">
        <v>80</v>
      </c>
      <c r="AB1193" s="5">
        <v>2</v>
      </c>
      <c r="AC1193" s="5">
        <v>10</v>
      </c>
      <c r="AD1193" s="5">
        <v>2</v>
      </c>
      <c r="AE1193" s="5">
        <v>3</v>
      </c>
      <c r="AF1193" s="5">
        <v>10</v>
      </c>
      <c r="AG1193" s="5">
        <v>0</v>
      </c>
      <c r="AH1193" s="5">
        <v>0</v>
      </c>
      <c r="AI1193" s="5">
        <v>2</v>
      </c>
    </row>
    <row r="1194" spans="1:35" x14ac:dyDescent="0.25">
      <c r="A1194" s="5">
        <v>49</v>
      </c>
      <c r="B1194" s="5" t="s">
        <v>43</v>
      </c>
      <c r="C1194" s="5" t="s">
        <v>36</v>
      </c>
      <c r="D1194" s="5">
        <v>464</v>
      </c>
      <c r="E1194" s="5" t="s">
        <v>45</v>
      </c>
      <c r="F1194" s="5">
        <v>16</v>
      </c>
      <c r="G1194" s="5">
        <v>3</v>
      </c>
      <c r="H1194" s="5" t="s">
        <v>51</v>
      </c>
      <c r="I1194" s="5">
        <v>1</v>
      </c>
      <c r="J1194" s="5">
        <v>1674</v>
      </c>
      <c r="K1194" s="5">
        <v>4</v>
      </c>
      <c r="L1194" s="5" t="s">
        <v>39</v>
      </c>
      <c r="M1194" s="5">
        <v>74</v>
      </c>
      <c r="N1194" s="5">
        <v>3</v>
      </c>
      <c r="O1194" s="5">
        <v>1</v>
      </c>
      <c r="P1194" s="5" t="s">
        <v>50</v>
      </c>
      <c r="Q1194" s="5">
        <v>1</v>
      </c>
      <c r="R1194" s="5" t="s">
        <v>52</v>
      </c>
      <c r="S1194" s="5">
        <v>2587</v>
      </c>
      <c r="T1194" s="5">
        <v>24941</v>
      </c>
      <c r="U1194" s="5">
        <v>4</v>
      </c>
      <c r="V1194" s="5" t="s">
        <v>42</v>
      </c>
      <c r="W1194" s="5" t="s">
        <v>35</v>
      </c>
      <c r="X1194" s="5">
        <v>16</v>
      </c>
      <c r="Y1194" s="5">
        <v>3</v>
      </c>
      <c r="Z1194" s="5">
        <v>2</v>
      </c>
      <c r="AA1194" s="5">
        <v>80</v>
      </c>
      <c r="AB1194" s="5">
        <v>1</v>
      </c>
      <c r="AC1194" s="5">
        <v>17</v>
      </c>
      <c r="AD1194" s="5">
        <v>2</v>
      </c>
      <c r="AE1194" s="5">
        <v>2</v>
      </c>
      <c r="AF1194" s="5">
        <v>2</v>
      </c>
      <c r="AG1194" s="5">
        <v>2</v>
      </c>
      <c r="AH1194" s="5">
        <v>2</v>
      </c>
      <c r="AI1194" s="5">
        <v>2</v>
      </c>
    </row>
    <row r="1195" spans="1:35" x14ac:dyDescent="0.25">
      <c r="A1195" s="5">
        <v>38</v>
      </c>
      <c r="B1195" s="5" t="s">
        <v>43</v>
      </c>
      <c r="C1195" s="5" t="s">
        <v>44</v>
      </c>
      <c r="D1195" s="5">
        <v>148</v>
      </c>
      <c r="E1195" s="5" t="s">
        <v>45</v>
      </c>
      <c r="F1195" s="5">
        <v>2</v>
      </c>
      <c r="G1195" s="5">
        <v>3</v>
      </c>
      <c r="H1195" s="5" t="s">
        <v>51</v>
      </c>
      <c r="I1195" s="5">
        <v>1</v>
      </c>
      <c r="J1195" s="5">
        <v>1675</v>
      </c>
      <c r="K1195" s="5">
        <v>4</v>
      </c>
      <c r="L1195" s="5" t="s">
        <v>39</v>
      </c>
      <c r="M1195" s="5">
        <v>42</v>
      </c>
      <c r="N1195" s="5">
        <v>2</v>
      </c>
      <c r="O1195" s="5">
        <v>1</v>
      </c>
      <c r="P1195" s="5" t="s">
        <v>50</v>
      </c>
      <c r="Q1195" s="5">
        <v>2</v>
      </c>
      <c r="R1195" s="5" t="s">
        <v>41</v>
      </c>
      <c r="S1195" s="5">
        <v>2440</v>
      </c>
      <c r="T1195" s="5">
        <v>23826</v>
      </c>
      <c r="U1195" s="5">
        <v>1</v>
      </c>
      <c r="V1195" s="5" t="s">
        <v>42</v>
      </c>
      <c r="W1195" s="5" t="s">
        <v>43</v>
      </c>
      <c r="X1195" s="5">
        <v>22</v>
      </c>
      <c r="Y1195" s="5">
        <v>4</v>
      </c>
      <c r="Z1195" s="5">
        <v>2</v>
      </c>
      <c r="AA1195" s="5">
        <v>80</v>
      </c>
      <c r="AB1195" s="5">
        <v>0</v>
      </c>
      <c r="AC1195" s="5">
        <v>4</v>
      </c>
      <c r="AD1195" s="5">
        <v>3</v>
      </c>
      <c r="AE1195" s="5">
        <v>3</v>
      </c>
      <c r="AF1195" s="5">
        <v>4</v>
      </c>
      <c r="AG1195" s="5">
        <v>3</v>
      </c>
      <c r="AH1195" s="5">
        <v>3</v>
      </c>
      <c r="AI1195" s="5">
        <v>3</v>
      </c>
    </row>
    <row r="1196" spans="1:35" x14ac:dyDescent="0.25">
      <c r="A1196" s="5">
        <v>47</v>
      </c>
      <c r="B1196" s="5" t="s">
        <v>43</v>
      </c>
      <c r="C1196" s="5" t="s">
        <v>36</v>
      </c>
      <c r="D1196" s="5">
        <v>1225</v>
      </c>
      <c r="E1196" s="5" t="s">
        <v>37</v>
      </c>
      <c r="F1196" s="5">
        <v>2</v>
      </c>
      <c r="G1196" s="5">
        <v>4</v>
      </c>
      <c r="H1196" s="5" t="s">
        <v>38</v>
      </c>
      <c r="I1196" s="5">
        <v>1</v>
      </c>
      <c r="J1196" s="5">
        <v>1676</v>
      </c>
      <c r="K1196" s="5">
        <v>2</v>
      </c>
      <c r="L1196" s="5" t="s">
        <v>39</v>
      </c>
      <c r="M1196" s="5">
        <v>47</v>
      </c>
      <c r="N1196" s="5">
        <v>4</v>
      </c>
      <c r="O1196" s="5">
        <v>4</v>
      </c>
      <c r="P1196" s="5" t="s">
        <v>56</v>
      </c>
      <c r="Q1196" s="5">
        <v>2</v>
      </c>
      <c r="R1196" s="5" t="s">
        <v>52</v>
      </c>
      <c r="S1196" s="5">
        <v>15972</v>
      </c>
      <c r="T1196" s="5">
        <v>21086</v>
      </c>
      <c r="U1196" s="5">
        <v>6</v>
      </c>
      <c r="V1196" s="5" t="s">
        <v>42</v>
      </c>
      <c r="W1196" s="5" t="s">
        <v>43</v>
      </c>
      <c r="X1196" s="5">
        <v>14</v>
      </c>
      <c r="Y1196" s="5">
        <v>3</v>
      </c>
      <c r="Z1196" s="5">
        <v>3</v>
      </c>
      <c r="AA1196" s="5">
        <v>80</v>
      </c>
      <c r="AB1196" s="5">
        <v>3</v>
      </c>
      <c r="AC1196" s="5">
        <v>29</v>
      </c>
      <c r="AD1196" s="5">
        <v>2</v>
      </c>
      <c r="AE1196" s="5">
        <v>3</v>
      </c>
      <c r="AF1196" s="5">
        <v>3</v>
      </c>
      <c r="AG1196" s="5">
        <v>2</v>
      </c>
      <c r="AH1196" s="5">
        <v>1</v>
      </c>
      <c r="AI1196" s="5">
        <v>2</v>
      </c>
    </row>
    <row r="1197" spans="1:35" x14ac:dyDescent="0.25">
      <c r="A1197" s="5">
        <v>49</v>
      </c>
      <c r="B1197" s="5" t="s">
        <v>43</v>
      </c>
      <c r="C1197" s="5" t="s">
        <v>36</v>
      </c>
      <c r="D1197" s="5">
        <v>809</v>
      </c>
      <c r="E1197" s="5" t="s">
        <v>45</v>
      </c>
      <c r="F1197" s="5">
        <v>1</v>
      </c>
      <c r="G1197" s="5">
        <v>3</v>
      </c>
      <c r="H1197" s="5" t="s">
        <v>38</v>
      </c>
      <c r="I1197" s="5">
        <v>1</v>
      </c>
      <c r="J1197" s="5">
        <v>1677</v>
      </c>
      <c r="K1197" s="5">
        <v>3</v>
      </c>
      <c r="L1197" s="5" t="s">
        <v>46</v>
      </c>
      <c r="M1197" s="5">
        <v>36</v>
      </c>
      <c r="N1197" s="5">
        <v>3</v>
      </c>
      <c r="O1197" s="5">
        <v>4</v>
      </c>
      <c r="P1197" s="5" t="s">
        <v>56</v>
      </c>
      <c r="Q1197" s="5">
        <v>3</v>
      </c>
      <c r="R1197" s="5" t="s">
        <v>41</v>
      </c>
      <c r="S1197" s="5">
        <v>15379</v>
      </c>
      <c r="T1197" s="5">
        <v>22384</v>
      </c>
      <c r="U1197" s="5">
        <v>4</v>
      </c>
      <c r="V1197" s="5" t="s">
        <v>42</v>
      </c>
      <c r="W1197" s="5" t="s">
        <v>43</v>
      </c>
      <c r="X1197" s="5">
        <v>14</v>
      </c>
      <c r="Y1197" s="5">
        <v>3</v>
      </c>
      <c r="Z1197" s="5">
        <v>1</v>
      </c>
      <c r="AA1197" s="5">
        <v>80</v>
      </c>
      <c r="AB1197" s="5">
        <v>0</v>
      </c>
      <c r="AC1197" s="5">
        <v>23</v>
      </c>
      <c r="AD1197" s="5">
        <v>2</v>
      </c>
      <c r="AE1197" s="5">
        <v>3</v>
      </c>
      <c r="AF1197" s="5">
        <v>8</v>
      </c>
      <c r="AG1197" s="5">
        <v>7</v>
      </c>
      <c r="AH1197" s="5">
        <v>0</v>
      </c>
      <c r="AI1197" s="5">
        <v>0</v>
      </c>
    </row>
    <row r="1198" spans="1:35" x14ac:dyDescent="0.25">
      <c r="A1198" s="5">
        <v>41</v>
      </c>
      <c r="B1198" s="5" t="s">
        <v>43</v>
      </c>
      <c r="C1198" s="5" t="s">
        <v>36</v>
      </c>
      <c r="D1198" s="5">
        <v>1206</v>
      </c>
      <c r="E1198" s="5" t="s">
        <v>37</v>
      </c>
      <c r="F1198" s="5">
        <v>23</v>
      </c>
      <c r="G1198" s="5">
        <v>2</v>
      </c>
      <c r="H1198" s="5" t="s">
        <v>38</v>
      </c>
      <c r="I1198" s="5">
        <v>1</v>
      </c>
      <c r="J1198" s="5">
        <v>1678</v>
      </c>
      <c r="K1198" s="5">
        <v>4</v>
      </c>
      <c r="L1198" s="5" t="s">
        <v>46</v>
      </c>
      <c r="M1198" s="5">
        <v>80</v>
      </c>
      <c r="N1198" s="5">
        <v>3</v>
      </c>
      <c r="O1198" s="5">
        <v>3</v>
      </c>
      <c r="P1198" s="5" t="s">
        <v>40</v>
      </c>
      <c r="Q1198" s="5">
        <v>3</v>
      </c>
      <c r="R1198" s="5" t="s">
        <v>41</v>
      </c>
      <c r="S1198" s="5">
        <v>7082</v>
      </c>
      <c r="T1198" s="5">
        <v>11591</v>
      </c>
      <c r="U1198" s="5">
        <v>3</v>
      </c>
      <c r="V1198" s="5" t="s">
        <v>42</v>
      </c>
      <c r="W1198" s="5" t="s">
        <v>35</v>
      </c>
      <c r="X1198" s="5">
        <v>16</v>
      </c>
      <c r="Y1198" s="5">
        <v>3</v>
      </c>
      <c r="Z1198" s="5">
        <v>4</v>
      </c>
      <c r="AA1198" s="5">
        <v>80</v>
      </c>
      <c r="AB1198" s="5">
        <v>0</v>
      </c>
      <c r="AC1198" s="5">
        <v>21</v>
      </c>
      <c r="AD1198" s="5">
        <v>2</v>
      </c>
      <c r="AE1198" s="5">
        <v>3</v>
      </c>
      <c r="AF1198" s="5">
        <v>2</v>
      </c>
      <c r="AG1198" s="5">
        <v>0</v>
      </c>
      <c r="AH1198" s="5">
        <v>0</v>
      </c>
      <c r="AI1198" s="5">
        <v>2</v>
      </c>
    </row>
    <row r="1199" spans="1:35" x14ac:dyDescent="0.25">
      <c r="A1199" s="5">
        <v>20</v>
      </c>
      <c r="B1199" s="5" t="s">
        <v>43</v>
      </c>
      <c r="C1199" s="5" t="s">
        <v>36</v>
      </c>
      <c r="D1199" s="5">
        <v>727</v>
      </c>
      <c r="E1199" s="5" t="s">
        <v>37</v>
      </c>
      <c r="F1199" s="5">
        <v>9</v>
      </c>
      <c r="G1199" s="5">
        <v>1</v>
      </c>
      <c r="H1199" s="5" t="s">
        <v>38</v>
      </c>
      <c r="I1199" s="5">
        <v>1</v>
      </c>
      <c r="J1199" s="5">
        <v>1680</v>
      </c>
      <c r="K1199" s="5">
        <v>4</v>
      </c>
      <c r="L1199" s="5" t="s">
        <v>46</v>
      </c>
      <c r="M1199" s="5">
        <v>54</v>
      </c>
      <c r="N1199" s="5">
        <v>3</v>
      </c>
      <c r="O1199" s="5">
        <v>1</v>
      </c>
      <c r="P1199" s="5" t="s">
        <v>57</v>
      </c>
      <c r="Q1199" s="5">
        <v>1</v>
      </c>
      <c r="R1199" s="5" t="s">
        <v>41</v>
      </c>
      <c r="S1199" s="5">
        <v>2728</v>
      </c>
      <c r="T1199" s="5">
        <v>21082</v>
      </c>
      <c r="U1199" s="5">
        <v>1</v>
      </c>
      <c r="V1199" s="5" t="s">
        <v>42</v>
      </c>
      <c r="W1199" s="5" t="s">
        <v>43</v>
      </c>
      <c r="X1199" s="5">
        <v>11</v>
      </c>
      <c r="Y1199" s="5">
        <v>3</v>
      </c>
      <c r="Z1199" s="5">
        <v>1</v>
      </c>
      <c r="AA1199" s="5">
        <v>80</v>
      </c>
      <c r="AB1199" s="5">
        <v>0</v>
      </c>
      <c r="AC1199" s="5">
        <v>2</v>
      </c>
      <c r="AD1199" s="5">
        <v>3</v>
      </c>
      <c r="AE1199" s="5">
        <v>3</v>
      </c>
      <c r="AF1199" s="5">
        <v>2</v>
      </c>
      <c r="AG1199" s="5">
        <v>2</v>
      </c>
      <c r="AH1199" s="5">
        <v>0</v>
      </c>
      <c r="AI1199" s="5">
        <v>2</v>
      </c>
    </row>
    <row r="1200" spans="1:35" x14ac:dyDescent="0.25">
      <c r="A1200" s="5">
        <v>33</v>
      </c>
      <c r="B1200" s="5" t="s">
        <v>43</v>
      </c>
      <c r="C1200" s="5" t="s">
        <v>55</v>
      </c>
      <c r="D1200" s="5">
        <v>530</v>
      </c>
      <c r="E1200" s="5" t="s">
        <v>37</v>
      </c>
      <c r="F1200" s="5">
        <v>16</v>
      </c>
      <c r="G1200" s="5">
        <v>3</v>
      </c>
      <c r="H1200" s="5" t="s">
        <v>38</v>
      </c>
      <c r="I1200" s="5">
        <v>1</v>
      </c>
      <c r="J1200" s="5">
        <v>1681</v>
      </c>
      <c r="K1200" s="5">
        <v>3</v>
      </c>
      <c r="L1200" s="5" t="s">
        <v>39</v>
      </c>
      <c r="M1200" s="5">
        <v>36</v>
      </c>
      <c r="N1200" s="5">
        <v>3</v>
      </c>
      <c r="O1200" s="5">
        <v>2</v>
      </c>
      <c r="P1200" s="5" t="s">
        <v>40</v>
      </c>
      <c r="Q1200" s="5">
        <v>4</v>
      </c>
      <c r="R1200" s="5" t="s">
        <v>52</v>
      </c>
      <c r="S1200" s="5">
        <v>5368</v>
      </c>
      <c r="T1200" s="5">
        <v>16130</v>
      </c>
      <c r="U1200" s="5">
        <v>1</v>
      </c>
      <c r="V1200" s="5" t="s">
        <v>42</v>
      </c>
      <c r="W1200" s="5" t="s">
        <v>35</v>
      </c>
      <c r="X1200" s="5">
        <v>25</v>
      </c>
      <c r="Y1200" s="5">
        <v>4</v>
      </c>
      <c r="Z1200" s="5">
        <v>3</v>
      </c>
      <c r="AA1200" s="5">
        <v>80</v>
      </c>
      <c r="AB1200" s="5">
        <v>1</v>
      </c>
      <c r="AC1200" s="5">
        <v>7</v>
      </c>
      <c r="AD1200" s="5">
        <v>2</v>
      </c>
      <c r="AE1200" s="5">
        <v>3</v>
      </c>
      <c r="AF1200" s="5">
        <v>6</v>
      </c>
      <c r="AG1200" s="5">
        <v>5</v>
      </c>
      <c r="AH1200" s="5">
        <v>1</v>
      </c>
      <c r="AI1200" s="5">
        <v>2</v>
      </c>
    </row>
    <row r="1201" spans="1:35" x14ac:dyDescent="0.25">
      <c r="A1201" s="5">
        <v>36</v>
      </c>
      <c r="B1201" s="5" t="s">
        <v>43</v>
      </c>
      <c r="C1201" s="5" t="s">
        <v>36</v>
      </c>
      <c r="D1201" s="5">
        <v>1351</v>
      </c>
      <c r="E1201" s="5" t="s">
        <v>45</v>
      </c>
      <c r="F1201" s="5">
        <v>26</v>
      </c>
      <c r="G1201" s="5">
        <v>4</v>
      </c>
      <c r="H1201" s="5" t="s">
        <v>38</v>
      </c>
      <c r="I1201" s="5">
        <v>1</v>
      </c>
      <c r="J1201" s="5">
        <v>1682</v>
      </c>
      <c r="K1201" s="5">
        <v>1</v>
      </c>
      <c r="L1201" s="5" t="s">
        <v>46</v>
      </c>
      <c r="M1201" s="5">
        <v>80</v>
      </c>
      <c r="N1201" s="5">
        <v>3</v>
      </c>
      <c r="O1201" s="5">
        <v>2</v>
      </c>
      <c r="P1201" s="5" t="s">
        <v>54</v>
      </c>
      <c r="Q1201" s="5">
        <v>3</v>
      </c>
      <c r="R1201" s="5" t="s">
        <v>48</v>
      </c>
      <c r="S1201" s="5">
        <v>5347</v>
      </c>
      <c r="T1201" s="5">
        <v>7419</v>
      </c>
      <c r="U1201" s="5">
        <v>6</v>
      </c>
      <c r="V1201" s="5" t="s">
        <v>42</v>
      </c>
      <c r="W1201" s="5" t="s">
        <v>43</v>
      </c>
      <c r="X1201" s="5">
        <v>14</v>
      </c>
      <c r="Y1201" s="5">
        <v>3</v>
      </c>
      <c r="Z1201" s="5">
        <v>2</v>
      </c>
      <c r="AA1201" s="5">
        <v>80</v>
      </c>
      <c r="AB1201" s="5">
        <v>2</v>
      </c>
      <c r="AC1201" s="5">
        <v>10</v>
      </c>
      <c r="AD1201" s="5">
        <v>2</v>
      </c>
      <c r="AE1201" s="5">
        <v>2</v>
      </c>
      <c r="AF1201" s="5">
        <v>3</v>
      </c>
      <c r="AG1201" s="5">
        <v>2</v>
      </c>
      <c r="AH1201" s="5">
        <v>0</v>
      </c>
      <c r="AI1201" s="5">
        <v>2</v>
      </c>
    </row>
    <row r="1202" spans="1:35" x14ac:dyDescent="0.25">
      <c r="A1202" s="5">
        <v>44</v>
      </c>
      <c r="B1202" s="5" t="s">
        <v>43</v>
      </c>
      <c r="C1202" s="5" t="s">
        <v>36</v>
      </c>
      <c r="D1202" s="5">
        <v>528</v>
      </c>
      <c r="E1202" s="5" t="s">
        <v>61</v>
      </c>
      <c r="F1202" s="5">
        <v>1</v>
      </c>
      <c r="G1202" s="5">
        <v>3</v>
      </c>
      <c r="H1202" s="5" t="s">
        <v>38</v>
      </c>
      <c r="I1202" s="5">
        <v>1</v>
      </c>
      <c r="J1202" s="5">
        <v>1683</v>
      </c>
      <c r="K1202" s="5">
        <v>3</v>
      </c>
      <c r="L1202" s="5" t="s">
        <v>39</v>
      </c>
      <c r="M1202" s="5">
        <v>44</v>
      </c>
      <c r="N1202" s="5">
        <v>3</v>
      </c>
      <c r="O1202" s="5">
        <v>1</v>
      </c>
      <c r="P1202" s="5" t="s">
        <v>61</v>
      </c>
      <c r="Q1202" s="5">
        <v>4</v>
      </c>
      <c r="R1202" s="5" t="s">
        <v>52</v>
      </c>
      <c r="S1202" s="5">
        <v>3195</v>
      </c>
      <c r="T1202" s="5">
        <v>4167</v>
      </c>
      <c r="U1202" s="5">
        <v>4</v>
      </c>
      <c r="V1202" s="5" t="s">
        <v>42</v>
      </c>
      <c r="W1202" s="5" t="s">
        <v>35</v>
      </c>
      <c r="X1202" s="5">
        <v>18</v>
      </c>
      <c r="Y1202" s="5">
        <v>3</v>
      </c>
      <c r="Z1202" s="5">
        <v>1</v>
      </c>
      <c r="AA1202" s="5">
        <v>80</v>
      </c>
      <c r="AB1202" s="5">
        <v>3</v>
      </c>
      <c r="AC1202" s="5">
        <v>8</v>
      </c>
      <c r="AD1202" s="5">
        <v>2</v>
      </c>
      <c r="AE1202" s="5">
        <v>3</v>
      </c>
      <c r="AF1202" s="5">
        <v>2</v>
      </c>
      <c r="AG1202" s="5">
        <v>2</v>
      </c>
      <c r="AH1202" s="5">
        <v>2</v>
      </c>
      <c r="AI1202" s="5">
        <v>2</v>
      </c>
    </row>
    <row r="1203" spans="1:35" x14ac:dyDescent="0.25">
      <c r="A1203" s="5">
        <v>23</v>
      </c>
      <c r="B1203" s="5" t="s">
        <v>35</v>
      </c>
      <c r="C1203" s="5" t="s">
        <v>36</v>
      </c>
      <c r="D1203" s="5">
        <v>1320</v>
      </c>
      <c r="E1203" s="5" t="s">
        <v>45</v>
      </c>
      <c r="F1203" s="5">
        <v>8</v>
      </c>
      <c r="G1203" s="5">
        <v>1</v>
      </c>
      <c r="H1203" s="5" t="s">
        <v>51</v>
      </c>
      <c r="I1203" s="5">
        <v>1</v>
      </c>
      <c r="J1203" s="5">
        <v>1684</v>
      </c>
      <c r="K1203" s="5">
        <v>4</v>
      </c>
      <c r="L1203" s="5" t="s">
        <v>46</v>
      </c>
      <c r="M1203" s="5">
        <v>93</v>
      </c>
      <c r="N1203" s="5">
        <v>2</v>
      </c>
      <c r="O1203" s="5">
        <v>1</v>
      </c>
      <c r="P1203" s="5" t="s">
        <v>50</v>
      </c>
      <c r="Q1203" s="5">
        <v>3</v>
      </c>
      <c r="R1203" s="5" t="s">
        <v>41</v>
      </c>
      <c r="S1203" s="5">
        <v>3989</v>
      </c>
      <c r="T1203" s="5">
        <v>20586</v>
      </c>
      <c r="U1203" s="5">
        <v>1</v>
      </c>
      <c r="V1203" s="5" t="s">
        <v>42</v>
      </c>
      <c r="W1203" s="5" t="s">
        <v>35</v>
      </c>
      <c r="X1203" s="5">
        <v>11</v>
      </c>
      <c r="Y1203" s="5">
        <v>3</v>
      </c>
      <c r="Z1203" s="5">
        <v>1</v>
      </c>
      <c r="AA1203" s="5">
        <v>80</v>
      </c>
      <c r="AB1203" s="5">
        <v>0</v>
      </c>
      <c r="AC1203" s="5">
        <v>5</v>
      </c>
      <c r="AD1203" s="5">
        <v>2</v>
      </c>
      <c r="AE1203" s="5">
        <v>3</v>
      </c>
      <c r="AF1203" s="5">
        <v>5</v>
      </c>
      <c r="AG1203" s="5">
        <v>4</v>
      </c>
      <c r="AH1203" s="5">
        <v>1</v>
      </c>
      <c r="AI1203" s="5">
        <v>2</v>
      </c>
    </row>
    <row r="1204" spans="1:35" x14ac:dyDescent="0.25">
      <c r="A1204" s="5">
        <v>38</v>
      </c>
      <c r="B1204" s="5" t="s">
        <v>43</v>
      </c>
      <c r="C1204" s="5" t="s">
        <v>36</v>
      </c>
      <c r="D1204" s="5">
        <v>1495</v>
      </c>
      <c r="E1204" s="5" t="s">
        <v>45</v>
      </c>
      <c r="F1204" s="5">
        <v>4</v>
      </c>
      <c r="G1204" s="5">
        <v>2</v>
      </c>
      <c r="H1204" s="5" t="s">
        <v>51</v>
      </c>
      <c r="I1204" s="5">
        <v>1</v>
      </c>
      <c r="J1204" s="5">
        <v>1687</v>
      </c>
      <c r="K1204" s="5">
        <v>4</v>
      </c>
      <c r="L1204" s="5" t="s">
        <v>39</v>
      </c>
      <c r="M1204" s="5">
        <v>87</v>
      </c>
      <c r="N1204" s="5">
        <v>3</v>
      </c>
      <c r="O1204" s="5">
        <v>1</v>
      </c>
      <c r="P1204" s="5" t="s">
        <v>50</v>
      </c>
      <c r="Q1204" s="5">
        <v>3</v>
      </c>
      <c r="R1204" s="5" t="s">
        <v>48</v>
      </c>
      <c r="S1204" s="5">
        <v>3306</v>
      </c>
      <c r="T1204" s="5">
        <v>26176</v>
      </c>
      <c r="U1204" s="5">
        <v>7</v>
      </c>
      <c r="V1204" s="5" t="s">
        <v>42</v>
      </c>
      <c r="W1204" s="5" t="s">
        <v>43</v>
      </c>
      <c r="X1204" s="5">
        <v>19</v>
      </c>
      <c r="Y1204" s="5">
        <v>3</v>
      </c>
      <c r="Z1204" s="5">
        <v>4</v>
      </c>
      <c r="AA1204" s="5">
        <v>80</v>
      </c>
      <c r="AB1204" s="5">
        <v>1</v>
      </c>
      <c r="AC1204" s="5">
        <v>7</v>
      </c>
      <c r="AD1204" s="5">
        <v>5</v>
      </c>
      <c r="AE1204" s="5">
        <v>2</v>
      </c>
      <c r="AF1204" s="5">
        <v>0</v>
      </c>
      <c r="AG1204" s="5">
        <v>0</v>
      </c>
      <c r="AH1204" s="5">
        <v>0</v>
      </c>
      <c r="AI1204" s="5">
        <v>0</v>
      </c>
    </row>
    <row r="1205" spans="1:35" x14ac:dyDescent="0.25">
      <c r="A1205" s="5">
        <v>53</v>
      </c>
      <c r="B1205" s="5" t="s">
        <v>43</v>
      </c>
      <c r="C1205" s="5" t="s">
        <v>36</v>
      </c>
      <c r="D1205" s="5">
        <v>1395</v>
      </c>
      <c r="E1205" s="5" t="s">
        <v>45</v>
      </c>
      <c r="F1205" s="5">
        <v>24</v>
      </c>
      <c r="G1205" s="5">
        <v>4</v>
      </c>
      <c r="H1205" s="5" t="s">
        <v>51</v>
      </c>
      <c r="I1205" s="5">
        <v>1</v>
      </c>
      <c r="J1205" s="5">
        <v>1689</v>
      </c>
      <c r="K1205" s="5">
        <v>2</v>
      </c>
      <c r="L1205" s="5" t="s">
        <v>46</v>
      </c>
      <c r="M1205" s="5">
        <v>48</v>
      </c>
      <c r="N1205" s="5">
        <v>4</v>
      </c>
      <c r="O1205" s="5">
        <v>3</v>
      </c>
      <c r="P1205" s="5" t="s">
        <v>54</v>
      </c>
      <c r="Q1205" s="5">
        <v>4</v>
      </c>
      <c r="R1205" s="5" t="s">
        <v>48</v>
      </c>
      <c r="S1205" s="5">
        <v>7005</v>
      </c>
      <c r="T1205" s="5">
        <v>3458</v>
      </c>
      <c r="U1205" s="5">
        <v>3</v>
      </c>
      <c r="V1205" s="5" t="s">
        <v>42</v>
      </c>
      <c r="W1205" s="5" t="s">
        <v>43</v>
      </c>
      <c r="X1205" s="5">
        <v>15</v>
      </c>
      <c r="Y1205" s="5">
        <v>3</v>
      </c>
      <c r="Z1205" s="5">
        <v>3</v>
      </c>
      <c r="AA1205" s="5">
        <v>80</v>
      </c>
      <c r="AB1205" s="5">
        <v>0</v>
      </c>
      <c r="AC1205" s="5">
        <v>11</v>
      </c>
      <c r="AD1205" s="5">
        <v>2</v>
      </c>
      <c r="AE1205" s="5">
        <v>3</v>
      </c>
      <c r="AF1205" s="5">
        <v>4</v>
      </c>
      <c r="AG1205" s="5">
        <v>3</v>
      </c>
      <c r="AH1205" s="5">
        <v>1</v>
      </c>
      <c r="AI1205" s="5">
        <v>2</v>
      </c>
    </row>
    <row r="1206" spans="1:35" x14ac:dyDescent="0.25">
      <c r="A1206" s="5">
        <v>48</v>
      </c>
      <c r="B1206" s="5" t="s">
        <v>35</v>
      </c>
      <c r="C1206" s="5" t="s">
        <v>44</v>
      </c>
      <c r="D1206" s="5">
        <v>708</v>
      </c>
      <c r="E1206" s="5" t="s">
        <v>37</v>
      </c>
      <c r="F1206" s="5">
        <v>7</v>
      </c>
      <c r="G1206" s="5">
        <v>2</v>
      </c>
      <c r="H1206" s="5" t="s">
        <v>51</v>
      </c>
      <c r="I1206" s="5">
        <v>1</v>
      </c>
      <c r="J1206" s="5">
        <v>1691</v>
      </c>
      <c r="K1206" s="5">
        <v>4</v>
      </c>
      <c r="L1206" s="5" t="s">
        <v>39</v>
      </c>
      <c r="M1206" s="5">
        <v>95</v>
      </c>
      <c r="N1206" s="5">
        <v>3</v>
      </c>
      <c r="O1206" s="5">
        <v>1</v>
      </c>
      <c r="P1206" s="5" t="s">
        <v>57</v>
      </c>
      <c r="Q1206" s="5">
        <v>3</v>
      </c>
      <c r="R1206" s="5" t="s">
        <v>48</v>
      </c>
      <c r="S1206" s="5">
        <v>2655</v>
      </c>
      <c r="T1206" s="5">
        <v>11740</v>
      </c>
      <c r="U1206" s="5">
        <v>2</v>
      </c>
      <c r="V1206" s="5" t="s">
        <v>42</v>
      </c>
      <c r="W1206" s="5" t="s">
        <v>35</v>
      </c>
      <c r="X1206" s="5">
        <v>11</v>
      </c>
      <c r="Y1206" s="5">
        <v>3</v>
      </c>
      <c r="Z1206" s="5">
        <v>3</v>
      </c>
      <c r="AA1206" s="5">
        <v>80</v>
      </c>
      <c r="AB1206" s="5">
        <v>2</v>
      </c>
      <c r="AC1206" s="5">
        <v>19</v>
      </c>
      <c r="AD1206" s="5">
        <v>3</v>
      </c>
      <c r="AE1206" s="5">
        <v>3</v>
      </c>
      <c r="AF1206" s="5">
        <v>9</v>
      </c>
      <c r="AG1206" s="5">
        <v>7</v>
      </c>
      <c r="AH1206" s="5">
        <v>7</v>
      </c>
      <c r="AI1206" s="5">
        <v>7</v>
      </c>
    </row>
    <row r="1207" spans="1:35" x14ac:dyDescent="0.25">
      <c r="A1207" s="5">
        <v>32</v>
      </c>
      <c r="B1207" s="5" t="s">
        <v>35</v>
      </c>
      <c r="C1207" s="5" t="s">
        <v>36</v>
      </c>
      <c r="D1207" s="5">
        <v>1259</v>
      </c>
      <c r="E1207" s="5" t="s">
        <v>45</v>
      </c>
      <c r="F1207" s="5">
        <v>2</v>
      </c>
      <c r="G1207" s="5">
        <v>4</v>
      </c>
      <c r="H1207" s="5" t="s">
        <v>38</v>
      </c>
      <c r="I1207" s="5">
        <v>1</v>
      </c>
      <c r="J1207" s="5">
        <v>1692</v>
      </c>
      <c r="K1207" s="5">
        <v>4</v>
      </c>
      <c r="L1207" s="5" t="s">
        <v>46</v>
      </c>
      <c r="M1207" s="5">
        <v>95</v>
      </c>
      <c r="N1207" s="5">
        <v>3</v>
      </c>
      <c r="O1207" s="5">
        <v>1</v>
      </c>
      <c r="P1207" s="5" t="s">
        <v>50</v>
      </c>
      <c r="Q1207" s="5">
        <v>2</v>
      </c>
      <c r="R1207" s="5" t="s">
        <v>41</v>
      </c>
      <c r="S1207" s="5">
        <v>1393</v>
      </c>
      <c r="T1207" s="5">
        <v>24852</v>
      </c>
      <c r="U1207" s="5">
        <v>1</v>
      </c>
      <c r="V1207" s="5" t="s">
        <v>42</v>
      </c>
      <c r="W1207" s="5" t="s">
        <v>43</v>
      </c>
      <c r="X1207" s="5">
        <v>12</v>
      </c>
      <c r="Y1207" s="5">
        <v>3</v>
      </c>
      <c r="Z1207" s="5">
        <v>1</v>
      </c>
      <c r="AA1207" s="5">
        <v>80</v>
      </c>
      <c r="AB1207" s="5">
        <v>0</v>
      </c>
      <c r="AC1207" s="5">
        <v>1</v>
      </c>
      <c r="AD1207" s="5">
        <v>2</v>
      </c>
      <c r="AE1207" s="5">
        <v>3</v>
      </c>
      <c r="AF1207" s="5">
        <v>1</v>
      </c>
      <c r="AG1207" s="5">
        <v>0</v>
      </c>
      <c r="AH1207" s="5">
        <v>0</v>
      </c>
      <c r="AI1207" s="5">
        <v>0</v>
      </c>
    </row>
    <row r="1208" spans="1:35" x14ac:dyDescent="0.25">
      <c r="A1208" s="5">
        <v>26</v>
      </c>
      <c r="B1208" s="5" t="s">
        <v>43</v>
      </c>
      <c r="C1208" s="5" t="s">
        <v>55</v>
      </c>
      <c r="D1208" s="5">
        <v>786</v>
      </c>
      <c r="E1208" s="5" t="s">
        <v>45</v>
      </c>
      <c r="F1208" s="5">
        <v>7</v>
      </c>
      <c r="G1208" s="5">
        <v>3</v>
      </c>
      <c r="H1208" s="5" t="s">
        <v>51</v>
      </c>
      <c r="I1208" s="5">
        <v>1</v>
      </c>
      <c r="J1208" s="5">
        <v>1693</v>
      </c>
      <c r="K1208" s="5">
        <v>4</v>
      </c>
      <c r="L1208" s="5" t="s">
        <v>46</v>
      </c>
      <c r="M1208" s="5">
        <v>76</v>
      </c>
      <c r="N1208" s="5">
        <v>3</v>
      </c>
      <c r="O1208" s="5">
        <v>1</v>
      </c>
      <c r="P1208" s="5" t="s">
        <v>50</v>
      </c>
      <c r="Q1208" s="5">
        <v>4</v>
      </c>
      <c r="R1208" s="5" t="s">
        <v>41</v>
      </c>
      <c r="S1208" s="5">
        <v>2570</v>
      </c>
      <c r="T1208" s="5">
        <v>11925</v>
      </c>
      <c r="U1208" s="5">
        <v>1</v>
      </c>
      <c r="V1208" s="5" t="s">
        <v>42</v>
      </c>
      <c r="W1208" s="5" t="s">
        <v>43</v>
      </c>
      <c r="X1208" s="5">
        <v>20</v>
      </c>
      <c r="Y1208" s="5">
        <v>4</v>
      </c>
      <c r="Z1208" s="5">
        <v>3</v>
      </c>
      <c r="AA1208" s="5">
        <v>80</v>
      </c>
      <c r="AB1208" s="5">
        <v>0</v>
      </c>
      <c r="AC1208" s="5">
        <v>7</v>
      </c>
      <c r="AD1208" s="5">
        <v>5</v>
      </c>
      <c r="AE1208" s="5">
        <v>3</v>
      </c>
      <c r="AF1208" s="5">
        <v>7</v>
      </c>
      <c r="AG1208" s="5">
        <v>7</v>
      </c>
      <c r="AH1208" s="5">
        <v>5</v>
      </c>
      <c r="AI1208" s="5">
        <v>7</v>
      </c>
    </row>
    <row r="1209" spans="1:35" x14ac:dyDescent="0.25">
      <c r="A1209" s="5">
        <v>55</v>
      </c>
      <c r="B1209" s="5" t="s">
        <v>43</v>
      </c>
      <c r="C1209" s="5" t="s">
        <v>36</v>
      </c>
      <c r="D1209" s="5">
        <v>1441</v>
      </c>
      <c r="E1209" s="5" t="s">
        <v>45</v>
      </c>
      <c r="F1209" s="5">
        <v>22</v>
      </c>
      <c r="G1209" s="5">
        <v>3</v>
      </c>
      <c r="H1209" s="5" t="s">
        <v>60</v>
      </c>
      <c r="I1209" s="5">
        <v>1</v>
      </c>
      <c r="J1209" s="5">
        <v>1694</v>
      </c>
      <c r="K1209" s="5">
        <v>1</v>
      </c>
      <c r="L1209" s="5" t="s">
        <v>46</v>
      </c>
      <c r="M1209" s="5">
        <v>94</v>
      </c>
      <c r="N1209" s="5">
        <v>2</v>
      </c>
      <c r="O1209" s="5">
        <v>1</v>
      </c>
      <c r="P1209" s="5" t="s">
        <v>47</v>
      </c>
      <c r="Q1209" s="5">
        <v>2</v>
      </c>
      <c r="R1209" s="5" t="s">
        <v>52</v>
      </c>
      <c r="S1209" s="5">
        <v>3537</v>
      </c>
      <c r="T1209" s="5">
        <v>23737</v>
      </c>
      <c r="U1209" s="5">
        <v>5</v>
      </c>
      <c r="V1209" s="5" t="s">
        <v>42</v>
      </c>
      <c r="W1209" s="5" t="s">
        <v>43</v>
      </c>
      <c r="X1209" s="5">
        <v>12</v>
      </c>
      <c r="Y1209" s="5">
        <v>3</v>
      </c>
      <c r="Z1209" s="5">
        <v>4</v>
      </c>
      <c r="AA1209" s="5">
        <v>80</v>
      </c>
      <c r="AB1209" s="5">
        <v>1</v>
      </c>
      <c r="AC1209" s="5">
        <v>8</v>
      </c>
      <c r="AD1209" s="5">
        <v>1</v>
      </c>
      <c r="AE1209" s="5">
        <v>3</v>
      </c>
      <c r="AF1209" s="5">
        <v>4</v>
      </c>
      <c r="AG1209" s="5">
        <v>2</v>
      </c>
      <c r="AH1209" s="5">
        <v>1</v>
      </c>
      <c r="AI1209" s="5">
        <v>2</v>
      </c>
    </row>
    <row r="1210" spans="1:35" x14ac:dyDescent="0.25">
      <c r="A1210" s="5">
        <v>34</v>
      </c>
      <c r="B1210" s="5" t="s">
        <v>43</v>
      </c>
      <c r="C1210" s="5" t="s">
        <v>36</v>
      </c>
      <c r="D1210" s="5">
        <v>1157</v>
      </c>
      <c r="E1210" s="5" t="s">
        <v>45</v>
      </c>
      <c r="F1210" s="5">
        <v>5</v>
      </c>
      <c r="G1210" s="5">
        <v>2</v>
      </c>
      <c r="H1210" s="5" t="s">
        <v>51</v>
      </c>
      <c r="I1210" s="5">
        <v>1</v>
      </c>
      <c r="J1210" s="5">
        <v>1696</v>
      </c>
      <c r="K1210" s="5">
        <v>2</v>
      </c>
      <c r="L1210" s="5" t="s">
        <v>46</v>
      </c>
      <c r="M1210" s="5">
        <v>57</v>
      </c>
      <c r="N1210" s="5">
        <v>2</v>
      </c>
      <c r="O1210" s="5">
        <v>2</v>
      </c>
      <c r="P1210" s="5" t="s">
        <v>50</v>
      </c>
      <c r="Q1210" s="5">
        <v>4</v>
      </c>
      <c r="R1210" s="5" t="s">
        <v>48</v>
      </c>
      <c r="S1210" s="5">
        <v>3986</v>
      </c>
      <c r="T1210" s="5">
        <v>11912</v>
      </c>
      <c r="U1210" s="5">
        <v>1</v>
      </c>
      <c r="V1210" s="5" t="s">
        <v>42</v>
      </c>
      <c r="W1210" s="5" t="s">
        <v>43</v>
      </c>
      <c r="X1210" s="5">
        <v>14</v>
      </c>
      <c r="Y1210" s="5">
        <v>3</v>
      </c>
      <c r="Z1210" s="5">
        <v>3</v>
      </c>
      <c r="AA1210" s="5">
        <v>80</v>
      </c>
      <c r="AB1210" s="5">
        <v>1</v>
      </c>
      <c r="AC1210" s="5">
        <v>15</v>
      </c>
      <c r="AD1210" s="5">
        <v>3</v>
      </c>
      <c r="AE1210" s="5">
        <v>4</v>
      </c>
      <c r="AF1210" s="5">
        <v>15</v>
      </c>
      <c r="AG1210" s="5">
        <v>10</v>
      </c>
      <c r="AH1210" s="5">
        <v>4</v>
      </c>
      <c r="AI1210" s="5">
        <v>13</v>
      </c>
    </row>
    <row r="1211" spans="1:35" x14ac:dyDescent="0.25">
      <c r="A1211" s="5">
        <v>60</v>
      </c>
      <c r="B1211" s="5" t="s">
        <v>43</v>
      </c>
      <c r="C1211" s="5" t="s">
        <v>36</v>
      </c>
      <c r="D1211" s="5">
        <v>370</v>
      </c>
      <c r="E1211" s="5" t="s">
        <v>45</v>
      </c>
      <c r="F1211" s="5">
        <v>1</v>
      </c>
      <c r="G1211" s="5">
        <v>4</v>
      </c>
      <c r="H1211" s="5" t="s">
        <v>51</v>
      </c>
      <c r="I1211" s="5">
        <v>1</v>
      </c>
      <c r="J1211" s="5">
        <v>1697</v>
      </c>
      <c r="K1211" s="5">
        <v>3</v>
      </c>
      <c r="L1211" s="5" t="s">
        <v>46</v>
      </c>
      <c r="M1211" s="5">
        <v>92</v>
      </c>
      <c r="N1211" s="5">
        <v>1</v>
      </c>
      <c r="O1211" s="5">
        <v>3</v>
      </c>
      <c r="P1211" s="5" t="s">
        <v>54</v>
      </c>
      <c r="Q1211" s="5">
        <v>4</v>
      </c>
      <c r="R1211" s="5" t="s">
        <v>52</v>
      </c>
      <c r="S1211" s="5">
        <v>10883</v>
      </c>
      <c r="T1211" s="5">
        <v>20467</v>
      </c>
      <c r="U1211" s="5">
        <v>3</v>
      </c>
      <c r="V1211" s="5" t="s">
        <v>42</v>
      </c>
      <c r="W1211" s="5" t="s">
        <v>43</v>
      </c>
      <c r="X1211" s="5">
        <v>20</v>
      </c>
      <c r="Y1211" s="5">
        <v>4</v>
      </c>
      <c r="Z1211" s="5">
        <v>3</v>
      </c>
      <c r="AA1211" s="5">
        <v>80</v>
      </c>
      <c r="AB1211" s="5">
        <v>1</v>
      </c>
      <c r="AC1211" s="5">
        <v>19</v>
      </c>
      <c r="AD1211" s="5">
        <v>2</v>
      </c>
      <c r="AE1211" s="5">
        <v>4</v>
      </c>
      <c r="AF1211" s="5">
        <v>1</v>
      </c>
      <c r="AG1211" s="5">
        <v>0</v>
      </c>
      <c r="AH1211" s="5">
        <v>0</v>
      </c>
      <c r="AI1211" s="5">
        <v>0</v>
      </c>
    </row>
    <row r="1212" spans="1:35" x14ac:dyDescent="0.25">
      <c r="A1212" s="5">
        <v>33</v>
      </c>
      <c r="B1212" s="5" t="s">
        <v>43</v>
      </c>
      <c r="C1212" s="5" t="s">
        <v>36</v>
      </c>
      <c r="D1212" s="5">
        <v>267</v>
      </c>
      <c r="E1212" s="5" t="s">
        <v>45</v>
      </c>
      <c r="F1212" s="5">
        <v>21</v>
      </c>
      <c r="G1212" s="5">
        <v>3</v>
      </c>
      <c r="H1212" s="5" t="s">
        <v>51</v>
      </c>
      <c r="I1212" s="5">
        <v>1</v>
      </c>
      <c r="J1212" s="5">
        <v>1698</v>
      </c>
      <c r="K1212" s="5">
        <v>2</v>
      </c>
      <c r="L1212" s="5" t="s">
        <v>46</v>
      </c>
      <c r="M1212" s="5">
        <v>79</v>
      </c>
      <c r="N1212" s="5">
        <v>4</v>
      </c>
      <c r="O1212" s="5">
        <v>1</v>
      </c>
      <c r="P1212" s="5" t="s">
        <v>50</v>
      </c>
      <c r="Q1212" s="5">
        <v>2</v>
      </c>
      <c r="R1212" s="5" t="s">
        <v>48</v>
      </c>
      <c r="S1212" s="5">
        <v>2028</v>
      </c>
      <c r="T1212" s="5">
        <v>13637</v>
      </c>
      <c r="U1212" s="5">
        <v>1</v>
      </c>
      <c r="V1212" s="5" t="s">
        <v>42</v>
      </c>
      <c r="W1212" s="5" t="s">
        <v>43</v>
      </c>
      <c r="X1212" s="5">
        <v>18</v>
      </c>
      <c r="Y1212" s="5">
        <v>3</v>
      </c>
      <c r="Z1212" s="5">
        <v>4</v>
      </c>
      <c r="AA1212" s="5">
        <v>80</v>
      </c>
      <c r="AB1212" s="5">
        <v>3</v>
      </c>
      <c r="AC1212" s="5">
        <v>14</v>
      </c>
      <c r="AD1212" s="5">
        <v>6</v>
      </c>
      <c r="AE1212" s="5">
        <v>3</v>
      </c>
      <c r="AF1212" s="5">
        <v>14</v>
      </c>
      <c r="AG1212" s="5">
        <v>11</v>
      </c>
      <c r="AH1212" s="5">
        <v>2</v>
      </c>
      <c r="AI1212" s="5">
        <v>13</v>
      </c>
    </row>
    <row r="1213" spans="1:35" x14ac:dyDescent="0.25">
      <c r="A1213" s="5">
        <v>37</v>
      </c>
      <c r="B1213" s="5" t="s">
        <v>43</v>
      </c>
      <c r="C1213" s="5" t="s">
        <v>44</v>
      </c>
      <c r="D1213" s="5">
        <v>1278</v>
      </c>
      <c r="E1213" s="5" t="s">
        <v>37</v>
      </c>
      <c r="F1213" s="5">
        <v>1</v>
      </c>
      <c r="G1213" s="5">
        <v>4</v>
      </c>
      <c r="H1213" s="5" t="s">
        <v>51</v>
      </c>
      <c r="I1213" s="5">
        <v>1</v>
      </c>
      <c r="J1213" s="5">
        <v>1700</v>
      </c>
      <c r="K1213" s="5">
        <v>3</v>
      </c>
      <c r="L1213" s="5" t="s">
        <v>46</v>
      </c>
      <c r="M1213" s="5">
        <v>31</v>
      </c>
      <c r="N1213" s="5">
        <v>1</v>
      </c>
      <c r="O1213" s="5">
        <v>2</v>
      </c>
      <c r="P1213" s="5" t="s">
        <v>40</v>
      </c>
      <c r="Q1213" s="5">
        <v>4</v>
      </c>
      <c r="R1213" s="5" t="s">
        <v>52</v>
      </c>
      <c r="S1213" s="5">
        <v>9525</v>
      </c>
      <c r="T1213" s="5">
        <v>7677</v>
      </c>
      <c r="U1213" s="5">
        <v>1</v>
      </c>
      <c r="V1213" s="5" t="s">
        <v>42</v>
      </c>
      <c r="W1213" s="5" t="s">
        <v>43</v>
      </c>
      <c r="X1213" s="5">
        <v>14</v>
      </c>
      <c r="Y1213" s="5">
        <v>3</v>
      </c>
      <c r="Z1213" s="5">
        <v>3</v>
      </c>
      <c r="AA1213" s="5">
        <v>80</v>
      </c>
      <c r="AB1213" s="5">
        <v>2</v>
      </c>
      <c r="AC1213" s="5">
        <v>6</v>
      </c>
      <c r="AD1213" s="5">
        <v>2</v>
      </c>
      <c r="AE1213" s="5">
        <v>2</v>
      </c>
      <c r="AF1213" s="5">
        <v>6</v>
      </c>
      <c r="AG1213" s="5">
        <v>3</v>
      </c>
      <c r="AH1213" s="5">
        <v>1</v>
      </c>
      <c r="AI1213" s="5">
        <v>3</v>
      </c>
    </row>
    <row r="1214" spans="1:35" x14ac:dyDescent="0.25">
      <c r="A1214" s="5">
        <v>34</v>
      </c>
      <c r="B1214" s="5" t="s">
        <v>43</v>
      </c>
      <c r="C1214" s="5" t="s">
        <v>36</v>
      </c>
      <c r="D1214" s="5">
        <v>678</v>
      </c>
      <c r="E1214" s="5" t="s">
        <v>45</v>
      </c>
      <c r="F1214" s="5">
        <v>19</v>
      </c>
      <c r="G1214" s="5">
        <v>3</v>
      </c>
      <c r="H1214" s="5" t="s">
        <v>38</v>
      </c>
      <c r="I1214" s="5">
        <v>1</v>
      </c>
      <c r="J1214" s="5">
        <v>1701</v>
      </c>
      <c r="K1214" s="5">
        <v>2</v>
      </c>
      <c r="L1214" s="5" t="s">
        <v>39</v>
      </c>
      <c r="M1214" s="5">
        <v>35</v>
      </c>
      <c r="N1214" s="5">
        <v>2</v>
      </c>
      <c r="O1214" s="5">
        <v>1</v>
      </c>
      <c r="P1214" s="5" t="s">
        <v>47</v>
      </c>
      <c r="Q1214" s="5">
        <v>4</v>
      </c>
      <c r="R1214" s="5" t="s">
        <v>48</v>
      </c>
      <c r="S1214" s="5">
        <v>2929</v>
      </c>
      <c r="T1214" s="5">
        <v>20338</v>
      </c>
      <c r="U1214" s="5">
        <v>1</v>
      </c>
      <c r="V1214" s="5" t="s">
        <v>42</v>
      </c>
      <c r="W1214" s="5" t="s">
        <v>43</v>
      </c>
      <c r="X1214" s="5">
        <v>12</v>
      </c>
      <c r="Y1214" s="5">
        <v>3</v>
      </c>
      <c r="Z1214" s="5">
        <v>2</v>
      </c>
      <c r="AA1214" s="5">
        <v>80</v>
      </c>
      <c r="AB1214" s="5">
        <v>0</v>
      </c>
      <c r="AC1214" s="5">
        <v>10</v>
      </c>
      <c r="AD1214" s="5">
        <v>3</v>
      </c>
      <c r="AE1214" s="5">
        <v>3</v>
      </c>
      <c r="AF1214" s="5">
        <v>10</v>
      </c>
      <c r="AG1214" s="5">
        <v>9</v>
      </c>
      <c r="AH1214" s="5">
        <v>8</v>
      </c>
      <c r="AI1214" s="5">
        <v>7</v>
      </c>
    </row>
    <row r="1215" spans="1:35" x14ac:dyDescent="0.25">
      <c r="A1215" s="5">
        <v>23</v>
      </c>
      <c r="B1215" s="5" t="s">
        <v>35</v>
      </c>
      <c r="C1215" s="5" t="s">
        <v>36</v>
      </c>
      <c r="D1215" s="5">
        <v>427</v>
      </c>
      <c r="E1215" s="5" t="s">
        <v>37</v>
      </c>
      <c r="F1215" s="5">
        <v>7</v>
      </c>
      <c r="G1215" s="5">
        <v>3</v>
      </c>
      <c r="H1215" s="5" t="s">
        <v>38</v>
      </c>
      <c r="I1215" s="5">
        <v>1</v>
      </c>
      <c r="J1215" s="5">
        <v>1702</v>
      </c>
      <c r="K1215" s="5">
        <v>3</v>
      </c>
      <c r="L1215" s="5" t="s">
        <v>46</v>
      </c>
      <c r="M1215" s="5">
        <v>99</v>
      </c>
      <c r="N1215" s="5">
        <v>3</v>
      </c>
      <c r="O1215" s="5">
        <v>1</v>
      </c>
      <c r="P1215" s="5" t="s">
        <v>57</v>
      </c>
      <c r="Q1215" s="5">
        <v>4</v>
      </c>
      <c r="R1215" s="5" t="s">
        <v>52</v>
      </c>
      <c r="S1215" s="5">
        <v>2275</v>
      </c>
      <c r="T1215" s="5">
        <v>25103</v>
      </c>
      <c r="U1215" s="5">
        <v>1</v>
      </c>
      <c r="V1215" s="5" t="s">
        <v>42</v>
      </c>
      <c r="W1215" s="5" t="s">
        <v>35</v>
      </c>
      <c r="X1215" s="5">
        <v>21</v>
      </c>
      <c r="Y1215" s="5">
        <v>4</v>
      </c>
      <c r="Z1215" s="5">
        <v>2</v>
      </c>
      <c r="AA1215" s="5">
        <v>80</v>
      </c>
      <c r="AB1215" s="5">
        <v>1</v>
      </c>
      <c r="AC1215" s="5">
        <v>3</v>
      </c>
      <c r="AD1215" s="5">
        <v>2</v>
      </c>
      <c r="AE1215" s="5">
        <v>3</v>
      </c>
      <c r="AF1215" s="5">
        <v>3</v>
      </c>
      <c r="AG1215" s="5">
        <v>2</v>
      </c>
      <c r="AH1215" s="5">
        <v>0</v>
      </c>
      <c r="AI1215" s="5">
        <v>2</v>
      </c>
    </row>
    <row r="1216" spans="1:35" x14ac:dyDescent="0.25">
      <c r="A1216" s="5">
        <v>44</v>
      </c>
      <c r="B1216" s="5" t="s">
        <v>43</v>
      </c>
      <c r="C1216" s="5" t="s">
        <v>36</v>
      </c>
      <c r="D1216" s="5">
        <v>921</v>
      </c>
      <c r="E1216" s="5" t="s">
        <v>45</v>
      </c>
      <c r="F1216" s="5">
        <v>2</v>
      </c>
      <c r="G1216" s="5">
        <v>3</v>
      </c>
      <c r="H1216" s="5" t="s">
        <v>38</v>
      </c>
      <c r="I1216" s="5">
        <v>1</v>
      </c>
      <c r="J1216" s="5">
        <v>1703</v>
      </c>
      <c r="K1216" s="5">
        <v>3</v>
      </c>
      <c r="L1216" s="5" t="s">
        <v>39</v>
      </c>
      <c r="M1216" s="5">
        <v>96</v>
      </c>
      <c r="N1216" s="5">
        <v>4</v>
      </c>
      <c r="O1216" s="5">
        <v>3</v>
      </c>
      <c r="P1216" s="5" t="s">
        <v>54</v>
      </c>
      <c r="Q1216" s="5">
        <v>4</v>
      </c>
      <c r="R1216" s="5" t="s">
        <v>48</v>
      </c>
      <c r="S1216" s="5">
        <v>7879</v>
      </c>
      <c r="T1216" s="5">
        <v>14810</v>
      </c>
      <c r="U1216" s="5">
        <v>1</v>
      </c>
      <c r="V1216" s="5" t="s">
        <v>42</v>
      </c>
      <c r="W1216" s="5" t="s">
        <v>35</v>
      </c>
      <c r="X1216" s="5">
        <v>19</v>
      </c>
      <c r="Y1216" s="5">
        <v>3</v>
      </c>
      <c r="Z1216" s="5">
        <v>2</v>
      </c>
      <c r="AA1216" s="5">
        <v>80</v>
      </c>
      <c r="AB1216" s="5">
        <v>1</v>
      </c>
      <c r="AC1216" s="5">
        <v>9</v>
      </c>
      <c r="AD1216" s="5">
        <v>2</v>
      </c>
      <c r="AE1216" s="5">
        <v>3</v>
      </c>
      <c r="AF1216" s="5">
        <v>8</v>
      </c>
      <c r="AG1216" s="5">
        <v>7</v>
      </c>
      <c r="AH1216" s="5">
        <v>6</v>
      </c>
      <c r="AI1216" s="5">
        <v>7</v>
      </c>
    </row>
    <row r="1217" spans="1:35" x14ac:dyDescent="0.25">
      <c r="A1217" s="5">
        <v>35</v>
      </c>
      <c r="B1217" s="5" t="s">
        <v>43</v>
      </c>
      <c r="C1217" s="5" t="s">
        <v>44</v>
      </c>
      <c r="D1217" s="5">
        <v>146</v>
      </c>
      <c r="E1217" s="5" t="s">
        <v>45</v>
      </c>
      <c r="F1217" s="5">
        <v>2</v>
      </c>
      <c r="G1217" s="5">
        <v>4</v>
      </c>
      <c r="H1217" s="5" t="s">
        <v>51</v>
      </c>
      <c r="I1217" s="5">
        <v>1</v>
      </c>
      <c r="J1217" s="5">
        <v>1704</v>
      </c>
      <c r="K1217" s="5">
        <v>1</v>
      </c>
      <c r="L1217" s="5" t="s">
        <v>46</v>
      </c>
      <c r="M1217" s="5">
        <v>79</v>
      </c>
      <c r="N1217" s="5">
        <v>2</v>
      </c>
      <c r="O1217" s="5">
        <v>1</v>
      </c>
      <c r="P1217" s="5" t="s">
        <v>47</v>
      </c>
      <c r="Q1217" s="5">
        <v>4</v>
      </c>
      <c r="R1217" s="5" t="s">
        <v>41</v>
      </c>
      <c r="S1217" s="5">
        <v>4930</v>
      </c>
      <c r="T1217" s="5">
        <v>13970</v>
      </c>
      <c r="U1217" s="5">
        <v>0</v>
      </c>
      <c r="V1217" s="5" t="s">
        <v>42</v>
      </c>
      <c r="W1217" s="5" t="s">
        <v>35</v>
      </c>
      <c r="X1217" s="5">
        <v>14</v>
      </c>
      <c r="Y1217" s="5">
        <v>3</v>
      </c>
      <c r="Z1217" s="5">
        <v>3</v>
      </c>
      <c r="AA1217" s="5">
        <v>80</v>
      </c>
      <c r="AB1217" s="5">
        <v>0</v>
      </c>
      <c r="AC1217" s="5">
        <v>6</v>
      </c>
      <c r="AD1217" s="5">
        <v>2</v>
      </c>
      <c r="AE1217" s="5">
        <v>4</v>
      </c>
      <c r="AF1217" s="5">
        <v>5</v>
      </c>
      <c r="AG1217" s="5">
        <v>4</v>
      </c>
      <c r="AH1217" s="5">
        <v>1</v>
      </c>
      <c r="AI1217" s="5">
        <v>4</v>
      </c>
    </row>
    <row r="1218" spans="1:35" x14ac:dyDescent="0.25">
      <c r="A1218" s="5">
        <v>43</v>
      </c>
      <c r="B1218" s="5" t="s">
        <v>43</v>
      </c>
      <c r="C1218" s="5" t="s">
        <v>36</v>
      </c>
      <c r="D1218" s="5">
        <v>1179</v>
      </c>
      <c r="E1218" s="5" t="s">
        <v>37</v>
      </c>
      <c r="F1218" s="5">
        <v>2</v>
      </c>
      <c r="G1218" s="5">
        <v>3</v>
      </c>
      <c r="H1218" s="5" t="s">
        <v>51</v>
      </c>
      <c r="I1218" s="5">
        <v>1</v>
      </c>
      <c r="J1218" s="5">
        <v>1706</v>
      </c>
      <c r="K1218" s="5">
        <v>4</v>
      </c>
      <c r="L1218" s="5" t="s">
        <v>46</v>
      </c>
      <c r="M1218" s="5">
        <v>73</v>
      </c>
      <c r="N1218" s="5">
        <v>3</v>
      </c>
      <c r="O1218" s="5">
        <v>2</v>
      </c>
      <c r="P1218" s="5" t="s">
        <v>40</v>
      </c>
      <c r="Q1218" s="5">
        <v>4</v>
      </c>
      <c r="R1218" s="5" t="s">
        <v>48</v>
      </c>
      <c r="S1218" s="5">
        <v>7847</v>
      </c>
      <c r="T1218" s="5">
        <v>6069</v>
      </c>
      <c r="U1218" s="5">
        <v>1</v>
      </c>
      <c r="V1218" s="5" t="s">
        <v>42</v>
      </c>
      <c r="W1218" s="5" t="s">
        <v>35</v>
      </c>
      <c r="X1218" s="5">
        <v>17</v>
      </c>
      <c r="Y1218" s="5">
        <v>3</v>
      </c>
      <c r="Z1218" s="5">
        <v>1</v>
      </c>
      <c r="AA1218" s="5">
        <v>80</v>
      </c>
      <c r="AB1218" s="5">
        <v>1</v>
      </c>
      <c r="AC1218" s="5">
        <v>10</v>
      </c>
      <c r="AD1218" s="5">
        <v>3</v>
      </c>
      <c r="AE1218" s="5">
        <v>3</v>
      </c>
      <c r="AF1218" s="5">
        <v>10</v>
      </c>
      <c r="AG1218" s="5">
        <v>9</v>
      </c>
      <c r="AH1218" s="5">
        <v>8</v>
      </c>
      <c r="AI1218" s="5">
        <v>8</v>
      </c>
    </row>
    <row r="1219" spans="1:35" x14ac:dyDescent="0.25">
      <c r="A1219" s="5">
        <v>24</v>
      </c>
      <c r="B1219" s="5" t="s">
        <v>43</v>
      </c>
      <c r="C1219" s="5" t="s">
        <v>36</v>
      </c>
      <c r="D1219" s="5">
        <v>581</v>
      </c>
      <c r="E1219" s="5" t="s">
        <v>45</v>
      </c>
      <c r="F1219" s="5">
        <v>9</v>
      </c>
      <c r="G1219" s="5">
        <v>3</v>
      </c>
      <c r="H1219" s="5" t="s">
        <v>51</v>
      </c>
      <c r="I1219" s="5">
        <v>1</v>
      </c>
      <c r="J1219" s="5">
        <v>1707</v>
      </c>
      <c r="K1219" s="5">
        <v>3</v>
      </c>
      <c r="L1219" s="5" t="s">
        <v>46</v>
      </c>
      <c r="M1219" s="5">
        <v>62</v>
      </c>
      <c r="N1219" s="5">
        <v>4</v>
      </c>
      <c r="O1219" s="5">
        <v>1</v>
      </c>
      <c r="P1219" s="5" t="s">
        <v>47</v>
      </c>
      <c r="Q1219" s="5">
        <v>3</v>
      </c>
      <c r="R1219" s="5" t="s">
        <v>48</v>
      </c>
      <c r="S1219" s="5">
        <v>4401</v>
      </c>
      <c r="T1219" s="5">
        <v>17616</v>
      </c>
      <c r="U1219" s="5">
        <v>1</v>
      </c>
      <c r="V1219" s="5" t="s">
        <v>42</v>
      </c>
      <c r="W1219" s="5" t="s">
        <v>43</v>
      </c>
      <c r="X1219" s="5">
        <v>16</v>
      </c>
      <c r="Y1219" s="5">
        <v>3</v>
      </c>
      <c r="Z1219" s="5">
        <v>4</v>
      </c>
      <c r="AA1219" s="5">
        <v>80</v>
      </c>
      <c r="AB1219" s="5">
        <v>1</v>
      </c>
      <c r="AC1219" s="5">
        <v>5</v>
      </c>
      <c r="AD1219" s="5">
        <v>1</v>
      </c>
      <c r="AE1219" s="5">
        <v>3</v>
      </c>
      <c r="AF1219" s="5">
        <v>5</v>
      </c>
      <c r="AG1219" s="5">
        <v>3</v>
      </c>
      <c r="AH1219" s="5">
        <v>0</v>
      </c>
      <c r="AI1219" s="5">
        <v>4</v>
      </c>
    </row>
    <row r="1220" spans="1:35" x14ac:dyDescent="0.25">
      <c r="A1220" s="5">
        <v>41</v>
      </c>
      <c r="B1220" s="5" t="s">
        <v>43</v>
      </c>
      <c r="C1220" s="5" t="s">
        <v>36</v>
      </c>
      <c r="D1220" s="5">
        <v>918</v>
      </c>
      <c r="E1220" s="5" t="s">
        <v>37</v>
      </c>
      <c r="F1220" s="5">
        <v>6</v>
      </c>
      <c r="G1220" s="5">
        <v>3</v>
      </c>
      <c r="H1220" s="5" t="s">
        <v>59</v>
      </c>
      <c r="I1220" s="5">
        <v>1</v>
      </c>
      <c r="J1220" s="5">
        <v>1708</v>
      </c>
      <c r="K1220" s="5">
        <v>4</v>
      </c>
      <c r="L1220" s="5" t="s">
        <v>46</v>
      </c>
      <c r="M1220" s="5">
        <v>35</v>
      </c>
      <c r="N1220" s="5">
        <v>3</v>
      </c>
      <c r="O1220" s="5">
        <v>3</v>
      </c>
      <c r="P1220" s="5" t="s">
        <v>40</v>
      </c>
      <c r="Q1220" s="5">
        <v>3</v>
      </c>
      <c r="R1220" s="5" t="s">
        <v>41</v>
      </c>
      <c r="S1220" s="5">
        <v>9241</v>
      </c>
      <c r="T1220" s="5">
        <v>15869</v>
      </c>
      <c r="U1220" s="5">
        <v>1</v>
      </c>
      <c r="V1220" s="5" t="s">
        <v>42</v>
      </c>
      <c r="W1220" s="5" t="s">
        <v>43</v>
      </c>
      <c r="X1220" s="5">
        <v>12</v>
      </c>
      <c r="Y1220" s="5">
        <v>3</v>
      </c>
      <c r="Z1220" s="5">
        <v>2</v>
      </c>
      <c r="AA1220" s="5">
        <v>80</v>
      </c>
      <c r="AB1220" s="5">
        <v>0</v>
      </c>
      <c r="AC1220" s="5">
        <v>10</v>
      </c>
      <c r="AD1220" s="5">
        <v>3</v>
      </c>
      <c r="AE1220" s="5">
        <v>3</v>
      </c>
      <c r="AF1220" s="5">
        <v>10</v>
      </c>
      <c r="AG1220" s="5">
        <v>8</v>
      </c>
      <c r="AH1220" s="5">
        <v>8</v>
      </c>
      <c r="AI1220" s="5">
        <v>7</v>
      </c>
    </row>
    <row r="1221" spans="1:35" x14ac:dyDescent="0.25">
      <c r="A1221" s="5">
        <v>29</v>
      </c>
      <c r="B1221" s="5" t="s">
        <v>43</v>
      </c>
      <c r="C1221" s="5" t="s">
        <v>36</v>
      </c>
      <c r="D1221" s="5">
        <v>1082</v>
      </c>
      <c r="E1221" s="5" t="s">
        <v>45</v>
      </c>
      <c r="F1221" s="5">
        <v>9</v>
      </c>
      <c r="G1221" s="5">
        <v>4</v>
      </c>
      <c r="H1221" s="5" t="s">
        <v>51</v>
      </c>
      <c r="I1221" s="5">
        <v>1</v>
      </c>
      <c r="J1221" s="5">
        <v>1709</v>
      </c>
      <c r="K1221" s="5">
        <v>4</v>
      </c>
      <c r="L1221" s="5" t="s">
        <v>39</v>
      </c>
      <c r="M1221" s="5">
        <v>43</v>
      </c>
      <c r="N1221" s="5">
        <v>3</v>
      </c>
      <c r="O1221" s="5">
        <v>1</v>
      </c>
      <c r="P1221" s="5" t="s">
        <v>50</v>
      </c>
      <c r="Q1221" s="5">
        <v>3</v>
      </c>
      <c r="R1221" s="5" t="s">
        <v>48</v>
      </c>
      <c r="S1221" s="5">
        <v>2974</v>
      </c>
      <c r="T1221" s="5">
        <v>25412</v>
      </c>
      <c r="U1221" s="5">
        <v>9</v>
      </c>
      <c r="V1221" s="5" t="s">
        <v>42</v>
      </c>
      <c r="W1221" s="5" t="s">
        <v>43</v>
      </c>
      <c r="X1221" s="5">
        <v>17</v>
      </c>
      <c r="Y1221" s="5">
        <v>3</v>
      </c>
      <c r="Z1221" s="5">
        <v>3</v>
      </c>
      <c r="AA1221" s="5">
        <v>80</v>
      </c>
      <c r="AB1221" s="5">
        <v>1</v>
      </c>
      <c r="AC1221" s="5">
        <v>9</v>
      </c>
      <c r="AD1221" s="5">
        <v>2</v>
      </c>
      <c r="AE1221" s="5">
        <v>3</v>
      </c>
      <c r="AF1221" s="5">
        <v>5</v>
      </c>
      <c r="AG1221" s="5">
        <v>3</v>
      </c>
      <c r="AH1221" s="5">
        <v>1</v>
      </c>
      <c r="AI1221" s="5">
        <v>2</v>
      </c>
    </row>
    <row r="1222" spans="1:35" x14ac:dyDescent="0.25">
      <c r="A1222" s="5">
        <v>36</v>
      </c>
      <c r="B1222" s="5" t="s">
        <v>43</v>
      </c>
      <c r="C1222" s="5" t="s">
        <v>36</v>
      </c>
      <c r="D1222" s="5">
        <v>530</v>
      </c>
      <c r="E1222" s="5" t="s">
        <v>37</v>
      </c>
      <c r="F1222" s="5">
        <v>2</v>
      </c>
      <c r="G1222" s="5">
        <v>4</v>
      </c>
      <c r="H1222" s="5" t="s">
        <v>38</v>
      </c>
      <c r="I1222" s="5">
        <v>1</v>
      </c>
      <c r="J1222" s="5">
        <v>1710</v>
      </c>
      <c r="K1222" s="5">
        <v>3</v>
      </c>
      <c r="L1222" s="5" t="s">
        <v>39</v>
      </c>
      <c r="M1222" s="5">
        <v>51</v>
      </c>
      <c r="N1222" s="5">
        <v>3</v>
      </c>
      <c r="O1222" s="5">
        <v>2</v>
      </c>
      <c r="P1222" s="5" t="s">
        <v>57</v>
      </c>
      <c r="Q1222" s="5">
        <v>4</v>
      </c>
      <c r="R1222" s="5" t="s">
        <v>41</v>
      </c>
      <c r="S1222" s="5">
        <v>4502</v>
      </c>
      <c r="T1222" s="5">
        <v>7439</v>
      </c>
      <c r="U1222" s="5">
        <v>3</v>
      </c>
      <c r="V1222" s="5" t="s">
        <v>42</v>
      </c>
      <c r="W1222" s="5" t="s">
        <v>43</v>
      </c>
      <c r="X1222" s="5">
        <v>15</v>
      </c>
      <c r="Y1222" s="5">
        <v>3</v>
      </c>
      <c r="Z1222" s="5">
        <v>3</v>
      </c>
      <c r="AA1222" s="5">
        <v>80</v>
      </c>
      <c r="AB1222" s="5">
        <v>0</v>
      </c>
      <c r="AC1222" s="5">
        <v>17</v>
      </c>
      <c r="AD1222" s="5">
        <v>2</v>
      </c>
      <c r="AE1222" s="5">
        <v>2</v>
      </c>
      <c r="AF1222" s="5">
        <v>13</v>
      </c>
      <c r="AG1222" s="5">
        <v>7</v>
      </c>
      <c r="AH1222" s="5">
        <v>6</v>
      </c>
      <c r="AI1222" s="5">
        <v>7</v>
      </c>
    </row>
    <row r="1223" spans="1:35" x14ac:dyDescent="0.25">
      <c r="A1223" s="5">
        <v>45</v>
      </c>
      <c r="B1223" s="5" t="s">
        <v>43</v>
      </c>
      <c r="C1223" s="5" t="s">
        <v>55</v>
      </c>
      <c r="D1223" s="5">
        <v>1238</v>
      </c>
      <c r="E1223" s="5" t="s">
        <v>45</v>
      </c>
      <c r="F1223" s="5">
        <v>1</v>
      </c>
      <c r="G1223" s="5">
        <v>1</v>
      </c>
      <c r="H1223" s="5" t="s">
        <v>38</v>
      </c>
      <c r="I1223" s="5">
        <v>1</v>
      </c>
      <c r="J1223" s="5">
        <v>1712</v>
      </c>
      <c r="K1223" s="5">
        <v>3</v>
      </c>
      <c r="L1223" s="5" t="s">
        <v>46</v>
      </c>
      <c r="M1223" s="5">
        <v>74</v>
      </c>
      <c r="N1223" s="5">
        <v>2</v>
      </c>
      <c r="O1223" s="5">
        <v>3</v>
      </c>
      <c r="P1223" s="5" t="s">
        <v>54</v>
      </c>
      <c r="Q1223" s="5">
        <v>3</v>
      </c>
      <c r="R1223" s="5" t="s">
        <v>48</v>
      </c>
      <c r="S1223" s="5">
        <v>10748</v>
      </c>
      <c r="T1223" s="5">
        <v>3395</v>
      </c>
      <c r="U1223" s="5">
        <v>3</v>
      </c>
      <c r="V1223" s="5" t="s">
        <v>42</v>
      </c>
      <c r="W1223" s="5" t="s">
        <v>43</v>
      </c>
      <c r="X1223" s="5">
        <v>23</v>
      </c>
      <c r="Y1223" s="5">
        <v>4</v>
      </c>
      <c r="Z1223" s="5">
        <v>4</v>
      </c>
      <c r="AA1223" s="5">
        <v>80</v>
      </c>
      <c r="AB1223" s="5">
        <v>1</v>
      </c>
      <c r="AC1223" s="5">
        <v>25</v>
      </c>
      <c r="AD1223" s="5">
        <v>3</v>
      </c>
      <c r="AE1223" s="5">
        <v>2</v>
      </c>
      <c r="AF1223" s="5">
        <v>23</v>
      </c>
      <c r="AG1223" s="5">
        <v>15</v>
      </c>
      <c r="AH1223" s="5">
        <v>14</v>
      </c>
      <c r="AI1223" s="5">
        <v>4</v>
      </c>
    </row>
    <row r="1224" spans="1:35" x14ac:dyDescent="0.25">
      <c r="A1224" s="5">
        <v>24</v>
      </c>
      <c r="B1224" s="5" t="s">
        <v>35</v>
      </c>
      <c r="C1224" s="5" t="s">
        <v>36</v>
      </c>
      <c r="D1224" s="5">
        <v>240</v>
      </c>
      <c r="E1224" s="5" t="s">
        <v>61</v>
      </c>
      <c r="F1224" s="5">
        <v>22</v>
      </c>
      <c r="G1224" s="5">
        <v>1</v>
      </c>
      <c r="H1224" s="5" t="s">
        <v>61</v>
      </c>
      <c r="I1224" s="5">
        <v>1</v>
      </c>
      <c r="J1224" s="5">
        <v>1714</v>
      </c>
      <c r="K1224" s="5">
        <v>4</v>
      </c>
      <c r="L1224" s="5" t="s">
        <v>46</v>
      </c>
      <c r="M1224" s="5">
        <v>58</v>
      </c>
      <c r="N1224" s="5">
        <v>1</v>
      </c>
      <c r="O1224" s="5">
        <v>1</v>
      </c>
      <c r="P1224" s="5" t="s">
        <v>61</v>
      </c>
      <c r="Q1224" s="5">
        <v>3</v>
      </c>
      <c r="R1224" s="5" t="s">
        <v>48</v>
      </c>
      <c r="S1224" s="5">
        <v>1555</v>
      </c>
      <c r="T1224" s="5">
        <v>11585</v>
      </c>
      <c r="U1224" s="5">
        <v>1</v>
      </c>
      <c r="V1224" s="5" t="s">
        <v>42</v>
      </c>
      <c r="W1224" s="5" t="s">
        <v>43</v>
      </c>
      <c r="X1224" s="5">
        <v>11</v>
      </c>
      <c r="Y1224" s="5">
        <v>3</v>
      </c>
      <c r="Z1224" s="5">
        <v>3</v>
      </c>
      <c r="AA1224" s="5">
        <v>80</v>
      </c>
      <c r="AB1224" s="5">
        <v>1</v>
      </c>
      <c r="AC1224" s="5">
        <v>1</v>
      </c>
      <c r="AD1224" s="5">
        <v>2</v>
      </c>
      <c r="AE1224" s="5">
        <v>3</v>
      </c>
      <c r="AF1224" s="5">
        <v>1</v>
      </c>
      <c r="AG1224" s="5">
        <v>0</v>
      </c>
      <c r="AH1224" s="5">
        <v>0</v>
      </c>
      <c r="AI1224" s="5">
        <v>0</v>
      </c>
    </row>
    <row r="1225" spans="1:35" x14ac:dyDescent="0.25">
      <c r="A1225" s="5">
        <v>47</v>
      </c>
      <c r="B1225" s="5" t="s">
        <v>35</v>
      </c>
      <c r="C1225" s="5" t="s">
        <v>44</v>
      </c>
      <c r="D1225" s="5">
        <v>1093</v>
      </c>
      <c r="E1225" s="5" t="s">
        <v>37</v>
      </c>
      <c r="F1225" s="5">
        <v>9</v>
      </c>
      <c r="G1225" s="5">
        <v>3</v>
      </c>
      <c r="H1225" s="5" t="s">
        <v>38</v>
      </c>
      <c r="I1225" s="5">
        <v>1</v>
      </c>
      <c r="J1225" s="5">
        <v>1716</v>
      </c>
      <c r="K1225" s="5">
        <v>3</v>
      </c>
      <c r="L1225" s="5" t="s">
        <v>46</v>
      </c>
      <c r="M1225" s="5">
        <v>82</v>
      </c>
      <c r="N1225" s="5">
        <v>1</v>
      </c>
      <c r="O1225" s="5">
        <v>4</v>
      </c>
      <c r="P1225" s="5" t="s">
        <v>40</v>
      </c>
      <c r="Q1225" s="5">
        <v>3</v>
      </c>
      <c r="R1225" s="5" t="s">
        <v>48</v>
      </c>
      <c r="S1225" s="5">
        <v>12936</v>
      </c>
      <c r="T1225" s="5">
        <v>24164</v>
      </c>
      <c r="U1225" s="5">
        <v>7</v>
      </c>
      <c r="V1225" s="5" t="s">
        <v>42</v>
      </c>
      <c r="W1225" s="5" t="s">
        <v>43</v>
      </c>
      <c r="X1225" s="5">
        <v>11</v>
      </c>
      <c r="Y1225" s="5">
        <v>3</v>
      </c>
      <c r="Z1225" s="5">
        <v>3</v>
      </c>
      <c r="AA1225" s="5">
        <v>80</v>
      </c>
      <c r="AB1225" s="5">
        <v>0</v>
      </c>
      <c r="AC1225" s="5">
        <v>25</v>
      </c>
      <c r="AD1225" s="5">
        <v>3</v>
      </c>
      <c r="AE1225" s="5">
        <v>1</v>
      </c>
      <c r="AF1225" s="5">
        <v>23</v>
      </c>
      <c r="AG1225" s="5">
        <v>5</v>
      </c>
      <c r="AH1225" s="5">
        <v>14</v>
      </c>
      <c r="AI1225" s="5">
        <v>10</v>
      </c>
    </row>
    <row r="1226" spans="1:35" x14ac:dyDescent="0.25">
      <c r="A1226" s="5">
        <v>26</v>
      </c>
      <c r="B1226" s="5" t="s">
        <v>43</v>
      </c>
      <c r="C1226" s="5" t="s">
        <v>36</v>
      </c>
      <c r="D1226" s="5">
        <v>390</v>
      </c>
      <c r="E1226" s="5" t="s">
        <v>45</v>
      </c>
      <c r="F1226" s="5">
        <v>17</v>
      </c>
      <c r="G1226" s="5">
        <v>4</v>
      </c>
      <c r="H1226" s="5" t="s">
        <v>51</v>
      </c>
      <c r="I1226" s="5">
        <v>1</v>
      </c>
      <c r="J1226" s="5">
        <v>1718</v>
      </c>
      <c r="K1226" s="5">
        <v>4</v>
      </c>
      <c r="L1226" s="5" t="s">
        <v>46</v>
      </c>
      <c r="M1226" s="5">
        <v>62</v>
      </c>
      <c r="N1226" s="5">
        <v>1</v>
      </c>
      <c r="O1226" s="5">
        <v>1</v>
      </c>
      <c r="P1226" s="5" t="s">
        <v>50</v>
      </c>
      <c r="Q1226" s="5">
        <v>3</v>
      </c>
      <c r="R1226" s="5" t="s">
        <v>48</v>
      </c>
      <c r="S1226" s="5">
        <v>2305</v>
      </c>
      <c r="T1226" s="5">
        <v>6217</v>
      </c>
      <c r="U1226" s="5">
        <v>1</v>
      </c>
      <c r="V1226" s="5" t="s">
        <v>42</v>
      </c>
      <c r="W1226" s="5" t="s">
        <v>43</v>
      </c>
      <c r="X1226" s="5">
        <v>15</v>
      </c>
      <c r="Y1226" s="5">
        <v>3</v>
      </c>
      <c r="Z1226" s="5">
        <v>3</v>
      </c>
      <c r="AA1226" s="5">
        <v>80</v>
      </c>
      <c r="AB1226" s="5">
        <v>3</v>
      </c>
      <c r="AC1226" s="5">
        <v>3</v>
      </c>
      <c r="AD1226" s="5">
        <v>3</v>
      </c>
      <c r="AE1226" s="5">
        <v>4</v>
      </c>
      <c r="AF1226" s="5">
        <v>3</v>
      </c>
      <c r="AG1226" s="5">
        <v>2</v>
      </c>
      <c r="AH1226" s="5">
        <v>0</v>
      </c>
      <c r="AI1226" s="5">
        <v>2</v>
      </c>
    </row>
    <row r="1227" spans="1:35" x14ac:dyDescent="0.25">
      <c r="A1227" s="5">
        <v>45</v>
      </c>
      <c r="B1227" s="5" t="s">
        <v>43</v>
      </c>
      <c r="C1227" s="5" t="s">
        <v>36</v>
      </c>
      <c r="D1227" s="5">
        <v>1005</v>
      </c>
      <c r="E1227" s="5" t="s">
        <v>45</v>
      </c>
      <c r="F1227" s="5">
        <v>28</v>
      </c>
      <c r="G1227" s="5">
        <v>2</v>
      </c>
      <c r="H1227" s="5" t="s">
        <v>60</v>
      </c>
      <c r="I1227" s="5">
        <v>1</v>
      </c>
      <c r="J1227" s="5">
        <v>1719</v>
      </c>
      <c r="K1227" s="5">
        <v>4</v>
      </c>
      <c r="L1227" s="5" t="s">
        <v>39</v>
      </c>
      <c r="M1227" s="5">
        <v>48</v>
      </c>
      <c r="N1227" s="5">
        <v>2</v>
      </c>
      <c r="O1227" s="5">
        <v>4</v>
      </c>
      <c r="P1227" s="5" t="s">
        <v>58</v>
      </c>
      <c r="Q1227" s="5">
        <v>2</v>
      </c>
      <c r="R1227" s="5" t="s">
        <v>41</v>
      </c>
      <c r="S1227" s="5">
        <v>16704</v>
      </c>
      <c r="T1227" s="5">
        <v>17119</v>
      </c>
      <c r="U1227" s="5">
        <v>1</v>
      </c>
      <c r="V1227" s="5" t="s">
        <v>42</v>
      </c>
      <c r="W1227" s="5" t="s">
        <v>43</v>
      </c>
      <c r="X1227" s="5">
        <v>11</v>
      </c>
      <c r="Y1227" s="5">
        <v>3</v>
      </c>
      <c r="Z1227" s="5">
        <v>3</v>
      </c>
      <c r="AA1227" s="5">
        <v>80</v>
      </c>
      <c r="AB1227" s="5">
        <v>0</v>
      </c>
      <c r="AC1227" s="5">
        <v>21</v>
      </c>
      <c r="AD1227" s="5">
        <v>2</v>
      </c>
      <c r="AE1227" s="5">
        <v>3</v>
      </c>
      <c r="AF1227" s="5">
        <v>21</v>
      </c>
      <c r="AG1227" s="5">
        <v>6</v>
      </c>
      <c r="AH1227" s="5">
        <v>8</v>
      </c>
      <c r="AI1227" s="5">
        <v>6</v>
      </c>
    </row>
    <row r="1228" spans="1:35" x14ac:dyDescent="0.25">
      <c r="A1228" s="5">
        <v>32</v>
      </c>
      <c r="B1228" s="5" t="s">
        <v>43</v>
      </c>
      <c r="C1228" s="5" t="s">
        <v>44</v>
      </c>
      <c r="D1228" s="5">
        <v>585</v>
      </c>
      <c r="E1228" s="5" t="s">
        <v>45</v>
      </c>
      <c r="F1228" s="5">
        <v>10</v>
      </c>
      <c r="G1228" s="5">
        <v>3</v>
      </c>
      <c r="H1228" s="5" t="s">
        <v>38</v>
      </c>
      <c r="I1228" s="5">
        <v>1</v>
      </c>
      <c r="J1228" s="5">
        <v>1720</v>
      </c>
      <c r="K1228" s="5">
        <v>1</v>
      </c>
      <c r="L1228" s="5" t="s">
        <v>46</v>
      </c>
      <c r="M1228" s="5">
        <v>56</v>
      </c>
      <c r="N1228" s="5">
        <v>3</v>
      </c>
      <c r="O1228" s="5">
        <v>1</v>
      </c>
      <c r="P1228" s="5" t="s">
        <v>47</v>
      </c>
      <c r="Q1228" s="5">
        <v>3</v>
      </c>
      <c r="R1228" s="5" t="s">
        <v>48</v>
      </c>
      <c r="S1228" s="5">
        <v>3433</v>
      </c>
      <c r="T1228" s="5">
        <v>17360</v>
      </c>
      <c r="U1228" s="5">
        <v>6</v>
      </c>
      <c r="V1228" s="5" t="s">
        <v>42</v>
      </c>
      <c r="W1228" s="5" t="s">
        <v>43</v>
      </c>
      <c r="X1228" s="5">
        <v>13</v>
      </c>
      <c r="Y1228" s="5">
        <v>3</v>
      </c>
      <c r="Z1228" s="5">
        <v>1</v>
      </c>
      <c r="AA1228" s="5">
        <v>80</v>
      </c>
      <c r="AB1228" s="5">
        <v>1</v>
      </c>
      <c r="AC1228" s="5">
        <v>10</v>
      </c>
      <c r="AD1228" s="5">
        <v>3</v>
      </c>
      <c r="AE1228" s="5">
        <v>2</v>
      </c>
      <c r="AF1228" s="5">
        <v>5</v>
      </c>
      <c r="AG1228" s="5">
        <v>2</v>
      </c>
      <c r="AH1228" s="5">
        <v>1</v>
      </c>
      <c r="AI1228" s="5">
        <v>3</v>
      </c>
    </row>
    <row r="1229" spans="1:35" x14ac:dyDescent="0.25">
      <c r="A1229" s="5">
        <v>31</v>
      </c>
      <c r="B1229" s="5" t="s">
        <v>43</v>
      </c>
      <c r="C1229" s="5" t="s">
        <v>36</v>
      </c>
      <c r="D1229" s="5">
        <v>741</v>
      </c>
      <c r="E1229" s="5" t="s">
        <v>45</v>
      </c>
      <c r="F1229" s="5">
        <v>2</v>
      </c>
      <c r="G1229" s="5">
        <v>4</v>
      </c>
      <c r="H1229" s="5" t="s">
        <v>38</v>
      </c>
      <c r="I1229" s="5">
        <v>1</v>
      </c>
      <c r="J1229" s="5">
        <v>1721</v>
      </c>
      <c r="K1229" s="5">
        <v>2</v>
      </c>
      <c r="L1229" s="5" t="s">
        <v>46</v>
      </c>
      <c r="M1229" s="5">
        <v>69</v>
      </c>
      <c r="N1229" s="5">
        <v>3</v>
      </c>
      <c r="O1229" s="5">
        <v>1</v>
      </c>
      <c r="P1229" s="5" t="s">
        <v>50</v>
      </c>
      <c r="Q1229" s="5">
        <v>3</v>
      </c>
      <c r="R1229" s="5" t="s">
        <v>48</v>
      </c>
      <c r="S1229" s="5">
        <v>3477</v>
      </c>
      <c r="T1229" s="5">
        <v>18103</v>
      </c>
      <c r="U1229" s="5">
        <v>1</v>
      </c>
      <c r="V1229" s="5" t="s">
        <v>42</v>
      </c>
      <c r="W1229" s="5" t="s">
        <v>43</v>
      </c>
      <c r="X1229" s="5">
        <v>14</v>
      </c>
      <c r="Y1229" s="5">
        <v>3</v>
      </c>
      <c r="Z1229" s="5">
        <v>4</v>
      </c>
      <c r="AA1229" s="5">
        <v>80</v>
      </c>
      <c r="AB1229" s="5">
        <v>1</v>
      </c>
      <c r="AC1229" s="5">
        <v>6</v>
      </c>
      <c r="AD1229" s="5">
        <v>2</v>
      </c>
      <c r="AE1229" s="5">
        <v>4</v>
      </c>
      <c r="AF1229" s="5">
        <v>5</v>
      </c>
      <c r="AG1229" s="5">
        <v>2</v>
      </c>
      <c r="AH1229" s="5">
        <v>0</v>
      </c>
      <c r="AI1229" s="5">
        <v>3</v>
      </c>
    </row>
    <row r="1230" spans="1:35" x14ac:dyDescent="0.25">
      <c r="A1230" s="5">
        <v>41</v>
      </c>
      <c r="B1230" s="5" t="s">
        <v>43</v>
      </c>
      <c r="C1230" s="5" t="s">
        <v>55</v>
      </c>
      <c r="D1230" s="5">
        <v>552</v>
      </c>
      <c r="E1230" s="5" t="s">
        <v>61</v>
      </c>
      <c r="F1230" s="5">
        <v>4</v>
      </c>
      <c r="G1230" s="5">
        <v>3</v>
      </c>
      <c r="H1230" s="5" t="s">
        <v>61</v>
      </c>
      <c r="I1230" s="5">
        <v>1</v>
      </c>
      <c r="J1230" s="5">
        <v>1722</v>
      </c>
      <c r="K1230" s="5">
        <v>3</v>
      </c>
      <c r="L1230" s="5" t="s">
        <v>46</v>
      </c>
      <c r="M1230" s="5">
        <v>60</v>
      </c>
      <c r="N1230" s="5">
        <v>1</v>
      </c>
      <c r="O1230" s="5">
        <v>2</v>
      </c>
      <c r="P1230" s="5" t="s">
        <v>61</v>
      </c>
      <c r="Q1230" s="5">
        <v>2</v>
      </c>
      <c r="R1230" s="5" t="s">
        <v>48</v>
      </c>
      <c r="S1230" s="5">
        <v>6430</v>
      </c>
      <c r="T1230" s="5">
        <v>20794</v>
      </c>
      <c r="U1230" s="5">
        <v>6</v>
      </c>
      <c r="V1230" s="5" t="s">
        <v>42</v>
      </c>
      <c r="W1230" s="5" t="s">
        <v>43</v>
      </c>
      <c r="X1230" s="5">
        <v>19</v>
      </c>
      <c r="Y1230" s="5">
        <v>3</v>
      </c>
      <c r="Z1230" s="5">
        <v>2</v>
      </c>
      <c r="AA1230" s="5">
        <v>80</v>
      </c>
      <c r="AB1230" s="5">
        <v>1</v>
      </c>
      <c r="AC1230" s="5">
        <v>10</v>
      </c>
      <c r="AD1230" s="5">
        <v>4</v>
      </c>
      <c r="AE1230" s="5">
        <v>3</v>
      </c>
      <c r="AF1230" s="5">
        <v>3</v>
      </c>
      <c r="AG1230" s="5">
        <v>2</v>
      </c>
      <c r="AH1230" s="5">
        <v>1</v>
      </c>
      <c r="AI1230" s="5">
        <v>2</v>
      </c>
    </row>
    <row r="1231" spans="1:35" x14ac:dyDescent="0.25">
      <c r="A1231" s="5">
        <v>40</v>
      </c>
      <c r="B1231" s="5" t="s">
        <v>43</v>
      </c>
      <c r="C1231" s="5" t="s">
        <v>36</v>
      </c>
      <c r="D1231" s="5">
        <v>369</v>
      </c>
      <c r="E1231" s="5" t="s">
        <v>45</v>
      </c>
      <c r="F1231" s="5">
        <v>8</v>
      </c>
      <c r="G1231" s="5">
        <v>2</v>
      </c>
      <c r="H1231" s="5" t="s">
        <v>38</v>
      </c>
      <c r="I1231" s="5">
        <v>1</v>
      </c>
      <c r="J1231" s="5">
        <v>1724</v>
      </c>
      <c r="K1231" s="5">
        <v>2</v>
      </c>
      <c r="L1231" s="5" t="s">
        <v>39</v>
      </c>
      <c r="M1231" s="5">
        <v>92</v>
      </c>
      <c r="N1231" s="5">
        <v>3</v>
      </c>
      <c r="O1231" s="5">
        <v>2</v>
      </c>
      <c r="P1231" s="5" t="s">
        <v>53</v>
      </c>
      <c r="Q1231" s="5">
        <v>1</v>
      </c>
      <c r="R1231" s="5" t="s">
        <v>48</v>
      </c>
      <c r="S1231" s="5">
        <v>6516</v>
      </c>
      <c r="T1231" s="5">
        <v>5041</v>
      </c>
      <c r="U1231" s="5">
        <v>2</v>
      </c>
      <c r="V1231" s="5" t="s">
        <v>42</v>
      </c>
      <c r="W1231" s="5" t="s">
        <v>35</v>
      </c>
      <c r="X1231" s="5">
        <v>16</v>
      </c>
      <c r="Y1231" s="5">
        <v>3</v>
      </c>
      <c r="Z1231" s="5">
        <v>2</v>
      </c>
      <c r="AA1231" s="5">
        <v>80</v>
      </c>
      <c r="AB1231" s="5">
        <v>1</v>
      </c>
      <c r="AC1231" s="5">
        <v>18</v>
      </c>
      <c r="AD1231" s="5">
        <v>3</v>
      </c>
      <c r="AE1231" s="5">
        <v>3</v>
      </c>
      <c r="AF1231" s="5">
        <v>1</v>
      </c>
      <c r="AG1231" s="5">
        <v>0</v>
      </c>
      <c r="AH1231" s="5">
        <v>0</v>
      </c>
      <c r="AI1231" s="5">
        <v>0</v>
      </c>
    </row>
    <row r="1232" spans="1:35" x14ac:dyDescent="0.25">
      <c r="A1232" s="5">
        <v>24</v>
      </c>
      <c r="B1232" s="5" t="s">
        <v>43</v>
      </c>
      <c r="C1232" s="5" t="s">
        <v>36</v>
      </c>
      <c r="D1232" s="5">
        <v>506</v>
      </c>
      <c r="E1232" s="5" t="s">
        <v>45</v>
      </c>
      <c r="F1232" s="5">
        <v>29</v>
      </c>
      <c r="G1232" s="5">
        <v>1</v>
      </c>
      <c r="H1232" s="5" t="s">
        <v>51</v>
      </c>
      <c r="I1232" s="5">
        <v>1</v>
      </c>
      <c r="J1232" s="5">
        <v>1725</v>
      </c>
      <c r="K1232" s="5">
        <v>2</v>
      </c>
      <c r="L1232" s="5" t="s">
        <v>46</v>
      </c>
      <c r="M1232" s="5">
        <v>91</v>
      </c>
      <c r="N1232" s="5">
        <v>3</v>
      </c>
      <c r="O1232" s="5">
        <v>1</v>
      </c>
      <c r="P1232" s="5" t="s">
        <v>50</v>
      </c>
      <c r="Q1232" s="5">
        <v>1</v>
      </c>
      <c r="R1232" s="5" t="s">
        <v>52</v>
      </c>
      <c r="S1232" s="5">
        <v>3907</v>
      </c>
      <c r="T1232" s="5">
        <v>3622</v>
      </c>
      <c r="U1232" s="5">
        <v>1</v>
      </c>
      <c r="V1232" s="5" t="s">
        <v>42</v>
      </c>
      <c r="W1232" s="5" t="s">
        <v>43</v>
      </c>
      <c r="X1232" s="5">
        <v>13</v>
      </c>
      <c r="Y1232" s="5">
        <v>3</v>
      </c>
      <c r="Z1232" s="5">
        <v>2</v>
      </c>
      <c r="AA1232" s="5">
        <v>80</v>
      </c>
      <c r="AB1232" s="5">
        <v>3</v>
      </c>
      <c r="AC1232" s="5">
        <v>6</v>
      </c>
      <c r="AD1232" s="5">
        <v>2</v>
      </c>
      <c r="AE1232" s="5">
        <v>4</v>
      </c>
      <c r="AF1232" s="5">
        <v>6</v>
      </c>
      <c r="AG1232" s="5">
        <v>2</v>
      </c>
      <c r="AH1232" s="5">
        <v>1</v>
      </c>
      <c r="AI1232" s="5">
        <v>2</v>
      </c>
    </row>
    <row r="1233" spans="1:35" x14ac:dyDescent="0.25">
      <c r="A1233" s="5">
        <v>46</v>
      </c>
      <c r="B1233" s="5" t="s">
        <v>43</v>
      </c>
      <c r="C1233" s="5" t="s">
        <v>36</v>
      </c>
      <c r="D1233" s="5">
        <v>717</v>
      </c>
      <c r="E1233" s="5" t="s">
        <v>45</v>
      </c>
      <c r="F1233" s="5">
        <v>13</v>
      </c>
      <c r="G1233" s="5">
        <v>4</v>
      </c>
      <c r="H1233" s="5" t="s">
        <v>38</v>
      </c>
      <c r="I1233" s="5">
        <v>1</v>
      </c>
      <c r="J1233" s="5">
        <v>1727</v>
      </c>
      <c r="K1233" s="5">
        <v>3</v>
      </c>
      <c r="L1233" s="5" t="s">
        <v>46</v>
      </c>
      <c r="M1233" s="5">
        <v>34</v>
      </c>
      <c r="N1233" s="5">
        <v>3</v>
      </c>
      <c r="O1233" s="5">
        <v>2</v>
      </c>
      <c r="P1233" s="5" t="s">
        <v>54</v>
      </c>
      <c r="Q1233" s="5">
        <v>2</v>
      </c>
      <c r="R1233" s="5" t="s">
        <v>41</v>
      </c>
      <c r="S1233" s="5">
        <v>5562</v>
      </c>
      <c r="T1233" s="5">
        <v>9697</v>
      </c>
      <c r="U1233" s="5">
        <v>6</v>
      </c>
      <c r="V1233" s="5" t="s">
        <v>42</v>
      </c>
      <c r="W1233" s="5" t="s">
        <v>43</v>
      </c>
      <c r="X1233" s="5">
        <v>14</v>
      </c>
      <c r="Y1233" s="5">
        <v>3</v>
      </c>
      <c r="Z1233" s="5">
        <v>4</v>
      </c>
      <c r="AA1233" s="5">
        <v>80</v>
      </c>
      <c r="AB1233" s="5">
        <v>0</v>
      </c>
      <c r="AC1233" s="5">
        <v>19</v>
      </c>
      <c r="AD1233" s="5">
        <v>3</v>
      </c>
      <c r="AE1233" s="5">
        <v>3</v>
      </c>
      <c r="AF1233" s="5">
        <v>10</v>
      </c>
      <c r="AG1233" s="5">
        <v>7</v>
      </c>
      <c r="AH1233" s="5">
        <v>0</v>
      </c>
      <c r="AI1233" s="5">
        <v>9</v>
      </c>
    </row>
    <row r="1234" spans="1:35" x14ac:dyDescent="0.25">
      <c r="A1234" s="5">
        <v>35</v>
      </c>
      <c r="B1234" s="5" t="s">
        <v>43</v>
      </c>
      <c r="C1234" s="5" t="s">
        <v>36</v>
      </c>
      <c r="D1234" s="5">
        <v>1370</v>
      </c>
      <c r="E1234" s="5" t="s">
        <v>45</v>
      </c>
      <c r="F1234" s="5">
        <v>27</v>
      </c>
      <c r="G1234" s="5">
        <v>4</v>
      </c>
      <c r="H1234" s="5" t="s">
        <v>38</v>
      </c>
      <c r="I1234" s="5">
        <v>1</v>
      </c>
      <c r="J1234" s="5">
        <v>1728</v>
      </c>
      <c r="K1234" s="5">
        <v>4</v>
      </c>
      <c r="L1234" s="5" t="s">
        <v>46</v>
      </c>
      <c r="M1234" s="5">
        <v>49</v>
      </c>
      <c r="N1234" s="5">
        <v>3</v>
      </c>
      <c r="O1234" s="5">
        <v>2</v>
      </c>
      <c r="P1234" s="5" t="s">
        <v>53</v>
      </c>
      <c r="Q1234" s="5">
        <v>3</v>
      </c>
      <c r="R1234" s="5" t="s">
        <v>48</v>
      </c>
      <c r="S1234" s="5">
        <v>6883</v>
      </c>
      <c r="T1234" s="5">
        <v>5151</v>
      </c>
      <c r="U1234" s="5">
        <v>2</v>
      </c>
      <c r="V1234" s="5" t="s">
        <v>42</v>
      </c>
      <c r="W1234" s="5" t="s">
        <v>43</v>
      </c>
      <c r="X1234" s="5">
        <v>16</v>
      </c>
      <c r="Y1234" s="5">
        <v>3</v>
      </c>
      <c r="Z1234" s="5">
        <v>2</v>
      </c>
      <c r="AA1234" s="5">
        <v>80</v>
      </c>
      <c r="AB1234" s="5">
        <v>1</v>
      </c>
      <c r="AC1234" s="5">
        <v>17</v>
      </c>
      <c r="AD1234" s="5">
        <v>3</v>
      </c>
      <c r="AE1234" s="5">
        <v>3</v>
      </c>
      <c r="AF1234" s="5">
        <v>7</v>
      </c>
      <c r="AG1234" s="5">
        <v>7</v>
      </c>
      <c r="AH1234" s="5">
        <v>0</v>
      </c>
      <c r="AI1234" s="5">
        <v>7</v>
      </c>
    </row>
    <row r="1235" spans="1:35" x14ac:dyDescent="0.25">
      <c r="A1235" s="5">
        <v>30</v>
      </c>
      <c r="B1235" s="5" t="s">
        <v>43</v>
      </c>
      <c r="C1235" s="5" t="s">
        <v>36</v>
      </c>
      <c r="D1235" s="5">
        <v>793</v>
      </c>
      <c r="E1235" s="5" t="s">
        <v>45</v>
      </c>
      <c r="F1235" s="5">
        <v>16</v>
      </c>
      <c r="G1235" s="5">
        <v>1</v>
      </c>
      <c r="H1235" s="5" t="s">
        <v>38</v>
      </c>
      <c r="I1235" s="5">
        <v>1</v>
      </c>
      <c r="J1235" s="5">
        <v>1729</v>
      </c>
      <c r="K1235" s="5">
        <v>2</v>
      </c>
      <c r="L1235" s="5" t="s">
        <v>46</v>
      </c>
      <c r="M1235" s="5">
        <v>33</v>
      </c>
      <c r="N1235" s="5">
        <v>3</v>
      </c>
      <c r="O1235" s="5">
        <v>1</v>
      </c>
      <c r="P1235" s="5" t="s">
        <v>47</v>
      </c>
      <c r="Q1235" s="5">
        <v>4</v>
      </c>
      <c r="R1235" s="5" t="s">
        <v>48</v>
      </c>
      <c r="S1235" s="5">
        <v>2862</v>
      </c>
      <c r="T1235" s="5">
        <v>3811</v>
      </c>
      <c r="U1235" s="5">
        <v>1</v>
      </c>
      <c r="V1235" s="5" t="s">
        <v>42</v>
      </c>
      <c r="W1235" s="5" t="s">
        <v>43</v>
      </c>
      <c r="X1235" s="5">
        <v>12</v>
      </c>
      <c r="Y1235" s="5">
        <v>3</v>
      </c>
      <c r="Z1235" s="5">
        <v>2</v>
      </c>
      <c r="AA1235" s="5">
        <v>80</v>
      </c>
      <c r="AB1235" s="5">
        <v>1</v>
      </c>
      <c r="AC1235" s="5">
        <v>10</v>
      </c>
      <c r="AD1235" s="5">
        <v>2</v>
      </c>
      <c r="AE1235" s="5">
        <v>2</v>
      </c>
      <c r="AF1235" s="5">
        <v>10</v>
      </c>
      <c r="AG1235" s="5">
        <v>0</v>
      </c>
      <c r="AH1235" s="5">
        <v>0</v>
      </c>
      <c r="AI1235" s="5">
        <v>8</v>
      </c>
    </row>
    <row r="1236" spans="1:35" x14ac:dyDescent="0.25">
      <c r="A1236" s="5">
        <v>47</v>
      </c>
      <c r="B1236" s="5" t="s">
        <v>43</v>
      </c>
      <c r="C1236" s="5" t="s">
        <v>55</v>
      </c>
      <c r="D1236" s="5">
        <v>543</v>
      </c>
      <c r="E1236" s="5" t="s">
        <v>37</v>
      </c>
      <c r="F1236" s="5">
        <v>2</v>
      </c>
      <c r="G1236" s="5">
        <v>4</v>
      </c>
      <c r="H1236" s="5" t="s">
        <v>59</v>
      </c>
      <c r="I1236" s="5">
        <v>1</v>
      </c>
      <c r="J1236" s="5">
        <v>1731</v>
      </c>
      <c r="K1236" s="5">
        <v>3</v>
      </c>
      <c r="L1236" s="5" t="s">
        <v>46</v>
      </c>
      <c r="M1236" s="5">
        <v>87</v>
      </c>
      <c r="N1236" s="5">
        <v>3</v>
      </c>
      <c r="O1236" s="5">
        <v>2</v>
      </c>
      <c r="P1236" s="5" t="s">
        <v>40</v>
      </c>
      <c r="Q1236" s="5">
        <v>2</v>
      </c>
      <c r="R1236" s="5" t="s">
        <v>48</v>
      </c>
      <c r="S1236" s="5">
        <v>4978</v>
      </c>
      <c r="T1236" s="5">
        <v>3536</v>
      </c>
      <c r="U1236" s="5">
        <v>7</v>
      </c>
      <c r="V1236" s="5" t="s">
        <v>42</v>
      </c>
      <c r="W1236" s="5" t="s">
        <v>43</v>
      </c>
      <c r="X1236" s="5">
        <v>11</v>
      </c>
      <c r="Y1236" s="5">
        <v>3</v>
      </c>
      <c r="Z1236" s="5">
        <v>4</v>
      </c>
      <c r="AA1236" s="5">
        <v>80</v>
      </c>
      <c r="AB1236" s="5">
        <v>1</v>
      </c>
      <c r="AC1236" s="5">
        <v>4</v>
      </c>
      <c r="AD1236" s="5">
        <v>3</v>
      </c>
      <c r="AE1236" s="5">
        <v>1</v>
      </c>
      <c r="AF1236" s="5">
        <v>1</v>
      </c>
      <c r="AG1236" s="5">
        <v>0</v>
      </c>
      <c r="AH1236" s="5">
        <v>0</v>
      </c>
      <c r="AI1236" s="5">
        <v>0</v>
      </c>
    </row>
    <row r="1237" spans="1:35" x14ac:dyDescent="0.25">
      <c r="A1237" s="5">
        <v>46</v>
      </c>
      <c r="B1237" s="5" t="s">
        <v>43</v>
      </c>
      <c r="C1237" s="5" t="s">
        <v>36</v>
      </c>
      <c r="D1237" s="5">
        <v>1277</v>
      </c>
      <c r="E1237" s="5" t="s">
        <v>37</v>
      </c>
      <c r="F1237" s="5">
        <v>2</v>
      </c>
      <c r="G1237" s="5">
        <v>3</v>
      </c>
      <c r="H1237" s="5" t="s">
        <v>38</v>
      </c>
      <c r="I1237" s="5">
        <v>1</v>
      </c>
      <c r="J1237" s="5">
        <v>1732</v>
      </c>
      <c r="K1237" s="5">
        <v>3</v>
      </c>
      <c r="L1237" s="5" t="s">
        <v>46</v>
      </c>
      <c r="M1237" s="5">
        <v>74</v>
      </c>
      <c r="N1237" s="5">
        <v>3</v>
      </c>
      <c r="O1237" s="5">
        <v>3</v>
      </c>
      <c r="P1237" s="5" t="s">
        <v>40</v>
      </c>
      <c r="Q1237" s="5">
        <v>4</v>
      </c>
      <c r="R1237" s="5" t="s">
        <v>52</v>
      </c>
      <c r="S1237" s="5">
        <v>10368</v>
      </c>
      <c r="T1237" s="5">
        <v>5596</v>
      </c>
      <c r="U1237" s="5">
        <v>4</v>
      </c>
      <c r="V1237" s="5" t="s">
        <v>42</v>
      </c>
      <c r="W1237" s="5" t="s">
        <v>35</v>
      </c>
      <c r="X1237" s="5">
        <v>12</v>
      </c>
      <c r="Y1237" s="5">
        <v>3</v>
      </c>
      <c r="Z1237" s="5">
        <v>2</v>
      </c>
      <c r="AA1237" s="5">
        <v>80</v>
      </c>
      <c r="AB1237" s="5">
        <v>1</v>
      </c>
      <c r="AC1237" s="5">
        <v>13</v>
      </c>
      <c r="AD1237" s="5">
        <v>5</v>
      </c>
      <c r="AE1237" s="5">
        <v>2</v>
      </c>
      <c r="AF1237" s="5">
        <v>10</v>
      </c>
      <c r="AG1237" s="5">
        <v>6</v>
      </c>
      <c r="AH1237" s="5">
        <v>0</v>
      </c>
      <c r="AI1237" s="5">
        <v>3</v>
      </c>
    </row>
    <row r="1238" spans="1:35" x14ac:dyDescent="0.25">
      <c r="A1238" s="5">
        <v>36</v>
      </c>
      <c r="B1238" s="5" t="s">
        <v>35</v>
      </c>
      <c r="C1238" s="5" t="s">
        <v>36</v>
      </c>
      <c r="D1238" s="5">
        <v>1456</v>
      </c>
      <c r="E1238" s="5" t="s">
        <v>37</v>
      </c>
      <c r="F1238" s="5">
        <v>13</v>
      </c>
      <c r="G1238" s="5">
        <v>5</v>
      </c>
      <c r="H1238" s="5" t="s">
        <v>59</v>
      </c>
      <c r="I1238" s="5">
        <v>1</v>
      </c>
      <c r="J1238" s="5">
        <v>1733</v>
      </c>
      <c r="K1238" s="5">
        <v>2</v>
      </c>
      <c r="L1238" s="5" t="s">
        <v>46</v>
      </c>
      <c r="M1238" s="5">
        <v>96</v>
      </c>
      <c r="N1238" s="5">
        <v>2</v>
      </c>
      <c r="O1238" s="5">
        <v>2</v>
      </c>
      <c r="P1238" s="5" t="s">
        <v>40</v>
      </c>
      <c r="Q1238" s="5">
        <v>1</v>
      </c>
      <c r="R1238" s="5" t="s">
        <v>52</v>
      </c>
      <c r="S1238" s="5">
        <v>6134</v>
      </c>
      <c r="T1238" s="5">
        <v>8658</v>
      </c>
      <c r="U1238" s="5">
        <v>5</v>
      </c>
      <c r="V1238" s="5" t="s">
        <v>42</v>
      </c>
      <c r="W1238" s="5" t="s">
        <v>35</v>
      </c>
      <c r="X1238" s="5">
        <v>13</v>
      </c>
      <c r="Y1238" s="5">
        <v>3</v>
      </c>
      <c r="Z1238" s="5">
        <v>2</v>
      </c>
      <c r="AA1238" s="5">
        <v>80</v>
      </c>
      <c r="AB1238" s="5">
        <v>3</v>
      </c>
      <c r="AC1238" s="5">
        <v>16</v>
      </c>
      <c r="AD1238" s="5">
        <v>3</v>
      </c>
      <c r="AE1238" s="5">
        <v>3</v>
      </c>
      <c r="AF1238" s="5">
        <v>2</v>
      </c>
      <c r="AG1238" s="5">
        <v>2</v>
      </c>
      <c r="AH1238" s="5">
        <v>2</v>
      </c>
      <c r="AI1238" s="5">
        <v>2</v>
      </c>
    </row>
    <row r="1239" spans="1:35" x14ac:dyDescent="0.25">
      <c r="A1239" s="5">
        <v>32</v>
      </c>
      <c r="B1239" s="5" t="s">
        <v>35</v>
      </c>
      <c r="C1239" s="5" t="s">
        <v>36</v>
      </c>
      <c r="D1239" s="5">
        <v>964</v>
      </c>
      <c r="E1239" s="5" t="s">
        <v>37</v>
      </c>
      <c r="F1239" s="5">
        <v>1</v>
      </c>
      <c r="G1239" s="5">
        <v>2</v>
      </c>
      <c r="H1239" s="5" t="s">
        <v>38</v>
      </c>
      <c r="I1239" s="5">
        <v>1</v>
      </c>
      <c r="J1239" s="5">
        <v>1734</v>
      </c>
      <c r="K1239" s="5">
        <v>1</v>
      </c>
      <c r="L1239" s="5" t="s">
        <v>46</v>
      </c>
      <c r="M1239" s="5">
        <v>34</v>
      </c>
      <c r="N1239" s="5">
        <v>1</v>
      </c>
      <c r="O1239" s="5">
        <v>2</v>
      </c>
      <c r="P1239" s="5" t="s">
        <v>40</v>
      </c>
      <c r="Q1239" s="5">
        <v>2</v>
      </c>
      <c r="R1239" s="5" t="s">
        <v>41</v>
      </c>
      <c r="S1239" s="5">
        <v>6735</v>
      </c>
      <c r="T1239" s="5">
        <v>12147</v>
      </c>
      <c r="U1239" s="5">
        <v>6</v>
      </c>
      <c r="V1239" s="5" t="s">
        <v>42</v>
      </c>
      <c r="W1239" s="5" t="s">
        <v>43</v>
      </c>
      <c r="X1239" s="5">
        <v>15</v>
      </c>
      <c r="Y1239" s="5">
        <v>3</v>
      </c>
      <c r="Z1239" s="5">
        <v>2</v>
      </c>
      <c r="AA1239" s="5">
        <v>80</v>
      </c>
      <c r="AB1239" s="5">
        <v>0</v>
      </c>
      <c r="AC1239" s="5">
        <v>10</v>
      </c>
      <c r="AD1239" s="5">
        <v>2</v>
      </c>
      <c r="AE1239" s="5">
        <v>3</v>
      </c>
      <c r="AF1239" s="5">
        <v>0</v>
      </c>
      <c r="AG1239" s="5">
        <v>0</v>
      </c>
      <c r="AH1239" s="5">
        <v>0</v>
      </c>
      <c r="AI1239" s="5">
        <v>0</v>
      </c>
    </row>
    <row r="1240" spans="1:35" x14ac:dyDescent="0.25">
      <c r="A1240" s="5">
        <v>23</v>
      </c>
      <c r="B1240" s="5" t="s">
        <v>43</v>
      </c>
      <c r="C1240" s="5" t="s">
        <v>36</v>
      </c>
      <c r="D1240" s="5">
        <v>160</v>
      </c>
      <c r="E1240" s="5" t="s">
        <v>45</v>
      </c>
      <c r="F1240" s="5">
        <v>4</v>
      </c>
      <c r="G1240" s="5">
        <v>1</v>
      </c>
      <c r="H1240" s="5" t="s">
        <v>51</v>
      </c>
      <c r="I1240" s="5">
        <v>1</v>
      </c>
      <c r="J1240" s="5">
        <v>1735</v>
      </c>
      <c r="K1240" s="5">
        <v>3</v>
      </c>
      <c r="L1240" s="5" t="s">
        <v>39</v>
      </c>
      <c r="M1240" s="5">
        <v>51</v>
      </c>
      <c r="N1240" s="5">
        <v>3</v>
      </c>
      <c r="O1240" s="5">
        <v>1</v>
      </c>
      <c r="P1240" s="5" t="s">
        <v>50</v>
      </c>
      <c r="Q1240" s="5">
        <v>2</v>
      </c>
      <c r="R1240" s="5" t="s">
        <v>41</v>
      </c>
      <c r="S1240" s="5">
        <v>3295</v>
      </c>
      <c r="T1240" s="5">
        <v>12862</v>
      </c>
      <c r="U1240" s="5">
        <v>1</v>
      </c>
      <c r="V1240" s="5" t="s">
        <v>42</v>
      </c>
      <c r="W1240" s="5" t="s">
        <v>43</v>
      </c>
      <c r="X1240" s="5">
        <v>13</v>
      </c>
      <c r="Y1240" s="5">
        <v>3</v>
      </c>
      <c r="Z1240" s="5">
        <v>3</v>
      </c>
      <c r="AA1240" s="5">
        <v>80</v>
      </c>
      <c r="AB1240" s="5">
        <v>0</v>
      </c>
      <c r="AC1240" s="5">
        <v>3</v>
      </c>
      <c r="AD1240" s="5">
        <v>3</v>
      </c>
      <c r="AE1240" s="5">
        <v>1</v>
      </c>
      <c r="AF1240" s="5">
        <v>3</v>
      </c>
      <c r="AG1240" s="5">
        <v>2</v>
      </c>
      <c r="AH1240" s="5">
        <v>1</v>
      </c>
      <c r="AI1240" s="5">
        <v>2</v>
      </c>
    </row>
    <row r="1241" spans="1:35" x14ac:dyDescent="0.25">
      <c r="A1241" s="5">
        <v>31</v>
      </c>
      <c r="B1241" s="5" t="s">
        <v>43</v>
      </c>
      <c r="C1241" s="5" t="s">
        <v>44</v>
      </c>
      <c r="D1241" s="5">
        <v>163</v>
      </c>
      <c r="E1241" s="5" t="s">
        <v>45</v>
      </c>
      <c r="F1241" s="5">
        <v>24</v>
      </c>
      <c r="G1241" s="5">
        <v>1</v>
      </c>
      <c r="H1241" s="5" t="s">
        <v>60</v>
      </c>
      <c r="I1241" s="5">
        <v>1</v>
      </c>
      <c r="J1241" s="5">
        <v>1736</v>
      </c>
      <c r="K1241" s="5">
        <v>4</v>
      </c>
      <c r="L1241" s="5" t="s">
        <v>39</v>
      </c>
      <c r="M1241" s="5">
        <v>30</v>
      </c>
      <c r="N1241" s="5">
        <v>3</v>
      </c>
      <c r="O1241" s="5">
        <v>2</v>
      </c>
      <c r="P1241" s="5" t="s">
        <v>53</v>
      </c>
      <c r="Q1241" s="5">
        <v>4</v>
      </c>
      <c r="R1241" s="5" t="s">
        <v>41</v>
      </c>
      <c r="S1241" s="5">
        <v>5238</v>
      </c>
      <c r="T1241" s="5">
        <v>6670</v>
      </c>
      <c r="U1241" s="5">
        <v>2</v>
      </c>
      <c r="V1241" s="5" t="s">
        <v>42</v>
      </c>
      <c r="W1241" s="5" t="s">
        <v>43</v>
      </c>
      <c r="X1241" s="5">
        <v>20</v>
      </c>
      <c r="Y1241" s="5">
        <v>4</v>
      </c>
      <c r="Z1241" s="5">
        <v>4</v>
      </c>
      <c r="AA1241" s="5">
        <v>80</v>
      </c>
      <c r="AB1241" s="5">
        <v>0</v>
      </c>
      <c r="AC1241" s="5">
        <v>9</v>
      </c>
      <c r="AD1241" s="5">
        <v>3</v>
      </c>
      <c r="AE1241" s="5">
        <v>2</v>
      </c>
      <c r="AF1241" s="5">
        <v>5</v>
      </c>
      <c r="AG1241" s="5">
        <v>4</v>
      </c>
      <c r="AH1241" s="5">
        <v>1</v>
      </c>
      <c r="AI1241" s="5">
        <v>4</v>
      </c>
    </row>
    <row r="1242" spans="1:35" x14ac:dyDescent="0.25">
      <c r="A1242" s="5">
        <v>39</v>
      </c>
      <c r="B1242" s="5" t="s">
        <v>43</v>
      </c>
      <c r="C1242" s="5" t="s">
        <v>55</v>
      </c>
      <c r="D1242" s="5">
        <v>792</v>
      </c>
      <c r="E1242" s="5" t="s">
        <v>45</v>
      </c>
      <c r="F1242" s="5">
        <v>1</v>
      </c>
      <c r="G1242" s="5">
        <v>3</v>
      </c>
      <c r="H1242" s="5" t="s">
        <v>38</v>
      </c>
      <c r="I1242" s="5">
        <v>1</v>
      </c>
      <c r="J1242" s="5">
        <v>1737</v>
      </c>
      <c r="K1242" s="5">
        <v>4</v>
      </c>
      <c r="L1242" s="5" t="s">
        <v>46</v>
      </c>
      <c r="M1242" s="5">
        <v>77</v>
      </c>
      <c r="N1242" s="5">
        <v>3</v>
      </c>
      <c r="O1242" s="5">
        <v>2</v>
      </c>
      <c r="P1242" s="5" t="s">
        <v>50</v>
      </c>
      <c r="Q1242" s="5">
        <v>4</v>
      </c>
      <c r="R1242" s="5" t="s">
        <v>48</v>
      </c>
      <c r="S1242" s="5">
        <v>6472</v>
      </c>
      <c r="T1242" s="5">
        <v>8989</v>
      </c>
      <c r="U1242" s="5">
        <v>1</v>
      </c>
      <c r="V1242" s="5" t="s">
        <v>42</v>
      </c>
      <c r="W1242" s="5" t="s">
        <v>35</v>
      </c>
      <c r="X1242" s="5">
        <v>15</v>
      </c>
      <c r="Y1242" s="5">
        <v>3</v>
      </c>
      <c r="Z1242" s="5">
        <v>4</v>
      </c>
      <c r="AA1242" s="5">
        <v>80</v>
      </c>
      <c r="AB1242" s="5">
        <v>1</v>
      </c>
      <c r="AC1242" s="5">
        <v>9</v>
      </c>
      <c r="AD1242" s="5">
        <v>2</v>
      </c>
      <c r="AE1242" s="5">
        <v>3</v>
      </c>
      <c r="AF1242" s="5">
        <v>9</v>
      </c>
      <c r="AG1242" s="5">
        <v>8</v>
      </c>
      <c r="AH1242" s="5">
        <v>5</v>
      </c>
      <c r="AI1242" s="5">
        <v>8</v>
      </c>
    </row>
    <row r="1243" spans="1:35" x14ac:dyDescent="0.25">
      <c r="A1243" s="5">
        <v>32</v>
      </c>
      <c r="B1243" s="5" t="s">
        <v>43</v>
      </c>
      <c r="C1243" s="5" t="s">
        <v>36</v>
      </c>
      <c r="D1243" s="5">
        <v>371</v>
      </c>
      <c r="E1243" s="5" t="s">
        <v>37</v>
      </c>
      <c r="F1243" s="5">
        <v>19</v>
      </c>
      <c r="G1243" s="5">
        <v>3</v>
      </c>
      <c r="H1243" s="5" t="s">
        <v>38</v>
      </c>
      <c r="I1243" s="5">
        <v>1</v>
      </c>
      <c r="J1243" s="5">
        <v>1739</v>
      </c>
      <c r="K1243" s="5">
        <v>4</v>
      </c>
      <c r="L1243" s="5" t="s">
        <v>46</v>
      </c>
      <c r="M1243" s="5">
        <v>80</v>
      </c>
      <c r="N1243" s="5">
        <v>1</v>
      </c>
      <c r="O1243" s="5">
        <v>3</v>
      </c>
      <c r="P1243" s="5" t="s">
        <v>40</v>
      </c>
      <c r="Q1243" s="5">
        <v>3</v>
      </c>
      <c r="R1243" s="5" t="s">
        <v>48</v>
      </c>
      <c r="S1243" s="5">
        <v>9610</v>
      </c>
      <c r="T1243" s="5">
        <v>3840</v>
      </c>
      <c r="U1243" s="5">
        <v>3</v>
      </c>
      <c r="V1243" s="5" t="s">
        <v>42</v>
      </c>
      <c r="W1243" s="5" t="s">
        <v>43</v>
      </c>
      <c r="X1243" s="5">
        <v>13</v>
      </c>
      <c r="Y1243" s="5">
        <v>3</v>
      </c>
      <c r="Z1243" s="5">
        <v>3</v>
      </c>
      <c r="AA1243" s="5">
        <v>80</v>
      </c>
      <c r="AB1243" s="5">
        <v>1</v>
      </c>
      <c r="AC1243" s="5">
        <v>10</v>
      </c>
      <c r="AD1243" s="5">
        <v>2</v>
      </c>
      <c r="AE1243" s="5">
        <v>1</v>
      </c>
      <c r="AF1243" s="5">
        <v>4</v>
      </c>
      <c r="AG1243" s="5">
        <v>3</v>
      </c>
      <c r="AH1243" s="5">
        <v>0</v>
      </c>
      <c r="AI1243" s="5">
        <v>2</v>
      </c>
    </row>
    <row r="1244" spans="1:35" x14ac:dyDescent="0.25">
      <c r="A1244" s="5">
        <v>40</v>
      </c>
      <c r="B1244" s="5" t="s">
        <v>43</v>
      </c>
      <c r="C1244" s="5" t="s">
        <v>36</v>
      </c>
      <c r="D1244" s="5">
        <v>611</v>
      </c>
      <c r="E1244" s="5" t="s">
        <v>37</v>
      </c>
      <c r="F1244" s="5">
        <v>7</v>
      </c>
      <c r="G1244" s="5">
        <v>4</v>
      </c>
      <c r="H1244" s="5" t="s">
        <v>51</v>
      </c>
      <c r="I1244" s="5">
        <v>1</v>
      </c>
      <c r="J1244" s="5">
        <v>1740</v>
      </c>
      <c r="K1244" s="5">
        <v>2</v>
      </c>
      <c r="L1244" s="5" t="s">
        <v>46</v>
      </c>
      <c r="M1244" s="5">
        <v>88</v>
      </c>
      <c r="N1244" s="5">
        <v>3</v>
      </c>
      <c r="O1244" s="5">
        <v>5</v>
      </c>
      <c r="P1244" s="5" t="s">
        <v>56</v>
      </c>
      <c r="Q1244" s="5">
        <v>2</v>
      </c>
      <c r="R1244" s="5" t="s">
        <v>41</v>
      </c>
      <c r="S1244" s="5">
        <v>19833</v>
      </c>
      <c r="T1244" s="5">
        <v>4349</v>
      </c>
      <c r="U1244" s="5">
        <v>1</v>
      </c>
      <c r="V1244" s="5" t="s">
        <v>42</v>
      </c>
      <c r="W1244" s="5" t="s">
        <v>43</v>
      </c>
      <c r="X1244" s="5">
        <v>14</v>
      </c>
      <c r="Y1244" s="5">
        <v>3</v>
      </c>
      <c r="Z1244" s="5">
        <v>2</v>
      </c>
      <c r="AA1244" s="5">
        <v>80</v>
      </c>
      <c r="AB1244" s="5">
        <v>0</v>
      </c>
      <c r="AC1244" s="5">
        <v>21</v>
      </c>
      <c r="AD1244" s="5">
        <v>3</v>
      </c>
      <c r="AE1244" s="5">
        <v>2</v>
      </c>
      <c r="AF1244" s="5">
        <v>21</v>
      </c>
      <c r="AG1244" s="5">
        <v>8</v>
      </c>
      <c r="AH1244" s="5">
        <v>12</v>
      </c>
      <c r="AI1244" s="5">
        <v>8</v>
      </c>
    </row>
    <row r="1245" spans="1:35" x14ac:dyDescent="0.25">
      <c r="A1245" s="5">
        <v>45</v>
      </c>
      <c r="B1245" s="5" t="s">
        <v>43</v>
      </c>
      <c r="C1245" s="5" t="s">
        <v>36</v>
      </c>
      <c r="D1245" s="5">
        <v>176</v>
      </c>
      <c r="E1245" s="5" t="s">
        <v>61</v>
      </c>
      <c r="F1245" s="5">
        <v>4</v>
      </c>
      <c r="G1245" s="5">
        <v>3</v>
      </c>
      <c r="H1245" s="5" t="s">
        <v>38</v>
      </c>
      <c r="I1245" s="5">
        <v>1</v>
      </c>
      <c r="J1245" s="5">
        <v>1744</v>
      </c>
      <c r="K1245" s="5">
        <v>3</v>
      </c>
      <c r="L1245" s="5" t="s">
        <v>39</v>
      </c>
      <c r="M1245" s="5">
        <v>56</v>
      </c>
      <c r="N1245" s="5">
        <v>1</v>
      </c>
      <c r="O1245" s="5">
        <v>3</v>
      </c>
      <c r="P1245" s="5" t="s">
        <v>61</v>
      </c>
      <c r="Q1245" s="5">
        <v>3</v>
      </c>
      <c r="R1245" s="5" t="s">
        <v>48</v>
      </c>
      <c r="S1245" s="5">
        <v>9756</v>
      </c>
      <c r="T1245" s="5">
        <v>6595</v>
      </c>
      <c r="U1245" s="5">
        <v>4</v>
      </c>
      <c r="V1245" s="5" t="s">
        <v>42</v>
      </c>
      <c r="W1245" s="5" t="s">
        <v>43</v>
      </c>
      <c r="X1245" s="5">
        <v>21</v>
      </c>
      <c r="Y1245" s="5">
        <v>4</v>
      </c>
      <c r="Z1245" s="5">
        <v>3</v>
      </c>
      <c r="AA1245" s="5">
        <v>80</v>
      </c>
      <c r="AB1245" s="5">
        <v>2</v>
      </c>
      <c r="AC1245" s="5">
        <v>9</v>
      </c>
      <c r="AD1245" s="5">
        <v>2</v>
      </c>
      <c r="AE1245" s="5">
        <v>4</v>
      </c>
      <c r="AF1245" s="5">
        <v>5</v>
      </c>
      <c r="AG1245" s="5">
        <v>0</v>
      </c>
      <c r="AH1245" s="5">
        <v>0</v>
      </c>
      <c r="AI1245" s="5">
        <v>3</v>
      </c>
    </row>
    <row r="1246" spans="1:35" x14ac:dyDescent="0.25">
      <c r="A1246" s="5">
        <v>30</v>
      </c>
      <c r="B1246" s="5" t="s">
        <v>43</v>
      </c>
      <c r="C1246" s="5" t="s">
        <v>44</v>
      </c>
      <c r="D1246" s="5">
        <v>1312</v>
      </c>
      <c r="E1246" s="5" t="s">
        <v>45</v>
      </c>
      <c r="F1246" s="5">
        <v>2</v>
      </c>
      <c r="G1246" s="5">
        <v>4</v>
      </c>
      <c r="H1246" s="5" t="s">
        <v>60</v>
      </c>
      <c r="I1246" s="5">
        <v>1</v>
      </c>
      <c r="J1246" s="5">
        <v>1745</v>
      </c>
      <c r="K1246" s="5">
        <v>4</v>
      </c>
      <c r="L1246" s="5" t="s">
        <v>39</v>
      </c>
      <c r="M1246" s="5">
        <v>78</v>
      </c>
      <c r="N1246" s="5">
        <v>2</v>
      </c>
      <c r="O1246" s="5">
        <v>1</v>
      </c>
      <c r="P1246" s="5" t="s">
        <v>47</v>
      </c>
      <c r="Q1246" s="5">
        <v>1</v>
      </c>
      <c r="R1246" s="5" t="s">
        <v>41</v>
      </c>
      <c r="S1246" s="5">
        <v>4968</v>
      </c>
      <c r="T1246" s="5">
        <v>26427</v>
      </c>
      <c r="U1246" s="5">
        <v>0</v>
      </c>
      <c r="V1246" s="5" t="s">
        <v>42</v>
      </c>
      <c r="W1246" s="5" t="s">
        <v>43</v>
      </c>
      <c r="X1246" s="5">
        <v>16</v>
      </c>
      <c r="Y1246" s="5">
        <v>3</v>
      </c>
      <c r="Z1246" s="5">
        <v>4</v>
      </c>
      <c r="AA1246" s="5">
        <v>80</v>
      </c>
      <c r="AB1246" s="5">
        <v>0</v>
      </c>
      <c r="AC1246" s="5">
        <v>10</v>
      </c>
      <c r="AD1246" s="5">
        <v>2</v>
      </c>
      <c r="AE1246" s="5">
        <v>3</v>
      </c>
      <c r="AF1246" s="5">
        <v>9</v>
      </c>
      <c r="AG1246" s="5">
        <v>7</v>
      </c>
      <c r="AH1246" s="5">
        <v>0</v>
      </c>
      <c r="AI1246" s="5">
        <v>7</v>
      </c>
    </row>
    <row r="1247" spans="1:35" x14ac:dyDescent="0.25">
      <c r="A1247" s="5">
        <v>24</v>
      </c>
      <c r="B1247" s="5" t="s">
        <v>43</v>
      </c>
      <c r="C1247" s="5" t="s">
        <v>44</v>
      </c>
      <c r="D1247" s="5">
        <v>897</v>
      </c>
      <c r="E1247" s="5" t="s">
        <v>61</v>
      </c>
      <c r="F1247" s="5">
        <v>10</v>
      </c>
      <c r="G1247" s="5">
        <v>3</v>
      </c>
      <c r="H1247" s="5" t="s">
        <v>51</v>
      </c>
      <c r="I1247" s="5">
        <v>1</v>
      </c>
      <c r="J1247" s="5">
        <v>1746</v>
      </c>
      <c r="K1247" s="5">
        <v>1</v>
      </c>
      <c r="L1247" s="5" t="s">
        <v>46</v>
      </c>
      <c r="M1247" s="5">
        <v>59</v>
      </c>
      <c r="N1247" s="5">
        <v>3</v>
      </c>
      <c r="O1247" s="5">
        <v>1</v>
      </c>
      <c r="P1247" s="5" t="s">
        <v>61</v>
      </c>
      <c r="Q1247" s="5">
        <v>4</v>
      </c>
      <c r="R1247" s="5" t="s">
        <v>48</v>
      </c>
      <c r="S1247" s="5">
        <v>2145</v>
      </c>
      <c r="T1247" s="5">
        <v>2097</v>
      </c>
      <c r="U1247" s="5">
        <v>0</v>
      </c>
      <c r="V1247" s="5" t="s">
        <v>42</v>
      </c>
      <c r="W1247" s="5" t="s">
        <v>43</v>
      </c>
      <c r="X1247" s="5">
        <v>14</v>
      </c>
      <c r="Y1247" s="5">
        <v>3</v>
      </c>
      <c r="Z1247" s="5">
        <v>4</v>
      </c>
      <c r="AA1247" s="5">
        <v>80</v>
      </c>
      <c r="AB1247" s="5">
        <v>1</v>
      </c>
      <c r="AC1247" s="5">
        <v>3</v>
      </c>
      <c r="AD1247" s="5">
        <v>2</v>
      </c>
      <c r="AE1247" s="5">
        <v>3</v>
      </c>
      <c r="AF1247" s="5">
        <v>2</v>
      </c>
      <c r="AG1247" s="5">
        <v>2</v>
      </c>
      <c r="AH1247" s="5">
        <v>2</v>
      </c>
      <c r="AI1247" s="5">
        <v>1</v>
      </c>
    </row>
    <row r="1248" spans="1:35" x14ac:dyDescent="0.25">
      <c r="A1248" s="5">
        <v>30</v>
      </c>
      <c r="B1248" s="5" t="s">
        <v>35</v>
      </c>
      <c r="C1248" s="5" t="s">
        <v>44</v>
      </c>
      <c r="D1248" s="5">
        <v>600</v>
      </c>
      <c r="E1248" s="5" t="s">
        <v>61</v>
      </c>
      <c r="F1248" s="5">
        <v>8</v>
      </c>
      <c r="G1248" s="5">
        <v>3</v>
      </c>
      <c r="H1248" s="5" t="s">
        <v>61</v>
      </c>
      <c r="I1248" s="5">
        <v>1</v>
      </c>
      <c r="J1248" s="5">
        <v>1747</v>
      </c>
      <c r="K1248" s="5">
        <v>3</v>
      </c>
      <c r="L1248" s="5" t="s">
        <v>39</v>
      </c>
      <c r="M1248" s="5">
        <v>66</v>
      </c>
      <c r="N1248" s="5">
        <v>2</v>
      </c>
      <c r="O1248" s="5">
        <v>1</v>
      </c>
      <c r="P1248" s="5" t="s">
        <v>61</v>
      </c>
      <c r="Q1248" s="5">
        <v>4</v>
      </c>
      <c r="R1248" s="5" t="s">
        <v>52</v>
      </c>
      <c r="S1248" s="5">
        <v>2180</v>
      </c>
      <c r="T1248" s="5">
        <v>9732</v>
      </c>
      <c r="U1248" s="5">
        <v>6</v>
      </c>
      <c r="V1248" s="5" t="s">
        <v>42</v>
      </c>
      <c r="W1248" s="5" t="s">
        <v>43</v>
      </c>
      <c r="X1248" s="5">
        <v>11</v>
      </c>
      <c r="Y1248" s="5">
        <v>3</v>
      </c>
      <c r="Z1248" s="5">
        <v>3</v>
      </c>
      <c r="AA1248" s="5">
        <v>80</v>
      </c>
      <c r="AB1248" s="5">
        <v>1</v>
      </c>
      <c r="AC1248" s="5">
        <v>6</v>
      </c>
      <c r="AD1248" s="5">
        <v>0</v>
      </c>
      <c r="AE1248" s="5">
        <v>2</v>
      </c>
      <c r="AF1248" s="5">
        <v>4</v>
      </c>
      <c r="AG1248" s="5">
        <v>2</v>
      </c>
      <c r="AH1248" s="5">
        <v>1</v>
      </c>
      <c r="AI1248" s="5">
        <v>2</v>
      </c>
    </row>
    <row r="1249" spans="1:35" x14ac:dyDescent="0.25">
      <c r="A1249" s="5">
        <v>31</v>
      </c>
      <c r="B1249" s="5" t="s">
        <v>43</v>
      </c>
      <c r="C1249" s="5" t="s">
        <v>36</v>
      </c>
      <c r="D1249" s="5">
        <v>1003</v>
      </c>
      <c r="E1249" s="5" t="s">
        <v>37</v>
      </c>
      <c r="F1249" s="5">
        <v>5</v>
      </c>
      <c r="G1249" s="5">
        <v>3</v>
      </c>
      <c r="H1249" s="5" t="s">
        <v>60</v>
      </c>
      <c r="I1249" s="5">
        <v>1</v>
      </c>
      <c r="J1249" s="5">
        <v>1749</v>
      </c>
      <c r="K1249" s="5">
        <v>1</v>
      </c>
      <c r="L1249" s="5" t="s">
        <v>46</v>
      </c>
      <c r="M1249" s="5">
        <v>51</v>
      </c>
      <c r="N1249" s="5">
        <v>3</v>
      </c>
      <c r="O1249" s="5">
        <v>2</v>
      </c>
      <c r="P1249" s="5" t="s">
        <v>40</v>
      </c>
      <c r="Q1249" s="5">
        <v>3</v>
      </c>
      <c r="R1249" s="5" t="s">
        <v>48</v>
      </c>
      <c r="S1249" s="5">
        <v>8346</v>
      </c>
      <c r="T1249" s="5">
        <v>20943</v>
      </c>
      <c r="U1249" s="5">
        <v>1</v>
      </c>
      <c r="V1249" s="5" t="s">
        <v>42</v>
      </c>
      <c r="W1249" s="5" t="s">
        <v>43</v>
      </c>
      <c r="X1249" s="5">
        <v>19</v>
      </c>
      <c r="Y1249" s="5">
        <v>3</v>
      </c>
      <c r="Z1249" s="5">
        <v>3</v>
      </c>
      <c r="AA1249" s="5">
        <v>80</v>
      </c>
      <c r="AB1249" s="5">
        <v>1</v>
      </c>
      <c r="AC1249" s="5">
        <v>6</v>
      </c>
      <c r="AD1249" s="5">
        <v>3</v>
      </c>
      <c r="AE1249" s="5">
        <v>3</v>
      </c>
      <c r="AF1249" s="5">
        <v>5</v>
      </c>
      <c r="AG1249" s="5">
        <v>2</v>
      </c>
      <c r="AH1249" s="5">
        <v>0</v>
      </c>
      <c r="AI1249" s="5">
        <v>2</v>
      </c>
    </row>
    <row r="1250" spans="1:35" x14ac:dyDescent="0.25">
      <c r="A1250" s="5">
        <v>27</v>
      </c>
      <c r="B1250" s="5" t="s">
        <v>43</v>
      </c>
      <c r="C1250" s="5" t="s">
        <v>36</v>
      </c>
      <c r="D1250" s="5">
        <v>1054</v>
      </c>
      <c r="E1250" s="5" t="s">
        <v>45</v>
      </c>
      <c r="F1250" s="5">
        <v>8</v>
      </c>
      <c r="G1250" s="5">
        <v>3</v>
      </c>
      <c r="H1250" s="5" t="s">
        <v>51</v>
      </c>
      <c r="I1250" s="5">
        <v>1</v>
      </c>
      <c r="J1250" s="5">
        <v>1751</v>
      </c>
      <c r="K1250" s="5">
        <v>3</v>
      </c>
      <c r="L1250" s="5" t="s">
        <v>39</v>
      </c>
      <c r="M1250" s="5">
        <v>67</v>
      </c>
      <c r="N1250" s="5">
        <v>3</v>
      </c>
      <c r="O1250" s="5">
        <v>1</v>
      </c>
      <c r="P1250" s="5" t="s">
        <v>47</v>
      </c>
      <c r="Q1250" s="5">
        <v>4</v>
      </c>
      <c r="R1250" s="5" t="s">
        <v>41</v>
      </c>
      <c r="S1250" s="5">
        <v>3445</v>
      </c>
      <c r="T1250" s="5">
        <v>6152</v>
      </c>
      <c r="U1250" s="5">
        <v>1</v>
      </c>
      <c r="V1250" s="5" t="s">
        <v>42</v>
      </c>
      <c r="W1250" s="5" t="s">
        <v>43</v>
      </c>
      <c r="X1250" s="5">
        <v>11</v>
      </c>
      <c r="Y1250" s="5">
        <v>3</v>
      </c>
      <c r="Z1250" s="5">
        <v>3</v>
      </c>
      <c r="AA1250" s="5">
        <v>80</v>
      </c>
      <c r="AB1250" s="5">
        <v>0</v>
      </c>
      <c r="AC1250" s="5">
        <v>6</v>
      </c>
      <c r="AD1250" s="5">
        <v>5</v>
      </c>
      <c r="AE1250" s="5">
        <v>2</v>
      </c>
      <c r="AF1250" s="5">
        <v>6</v>
      </c>
      <c r="AG1250" s="5">
        <v>2</v>
      </c>
      <c r="AH1250" s="5">
        <v>1</v>
      </c>
      <c r="AI1250" s="5">
        <v>4</v>
      </c>
    </row>
    <row r="1251" spans="1:35" x14ac:dyDescent="0.25">
      <c r="A1251" s="5">
        <v>29</v>
      </c>
      <c r="B1251" s="5" t="s">
        <v>35</v>
      </c>
      <c r="C1251" s="5" t="s">
        <v>36</v>
      </c>
      <c r="D1251" s="5">
        <v>428</v>
      </c>
      <c r="E1251" s="5" t="s">
        <v>37</v>
      </c>
      <c r="F1251" s="5">
        <v>9</v>
      </c>
      <c r="G1251" s="5">
        <v>3</v>
      </c>
      <c r="H1251" s="5" t="s">
        <v>59</v>
      </c>
      <c r="I1251" s="5">
        <v>1</v>
      </c>
      <c r="J1251" s="5">
        <v>1752</v>
      </c>
      <c r="K1251" s="5">
        <v>2</v>
      </c>
      <c r="L1251" s="5" t="s">
        <v>39</v>
      </c>
      <c r="M1251" s="5">
        <v>52</v>
      </c>
      <c r="N1251" s="5">
        <v>1</v>
      </c>
      <c r="O1251" s="5">
        <v>1</v>
      </c>
      <c r="P1251" s="5" t="s">
        <v>57</v>
      </c>
      <c r="Q1251" s="5">
        <v>2</v>
      </c>
      <c r="R1251" s="5" t="s">
        <v>41</v>
      </c>
      <c r="S1251" s="5">
        <v>2760</v>
      </c>
      <c r="T1251" s="5">
        <v>14630</v>
      </c>
      <c r="U1251" s="5">
        <v>1</v>
      </c>
      <c r="V1251" s="5" t="s">
        <v>42</v>
      </c>
      <c r="W1251" s="5" t="s">
        <v>43</v>
      </c>
      <c r="X1251" s="5">
        <v>13</v>
      </c>
      <c r="Y1251" s="5">
        <v>3</v>
      </c>
      <c r="Z1251" s="5">
        <v>3</v>
      </c>
      <c r="AA1251" s="5">
        <v>80</v>
      </c>
      <c r="AB1251" s="5">
        <v>0</v>
      </c>
      <c r="AC1251" s="5">
        <v>2</v>
      </c>
      <c r="AD1251" s="5">
        <v>3</v>
      </c>
      <c r="AE1251" s="5">
        <v>3</v>
      </c>
      <c r="AF1251" s="5">
        <v>2</v>
      </c>
      <c r="AG1251" s="5">
        <v>2</v>
      </c>
      <c r="AH1251" s="5">
        <v>2</v>
      </c>
      <c r="AI1251" s="5">
        <v>2</v>
      </c>
    </row>
    <row r="1252" spans="1:35" x14ac:dyDescent="0.25">
      <c r="A1252" s="5">
        <v>29</v>
      </c>
      <c r="B1252" s="5" t="s">
        <v>43</v>
      </c>
      <c r="C1252" s="5" t="s">
        <v>44</v>
      </c>
      <c r="D1252" s="5">
        <v>461</v>
      </c>
      <c r="E1252" s="5" t="s">
        <v>45</v>
      </c>
      <c r="F1252" s="5">
        <v>1</v>
      </c>
      <c r="G1252" s="5">
        <v>3</v>
      </c>
      <c r="H1252" s="5" t="s">
        <v>38</v>
      </c>
      <c r="I1252" s="5">
        <v>1</v>
      </c>
      <c r="J1252" s="5">
        <v>1753</v>
      </c>
      <c r="K1252" s="5">
        <v>4</v>
      </c>
      <c r="L1252" s="5" t="s">
        <v>46</v>
      </c>
      <c r="M1252" s="5">
        <v>70</v>
      </c>
      <c r="N1252" s="5">
        <v>4</v>
      </c>
      <c r="O1252" s="5">
        <v>2</v>
      </c>
      <c r="P1252" s="5" t="s">
        <v>54</v>
      </c>
      <c r="Q1252" s="5">
        <v>3</v>
      </c>
      <c r="R1252" s="5" t="s">
        <v>41</v>
      </c>
      <c r="S1252" s="5">
        <v>6294</v>
      </c>
      <c r="T1252" s="5">
        <v>23060</v>
      </c>
      <c r="U1252" s="5">
        <v>8</v>
      </c>
      <c r="V1252" s="5" t="s">
        <v>42</v>
      </c>
      <c r="W1252" s="5" t="s">
        <v>35</v>
      </c>
      <c r="X1252" s="5">
        <v>12</v>
      </c>
      <c r="Y1252" s="5">
        <v>3</v>
      </c>
      <c r="Z1252" s="5">
        <v>4</v>
      </c>
      <c r="AA1252" s="5">
        <v>80</v>
      </c>
      <c r="AB1252" s="5">
        <v>0</v>
      </c>
      <c r="AC1252" s="5">
        <v>10</v>
      </c>
      <c r="AD1252" s="5">
        <v>5</v>
      </c>
      <c r="AE1252" s="5">
        <v>4</v>
      </c>
      <c r="AF1252" s="5">
        <v>3</v>
      </c>
      <c r="AG1252" s="5">
        <v>2</v>
      </c>
      <c r="AH1252" s="5">
        <v>0</v>
      </c>
      <c r="AI1252" s="5">
        <v>2</v>
      </c>
    </row>
    <row r="1253" spans="1:35" x14ac:dyDescent="0.25">
      <c r="A1253" s="5">
        <v>30</v>
      </c>
      <c r="B1253" s="5" t="s">
        <v>43</v>
      </c>
      <c r="C1253" s="5" t="s">
        <v>36</v>
      </c>
      <c r="D1253" s="5">
        <v>979</v>
      </c>
      <c r="E1253" s="5" t="s">
        <v>37</v>
      </c>
      <c r="F1253" s="5">
        <v>15</v>
      </c>
      <c r="G1253" s="5">
        <v>2</v>
      </c>
      <c r="H1253" s="5" t="s">
        <v>59</v>
      </c>
      <c r="I1253" s="5">
        <v>1</v>
      </c>
      <c r="J1253" s="5">
        <v>1754</v>
      </c>
      <c r="K1253" s="5">
        <v>3</v>
      </c>
      <c r="L1253" s="5" t="s">
        <v>46</v>
      </c>
      <c r="M1253" s="5">
        <v>94</v>
      </c>
      <c r="N1253" s="5">
        <v>2</v>
      </c>
      <c r="O1253" s="5">
        <v>3</v>
      </c>
      <c r="P1253" s="5" t="s">
        <v>40</v>
      </c>
      <c r="Q1253" s="5">
        <v>1</v>
      </c>
      <c r="R1253" s="5" t="s">
        <v>52</v>
      </c>
      <c r="S1253" s="5">
        <v>7140</v>
      </c>
      <c r="T1253" s="5">
        <v>3088</v>
      </c>
      <c r="U1253" s="5">
        <v>2</v>
      </c>
      <c r="V1253" s="5" t="s">
        <v>42</v>
      </c>
      <c r="W1253" s="5" t="s">
        <v>43</v>
      </c>
      <c r="X1253" s="5">
        <v>11</v>
      </c>
      <c r="Y1253" s="5">
        <v>3</v>
      </c>
      <c r="Z1253" s="5">
        <v>1</v>
      </c>
      <c r="AA1253" s="5">
        <v>80</v>
      </c>
      <c r="AB1253" s="5">
        <v>1</v>
      </c>
      <c r="AC1253" s="5">
        <v>12</v>
      </c>
      <c r="AD1253" s="5">
        <v>2</v>
      </c>
      <c r="AE1253" s="5">
        <v>3</v>
      </c>
      <c r="AF1253" s="5">
        <v>7</v>
      </c>
      <c r="AG1253" s="5">
        <v>7</v>
      </c>
      <c r="AH1253" s="5">
        <v>1</v>
      </c>
      <c r="AI1253" s="5">
        <v>7</v>
      </c>
    </row>
    <row r="1254" spans="1:35" x14ac:dyDescent="0.25">
      <c r="A1254" s="5">
        <v>34</v>
      </c>
      <c r="B1254" s="5" t="s">
        <v>43</v>
      </c>
      <c r="C1254" s="5" t="s">
        <v>36</v>
      </c>
      <c r="D1254" s="5">
        <v>181</v>
      </c>
      <c r="E1254" s="5" t="s">
        <v>45</v>
      </c>
      <c r="F1254" s="5">
        <v>2</v>
      </c>
      <c r="G1254" s="5">
        <v>4</v>
      </c>
      <c r="H1254" s="5" t="s">
        <v>51</v>
      </c>
      <c r="I1254" s="5">
        <v>1</v>
      </c>
      <c r="J1254" s="5">
        <v>1755</v>
      </c>
      <c r="K1254" s="5">
        <v>4</v>
      </c>
      <c r="L1254" s="5" t="s">
        <v>46</v>
      </c>
      <c r="M1254" s="5">
        <v>97</v>
      </c>
      <c r="N1254" s="5">
        <v>4</v>
      </c>
      <c r="O1254" s="5">
        <v>1</v>
      </c>
      <c r="P1254" s="5" t="s">
        <v>47</v>
      </c>
      <c r="Q1254" s="5">
        <v>4</v>
      </c>
      <c r="R1254" s="5" t="s">
        <v>48</v>
      </c>
      <c r="S1254" s="5">
        <v>2932</v>
      </c>
      <c r="T1254" s="5">
        <v>5586</v>
      </c>
      <c r="U1254" s="5">
        <v>0</v>
      </c>
      <c r="V1254" s="5" t="s">
        <v>42</v>
      </c>
      <c r="W1254" s="5" t="s">
        <v>35</v>
      </c>
      <c r="X1254" s="5">
        <v>14</v>
      </c>
      <c r="Y1254" s="5">
        <v>3</v>
      </c>
      <c r="Z1254" s="5">
        <v>1</v>
      </c>
      <c r="AA1254" s="5">
        <v>80</v>
      </c>
      <c r="AB1254" s="5">
        <v>3</v>
      </c>
      <c r="AC1254" s="5">
        <v>6</v>
      </c>
      <c r="AD1254" s="5">
        <v>3</v>
      </c>
      <c r="AE1254" s="5">
        <v>3</v>
      </c>
      <c r="AF1254" s="5">
        <v>5</v>
      </c>
      <c r="AG1254" s="5">
        <v>0</v>
      </c>
      <c r="AH1254" s="5">
        <v>1</v>
      </c>
      <c r="AI1254" s="5">
        <v>2</v>
      </c>
    </row>
    <row r="1255" spans="1:35" x14ac:dyDescent="0.25">
      <c r="A1255" s="5">
        <v>33</v>
      </c>
      <c r="B1255" s="5" t="s">
        <v>43</v>
      </c>
      <c r="C1255" s="5" t="s">
        <v>55</v>
      </c>
      <c r="D1255" s="5">
        <v>1283</v>
      </c>
      <c r="E1255" s="5" t="s">
        <v>37</v>
      </c>
      <c r="F1255" s="5">
        <v>2</v>
      </c>
      <c r="G1255" s="5">
        <v>3</v>
      </c>
      <c r="H1255" s="5" t="s">
        <v>59</v>
      </c>
      <c r="I1255" s="5">
        <v>1</v>
      </c>
      <c r="J1255" s="5">
        <v>1756</v>
      </c>
      <c r="K1255" s="5">
        <v>4</v>
      </c>
      <c r="L1255" s="5" t="s">
        <v>39</v>
      </c>
      <c r="M1255" s="5">
        <v>62</v>
      </c>
      <c r="N1255" s="5">
        <v>3</v>
      </c>
      <c r="O1255" s="5">
        <v>2</v>
      </c>
      <c r="P1255" s="5" t="s">
        <v>40</v>
      </c>
      <c r="Q1255" s="5">
        <v>2</v>
      </c>
      <c r="R1255" s="5" t="s">
        <v>41</v>
      </c>
      <c r="S1255" s="5">
        <v>5147</v>
      </c>
      <c r="T1255" s="5">
        <v>10697</v>
      </c>
      <c r="U1255" s="5">
        <v>8</v>
      </c>
      <c r="V1255" s="5" t="s">
        <v>42</v>
      </c>
      <c r="W1255" s="5" t="s">
        <v>43</v>
      </c>
      <c r="X1255" s="5">
        <v>15</v>
      </c>
      <c r="Y1255" s="5">
        <v>3</v>
      </c>
      <c r="Z1255" s="5">
        <v>4</v>
      </c>
      <c r="AA1255" s="5">
        <v>80</v>
      </c>
      <c r="AB1255" s="5">
        <v>0</v>
      </c>
      <c r="AC1255" s="5">
        <v>13</v>
      </c>
      <c r="AD1255" s="5">
        <v>2</v>
      </c>
      <c r="AE1255" s="5">
        <v>2</v>
      </c>
      <c r="AF1255" s="5">
        <v>11</v>
      </c>
      <c r="AG1255" s="5">
        <v>7</v>
      </c>
      <c r="AH1255" s="5">
        <v>1</v>
      </c>
      <c r="AI1255" s="5">
        <v>7</v>
      </c>
    </row>
    <row r="1256" spans="1:35" x14ac:dyDescent="0.25">
      <c r="A1256" s="5">
        <v>49</v>
      </c>
      <c r="B1256" s="5" t="s">
        <v>43</v>
      </c>
      <c r="C1256" s="5" t="s">
        <v>36</v>
      </c>
      <c r="D1256" s="5">
        <v>1313</v>
      </c>
      <c r="E1256" s="5" t="s">
        <v>37</v>
      </c>
      <c r="F1256" s="5">
        <v>11</v>
      </c>
      <c r="G1256" s="5">
        <v>4</v>
      </c>
      <c r="H1256" s="5" t="s">
        <v>59</v>
      </c>
      <c r="I1256" s="5">
        <v>1</v>
      </c>
      <c r="J1256" s="5">
        <v>1757</v>
      </c>
      <c r="K1256" s="5">
        <v>4</v>
      </c>
      <c r="L1256" s="5" t="s">
        <v>39</v>
      </c>
      <c r="M1256" s="5">
        <v>80</v>
      </c>
      <c r="N1256" s="5">
        <v>3</v>
      </c>
      <c r="O1256" s="5">
        <v>2</v>
      </c>
      <c r="P1256" s="5" t="s">
        <v>40</v>
      </c>
      <c r="Q1256" s="5">
        <v>4</v>
      </c>
      <c r="R1256" s="5" t="s">
        <v>41</v>
      </c>
      <c r="S1256" s="5">
        <v>4507</v>
      </c>
      <c r="T1256" s="5">
        <v>8191</v>
      </c>
      <c r="U1256" s="5">
        <v>3</v>
      </c>
      <c r="V1256" s="5" t="s">
        <v>42</v>
      </c>
      <c r="W1256" s="5" t="s">
        <v>43</v>
      </c>
      <c r="X1256" s="5">
        <v>12</v>
      </c>
      <c r="Y1256" s="5">
        <v>3</v>
      </c>
      <c r="Z1256" s="5">
        <v>3</v>
      </c>
      <c r="AA1256" s="5">
        <v>80</v>
      </c>
      <c r="AB1256" s="5">
        <v>0</v>
      </c>
      <c r="AC1256" s="5">
        <v>8</v>
      </c>
      <c r="AD1256" s="5">
        <v>1</v>
      </c>
      <c r="AE1256" s="5">
        <v>4</v>
      </c>
      <c r="AF1256" s="5">
        <v>5</v>
      </c>
      <c r="AG1256" s="5">
        <v>1</v>
      </c>
      <c r="AH1256" s="5">
        <v>0</v>
      </c>
      <c r="AI1256" s="5">
        <v>4</v>
      </c>
    </row>
    <row r="1257" spans="1:35" x14ac:dyDescent="0.25">
      <c r="A1257" s="5">
        <v>33</v>
      </c>
      <c r="B1257" s="5" t="s">
        <v>35</v>
      </c>
      <c r="C1257" s="5" t="s">
        <v>36</v>
      </c>
      <c r="D1257" s="5">
        <v>211</v>
      </c>
      <c r="E1257" s="5" t="s">
        <v>37</v>
      </c>
      <c r="F1257" s="5">
        <v>16</v>
      </c>
      <c r="G1257" s="5">
        <v>3</v>
      </c>
      <c r="H1257" s="5" t="s">
        <v>38</v>
      </c>
      <c r="I1257" s="5">
        <v>1</v>
      </c>
      <c r="J1257" s="5">
        <v>1758</v>
      </c>
      <c r="K1257" s="5">
        <v>1</v>
      </c>
      <c r="L1257" s="5" t="s">
        <v>39</v>
      </c>
      <c r="M1257" s="5">
        <v>74</v>
      </c>
      <c r="N1257" s="5">
        <v>3</v>
      </c>
      <c r="O1257" s="5">
        <v>3</v>
      </c>
      <c r="P1257" s="5" t="s">
        <v>40</v>
      </c>
      <c r="Q1257" s="5">
        <v>1</v>
      </c>
      <c r="R1257" s="5" t="s">
        <v>41</v>
      </c>
      <c r="S1257" s="5">
        <v>8564</v>
      </c>
      <c r="T1257" s="5">
        <v>10092</v>
      </c>
      <c r="U1257" s="5">
        <v>2</v>
      </c>
      <c r="V1257" s="5" t="s">
        <v>42</v>
      </c>
      <c r="W1257" s="5" t="s">
        <v>35</v>
      </c>
      <c r="X1257" s="5">
        <v>20</v>
      </c>
      <c r="Y1257" s="5">
        <v>4</v>
      </c>
      <c r="Z1257" s="5">
        <v>3</v>
      </c>
      <c r="AA1257" s="5">
        <v>80</v>
      </c>
      <c r="AB1257" s="5">
        <v>0</v>
      </c>
      <c r="AC1257" s="5">
        <v>11</v>
      </c>
      <c r="AD1257" s="5">
        <v>2</v>
      </c>
      <c r="AE1257" s="5">
        <v>2</v>
      </c>
      <c r="AF1257" s="5">
        <v>0</v>
      </c>
      <c r="AG1257" s="5">
        <v>0</v>
      </c>
      <c r="AH1257" s="5">
        <v>0</v>
      </c>
      <c r="AI1257" s="5">
        <v>0</v>
      </c>
    </row>
    <row r="1258" spans="1:35" x14ac:dyDescent="0.25">
      <c r="A1258" s="5">
        <v>38</v>
      </c>
      <c r="B1258" s="5" t="s">
        <v>43</v>
      </c>
      <c r="C1258" s="5" t="s">
        <v>44</v>
      </c>
      <c r="D1258" s="5">
        <v>594</v>
      </c>
      <c r="E1258" s="5" t="s">
        <v>45</v>
      </c>
      <c r="F1258" s="5">
        <v>2</v>
      </c>
      <c r="G1258" s="5">
        <v>2</v>
      </c>
      <c r="H1258" s="5" t="s">
        <v>51</v>
      </c>
      <c r="I1258" s="5">
        <v>1</v>
      </c>
      <c r="J1258" s="5">
        <v>1760</v>
      </c>
      <c r="K1258" s="5">
        <v>3</v>
      </c>
      <c r="L1258" s="5" t="s">
        <v>39</v>
      </c>
      <c r="M1258" s="5">
        <v>75</v>
      </c>
      <c r="N1258" s="5">
        <v>2</v>
      </c>
      <c r="O1258" s="5">
        <v>1</v>
      </c>
      <c r="P1258" s="5" t="s">
        <v>50</v>
      </c>
      <c r="Q1258" s="5">
        <v>2</v>
      </c>
      <c r="R1258" s="5" t="s">
        <v>48</v>
      </c>
      <c r="S1258" s="5">
        <v>2468</v>
      </c>
      <c r="T1258" s="5">
        <v>15963</v>
      </c>
      <c r="U1258" s="5">
        <v>4</v>
      </c>
      <c r="V1258" s="5" t="s">
        <v>42</v>
      </c>
      <c r="W1258" s="5" t="s">
        <v>43</v>
      </c>
      <c r="X1258" s="5">
        <v>14</v>
      </c>
      <c r="Y1258" s="5">
        <v>3</v>
      </c>
      <c r="Z1258" s="5">
        <v>2</v>
      </c>
      <c r="AA1258" s="5">
        <v>80</v>
      </c>
      <c r="AB1258" s="5">
        <v>1</v>
      </c>
      <c r="AC1258" s="5">
        <v>9</v>
      </c>
      <c r="AD1258" s="5">
        <v>4</v>
      </c>
      <c r="AE1258" s="5">
        <v>2</v>
      </c>
      <c r="AF1258" s="5">
        <v>6</v>
      </c>
      <c r="AG1258" s="5">
        <v>1</v>
      </c>
      <c r="AH1258" s="5">
        <v>0</v>
      </c>
      <c r="AI1258" s="5">
        <v>5</v>
      </c>
    </row>
    <row r="1259" spans="1:35" x14ac:dyDescent="0.25">
      <c r="A1259" s="5">
        <v>31</v>
      </c>
      <c r="B1259" s="5" t="s">
        <v>35</v>
      </c>
      <c r="C1259" s="5" t="s">
        <v>36</v>
      </c>
      <c r="D1259" s="5">
        <v>1079</v>
      </c>
      <c r="E1259" s="5" t="s">
        <v>37</v>
      </c>
      <c r="F1259" s="5">
        <v>16</v>
      </c>
      <c r="G1259" s="5">
        <v>4</v>
      </c>
      <c r="H1259" s="5" t="s">
        <v>59</v>
      </c>
      <c r="I1259" s="5">
        <v>1</v>
      </c>
      <c r="J1259" s="5">
        <v>1761</v>
      </c>
      <c r="K1259" s="5">
        <v>1</v>
      </c>
      <c r="L1259" s="5" t="s">
        <v>46</v>
      </c>
      <c r="M1259" s="5">
        <v>70</v>
      </c>
      <c r="N1259" s="5">
        <v>3</v>
      </c>
      <c r="O1259" s="5">
        <v>3</v>
      </c>
      <c r="P1259" s="5" t="s">
        <v>40</v>
      </c>
      <c r="Q1259" s="5">
        <v>3</v>
      </c>
      <c r="R1259" s="5" t="s">
        <v>48</v>
      </c>
      <c r="S1259" s="5">
        <v>8161</v>
      </c>
      <c r="T1259" s="5">
        <v>19002</v>
      </c>
      <c r="U1259" s="5">
        <v>2</v>
      </c>
      <c r="V1259" s="5" t="s">
        <v>42</v>
      </c>
      <c r="W1259" s="5" t="s">
        <v>43</v>
      </c>
      <c r="X1259" s="5">
        <v>13</v>
      </c>
      <c r="Y1259" s="5">
        <v>3</v>
      </c>
      <c r="Z1259" s="5">
        <v>1</v>
      </c>
      <c r="AA1259" s="5">
        <v>80</v>
      </c>
      <c r="AB1259" s="5">
        <v>3</v>
      </c>
      <c r="AC1259" s="5">
        <v>10</v>
      </c>
      <c r="AD1259" s="5">
        <v>2</v>
      </c>
      <c r="AE1259" s="5">
        <v>3</v>
      </c>
      <c r="AF1259" s="5">
        <v>1</v>
      </c>
      <c r="AG1259" s="5">
        <v>0</v>
      </c>
      <c r="AH1259" s="5">
        <v>0</v>
      </c>
      <c r="AI1259" s="5">
        <v>0</v>
      </c>
    </row>
    <row r="1260" spans="1:35" x14ac:dyDescent="0.25">
      <c r="A1260" s="5">
        <v>29</v>
      </c>
      <c r="B1260" s="5" t="s">
        <v>43</v>
      </c>
      <c r="C1260" s="5" t="s">
        <v>36</v>
      </c>
      <c r="D1260" s="5">
        <v>590</v>
      </c>
      <c r="E1260" s="5" t="s">
        <v>45</v>
      </c>
      <c r="F1260" s="5">
        <v>4</v>
      </c>
      <c r="G1260" s="5">
        <v>3</v>
      </c>
      <c r="H1260" s="5" t="s">
        <v>60</v>
      </c>
      <c r="I1260" s="5">
        <v>1</v>
      </c>
      <c r="J1260" s="5">
        <v>1762</v>
      </c>
      <c r="K1260" s="5">
        <v>4</v>
      </c>
      <c r="L1260" s="5" t="s">
        <v>39</v>
      </c>
      <c r="M1260" s="5">
        <v>91</v>
      </c>
      <c r="N1260" s="5">
        <v>2</v>
      </c>
      <c r="O1260" s="5">
        <v>1</v>
      </c>
      <c r="P1260" s="5" t="s">
        <v>47</v>
      </c>
      <c r="Q1260" s="5">
        <v>1</v>
      </c>
      <c r="R1260" s="5" t="s">
        <v>52</v>
      </c>
      <c r="S1260" s="5">
        <v>2109</v>
      </c>
      <c r="T1260" s="5">
        <v>10007</v>
      </c>
      <c r="U1260" s="5">
        <v>1</v>
      </c>
      <c r="V1260" s="5" t="s">
        <v>42</v>
      </c>
      <c r="W1260" s="5" t="s">
        <v>43</v>
      </c>
      <c r="X1260" s="5">
        <v>13</v>
      </c>
      <c r="Y1260" s="5">
        <v>3</v>
      </c>
      <c r="Z1260" s="5">
        <v>3</v>
      </c>
      <c r="AA1260" s="5">
        <v>80</v>
      </c>
      <c r="AB1260" s="5">
        <v>1</v>
      </c>
      <c r="AC1260" s="5">
        <v>1</v>
      </c>
      <c r="AD1260" s="5">
        <v>2</v>
      </c>
      <c r="AE1260" s="5">
        <v>3</v>
      </c>
      <c r="AF1260" s="5">
        <v>1</v>
      </c>
      <c r="AG1260" s="5">
        <v>0</v>
      </c>
      <c r="AH1260" s="5">
        <v>0</v>
      </c>
      <c r="AI1260" s="5">
        <v>0</v>
      </c>
    </row>
    <row r="1261" spans="1:35" x14ac:dyDescent="0.25">
      <c r="A1261" s="5">
        <v>30</v>
      </c>
      <c r="B1261" s="5" t="s">
        <v>43</v>
      </c>
      <c r="C1261" s="5" t="s">
        <v>36</v>
      </c>
      <c r="D1261" s="5">
        <v>305</v>
      </c>
      <c r="E1261" s="5" t="s">
        <v>45</v>
      </c>
      <c r="F1261" s="5">
        <v>16</v>
      </c>
      <c r="G1261" s="5">
        <v>3</v>
      </c>
      <c r="H1261" s="5" t="s">
        <v>38</v>
      </c>
      <c r="I1261" s="5">
        <v>1</v>
      </c>
      <c r="J1261" s="5">
        <v>1763</v>
      </c>
      <c r="K1261" s="5">
        <v>3</v>
      </c>
      <c r="L1261" s="5" t="s">
        <v>46</v>
      </c>
      <c r="M1261" s="5">
        <v>58</v>
      </c>
      <c r="N1261" s="5">
        <v>4</v>
      </c>
      <c r="O1261" s="5">
        <v>2</v>
      </c>
      <c r="P1261" s="5" t="s">
        <v>54</v>
      </c>
      <c r="Q1261" s="5">
        <v>3</v>
      </c>
      <c r="R1261" s="5" t="s">
        <v>48</v>
      </c>
      <c r="S1261" s="5">
        <v>5294</v>
      </c>
      <c r="T1261" s="5">
        <v>9128</v>
      </c>
      <c r="U1261" s="5">
        <v>3</v>
      </c>
      <c r="V1261" s="5" t="s">
        <v>42</v>
      </c>
      <c r="W1261" s="5" t="s">
        <v>43</v>
      </c>
      <c r="X1261" s="5">
        <v>16</v>
      </c>
      <c r="Y1261" s="5">
        <v>3</v>
      </c>
      <c r="Z1261" s="5">
        <v>3</v>
      </c>
      <c r="AA1261" s="5">
        <v>80</v>
      </c>
      <c r="AB1261" s="5">
        <v>1</v>
      </c>
      <c r="AC1261" s="5">
        <v>10</v>
      </c>
      <c r="AD1261" s="5">
        <v>3</v>
      </c>
      <c r="AE1261" s="5">
        <v>3</v>
      </c>
      <c r="AF1261" s="5">
        <v>7</v>
      </c>
      <c r="AG1261" s="5">
        <v>0</v>
      </c>
      <c r="AH1261" s="5">
        <v>1</v>
      </c>
      <c r="AI1261" s="5">
        <v>7</v>
      </c>
    </row>
    <row r="1262" spans="1:35" x14ac:dyDescent="0.25">
      <c r="A1262" s="5">
        <v>32</v>
      </c>
      <c r="B1262" s="5" t="s">
        <v>43</v>
      </c>
      <c r="C1262" s="5" t="s">
        <v>55</v>
      </c>
      <c r="D1262" s="5">
        <v>953</v>
      </c>
      <c r="E1262" s="5" t="s">
        <v>45</v>
      </c>
      <c r="F1262" s="5">
        <v>5</v>
      </c>
      <c r="G1262" s="5">
        <v>4</v>
      </c>
      <c r="H1262" s="5" t="s">
        <v>60</v>
      </c>
      <c r="I1262" s="5">
        <v>1</v>
      </c>
      <c r="J1262" s="5">
        <v>1764</v>
      </c>
      <c r="K1262" s="5">
        <v>2</v>
      </c>
      <c r="L1262" s="5" t="s">
        <v>46</v>
      </c>
      <c r="M1262" s="5">
        <v>65</v>
      </c>
      <c r="N1262" s="5">
        <v>3</v>
      </c>
      <c r="O1262" s="5">
        <v>1</v>
      </c>
      <c r="P1262" s="5" t="s">
        <v>47</v>
      </c>
      <c r="Q1262" s="5">
        <v>2</v>
      </c>
      <c r="R1262" s="5" t="s">
        <v>41</v>
      </c>
      <c r="S1262" s="5">
        <v>2718</v>
      </c>
      <c r="T1262" s="5">
        <v>17674</v>
      </c>
      <c r="U1262" s="5">
        <v>2</v>
      </c>
      <c r="V1262" s="5" t="s">
        <v>42</v>
      </c>
      <c r="W1262" s="5" t="s">
        <v>43</v>
      </c>
      <c r="X1262" s="5">
        <v>14</v>
      </c>
      <c r="Y1262" s="5">
        <v>3</v>
      </c>
      <c r="Z1262" s="5">
        <v>2</v>
      </c>
      <c r="AA1262" s="5">
        <v>80</v>
      </c>
      <c r="AB1262" s="5">
        <v>0</v>
      </c>
      <c r="AC1262" s="5">
        <v>12</v>
      </c>
      <c r="AD1262" s="5">
        <v>3</v>
      </c>
      <c r="AE1262" s="5">
        <v>3</v>
      </c>
      <c r="AF1262" s="5">
        <v>7</v>
      </c>
      <c r="AG1262" s="5">
        <v>7</v>
      </c>
      <c r="AH1262" s="5">
        <v>0</v>
      </c>
      <c r="AI1262" s="5">
        <v>7</v>
      </c>
    </row>
    <row r="1263" spans="1:35" x14ac:dyDescent="0.25">
      <c r="A1263" s="5">
        <v>38</v>
      </c>
      <c r="B1263" s="5" t="s">
        <v>43</v>
      </c>
      <c r="C1263" s="5" t="s">
        <v>36</v>
      </c>
      <c r="D1263" s="5">
        <v>833</v>
      </c>
      <c r="E1263" s="5" t="s">
        <v>45</v>
      </c>
      <c r="F1263" s="5">
        <v>18</v>
      </c>
      <c r="G1263" s="5">
        <v>3</v>
      </c>
      <c r="H1263" s="5" t="s">
        <v>51</v>
      </c>
      <c r="I1263" s="5">
        <v>1</v>
      </c>
      <c r="J1263" s="5">
        <v>1766</v>
      </c>
      <c r="K1263" s="5">
        <v>2</v>
      </c>
      <c r="L1263" s="5" t="s">
        <v>46</v>
      </c>
      <c r="M1263" s="5">
        <v>60</v>
      </c>
      <c r="N1263" s="5">
        <v>1</v>
      </c>
      <c r="O1263" s="5">
        <v>2</v>
      </c>
      <c r="P1263" s="5" t="s">
        <v>54</v>
      </c>
      <c r="Q1263" s="5">
        <v>4</v>
      </c>
      <c r="R1263" s="5" t="s">
        <v>48</v>
      </c>
      <c r="S1263" s="5">
        <v>5811</v>
      </c>
      <c r="T1263" s="5">
        <v>24539</v>
      </c>
      <c r="U1263" s="5">
        <v>3</v>
      </c>
      <c r="V1263" s="5" t="s">
        <v>42</v>
      </c>
      <c r="W1263" s="5" t="s">
        <v>35</v>
      </c>
      <c r="X1263" s="5">
        <v>16</v>
      </c>
      <c r="Y1263" s="5">
        <v>3</v>
      </c>
      <c r="Z1263" s="5">
        <v>3</v>
      </c>
      <c r="AA1263" s="5">
        <v>80</v>
      </c>
      <c r="AB1263" s="5">
        <v>1</v>
      </c>
      <c r="AC1263" s="5">
        <v>15</v>
      </c>
      <c r="AD1263" s="5">
        <v>2</v>
      </c>
      <c r="AE1263" s="5">
        <v>3</v>
      </c>
      <c r="AF1263" s="5">
        <v>1</v>
      </c>
      <c r="AG1263" s="5">
        <v>0</v>
      </c>
      <c r="AH1263" s="5">
        <v>1</v>
      </c>
      <c r="AI1263" s="5">
        <v>0</v>
      </c>
    </row>
    <row r="1264" spans="1:35" x14ac:dyDescent="0.25">
      <c r="A1264" s="5">
        <v>43</v>
      </c>
      <c r="B1264" s="5" t="s">
        <v>35</v>
      </c>
      <c r="C1264" s="5" t="s">
        <v>44</v>
      </c>
      <c r="D1264" s="5">
        <v>807</v>
      </c>
      <c r="E1264" s="5" t="s">
        <v>45</v>
      </c>
      <c r="F1264" s="5">
        <v>17</v>
      </c>
      <c r="G1264" s="5">
        <v>3</v>
      </c>
      <c r="H1264" s="5" t="s">
        <v>60</v>
      </c>
      <c r="I1264" s="5">
        <v>1</v>
      </c>
      <c r="J1264" s="5">
        <v>1767</v>
      </c>
      <c r="K1264" s="5">
        <v>3</v>
      </c>
      <c r="L1264" s="5" t="s">
        <v>46</v>
      </c>
      <c r="M1264" s="5">
        <v>38</v>
      </c>
      <c r="N1264" s="5">
        <v>2</v>
      </c>
      <c r="O1264" s="5">
        <v>1</v>
      </c>
      <c r="P1264" s="5" t="s">
        <v>47</v>
      </c>
      <c r="Q1264" s="5">
        <v>3</v>
      </c>
      <c r="R1264" s="5" t="s">
        <v>48</v>
      </c>
      <c r="S1264" s="5">
        <v>2437</v>
      </c>
      <c r="T1264" s="5">
        <v>15587</v>
      </c>
      <c r="U1264" s="5">
        <v>9</v>
      </c>
      <c r="V1264" s="5" t="s">
        <v>42</v>
      </c>
      <c r="W1264" s="5" t="s">
        <v>35</v>
      </c>
      <c r="X1264" s="5">
        <v>16</v>
      </c>
      <c r="Y1264" s="5">
        <v>3</v>
      </c>
      <c r="Z1264" s="5">
        <v>4</v>
      </c>
      <c r="AA1264" s="5">
        <v>80</v>
      </c>
      <c r="AB1264" s="5">
        <v>1</v>
      </c>
      <c r="AC1264" s="5">
        <v>6</v>
      </c>
      <c r="AD1264" s="5">
        <v>4</v>
      </c>
      <c r="AE1264" s="5">
        <v>3</v>
      </c>
      <c r="AF1264" s="5">
        <v>1</v>
      </c>
      <c r="AG1264" s="5">
        <v>0</v>
      </c>
      <c r="AH1264" s="5">
        <v>0</v>
      </c>
      <c r="AI1264" s="5">
        <v>0</v>
      </c>
    </row>
    <row r="1265" spans="1:35" x14ac:dyDescent="0.25">
      <c r="A1265" s="5">
        <v>42</v>
      </c>
      <c r="B1265" s="5" t="s">
        <v>43</v>
      </c>
      <c r="C1265" s="5" t="s">
        <v>36</v>
      </c>
      <c r="D1265" s="5">
        <v>855</v>
      </c>
      <c r="E1265" s="5" t="s">
        <v>45</v>
      </c>
      <c r="F1265" s="5">
        <v>12</v>
      </c>
      <c r="G1265" s="5">
        <v>3</v>
      </c>
      <c r="H1265" s="5" t="s">
        <v>51</v>
      </c>
      <c r="I1265" s="5">
        <v>1</v>
      </c>
      <c r="J1265" s="5">
        <v>1768</v>
      </c>
      <c r="K1265" s="5">
        <v>2</v>
      </c>
      <c r="L1265" s="5" t="s">
        <v>46</v>
      </c>
      <c r="M1265" s="5">
        <v>57</v>
      </c>
      <c r="N1265" s="5">
        <v>3</v>
      </c>
      <c r="O1265" s="5">
        <v>1</v>
      </c>
      <c r="P1265" s="5" t="s">
        <v>50</v>
      </c>
      <c r="Q1265" s="5">
        <v>2</v>
      </c>
      <c r="R1265" s="5" t="s">
        <v>52</v>
      </c>
      <c r="S1265" s="5">
        <v>2766</v>
      </c>
      <c r="T1265" s="5">
        <v>8952</v>
      </c>
      <c r="U1265" s="5">
        <v>8</v>
      </c>
      <c r="V1265" s="5" t="s">
        <v>42</v>
      </c>
      <c r="W1265" s="5" t="s">
        <v>43</v>
      </c>
      <c r="X1265" s="5">
        <v>22</v>
      </c>
      <c r="Y1265" s="5">
        <v>4</v>
      </c>
      <c r="Z1265" s="5">
        <v>2</v>
      </c>
      <c r="AA1265" s="5">
        <v>80</v>
      </c>
      <c r="AB1265" s="5">
        <v>3</v>
      </c>
      <c r="AC1265" s="5">
        <v>7</v>
      </c>
      <c r="AD1265" s="5">
        <v>6</v>
      </c>
      <c r="AE1265" s="5">
        <v>2</v>
      </c>
      <c r="AF1265" s="5">
        <v>5</v>
      </c>
      <c r="AG1265" s="5">
        <v>3</v>
      </c>
      <c r="AH1265" s="5">
        <v>0</v>
      </c>
      <c r="AI1265" s="5">
        <v>4</v>
      </c>
    </row>
    <row r="1266" spans="1:35" x14ac:dyDescent="0.25">
      <c r="A1266" s="5">
        <v>55</v>
      </c>
      <c r="B1266" s="5" t="s">
        <v>43</v>
      </c>
      <c r="C1266" s="5" t="s">
        <v>36</v>
      </c>
      <c r="D1266" s="5">
        <v>478</v>
      </c>
      <c r="E1266" s="5" t="s">
        <v>45</v>
      </c>
      <c r="F1266" s="5">
        <v>2</v>
      </c>
      <c r="G1266" s="5">
        <v>3</v>
      </c>
      <c r="H1266" s="5" t="s">
        <v>51</v>
      </c>
      <c r="I1266" s="5">
        <v>1</v>
      </c>
      <c r="J1266" s="5">
        <v>1770</v>
      </c>
      <c r="K1266" s="5">
        <v>3</v>
      </c>
      <c r="L1266" s="5" t="s">
        <v>46</v>
      </c>
      <c r="M1266" s="5">
        <v>60</v>
      </c>
      <c r="N1266" s="5">
        <v>2</v>
      </c>
      <c r="O1266" s="5">
        <v>5</v>
      </c>
      <c r="P1266" s="5" t="s">
        <v>58</v>
      </c>
      <c r="Q1266" s="5">
        <v>1</v>
      </c>
      <c r="R1266" s="5" t="s">
        <v>48</v>
      </c>
      <c r="S1266" s="5">
        <v>19038</v>
      </c>
      <c r="T1266" s="5">
        <v>19805</v>
      </c>
      <c r="U1266" s="5">
        <v>8</v>
      </c>
      <c r="V1266" s="5" t="s">
        <v>42</v>
      </c>
      <c r="W1266" s="5" t="s">
        <v>43</v>
      </c>
      <c r="X1266" s="5">
        <v>12</v>
      </c>
      <c r="Y1266" s="5">
        <v>3</v>
      </c>
      <c r="Z1266" s="5">
        <v>2</v>
      </c>
      <c r="AA1266" s="5">
        <v>80</v>
      </c>
      <c r="AB1266" s="5">
        <v>3</v>
      </c>
      <c r="AC1266" s="5">
        <v>34</v>
      </c>
      <c r="AD1266" s="5">
        <v>2</v>
      </c>
      <c r="AE1266" s="5">
        <v>3</v>
      </c>
      <c r="AF1266" s="5">
        <v>1</v>
      </c>
      <c r="AG1266" s="5">
        <v>0</v>
      </c>
      <c r="AH1266" s="5">
        <v>0</v>
      </c>
      <c r="AI1266" s="5">
        <v>0</v>
      </c>
    </row>
    <row r="1267" spans="1:35" x14ac:dyDescent="0.25">
      <c r="A1267" s="5">
        <v>33</v>
      </c>
      <c r="B1267" s="5" t="s">
        <v>43</v>
      </c>
      <c r="C1267" s="5" t="s">
        <v>55</v>
      </c>
      <c r="D1267" s="5">
        <v>775</v>
      </c>
      <c r="E1267" s="5" t="s">
        <v>45</v>
      </c>
      <c r="F1267" s="5">
        <v>4</v>
      </c>
      <c r="G1267" s="5">
        <v>3</v>
      </c>
      <c r="H1267" s="5" t="s">
        <v>60</v>
      </c>
      <c r="I1267" s="5">
        <v>1</v>
      </c>
      <c r="J1267" s="5">
        <v>1771</v>
      </c>
      <c r="K1267" s="5">
        <v>4</v>
      </c>
      <c r="L1267" s="5" t="s">
        <v>46</v>
      </c>
      <c r="M1267" s="5">
        <v>90</v>
      </c>
      <c r="N1267" s="5">
        <v>3</v>
      </c>
      <c r="O1267" s="5">
        <v>2</v>
      </c>
      <c r="P1267" s="5" t="s">
        <v>47</v>
      </c>
      <c r="Q1267" s="5">
        <v>2</v>
      </c>
      <c r="R1267" s="5" t="s">
        <v>52</v>
      </c>
      <c r="S1267" s="5">
        <v>3055</v>
      </c>
      <c r="T1267" s="5">
        <v>6194</v>
      </c>
      <c r="U1267" s="5">
        <v>5</v>
      </c>
      <c r="V1267" s="5" t="s">
        <v>42</v>
      </c>
      <c r="W1267" s="5" t="s">
        <v>43</v>
      </c>
      <c r="X1267" s="5">
        <v>15</v>
      </c>
      <c r="Y1267" s="5">
        <v>3</v>
      </c>
      <c r="Z1267" s="5">
        <v>4</v>
      </c>
      <c r="AA1267" s="5">
        <v>80</v>
      </c>
      <c r="AB1267" s="5">
        <v>2</v>
      </c>
      <c r="AC1267" s="5">
        <v>11</v>
      </c>
      <c r="AD1267" s="5">
        <v>2</v>
      </c>
      <c r="AE1267" s="5">
        <v>2</v>
      </c>
      <c r="AF1267" s="5">
        <v>9</v>
      </c>
      <c r="AG1267" s="5">
        <v>8</v>
      </c>
      <c r="AH1267" s="5">
        <v>1</v>
      </c>
      <c r="AI1267" s="5">
        <v>7</v>
      </c>
    </row>
    <row r="1268" spans="1:35" x14ac:dyDescent="0.25">
      <c r="A1268" s="5">
        <v>41</v>
      </c>
      <c r="B1268" s="5" t="s">
        <v>43</v>
      </c>
      <c r="C1268" s="5" t="s">
        <v>36</v>
      </c>
      <c r="D1268" s="5">
        <v>548</v>
      </c>
      <c r="E1268" s="5" t="s">
        <v>45</v>
      </c>
      <c r="F1268" s="5">
        <v>9</v>
      </c>
      <c r="G1268" s="5">
        <v>4</v>
      </c>
      <c r="H1268" s="5" t="s">
        <v>38</v>
      </c>
      <c r="I1268" s="5">
        <v>1</v>
      </c>
      <c r="J1268" s="5">
        <v>1772</v>
      </c>
      <c r="K1268" s="5">
        <v>3</v>
      </c>
      <c r="L1268" s="5" t="s">
        <v>46</v>
      </c>
      <c r="M1268" s="5">
        <v>94</v>
      </c>
      <c r="N1268" s="5">
        <v>3</v>
      </c>
      <c r="O1268" s="5">
        <v>1</v>
      </c>
      <c r="P1268" s="5" t="s">
        <v>50</v>
      </c>
      <c r="Q1268" s="5">
        <v>1</v>
      </c>
      <c r="R1268" s="5" t="s">
        <v>52</v>
      </c>
      <c r="S1268" s="5">
        <v>2289</v>
      </c>
      <c r="T1268" s="5">
        <v>20520</v>
      </c>
      <c r="U1268" s="5">
        <v>1</v>
      </c>
      <c r="V1268" s="5" t="s">
        <v>42</v>
      </c>
      <c r="W1268" s="5" t="s">
        <v>43</v>
      </c>
      <c r="X1268" s="5">
        <v>20</v>
      </c>
      <c r="Y1268" s="5">
        <v>4</v>
      </c>
      <c r="Z1268" s="5">
        <v>2</v>
      </c>
      <c r="AA1268" s="5">
        <v>80</v>
      </c>
      <c r="AB1268" s="5">
        <v>2</v>
      </c>
      <c r="AC1268" s="5">
        <v>5</v>
      </c>
      <c r="AD1268" s="5">
        <v>2</v>
      </c>
      <c r="AE1268" s="5">
        <v>3</v>
      </c>
      <c r="AF1268" s="5">
        <v>5</v>
      </c>
      <c r="AG1268" s="5">
        <v>3</v>
      </c>
      <c r="AH1268" s="5">
        <v>0</v>
      </c>
      <c r="AI1268" s="5">
        <v>4</v>
      </c>
    </row>
    <row r="1269" spans="1:35" x14ac:dyDescent="0.25">
      <c r="A1269" s="5">
        <v>34</v>
      </c>
      <c r="B1269" s="5" t="s">
        <v>43</v>
      </c>
      <c r="C1269" s="5" t="s">
        <v>55</v>
      </c>
      <c r="D1269" s="5">
        <v>1375</v>
      </c>
      <c r="E1269" s="5" t="s">
        <v>37</v>
      </c>
      <c r="F1269" s="5">
        <v>10</v>
      </c>
      <c r="G1269" s="5">
        <v>3</v>
      </c>
      <c r="H1269" s="5" t="s">
        <v>38</v>
      </c>
      <c r="I1269" s="5">
        <v>1</v>
      </c>
      <c r="J1269" s="5">
        <v>1774</v>
      </c>
      <c r="K1269" s="5">
        <v>4</v>
      </c>
      <c r="L1269" s="5" t="s">
        <v>46</v>
      </c>
      <c r="M1269" s="5">
        <v>87</v>
      </c>
      <c r="N1269" s="5">
        <v>3</v>
      </c>
      <c r="O1269" s="5">
        <v>2</v>
      </c>
      <c r="P1269" s="5" t="s">
        <v>40</v>
      </c>
      <c r="Q1269" s="5">
        <v>3</v>
      </c>
      <c r="R1269" s="5" t="s">
        <v>52</v>
      </c>
      <c r="S1269" s="5">
        <v>4001</v>
      </c>
      <c r="T1269" s="5">
        <v>12313</v>
      </c>
      <c r="U1269" s="5">
        <v>1</v>
      </c>
      <c r="V1269" s="5" t="s">
        <v>42</v>
      </c>
      <c r="W1269" s="5" t="s">
        <v>35</v>
      </c>
      <c r="X1269" s="5">
        <v>14</v>
      </c>
      <c r="Y1269" s="5">
        <v>3</v>
      </c>
      <c r="Z1269" s="5">
        <v>3</v>
      </c>
      <c r="AA1269" s="5">
        <v>80</v>
      </c>
      <c r="AB1269" s="5">
        <v>1</v>
      </c>
      <c r="AC1269" s="5">
        <v>15</v>
      </c>
      <c r="AD1269" s="5">
        <v>3</v>
      </c>
      <c r="AE1269" s="5">
        <v>3</v>
      </c>
      <c r="AF1269" s="5">
        <v>15</v>
      </c>
      <c r="AG1269" s="5">
        <v>14</v>
      </c>
      <c r="AH1269" s="5">
        <v>0</v>
      </c>
      <c r="AI1269" s="5">
        <v>7</v>
      </c>
    </row>
    <row r="1270" spans="1:35" x14ac:dyDescent="0.25">
      <c r="A1270" s="5">
        <v>53</v>
      </c>
      <c r="B1270" s="5" t="s">
        <v>43</v>
      </c>
      <c r="C1270" s="5" t="s">
        <v>55</v>
      </c>
      <c r="D1270" s="5">
        <v>661</v>
      </c>
      <c r="E1270" s="5" t="s">
        <v>45</v>
      </c>
      <c r="F1270" s="5">
        <v>1</v>
      </c>
      <c r="G1270" s="5">
        <v>4</v>
      </c>
      <c r="H1270" s="5" t="s">
        <v>51</v>
      </c>
      <c r="I1270" s="5">
        <v>1</v>
      </c>
      <c r="J1270" s="5">
        <v>1775</v>
      </c>
      <c r="K1270" s="5">
        <v>1</v>
      </c>
      <c r="L1270" s="5" t="s">
        <v>39</v>
      </c>
      <c r="M1270" s="5">
        <v>60</v>
      </c>
      <c r="N1270" s="5">
        <v>2</v>
      </c>
      <c r="O1270" s="5">
        <v>4</v>
      </c>
      <c r="P1270" s="5" t="s">
        <v>53</v>
      </c>
      <c r="Q1270" s="5">
        <v>3</v>
      </c>
      <c r="R1270" s="5" t="s">
        <v>48</v>
      </c>
      <c r="S1270" s="5">
        <v>12965</v>
      </c>
      <c r="T1270" s="5">
        <v>22308</v>
      </c>
      <c r="U1270" s="5">
        <v>4</v>
      </c>
      <c r="V1270" s="5" t="s">
        <v>42</v>
      </c>
      <c r="W1270" s="5" t="s">
        <v>35</v>
      </c>
      <c r="X1270" s="5">
        <v>20</v>
      </c>
      <c r="Y1270" s="5">
        <v>4</v>
      </c>
      <c r="Z1270" s="5">
        <v>4</v>
      </c>
      <c r="AA1270" s="5">
        <v>80</v>
      </c>
      <c r="AB1270" s="5">
        <v>3</v>
      </c>
      <c r="AC1270" s="5">
        <v>27</v>
      </c>
      <c r="AD1270" s="5">
        <v>2</v>
      </c>
      <c r="AE1270" s="5">
        <v>2</v>
      </c>
      <c r="AF1270" s="5">
        <v>3</v>
      </c>
      <c r="AG1270" s="5">
        <v>2</v>
      </c>
      <c r="AH1270" s="5">
        <v>0</v>
      </c>
      <c r="AI1270" s="5">
        <v>2</v>
      </c>
    </row>
    <row r="1271" spans="1:35" x14ac:dyDescent="0.25">
      <c r="A1271" s="5">
        <v>43</v>
      </c>
      <c r="B1271" s="5" t="s">
        <v>43</v>
      </c>
      <c r="C1271" s="5" t="s">
        <v>36</v>
      </c>
      <c r="D1271" s="5">
        <v>244</v>
      </c>
      <c r="E1271" s="5" t="s">
        <v>61</v>
      </c>
      <c r="F1271" s="5">
        <v>2</v>
      </c>
      <c r="G1271" s="5">
        <v>3</v>
      </c>
      <c r="H1271" s="5" t="s">
        <v>38</v>
      </c>
      <c r="I1271" s="5">
        <v>1</v>
      </c>
      <c r="J1271" s="5">
        <v>1778</v>
      </c>
      <c r="K1271" s="5">
        <v>2</v>
      </c>
      <c r="L1271" s="5" t="s">
        <v>46</v>
      </c>
      <c r="M1271" s="5">
        <v>97</v>
      </c>
      <c r="N1271" s="5">
        <v>3</v>
      </c>
      <c r="O1271" s="5">
        <v>1</v>
      </c>
      <c r="P1271" s="5" t="s">
        <v>61</v>
      </c>
      <c r="Q1271" s="5">
        <v>4</v>
      </c>
      <c r="R1271" s="5" t="s">
        <v>41</v>
      </c>
      <c r="S1271" s="5">
        <v>3539</v>
      </c>
      <c r="T1271" s="5">
        <v>5033</v>
      </c>
      <c r="U1271" s="5">
        <v>0</v>
      </c>
      <c r="V1271" s="5" t="s">
        <v>42</v>
      </c>
      <c r="W1271" s="5" t="s">
        <v>43</v>
      </c>
      <c r="X1271" s="5">
        <v>13</v>
      </c>
      <c r="Y1271" s="5">
        <v>3</v>
      </c>
      <c r="Z1271" s="5">
        <v>2</v>
      </c>
      <c r="AA1271" s="5">
        <v>80</v>
      </c>
      <c r="AB1271" s="5">
        <v>0</v>
      </c>
      <c r="AC1271" s="5">
        <v>10</v>
      </c>
      <c r="AD1271" s="5">
        <v>5</v>
      </c>
      <c r="AE1271" s="5">
        <v>3</v>
      </c>
      <c r="AF1271" s="5">
        <v>9</v>
      </c>
      <c r="AG1271" s="5">
        <v>7</v>
      </c>
      <c r="AH1271" s="5">
        <v>1</v>
      </c>
      <c r="AI1271" s="5">
        <v>8</v>
      </c>
    </row>
    <row r="1272" spans="1:35" x14ac:dyDescent="0.25">
      <c r="A1272" s="5">
        <v>34</v>
      </c>
      <c r="B1272" s="5" t="s">
        <v>43</v>
      </c>
      <c r="C1272" s="5" t="s">
        <v>36</v>
      </c>
      <c r="D1272" s="5">
        <v>511</v>
      </c>
      <c r="E1272" s="5" t="s">
        <v>37</v>
      </c>
      <c r="F1272" s="5">
        <v>3</v>
      </c>
      <c r="G1272" s="5">
        <v>2</v>
      </c>
      <c r="H1272" s="5" t="s">
        <v>38</v>
      </c>
      <c r="I1272" s="5">
        <v>1</v>
      </c>
      <c r="J1272" s="5">
        <v>1779</v>
      </c>
      <c r="K1272" s="5">
        <v>4</v>
      </c>
      <c r="L1272" s="5" t="s">
        <v>39</v>
      </c>
      <c r="M1272" s="5">
        <v>32</v>
      </c>
      <c r="N1272" s="5">
        <v>1</v>
      </c>
      <c r="O1272" s="5">
        <v>2</v>
      </c>
      <c r="P1272" s="5" t="s">
        <v>40</v>
      </c>
      <c r="Q1272" s="5">
        <v>4</v>
      </c>
      <c r="R1272" s="5" t="s">
        <v>41</v>
      </c>
      <c r="S1272" s="5">
        <v>6029</v>
      </c>
      <c r="T1272" s="5">
        <v>25353</v>
      </c>
      <c r="U1272" s="5">
        <v>5</v>
      </c>
      <c r="V1272" s="5" t="s">
        <v>42</v>
      </c>
      <c r="W1272" s="5" t="s">
        <v>43</v>
      </c>
      <c r="X1272" s="5">
        <v>12</v>
      </c>
      <c r="Y1272" s="5">
        <v>3</v>
      </c>
      <c r="Z1272" s="5">
        <v>1</v>
      </c>
      <c r="AA1272" s="5">
        <v>80</v>
      </c>
      <c r="AB1272" s="5">
        <v>0</v>
      </c>
      <c r="AC1272" s="5">
        <v>6</v>
      </c>
      <c r="AD1272" s="5">
        <v>3</v>
      </c>
      <c r="AE1272" s="5">
        <v>3</v>
      </c>
      <c r="AF1272" s="5">
        <v>2</v>
      </c>
      <c r="AG1272" s="5">
        <v>2</v>
      </c>
      <c r="AH1272" s="5">
        <v>2</v>
      </c>
      <c r="AI1272" s="5">
        <v>2</v>
      </c>
    </row>
    <row r="1273" spans="1:35" x14ac:dyDescent="0.25">
      <c r="A1273" s="5">
        <v>21</v>
      </c>
      <c r="B1273" s="5" t="s">
        <v>35</v>
      </c>
      <c r="C1273" s="5" t="s">
        <v>36</v>
      </c>
      <c r="D1273" s="5">
        <v>337</v>
      </c>
      <c r="E1273" s="5" t="s">
        <v>37</v>
      </c>
      <c r="F1273" s="5">
        <v>7</v>
      </c>
      <c r="G1273" s="5">
        <v>1</v>
      </c>
      <c r="H1273" s="5" t="s">
        <v>59</v>
      </c>
      <c r="I1273" s="5">
        <v>1</v>
      </c>
      <c r="J1273" s="5">
        <v>1780</v>
      </c>
      <c r="K1273" s="5">
        <v>2</v>
      </c>
      <c r="L1273" s="5" t="s">
        <v>46</v>
      </c>
      <c r="M1273" s="5">
        <v>31</v>
      </c>
      <c r="N1273" s="5">
        <v>3</v>
      </c>
      <c r="O1273" s="5">
        <v>1</v>
      </c>
      <c r="P1273" s="5" t="s">
        <v>57</v>
      </c>
      <c r="Q1273" s="5">
        <v>2</v>
      </c>
      <c r="R1273" s="5" t="s">
        <v>41</v>
      </c>
      <c r="S1273" s="5">
        <v>2679</v>
      </c>
      <c r="T1273" s="5">
        <v>4567</v>
      </c>
      <c r="U1273" s="5">
        <v>1</v>
      </c>
      <c r="V1273" s="5" t="s">
        <v>42</v>
      </c>
      <c r="W1273" s="5" t="s">
        <v>43</v>
      </c>
      <c r="X1273" s="5">
        <v>13</v>
      </c>
      <c r="Y1273" s="5">
        <v>3</v>
      </c>
      <c r="Z1273" s="5">
        <v>2</v>
      </c>
      <c r="AA1273" s="5">
        <v>80</v>
      </c>
      <c r="AB1273" s="5">
        <v>0</v>
      </c>
      <c r="AC1273" s="5">
        <v>1</v>
      </c>
      <c r="AD1273" s="5">
        <v>3</v>
      </c>
      <c r="AE1273" s="5">
        <v>3</v>
      </c>
      <c r="AF1273" s="5">
        <v>1</v>
      </c>
      <c r="AG1273" s="5">
        <v>0</v>
      </c>
      <c r="AH1273" s="5">
        <v>1</v>
      </c>
      <c r="AI1273" s="5">
        <v>0</v>
      </c>
    </row>
    <row r="1274" spans="1:35" x14ac:dyDescent="0.25">
      <c r="A1274" s="5">
        <v>38</v>
      </c>
      <c r="B1274" s="5" t="s">
        <v>43</v>
      </c>
      <c r="C1274" s="5" t="s">
        <v>36</v>
      </c>
      <c r="D1274" s="5">
        <v>1153</v>
      </c>
      <c r="E1274" s="5" t="s">
        <v>45</v>
      </c>
      <c r="F1274" s="5">
        <v>6</v>
      </c>
      <c r="G1274" s="5">
        <v>2</v>
      </c>
      <c r="H1274" s="5" t="s">
        <v>49</v>
      </c>
      <c r="I1274" s="5">
        <v>1</v>
      </c>
      <c r="J1274" s="5">
        <v>1782</v>
      </c>
      <c r="K1274" s="5">
        <v>4</v>
      </c>
      <c r="L1274" s="5" t="s">
        <v>39</v>
      </c>
      <c r="M1274" s="5">
        <v>40</v>
      </c>
      <c r="N1274" s="5">
        <v>2</v>
      </c>
      <c r="O1274" s="5">
        <v>1</v>
      </c>
      <c r="P1274" s="5" t="s">
        <v>50</v>
      </c>
      <c r="Q1274" s="5">
        <v>3</v>
      </c>
      <c r="R1274" s="5" t="s">
        <v>48</v>
      </c>
      <c r="S1274" s="5">
        <v>3702</v>
      </c>
      <c r="T1274" s="5">
        <v>16376</v>
      </c>
      <c r="U1274" s="5">
        <v>1</v>
      </c>
      <c r="V1274" s="5" t="s">
        <v>42</v>
      </c>
      <c r="W1274" s="5" t="s">
        <v>43</v>
      </c>
      <c r="X1274" s="5">
        <v>11</v>
      </c>
      <c r="Y1274" s="5">
        <v>3</v>
      </c>
      <c r="Z1274" s="5">
        <v>2</v>
      </c>
      <c r="AA1274" s="5">
        <v>80</v>
      </c>
      <c r="AB1274" s="5">
        <v>1</v>
      </c>
      <c r="AC1274" s="5">
        <v>5</v>
      </c>
      <c r="AD1274" s="5">
        <v>3</v>
      </c>
      <c r="AE1274" s="5">
        <v>3</v>
      </c>
      <c r="AF1274" s="5">
        <v>5</v>
      </c>
      <c r="AG1274" s="5">
        <v>4</v>
      </c>
      <c r="AH1274" s="5">
        <v>0</v>
      </c>
      <c r="AI1274" s="5">
        <v>4</v>
      </c>
    </row>
    <row r="1275" spans="1:35" x14ac:dyDescent="0.25">
      <c r="A1275" s="5">
        <v>22</v>
      </c>
      <c r="B1275" s="5" t="s">
        <v>35</v>
      </c>
      <c r="C1275" s="5" t="s">
        <v>36</v>
      </c>
      <c r="D1275" s="5">
        <v>1294</v>
      </c>
      <c r="E1275" s="5" t="s">
        <v>45</v>
      </c>
      <c r="F1275" s="5">
        <v>8</v>
      </c>
      <c r="G1275" s="5">
        <v>1</v>
      </c>
      <c r="H1275" s="5" t="s">
        <v>51</v>
      </c>
      <c r="I1275" s="5">
        <v>1</v>
      </c>
      <c r="J1275" s="5">
        <v>1783</v>
      </c>
      <c r="K1275" s="5">
        <v>3</v>
      </c>
      <c r="L1275" s="5" t="s">
        <v>39</v>
      </c>
      <c r="M1275" s="5">
        <v>79</v>
      </c>
      <c r="N1275" s="5">
        <v>3</v>
      </c>
      <c r="O1275" s="5">
        <v>1</v>
      </c>
      <c r="P1275" s="5" t="s">
        <v>50</v>
      </c>
      <c r="Q1275" s="5">
        <v>1</v>
      </c>
      <c r="R1275" s="5" t="s">
        <v>48</v>
      </c>
      <c r="S1275" s="5">
        <v>2398</v>
      </c>
      <c r="T1275" s="5">
        <v>15999</v>
      </c>
      <c r="U1275" s="5">
        <v>1</v>
      </c>
      <c r="V1275" s="5" t="s">
        <v>42</v>
      </c>
      <c r="W1275" s="5" t="s">
        <v>35</v>
      </c>
      <c r="X1275" s="5">
        <v>17</v>
      </c>
      <c r="Y1275" s="5">
        <v>3</v>
      </c>
      <c r="Z1275" s="5">
        <v>3</v>
      </c>
      <c r="AA1275" s="5">
        <v>80</v>
      </c>
      <c r="AB1275" s="5">
        <v>0</v>
      </c>
      <c r="AC1275" s="5">
        <v>1</v>
      </c>
      <c r="AD1275" s="5">
        <v>6</v>
      </c>
      <c r="AE1275" s="5">
        <v>3</v>
      </c>
      <c r="AF1275" s="5">
        <v>1</v>
      </c>
      <c r="AG1275" s="5">
        <v>0</v>
      </c>
      <c r="AH1275" s="5">
        <v>0</v>
      </c>
      <c r="AI1275" s="5">
        <v>0</v>
      </c>
    </row>
    <row r="1276" spans="1:35" x14ac:dyDescent="0.25">
      <c r="A1276" s="5">
        <v>31</v>
      </c>
      <c r="B1276" s="5" t="s">
        <v>43</v>
      </c>
      <c r="C1276" s="5" t="s">
        <v>36</v>
      </c>
      <c r="D1276" s="5">
        <v>196</v>
      </c>
      <c r="E1276" s="5" t="s">
        <v>37</v>
      </c>
      <c r="F1276" s="5">
        <v>29</v>
      </c>
      <c r="G1276" s="5">
        <v>4</v>
      </c>
      <c r="H1276" s="5" t="s">
        <v>59</v>
      </c>
      <c r="I1276" s="5">
        <v>1</v>
      </c>
      <c r="J1276" s="5">
        <v>1784</v>
      </c>
      <c r="K1276" s="5">
        <v>1</v>
      </c>
      <c r="L1276" s="5" t="s">
        <v>39</v>
      </c>
      <c r="M1276" s="5">
        <v>91</v>
      </c>
      <c r="N1276" s="5">
        <v>2</v>
      </c>
      <c r="O1276" s="5">
        <v>2</v>
      </c>
      <c r="P1276" s="5" t="s">
        <v>40</v>
      </c>
      <c r="Q1276" s="5">
        <v>4</v>
      </c>
      <c r="R1276" s="5" t="s">
        <v>48</v>
      </c>
      <c r="S1276" s="5">
        <v>5468</v>
      </c>
      <c r="T1276" s="5">
        <v>13402</v>
      </c>
      <c r="U1276" s="5">
        <v>1</v>
      </c>
      <c r="V1276" s="5" t="s">
        <v>42</v>
      </c>
      <c r="W1276" s="5" t="s">
        <v>43</v>
      </c>
      <c r="X1276" s="5">
        <v>14</v>
      </c>
      <c r="Y1276" s="5">
        <v>3</v>
      </c>
      <c r="Z1276" s="5">
        <v>1</v>
      </c>
      <c r="AA1276" s="5">
        <v>80</v>
      </c>
      <c r="AB1276" s="5">
        <v>2</v>
      </c>
      <c r="AC1276" s="5">
        <v>13</v>
      </c>
      <c r="AD1276" s="5">
        <v>3</v>
      </c>
      <c r="AE1276" s="5">
        <v>3</v>
      </c>
      <c r="AF1276" s="5">
        <v>12</v>
      </c>
      <c r="AG1276" s="5">
        <v>7</v>
      </c>
      <c r="AH1276" s="5">
        <v>5</v>
      </c>
      <c r="AI1276" s="5">
        <v>7</v>
      </c>
    </row>
    <row r="1277" spans="1:35" x14ac:dyDescent="0.25">
      <c r="A1277" s="5">
        <v>51</v>
      </c>
      <c r="B1277" s="5" t="s">
        <v>43</v>
      </c>
      <c r="C1277" s="5" t="s">
        <v>36</v>
      </c>
      <c r="D1277" s="5">
        <v>942</v>
      </c>
      <c r="E1277" s="5" t="s">
        <v>45</v>
      </c>
      <c r="F1277" s="5">
        <v>3</v>
      </c>
      <c r="G1277" s="5">
        <v>3</v>
      </c>
      <c r="H1277" s="5" t="s">
        <v>60</v>
      </c>
      <c r="I1277" s="5">
        <v>1</v>
      </c>
      <c r="J1277" s="5">
        <v>1786</v>
      </c>
      <c r="K1277" s="5">
        <v>1</v>
      </c>
      <c r="L1277" s="5" t="s">
        <v>39</v>
      </c>
      <c r="M1277" s="5">
        <v>53</v>
      </c>
      <c r="N1277" s="5">
        <v>3</v>
      </c>
      <c r="O1277" s="5">
        <v>3</v>
      </c>
      <c r="P1277" s="5" t="s">
        <v>56</v>
      </c>
      <c r="Q1277" s="5">
        <v>3</v>
      </c>
      <c r="R1277" s="5" t="s">
        <v>48</v>
      </c>
      <c r="S1277" s="5">
        <v>13116</v>
      </c>
      <c r="T1277" s="5">
        <v>22984</v>
      </c>
      <c r="U1277" s="5">
        <v>2</v>
      </c>
      <c r="V1277" s="5" t="s">
        <v>42</v>
      </c>
      <c r="W1277" s="5" t="s">
        <v>43</v>
      </c>
      <c r="X1277" s="5">
        <v>11</v>
      </c>
      <c r="Y1277" s="5">
        <v>3</v>
      </c>
      <c r="Z1277" s="5">
        <v>4</v>
      </c>
      <c r="AA1277" s="5">
        <v>80</v>
      </c>
      <c r="AB1277" s="5">
        <v>0</v>
      </c>
      <c r="AC1277" s="5">
        <v>15</v>
      </c>
      <c r="AD1277" s="5">
        <v>2</v>
      </c>
      <c r="AE1277" s="5">
        <v>3</v>
      </c>
      <c r="AF1277" s="5">
        <v>2</v>
      </c>
      <c r="AG1277" s="5">
        <v>2</v>
      </c>
      <c r="AH1277" s="5">
        <v>2</v>
      </c>
      <c r="AI1277" s="5">
        <v>2</v>
      </c>
    </row>
    <row r="1278" spans="1:35" x14ac:dyDescent="0.25">
      <c r="A1278" s="5">
        <v>37</v>
      </c>
      <c r="B1278" s="5" t="s">
        <v>43</v>
      </c>
      <c r="C1278" s="5" t="s">
        <v>36</v>
      </c>
      <c r="D1278" s="5">
        <v>589</v>
      </c>
      <c r="E1278" s="5" t="s">
        <v>37</v>
      </c>
      <c r="F1278" s="5">
        <v>9</v>
      </c>
      <c r="G1278" s="5">
        <v>2</v>
      </c>
      <c r="H1278" s="5" t="s">
        <v>59</v>
      </c>
      <c r="I1278" s="5">
        <v>1</v>
      </c>
      <c r="J1278" s="5">
        <v>1787</v>
      </c>
      <c r="K1278" s="5">
        <v>2</v>
      </c>
      <c r="L1278" s="5" t="s">
        <v>46</v>
      </c>
      <c r="M1278" s="5">
        <v>46</v>
      </c>
      <c r="N1278" s="5">
        <v>2</v>
      </c>
      <c r="O1278" s="5">
        <v>2</v>
      </c>
      <c r="P1278" s="5" t="s">
        <v>40</v>
      </c>
      <c r="Q1278" s="5">
        <v>2</v>
      </c>
      <c r="R1278" s="5" t="s">
        <v>48</v>
      </c>
      <c r="S1278" s="5">
        <v>4189</v>
      </c>
      <c r="T1278" s="5">
        <v>8800</v>
      </c>
      <c r="U1278" s="5">
        <v>1</v>
      </c>
      <c r="V1278" s="5" t="s">
        <v>42</v>
      </c>
      <c r="W1278" s="5" t="s">
        <v>43</v>
      </c>
      <c r="X1278" s="5">
        <v>14</v>
      </c>
      <c r="Y1278" s="5">
        <v>3</v>
      </c>
      <c r="Z1278" s="5">
        <v>1</v>
      </c>
      <c r="AA1278" s="5">
        <v>80</v>
      </c>
      <c r="AB1278" s="5">
        <v>2</v>
      </c>
      <c r="AC1278" s="5">
        <v>5</v>
      </c>
      <c r="AD1278" s="5">
        <v>2</v>
      </c>
      <c r="AE1278" s="5">
        <v>3</v>
      </c>
      <c r="AF1278" s="5">
        <v>5</v>
      </c>
      <c r="AG1278" s="5">
        <v>2</v>
      </c>
      <c r="AH1278" s="5">
        <v>0</v>
      </c>
      <c r="AI1278" s="5">
        <v>3</v>
      </c>
    </row>
    <row r="1279" spans="1:35" x14ac:dyDescent="0.25">
      <c r="A1279" s="5">
        <v>46</v>
      </c>
      <c r="B1279" s="5" t="s">
        <v>43</v>
      </c>
      <c r="C1279" s="5" t="s">
        <v>36</v>
      </c>
      <c r="D1279" s="5">
        <v>734</v>
      </c>
      <c r="E1279" s="5" t="s">
        <v>45</v>
      </c>
      <c r="F1279" s="5">
        <v>2</v>
      </c>
      <c r="G1279" s="5">
        <v>4</v>
      </c>
      <c r="H1279" s="5" t="s">
        <v>51</v>
      </c>
      <c r="I1279" s="5">
        <v>1</v>
      </c>
      <c r="J1279" s="5">
        <v>1789</v>
      </c>
      <c r="K1279" s="5">
        <v>3</v>
      </c>
      <c r="L1279" s="5" t="s">
        <v>46</v>
      </c>
      <c r="M1279" s="5">
        <v>46</v>
      </c>
      <c r="N1279" s="5">
        <v>3</v>
      </c>
      <c r="O1279" s="5">
        <v>5</v>
      </c>
      <c r="P1279" s="5" t="s">
        <v>58</v>
      </c>
      <c r="Q1279" s="5">
        <v>4</v>
      </c>
      <c r="R1279" s="5" t="s">
        <v>52</v>
      </c>
      <c r="S1279" s="5">
        <v>19328</v>
      </c>
      <c r="T1279" s="5">
        <v>14218</v>
      </c>
      <c r="U1279" s="5">
        <v>7</v>
      </c>
      <c r="V1279" s="5" t="s">
        <v>42</v>
      </c>
      <c r="W1279" s="5" t="s">
        <v>35</v>
      </c>
      <c r="X1279" s="5">
        <v>17</v>
      </c>
      <c r="Y1279" s="5">
        <v>3</v>
      </c>
      <c r="Z1279" s="5">
        <v>3</v>
      </c>
      <c r="AA1279" s="5">
        <v>80</v>
      </c>
      <c r="AB1279" s="5">
        <v>1</v>
      </c>
      <c r="AC1279" s="5">
        <v>24</v>
      </c>
      <c r="AD1279" s="5">
        <v>3</v>
      </c>
      <c r="AE1279" s="5">
        <v>3</v>
      </c>
      <c r="AF1279" s="5">
        <v>2</v>
      </c>
      <c r="AG1279" s="5">
        <v>1</v>
      </c>
      <c r="AH1279" s="5">
        <v>2</v>
      </c>
      <c r="AI1279" s="5">
        <v>2</v>
      </c>
    </row>
    <row r="1280" spans="1:35" x14ac:dyDescent="0.25">
      <c r="A1280" s="5">
        <v>36</v>
      </c>
      <c r="B1280" s="5" t="s">
        <v>43</v>
      </c>
      <c r="C1280" s="5" t="s">
        <v>36</v>
      </c>
      <c r="D1280" s="5">
        <v>1383</v>
      </c>
      <c r="E1280" s="5" t="s">
        <v>45</v>
      </c>
      <c r="F1280" s="5">
        <v>10</v>
      </c>
      <c r="G1280" s="5">
        <v>3</v>
      </c>
      <c r="H1280" s="5" t="s">
        <v>38</v>
      </c>
      <c r="I1280" s="5">
        <v>1</v>
      </c>
      <c r="J1280" s="5">
        <v>1790</v>
      </c>
      <c r="K1280" s="5">
        <v>4</v>
      </c>
      <c r="L1280" s="5" t="s">
        <v>46</v>
      </c>
      <c r="M1280" s="5">
        <v>90</v>
      </c>
      <c r="N1280" s="5">
        <v>3</v>
      </c>
      <c r="O1280" s="5">
        <v>3</v>
      </c>
      <c r="P1280" s="5" t="s">
        <v>54</v>
      </c>
      <c r="Q1280" s="5">
        <v>1</v>
      </c>
      <c r="R1280" s="5" t="s">
        <v>48</v>
      </c>
      <c r="S1280" s="5">
        <v>8321</v>
      </c>
      <c r="T1280" s="5">
        <v>25949</v>
      </c>
      <c r="U1280" s="5">
        <v>7</v>
      </c>
      <c r="V1280" s="5" t="s">
        <v>42</v>
      </c>
      <c r="W1280" s="5" t="s">
        <v>35</v>
      </c>
      <c r="X1280" s="5">
        <v>13</v>
      </c>
      <c r="Y1280" s="5">
        <v>3</v>
      </c>
      <c r="Z1280" s="5">
        <v>4</v>
      </c>
      <c r="AA1280" s="5">
        <v>80</v>
      </c>
      <c r="AB1280" s="5">
        <v>1</v>
      </c>
      <c r="AC1280" s="5">
        <v>15</v>
      </c>
      <c r="AD1280" s="5">
        <v>1</v>
      </c>
      <c r="AE1280" s="5">
        <v>3</v>
      </c>
      <c r="AF1280" s="5">
        <v>12</v>
      </c>
      <c r="AG1280" s="5">
        <v>8</v>
      </c>
      <c r="AH1280" s="5">
        <v>5</v>
      </c>
      <c r="AI1280" s="5">
        <v>7</v>
      </c>
    </row>
    <row r="1281" spans="1:35" x14ac:dyDescent="0.25">
      <c r="A1281" s="5">
        <v>44</v>
      </c>
      <c r="B1281" s="5" t="s">
        <v>35</v>
      </c>
      <c r="C1281" s="5" t="s">
        <v>44</v>
      </c>
      <c r="D1281" s="5">
        <v>429</v>
      </c>
      <c r="E1281" s="5" t="s">
        <v>45</v>
      </c>
      <c r="F1281" s="5">
        <v>1</v>
      </c>
      <c r="G1281" s="5">
        <v>2</v>
      </c>
      <c r="H1281" s="5" t="s">
        <v>51</v>
      </c>
      <c r="I1281" s="5">
        <v>1</v>
      </c>
      <c r="J1281" s="5">
        <v>1792</v>
      </c>
      <c r="K1281" s="5">
        <v>3</v>
      </c>
      <c r="L1281" s="5" t="s">
        <v>46</v>
      </c>
      <c r="M1281" s="5">
        <v>99</v>
      </c>
      <c r="N1281" s="5">
        <v>3</v>
      </c>
      <c r="O1281" s="5">
        <v>1</v>
      </c>
      <c r="P1281" s="5" t="s">
        <v>47</v>
      </c>
      <c r="Q1281" s="5">
        <v>2</v>
      </c>
      <c r="R1281" s="5" t="s">
        <v>52</v>
      </c>
      <c r="S1281" s="5">
        <v>2342</v>
      </c>
      <c r="T1281" s="5">
        <v>11092</v>
      </c>
      <c r="U1281" s="5">
        <v>1</v>
      </c>
      <c r="V1281" s="5" t="s">
        <v>42</v>
      </c>
      <c r="W1281" s="5" t="s">
        <v>35</v>
      </c>
      <c r="X1281" s="5">
        <v>12</v>
      </c>
      <c r="Y1281" s="5">
        <v>3</v>
      </c>
      <c r="Z1281" s="5">
        <v>3</v>
      </c>
      <c r="AA1281" s="5">
        <v>80</v>
      </c>
      <c r="AB1281" s="5">
        <v>3</v>
      </c>
      <c r="AC1281" s="5">
        <v>6</v>
      </c>
      <c r="AD1281" s="5">
        <v>2</v>
      </c>
      <c r="AE1281" s="5">
        <v>2</v>
      </c>
      <c r="AF1281" s="5">
        <v>5</v>
      </c>
      <c r="AG1281" s="5">
        <v>3</v>
      </c>
      <c r="AH1281" s="5">
        <v>2</v>
      </c>
      <c r="AI1281" s="5">
        <v>3</v>
      </c>
    </row>
    <row r="1282" spans="1:35" x14ac:dyDescent="0.25">
      <c r="A1282" s="5">
        <v>37</v>
      </c>
      <c r="B1282" s="5" t="s">
        <v>43</v>
      </c>
      <c r="C1282" s="5" t="s">
        <v>36</v>
      </c>
      <c r="D1282" s="5">
        <v>1239</v>
      </c>
      <c r="E1282" s="5" t="s">
        <v>61</v>
      </c>
      <c r="F1282" s="5">
        <v>8</v>
      </c>
      <c r="G1282" s="5">
        <v>2</v>
      </c>
      <c r="H1282" s="5" t="s">
        <v>49</v>
      </c>
      <c r="I1282" s="5">
        <v>1</v>
      </c>
      <c r="J1282" s="5">
        <v>1794</v>
      </c>
      <c r="K1282" s="5">
        <v>3</v>
      </c>
      <c r="L1282" s="5" t="s">
        <v>46</v>
      </c>
      <c r="M1282" s="5">
        <v>89</v>
      </c>
      <c r="N1282" s="5">
        <v>3</v>
      </c>
      <c r="O1282" s="5">
        <v>2</v>
      </c>
      <c r="P1282" s="5" t="s">
        <v>61</v>
      </c>
      <c r="Q1282" s="5">
        <v>2</v>
      </c>
      <c r="R1282" s="5" t="s">
        <v>52</v>
      </c>
      <c r="S1282" s="5">
        <v>4071</v>
      </c>
      <c r="T1282" s="5">
        <v>12832</v>
      </c>
      <c r="U1282" s="5">
        <v>2</v>
      </c>
      <c r="V1282" s="5" t="s">
        <v>42</v>
      </c>
      <c r="W1282" s="5" t="s">
        <v>43</v>
      </c>
      <c r="X1282" s="5">
        <v>13</v>
      </c>
      <c r="Y1282" s="5">
        <v>3</v>
      </c>
      <c r="Z1282" s="5">
        <v>3</v>
      </c>
      <c r="AA1282" s="5">
        <v>80</v>
      </c>
      <c r="AB1282" s="5">
        <v>0</v>
      </c>
      <c r="AC1282" s="5">
        <v>19</v>
      </c>
      <c r="AD1282" s="5">
        <v>4</v>
      </c>
      <c r="AE1282" s="5">
        <v>2</v>
      </c>
      <c r="AF1282" s="5">
        <v>10</v>
      </c>
      <c r="AG1282" s="5">
        <v>0</v>
      </c>
      <c r="AH1282" s="5">
        <v>4</v>
      </c>
      <c r="AI1282" s="5">
        <v>7</v>
      </c>
    </row>
    <row r="1283" spans="1:35" x14ac:dyDescent="0.25">
      <c r="A1283" s="5">
        <v>35</v>
      </c>
      <c r="B1283" s="5" t="s">
        <v>35</v>
      </c>
      <c r="C1283" s="5" t="s">
        <v>36</v>
      </c>
      <c r="D1283" s="5">
        <v>303</v>
      </c>
      <c r="E1283" s="5" t="s">
        <v>37</v>
      </c>
      <c r="F1283" s="5">
        <v>27</v>
      </c>
      <c r="G1283" s="5">
        <v>3</v>
      </c>
      <c r="H1283" s="5" t="s">
        <v>38</v>
      </c>
      <c r="I1283" s="5">
        <v>1</v>
      </c>
      <c r="J1283" s="5">
        <v>1797</v>
      </c>
      <c r="K1283" s="5">
        <v>3</v>
      </c>
      <c r="L1283" s="5" t="s">
        <v>46</v>
      </c>
      <c r="M1283" s="5">
        <v>84</v>
      </c>
      <c r="N1283" s="5">
        <v>3</v>
      </c>
      <c r="O1283" s="5">
        <v>2</v>
      </c>
      <c r="P1283" s="5" t="s">
        <v>40</v>
      </c>
      <c r="Q1283" s="5">
        <v>4</v>
      </c>
      <c r="R1283" s="5" t="s">
        <v>41</v>
      </c>
      <c r="S1283" s="5">
        <v>5813</v>
      </c>
      <c r="T1283" s="5">
        <v>13492</v>
      </c>
      <c r="U1283" s="5">
        <v>1</v>
      </c>
      <c r="V1283" s="5" t="s">
        <v>42</v>
      </c>
      <c r="W1283" s="5" t="s">
        <v>35</v>
      </c>
      <c r="X1283" s="5">
        <v>18</v>
      </c>
      <c r="Y1283" s="5">
        <v>3</v>
      </c>
      <c r="Z1283" s="5">
        <v>4</v>
      </c>
      <c r="AA1283" s="5">
        <v>80</v>
      </c>
      <c r="AB1283" s="5">
        <v>0</v>
      </c>
      <c r="AC1283" s="5">
        <v>10</v>
      </c>
      <c r="AD1283" s="5">
        <v>2</v>
      </c>
      <c r="AE1283" s="5">
        <v>3</v>
      </c>
      <c r="AF1283" s="5">
        <v>10</v>
      </c>
      <c r="AG1283" s="5">
        <v>7</v>
      </c>
      <c r="AH1283" s="5">
        <v>7</v>
      </c>
      <c r="AI1283" s="5">
        <v>7</v>
      </c>
    </row>
    <row r="1284" spans="1:35" x14ac:dyDescent="0.25">
      <c r="A1284" s="5">
        <v>33</v>
      </c>
      <c r="B1284" s="5" t="s">
        <v>43</v>
      </c>
      <c r="C1284" s="5" t="s">
        <v>36</v>
      </c>
      <c r="D1284" s="5">
        <v>867</v>
      </c>
      <c r="E1284" s="5" t="s">
        <v>45</v>
      </c>
      <c r="F1284" s="5">
        <v>8</v>
      </c>
      <c r="G1284" s="5">
        <v>4</v>
      </c>
      <c r="H1284" s="5" t="s">
        <v>38</v>
      </c>
      <c r="I1284" s="5">
        <v>1</v>
      </c>
      <c r="J1284" s="5">
        <v>1798</v>
      </c>
      <c r="K1284" s="5">
        <v>4</v>
      </c>
      <c r="L1284" s="5" t="s">
        <v>46</v>
      </c>
      <c r="M1284" s="5">
        <v>90</v>
      </c>
      <c r="N1284" s="5">
        <v>4</v>
      </c>
      <c r="O1284" s="5">
        <v>1</v>
      </c>
      <c r="P1284" s="5" t="s">
        <v>47</v>
      </c>
      <c r="Q1284" s="5">
        <v>1</v>
      </c>
      <c r="R1284" s="5" t="s">
        <v>48</v>
      </c>
      <c r="S1284" s="5">
        <v>3143</v>
      </c>
      <c r="T1284" s="5">
        <v>6076</v>
      </c>
      <c r="U1284" s="5">
        <v>6</v>
      </c>
      <c r="V1284" s="5" t="s">
        <v>42</v>
      </c>
      <c r="W1284" s="5" t="s">
        <v>43</v>
      </c>
      <c r="X1284" s="5">
        <v>19</v>
      </c>
      <c r="Y1284" s="5">
        <v>3</v>
      </c>
      <c r="Z1284" s="5">
        <v>2</v>
      </c>
      <c r="AA1284" s="5">
        <v>80</v>
      </c>
      <c r="AB1284" s="5">
        <v>1</v>
      </c>
      <c r="AC1284" s="5">
        <v>14</v>
      </c>
      <c r="AD1284" s="5">
        <v>1</v>
      </c>
      <c r="AE1284" s="5">
        <v>3</v>
      </c>
      <c r="AF1284" s="5">
        <v>10</v>
      </c>
      <c r="AG1284" s="5">
        <v>8</v>
      </c>
      <c r="AH1284" s="5">
        <v>7</v>
      </c>
      <c r="AI1284" s="5">
        <v>6</v>
      </c>
    </row>
    <row r="1285" spans="1:35" x14ac:dyDescent="0.25">
      <c r="A1285" s="5">
        <v>28</v>
      </c>
      <c r="B1285" s="5" t="s">
        <v>43</v>
      </c>
      <c r="C1285" s="5" t="s">
        <v>36</v>
      </c>
      <c r="D1285" s="5">
        <v>1181</v>
      </c>
      <c r="E1285" s="5" t="s">
        <v>45</v>
      </c>
      <c r="F1285" s="5">
        <v>1</v>
      </c>
      <c r="G1285" s="5">
        <v>3</v>
      </c>
      <c r="H1285" s="5" t="s">
        <v>38</v>
      </c>
      <c r="I1285" s="5">
        <v>1</v>
      </c>
      <c r="J1285" s="5">
        <v>1799</v>
      </c>
      <c r="K1285" s="5">
        <v>3</v>
      </c>
      <c r="L1285" s="5" t="s">
        <v>46</v>
      </c>
      <c r="M1285" s="5">
        <v>82</v>
      </c>
      <c r="N1285" s="5">
        <v>3</v>
      </c>
      <c r="O1285" s="5">
        <v>1</v>
      </c>
      <c r="P1285" s="5" t="s">
        <v>47</v>
      </c>
      <c r="Q1285" s="5">
        <v>4</v>
      </c>
      <c r="R1285" s="5" t="s">
        <v>48</v>
      </c>
      <c r="S1285" s="5">
        <v>2044</v>
      </c>
      <c r="T1285" s="5">
        <v>5531</v>
      </c>
      <c r="U1285" s="5">
        <v>1</v>
      </c>
      <c r="V1285" s="5" t="s">
        <v>42</v>
      </c>
      <c r="W1285" s="5" t="s">
        <v>43</v>
      </c>
      <c r="X1285" s="5">
        <v>11</v>
      </c>
      <c r="Y1285" s="5">
        <v>3</v>
      </c>
      <c r="Z1285" s="5">
        <v>3</v>
      </c>
      <c r="AA1285" s="5">
        <v>80</v>
      </c>
      <c r="AB1285" s="5">
        <v>1</v>
      </c>
      <c r="AC1285" s="5">
        <v>5</v>
      </c>
      <c r="AD1285" s="5">
        <v>6</v>
      </c>
      <c r="AE1285" s="5">
        <v>4</v>
      </c>
      <c r="AF1285" s="5">
        <v>5</v>
      </c>
      <c r="AG1285" s="5">
        <v>3</v>
      </c>
      <c r="AH1285" s="5">
        <v>0</v>
      </c>
      <c r="AI1285" s="5">
        <v>3</v>
      </c>
    </row>
    <row r="1286" spans="1:35" x14ac:dyDescent="0.25">
      <c r="A1286" s="5">
        <v>39</v>
      </c>
      <c r="B1286" s="5" t="s">
        <v>43</v>
      </c>
      <c r="C1286" s="5" t="s">
        <v>36</v>
      </c>
      <c r="D1286" s="5">
        <v>1253</v>
      </c>
      <c r="E1286" s="5" t="s">
        <v>45</v>
      </c>
      <c r="F1286" s="5">
        <v>10</v>
      </c>
      <c r="G1286" s="5">
        <v>1</v>
      </c>
      <c r="H1286" s="5" t="s">
        <v>51</v>
      </c>
      <c r="I1286" s="5">
        <v>1</v>
      </c>
      <c r="J1286" s="5">
        <v>1800</v>
      </c>
      <c r="K1286" s="5">
        <v>3</v>
      </c>
      <c r="L1286" s="5" t="s">
        <v>46</v>
      </c>
      <c r="M1286" s="5">
        <v>65</v>
      </c>
      <c r="N1286" s="5">
        <v>3</v>
      </c>
      <c r="O1286" s="5">
        <v>3</v>
      </c>
      <c r="P1286" s="5" t="s">
        <v>58</v>
      </c>
      <c r="Q1286" s="5">
        <v>3</v>
      </c>
      <c r="R1286" s="5" t="s">
        <v>41</v>
      </c>
      <c r="S1286" s="5">
        <v>13464</v>
      </c>
      <c r="T1286" s="5">
        <v>7914</v>
      </c>
      <c r="U1286" s="5">
        <v>7</v>
      </c>
      <c r="V1286" s="5" t="s">
        <v>42</v>
      </c>
      <c r="W1286" s="5" t="s">
        <v>43</v>
      </c>
      <c r="X1286" s="5">
        <v>21</v>
      </c>
      <c r="Y1286" s="5">
        <v>4</v>
      </c>
      <c r="Z1286" s="5">
        <v>3</v>
      </c>
      <c r="AA1286" s="5">
        <v>80</v>
      </c>
      <c r="AB1286" s="5">
        <v>0</v>
      </c>
      <c r="AC1286" s="5">
        <v>9</v>
      </c>
      <c r="AD1286" s="5">
        <v>3</v>
      </c>
      <c r="AE1286" s="5">
        <v>3</v>
      </c>
      <c r="AF1286" s="5">
        <v>4</v>
      </c>
      <c r="AG1286" s="5">
        <v>3</v>
      </c>
      <c r="AH1286" s="5">
        <v>2</v>
      </c>
      <c r="AI1286" s="5">
        <v>2</v>
      </c>
    </row>
    <row r="1287" spans="1:35" x14ac:dyDescent="0.25">
      <c r="A1287" s="5">
        <v>46</v>
      </c>
      <c r="B1287" s="5" t="s">
        <v>43</v>
      </c>
      <c r="C1287" s="5" t="s">
        <v>55</v>
      </c>
      <c r="D1287" s="5">
        <v>849</v>
      </c>
      <c r="E1287" s="5" t="s">
        <v>37</v>
      </c>
      <c r="F1287" s="5">
        <v>26</v>
      </c>
      <c r="G1287" s="5">
        <v>2</v>
      </c>
      <c r="H1287" s="5" t="s">
        <v>38</v>
      </c>
      <c r="I1287" s="5">
        <v>1</v>
      </c>
      <c r="J1287" s="5">
        <v>1801</v>
      </c>
      <c r="K1287" s="5">
        <v>2</v>
      </c>
      <c r="L1287" s="5" t="s">
        <v>46</v>
      </c>
      <c r="M1287" s="5">
        <v>98</v>
      </c>
      <c r="N1287" s="5">
        <v>2</v>
      </c>
      <c r="O1287" s="5">
        <v>2</v>
      </c>
      <c r="P1287" s="5" t="s">
        <v>40</v>
      </c>
      <c r="Q1287" s="5">
        <v>2</v>
      </c>
      <c r="R1287" s="5" t="s">
        <v>41</v>
      </c>
      <c r="S1287" s="5">
        <v>7991</v>
      </c>
      <c r="T1287" s="5">
        <v>25166</v>
      </c>
      <c r="U1287" s="5">
        <v>8</v>
      </c>
      <c r="V1287" s="5" t="s">
        <v>42</v>
      </c>
      <c r="W1287" s="5" t="s">
        <v>43</v>
      </c>
      <c r="X1287" s="5">
        <v>15</v>
      </c>
      <c r="Y1287" s="5">
        <v>3</v>
      </c>
      <c r="Z1287" s="5">
        <v>3</v>
      </c>
      <c r="AA1287" s="5">
        <v>80</v>
      </c>
      <c r="AB1287" s="5">
        <v>0</v>
      </c>
      <c r="AC1287" s="5">
        <v>6</v>
      </c>
      <c r="AD1287" s="5">
        <v>3</v>
      </c>
      <c r="AE1287" s="5">
        <v>3</v>
      </c>
      <c r="AF1287" s="5">
        <v>2</v>
      </c>
      <c r="AG1287" s="5">
        <v>2</v>
      </c>
      <c r="AH1287" s="5">
        <v>2</v>
      </c>
      <c r="AI1287" s="5">
        <v>2</v>
      </c>
    </row>
    <row r="1288" spans="1:35" x14ac:dyDescent="0.25">
      <c r="A1288" s="5">
        <v>40</v>
      </c>
      <c r="B1288" s="5" t="s">
        <v>43</v>
      </c>
      <c r="C1288" s="5" t="s">
        <v>36</v>
      </c>
      <c r="D1288" s="5">
        <v>616</v>
      </c>
      <c r="E1288" s="5" t="s">
        <v>45</v>
      </c>
      <c r="F1288" s="5">
        <v>2</v>
      </c>
      <c r="G1288" s="5">
        <v>2</v>
      </c>
      <c r="H1288" s="5" t="s">
        <v>38</v>
      </c>
      <c r="I1288" s="5">
        <v>1</v>
      </c>
      <c r="J1288" s="5">
        <v>1802</v>
      </c>
      <c r="K1288" s="5">
        <v>3</v>
      </c>
      <c r="L1288" s="5" t="s">
        <v>39</v>
      </c>
      <c r="M1288" s="5">
        <v>99</v>
      </c>
      <c r="N1288" s="5">
        <v>3</v>
      </c>
      <c r="O1288" s="5">
        <v>1</v>
      </c>
      <c r="P1288" s="5" t="s">
        <v>50</v>
      </c>
      <c r="Q1288" s="5">
        <v>1</v>
      </c>
      <c r="R1288" s="5" t="s">
        <v>48</v>
      </c>
      <c r="S1288" s="5">
        <v>3377</v>
      </c>
      <c r="T1288" s="5">
        <v>25605</v>
      </c>
      <c r="U1288" s="5">
        <v>4</v>
      </c>
      <c r="V1288" s="5" t="s">
        <v>42</v>
      </c>
      <c r="W1288" s="5" t="s">
        <v>43</v>
      </c>
      <c r="X1288" s="5">
        <v>17</v>
      </c>
      <c r="Y1288" s="5">
        <v>3</v>
      </c>
      <c r="Z1288" s="5">
        <v>4</v>
      </c>
      <c r="AA1288" s="5">
        <v>80</v>
      </c>
      <c r="AB1288" s="5">
        <v>1</v>
      </c>
      <c r="AC1288" s="5">
        <v>7</v>
      </c>
      <c r="AD1288" s="5">
        <v>5</v>
      </c>
      <c r="AE1288" s="5">
        <v>2</v>
      </c>
      <c r="AF1288" s="5">
        <v>4</v>
      </c>
      <c r="AG1288" s="5">
        <v>3</v>
      </c>
      <c r="AH1288" s="5">
        <v>0</v>
      </c>
      <c r="AI1288" s="5">
        <v>2</v>
      </c>
    </row>
    <row r="1289" spans="1:35" x14ac:dyDescent="0.25">
      <c r="A1289" s="5">
        <v>42</v>
      </c>
      <c r="B1289" s="5" t="s">
        <v>43</v>
      </c>
      <c r="C1289" s="5" t="s">
        <v>36</v>
      </c>
      <c r="D1289" s="5">
        <v>1128</v>
      </c>
      <c r="E1289" s="5" t="s">
        <v>45</v>
      </c>
      <c r="F1289" s="5">
        <v>13</v>
      </c>
      <c r="G1289" s="5">
        <v>3</v>
      </c>
      <c r="H1289" s="5" t="s">
        <v>51</v>
      </c>
      <c r="I1289" s="5">
        <v>1</v>
      </c>
      <c r="J1289" s="5">
        <v>1803</v>
      </c>
      <c r="K1289" s="5">
        <v>2</v>
      </c>
      <c r="L1289" s="5" t="s">
        <v>46</v>
      </c>
      <c r="M1289" s="5">
        <v>95</v>
      </c>
      <c r="N1289" s="5">
        <v>4</v>
      </c>
      <c r="O1289" s="5">
        <v>2</v>
      </c>
      <c r="P1289" s="5" t="s">
        <v>54</v>
      </c>
      <c r="Q1289" s="5">
        <v>1</v>
      </c>
      <c r="R1289" s="5" t="s">
        <v>48</v>
      </c>
      <c r="S1289" s="5">
        <v>5538</v>
      </c>
      <c r="T1289" s="5">
        <v>5696</v>
      </c>
      <c r="U1289" s="5">
        <v>5</v>
      </c>
      <c r="V1289" s="5" t="s">
        <v>42</v>
      </c>
      <c r="W1289" s="5" t="s">
        <v>43</v>
      </c>
      <c r="X1289" s="5">
        <v>18</v>
      </c>
      <c r="Y1289" s="5">
        <v>3</v>
      </c>
      <c r="Z1289" s="5">
        <v>3</v>
      </c>
      <c r="AA1289" s="5">
        <v>80</v>
      </c>
      <c r="AB1289" s="5">
        <v>2</v>
      </c>
      <c r="AC1289" s="5">
        <v>10</v>
      </c>
      <c r="AD1289" s="5">
        <v>2</v>
      </c>
      <c r="AE1289" s="5">
        <v>2</v>
      </c>
      <c r="AF1289" s="5">
        <v>0</v>
      </c>
      <c r="AG1289" s="5">
        <v>0</v>
      </c>
      <c r="AH1289" s="5">
        <v>0</v>
      </c>
      <c r="AI1289" s="5">
        <v>0</v>
      </c>
    </row>
    <row r="1290" spans="1:35" x14ac:dyDescent="0.25">
      <c r="A1290" s="5">
        <v>35</v>
      </c>
      <c r="B1290" s="5" t="s">
        <v>43</v>
      </c>
      <c r="C1290" s="5" t="s">
        <v>55</v>
      </c>
      <c r="D1290" s="5">
        <v>1180</v>
      </c>
      <c r="E1290" s="5" t="s">
        <v>45</v>
      </c>
      <c r="F1290" s="5">
        <v>2</v>
      </c>
      <c r="G1290" s="5">
        <v>2</v>
      </c>
      <c r="H1290" s="5" t="s">
        <v>51</v>
      </c>
      <c r="I1290" s="5">
        <v>1</v>
      </c>
      <c r="J1290" s="5">
        <v>1804</v>
      </c>
      <c r="K1290" s="5">
        <v>2</v>
      </c>
      <c r="L1290" s="5" t="s">
        <v>46</v>
      </c>
      <c r="M1290" s="5">
        <v>90</v>
      </c>
      <c r="N1290" s="5">
        <v>3</v>
      </c>
      <c r="O1290" s="5">
        <v>2</v>
      </c>
      <c r="P1290" s="5" t="s">
        <v>53</v>
      </c>
      <c r="Q1290" s="5">
        <v>4</v>
      </c>
      <c r="R1290" s="5" t="s">
        <v>52</v>
      </c>
      <c r="S1290" s="5">
        <v>5762</v>
      </c>
      <c r="T1290" s="5">
        <v>24442</v>
      </c>
      <c r="U1290" s="5">
        <v>2</v>
      </c>
      <c r="V1290" s="5" t="s">
        <v>42</v>
      </c>
      <c r="W1290" s="5" t="s">
        <v>43</v>
      </c>
      <c r="X1290" s="5">
        <v>14</v>
      </c>
      <c r="Y1290" s="5">
        <v>3</v>
      </c>
      <c r="Z1290" s="5">
        <v>3</v>
      </c>
      <c r="AA1290" s="5">
        <v>80</v>
      </c>
      <c r="AB1290" s="5">
        <v>1</v>
      </c>
      <c r="AC1290" s="5">
        <v>15</v>
      </c>
      <c r="AD1290" s="5">
        <v>6</v>
      </c>
      <c r="AE1290" s="5">
        <v>3</v>
      </c>
      <c r="AF1290" s="5">
        <v>7</v>
      </c>
      <c r="AG1290" s="5">
        <v>7</v>
      </c>
      <c r="AH1290" s="5">
        <v>1</v>
      </c>
      <c r="AI1290" s="5">
        <v>7</v>
      </c>
    </row>
    <row r="1291" spans="1:35" x14ac:dyDescent="0.25">
      <c r="A1291" s="5">
        <v>38</v>
      </c>
      <c r="B1291" s="5" t="s">
        <v>43</v>
      </c>
      <c r="C1291" s="5" t="s">
        <v>55</v>
      </c>
      <c r="D1291" s="5">
        <v>1336</v>
      </c>
      <c r="E1291" s="5" t="s">
        <v>61</v>
      </c>
      <c r="F1291" s="5">
        <v>2</v>
      </c>
      <c r="G1291" s="5">
        <v>3</v>
      </c>
      <c r="H1291" s="5" t="s">
        <v>61</v>
      </c>
      <c r="I1291" s="5">
        <v>1</v>
      </c>
      <c r="J1291" s="5">
        <v>1805</v>
      </c>
      <c r="K1291" s="5">
        <v>1</v>
      </c>
      <c r="L1291" s="5" t="s">
        <v>46</v>
      </c>
      <c r="M1291" s="5">
        <v>100</v>
      </c>
      <c r="N1291" s="5">
        <v>3</v>
      </c>
      <c r="O1291" s="5">
        <v>1</v>
      </c>
      <c r="P1291" s="5" t="s">
        <v>61</v>
      </c>
      <c r="Q1291" s="5">
        <v>2</v>
      </c>
      <c r="R1291" s="5" t="s">
        <v>52</v>
      </c>
      <c r="S1291" s="5">
        <v>2592</v>
      </c>
      <c r="T1291" s="5">
        <v>7129</v>
      </c>
      <c r="U1291" s="5">
        <v>5</v>
      </c>
      <c r="V1291" s="5" t="s">
        <v>42</v>
      </c>
      <c r="W1291" s="5" t="s">
        <v>43</v>
      </c>
      <c r="X1291" s="5">
        <v>13</v>
      </c>
      <c r="Y1291" s="5">
        <v>3</v>
      </c>
      <c r="Z1291" s="5">
        <v>4</v>
      </c>
      <c r="AA1291" s="5">
        <v>80</v>
      </c>
      <c r="AB1291" s="5">
        <v>3</v>
      </c>
      <c r="AC1291" s="5">
        <v>13</v>
      </c>
      <c r="AD1291" s="5">
        <v>3</v>
      </c>
      <c r="AE1291" s="5">
        <v>3</v>
      </c>
      <c r="AF1291" s="5">
        <v>11</v>
      </c>
      <c r="AG1291" s="5">
        <v>10</v>
      </c>
      <c r="AH1291" s="5">
        <v>3</v>
      </c>
      <c r="AI1291" s="5">
        <v>8</v>
      </c>
    </row>
    <row r="1292" spans="1:35" x14ac:dyDescent="0.25">
      <c r="A1292" s="5">
        <v>34</v>
      </c>
      <c r="B1292" s="5" t="s">
        <v>35</v>
      </c>
      <c r="C1292" s="5" t="s">
        <v>44</v>
      </c>
      <c r="D1292" s="5">
        <v>234</v>
      </c>
      <c r="E1292" s="5" t="s">
        <v>45</v>
      </c>
      <c r="F1292" s="5">
        <v>9</v>
      </c>
      <c r="G1292" s="5">
        <v>4</v>
      </c>
      <c r="H1292" s="5" t="s">
        <v>38</v>
      </c>
      <c r="I1292" s="5">
        <v>1</v>
      </c>
      <c r="J1292" s="5">
        <v>1807</v>
      </c>
      <c r="K1292" s="5">
        <v>4</v>
      </c>
      <c r="L1292" s="5" t="s">
        <v>46</v>
      </c>
      <c r="M1292" s="5">
        <v>93</v>
      </c>
      <c r="N1292" s="5">
        <v>3</v>
      </c>
      <c r="O1292" s="5">
        <v>2</v>
      </c>
      <c r="P1292" s="5" t="s">
        <v>50</v>
      </c>
      <c r="Q1292" s="5">
        <v>1</v>
      </c>
      <c r="R1292" s="5" t="s">
        <v>48</v>
      </c>
      <c r="S1292" s="5">
        <v>5346</v>
      </c>
      <c r="T1292" s="5">
        <v>6208</v>
      </c>
      <c r="U1292" s="5">
        <v>4</v>
      </c>
      <c r="V1292" s="5" t="s">
        <v>42</v>
      </c>
      <c r="W1292" s="5" t="s">
        <v>43</v>
      </c>
      <c r="X1292" s="5">
        <v>17</v>
      </c>
      <c r="Y1292" s="5">
        <v>3</v>
      </c>
      <c r="Z1292" s="5">
        <v>3</v>
      </c>
      <c r="AA1292" s="5">
        <v>80</v>
      </c>
      <c r="AB1292" s="5">
        <v>1</v>
      </c>
      <c r="AC1292" s="5">
        <v>11</v>
      </c>
      <c r="AD1292" s="5">
        <v>3</v>
      </c>
      <c r="AE1292" s="5">
        <v>2</v>
      </c>
      <c r="AF1292" s="5">
        <v>7</v>
      </c>
      <c r="AG1292" s="5">
        <v>1</v>
      </c>
      <c r="AH1292" s="5">
        <v>0</v>
      </c>
      <c r="AI1292" s="5">
        <v>7</v>
      </c>
    </row>
    <row r="1293" spans="1:35" x14ac:dyDescent="0.25">
      <c r="A1293" s="5">
        <v>37</v>
      </c>
      <c r="B1293" s="5" t="s">
        <v>35</v>
      </c>
      <c r="C1293" s="5" t="s">
        <v>36</v>
      </c>
      <c r="D1293" s="5">
        <v>370</v>
      </c>
      <c r="E1293" s="5" t="s">
        <v>45</v>
      </c>
      <c r="F1293" s="5">
        <v>10</v>
      </c>
      <c r="G1293" s="5">
        <v>4</v>
      </c>
      <c r="H1293" s="5" t="s">
        <v>51</v>
      </c>
      <c r="I1293" s="5">
        <v>1</v>
      </c>
      <c r="J1293" s="5">
        <v>1809</v>
      </c>
      <c r="K1293" s="5">
        <v>4</v>
      </c>
      <c r="L1293" s="5" t="s">
        <v>46</v>
      </c>
      <c r="M1293" s="5">
        <v>58</v>
      </c>
      <c r="N1293" s="5">
        <v>3</v>
      </c>
      <c r="O1293" s="5">
        <v>2</v>
      </c>
      <c r="P1293" s="5" t="s">
        <v>53</v>
      </c>
      <c r="Q1293" s="5">
        <v>1</v>
      </c>
      <c r="R1293" s="5" t="s">
        <v>41</v>
      </c>
      <c r="S1293" s="5">
        <v>4213</v>
      </c>
      <c r="T1293" s="5">
        <v>4992</v>
      </c>
      <c r="U1293" s="5">
        <v>1</v>
      </c>
      <c r="V1293" s="5" t="s">
        <v>42</v>
      </c>
      <c r="W1293" s="5" t="s">
        <v>43</v>
      </c>
      <c r="X1293" s="5">
        <v>15</v>
      </c>
      <c r="Y1293" s="5">
        <v>3</v>
      </c>
      <c r="Z1293" s="5">
        <v>2</v>
      </c>
      <c r="AA1293" s="5">
        <v>80</v>
      </c>
      <c r="AB1293" s="5">
        <v>0</v>
      </c>
      <c r="AC1293" s="5">
        <v>10</v>
      </c>
      <c r="AD1293" s="5">
        <v>4</v>
      </c>
      <c r="AE1293" s="5">
        <v>1</v>
      </c>
      <c r="AF1293" s="5">
        <v>10</v>
      </c>
      <c r="AG1293" s="5">
        <v>3</v>
      </c>
      <c r="AH1293" s="5">
        <v>0</v>
      </c>
      <c r="AI1293" s="5">
        <v>8</v>
      </c>
    </row>
    <row r="1294" spans="1:35" x14ac:dyDescent="0.25">
      <c r="A1294" s="5">
        <v>39</v>
      </c>
      <c r="B1294" s="5" t="s">
        <v>43</v>
      </c>
      <c r="C1294" s="5" t="s">
        <v>44</v>
      </c>
      <c r="D1294" s="5">
        <v>766</v>
      </c>
      <c r="E1294" s="5" t="s">
        <v>37</v>
      </c>
      <c r="F1294" s="5">
        <v>20</v>
      </c>
      <c r="G1294" s="5">
        <v>3</v>
      </c>
      <c r="H1294" s="5" t="s">
        <v>38</v>
      </c>
      <c r="I1294" s="5">
        <v>1</v>
      </c>
      <c r="J1294" s="5">
        <v>1812</v>
      </c>
      <c r="K1294" s="5">
        <v>3</v>
      </c>
      <c r="L1294" s="5" t="s">
        <v>46</v>
      </c>
      <c r="M1294" s="5">
        <v>83</v>
      </c>
      <c r="N1294" s="5">
        <v>3</v>
      </c>
      <c r="O1294" s="5">
        <v>2</v>
      </c>
      <c r="P1294" s="5" t="s">
        <v>40</v>
      </c>
      <c r="Q1294" s="5">
        <v>4</v>
      </c>
      <c r="R1294" s="5" t="s">
        <v>52</v>
      </c>
      <c r="S1294" s="5">
        <v>4127</v>
      </c>
      <c r="T1294" s="5">
        <v>19188</v>
      </c>
      <c r="U1294" s="5">
        <v>2</v>
      </c>
      <c r="V1294" s="5" t="s">
        <v>42</v>
      </c>
      <c r="W1294" s="5" t="s">
        <v>43</v>
      </c>
      <c r="X1294" s="5">
        <v>18</v>
      </c>
      <c r="Y1294" s="5">
        <v>3</v>
      </c>
      <c r="Z1294" s="5">
        <v>4</v>
      </c>
      <c r="AA1294" s="5">
        <v>80</v>
      </c>
      <c r="AB1294" s="5">
        <v>1</v>
      </c>
      <c r="AC1294" s="5">
        <v>7</v>
      </c>
      <c r="AD1294" s="5">
        <v>6</v>
      </c>
      <c r="AE1294" s="5">
        <v>3</v>
      </c>
      <c r="AF1294" s="5">
        <v>2</v>
      </c>
      <c r="AG1294" s="5">
        <v>1</v>
      </c>
      <c r="AH1294" s="5">
        <v>2</v>
      </c>
      <c r="AI1294" s="5">
        <v>2</v>
      </c>
    </row>
    <row r="1295" spans="1:35" x14ac:dyDescent="0.25">
      <c r="A1295" s="5">
        <v>43</v>
      </c>
      <c r="B1295" s="5" t="s">
        <v>43</v>
      </c>
      <c r="C1295" s="5" t="s">
        <v>55</v>
      </c>
      <c r="D1295" s="5">
        <v>343</v>
      </c>
      <c r="E1295" s="5" t="s">
        <v>45</v>
      </c>
      <c r="F1295" s="5">
        <v>9</v>
      </c>
      <c r="G1295" s="5">
        <v>3</v>
      </c>
      <c r="H1295" s="5" t="s">
        <v>38</v>
      </c>
      <c r="I1295" s="5">
        <v>1</v>
      </c>
      <c r="J1295" s="5">
        <v>1813</v>
      </c>
      <c r="K1295" s="5">
        <v>1</v>
      </c>
      <c r="L1295" s="5" t="s">
        <v>46</v>
      </c>
      <c r="M1295" s="5">
        <v>52</v>
      </c>
      <c r="N1295" s="5">
        <v>3</v>
      </c>
      <c r="O1295" s="5">
        <v>1</v>
      </c>
      <c r="P1295" s="5" t="s">
        <v>47</v>
      </c>
      <c r="Q1295" s="5">
        <v>3</v>
      </c>
      <c r="R1295" s="5" t="s">
        <v>41</v>
      </c>
      <c r="S1295" s="5">
        <v>2438</v>
      </c>
      <c r="T1295" s="5">
        <v>24978</v>
      </c>
      <c r="U1295" s="5">
        <v>4</v>
      </c>
      <c r="V1295" s="5" t="s">
        <v>42</v>
      </c>
      <c r="W1295" s="5" t="s">
        <v>43</v>
      </c>
      <c r="X1295" s="5">
        <v>13</v>
      </c>
      <c r="Y1295" s="5">
        <v>3</v>
      </c>
      <c r="Z1295" s="5">
        <v>3</v>
      </c>
      <c r="AA1295" s="5">
        <v>80</v>
      </c>
      <c r="AB1295" s="5">
        <v>0</v>
      </c>
      <c r="AC1295" s="5">
        <v>7</v>
      </c>
      <c r="AD1295" s="5">
        <v>2</v>
      </c>
      <c r="AE1295" s="5">
        <v>2</v>
      </c>
      <c r="AF1295" s="5">
        <v>3</v>
      </c>
      <c r="AG1295" s="5">
        <v>2</v>
      </c>
      <c r="AH1295" s="5">
        <v>1</v>
      </c>
      <c r="AI1295" s="5">
        <v>2</v>
      </c>
    </row>
    <row r="1296" spans="1:35" x14ac:dyDescent="0.25">
      <c r="A1296" s="5">
        <v>41</v>
      </c>
      <c r="B1296" s="5" t="s">
        <v>43</v>
      </c>
      <c r="C1296" s="5" t="s">
        <v>36</v>
      </c>
      <c r="D1296" s="5">
        <v>447</v>
      </c>
      <c r="E1296" s="5" t="s">
        <v>45</v>
      </c>
      <c r="F1296" s="5">
        <v>5</v>
      </c>
      <c r="G1296" s="5">
        <v>3</v>
      </c>
      <c r="H1296" s="5" t="s">
        <v>38</v>
      </c>
      <c r="I1296" s="5">
        <v>1</v>
      </c>
      <c r="J1296" s="5">
        <v>1814</v>
      </c>
      <c r="K1296" s="5">
        <v>2</v>
      </c>
      <c r="L1296" s="5" t="s">
        <v>46</v>
      </c>
      <c r="M1296" s="5">
        <v>85</v>
      </c>
      <c r="N1296" s="5">
        <v>4</v>
      </c>
      <c r="O1296" s="5">
        <v>2</v>
      </c>
      <c r="P1296" s="5" t="s">
        <v>54</v>
      </c>
      <c r="Q1296" s="5">
        <v>2</v>
      </c>
      <c r="R1296" s="5" t="s">
        <v>41</v>
      </c>
      <c r="S1296" s="5">
        <v>6870</v>
      </c>
      <c r="T1296" s="5">
        <v>15530</v>
      </c>
      <c r="U1296" s="5">
        <v>3</v>
      </c>
      <c r="V1296" s="5" t="s">
        <v>42</v>
      </c>
      <c r="W1296" s="5" t="s">
        <v>43</v>
      </c>
      <c r="X1296" s="5">
        <v>12</v>
      </c>
      <c r="Y1296" s="5">
        <v>3</v>
      </c>
      <c r="Z1296" s="5">
        <v>1</v>
      </c>
      <c r="AA1296" s="5">
        <v>80</v>
      </c>
      <c r="AB1296" s="5">
        <v>0</v>
      </c>
      <c r="AC1296" s="5">
        <v>11</v>
      </c>
      <c r="AD1296" s="5">
        <v>3</v>
      </c>
      <c r="AE1296" s="5">
        <v>1</v>
      </c>
      <c r="AF1296" s="5">
        <v>3</v>
      </c>
      <c r="AG1296" s="5">
        <v>2</v>
      </c>
      <c r="AH1296" s="5">
        <v>1</v>
      </c>
      <c r="AI1296" s="5">
        <v>2</v>
      </c>
    </row>
    <row r="1297" spans="1:35" x14ac:dyDescent="0.25">
      <c r="A1297" s="5">
        <v>41</v>
      </c>
      <c r="B1297" s="5" t="s">
        <v>43</v>
      </c>
      <c r="C1297" s="5" t="s">
        <v>36</v>
      </c>
      <c r="D1297" s="5">
        <v>796</v>
      </c>
      <c r="E1297" s="5" t="s">
        <v>37</v>
      </c>
      <c r="F1297" s="5">
        <v>4</v>
      </c>
      <c r="G1297" s="5">
        <v>1</v>
      </c>
      <c r="H1297" s="5" t="s">
        <v>59</v>
      </c>
      <c r="I1297" s="5">
        <v>1</v>
      </c>
      <c r="J1297" s="5">
        <v>1815</v>
      </c>
      <c r="K1297" s="5">
        <v>3</v>
      </c>
      <c r="L1297" s="5" t="s">
        <v>39</v>
      </c>
      <c r="M1297" s="5">
        <v>81</v>
      </c>
      <c r="N1297" s="5">
        <v>3</v>
      </c>
      <c r="O1297" s="5">
        <v>3</v>
      </c>
      <c r="P1297" s="5" t="s">
        <v>40</v>
      </c>
      <c r="Q1297" s="5">
        <v>3</v>
      </c>
      <c r="R1297" s="5" t="s">
        <v>52</v>
      </c>
      <c r="S1297" s="5">
        <v>10447</v>
      </c>
      <c r="T1297" s="5">
        <v>26458</v>
      </c>
      <c r="U1297" s="5">
        <v>0</v>
      </c>
      <c r="V1297" s="5" t="s">
        <v>42</v>
      </c>
      <c r="W1297" s="5" t="s">
        <v>35</v>
      </c>
      <c r="X1297" s="5">
        <v>13</v>
      </c>
      <c r="Y1297" s="5">
        <v>3</v>
      </c>
      <c r="Z1297" s="5">
        <v>4</v>
      </c>
      <c r="AA1297" s="5">
        <v>80</v>
      </c>
      <c r="AB1297" s="5">
        <v>1</v>
      </c>
      <c r="AC1297" s="5">
        <v>23</v>
      </c>
      <c r="AD1297" s="5">
        <v>3</v>
      </c>
      <c r="AE1297" s="5">
        <v>4</v>
      </c>
      <c r="AF1297" s="5">
        <v>22</v>
      </c>
      <c r="AG1297" s="5">
        <v>14</v>
      </c>
      <c r="AH1297" s="5">
        <v>13</v>
      </c>
      <c r="AI1297" s="5">
        <v>5</v>
      </c>
    </row>
    <row r="1298" spans="1:35" x14ac:dyDescent="0.25">
      <c r="A1298" s="5">
        <v>30</v>
      </c>
      <c r="B1298" s="5" t="s">
        <v>43</v>
      </c>
      <c r="C1298" s="5" t="s">
        <v>36</v>
      </c>
      <c r="D1298" s="5">
        <v>1092</v>
      </c>
      <c r="E1298" s="5" t="s">
        <v>45</v>
      </c>
      <c r="F1298" s="5">
        <v>10</v>
      </c>
      <c r="G1298" s="5">
        <v>3</v>
      </c>
      <c r="H1298" s="5" t="s">
        <v>51</v>
      </c>
      <c r="I1298" s="5">
        <v>1</v>
      </c>
      <c r="J1298" s="5">
        <v>1816</v>
      </c>
      <c r="K1298" s="5">
        <v>1</v>
      </c>
      <c r="L1298" s="5" t="s">
        <v>39</v>
      </c>
      <c r="M1298" s="5">
        <v>64</v>
      </c>
      <c r="N1298" s="5">
        <v>3</v>
      </c>
      <c r="O1298" s="5">
        <v>3</v>
      </c>
      <c r="P1298" s="5" t="s">
        <v>53</v>
      </c>
      <c r="Q1298" s="5">
        <v>3</v>
      </c>
      <c r="R1298" s="5" t="s">
        <v>41</v>
      </c>
      <c r="S1298" s="5">
        <v>9667</v>
      </c>
      <c r="T1298" s="5">
        <v>2739</v>
      </c>
      <c r="U1298" s="5">
        <v>9</v>
      </c>
      <c r="V1298" s="5" t="s">
        <v>42</v>
      </c>
      <c r="W1298" s="5" t="s">
        <v>43</v>
      </c>
      <c r="X1298" s="5">
        <v>14</v>
      </c>
      <c r="Y1298" s="5">
        <v>3</v>
      </c>
      <c r="Z1298" s="5">
        <v>2</v>
      </c>
      <c r="AA1298" s="5">
        <v>80</v>
      </c>
      <c r="AB1298" s="5">
        <v>0</v>
      </c>
      <c r="AC1298" s="5">
        <v>9</v>
      </c>
      <c r="AD1298" s="5">
        <v>3</v>
      </c>
      <c r="AE1298" s="5">
        <v>3</v>
      </c>
      <c r="AF1298" s="5">
        <v>7</v>
      </c>
      <c r="AG1298" s="5">
        <v>7</v>
      </c>
      <c r="AH1298" s="5">
        <v>0</v>
      </c>
      <c r="AI1298" s="5">
        <v>2</v>
      </c>
    </row>
    <row r="1299" spans="1:35" x14ac:dyDescent="0.25">
      <c r="A1299" s="5">
        <v>26</v>
      </c>
      <c r="B1299" s="5" t="s">
        <v>35</v>
      </c>
      <c r="C1299" s="5" t="s">
        <v>36</v>
      </c>
      <c r="D1299" s="5">
        <v>920</v>
      </c>
      <c r="E1299" s="5" t="s">
        <v>61</v>
      </c>
      <c r="F1299" s="5">
        <v>20</v>
      </c>
      <c r="G1299" s="5">
        <v>2</v>
      </c>
      <c r="H1299" s="5" t="s">
        <v>51</v>
      </c>
      <c r="I1299" s="5">
        <v>1</v>
      </c>
      <c r="J1299" s="5">
        <v>1818</v>
      </c>
      <c r="K1299" s="5">
        <v>4</v>
      </c>
      <c r="L1299" s="5" t="s">
        <v>39</v>
      </c>
      <c r="M1299" s="5">
        <v>69</v>
      </c>
      <c r="N1299" s="5">
        <v>3</v>
      </c>
      <c r="O1299" s="5">
        <v>1</v>
      </c>
      <c r="P1299" s="5" t="s">
        <v>61</v>
      </c>
      <c r="Q1299" s="5">
        <v>2</v>
      </c>
      <c r="R1299" s="5" t="s">
        <v>48</v>
      </c>
      <c r="S1299" s="5">
        <v>2148</v>
      </c>
      <c r="T1299" s="5">
        <v>6889</v>
      </c>
      <c r="U1299" s="5">
        <v>0</v>
      </c>
      <c r="V1299" s="5" t="s">
        <v>42</v>
      </c>
      <c r="W1299" s="5" t="s">
        <v>35</v>
      </c>
      <c r="X1299" s="5">
        <v>11</v>
      </c>
      <c r="Y1299" s="5">
        <v>3</v>
      </c>
      <c r="Z1299" s="5">
        <v>3</v>
      </c>
      <c r="AA1299" s="5">
        <v>80</v>
      </c>
      <c r="AB1299" s="5">
        <v>0</v>
      </c>
      <c r="AC1299" s="5">
        <v>6</v>
      </c>
      <c r="AD1299" s="5">
        <v>3</v>
      </c>
      <c r="AE1299" s="5">
        <v>3</v>
      </c>
      <c r="AF1299" s="5">
        <v>5</v>
      </c>
      <c r="AG1299" s="5">
        <v>1</v>
      </c>
      <c r="AH1299" s="5">
        <v>1</v>
      </c>
      <c r="AI1299" s="5">
        <v>4</v>
      </c>
    </row>
    <row r="1300" spans="1:35" x14ac:dyDescent="0.25">
      <c r="A1300" s="5">
        <v>46</v>
      </c>
      <c r="B1300" s="5" t="s">
        <v>35</v>
      </c>
      <c r="C1300" s="5" t="s">
        <v>36</v>
      </c>
      <c r="D1300" s="5">
        <v>261</v>
      </c>
      <c r="E1300" s="5" t="s">
        <v>45</v>
      </c>
      <c r="F1300" s="5">
        <v>21</v>
      </c>
      <c r="G1300" s="5">
        <v>2</v>
      </c>
      <c r="H1300" s="5" t="s">
        <v>51</v>
      </c>
      <c r="I1300" s="5">
        <v>1</v>
      </c>
      <c r="J1300" s="5">
        <v>1821</v>
      </c>
      <c r="K1300" s="5">
        <v>4</v>
      </c>
      <c r="L1300" s="5" t="s">
        <v>39</v>
      </c>
      <c r="M1300" s="5">
        <v>66</v>
      </c>
      <c r="N1300" s="5">
        <v>3</v>
      </c>
      <c r="O1300" s="5">
        <v>2</v>
      </c>
      <c r="P1300" s="5" t="s">
        <v>54</v>
      </c>
      <c r="Q1300" s="5">
        <v>2</v>
      </c>
      <c r="R1300" s="5" t="s">
        <v>48</v>
      </c>
      <c r="S1300" s="5">
        <v>8926</v>
      </c>
      <c r="T1300" s="5">
        <v>10842</v>
      </c>
      <c r="U1300" s="5">
        <v>4</v>
      </c>
      <c r="V1300" s="5" t="s">
        <v>42</v>
      </c>
      <c r="W1300" s="5" t="s">
        <v>43</v>
      </c>
      <c r="X1300" s="5">
        <v>22</v>
      </c>
      <c r="Y1300" s="5">
        <v>4</v>
      </c>
      <c r="Z1300" s="5">
        <v>4</v>
      </c>
      <c r="AA1300" s="5">
        <v>80</v>
      </c>
      <c r="AB1300" s="5">
        <v>1</v>
      </c>
      <c r="AC1300" s="5">
        <v>13</v>
      </c>
      <c r="AD1300" s="5">
        <v>2</v>
      </c>
      <c r="AE1300" s="5">
        <v>4</v>
      </c>
      <c r="AF1300" s="5">
        <v>9</v>
      </c>
      <c r="AG1300" s="5">
        <v>7</v>
      </c>
      <c r="AH1300" s="5">
        <v>3</v>
      </c>
      <c r="AI1300" s="5">
        <v>7</v>
      </c>
    </row>
    <row r="1301" spans="1:35" x14ac:dyDescent="0.25">
      <c r="A1301" s="5">
        <v>40</v>
      </c>
      <c r="B1301" s="5" t="s">
        <v>43</v>
      </c>
      <c r="C1301" s="5" t="s">
        <v>36</v>
      </c>
      <c r="D1301" s="5">
        <v>1194</v>
      </c>
      <c r="E1301" s="5" t="s">
        <v>45</v>
      </c>
      <c r="F1301" s="5">
        <v>1</v>
      </c>
      <c r="G1301" s="5">
        <v>3</v>
      </c>
      <c r="H1301" s="5" t="s">
        <v>38</v>
      </c>
      <c r="I1301" s="5">
        <v>1</v>
      </c>
      <c r="J1301" s="5">
        <v>1822</v>
      </c>
      <c r="K1301" s="5">
        <v>3</v>
      </c>
      <c r="L1301" s="5" t="s">
        <v>39</v>
      </c>
      <c r="M1301" s="5">
        <v>52</v>
      </c>
      <c r="N1301" s="5">
        <v>3</v>
      </c>
      <c r="O1301" s="5">
        <v>2</v>
      </c>
      <c r="P1301" s="5" t="s">
        <v>54</v>
      </c>
      <c r="Q1301" s="5">
        <v>4</v>
      </c>
      <c r="R1301" s="5" t="s">
        <v>52</v>
      </c>
      <c r="S1301" s="5">
        <v>6513</v>
      </c>
      <c r="T1301" s="5">
        <v>9060</v>
      </c>
      <c r="U1301" s="5">
        <v>4</v>
      </c>
      <c r="V1301" s="5" t="s">
        <v>42</v>
      </c>
      <c r="W1301" s="5" t="s">
        <v>43</v>
      </c>
      <c r="X1301" s="5">
        <v>17</v>
      </c>
      <c r="Y1301" s="5">
        <v>3</v>
      </c>
      <c r="Z1301" s="5">
        <v>4</v>
      </c>
      <c r="AA1301" s="5">
        <v>80</v>
      </c>
      <c r="AB1301" s="5">
        <v>1</v>
      </c>
      <c r="AC1301" s="5">
        <v>12</v>
      </c>
      <c r="AD1301" s="5">
        <v>3</v>
      </c>
      <c r="AE1301" s="5">
        <v>3</v>
      </c>
      <c r="AF1301" s="5">
        <v>5</v>
      </c>
      <c r="AG1301" s="5">
        <v>3</v>
      </c>
      <c r="AH1301" s="5">
        <v>0</v>
      </c>
      <c r="AI1301" s="5">
        <v>3</v>
      </c>
    </row>
    <row r="1302" spans="1:35" x14ac:dyDescent="0.25">
      <c r="A1302" s="5">
        <v>34</v>
      </c>
      <c r="B1302" s="5" t="s">
        <v>43</v>
      </c>
      <c r="C1302" s="5" t="s">
        <v>36</v>
      </c>
      <c r="D1302" s="5">
        <v>810</v>
      </c>
      <c r="E1302" s="5" t="s">
        <v>37</v>
      </c>
      <c r="F1302" s="5">
        <v>8</v>
      </c>
      <c r="G1302" s="5">
        <v>2</v>
      </c>
      <c r="H1302" s="5" t="s">
        <v>60</v>
      </c>
      <c r="I1302" s="5">
        <v>1</v>
      </c>
      <c r="J1302" s="5">
        <v>1823</v>
      </c>
      <c r="K1302" s="5">
        <v>2</v>
      </c>
      <c r="L1302" s="5" t="s">
        <v>46</v>
      </c>
      <c r="M1302" s="5">
        <v>92</v>
      </c>
      <c r="N1302" s="5">
        <v>4</v>
      </c>
      <c r="O1302" s="5">
        <v>2</v>
      </c>
      <c r="P1302" s="5" t="s">
        <v>40</v>
      </c>
      <c r="Q1302" s="5">
        <v>3</v>
      </c>
      <c r="R1302" s="5" t="s">
        <v>48</v>
      </c>
      <c r="S1302" s="5">
        <v>6799</v>
      </c>
      <c r="T1302" s="5">
        <v>22128</v>
      </c>
      <c r="U1302" s="5">
        <v>1</v>
      </c>
      <c r="V1302" s="5" t="s">
        <v>42</v>
      </c>
      <c r="W1302" s="5" t="s">
        <v>43</v>
      </c>
      <c r="X1302" s="5">
        <v>21</v>
      </c>
      <c r="Y1302" s="5">
        <v>4</v>
      </c>
      <c r="Z1302" s="5">
        <v>3</v>
      </c>
      <c r="AA1302" s="5">
        <v>80</v>
      </c>
      <c r="AB1302" s="5">
        <v>2</v>
      </c>
      <c r="AC1302" s="5">
        <v>10</v>
      </c>
      <c r="AD1302" s="5">
        <v>5</v>
      </c>
      <c r="AE1302" s="5">
        <v>3</v>
      </c>
      <c r="AF1302" s="5">
        <v>10</v>
      </c>
      <c r="AG1302" s="5">
        <v>8</v>
      </c>
      <c r="AH1302" s="5">
        <v>4</v>
      </c>
      <c r="AI1302" s="5">
        <v>8</v>
      </c>
    </row>
    <row r="1303" spans="1:35" x14ac:dyDescent="0.25">
      <c r="A1303" s="5">
        <v>58</v>
      </c>
      <c r="B1303" s="5" t="s">
        <v>43</v>
      </c>
      <c r="C1303" s="5" t="s">
        <v>55</v>
      </c>
      <c r="D1303" s="5">
        <v>350</v>
      </c>
      <c r="E1303" s="5" t="s">
        <v>37</v>
      </c>
      <c r="F1303" s="5">
        <v>2</v>
      </c>
      <c r="G1303" s="5">
        <v>3</v>
      </c>
      <c r="H1303" s="5" t="s">
        <v>51</v>
      </c>
      <c r="I1303" s="5">
        <v>1</v>
      </c>
      <c r="J1303" s="5">
        <v>1824</v>
      </c>
      <c r="K1303" s="5">
        <v>2</v>
      </c>
      <c r="L1303" s="5" t="s">
        <v>46</v>
      </c>
      <c r="M1303" s="5">
        <v>52</v>
      </c>
      <c r="N1303" s="5">
        <v>3</v>
      </c>
      <c r="O1303" s="5">
        <v>4</v>
      </c>
      <c r="P1303" s="5" t="s">
        <v>56</v>
      </c>
      <c r="Q1303" s="5">
        <v>2</v>
      </c>
      <c r="R1303" s="5" t="s">
        <v>52</v>
      </c>
      <c r="S1303" s="5">
        <v>16291</v>
      </c>
      <c r="T1303" s="5">
        <v>22577</v>
      </c>
      <c r="U1303" s="5">
        <v>4</v>
      </c>
      <c r="V1303" s="5" t="s">
        <v>42</v>
      </c>
      <c r="W1303" s="5" t="s">
        <v>43</v>
      </c>
      <c r="X1303" s="5">
        <v>22</v>
      </c>
      <c r="Y1303" s="5">
        <v>4</v>
      </c>
      <c r="Z1303" s="5">
        <v>4</v>
      </c>
      <c r="AA1303" s="5">
        <v>80</v>
      </c>
      <c r="AB1303" s="5">
        <v>1</v>
      </c>
      <c r="AC1303" s="5">
        <v>37</v>
      </c>
      <c r="AD1303" s="5">
        <v>0</v>
      </c>
      <c r="AE1303" s="5">
        <v>2</v>
      </c>
      <c r="AF1303" s="5">
        <v>16</v>
      </c>
      <c r="AG1303" s="5">
        <v>9</v>
      </c>
      <c r="AH1303" s="5">
        <v>14</v>
      </c>
      <c r="AI1303" s="5">
        <v>14</v>
      </c>
    </row>
    <row r="1304" spans="1:35" x14ac:dyDescent="0.25">
      <c r="A1304" s="5">
        <v>35</v>
      </c>
      <c r="B1304" s="5" t="s">
        <v>43</v>
      </c>
      <c r="C1304" s="5" t="s">
        <v>36</v>
      </c>
      <c r="D1304" s="5">
        <v>185</v>
      </c>
      <c r="E1304" s="5" t="s">
        <v>45</v>
      </c>
      <c r="F1304" s="5">
        <v>23</v>
      </c>
      <c r="G1304" s="5">
        <v>4</v>
      </c>
      <c r="H1304" s="5" t="s">
        <v>51</v>
      </c>
      <c r="I1304" s="5">
        <v>1</v>
      </c>
      <c r="J1304" s="5">
        <v>1826</v>
      </c>
      <c r="K1304" s="5">
        <v>2</v>
      </c>
      <c r="L1304" s="5" t="s">
        <v>46</v>
      </c>
      <c r="M1304" s="5">
        <v>91</v>
      </c>
      <c r="N1304" s="5">
        <v>1</v>
      </c>
      <c r="O1304" s="5">
        <v>1</v>
      </c>
      <c r="P1304" s="5" t="s">
        <v>50</v>
      </c>
      <c r="Q1304" s="5">
        <v>3</v>
      </c>
      <c r="R1304" s="5" t="s">
        <v>48</v>
      </c>
      <c r="S1304" s="5">
        <v>2705</v>
      </c>
      <c r="T1304" s="5">
        <v>9696</v>
      </c>
      <c r="U1304" s="5">
        <v>0</v>
      </c>
      <c r="V1304" s="5" t="s">
        <v>42</v>
      </c>
      <c r="W1304" s="5" t="s">
        <v>43</v>
      </c>
      <c r="X1304" s="5">
        <v>16</v>
      </c>
      <c r="Y1304" s="5">
        <v>3</v>
      </c>
      <c r="Z1304" s="5">
        <v>2</v>
      </c>
      <c r="AA1304" s="5">
        <v>80</v>
      </c>
      <c r="AB1304" s="5">
        <v>1</v>
      </c>
      <c r="AC1304" s="5">
        <v>6</v>
      </c>
      <c r="AD1304" s="5">
        <v>2</v>
      </c>
      <c r="AE1304" s="5">
        <v>4</v>
      </c>
      <c r="AF1304" s="5">
        <v>5</v>
      </c>
      <c r="AG1304" s="5">
        <v>4</v>
      </c>
      <c r="AH1304" s="5">
        <v>0</v>
      </c>
      <c r="AI1304" s="5">
        <v>3</v>
      </c>
    </row>
    <row r="1305" spans="1:35" x14ac:dyDescent="0.25">
      <c r="A1305" s="5">
        <v>47</v>
      </c>
      <c r="B1305" s="5" t="s">
        <v>43</v>
      </c>
      <c r="C1305" s="5" t="s">
        <v>36</v>
      </c>
      <c r="D1305" s="5">
        <v>1001</v>
      </c>
      <c r="E1305" s="5" t="s">
        <v>45</v>
      </c>
      <c r="F1305" s="5">
        <v>4</v>
      </c>
      <c r="G1305" s="5">
        <v>3</v>
      </c>
      <c r="H1305" s="5" t="s">
        <v>38</v>
      </c>
      <c r="I1305" s="5">
        <v>1</v>
      </c>
      <c r="J1305" s="5">
        <v>1827</v>
      </c>
      <c r="K1305" s="5">
        <v>3</v>
      </c>
      <c r="L1305" s="5" t="s">
        <v>39</v>
      </c>
      <c r="M1305" s="5">
        <v>92</v>
      </c>
      <c r="N1305" s="5">
        <v>2</v>
      </c>
      <c r="O1305" s="5">
        <v>3</v>
      </c>
      <c r="P1305" s="5" t="s">
        <v>53</v>
      </c>
      <c r="Q1305" s="5">
        <v>2</v>
      </c>
      <c r="R1305" s="5" t="s">
        <v>52</v>
      </c>
      <c r="S1305" s="5">
        <v>10333</v>
      </c>
      <c r="T1305" s="5">
        <v>19271</v>
      </c>
      <c r="U1305" s="5">
        <v>8</v>
      </c>
      <c r="V1305" s="5" t="s">
        <v>42</v>
      </c>
      <c r="W1305" s="5" t="s">
        <v>35</v>
      </c>
      <c r="X1305" s="5">
        <v>12</v>
      </c>
      <c r="Y1305" s="5">
        <v>3</v>
      </c>
      <c r="Z1305" s="5">
        <v>3</v>
      </c>
      <c r="AA1305" s="5">
        <v>80</v>
      </c>
      <c r="AB1305" s="5">
        <v>1</v>
      </c>
      <c r="AC1305" s="5">
        <v>28</v>
      </c>
      <c r="AD1305" s="5">
        <v>4</v>
      </c>
      <c r="AE1305" s="5">
        <v>3</v>
      </c>
      <c r="AF1305" s="5">
        <v>22</v>
      </c>
      <c r="AG1305" s="5">
        <v>11</v>
      </c>
      <c r="AH1305" s="5">
        <v>14</v>
      </c>
      <c r="AI1305" s="5">
        <v>10</v>
      </c>
    </row>
    <row r="1306" spans="1:35" x14ac:dyDescent="0.25">
      <c r="A1306" s="5">
        <v>40</v>
      </c>
      <c r="B1306" s="5" t="s">
        <v>43</v>
      </c>
      <c r="C1306" s="5" t="s">
        <v>36</v>
      </c>
      <c r="D1306" s="5">
        <v>750</v>
      </c>
      <c r="E1306" s="5" t="s">
        <v>45</v>
      </c>
      <c r="F1306" s="5">
        <v>12</v>
      </c>
      <c r="G1306" s="5">
        <v>3</v>
      </c>
      <c r="H1306" s="5" t="s">
        <v>38</v>
      </c>
      <c r="I1306" s="5">
        <v>1</v>
      </c>
      <c r="J1306" s="5">
        <v>1829</v>
      </c>
      <c r="K1306" s="5">
        <v>2</v>
      </c>
      <c r="L1306" s="5" t="s">
        <v>39</v>
      </c>
      <c r="M1306" s="5">
        <v>47</v>
      </c>
      <c r="N1306" s="5">
        <v>3</v>
      </c>
      <c r="O1306" s="5">
        <v>2</v>
      </c>
      <c r="P1306" s="5" t="s">
        <v>54</v>
      </c>
      <c r="Q1306" s="5">
        <v>1</v>
      </c>
      <c r="R1306" s="5" t="s">
        <v>52</v>
      </c>
      <c r="S1306" s="5">
        <v>4448</v>
      </c>
      <c r="T1306" s="5">
        <v>10748</v>
      </c>
      <c r="U1306" s="5">
        <v>2</v>
      </c>
      <c r="V1306" s="5" t="s">
        <v>42</v>
      </c>
      <c r="W1306" s="5" t="s">
        <v>43</v>
      </c>
      <c r="X1306" s="5">
        <v>12</v>
      </c>
      <c r="Y1306" s="5">
        <v>3</v>
      </c>
      <c r="Z1306" s="5">
        <v>2</v>
      </c>
      <c r="AA1306" s="5">
        <v>80</v>
      </c>
      <c r="AB1306" s="5">
        <v>1</v>
      </c>
      <c r="AC1306" s="5">
        <v>15</v>
      </c>
      <c r="AD1306" s="5">
        <v>3</v>
      </c>
      <c r="AE1306" s="5">
        <v>3</v>
      </c>
      <c r="AF1306" s="5">
        <v>7</v>
      </c>
      <c r="AG1306" s="5">
        <v>4</v>
      </c>
      <c r="AH1306" s="5">
        <v>7</v>
      </c>
      <c r="AI1306" s="5">
        <v>7</v>
      </c>
    </row>
    <row r="1307" spans="1:35" x14ac:dyDescent="0.25">
      <c r="A1307" s="5">
        <v>54</v>
      </c>
      <c r="B1307" s="5" t="s">
        <v>43</v>
      </c>
      <c r="C1307" s="5" t="s">
        <v>36</v>
      </c>
      <c r="D1307" s="5">
        <v>431</v>
      </c>
      <c r="E1307" s="5" t="s">
        <v>45</v>
      </c>
      <c r="F1307" s="5">
        <v>7</v>
      </c>
      <c r="G1307" s="5">
        <v>4</v>
      </c>
      <c r="H1307" s="5" t="s">
        <v>51</v>
      </c>
      <c r="I1307" s="5">
        <v>1</v>
      </c>
      <c r="J1307" s="5">
        <v>1830</v>
      </c>
      <c r="K1307" s="5">
        <v>4</v>
      </c>
      <c r="L1307" s="5" t="s">
        <v>39</v>
      </c>
      <c r="M1307" s="5">
        <v>68</v>
      </c>
      <c r="N1307" s="5">
        <v>3</v>
      </c>
      <c r="O1307" s="5">
        <v>2</v>
      </c>
      <c r="P1307" s="5" t="s">
        <v>47</v>
      </c>
      <c r="Q1307" s="5">
        <v>4</v>
      </c>
      <c r="R1307" s="5" t="s">
        <v>48</v>
      </c>
      <c r="S1307" s="5">
        <v>6854</v>
      </c>
      <c r="T1307" s="5">
        <v>15696</v>
      </c>
      <c r="U1307" s="5">
        <v>4</v>
      </c>
      <c r="V1307" s="5" t="s">
        <v>42</v>
      </c>
      <c r="W1307" s="5" t="s">
        <v>43</v>
      </c>
      <c r="X1307" s="5">
        <v>15</v>
      </c>
      <c r="Y1307" s="5">
        <v>3</v>
      </c>
      <c r="Z1307" s="5">
        <v>2</v>
      </c>
      <c r="AA1307" s="5">
        <v>80</v>
      </c>
      <c r="AB1307" s="5">
        <v>1</v>
      </c>
      <c r="AC1307" s="5">
        <v>14</v>
      </c>
      <c r="AD1307" s="5">
        <v>2</v>
      </c>
      <c r="AE1307" s="5">
        <v>2</v>
      </c>
      <c r="AF1307" s="5">
        <v>7</v>
      </c>
      <c r="AG1307" s="5">
        <v>1</v>
      </c>
      <c r="AH1307" s="5">
        <v>1</v>
      </c>
      <c r="AI1307" s="5">
        <v>7</v>
      </c>
    </row>
    <row r="1308" spans="1:35" x14ac:dyDescent="0.25">
      <c r="A1308" s="5">
        <v>31</v>
      </c>
      <c r="B1308" s="5" t="s">
        <v>43</v>
      </c>
      <c r="C1308" s="5" t="s">
        <v>44</v>
      </c>
      <c r="D1308" s="5">
        <v>1125</v>
      </c>
      <c r="E1308" s="5" t="s">
        <v>37</v>
      </c>
      <c r="F1308" s="5">
        <v>7</v>
      </c>
      <c r="G1308" s="5">
        <v>4</v>
      </c>
      <c r="H1308" s="5" t="s">
        <v>59</v>
      </c>
      <c r="I1308" s="5">
        <v>1</v>
      </c>
      <c r="J1308" s="5">
        <v>1833</v>
      </c>
      <c r="K1308" s="5">
        <v>1</v>
      </c>
      <c r="L1308" s="5" t="s">
        <v>39</v>
      </c>
      <c r="M1308" s="5">
        <v>68</v>
      </c>
      <c r="N1308" s="5">
        <v>3</v>
      </c>
      <c r="O1308" s="5">
        <v>3</v>
      </c>
      <c r="P1308" s="5" t="s">
        <v>40</v>
      </c>
      <c r="Q1308" s="5">
        <v>1</v>
      </c>
      <c r="R1308" s="5" t="s">
        <v>48</v>
      </c>
      <c r="S1308" s="5">
        <v>9637</v>
      </c>
      <c r="T1308" s="5">
        <v>8277</v>
      </c>
      <c r="U1308" s="5">
        <v>2</v>
      </c>
      <c r="V1308" s="5" t="s">
        <v>42</v>
      </c>
      <c r="W1308" s="5" t="s">
        <v>43</v>
      </c>
      <c r="X1308" s="5">
        <v>14</v>
      </c>
      <c r="Y1308" s="5">
        <v>3</v>
      </c>
      <c r="Z1308" s="5">
        <v>4</v>
      </c>
      <c r="AA1308" s="5">
        <v>80</v>
      </c>
      <c r="AB1308" s="5">
        <v>2</v>
      </c>
      <c r="AC1308" s="5">
        <v>9</v>
      </c>
      <c r="AD1308" s="5">
        <v>3</v>
      </c>
      <c r="AE1308" s="5">
        <v>3</v>
      </c>
      <c r="AF1308" s="5">
        <v>3</v>
      </c>
      <c r="AG1308" s="5">
        <v>2</v>
      </c>
      <c r="AH1308" s="5">
        <v>2</v>
      </c>
      <c r="AI1308" s="5">
        <v>2</v>
      </c>
    </row>
    <row r="1309" spans="1:35" x14ac:dyDescent="0.25">
      <c r="A1309" s="5">
        <v>28</v>
      </c>
      <c r="B1309" s="5" t="s">
        <v>43</v>
      </c>
      <c r="C1309" s="5" t="s">
        <v>36</v>
      </c>
      <c r="D1309" s="5">
        <v>1217</v>
      </c>
      <c r="E1309" s="5" t="s">
        <v>45</v>
      </c>
      <c r="F1309" s="5">
        <v>1</v>
      </c>
      <c r="G1309" s="5">
        <v>3</v>
      </c>
      <c r="H1309" s="5" t="s">
        <v>51</v>
      </c>
      <c r="I1309" s="5">
        <v>1</v>
      </c>
      <c r="J1309" s="5">
        <v>1834</v>
      </c>
      <c r="K1309" s="5">
        <v>3</v>
      </c>
      <c r="L1309" s="5" t="s">
        <v>39</v>
      </c>
      <c r="M1309" s="5">
        <v>67</v>
      </c>
      <c r="N1309" s="5">
        <v>3</v>
      </c>
      <c r="O1309" s="5">
        <v>1</v>
      </c>
      <c r="P1309" s="5" t="s">
        <v>47</v>
      </c>
      <c r="Q1309" s="5">
        <v>1</v>
      </c>
      <c r="R1309" s="5" t="s">
        <v>48</v>
      </c>
      <c r="S1309" s="5">
        <v>3591</v>
      </c>
      <c r="T1309" s="5">
        <v>12719</v>
      </c>
      <c r="U1309" s="5">
        <v>1</v>
      </c>
      <c r="V1309" s="5" t="s">
        <v>42</v>
      </c>
      <c r="W1309" s="5" t="s">
        <v>43</v>
      </c>
      <c r="X1309" s="5">
        <v>25</v>
      </c>
      <c r="Y1309" s="5">
        <v>4</v>
      </c>
      <c r="Z1309" s="5">
        <v>3</v>
      </c>
      <c r="AA1309" s="5">
        <v>80</v>
      </c>
      <c r="AB1309" s="5">
        <v>1</v>
      </c>
      <c r="AC1309" s="5">
        <v>3</v>
      </c>
      <c r="AD1309" s="5">
        <v>3</v>
      </c>
      <c r="AE1309" s="5">
        <v>3</v>
      </c>
      <c r="AF1309" s="5">
        <v>3</v>
      </c>
      <c r="AG1309" s="5">
        <v>2</v>
      </c>
      <c r="AH1309" s="5">
        <v>1</v>
      </c>
      <c r="AI1309" s="5">
        <v>2</v>
      </c>
    </row>
    <row r="1310" spans="1:35" x14ac:dyDescent="0.25">
      <c r="A1310" s="5">
        <v>38</v>
      </c>
      <c r="B1310" s="5" t="s">
        <v>43</v>
      </c>
      <c r="C1310" s="5" t="s">
        <v>36</v>
      </c>
      <c r="D1310" s="5">
        <v>723</v>
      </c>
      <c r="E1310" s="5" t="s">
        <v>37</v>
      </c>
      <c r="F1310" s="5">
        <v>2</v>
      </c>
      <c r="G1310" s="5">
        <v>4</v>
      </c>
      <c r="H1310" s="5" t="s">
        <v>59</v>
      </c>
      <c r="I1310" s="5">
        <v>1</v>
      </c>
      <c r="J1310" s="5">
        <v>1835</v>
      </c>
      <c r="K1310" s="5">
        <v>2</v>
      </c>
      <c r="L1310" s="5" t="s">
        <v>39</v>
      </c>
      <c r="M1310" s="5">
        <v>77</v>
      </c>
      <c r="N1310" s="5">
        <v>1</v>
      </c>
      <c r="O1310" s="5">
        <v>2</v>
      </c>
      <c r="P1310" s="5" t="s">
        <v>57</v>
      </c>
      <c r="Q1310" s="5">
        <v>4</v>
      </c>
      <c r="R1310" s="5" t="s">
        <v>48</v>
      </c>
      <c r="S1310" s="5">
        <v>5405</v>
      </c>
      <c r="T1310" s="5">
        <v>4244</v>
      </c>
      <c r="U1310" s="5">
        <v>2</v>
      </c>
      <c r="V1310" s="5" t="s">
        <v>42</v>
      </c>
      <c r="W1310" s="5" t="s">
        <v>35</v>
      </c>
      <c r="X1310" s="5">
        <v>20</v>
      </c>
      <c r="Y1310" s="5">
        <v>4</v>
      </c>
      <c r="Z1310" s="5">
        <v>1</v>
      </c>
      <c r="AA1310" s="5">
        <v>80</v>
      </c>
      <c r="AB1310" s="5">
        <v>2</v>
      </c>
      <c r="AC1310" s="5">
        <v>20</v>
      </c>
      <c r="AD1310" s="5">
        <v>4</v>
      </c>
      <c r="AE1310" s="5">
        <v>2</v>
      </c>
      <c r="AF1310" s="5">
        <v>4</v>
      </c>
      <c r="AG1310" s="5">
        <v>2</v>
      </c>
      <c r="AH1310" s="5">
        <v>0</v>
      </c>
      <c r="AI1310" s="5">
        <v>3</v>
      </c>
    </row>
    <row r="1311" spans="1:35" x14ac:dyDescent="0.25">
      <c r="A1311" s="5">
        <v>26</v>
      </c>
      <c r="B1311" s="5" t="s">
        <v>43</v>
      </c>
      <c r="C1311" s="5" t="s">
        <v>36</v>
      </c>
      <c r="D1311" s="5">
        <v>572</v>
      </c>
      <c r="E1311" s="5" t="s">
        <v>37</v>
      </c>
      <c r="F1311" s="5">
        <v>10</v>
      </c>
      <c r="G1311" s="5">
        <v>3</v>
      </c>
      <c r="H1311" s="5" t="s">
        <v>51</v>
      </c>
      <c r="I1311" s="5">
        <v>1</v>
      </c>
      <c r="J1311" s="5">
        <v>1836</v>
      </c>
      <c r="K1311" s="5">
        <v>3</v>
      </c>
      <c r="L1311" s="5" t="s">
        <v>46</v>
      </c>
      <c r="M1311" s="5">
        <v>46</v>
      </c>
      <c r="N1311" s="5">
        <v>3</v>
      </c>
      <c r="O1311" s="5">
        <v>2</v>
      </c>
      <c r="P1311" s="5" t="s">
        <v>40</v>
      </c>
      <c r="Q1311" s="5">
        <v>4</v>
      </c>
      <c r="R1311" s="5" t="s">
        <v>41</v>
      </c>
      <c r="S1311" s="5">
        <v>4684</v>
      </c>
      <c r="T1311" s="5">
        <v>9125</v>
      </c>
      <c r="U1311" s="5">
        <v>1</v>
      </c>
      <c r="V1311" s="5" t="s">
        <v>42</v>
      </c>
      <c r="W1311" s="5" t="s">
        <v>43</v>
      </c>
      <c r="X1311" s="5">
        <v>13</v>
      </c>
      <c r="Y1311" s="5">
        <v>3</v>
      </c>
      <c r="Z1311" s="5">
        <v>1</v>
      </c>
      <c r="AA1311" s="5">
        <v>80</v>
      </c>
      <c r="AB1311" s="5">
        <v>0</v>
      </c>
      <c r="AC1311" s="5">
        <v>5</v>
      </c>
      <c r="AD1311" s="5">
        <v>4</v>
      </c>
      <c r="AE1311" s="5">
        <v>3</v>
      </c>
      <c r="AF1311" s="5">
        <v>5</v>
      </c>
      <c r="AG1311" s="5">
        <v>3</v>
      </c>
      <c r="AH1311" s="5">
        <v>1</v>
      </c>
      <c r="AI1311" s="5">
        <v>2</v>
      </c>
    </row>
    <row r="1312" spans="1:35" x14ac:dyDescent="0.25">
      <c r="A1312" s="5">
        <v>58</v>
      </c>
      <c r="B1312" s="5" t="s">
        <v>43</v>
      </c>
      <c r="C1312" s="5" t="s">
        <v>44</v>
      </c>
      <c r="D1312" s="5">
        <v>1216</v>
      </c>
      <c r="E1312" s="5" t="s">
        <v>45</v>
      </c>
      <c r="F1312" s="5">
        <v>15</v>
      </c>
      <c r="G1312" s="5">
        <v>4</v>
      </c>
      <c r="H1312" s="5" t="s">
        <v>38</v>
      </c>
      <c r="I1312" s="5">
        <v>1</v>
      </c>
      <c r="J1312" s="5">
        <v>1837</v>
      </c>
      <c r="K1312" s="5">
        <v>1</v>
      </c>
      <c r="L1312" s="5" t="s">
        <v>46</v>
      </c>
      <c r="M1312" s="5">
        <v>87</v>
      </c>
      <c r="N1312" s="5">
        <v>3</v>
      </c>
      <c r="O1312" s="5">
        <v>4</v>
      </c>
      <c r="P1312" s="5" t="s">
        <v>58</v>
      </c>
      <c r="Q1312" s="5">
        <v>3</v>
      </c>
      <c r="R1312" s="5" t="s">
        <v>48</v>
      </c>
      <c r="S1312" s="5">
        <v>15787</v>
      </c>
      <c r="T1312" s="5">
        <v>21624</v>
      </c>
      <c r="U1312" s="5">
        <v>2</v>
      </c>
      <c r="V1312" s="5" t="s">
        <v>42</v>
      </c>
      <c r="W1312" s="5" t="s">
        <v>35</v>
      </c>
      <c r="X1312" s="5">
        <v>14</v>
      </c>
      <c r="Y1312" s="5">
        <v>3</v>
      </c>
      <c r="Z1312" s="5">
        <v>2</v>
      </c>
      <c r="AA1312" s="5">
        <v>80</v>
      </c>
      <c r="AB1312" s="5">
        <v>0</v>
      </c>
      <c r="AC1312" s="5">
        <v>23</v>
      </c>
      <c r="AD1312" s="5">
        <v>3</v>
      </c>
      <c r="AE1312" s="5">
        <v>3</v>
      </c>
      <c r="AF1312" s="5">
        <v>2</v>
      </c>
      <c r="AG1312" s="5">
        <v>2</v>
      </c>
      <c r="AH1312" s="5">
        <v>2</v>
      </c>
      <c r="AI1312" s="5">
        <v>2</v>
      </c>
    </row>
    <row r="1313" spans="1:35" x14ac:dyDescent="0.25">
      <c r="A1313" s="5">
        <v>18</v>
      </c>
      <c r="B1313" s="5" t="s">
        <v>43</v>
      </c>
      <c r="C1313" s="5" t="s">
        <v>55</v>
      </c>
      <c r="D1313" s="5">
        <v>1431</v>
      </c>
      <c r="E1313" s="5" t="s">
        <v>45</v>
      </c>
      <c r="F1313" s="5">
        <v>14</v>
      </c>
      <c r="G1313" s="5">
        <v>3</v>
      </c>
      <c r="H1313" s="5" t="s">
        <v>51</v>
      </c>
      <c r="I1313" s="5">
        <v>1</v>
      </c>
      <c r="J1313" s="5">
        <v>1839</v>
      </c>
      <c r="K1313" s="5">
        <v>2</v>
      </c>
      <c r="L1313" s="5" t="s">
        <v>39</v>
      </c>
      <c r="M1313" s="5">
        <v>33</v>
      </c>
      <c r="N1313" s="5">
        <v>3</v>
      </c>
      <c r="O1313" s="5">
        <v>1</v>
      </c>
      <c r="P1313" s="5" t="s">
        <v>47</v>
      </c>
      <c r="Q1313" s="5">
        <v>3</v>
      </c>
      <c r="R1313" s="5" t="s">
        <v>41</v>
      </c>
      <c r="S1313" s="5">
        <v>1514</v>
      </c>
      <c r="T1313" s="5">
        <v>8018</v>
      </c>
      <c r="U1313" s="5">
        <v>1</v>
      </c>
      <c r="V1313" s="5" t="s">
        <v>42</v>
      </c>
      <c r="W1313" s="5" t="s">
        <v>43</v>
      </c>
      <c r="X1313" s="5">
        <v>16</v>
      </c>
      <c r="Y1313" s="5">
        <v>3</v>
      </c>
      <c r="Z1313" s="5">
        <v>3</v>
      </c>
      <c r="AA1313" s="5">
        <v>80</v>
      </c>
      <c r="AB1313" s="5">
        <v>0</v>
      </c>
      <c r="AC1313" s="5">
        <v>0</v>
      </c>
      <c r="AD1313" s="5">
        <v>4</v>
      </c>
      <c r="AE1313" s="5">
        <v>1</v>
      </c>
      <c r="AF1313" s="5">
        <v>0</v>
      </c>
      <c r="AG1313" s="5">
        <v>0</v>
      </c>
      <c r="AH1313" s="5">
        <v>0</v>
      </c>
      <c r="AI1313" s="5">
        <v>0</v>
      </c>
    </row>
    <row r="1314" spans="1:35" x14ac:dyDescent="0.25">
      <c r="A1314" s="5">
        <v>31</v>
      </c>
      <c r="B1314" s="5" t="s">
        <v>35</v>
      </c>
      <c r="C1314" s="5" t="s">
        <v>36</v>
      </c>
      <c r="D1314" s="5">
        <v>359</v>
      </c>
      <c r="E1314" s="5" t="s">
        <v>61</v>
      </c>
      <c r="F1314" s="5">
        <v>18</v>
      </c>
      <c r="G1314" s="5">
        <v>5</v>
      </c>
      <c r="H1314" s="5" t="s">
        <v>61</v>
      </c>
      <c r="I1314" s="5">
        <v>1</v>
      </c>
      <c r="J1314" s="5">
        <v>1842</v>
      </c>
      <c r="K1314" s="5">
        <v>4</v>
      </c>
      <c r="L1314" s="5" t="s">
        <v>46</v>
      </c>
      <c r="M1314" s="5">
        <v>89</v>
      </c>
      <c r="N1314" s="5">
        <v>4</v>
      </c>
      <c r="O1314" s="5">
        <v>1</v>
      </c>
      <c r="P1314" s="5" t="s">
        <v>61</v>
      </c>
      <c r="Q1314" s="5">
        <v>1</v>
      </c>
      <c r="R1314" s="5" t="s">
        <v>48</v>
      </c>
      <c r="S1314" s="5">
        <v>2956</v>
      </c>
      <c r="T1314" s="5">
        <v>21495</v>
      </c>
      <c r="U1314" s="5">
        <v>0</v>
      </c>
      <c r="V1314" s="5" t="s">
        <v>42</v>
      </c>
      <c r="W1314" s="5" t="s">
        <v>43</v>
      </c>
      <c r="X1314" s="5">
        <v>17</v>
      </c>
      <c r="Y1314" s="5">
        <v>3</v>
      </c>
      <c r="Z1314" s="5">
        <v>3</v>
      </c>
      <c r="AA1314" s="5">
        <v>80</v>
      </c>
      <c r="AB1314" s="5">
        <v>0</v>
      </c>
      <c r="AC1314" s="5">
        <v>2</v>
      </c>
      <c r="AD1314" s="5">
        <v>4</v>
      </c>
      <c r="AE1314" s="5">
        <v>3</v>
      </c>
      <c r="AF1314" s="5">
        <v>1</v>
      </c>
      <c r="AG1314" s="5">
        <v>0</v>
      </c>
      <c r="AH1314" s="5">
        <v>0</v>
      </c>
      <c r="AI1314" s="5">
        <v>0</v>
      </c>
    </row>
    <row r="1315" spans="1:35" x14ac:dyDescent="0.25">
      <c r="A1315" s="5">
        <v>29</v>
      </c>
      <c r="B1315" s="5" t="s">
        <v>35</v>
      </c>
      <c r="C1315" s="5" t="s">
        <v>36</v>
      </c>
      <c r="D1315" s="5">
        <v>350</v>
      </c>
      <c r="E1315" s="5" t="s">
        <v>61</v>
      </c>
      <c r="F1315" s="5">
        <v>13</v>
      </c>
      <c r="G1315" s="5">
        <v>3</v>
      </c>
      <c r="H1315" s="5" t="s">
        <v>61</v>
      </c>
      <c r="I1315" s="5">
        <v>1</v>
      </c>
      <c r="J1315" s="5">
        <v>1844</v>
      </c>
      <c r="K1315" s="5">
        <v>1</v>
      </c>
      <c r="L1315" s="5" t="s">
        <v>46</v>
      </c>
      <c r="M1315" s="5">
        <v>56</v>
      </c>
      <c r="N1315" s="5">
        <v>2</v>
      </c>
      <c r="O1315" s="5">
        <v>1</v>
      </c>
      <c r="P1315" s="5" t="s">
        <v>61</v>
      </c>
      <c r="Q1315" s="5">
        <v>1</v>
      </c>
      <c r="R1315" s="5" t="s">
        <v>52</v>
      </c>
      <c r="S1315" s="5">
        <v>2335</v>
      </c>
      <c r="T1315" s="5">
        <v>3157</v>
      </c>
      <c r="U1315" s="5">
        <v>4</v>
      </c>
      <c r="V1315" s="5" t="s">
        <v>42</v>
      </c>
      <c r="W1315" s="5" t="s">
        <v>35</v>
      </c>
      <c r="X1315" s="5">
        <v>15</v>
      </c>
      <c r="Y1315" s="5">
        <v>3</v>
      </c>
      <c r="Z1315" s="5">
        <v>4</v>
      </c>
      <c r="AA1315" s="5">
        <v>80</v>
      </c>
      <c r="AB1315" s="5">
        <v>3</v>
      </c>
      <c r="AC1315" s="5">
        <v>4</v>
      </c>
      <c r="AD1315" s="5">
        <v>3</v>
      </c>
      <c r="AE1315" s="5">
        <v>3</v>
      </c>
      <c r="AF1315" s="5">
        <v>2</v>
      </c>
      <c r="AG1315" s="5">
        <v>2</v>
      </c>
      <c r="AH1315" s="5">
        <v>2</v>
      </c>
      <c r="AI1315" s="5">
        <v>0</v>
      </c>
    </row>
    <row r="1316" spans="1:35" x14ac:dyDescent="0.25">
      <c r="A1316" s="5">
        <v>45</v>
      </c>
      <c r="B1316" s="5" t="s">
        <v>43</v>
      </c>
      <c r="C1316" s="5" t="s">
        <v>55</v>
      </c>
      <c r="D1316" s="5">
        <v>589</v>
      </c>
      <c r="E1316" s="5" t="s">
        <v>37</v>
      </c>
      <c r="F1316" s="5">
        <v>2</v>
      </c>
      <c r="G1316" s="5">
        <v>4</v>
      </c>
      <c r="H1316" s="5" t="s">
        <v>38</v>
      </c>
      <c r="I1316" s="5">
        <v>1</v>
      </c>
      <c r="J1316" s="5">
        <v>1845</v>
      </c>
      <c r="K1316" s="5">
        <v>3</v>
      </c>
      <c r="L1316" s="5" t="s">
        <v>39</v>
      </c>
      <c r="M1316" s="5">
        <v>67</v>
      </c>
      <c r="N1316" s="5">
        <v>3</v>
      </c>
      <c r="O1316" s="5">
        <v>2</v>
      </c>
      <c r="P1316" s="5" t="s">
        <v>40</v>
      </c>
      <c r="Q1316" s="5">
        <v>3</v>
      </c>
      <c r="R1316" s="5" t="s">
        <v>48</v>
      </c>
      <c r="S1316" s="5">
        <v>5154</v>
      </c>
      <c r="T1316" s="5">
        <v>19665</v>
      </c>
      <c r="U1316" s="5">
        <v>4</v>
      </c>
      <c r="V1316" s="5" t="s">
        <v>42</v>
      </c>
      <c r="W1316" s="5" t="s">
        <v>43</v>
      </c>
      <c r="X1316" s="5">
        <v>22</v>
      </c>
      <c r="Y1316" s="5">
        <v>4</v>
      </c>
      <c r="Z1316" s="5">
        <v>2</v>
      </c>
      <c r="AA1316" s="5">
        <v>80</v>
      </c>
      <c r="AB1316" s="5">
        <v>2</v>
      </c>
      <c r="AC1316" s="5">
        <v>10</v>
      </c>
      <c r="AD1316" s="5">
        <v>3</v>
      </c>
      <c r="AE1316" s="5">
        <v>4</v>
      </c>
      <c r="AF1316" s="5">
        <v>8</v>
      </c>
      <c r="AG1316" s="5">
        <v>7</v>
      </c>
      <c r="AH1316" s="5">
        <v>5</v>
      </c>
      <c r="AI1316" s="5">
        <v>7</v>
      </c>
    </row>
    <row r="1317" spans="1:35" x14ac:dyDescent="0.25">
      <c r="A1317" s="5">
        <v>36</v>
      </c>
      <c r="B1317" s="5" t="s">
        <v>43</v>
      </c>
      <c r="C1317" s="5" t="s">
        <v>36</v>
      </c>
      <c r="D1317" s="5">
        <v>430</v>
      </c>
      <c r="E1317" s="5" t="s">
        <v>45</v>
      </c>
      <c r="F1317" s="5">
        <v>2</v>
      </c>
      <c r="G1317" s="5">
        <v>4</v>
      </c>
      <c r="H1317" s="5" t="s">
        <v>49</v>
      </c>
      <c r="I1317" s="5">
        <v>1</v>
      </c>
      <c r="J1317" s="5">
        <v>1847</v>
      </c>
      <c r="K1317" s="5">
        <v>4</v>
      </c>
      <c r="L1317" s="5" t="s">
        <v>39</v>
      </c>
      <c r="M1317" s="5">
        <v>73</v>
      </c>
      <c r="N1317" s="5">
        <v>3</v>
      </c>
      <c r="O1317" s="5">
        <v>2</v>
      </c>
      <c r="P1317" s="5" t="s">
        <v>47</v>
      </c>
      <c r="Q1317" s="5">
        <v>2</v>
      </c>
      <c r="R1317" s="5" t="s">
        <v>48</v>
      </c>
      <c r="S1317" s="5">
        <v>6962</v>
      </c>
      <c r="T1317" s="5">
        <v>19573</v>
      </c>
      <c r="U1317" s="5">
        <v>4</v>
      </c>
      <c r="V1317" s="5" t="s">
        <v>42</v>
      </c>
      <c r="W1317" s="5" t="s">
        <v>35</v>
      </c>
      <c r="X1317" s="5">
        <v>22</v>
      </c>
      <c r="Y1317" s="5">
        <v>4</v>
      </c>
      <c r="Z1317" s="5">
        <v>4</v>
      </c>
      <c r="AA1317" s="5">
        <v>80</v>
      </c>
      <c r="AB1317" s="5">
        <v>1</v>
      </c>
      <c r="AC1317" s="5">
        <v>15</v>
      </c>
      <c r="AD1317" s="5">
        <v>2</v>
      </c>
      <c r="AE1317" s="5">
        <v>3</v>
      </c>
      <c r="AF1317" s="5">
        <v>1</v>
      </c>
      <c r="AG1317" s="5">
        <v>0</v>
      </c>
      <c r="AH1317" s="5">
        <v>0</v>
      </c>
      <c r="AI1317" s="5">
        <v>0</v>
      </c>
    </row>
    <row r="1318" spans="1:35" x14ac:dyDescent="0.25">
      <c r="A1318" s="5">
        <v>43</v>
      </c>
      <c r="B1318" s="5" t="s">
        <v>43</v>
      </c>
      <c r="C1318" s="5" t="s">
        <v>44</v>
      </c>
      <c r="D1318" s="5">
        <v>1422</v>
      </c>
      <c r="E1318" s="5" t="s">
        <v>37</v>
      </c>
      <c r="F1318" s="5">
        <v>2</v>
      </c>
      <c r="G1318" s="5">
        <v>4</v>
      </c>
      <c r="H1318" s="5" t="s">
        <v>38</v>
      </c>
      <c r="I1318" s="5">
        <v>1</v>
      </c>
      <c r="J1318" s="5">
        <v>1849</v>
      </c>
      <c r="K1318" s="5">
        <v>1</v>
      </c>
      <c r="L1318" s="5" t="s">
        <v>46</v>
      </c>
      <c r="M1318" s="5">
        <v>92</v>
      </c>
      <c r="N1318" s="5">
        <v>3</v>
      </c>
      <c r="O1318" s="5">
        <v>2</v>
      </c>
      <c r="P1318" s="5" t="s">
        <v>40</v>
      </c>
      <c r="Q1318" s="5">
        <v>4</v>
      </c>
      <c r="R1318" s="5" t="s">
        <v>48</v>
      </c>
      <c r="S1318" s="5">
        <v>5675</v>
      </c>
      <c r="T1318" s="5">
        <v>19246</v>
      </c>
      <c r="U1318" s="5">
        <v>1</v>
      </c>
      <c r="V1318" s="5" t="s">
        <v>42</v>
      </c>
      <c r="W1318" s="5" t="s">
        <v>43</v>
      </c>
      <c r="X1318" s="5">
        <v>20</v>
      </c>
      <c r="Y1318" s="5">
        <v>4</v>
      </c>
      <c r="Z1318" s="5">
        <v>3</v>
      </c>
      <c r="AA1318" s="5">
        <v>80</v>
      </c>
      <c r="AB1318" s="5">
        <v>1</v>
      </c>
      <c r="AC1318" s="5">
        <v>7</v>
      </c>
      <c r="AD1318" s="5">
        <v>5</v>
      </c>
      <c r="AE1318" s="5">
        <v>3</v>
      </c>
      <c r="AF1318" s="5">
        <v>7</v>
      </c>
      <c r="AG1318" s="5">
        <v>7</v>
      </c>
      <c r="AH1318" s="5">
        <v>7</v>
      </c>
      <c r="AI1318" s="5">
        <v>7</v>
      </c>
    </row>
    <row r="1319" spans="1:35" x14ac:dyDescent="0.25">
      <c r="A1319" s="5">
        <v>27</v>
      </c>
      <c r="B1319" s="5" t="s">
        <v>43</v>
      </c>
      <c r="C1319" s="5" t="s">
        <v>44</v>
      </c>
      <c r="D1319" s="5">
        <v>1297</v>
      </c>
      <c r="E1319" s="5" t="s">
        <v>45</v>
      </c>
      <c r="F1319" s="5">
        <v>5</v>
      </c>
      <c r="G1319" s="5">
        <v>2</v>
      </c>
      <c r="H1319" s="5" t="s">
        <v>38</v>
      </c>
      <c r="I1319" s="5">
        <v>1</v>
      </c>
      <c r="J1319" s="5">
        <v>1850</v>
      </c>
      <c r="K1319" s="5">
        <v>4</v>
      </c>
      <c r="L1319" s="5" t="s">
        <v>39</v>
      </c>
      <c r="M1319" s="5">
        <v>53</v>
      </c>
      <c r="N1319" s="5">
        <v>3</v>
      </c>
      <c r="O1319" s="5">
        <v>1</v>
      </c>
      <c r="P1319" s="5" t="s">
        <v>50</v>
      </c>
      <c r="Q1319" s="5">
        <v>4</v>
      </c>
      <c r="R1319" s="5" t="s">
        <v>41</v>
      </c>
      <c r="S1319" s="5">
        <v>2379</v>
      </c>
      <c r="T1319" s="5">
        <v>19826</v>
      </c>
      <c r="U1319" s="5">
        <v>0</v>
      </c>
      <c r="V1319" s="5" t="s">
        <v>42</v>
      </c>
      <c r="W1319" s="5" t="s">
        <v>35</v>
      </c>
      <c r="X1319" s="5">
        <v>14</v>
      </c>
      <c r="Y1319" s="5">
        <v>3</v>
      </c>
      <c r="Z1319" s="5">
        <v>3</v>
      </c>
      <c r="AA1319" s="5">
        <v>80</v>
      </c>
      <c r="AB1319" s="5">
        <v>0</v>
      </c>
      <c r="AC1319" s="5">
        <v>6</v>
      </c>
      <c r="AD1319" s="5">
        <v>3</v>
      </c>
      <c r="AE1319" s="5">
        <v>2</v>
      </c>
      <c r="AF1319" s="5">
        <v>5</v>
      </c>
      <c r="AG1319" s="5">
        <v>4</v>
      </c>
      <c r="AH1319" s="5">
        <v>0</v>
      </c>
      <c r="AI1319" s="5">
        <v>2</v>
      </c>
    </row>
    <row r="1320" spans="1:35" x14ac:dyDescent="0.25">
      <c r="A1320" s="5">
        <v>29</v>
      </c>
      <c r="B1320" s="5" t="s">
        <v>43</v>
      </c>
      <c r="C1320" s="5" t="s">
        <v>44</v>
      </c>
      <c r="D1320" s="5">
        <v>574</v>
      </c>
      <c r="E1320" s="5" t="s">
        <v>45</v>
      </c>
      <c r="F1320" s="5">
        <v>20</v>
      </c>
      <c r="G1320" s="5">
        <v>1</v>
      </c>
      <c r="H1320" s="5" t="s">
        <v>51</v>
      </c>
      <c r="I1320" s="5">
        <v>1</v>
      </c>
      <c r="J1320" s="5">
        <v>1852</v>
      </c>
      <c r="K1320" s="5">
        <v>4</v>
      </c>
      <c r="L1320" s="5" t="s">
        <v>46</v>
      </c>
      <c r="M1320" s="5">
        <v>40</v>
      </c>
      <c r="N1320" s="5">
        <v>3</v>
      </c>
      <c r="O1320" s="5">
        <v>1</v>
      </c>
      <c r="P1320" s="5" t="s">
        <v>50</v>
      </c>
      <c r="Q1320" s="5">
        <v>4</v>
      </c>
      <c r="R1320" s="5" t="s">
        <v>48</v>
      </c>
      <c r="S1320" s="5">
        <v>3812</v>
      </c>
      <c r="T1320" s="5">
        <v>7003</v>
      </c>
      <c r="U1320" s="5">
        <v>1</v>
      </c>
      <c r="V1320" s="5" t="s">
        <v>42</v>
      </c>
      <c r="W1320" s="5" t="s">
        <v>43</v>
      </c>
      <c r="X1320" s="5">
        <v>13</v>
      </c>
      <c r="Y1320" s="5">
        <v>3</v>
      </c>
      <c r="Z1320" s="5">
        <v>2</v>
      </c>
      <c r="AA1320" s="5">
        <v>80</v>
      </c>
      <c r="AB1320" s="5">
        <v>0</v>
      </c>
      <c r="AC1320" s="5">
        <v>11</v>
      </c>
      <c r="AD1320" s="5">
        <v>3</v>
      </c>
      <c r="AE1320" s="5">
        <v>4</v>
      </c>
      <c r="AF1320" s="5">
        <v>11</v>
      </c>
      <c r="AG1320" s="5">
        <v>8</v>
      </c>
      <c r="AH1320" s="5">
        <v>3</v>
      </c>
      <c r="AI1320" s="5">
        <v>10</v>
      </c>
    </row>
    <row r="1321" spans="1:35" x14ac:dyDescent="0.25">
      <c r="A1321" s="5">
        <v>32</v>
      </c>
      <c r="B1321" s="5" t="s">
        <v>43</v>
      </c>
      <c r="C1321" s="5" t="s">
        <v>44</v>
      </c>
      <c r="D1321" s="5">
        <v>1318</v>
      </c>
      <c r="E1321" s="5" t="s">
        <v>37</v>
      </c>
      <c r="F1321" s="5">
        <v>10</v>
      </c>
      <c r="G1321" s="5">
        <v>4</v>
      </c>
      <c r="H1321" s="5" t="s">
        <v>59</v>
      </c>
      <c r="I1321" s="5">
        <v>1</v>
      </c>
      <c r="J1321" s="5">
        <v>1853</v>
      </c>
      <c r="K1321" s="5">
        <v>4</v>
      </c>
      <c r="L1321" s="5" t="s">
        <v>46</v>
      </c>
      <c r="M1321" s="5">
        <v>79</v>
      </c>
      <c r="N1321" s="5">
        <v>3</v>
      </c>
      <c r="O1321" s="5">
        <v>2</v>
      </c>
      <c r="P1321" s="5" t="s">
        <v>40</v>
      </c>
      <c r="Q1321" s="5">
        <v>4</v>
      </c>
      <c r="R1321" s="5" t="s">
        <v>41</v>
      </c>
      <c r="S1321" s="5">
        <v>4648</v>
      </c>
      <c r="T1321" s="5">
        <v>26075</v>
      </c>
      <c r="U1321" s="5">
        <v>8</v>
      </c>
      <c r="V1321" s="5" t="s">
        <v>42</v>
      </c>
      <c r="W1321" s="5" t="s">
        <v>43</v>
      </c>
      <c r="X1321" s="5">
        <v>13</v>
      </c>
      <c r="Y1321" s="5">
        <v>3</v>
      </c>
      <c r="Z1321" s="5">
        <v>3</v>
      </c>
      <c r="AA1321" s="5">
        <v>80</v>
      </c>
      <c r="AB1321" s="5">
        <v>0</v>
      </c>
      <c r="AC1321" s="5">
        <v>4</v>
      </c>
      <c r="AD1321" s="5">
        <v>2</v>
      </c>
      <c r="AE1321" s="5">
        <v>4</v>
      </c>
      <c r="AF1321" s="5">
        <v>0</v>
      </c>
      <c r="AG1321" s="5">
        <v>0</v>
      </c>
      <c r="AH1321" s="5">
        <v>0</v>
      </c>
      <c r="AI1321" s="5">
        <v>0</v>
      </c>
    </row>
    <row r="1322" spans="1:35" x14ac:dyDescent="0.25">
      <c r="A1322" s="5">
        <v>42</v>
      </c>
      <c r="B1322" s="5" t="s">
        <v>43</v>
      </c>
      <c r="C1322" s="5" t="s">
        <v>55</v>
      </c>
      <c r="D1322" s="5">
        <v>355</v>
      </c>
      <c r="E1322" s="5" t="s">
        <v>45</v>
      </c>
      <c r="F1322" s="5">
        <v>10</v>
      </c>
      <c r="G1322" s="5">
        <v>4</v>
      </c>
      <c r="H1322" s="5" t="s">
        <v>60</v>
      </c>
      <c r="I1322" s="5">
        <v>1</v>
      </c>
      <c r="J1322" s="5">
        <v>1854</v>
      </c>
      <c r="K1322" s="5">
        <v>3</v>
      </c>
      <c r="L1322" s="5" t="s">
        <v>46</v>
      </c>
      <c r="M1322" s="5">
        <v>38</v>
      </c>
      <c r="N1322" s="5">
        <v>3</v>
      </c>
      <c r="O1322" s="5">
        <v>1</v>
      </c>
      <c r="P1322" s="5" t="s">
        <v>47</v>
      </c>
      <c r="Q1322" s="5">
        <v>3</v>
      </c>
      <c r="R1322" s="5" t="s">
        <v>48</v>
      </c>
      <c r="S1322" s="5">
        <v>2936</v>
      </c>
      <c r="T1322" s="5">
        <v>6161</v>
      </c>
      <c r="U1322" s="5">
        <v>3</v>
      </c>
      <c r="V1322" s="5" t="s">
        <v>42</v>
      </c>
      <c r="W1322" s="5" t="s">
        <v>43</v>
      </c>
      <c r="X1322" s="5">
        <v>22</v>
      </c>
      <c r="Y1322" s="5">
        <v>4</v>
      </c>
      <c r="Z1322" s="5">
        <v>2</v>
      </c>
      <c r="AA1322" s="5">
        <v>80</v>
      </c>
      <c r="AB1322" s="5">
        <v>2</v>
      </c>
      <c r="AC1322" s="5">
        <v>10</v>
      </c>
      <c r="AD1322" s="5">
        <v>1</v>
      </c>
      <c r="AE1322" s="5">
        <v>2</v>
      </c>
      <c r="AF1322" s="5">
        <v>6</v>
      </c>
      <c r="AG1322" s="5">
        <v>3</v>
      </c>
      <c r="AH1322" s="5">
        <v>3</v>
      </c>
      <c r="AI1322" s="5">
        <v>3</v>
      </c>
    </row>
    <row r="1323" spans="1:35" x14ac:dyDescent="0.25">
      <c r="A1323" s="5">
        <v>47</v>
      </c>
      <c r="B1323" s="5" t="s">
        <v>43</v>
      </c>
      <c r="C1323" s="5" t="s">
        <v>36</v>
      </c>
      <c r="D1323" s="5">
        <v>207</v>
      </c>
      <c r="E1323" s="5" t="s">
        <v>45</v>
      </c>
      <c r="F1323" s="5">
        <v>9</v>
      </c>
      <c r="G1323" s="5">
        <v>4</v>
      </c>
      <c r="H1323" s="5" t="s">
        <v>38</v>
      </c>
      <c r="I1323" s="5">
        <v>1</v>
      </c>
      <c r="J1323" s="5">
        <v>1856</v>
      </c>
      <c r="K1323" s="5">
        <v>2</v>
      </c>
      <c r="L1323" s="5" t="s">
        <v>39</v>
      </c>
      <c r="M1323" s="5">
        <v>64</v>
      </c>
      <c r="N1323" s="5">
        <v>3</v>
      </c>
      <c r="O1323" s="5">
        <v>1</v>
      </c>
      <c r="P1323" s="5" t="s">
        <v>50</v>
      </c>
      <c r="Q1323" s="5">
        <v>3</v>
      </c>
      <c r="R1323" s="5" t="s">
        <v>41</v>
      </c>
      <c r="S1323" s="5">
        <v>2105</v>
      </c>
      <c r="T1323" s="5">
        <v>5411</v>
      </c>
      <c r="U1323" s="5">
        <v>4</v>
      </c>
      <c r="V1323" s="5" t="s">
        <v>42</v>
      </c>
      <c r="W1323" s="5" t="s">
        <v>43</v>
      </c>
      <c r="X1323" s="5">
        <v>12</v>
      </c>
      <c r="Y1323" s="5">
        <v>3</v>
      </c>
      <c r="Z1323" s="5">
        <v>3</v>
      </c>
      <c r="AA1323" s="5">
        <v>80</v>
      </c>
      <c r="AB1323" s="5">
        <v>0</v>
      </c>
      <c r="AC1323" s="5">
        <v>7</v>
      </c>
      <c r="AD1323" s="5">
        <v>2</v>
      </c>
      <c r="AE1323" s="5">
        <v>3</v>
      </c>
      <c r="AF1323" s="5">
        <v>2</v>
      </c>
      <c r="AG1323" s="5">
        <v>2</v>
      </c>
      <c r="AH1323" s="5">
        <v>2</v>
      </c>
      <c r="AI1323" s="5">
        <v>0</v>
      </c>
    </row>
    <row r="1324" spans="1:35" x14ac:dyDescent="0.25">
      <c r="A1324" s="5">
        <v>46</v>
      </c>
      <c r="B1324" s="5" t="s">
        <v>43</v>
      </c>
      <c r="C1324" s="5" t="s">
        <v>36</v>
      </c>
      <c r="D1324" s="5">
        <v>706</v>
      </c>
      <c r="E1324" s="5" t="s">
        <v>45</v>
      </c>
      <c r="F1324" s="5">
        <v>2</v>
      </c>
      <c r="G1324" s="5">
        <v>2</v>
      </c>
      <c r="H1324" s="5" t="s">
        <v>38</v>
      </c>
      <c r="I1324" s="5">
        <v>1</v>
      </c>
      <c r="J1324" s="5">
        <v>1857</v>
      </c>
      <c r="K1324" s="5">
        <v>4</v>
      </c>
      <c r="L1324" s="5" t="s">
        <v>46</v>
      </c>
      <c r="M1324" s="5">
        <v>82</v>
      </c>
      <c r="N1324" s="5">
        <v>3</v>
      </c>
      <c r="O1324" s="5">
        <v>3</v>
      </c>
      <c r="P1324" s="5" t="s">
        <v>53</v>
      </c>
      <c r="Q1324" s="5">
        <v>4</v>
      </c>
      <c r="R1324" s="5" t="s">
        <v>52</v>
      </c>
      <c r="S1324" s="5">
        <v>8578</v>
      </c>
      <c r="T1324" s="5">
        <v>19989</v>
      </c>
      <c r="U1324" s="5">
        <v>3</v>
      </c>
      <c r="V1324" s="5" t="s">
        <v>42</v>
      </c>
      <c r="W1324" s="5" t="s">
        <v>43</v>
      </c>
      <c r="X1324" s="5">
        <v>14</v>
      </c>
      <c r="Y1324" s="5">
        <v>3</v>
      </c>
      <c r="Z1324" s="5">
        <v>3</v>
      </c>
      <c r="AA1324" s="5">
        <v>80</v>
      </c>
      <c r="AB1324" s="5">
        <v>1</v>
      </c>
      <c r="AC1324" s="5">
        <v>12</v>
      </c>
      <c r="AD1324" s="5">
        <v>4</v>
      </c>
      <c r="AE1324" s="5">
        <v>2</v>
      </c>
      <c r="AF1324" s="5">
        <v>9</v>
      </c>
      <c r="AG1324" s="5">
        <v>8</v>
      </c>
      <c r="AH1324" s="5">
        <v>4</v>
      </c>
      <c r="AI1324" s="5">
        <v>7</v>
      </c>
    </row>
    <row r="1325" spans="1:35" x14ac:dyDescent="0.25">
      <c r="A1325" s="5">
        <v>28</v>
      </c>
      <c r="B1325" s="5" t="s">
        <v>43</v>
      </c>
      <c r="C1325" s="5" t="s">
        <v>55</v>
      </c>
      <c r="D1325" s="5">
        <v>280</v>
      </c>
      <c r="E1325" s="5" t="s">
        <v>61</v>
      </c>
      <c r="F1325" s="5">
        <v>1</v>
      </c>
      <c r="G1325" s="5">
        <v>2</v>
      </c>
      <c r="H1325" s="5" t="s">
        <v>38</v>
      </c>
      <c r="I1325" s="5">
        <v>1</v>
      </c>
      <c r="J1325" s="5">
        <v>1858</v>
      </c>
      <c r="K1325" s="5">
        <v>3</v>
      </c>
      <c r="L1325" s="5" t="s">
        <v>46</v>
      </c>
      <c r="M1325" s="5">
        <v>43</v>
      </c>
      <c r="N1325" s="5">
        <v>3</v>
      </c>
      <c r="O1325" s="5">
        <v>1</v>
      </c>
      <c r="P1325" s="5" t="s">
        <v>61</v>
      </c>
      <c r="Q1325" s="5">
        <v>4</v>
      </c>
      <c r="R1325" s="5" t="s">
        <v>52</v>
      </c>
      <c r="S1325" s="5">
        <v>2706</v>
      </c>
      <c r="T1325" s="5">
        <v>10494</v>
      </c>
      <c r="U1325" s="5">
        <v>1</v>
      </c>
      <c r="V1325" s="5" t="s">
        <v>42</v>
      </c>
      <c r="W1325" s="5" t="s">
        <v>43</v>
      </c>
      <c r="X1325" s="5">
        <v>15</v>
      </c>
      <c r="Y1325" s="5">
        <v>3</v>
      </c>
      <c r="Z1325" s="5">
        <v>2</v>
      </c>
      <c r="AA1325" s="5">
        <v>80</v>
      </c>
      <c r="AB1325" s="5">
        <v>1</v>
      </c>
      <c r="AC1325" s="5">
        <v>3</v>
      </c>
      <c r="AD1325" s="5">
        <v>2</v>
      </c>
      <c r="AE1325" s="5">
        <v>3</v>
      </c>
      <c r="AF1325" s="5">
        <v>3</v>
      </c>
      <c r="AG1325" s="5">
        <v>2</v>
      </c>
      <c r="AH1325" s="5">
        <v>2</v>
      </c>
      <c r="AI1325" s="5">
        <v>2</v>
      </c>
    </row>
    <row r="1326" spans="1:35" x14ac:dyDescent="0.25">
      <c r="A1326" s="5">
        <v>29</v>
      </c>
      <c r="B1326" s="5" t="s">
        <v>43</v>
      </c>
      <c r="C1326" s="5" t="s">
        <v>36</v>
      </c>
      <c r="D1326" s="5">
        <v>726</v>
      </c>
      <c r="E1326" s="5" t="s">
        <v>45</v>
      </c>
      <c r="F1326" s="5">
        <v>29</v>
      </c>
      <c r="G1326" s="5">
        <v>1</v>
      </c>
      <c r="H1326" s="5" t="s">
        <v>38</v>
      </c>
      <c r="I1326" s="5">
        <v>1</v>
      </c>
      <c r="J1326" s="5">
        <v>1859</v>
      </c>
      <c r="K1326" s="5">
        <v>4</v>
      </c>
      <c r="L1326" s="5" t="s">
        <v>46</v>
      </c>
      <c r="M1326" s="5">
        <v>93</v>
      </c>
      <c r="N1326" s="5">
        <v>1</v>
      </c>
      <c r="O1326" s="5">
        <v>2</v>
      </c>
      <c r="P1326" s="5" t="s">
        <v>54</v>
      </c>
      <c r="Q1326" s="5">
        <v>3</v>
      </c>
      <c r="R1326" s="5" t="s">
        <v>52</v>
      </c>
      <c r="S1326" s="5">
        <v>6384</v>
      </c>
      <c r="T1326" s="5">
        <v>21143</v>
      </c>
      <c r="U1326" s="5">
        <v>8</v>
      </c>
      <c r="V1326" s="5" t="s">
        <v>42</v>
      </c>
      <c r="W1326" s="5" t="s">
        <v>43</v>
      </c>
      <c r="X1326" s="5">
        <v>17</v>
      </c>
      <c r="Y1326" s="5">
        <v>3</v>
      </c>
      <c r="Z1326" s="5">
        <v>4</v>
      </c>
      <c r="AA1326" s="5">
        <v>80</v>
      </c>
      <c r="AB1326" s="5">
        <v>2</v>
      </c>
      <c r="AC1326" s="5">
        <v>11</v>
      </c>
      <c r="AD1326" s="5">
        <v>3</v>
      </c>
      <c r="AE1326" s="5">
        <v>3</v>
      </c>
      <c r="AF1326" s="5">
        <v>7</v>
      </c>
      <c r="AG1326" s="5">
        <v>0</v>
      </c>
      <c r="AH1326" s="5">
        <v>1</v>
      </c>
      <c r="AI1326" s="5">
        <v>6</v>
      </c>
    </row>
    <row r="1327" spans="1:35" x14ac:dyDescent="0.25">
      <c r="A1327" s="5">
        <v>42</v>
      </c>
      <c r="B1327" s="5" t="s">
        <v>43</v>
      </c>
      <c r="C1327" s="5" t="s">
        <v>36</v>
      </c>
      <c r="D1327" s="5">
        <v>1142</v>
      </c>
      <c r="E1327" s="5" t="s">
        <v>45</v>
      </c>
      <c r="F1327" s="5">
        <v>8</v>
      </c>
      <c r="G1327" s="5">
        <v>3</v>
      </c>
      <c r="H1327" s="5" t="s">
        <v>38</v>
      </c>
      <c r="I1327" s="5">
        <v>1</v>
      </c>
      <c r="J1327" s="5">
        <v>1860</v>
      </c>
      <c r="K1327" s="5">
        <v>4</v>
      </c>
      <c r="L1327" s="5" t="s">
        <v>46</v>
      </c>
      <c r="M1327" s="5">
        <v>81</v>
      </c>
      <c r="N1327" s="5">
        <v>3</v>
      </c>
      <c r="O1327" s="5">
        <v>1</v>
      </c>
      <c r="P1327" s="5" t="s">
        <v>50</v>
      </c>
      <c r="Q1327" s="5">
        <v>3</v>
      </c>
      <c r="R1327" s="5" t="s">
        <v>41</v>
      </c>
      <c r="S1327" s="5">
        <v>3968</v>
      </c>
      <c r="T1327" s="5">
        <v>13624</v>
      </c>
      <c r="U1327" s="5">
        <v>4</v>
      </c>
      <c r="V1327" s="5" t="s">
        <v>42</v>
      </c>
      <c r="W1327" s="5" t="s">
        <v>43</v>
      </c>
      <c r="X1327" s="5">
        <v>13</v>
      </c>
      <c r="Y1327" s="5">
        <v>3</v>
      </c>
      <c r="Z1327" s="5">
        <v>4</v>
      </c>
      <c r="AA1327" s="5">
        <v>80</v>
      </c>
      <c r="AB1327" s="5">
        <v>0</v>
      </c>
      <c r="AC1327" s="5">
        <v>8</v>
      </c>
      <c r="AD1327" s="5">
        <v>3</v>
      </c>
      <c r="AE1327" s="5">
        <v>3</v>
      </c>
      <c r="AF1327" s="5">
        <v>0</v>
      </c>
      <c r="AG1327" s="5">
        <v>0</v>
      </c>
      <c r="AH1327" s="5">
        <v>0</v>
      </c>
      <c r="AI1327" s="5">
        <v>0</v>
      </c>
    </row>
    <row r="1328" spans="1:35" x14ac:dyDescent="0.25">
      <c r="A1328" s="5">
        <v>32</v>
      </c>
      <c r="B1328" s="5" t="s">
        <v>35</v>
      </c>
      <c r="C1328" s="5" t="s">
        <v>36</v>
      </c>
      <c r="D1328" s="5">
        <v>414</v>
      </c>
      <c r="E1328" s="5" t="s">
        <v>37</v>
      </c>
      <c r="F1328" s="5">
        <v>2</v>
      </c>
      <c r="G1328" s="5">
        <v>4</v>
      </c>
      <c r="H1328" s="5" t="s">
        <v>59</v>
      </c>
      <c r="I1328" s="5">
        <v>1</v>
      </c>
      <c r="J1328" s="5">
        <v>1862</v>
      </c>
      <c r="K1328" s="5">
        <v>3</v>
      </c>
      <c r="L1328" s="5" t="s">
        <v>46</v>
      </c>
      <c r="M1328" s="5">
        <v>82</v>
      </c>
      <c r="N1328" s="5">
        <v>2</v>
      </c>
      <c r="O1328" s="5">
        <v>2</v>
      </c>
      <c r="P1328" s="5" t="s">
        <v>40</v>
      </c>
      <c r="Q1328" s="5">
        <v>2</v>
      </c>
      <c r="R1328" s="5" t="s">
        <v>41</v>
      </c>
      <c r="S1328" s="5">
        <v>9907</v>
      </c>
      <c r="T1328" s="5">
        <v>26186</v>
      </c>
      <c r="U1328" s="5">
        <v>7</v>
      </c>
      <c r="V1328" s="5" t="s">
        <v>42</v>
      </c>
      <c r="W1328" s="5" t="s">
        <v>35</v>
      </c>
      <c r="X1328" s="5">
        <v>12</v>
      </c>
      <c r="Y1328" s="5">
        <v>3</v>
      </c>
      <c r="Z1328" s="5">
        <v>3</v>
      </c>
      <c r="AA1328" s="5">
        <v>80</v>
      </c>
      <c r="AB1328" s="5">
        <v>0</v>
      </c>
      <c r="AC1328" s="5">
        <v>7</v>
      </c>
      <c r="AD1328" s="5">
        <v>3</v>
      </c>
      <c r="AE1328" s="5">
        <v>2</v>
      </c>
      <c r="AF1328" s="5">
        <v>2</v>
      </c>
      <c r="AG1328" s="5">
        <v>2</v>
      </c>
      <c r="AH1328" s="5">
        <v>2</v>
      </c>
      <c r="AI1328" s="5">
        <v>2</v>
      </c>
    </row>
    <row r="1329" spans="1:35" x14ac:dyDescent="0.25">
      <c r="A1329" s="5">
        <v>46</v>
      </c>
      <c r="B1329" s="5" t="s">
        <v>43</v>
      </c>
      <c r="C1329" s="5" t="s">
        <v>36</v>
      </c>
      <c r="D1329" s="5">
        <v>1319</v>
      </c>
      <c r="E1329" s="5" t="s">
        <v>37</v>
      </c>
      <c r="F1329" s="5">
        <v>3</v>
      </c>
      <c r="G1329" s="5">
        <v>3</v>
      </c>
      <c r="H1329" s="5" t="s">
        <v>60</v>
      </c>
      <c r="I1329" s="5">
        <v>1</v>
      </c>
      <c r="J1329" s="5">
        <v>1863</v>
      </c>
      <c r="K1329" s="5">
        <v>1</v>
      </c>
      <c r="L1329" s="5" t="s">
        <v>39</v>
      </c>
      <c r="M1329" s="5">
        <v>45</v>
      </c>
      <c r="N1329" s="5">
        <v>4</v>
      </c>
      <c r="O1329" s="5">
        <v>4</v>
      </c>
      <c r="P1329" s="5" t="s">
        <v>40</v>
      </c>
      <c r="Q1329" s="5">
        <v>1</v>
      </c>
      <c r="R1329" s="5" t="s">
        <v>52</v>
      </c>
      <c r="S1329" s="5">
        <v>13225</v>
      </c>
      <c r="T1329" s="5">
        <v>7739</v>
      </c>
      <c r="U1329" s="5">
        <v>2</v>
      </c>
      <c r="V1329" s="5" t="s">
        <v>42</v>
      </c>
      <c r="W1329" s="5" t="s">
        <v>43</v>
      </c>
      <c r="X1329" s="5">
        <v>12</v>
      </c>
      <c r="Y1329" s="5">
        <v>3</v>
      </c>
      <c r="Z1329" s="5">
        <v>4</v>
      </c>
      <c r="AA1329" s="5">
        <v>80</v>
      </c>
      <c r="AB1329" s="5">
        <v>1</v>
      </c>
      <c r="AC1329" s="5">
        <v>25</v>
      </c>
      <c r="AD1329" s="5">
        <v>5</v>
      </c>
      <c r="AE1329" s="5">
        <v>3</v>
      </c>
      <c r="AF1329" s="5">
        <v>19</v>
      </c>
      <c r="AG1329" s="5">
        <v>17</v>
      </c>
      <c r="AH1329" s="5">
        <v>2</v>
      </c>
      <c r="AI1329" s="5">
        <v>8</v>
      </c>
    </row>
    <row r="1330" spans="1:35" x14ac:dyDescent="0.25">
      <c r="A1330" s="5">
        <v>27</v>
      </c>
      <c r="B1330" s="5" t="s">
        <v>43</v>
      </c>
      <c r="C1330" s="5" t="s">
        <v>36</v>
      </c>
      <c r="D1330" s="5">
        <v>728</v>
      </c>
      <c r="E1330" s="5" t="s">
        <v>37</v>
      </c>
      <c r="F1330" s="5">
        <v>23</v>
      </c>
      <c r="G1330" s="5">
        <v>1</v>
      </c>
      <c r="H1330" s="5" t="s">
        <v>51</v>
      </c>
      <c r="I1330" s="5">
        <v>1</v>
      </c>
      <c r="J1330" s="5">
        <v>1864</v>
      </c>
      <c r="K1330" s="5">
        <v>2</v>
      </c>
      <c r="L1330" s="5" t="s">
        <v>39</v>
      </c>
      <c r="M1330" s="5">
        <v>36</v>
      </c>
      <c r="N1330" s="5">
        <v>2</v>
      </c>
      <c r="O1330" s="5">
        <v>2</v>
      </c>
      <c r="P1330" s="5" t="s">
        <v>57</v>
      </c>
      <c r="Q1330" s="5">
        <v>3</v>
      </c>
      <c r="R1330" s="5" t="s">
        <v>48</v>
      </c>
      <c r="S1330" s="5">
        <v>3540</v>
      </c>
      <c r="T1330" s="5">
        <v>7018</v>
      </c>
      <c r="U1330" s="5">
        <v>1</v>
      </c>
      <c r="V1330" s="5" t="s">
        <v>42</v>
      </c>
      <c r="W1330" s="5" t="s">
        <v>43</v>
      </c>
      <c r="X1330" s="5">
        <v>21</v>
      </c>
      <c r="Y1330" s="5">
        <v>4</v>
      </c>
      <c r="Z1330" s="5">
        <v>4</v>
      </c>
      <c r="AA1330" s="5">
        <v>80</v>
      </c>
      <c r="AB1330" s="5">
        <v>1</v>
      </c>
      <c r="AC1330" s="5">
        <v>9</v>
      </c>
      <c r="AD1330" s="5">
        <v>5</v>
      </c>
      <c r="AE1330" s="5">
        <v>3</v>
      </c>
      <c r="AF1330" s="5">
        <v>9</v>
      </c>
      <c r="AG1330" s="5">
        <v>8</v>
      </c>
      <c r="AH1330" s="5">
        <v>5</v>
      </c>
      <c r="AI1330" s="5">
        <v>8</v>
      </c>
    </row>
    <row r="1331" spans="1:35" x14ac:dyDescent="0.25">
      <c r="A1331" s="5">
        <v>29</v>
      </c>
      <c r="B1331" s="5" t="s">
        <v>43</v>
      </c>
      <c r="C1331" s="5" t="s">
        <v>36</v>
      </c>
      <c r="D1331" s="5">
        <v>352</v>
      </c>
      <c r="E1331" s="5" t="s">
        <v>61</v>
      </c>
      <c r="F1331" s="5">
        <v>6</v>
      </c>
      <c r="G1331" s="5">
        <v>1</v>
      </c>
      <c r="H1331" s="5" t="s">
        <v>51</v>
      </c>
      <c r="I1331" s="5">
        <v>1</v>
      </c>
      <c r="J1331" s="5">
        <v>1865</v>
      </c>
      <c r="K1331" s="5">
        <v>4</v>
      </c>
      <c r="L1331" s="5" t="s">
        <v>46</v>
      </c>
      <c r="M1331" s="5">
        <v>87</v>
      </c>
      <c r="N1331" s="5">
        <v>2</v>
      </c>
      <c r="O1331" s="5">
        <v>1</v>
      </c>
      <c r="P1331" s="5" t="s">
        <v>61</v>
      </c>
      <c r="Q1331" s="5">
        <v>2</v>
      </c>
      <c r="R1331" s="5" t="s">
        <v>48</v>
      </c>
      <c r="S1331" s="5">
        <v>2804</v>
      </c>
      <c r="T1331" s="5">
        <v>15434</v>
      </c>
      <c r="U1331" s="5">
        <v>1</v>
      </c>
      <c r="V1331" s="5" t="s">
        <v>42</v>
      </c>
      <c r="W1331" s="5" t="s">
        <v>43</v>
      </c>
      <c r="X1331" s="5">
        <v>11</v>
      </c>
      <c r="Y1331" s="5">
        <v>3</v>
      </c>
      <c r="Z1331" s="5">
        <v>4</v>
      </c>
      <c r="AA1331" s="5">
        <v>80</v>
      </c>
      <c r="AB1331" s="5">
        <v>0</v>
      </c>
      <c r="AC1331" s="5">
        <v>1</v>
      </c>
      <c r="AD1331" s="5">
        <v>3</v>
      </c>
      <c r="AE1331" s="5">
        <v>3</v>
      </c>
      <c r="AF1331" s="5">
        <v>1</v>
      </c>
      <c r="AG1331" s="5">
        <v>0</v>
      </c>
      <c r="AH1331" s="5">
        <v>0</v>
      </c>
      <c r="AI1331" s="5">
        <v>0</v>
      </c>
    </row>
    <row r="1332" spans="1:35" x14ac:dyDescent="0.25">
      <c r="A1332" s="5">
        <v>43</v>
      </c>
      <c r="B1332" s="5" t="s">
        <v>43</v>
      </c>
      <c r="C1332" s="5" t="s">
        <v>36</v>
      </c>
      <c r="D1332" s="5">
        <v>823</v>
      </c>
      <c r="E1332" s="5" t="s">
        <v>45</v>
      </c>
      <c r="F1332" s="5">
        <v>6</v>
      </c>
      <c r="G1332" s="5">
        <v>3</v>
      </c>
      <c r="H1332" s="5" t="s">
        <v>51</v>
      </c>
      <c r="I1332" s="5">
        <v>1</v>
      </c>
      <c r="J1332" s="5">
        <v>1866</v>
      </c>
      <c r="K1332" s="5">
        <v>1</v>
      </c>
      <c r="L1332" s="5" t="s">
        <v>39</v>
      </c>
      <c r="M1332" s="5">
        <v>81</v>
      </c>
      <c r="N1332" s="5">
        <v>2</v>
      </c>
      <c r="O1332" s="5">
        <v>5</v>
      </c>
      <c r="P1332" s="5" t="s">
        <v>56</v>
      </c>
      <c r="Q1332" s="5">
        <v>3</v>
      </c>
      <c r="R1332" s="5" t="s">
        <v>48</v>
      </c>
      <c r="S1332" s="5">
        <v>19392</v>
      </c>
      <c r="T1332" s="5">
        <v>22539</v>
      </c>
      <c r="U1332" s="5">
        <v>7</v>
      </c>
      <c r="V1332" s="5" t="s">
        <v>42</v>
      </c>
      <c r="W1332" s="5" t="s">
        <v>43</v>
      </c>
      <c r="X1332" s="5">
        <v>13</v>
      </c>
      <c r="Y1332" s="5">
        <v>3</v>
      </c>
      <c r="Z1332" s="5">
        <v>4</v>
      </c>
      <c r="AA1332" s="5">
        <v>80</v>
      </c>
      <c r="AB1332" s="5">
        <v>0</v>
      </c>
      <c r="AC1332" s="5">
        <v>21</v>
      </c>
      <c r="AD1332" s="5">
        <v>2</v>
      </c>
      <c r="AE1332" s="5">
        <v>3</v>
      </c>
      <c r="AF1332" s="5">
        <v>16</v>
      </c>
      <c r="AG1332" s="5">
        <v>12</v>
      </c>
      <c r="AH1332" s="5">
        <v>6</v>
      </c>
      <c r="AI1332" s="5">
        <v>14</v>
      </c>
    </row>
    <row r="1333" spans="1:35" x14ac:dyDescent="0.25">
      <c r="A1333" s="5">
        <v>48</v>
      </c>
      <c r="B1333" s="5" t="s">
        <v>43</v>
      </c>
      <c r="C1333" s="5" t="s">
        <v>36</v>
      </c>
      <c r="D1333" s="5">
        <v>1224</v>
      </c>
      <c r="E1333" s="5" t="s">
        <v>45</v>
      </c>
      <c r="F1333" s="5">
        <v>10</v>
      </c>
      <c r="G1333" s="5">
        <v>3</v>
      </c>
      <c r="H1333" s="5" t="s">
        <v>38</v>
      </c>
      <c r="I1333" s="5">
        <v>1</v>
      </c>
      <c r="J1333" s="5">
        <v>1867</v>
      </c>
      <c r="K1333" s="5">
        <v>4</v>
      </c>
      <c r="L1333" s="5" t="s">
        <v>46</v>
      </c>
      <c r="M1333" s="5">
        <v>91</v>
      </c>
      <c r="N1333" s="5">
        <v>2</v>
      </c>
      <c r="O1333" s="5">
        <v>5</v>
      </c>
      <c r="P1333" s="5" t="s">
        <v>58</v>
      </c>
      <c r="Q1333" s="5">
        <v>2</v>
      </c>
      <c r="R1333" s="5" t="s">
        <v>48</v>
      </c>
      <c r="S1333" s="5">
        <v>19665</v>
      </c>
      <c r="T1333" s="5">
        <v>13583</v>
      </c>
      <c r="U1333" s="5">
        <v>4</v>
      </c>
      <c r="V1333" s="5" t="s">
        <v>42</v>
      </c>
      <c r="W1333" s="5" t="s">
        <v>43</v>
      </c>
      <c r="X1333" s="5">
        <v>12</v>
      </c>
      <c r="Y1333" s="5">
        <v>3</v>
      </c>
      <c r="Z1333" s="5">
        <v>4</v>
      </c>
      <c r="AA1333" s="5">
        <v>80</v>
      </c>
      <c r="AB1333" s="5">
        <v>0</v>
      </c>
      <c r="AC1333" s="5">
        <v>29</v>
      </c>
      <c r="AD1333" s="5">
        <v>3</v>
      </c>
      <c r="AE1333" s="5">
        <v>3</v>
      </c>
      <c r="AF1333" s="5">
        <v>22</v>
      </c>
      <c r="AG1333" s="5">
        <v>10</v>
      </c>
      <c r="AH1333" s="5">
        <v>12</v>
      </c>
      <c r="AI1333" s="5">
        <v>9</v>
      </c>
    </row>
    <row r="1334" spans="1:35" x14ac:dyDescent="0.25">
      <c r="A1334" s="5">
        <v>29</v>
      </c>
      <c r="B1334" s="5" t="s">
        <v>35</v>
      </c>
      <c r="C1334" s="5" t="s">
        <v>44</v>
      </c>
      <c r="D1334" s="5">
        <v>459</v>
      </c>
      <c r="E1334" s="5" t="s">
        <v>45</v>
      </c>
      <c r="F1334" s="5">
        <v>24</v>
      </c>
      <c r="G1334" s="5">
        <v>2</v>
      </c>
      <c r="H1334" s="5" t="s">
        <v>38</v>
      </c>
      <c r="I1334" s="5">
        <v>1</v>
      </c>
      <c r="J1334" s="5">
        <v>1868</v>
      </c>
      <c r="K1334" s="5">
        <v>4</v>
      </c>
      <c r="L1334" s="5" t="s">
        <v>46</v>
      </c>
      <c r="M1334" s="5">
        <v>73</v>
      </c>
      <c r="N1334" s="5">
        <v>2</v>
      </c>
      <c r="O1334" s="5">
        <v>1</v>
      </c>
      <c r="P1334" s="5" t="s">
        <v>47</v>
      </c>
      <c r="Q1334" s="5">
        <v>4</v>
      </c>
      <c r="R1334" s="5" t="s">
        <v>41</v>
      </c>
      <c r="S1334" s="5">
        <v>2439</v>
      </c>
      <c r="T1334" s="5">
        <v>14753</v>
      </c>
      <c r="U1334" s="5">
        <v>1</v>
      </c>
      <c r="V1334" s="5" t="s">
        <v>42</v>
      </c>
      <c r="W1334" s="5" t="s">
        <v>35</v>
      </c>
      <c r="X1334" s="5">
        <v>24</v>
      </c>
      <c r="Y1334" s="5">
        <v>4</v>
      </c>
      <c r="Z1334" s="5">
        <v>2</v>
      </c>
      <c r="AA1334" s="5">
        <v>80</v>
      </c>
      <c r="AB1334" s="5">
        <v>0</v>
      </c>
      <c r="AC1334" s="5">
        <v>1</v>
      </c>
      <c r="AD1334" s="5">
        <v>3</v>
      </c>
      <c r="AE1334" s="5">
        <v>2</v>
      </c>
      <c r="AF1334" s="5">
        <v>1</v>
      </c>
      <c r="AG1334" s="5">
        <v>0</v>
      </c>
      <c r="AH1334" s="5">
        <v>1</v>
      </c>
      <c r="AI1334" s="5">
        <v>0</v>
      </c>
    </row>
    <row r="1335" spans="1:35" x14ac:dyDescent="0.25">
      <c r="A1335" s="5">
        <v>46</v>
      </c>
      <c r="B1335" s="5" t="s">
        <v>35</v>
      </c>
      <c r="C1335" s="5" t="s">
        <v>36</v>
      </c>
      <c r="D1335" s="5">
        <v>1254</v>
      </c>
      <c r="E1335" s="5" t="s">
        <v>37</v>
      </c>
      <c r="F1335" s="5">
        <v>10</v>
      </c>
      <c r="G1335" s="5">
        <v>3</v>
      </c>
      <c r="H1335" s="5" t="s">
        <v>38</v>
      </c>
      <c r="I1335" s="5">
        <v>1</v>
      </c>
      <c r="J1335" s="5">
        <v>1869</v>
      </c>
      <c r="K1335" s="5">
        <v>3</v>
      </c>
      <c r="L1335" s="5" t="s">
        <v>39</v>
      </c>
      <c r="M1335" s="5">
        <v>64</v>
      </c>
      <c r="N1335" s="5">
        <v>3</v>
      </c>
      <c r="O1335" s="5">
        <v>3</v>
      </c>
      <c r="P1335" s="5" t="s">
        <v>40</v>
      </c>
      <c r="Q1335" s="5">
        <v>2</v>
      </c>
      <c r="R1335" s="5" t="s">
        <v>48</v>
      </c>
      <c r="S1335" s="5">
        <v>7314</v>
      </c>
      <c r="T1335" s="5">
        <v>14011</v>
      </c>
      <c r="U1335" s="5">
        <v>5</v>
      </c>
      <c r="V1335" s="5" t="s">
        <v>42</v>
      </c>
      <c r="W1335" s="5" t="s">
        <v>43</v>
      </c>
      <c r="X1335" s="5">
        <v>21</v>
      </c>
      <c r="Y1335" s="5">
        <v>4</v>
      </c>
      <c r="Z1335" s="5">
        <v>3</v>
      </c>
      <c r="AA1335" s="5">
        <v>80</v>
      </c>
      <c r="AB1335" s="5">
        <v>3</v>
      </c>
      <c r="AC1335" s="5">
        <v>14</v>
      </c>
      <c r="AD1335" s="5">
        <v>2</v>
      </c>
      <c r="AE1335" s="5">
        <v>3</v>
      </c>
      <c r="AF1335" s="5">
        <v>8</v>
      </c>
      <c r="AG1335" s="5">
        <v>7</v>
      </c>
      <c r="AH1335" s="5">
        <v>0</v>
      </c>
      <c r="AI1335" s="5">
        <v>7</v>
      </c>
    </row>
    <row r="1336" spans="1:35" x14ac:dyDescent="0.25">
      <c r="A1336" s="5">
        <v>27</v>
      </c>
      <c r="B1336" s="5" t="s">
        <v>43</v>
      </c>
      <c r="C1336" s="5" t="s">
        <v>44</v>
      </c>
      <c r="D1336" s="5">
        <v>1131</v>
      </c>
      <c r="E1336" s="5" t="s">
        <v>45</v>
      </c>
      <c r="F1336" s="5">
        <v>15</v>
      </c>
      <c r="G1336" s="5">
        <v>3</v>
      </c>
      <c r="H1336" s="5" t="s">
        <v>38</v>
      </c>
      <c r="I1336" s="5">
        <v>1</v>
      </c>
      <c r="J1336" s="5">
        <v>1870</v>
      </c>
      <c r="K1336" s="5">
        <v>4</v>
      </c>
      <c r="L1336" s="5" t="s">
        <v>39</v>
      </c>
      <c r="M1336" s="5">
        <v>77</v>
      </c>
      <c r="N1336" s="5">
        <v>2</v>
      </c>
      <c r="O1336" s="5">
        <v>1</v>
      </c>
      <c r="P1336" s="5" t="s">
        <v>47</v>
      </c>
      <c r="Q1336" s="5">
        <v>1</v>
      </c>
      <c r="R1336" s="5" t="s">
        <v>48</v>
      </c>
      <c r="S1336" s="5">
        <v>4774</v>
      </c>
      <c r="T1336" s="5">
        <v>23844</v>
      </c>
      <c r="U1336" s="5">
        <v>0</v>
      </c>
      <c r="V1336" s="5" t="s">
        <v>42</v>
      </c>
      <c r="W1336" s="5" t="s">
        <v>43</v>
      </c>
      <c r="X1336" s="5">
        <v>19</v>
      </c>
      <c r="Y1336" s="5">
        <v>3</v>
      </c>
      <c r="Z1336" s="5">
        <v>4</v>
      </c>
      <c r="AA1336" s="5">
        <v>80</v>
      </c>
      <c r="AB1336" s="5">
        <v>1</v>
      </c>
      <c r="AC1336" s="5">
        <v>8</v>
      </c>
      <c r="AD1336" s="5">
        <v>2</v>
      </c>
      <c r="AE1336" s="5">
        <v>2</v>
      </c>
      <c r="AF1336" s="5">
        <v>7</v>
      </c>
      <c r="AG1336" s="5">
        <v>6</v>
      </c>
      <c r="AH1336" s="5">
        <v>7</v>
      </c>
      <c r="AI1336" s="5">
        <v>3</v>
      </c>
    </row>
    <row r="1337" spans="1:35" x14ac:dyDescent="0.25">
      <c r="A1337" s="5">
        <v>39</v>
      </c>
      <c r="B1337" s="5" t="s">
        <v>43</v>
      </c>
      <c r="C1337" s="5" t="s">
        <v>36</v>
      </c>
      <c r="D1337" s="5">
        <v>835</v>
      </c>
      <c r="E1337" s="5" t="s">
        <v>45</v>
      </c>
      <c r="F1337" s="5">
        <v>19</v>
      </c>
      <c r="G1337" s="5">
        <v>4</v>
      </c>
      <c r="H1337" s="5" t="s">
        <v>49</v>
      </c>
      <c r="I1337" s="5">
        <v>1</v>
      </c>
      <c r="J1337" s="5">
        <v>1871</v>
      </c>
      <c r="K1337" s="5">
        <v>4</v>
      </c>
      <c r="L1337" s="5" t="s">
        <v>46</v>
      </c>
      <c r="M1337" s="5">
        <v>41</v>
      </c>
      <c r="N1337" s="5">
        <v>3</v>
      </c>
      <c r="O1337" s="5">
        <v>2</v>
      </c>
      <c r="P1337" s="5" t="s">
        <v>47</v>
      </c>
      <c r="Q1337" s="5">
        <v>4</v>
      </c>
      <c r="R1337" s="5" t="s">
        <v>52</v>
      </c>
      <c r="S1337" s="5">
        <v>3902</v>
      </c>
      <c r="T1337" s="5">
        <v>5141</v>
      </c>
      <c r="U1337" s="5">
        <v>8</v>
      </c>
      <c r="V1337" s="5" t="s">
        <v>42</v>
      </c>
      <c r="W1337" s="5" t="s">
        <v>43</v>
      </c>
      <c r="X1337" s="5">
        <v>14</v>
      </c>
      <c r="Y1337" s="5">
        <v>3</v>
      </c>
      <c r="Z1337" s="5">
        <v>2</v>
      </c>
      <c r="AA1337" s="5">
        <v>80</v>
      </c>
      <c r="AB1337" s="5">
        <v>3</v>
      </c>
      <c r="AC1337" s="5">
        <v>7</v>
      </c>
      <c r="AD1337" s="5">
        <v>2</v>
      </c>
      <c r="AE1337" s="5">
        <v>3</v>
      </c>
      <c r="AF1337" s="5">
        <v>2</v>
      </c>
      <c r="AG1337" s="5">
        <v>2</v>
      </c>
      <c r="AH1337" s="5">
        <v>2</v>
      </c>
      <c r="AI1337" s="5">
        <v>2</v>
      </c>
    </row>
    <row r="1338" spans="1:35" x14ac:dyDescent="0.25">
      <c r="A1338" s="5">
        <v>55</v>
      </c>
      <c r="B1338" s="5" t="s">
        <v>43</v>
      </c>
      <c r="C1338" s="5" t="s">
        <v>36</v>
      </c>
      <c r="D1338" s="5">
        <v>836</v>
      </c>
      <c r="E1338" s="5" t="s">
        <v>45</v>
      </c>
      <c r="F1338" s="5">
        <v>2</v>
      </c>
      <c r="G1338" s="5">
        <v>4</v>
      </c>
      <c r="H1338" s="5" t="s">
        <v>60</v>
      </c>
      <c r="I1338" s="5">
        <v>1</v>
      </c>
      <c r="J1338" s="5">
        <v>1873</v>
      </c>
      <c r="K1338" s="5">
        <v>2</v>
      </c>
      <c r="L1338" s="5" t="s">
        <v>46</v>
      </c>
      <c r="M1338" s="5">
        <v>98</v>
      </c>
      <c r="N1338" s="5">
        <v>2</v>
      </c>
      <c r="O1338" s="5">
        <v>1</v>
      </c>
      <c r="P1338" s="5" t="s">
        <v>47</v>
      </c>
      <c r="Q1338" s="5">
        <v>4</v>
      </c>
      <c r="R1338" s="5" t="s">
        <v>48</v>
      </c>
      <c r="S1338" s="5">
        <v>2662</v>
      </c>
      <c r="T1338" s="5">
        <v>7975</v>
      </c>
      <c r="U1338" s="5">
        <v>8</v>
      </c>
      <c r="V1338" s="5" t="s">
        <v>42</v>
      </c>
      <c r="W1338" s="5" t="s">
        <v>43</v>
      </c>
      <c r="X1338" s="5">
        <v>20</v>
      </c>
      <c r="Y1338" s="5">
        <v>4</v>
      </c>
      <c r="Z1338" s="5">
        <v>2</v>
      </c>
      <c r="AA1338" s="5">
        <v>80</v>
      </c>
      <c r="AB1338" s="5">
        <v>1</v>
      </c>
      <c r="AC1338" s="5">
        <v>19</v>
      </c>
      <c r="AD1338" s="5">
        <v>2</v>
      </c>
      <c r="AE1338" s="5">
        <v>4</v>
      </c>
      <c r="AF1338" s="5">
        <v>5</v>
      </c>
      <c r="AG1338" s="5">
        <v>2</v>
      </c>
      <c r="AH1338" s="5">
        <v>0</v>
      </c>
      <c r="AI1338" s="5">
        <v>4</v>
      </c>
    </row>
    <row r="1339" spans="1:35" x14ac:dyDescent="0.25">
      <c r="A1339" s="5">
        <v>28</v>
      </c>
      <c r="B1339" s="5" t="s">
        <v>43</v>
      </c>
      <c r="C1339" s="5" t="s">
        <v>36</v>
      </c>
      <c r="D1339" s="5">
        <v>1172</v>
      </c>
      <c r="E1339" s="5" t="s">
        <v>37</v>
      </c>
      <c r="F1339" s="5">
        <v>3</v>
      </c>
      <c r="G1339" s="5">
        <v>3</v>
      </c>
      <c r="H1339" s="5" t="s">
        <v>51</v>
      </c>
      <c r="I1339" s="5">
        <v>1</v>
      </c>
      <c r="J1339" s="5">
        <v>1875</v>
      </c>
      <c r="K1339" s="5">
        <v>2</v>
      </c>
      <c r="L1339" s="5" t="s">
        <v>39</v>
      </c>
      <c r="M1339" s="5">
        <v>78</v>
      </c>
      <c r="N1339" s="5">
        <v>3</v>
      </c>
      <c r="O1339" s="5">
        <v>1</v>
      </c>
      <c r="P1339" s="5" t="s">
        <v>57</v>
      </c>
      <c r="Q1339" s="5">
        <v>2</v>
      </c>
      <c r="R1339" s="5" t="s">
        <v>48</v>
      </c>
      <c r="S1339" s="5">
        <v>2856</v>
      </c>
      <c r="T1339" s="5">
        <v>3692</v>
      </c>
      <c r="U1339" s="5">
        <v>1</v>
      </c>
      <c r="V1339" s="5" t="s">
        <v>42</v>
      </c>
      <c r="W1339" s="5" t="s">
        <v>43</v>
      </c>
      <c r="X1339" s="5">
        <v>19</v>
      </c>
      <c r="Y1339" s="5">
        <v>3</v>
      </c>
      <c r="Z1339" s="5">
        <v>4</v>
      </c>
      <c r="AA1339" s="5">
        <v>80</v>
      </c>
      <c r="AB1339" s="5">
        <v>1</v>
      </c>
      <c r="AC1339" s="5">
        <v>1</v>
      </c>
      <c r="AD1339" s="5">
        <v>3</v>
      </c>
      <c r="AE1339" s="5">
        <v>3</v>
      </c>
      <c r="AF1339" s="5">
        <v>1</v>
      </c>
      <c r="AG1339" s="5">
        <v>0</v>
      </c>
      <c r="AH1339" s="5">
        <v>0</v>
      </c>
      <c r="AI1339" s="5">
        <v>0</v>
      </c>
    </row>
    <row r="1340" spans="1:35" x14ac:dyDescent="0.25">
      <c r="A1340" s="5">
        <v>30</v>
      </c>
      <c r="B1340" s="5" t="s">
        <v>35</v>
      </c>
      <c r="C1340" s="5" t="s">
        <v>36</v>
      </c>
      <c r="D1340" s="5">
        <v>945</v>
      </c>
      <c r="E1340" s="5" t="s">
        <v>37</v>
      </c>
      <c r="F1340" s="5">
        <v>9</v>
      </c>
      <c r="G1340" s="5">
        <v>3</v>
      </c>
      <c r="H1340" s="5" t="s">
        <v>51</v>
      </c>
      <c r="I1340" s="5">
        <v>1</v>
      </c>
      <c r="J1340" s="5">
        <v>1876</v>
      </c>
      <c r="K1340" s="5">
        <v>2</v>
      </c>
      <c r="L1340" s="5" t="s">
        <v>46</v>
      </c>
      <c r="M1340" s="5">
        <v>89</v>
      </c>
      <c r="N1340" s="5">
        <v>3</v>
      </c>
      <c r="O1340" s="5">
        <v>1</v>
      </c>
      <c r="P1340" s="5" t="s">
        <v>57</v>
      </c>
      <c r="Q1340" s="5">
        <v>4</v>
      </c>
      <c r="R1340" s="5" t="s">
        <v>41</v>
      </c>
      <c r="S1340" s="5">
        <v>1081</v>
      </c>
      <c r="T1340" s="5">
        <v>16019</v>
      </c>
      <c r="U1340" s="5">
        <v>1</v>
      </c>
      <c r="V1340" s="5" t="s">
        <v>42</v>
      </c>
      <c r="W1340" s="5" t="s">
        <v>43</v>
      </c>
      <c r="X1340" s="5">
        <v>13</v>
      </c>
      <c r="Y1340" s="5">
        <v>3</v>
      </c>
      <c r="Z1340" s="5">
        <v>3</v>
      </c>
      <c r="AA1340" s="5">
        <v>80</v>
      </c>
      <c r="AB1340" s="5">
        <v>0</v>
      </c>
      <c r="AC1340" s="5">
        <v>1</v>
      </c>
      <c r="AD1340" s="5">
        <v>3</v>
      </c>
      <c r="AE1340" s="5">
        <v>2</v>
      </c>
      <c r="AF1340" s="5">
        <v>1</v>
      </c>
      <c r="AG1340" s="5">
        <v>0</v>
      </c>
      <c r="AH1340" s="5">
        <v>0</v>
      </c>
      <c r="AI1340" s="5">
        <v>0</v>
      </c>
    </row>
    <row r="1341" spans="1:35" x14ac:dyDescent="0.25">
      <c r="A1341" s="5">
        <v>22</v>
      </c>
      <c r="B1341" s="5" t="s">
        <v>35</v>
      </c>
      <c r="C1341" s="5" t="s">
        <v>36</v>
      </c>
      <c r="D1341" s="5">
        <v>391</v>
      </c>
      <c r="E1341" s="5" t="s">
        <v>45</v>
      </c>
      <c r="F1341" s="5">
        <v>7</v>
      </c>
      <c r="G1341" s="5">
        <v>1</v>
      </c>
      <c r="H1341" s="5" t="s">
        <v>38</v>
      </c>
      <c r="I1341" s="5">
        <v>1</v>
      </c>
      <c r="J1341" s="5">
        <v>1878</v>
      </c>
      <c r="K1341" s="5">
        <v>4</v>
      </c>
      <c r="L1341" s="5" t="s">
        <v>46</v>
      </c>
      <c r="M1341" s="5">
        <v>75</v>
      </c>
      <c r="N1341" s="5">
        <v>3</v>
      </c>
      <c r="O1341" s="5">
        <v>1</v>
      </c>
      <c r="P1341" s="5" t="s">
        <v>47</v>
      </c>
      <c r="Q1341" s="5">
        <v>2</v>
      </c>
      <c r="R1341" s="5" t="s">
        <v>41</v>
      </c>
      <c r="S1341" s="5">
        <v>2472</v>
      </c>
      <c r="T1341" s="5">
        <v>26092</v>
      </c>
      <c r="U1341" s="5">
        <v>1</v>
      </c>
      <c r="V1341" s="5" t="s">
        <v>42</v>
      </c>
      <c r="W1341" s="5" t="s">
        <v>35</v>
      </c>
      <c r="X1341" s="5">
        <v>23</v>
      </c>
      <c r="Y1341" s="5">
        <v>4</v>
      </c>
      <c r="Z1341" s="5">
        <v>1</v>
      </c>
      <c r="AA1341" s="5">
        <v>80</v>
      </c>
      <c r="AB1341" s="5">
        <v>0</v>
      </c>
      <c r="AC1341" s="5">
        <v>1</v>
      </c>
      <c r="AD1341" s="5">
        <v>2</v>
      </c>
      <c r="AE1341" s="5">
        <v>3</v>
      </c>
      <c r="AF1341" s="5">
        <v>1</v>
      </c>
      <c r="AG1341" s="5">
        <v>0</v>
      </c>
      <c r="AH1341" s="5">
        <v>0</v>
      </c>
      <c r="AI1341" s="5">
        <v>0</v>
      </c>
    </row>
    <row r="1342" spans="1:35" x14ac:dyDescent="0.25">
      <c r="A1342" s="5">
        <v>36</v>
      </c>
      <c r="B1342" s="5" t="s">
        <v>43</v>
      </c>
      <c r="C1342" s="5" t="s">
        <v>36</v>
      </c>
      <c r="D1342" s="5">
        <v>1266</v>
      </c>
      <c r="E1342" s="5" t="s">
        <v>37</v>
      </c>
      <c r="F1342" s="5">
        <v>10</v>
      </c>
      <c r="G1342" s="5">
        <v>4</v>
      </c>
      <c r="H1342" s="5" t="s">
        <v>60</v>
      </c>
      <c r="I1342" s="5">
        <v>1</v>
      </c>
      <c r="J1342" s="5">
        <v>1880</v>
      </c>
      <c r="K1342" s="5">
        <v>2</v>
      </c>
      <c r="L1342" s="5" t="s">
        <v>39</v>
      </c>
      <c r="M1342" s="5">
        <v>63</v>
      </c>
      <c r="N1342" s="5">
        <v>2</v>
      </c>
      <c r="O1342" s="5">
        <v>2</v>
      </c>
      <c r="P1342" s="5" t="s">
        <v>40</v>
      </c>
      <c r="Q1342" s="5">
        <v>3</v>
      </c>
      <c r="R1342" s="5" t="s">
        <v>48</v>
      </c>
      <c r="S1342" s="5">
        <v>5673</v>
      </c>
      <c r="T1342" s="5">
        <v>6060</v>
      </c>
      <c r="U1342" s="5">
        <v>1</v>
      </c>
      <c r="V1342" s="5" t="s">
        <v>42</v>
      </c>
      <c r="W1342" s="5" t="s">
        <v>35</v>
      </c>
      <c r="X1342" s="5">
        <v>13</v>
      </c>
      <c r="Y1342" s="5">
        <v>3</v>
      </c>
      <c r="Z1342" s="5">
        <v>1</v>
      </c>
      <c r="AA1342" s="5">
        <v>80</v>
      </c>
      <c r="AB1342" s="5">
        <v>1</v>
      </c>
      <c r="AC1342" s="5">
        <v>10</v>
      </c>
      <c r="AD1342" s="5">
        <v>4</v>
      </c>
      <c r="AE1342" s="5">
        <v>3</v>
      </c>
      <c r="AF1342" s="5">
        <v>10</v>
      </c>
      <c r="AG1342" s="5">
        <v>9</v>
      </c>
      <c r="AH1342" s="5">
        <v>1</v>
      </c>
      <c r="AI1342" s="5">
        <v>7</v>
      </c>
    </row>
    <row r="1343" spans="1:35" x14ac:dyDescent="0.25">
      <c r="A1343" s="5">
        <v>31</v>
      </c>
      <c r="B1343" s="5" t="s">
        <v>43</v>
      </c>
      <c r="C1343" s="5" t="s">
        <v>36</v>
      </c>
      <c r="D1343" s="5">
        <v>311</v>
      </c>
      <c r="E1343" s="5" t="s">
        <v>45</v>
      </c>
      <c r="F1343" s="5">
        <v>20</v>
      </c>
      <c r="G1343" s="5">
        <v>3</v>
      </c>
      <c r="H1343" s="5" t="s">
        <v>38</v>
      </c>
      <c r="I1343" s="5">
        <v>1</v>
      </c>
      <c r="J1343" s="5">
        <v>1881</v>
      </c>
      <c r="K1343" s="5">
        <v>2</v>
      </c>
      <c r="L1343" s="5" t="s">
        <v>46</v>
      </c>
      <c r="M1343" s="5">
        <v>89</v>
      </c>
      <c r="N1343" s="5">
        <v>3</v>
      </c>
      <c r="O1343" s="5">
        <v>2</v>
      </c>
      <c r="P1343" s="5" t="s">
        <v>50</v>
      </c>
      <c r="Q1343" s="5">
        <v>3</v>
      </c>
      <c r="R1343" s="5" t="s">
        <v>52</v>
      </c>
      <c r="S1343" s="5">
        <v>4197</v>
      </c>
      <c r="T1343" s="5">
        <v>18624</v>
      </c>
      <c r="U1343" s="5">
        <v>1</v>
      </c>
      <c r="V1343" s="5" t="s">
        <v>42</v>
      </c>
      <c r="W1343" s="5" t="s">
        <v>43</v>
      </c>
      <c r="X1343" s="5">
        <v>11</v>
      </c>
      <c r="Y1343" s="5">
        <v>3</v>
      </c>
      <c r="Z1343" s="5">
        <v>1</v>
      </c>
      <c r="AA1343" s="5">
        <v>80</v>
      </c>
      <c r="AB1343" s="5">
        <v>1</v>
      </c>
      <c r="AC1343" s="5">
        <v>10</v>
      </c>
      <c r="AD1343" s="5">
        <v>2</v>
      </c>
      <c r="AE1343" s="5">
        <v>3</v>
      </c>
      <c r="AF1343" s="5">
        <v>10</v>
      </c>
      <c r="AG1343" s="5">
        <v>8</v>
      </c>
      <c r="AH1343" s="5">
        <v>0</v>
      </c>
      <c r="AI1343" s="5">
        <v>2</v>
      </c>
    </row>
    <row r="1344" spans="1:35" x14ac:dyDescent="0.25">
      <c r="A1344" s="5">
        <v>34</v>
      </c>
      <c r="B1344" s="5" t="s">
        <v>43</v>
      </c>
      <c r="C1344" s="5" t="s">
        <v>36</v>
      </c>
      <c r="D1344" s="5">
        <v>1480</v>
      </c>
      <c r="E1344" s="5" t="s">
        <v>37</v>
      </c>
      <c r="F1344" s="5">
        <v>4</v>
      </c>
      <c r="G1344" s="5">
        <v>3</v>
      </c>
      <c r="H1344" s="5" t="s">
        <v>38</v>
      </c>
      <c r="I1344" s="5">
        <v>1</v>
      </c>
      <c r="J1344" s="5">
        <v>1882</v>
      </c>
      <c r="K1344" s="5">
        <v>3</v>
      </c>
      <c r="L1344" s="5" t="s">
        <v>46</v>
      </c>
      <c r="M1344" s="5">
        <v>64</v>
      </c>
      <c r="N1344" s="5">
        <v>3</v>
      </c>
      <c r="O1344" s="5">
        <v>3</v>
      </c>
      <c r="P1344" s="5" t="s">
        <v>40</v>
      </c>
      <c r="Q1344" s="5">
        <v>4</v>
      </c>
      <c r="R1344" s="5" t="s">
        <v>48</v>
      </c>
      <c r="S1344" s="5">
        <v>9713</v>
      </c>
      <c r="T1344" s="5">
        <v>24444</v>
      </c>
      <c r="U1344" s="5">
        <v>2</v>
      </c>
      <c r="V1344" s="5" t="s">
        <v>42</v>
      </c>
      <c r="W1344" s="5" t="s">
        <v>35</v>
      </c>
      <c r="X1344" s="5">
        <v>13</v>
      </c>
      <c r="Y1344" s="5">
        <v>3</v>
      </c>
      <c r="Z1344" s="5">
        <v>4</v>
      </c>
      <c r="AA1344" s="5">
        <v>80</v>
      </c>
      <c r="AB1344" s="5">
        <v>3</v>
      </c>
      <c r="AC1344" s="5">
        <v>9</v>
      </c>
      <c r="AD1344" s="5">
        <v>3</v>
      </c>
      <c r="AE1344" s="5">
        <v>3</v>
      </c>
      <c r="AF1344" s="5">
        <v>5</v>
      </c>
      <c r="AG1344" s="5">
        <v>3</v>
      </c>
      <c r="AH1344" s="5">
        <v>1</v>
      </c>
      <c r="AI1344" s="5">
        <v>0</v>
      </c>
    </row>
    <row r="1345" spans="1:35" x14ac:dyDescent="0.25">
      <c r="A1345" s="5">
        <v>29</v>
      </c>
      <c r="B1345" s="5" t="s">
        <v>43</v>
      </c>
      <c r="C1345" s="5" t="s">
        <v>36</v>
      </c>
      <c r="D1345" s="5">
        <v>592</v>
      </c>
      <c r="E1345" s="5" t="s">
        <v>45</v>
      </c>
      <c r="F1345" s="5">
        <v>7</v>
      </c>
      <c r="G1345" s="5">
        <v>3</v>
      </c>
      <c r="H1345" s="5" t="s">
        <v>38</v>
      </c>
      <c r="I1345" s="5">
        <v>1</v>
      </c>
      <c r="J1345" s="5">
        <v>1883</v>
      </c>
      <c r="K1345" s="5">
        <v>4</v>
      </c>
      <c r="L1345" s="5" t="s">
        <v>46</v>
      </c>
      <c r="M1345" s="5">
        <v>59</v>
      </c>
      <c r="N1345" s="5">
        <v>3</v>
      </c>
      <c r="O1345" s="5">
        <v>1</v>
      </c>
      <c r="P1345" s="5" t="s">
        <v>50</v>
      </c>
      <c r="Q1345" s="5">
        <v>1</v>
      </c>
      <c r="R1345" s="5" t="s">
        <v>41</v>
      </c>
      <c r="S1345" s="5">
        <v>2062</v>
      </c>
      <c r="T1345" s="5">
        <v>19384</v>
      </c>
      <c r="U1345" s="5">
        <v>3</v>
      </c>
      <c r="V1345" s="5" t="s">
        <v>42</v>
      </c>
      <c r="W1345" s="5" t="s">
        <v>43</v>
      </c>
      <c r="X1345" s="5">
        <v>14</v>
      </c>
      <c r="Y1345" s="5">
        <v>3</v>
      </c>
      <c r="Z1345" s="5">
        <v>2</v>
      </c>
      <c r="AA1345" s="5">
        <v>80</v>
      </c>
      <c r="AB1345" s="5">
        <v>0</v>
      </c>
      <c r="AC1345" s="5">
        <v>11</v>
      </c>
      <c r="AD1345" s="5">
        <v>2</v>
      </c>
      <c r="AE1345" s="5">
        <v>3</v>
      </c>
      <c r="AF1345" s="5">
        <v>3</v>
      </c>
      <c r="AG1345" s="5">
        <v>2</v>
      </c>
      <c r="AH1345" s="5">
        <v>1</v>
      </c>
      <c r="AI1345" s="5">
        <v>2</v>
      </c>
    </row>
    <row r="1346" spans="1:35" x14ac:dyDescent="0.25">
      <c r="A1346" s="5">
        <v>37</v>
      </c>
      <c r="B1346" s="5" t="s">
        <v>43</v>
      </c>
      <c r="C1346" s="5" t="s">
        <v>36</v>
      </c>
      <c r="D1346" s="5">
        <v>783</v>
      </c>
      <c r="E1346" s="5" t="s">
        <v>45</v>
      </c>
      <c r="F1346" s="5">
        <v>7</v>
      </c>
      <c r="G1346" s="5">
        <v>4</v>
      </c>
      <c r="H1346" s="5" t="s">
        <v>51</v>
      </c>
      <c r="I1346" s="5">
        <v>1</v>
      </c>
      <c r="J1346" s="5">
        <v>1885</v>
      </c>
      <c r="K1346" s="5">
        <v>4</v>
      </c>
      <c r="L1346" s="5" t="s">
        <v>46</v>
      </c>
      <c r="M1346" s="5">
        <v>78</v>
      </c>
      <c r="N1346" s="5">
        <v>3</v>
      </c>
      <c r="O1346" s="5">
        <v>2</v>
      </c>
      <c r="P1346" s="5" t="s">
        <v>47</v>
      </c>
      <c r="Q1346" s="5">
        <v>1</v>
      </c>
      <c r="R1346" s="5" t="s">
        <v>48</v>
      </c>
      <c r="S1346" s="5">
        <v>4284</v>
      </c>
      <c r="T1346" s="5">
        <v>13588</v>
      </c>
      <c r="U1346" s="5">
        <v>5</v>
      </c>
      <c r="V1346" s="5" t="s">
        <v>42</v>
      </c>
      <c r="W1346" s="5" t="s">
        <v>35</v>
      </c>
      <c r="X1346" s="5">
        <v>22</v>
      </c>
      <c r="Y1346" s="5">
        <v>4</v>
      </c>
      <c r="Z1346" s="5">
        <v>3</v>
      </c>
      <c r="AA1346" s="5">
        <v>80</v>
      </c>
      <c r="AB1346" s="5">
        <v>1</v>
      </c>
      <c r="AC1346" s="5">
        <v>16</v>
      </c>
      <c r="AD1346" s="5">
        <v>2</v>
      </c>
      <c r="AE1346" s="5">
        <v>3</v>
      </c>
      <c r="AF1346" s="5">
        <v>5</v>
      </c>
      <c r="AG1346" s="5">
        <v>3</v>
      </c>
      <c r="AH1346" s="5">
        <v>0</v>
      </c>
      <c r="AI1346" s="5">
        <v>4</v>
      </c>
    </row>
    <row r="1347" spans="1:35" x14ac:dyDescent="0.25">
      <c r="A1347" s="5">
        <v>35</v>
      </c>
      <c r="B1347" s="5" t="s">
        <v>43</v>
      </c>
      <c r="C1347" s="5" t="s">
        <v>36</v>
      </c>
      <c r="D1347" s="5">
        <v>219</v>
      </c>
      <c r="E1347" s="5" t="s">
        <v>45</v>
      </c>
      <c r="F1347" s="5">
        <v>16</v>
      </c>
      <c r="G1347" s="5">
        <v>2</v>
      </c>
      <c r="H1347" s="5" t="s">
        <v>49</v>
      </c>
      <c r="I1347" s="5">
        <v>1</v>
      </c>
      <c r="J1347" s="5">
        <v>1886</v>
      </c>
      <c r="K1347" s="5">
        <v>4</v>
      </c>
      <c r="L1347" s="5" t="s">
        <v>39</v>
      </c>
      <c r="M1347" s="5">
        <v>44</v>
      </c>
      <c r="N1347" s="5">
        <v>2</v>
      </c>
      <c r="O1347" s="5">
        <v>2</v>
      </c>
      <c r="P1347" s="5" t="s">
        <v>53</v>
      </c>
      <c r="Q1347" s="5">
        <v>2</v>
      </c>
      <c r="R1347" s="5" t="s">
        <v>48</v>
      </c>
      <c r="S1347" s="5">
        <v>4788</v>
      </c>
      <c r="T1347" s="5">
        <v>25388</v>
      </c>
      <c r="U1347" s="5">
        <v>0</v>
      </c>
      <c r="V1347" s="5" t="s">
        <v>42</v>
      </c>
      <c r="W1347" s="5" t="s">
        <v>35</v>
      </c>
      <c r="X1347" s="5">
        <v>11</v>
      </c>
      <c r="Y1347" s="5">
        <v>3</v>
      </c>
      <c r="Z1347" s="5">
        <v>4</v>
      </c>
      <c r="AA1347" s="5">
        <v>80</v>
      </c>
      <c r="AB1347" s="5">
        <v>0</v>
      </c>
      <c r="AC1347" s="5">
        <v>4</v>
      </c>
      <c r="AD1347" s="5">
        <v>2</v>
      </c>
      <c r="AE1347" s="5">
        <v>3</v>
      </c>
      <c r="AF1347" s="5">
        <v>3</v>
      </c>
      <c r="AG1347" s="5">
        <v>2</v>
      </c>
      <c r="AH1347" s="5">
        <v>0</v>
      </c>
      <c r="AI1347" s="5">
        <v>2</v>
      </c>
    </row>
    <row r="1348" spans="1:35" x14ac:dyDescent="0.25">
      <c r="A1348" s="5">
        <v>45</v>
      </c>
      <c r="B1348" s="5" t="s">
        <v>43</v>
      </c>
      <c r="C1348" s="5" t="s">
        <v>36</v>
      </c>
      <c r="D1348" s="5">
        <v>556</v>
      </c>
      <c r="E1348" s="5" t="s">
        <v>45</v>
      </c>
      <c r="F1348" s="5">
        <v>25</v>
      </c>
      <c r="G1348" s="5">
        <v>2</v>
      </c>
      <c r="H1348" s="5" t="s">
        <v>38</v>
      </c>
      <c r="I1348" s="5">
        <v>1</v>
      </c>
      <c r="J1348" s="5">
        <v>1888</v>
      </c>
      <c r="K1348" s="5">
        <v>2</v>
      </c>
      <c r="L1348" s="5" t="s">
        <v>39</v>
      </c>
      <c r="M1348" s="5">
        <v>93</v>
      </c>
      <c r="N1348" s="5">
        <v>2</v>
      </c>
      <c r="O1348" s="5">
        <v>2</v>
      </c>
      <c r="P1348" s="5" t="s">
        <v>53</v>
      </c>
      <c r="Q1348" s="5">
        <v>4</v>
      </c>
      <c r="R1348" s="5" t="s">
        <v>48</v>
      </c>
      <c r="S1348" s="5">
        <v>5906</v>
      </c>
      <c r="T1348" s="5">
        <v>23888</v>
      </c>
      <c r="U1348" s="5">
        <v>0</v>
      </c>
      <c r="V1348" s="5" t="s">
        <v>42</v>
      </c>
      <c r="W1348" s="5" t="s">
        <v>43</v>
      </c>
      <c r="X1348" s="5">
        <v>13</v>
      </c>
      <c r="Y1348" s="5">
        <v>3</v>
      </c>
      <c r="Z1348" s="5">
        <v>4</v>
      </c>
      <c r="AA1348" s="5">
        <v>80</v>
      </c>
      <c r="AB1348" s="5">
        <v>2</v>
      </c>
      <c r="AC1348" s="5">
        <v>10</v>
      </c>
      <c r="AD1348" s="5">
        <v>2</v>
      </c>
      <c r="AE1348" s="5">
        <v>2</v>
      </c>
      <c r="AF1348" s="5">
        <v>9</v>
      </c>
      <c r="AG1348" s="5">
        <v>8</v>
      </c>
      <c r="AH1348" s="5">
        <v>3</v>
      </c>
      <c r="AI1348" s="5">
        <v>8</v>
      </c>
    </row>
    <row r="1349" spans="1:35" x14ac:dyDescent="0.25">
      <c r="A1349" s="5">
        <v>36</v>
      </c>
      <c r="B1349" s="5" t="s">
        <v>43</v>
      </c>
      <c r="C1349" s="5" t="s">
        <v>44</v>
      </c>
      <c r="D1349" s="5">
        <v>1213</v>
      </c>
      <c r="E1349" s="5" t="s">
        <v>61</v>
      </c>
      <c r="F1349" s="5">
        <v>2</v>
      </c>
      <c r="G1349" s="5">
        <v>1</v>
      </c>
      <c r="H1349" s="5" t="s">
        <v>61</v>
      </c>
      <c r="I1349" s="5">
        <v>1</v>
      </c>
      <c r="J1349" s="5">
        <v>1890</v>
      </c>
      <c r="K1349" s="5">
        <v>2</v>
      </c>
      <c r="L1349" s="5" t="s">
        <v>46</v>
      </c>
      <c r="M1349" s="5">
        <v>94</v>
      </c>
      <c r="N1349" s="5">
        <v>2</v>
      </c>
      <c r="O1349" s="5">
        <v>2</v>
      </c>
      <c r="P1349" s="5" t="s">
        <v>61</v>
      </c>
      <c r="Q1349" s="5">
        <v>4</v>
      </c>
      <c r="R1349" s="5" t="s">
        <v>41</v>
      </c>
      <c r="S1349" s="5">
        <v>3886</v>
      </c>
      <c r="T1349" s="5">
        <v>4223</v>
      </c>
      <c r="U1349" s="5">
        <v>1</v>
      </c>
      <c r="V1349" s="5" t="s">
        <v>42</v>
      </c>
      <c r="W1349" s="5" t="s">
        <v>43</v>
      </c>
      <c r="X1349" s="5">
        <v>21</v>
      </c>
      <c r="Y1349" s="5">
        <v>4</v>
      </c>
      <c r="Z1349" s="5">
        <v>4</v>
      </c>
      <c r="AA1349" s="5">
        <v>80</v>
      </c>
      <c r="AB1349" s="5">
        <v>0</v>
      </c>
      <c r="AC1349" s="5">
        <v>10</v>
      </c>
      <c r="AD1349" s="5">
        <v>2</v>
      </c>
      <c r="AE1349" s="5">
        <v>2</v>
      </c>
      <c r="AF1349" s="5">
        <v>10</v>
      </c>
      <c r="AG1349" s="5">
        <v>1</v>
      </c>
      <c r="AH1349" s="5">
        <v>0</v>
      </c>
      <c r="AI1349" s="5">
        <v>8</v>
      </c>
    </row>
    <row r="1350" spans="1:35" x14ac:dyDescent="0.25">
      <c r="A1350" s="5">
        <v>40</v>
      </c>
      <c r="B1350" s="5" t="s">
        <v>43</v>
      </c>
      <c r="C1350" s="5" t="s">
        <v>36</v>
      </c>
      <c r="D1350" s="5">
        <v>1137</v>
      </c>
      <c r="E1350" s="5" t="s">
        <v>45</v>
      </c>
      <c r="F1350" s="5">
        <v>1</v>
      </c>
      <c r="G1350" s="5">
        <v>4</v>
      </c>
      <c r="H1350" s="5" t="s">
        <v>38</v>
      </c>
      <c r="I1350" s="5">
        <v>1</v>
      </c>
      <c r="J1350" s="5">
        <v>1892</v>
      </c>
      <c r="K1350" s="5">
        <v>1</v>
      </c>
      <c r="L1350" s="5" t="s">
        <v>46</v>
      </c>
      <c r="M1350" s="5">
        <v>98</v>
      </c>
      <c r="N1350" s="5">
        <v>3</v>
      </c>
      <c r="O1350" s="5">
        <v>4</v>
      </c>
      <c r="P1350" s="5" t="s">
        <v>56</v>
      </c>
      <c r="Q1350" s="5">
        <v>1</v>
      </c>
      <c r="R1350" s="5" t="s">
        <v>52</v>
      </c>
      <c r="S1350" s="5">
        <v>16823</v>
      </c>
      <c r="T1350" s="5">
        <v>18991</v>
      </c>
      <c r="U1350" s="5">
        <v>2</v>
      </c>
      <c r="V1350" s="5" t="s">
        <v>42</v>
      </c>
      <c r="W1350" s="5" t="s">
        <v>43</v>
      </c>
      <c r="X1350" s="5">
        <v>11</v>
      </c>
      <c r="Y1350" s="5">
        <v>3</v>
      </c>
      <c r="Z1350" s="5">
        <v>1</v>
      </c>
      <c r="AA1350" s="5">
        <v>80</v>
      </c>
      <c r="AB1350" s="5">
        <v>1</v>
      </c>
      <c r="AC1350" s="5">
        <v>22</v>
      </c>
      <c r="AD1350" s="5">
        <v>3</v>
      </c>
      <c r="AE1350" s="5">
        <v>3</v>
      </c>
      <c r="AF1350" s="5">
        <v>19</v>
      </c>
      <c r="AG1350" s="5">
        <v>7</v>
      </c>
      <c r="AH1350" s="5">
        <v>11</v>
      </c>
      <c r="AI1350" s="5">
        <v>16</v>
      </c>
    </row>
    <row r="1351" spans="1:35" x14ac:dyDescent="0.25">
      <c r="A1351" s="5">
        <v>26</v>
      </c>
      <c r="B1351" s="5" t="s">
        <v>43</v>
      </c>
      <c r="C1351" s="5" t="s">
        <v>36</v>
      </c>
      <c r="D1351" s="5">
        <v>482</v>
      </c>
      <c r="E1351" s="5" t="s">
        <v>45</v>
      </c>
      <c r="F1351" s="5">
        <v>1</v>
      </c>
      <c r="G1351" s="5">
        <v>2</v>
      </c>
      <c r="H1351" s="5" t="s">
        <v>38</v>
      </c>
      <c r="I1351" s="5">
        <v>1</v>
      </c>
      <c r="J1351" s="5">
        <v>1893</v>
      </c>
      <c r="K1351" s="5">
        <v>2</v>
      </c>
      <c r="L1351" s="5" t="s">
        <v>39</v>
      </c>
      <c r="M1351" s="5">
        <v>90</v>
      </c>
      <c r="N1351" s="5">
        <v>2</v>
      </c>
      <c r="O1351" s="5">
        <v>1</v>
      </c>
      <c r="P1351" s="5" t="s">
        <v>47</v>
      </c>
      <c r="Q1351" s="5">
        <v>3</v>
      </c>
      <c r="R1351" s="5" t="s">
        <v>48</v>
      </c>
      <c r="S1351" s="5">
        <v>2933</v>
      </c>
      <c r="T1351" s="5">
        <v>14908</v>
      </c>
      <c r="U1351" s="5">
        <v>1</v>
      </c>
      <c r="V1351" s="5" t="s">
        <v>42</v>
      </c>
      <c r="W1351" s="5" t="s">
        <v>35</v>
      </c>
      <c r="X1351" s="5">
        <v>13</v>
      </c>
      <c r="Y1351" s="5">
        <v>3</v>
      </c>
      <c r="Z1351" s="5">
        <v>3</v>
      </c>
      <c r="AA1351" s="5">
        <v>80</v>
      </c>
      <c r="AB1351" s="5">
        <v>1</v>
      </c>
      <c r="AC1351" s="5">
        <v>1</v>
      </c>
      <c r="AD1351" s="5">
        <v>3</v>
      </c>
      <c r="AE1351" s="5">
        <v>2</v>
      </c>
      <c r="AF1351" s="5">
        <v>1</v>
      </c>
      <c r="AG1351" s="5">
        <v>0</v>
      </c>
      <c r="AH1351" s="5">
        <v>1</v>
      </c>
      <c r="AI1351" s="5">
        <v>0</v>
      </c>
    </row>
    <row r="1352" spans="1:35" x14ac:dyDescent="0.25">
      <c r="A1352" s="5">
        <v>27</v>
      </c>
      <c r="B1352" s="5" t="s">
        <v>43</v>
      </c>
      <c r="C1352" s="5" t="s">
        <v>36</v>
      </c>
      <c r="D1352" s="5">
        <v>511</v>
      </c>
      <c r="E1352" s="5" t="s">
        <v>37</v>
      </c>
      <c r="F1352" s="5">
        <v>2</v>
      </c>
      <c r="G1352" s="5">
        <v>2</v>
      </c>
      <c r="H1352" s="5" t="s">
        <v>51</v>
      </c>
      <c r="I1352" s="5">
        <v>1</v>
      </c>
      <c r="J1352" s="5">
        <v>1898</v>
      </c>
      <c r="K1352" s="5">
        <v>1</v>
      </c>
      <c r="L1352" s="5" t="s">
        <v>39</v>
      </c>
      <c r="M1352" s="5">
        <v>89</v>
      </c>
      <c r="N1352" s="5">
        <v>4</v>
      </c>
      <c r="O1352" s="5">
        <v>2</v>
      </c>
      <c r="P1352" s="5" t="s">
        <v>40</v>
      </c>
      <c r="Q1352" s="5">
        <v>3</v>
      </c>
      <c r="R1352" s="5" t="s">
        <v>41</v>
      </c>
      <c r="S1352" s="5">
        <v>6500</v>
      </c>
      <c r="T1352" s="5">
        <v>26997</v>
      </c>
      <c r="U1352" s="5">
        <v>0</v>
      </c>
      <c r="V1352" s="5" t="s">
        <v>42</v>
      </c>
      <c r="W1352" s="5" t="s">
        <v>43</v>
      </c>
      <c r="X1352" s="5">
        <v>14</v>
      </c>
      <c r="Y1352" s="5">
        <v>3</v>
      </c>
      <c r="Z1352" s="5">
        <v>2</v>
      </c>
      <c r="AA1352" s="5">
        <v>80</v>
      </c>
      <c r="AB1352" s="5">
        <v>0</v>
      </c>
      <c r="AC1352" s="5">
        <v>9</v>
      </c>
      <c r="AD1352" s="5">
        <v>5</v>
      </c>
      <c r="AE1352" s="5">
        <v>2</v>
      </c>
      <c r="AF1352" s="5">
        <v>8</v>
      </c>
      <c r="AG1352" s="5">
        <v>7</v>
      </c>
      <c r="AH1352" s="5">
        <v>0</v>
      </c>
      <c r="AI1352" s="5">
        <v>7</v>
      </c>
    </row>
    <row r="1353" spans="1:35" x14ac:dyDescent="0.25">
      <c r="A1353" s="5">
        <v>48</v>
      </c>
      <c r="B1353" s="5" t="s">
        <v>43</v>
      </c>
      <c r="C1353" s="5" t="s">
        <v>44</v>
      </c>
      <c r="D1353" s="5">
        <v>117</v>
      </c>
      <c r="E1353" s="5" t="s">
        <v>45</v>
      </c>
      <c r="F1353" s="5">
        <v>22</v>
      </c>
      <c r="G1353" s="5">
        <v>3</v>
      </c>
      <c r="H1353" s="5" t="s">
        <v>51</v>
      </c>
      <c r="I1353" s="5">
        <v>1</v>
      </c>
      <c r="J1353" s="5">
        <v>1900</v>
      </c>
      <c r="K1353" s="5">
        <v>4</v>
      </c>
      <c r="L1353" s="5" t="s">
        <v>39</v>
      </c>
      <c r="M1353" s="5">
        <v>58</v>
      </c>
      <c r="N1353" s="5">
        <v>3</v>
      </c>
      <c r="O1353" s="5">
        <v>4</v>
      </c>
      <c r="P1353" s="5" t="s">
        <v>56</v>
      </c>
      <c r="Q1353" s="5">
        <v>4</v>
      </c>
      <c r="R1353" s="5" t="s">
        <v>52</v>
      </c>
      <c r="S1353" s="5">
        <v>17174</v>
      </c>
      <c r="T1353" s="5">
        <v>2437</v>
      </c>
      <c r="U1353" s="5">
        <v>3</v>
      </c>
      <c r="V1353" s="5" t="s">
        <v>42</v>
      </c>
      <c r="W1353" s="5" t="s">
        <v>43</v>
      </c>
      <c r="X1353" s="5">
        <v>11</v>
      </c>
      <c r="Y1353" s="5">
        <v>3</v>
      </c>
      <c r="Z1353" s="5">
        <v>2</v>
      </c>
      <c r="AA1353" s="5">
        <v>80</v>
      </c>
      <c r="AB1353" s="5">
        <v>1</v>
      </c>
      <c r="AC1353" s="5">
        <v>24</v>
      </c>
      <c r="AD1353" s="5">
        <v>3</v>
      </c>
      <c r="AE1353" s="5">
        <v>3</v>
      </c>
      <c r="AF1353" s="5">
        <v>22</v>
      </c>
      <c r="AG1353" s="5">
        <v>17</v>
      </c>
      <c r="AH1353" s="5">
        <v>4</v>
      </c>
      <c r="AI1353" s="5">
        <v>7</v>
      </c>
    </row>
    <row r="1354" spans="1:35" x14ac:dyDescent="0.25">
      <c r="A1354" s="5">
        <v>44</v>
      </c>
      <c r="B1354" s="5" t="s">
        <v>43</v>
      </c>
      <c r="C1354" s="5" t="s">
        <v>36</v>
      </c>
      <c r="D1354" s="5">
        <v>170</v>
      </c>
      <c r="E1354" s="5" t="s">
        <v>45</v>
      </c>
      <c r="F1354" s="5">
        <v>1</v>
      </c>
      <c r="G1354" s="5">
        <v>4</v>
      </c>
      <c r="H1354" s="5" t="s">
        <v>38</v>
      </c>
      <c r="I1354" s="5">
        <v>1</v>
      </c>
      <c r="J1354" s="5">
        <v>1903</v>
      </c>
      <c r="K1354" s="5">
        <v>2</v>
      </c>
      <c r="L1354" s="5" t="s">
        <v>46</v>
      </c>
      <c r="M1354" s="5">
        <v>78</v>
      </c>
      <c r="N1354" s="5">
        <v>4</v>
      </c>
      <c r="O1354" s="5">
        <v>2</v>
      </c>
      <c r="P1354" s="5" t="s">
        <v>54</v>
      </c>
      <c r="Q1354" s="5">
        <v>1</v>
      </c>
      <c r="R1354" s="5" t="s">
        <v>48</v>
      </c>
      <c r="S1354" s="5">
        <v>5033</v>
      </c>
      <c r="T1354" s="5">
        <v>9364</v>
      </c>
      <c r="U1354" s="5">
        <v>2</v>
      </c>
      <c r="V1354" s="5" t="s">
        <v>42</v>
      </c>
      <c r="W1354" s="5" t="s">
        <v>43</v>
      </c>
      <c r="X1354" s="5">
        <v>15</v>
      </c>
      <c r="Y1354" s="5">
        <v>3</v>
      </c>
      <c r="Z1354" s="5">
        <v>4</v>
      </c>
      <c r="AA1354" s="5">
        <v>80</v>
      </c>
      <c r="AB1354" s="5">
        <v>1</v>
      </c>
      <c r="AC1354" s="5">
        <v>10</v>
      </c>
      <c r="AD1354" s="5">
        <v>5</v>
      </c>
      <c r="AE1354" s="5">
        <v>3</v>
      </c>
      <c r="AF1354" s="5">
        <v>2</v>
      </c>
      <c r="AG1354" s="5">
        <v>0</v>
      </c>
      <c r="AH1354" s="5">
        <v>2</v>
      </c>
      <c r="AI1354" s="5">
        <v>2</v>
      </c>
    </row>
    <row r="1355" spans="1:35" x14ac:dyDescent="0.25">
      <c r="A1355" s="5">
        <v>34</v>
      </c>
      <c r="B1355" s="5" t="s">
        <v>35</v>
      </c>
      <c r="C1355" s="5" t="s">
        <v>55</v>
      </c>
      <c r="D1355" s="5">
        <v>967</v>
      </c>
      <c r="E1355" s="5" t="s">
        <v>45</v>
      </c>
      <c r="F1355" s="5">
        <v>16</v>
      </c>
      <c r="G1355" s="5">
        <v>4</v>
      </c>
      <c r="H1355" s="5" t="s">
        <v>60</v>
      </c>
      <c r="I1355" s="5">
        <v>1</v>
      </c>
      <c r="J1355" s="5">
        <v>1905</v>
      </c>
      <c r="K1355" s="5">
        <v>4</v>
      </c>
      <c r="L1355" s="5" t="s">
        <v>46</v>
      </c>
      <c r="M1355" s="5">
        <v>85</v>
      </c>
      <c r="N1355" s="5">
        <v>1</v>
      </c>
      <c r="O1355" s="5">
        <v>1</v>
      </c>
      <c r="P1355" s="5" t="s">
        <v>47</v>
      </c>
      <c r="Q1355" s="5">
        <v>1</v>
      </c>
      <c r="R1355" s="5" t="s">
        <v>48</v>
      </c>
      <c r="S1355" s="5">
        <v>2307</v>
      </c>
      <c r="T1355" s="5">
        <v>14460</v>
      </c>
      <c r="U1355" s="5">
        <v>1</v>
      </c>
      <c r="V1355" s="5" t="s">
        <v>42</v>
      </c>
      <c r="W1355" s="5" t="s">
        <v>35</v>
      </c>
      <c r="X1355" s="5">
        <v>23</v>
      </c>
      <c r="Y1355" s="5">
        <v>4</v>
      </c>
      <c r="Z1355" s="5">
        <v>2</v>
      </c>
      <c r="AA1355" s="5">
        <v>80</v>
      </c>
      <c r="AB1355" s="5">
        <v>1</v>
      </c>
      <c r="AC1355" s="5">
        <v>5</v>
      </c>
      <c r="AD1355" s="5">
        <v>2</v>
      </c>
      <c r="AE1355" s="5">
        <v>3</v>
      </c>
      <c r="AF1355" s="5">
        <v>5</v>
      </c>
      <c r="AG1355" s="5">
        <v>2</v>
      </c>
      <c r="AH1355" s="5">
        <v>3</v>
      </c>
      <c r="AI1355" s="5">
        <v>0</v>
      </c>
    </row>
    <row r="1356" spans="1:35" x14ac:dyDescent="0.25">
      <c r="A1356" s="5">
        <v>56</v>
      </c>
      <c r="B1356" s="5" t="s">
        <v>35</v>
      </c>
      <c r="C1356" s="5" t="s">
        <v>36</v>
      </c>
      <c r="D1356" s="5">
        <v>1162</v>
      </c>
      <c r="E1356" s="5" t="s">
        <v>45</v>
      </c>
      <c r="F1356" s="5">
        <v>24</v>
      </c>
      <c r="G1356" s="5">
        <v>2</v>
      </c>
      <c r="H1356" s="5" t="s">
        <v>38</v>
      </c>
      <c r="I1356" s="5">
        <v>1</v>
      </c>
      <c r="J1356" s="5">
        <v>1907</v>
      </c>
      <c r="K1356" s="5">
        <v>1</v>
      </c>
      <c r="L1356" s="5" t="s">
        <v>46</v>
      </c>
      <c r="M1356" s="5">
        <v>97</v>
      </c>
      <c r="N1356" s="5">
        <v>3</v>
      </c>
      <c r="O1356" s="5">
        <v>1</v>
      </c>
      <c r="P1356" s="5" t="s">
        <v>50</v>
      </c>
      <c r="Q1356" s="5">
        <v>4</v>
      </c>
      <c r="R1356" s="5" t="s">
        <v>41</v>
      </c>
      <c r="S1356" s="5">
        <v>2587</v>
      </c>
      <c r="T1356" s="5">
        <v>10261</v>
      </c>
      <c r="U1356" s="5">
        <v>1</v>
      </c>
      <c r="V1356" s="5" t="s">
        <v>42</v>
      </c>
      <c r="W1356" s="5" t="s">
        <v>43</v>
      </c>
      <c r="X1356" s="5">
        <v>16</v>
      </c>
      <c r="Y1356" s="5">
        <v>3</v>
      </c>
      <c r="Z1356" s="5">
        <v>4</v>
      </c>
      <c r="AA1356" s="5">
        <v>80</v>
      </c>
      <c r="AB1356" s="5">
        <v>0</v>
      </c>
      <c r="AC1356" s="5">
        <v>5</v>
      </c>
      <c r="AD1356" s="5">
        <v>3</v>
      </c>
      <c r="AE1356" s="5">
        <v>3</v>
      </c>
      <c r="AF1356" s="5">
        <v>4</v>
      </c>
      <c r="AG1356" s="5">
        <v>2</v>
      </c>
      <c r="AH1356" s="5">
        <v>1</v>
      </c>
      <c r="AI1356" s="5">
        <v>0</v>
      </c>
    </row>
    <row r="1357" spans="1:35" x14ac:dyDescent="0.25">
      <c r="A1357" s="5">
        <v>36</v>
      </c>
      <c r="B1357" s="5" t="s">
        <v>43</v>
      </c>
      <c r="C1357" s="5" t="s">
        <v>36</v>
      </c>
      <c r="D1357" s="5">
        <v>335</v>
      </c>
      <c r="E1357" s="5" t="s">
        <v>37</v>
      </c>
      <c r="F1357" s="5">
        <v>17</v>
      </c>
      <c r="G1357" s="5">
        <v>2</v>
      </c>
      <c r="H1357" s="5" t="s">
        <v>59</v>
      </c>
      <c r="I1357" s="5">
        <v>1</v>
      </c>
      <c r="J1357" s="5">
        <v>1908</v>
      </c>
      <c r="K1357" s="5">
        <v>3</v>
      </c>
      <c r="L1357" s="5" t="s">
        <v>46</v>
      </c>
      <c r="M1357" s="5">
        <v>33</v>
      </c>
      <c r="N1357" s="5">
        <v>2</v>
      </c>
      <c r="O1357" s="5">
        <v>2</v>
      </c>
      <c r="P1357" s="5" t="s">
        <v>40</v>
      </c>
      <c r="Q1357" s="5">
        <v>2</v>
      </c>
      <c r="R1357" s="5" t="s">
        <v>48</v>
      </c>
      <c r="S1357" s="5">
        <v>5507</v>
      </c>
      <c r="T1357" s="5">
        <v>16822</v>
      </c>
      <c r="U1357" s="5">
        <v>2</v>
      </c>
      <c r="V1357" s="5" t="s">
        <v>42</v>
      </c>
      <c r="W1357" s="5" t="s">
        <v>43</v>
      </c>
      <c r="X1357" s="5">
        <v>16</v>
      </c>
      <c r="Y1357" s="5">
        <v>3</v>
      </c>
      <c r="Z1357" s="5">
        <v>3</v>
      </c>
      <c r="AA1357" s="5">
        <v>80</v>
      </c>
      <c r="AB1357" s="5">
        <v>2</v>
      </c>
      <c r="AC1357" s="5">
        <v>12</v>
      </c>
      <c r="AD1357" s="5">
        <v>1</v>
      </c>
      <c r="AE1357" s="5">
        <v>1</v>
      </c>
      <c r="AF1357" s="5">
        <v>4</v>
      </c>
      <c r="AG1357" s="5">
        <v>2</v>
      </c>
      <c r="AH1357" s="5">
        <v>1</v>
      </c>
      <c r="AI1357" s="5">
        <v>3</v>
      </c>
    </row>
    <row r="1358" spans="1:35" x14ac:dyDescent="0.25">
      <c r="A1358" s="5">
        <v>41</v>
      </c>
      <c r="B1358" s="5" t="s">
        <v>43</v>
      </c>
      <c r="C1358" s="5" t="s">
        <v>36</v>
      </c>
      <c r="D1358" s="5">
        <v>337</v>
      </c>
      <c r="E1358" s="5" t="s">
        <v>37</v>
      </c>
      <c r="F1358" s="5">
        <v>8</v>
      </c>
      <c r="G1358" s="5">
        <v>3</v>
      </c>
      <c r="H1358" s="5" t="s">
        <v>59</v>
      </c>
      <c r="I1358" s="5">
        <v>1</v>
      </c>
      <c r="J1358" s="5">
        <v>1909</v>
      </c>
      <c r="K1358" s="5">
        <v>3</v>
      </c>
      <c r="L1358" s="5" t="s">
        <v>39</v>
      </c>
      <c r="M1358" s="5">
        <v>54</v>
      </c>
      <c r="N1358" s="5">
        <v>3</v>
      </c>
      <c r="O1358" s="5">
        <v>2</v>
      </c>
      <c r="P1358" s="5" t="s">
        <v>40</v>
      </c>
      <c r="Q1358" s="5">
        <v>2</v>
      </c>
      <c r="R1358" s="5" t="s">
        <v>48</v>
      </c>
      <c r="S1358" s="5">
        <v>4393</v>
      </c>
      <c r="T1358" s="5">
        <v>26841</v>
      </c>
      <c r="U1358" s="5">
        <v>5</v>
      </c>
      <c r="V1358" s="5" t="s">
        <v>42</v>
      </c>
      <c r="W1358" s="5" t="s">
        <v>43</v>
      </c>
      <c r="X1358" s="5">
        <v>21</v>
      </c>
      <c r="Y1358" s="5">
        <v>4</v>
      </c>
      <c r="Z1358" s="5">
        <v>3</v>
      </c>
      <c r="AA1358" s="5">
        <v>80</v>
      </c>
      <c r="AB1358" s="5">
        <v>1</v>
      </c>
      <c r="AC1358" s="5">
        <v>14</v>
      </c>
      <c r="AD1358" s="5">
        <v>3</v>
      </c>
      <c r="AE1358" s="5">
        <v>3</v>
      </c>
      <c r="AF1358" s="5">
        <v>5</v>
      </c>
      <c r="AG1358" s="5">
        <v>4</v>
      </c>
      <c r="AH1358" s="5">
        <v>1</v>
      </c>
      <c r="AI1358" s="5">
        <v>4</v>
      </c>
    </row>
    <row r="1359" spans="1:35" x14ac:dyDescent="0.25">
      <c r="A1359" s="5">
        <v>42</v>
      </c>
      <c r="B1359" s="5" t="s">
        <v>43</v>
      </c>
      <c r="C1359" s="5" t="s">
        <v>36</v>
      </c>
      <c r="D1359" s="5">
        <v>1396</v>
      </c>
      <c r="E1359" s="5" t="s">
        <v>45</v>
      </c>
      <c r="F1359" s="5">
        <v>6</v>
      </c>
      <c r="G1359" s="5">
        <v>3</v>
      </c>
      <c r="H1359" s="5" t="s">
        <v>51</v>
      </c>
      <c r="I1359" s="5">
        <v>1</v>
      </c>
      <c r="J1359" s="5">
        <v>1911</v>
      </c>
      <c r="K1359" s="5">
        <v>3</v>
      </c>
      <c r="L1359" s="5" t="s">
        <v>46</v>
      </c>
      <c r="M1359" s="5">
        <v>83</v>
      </c>
      <c r="N1359" s="5">
        <v>3</v>
      </c>
      <c r="O1359" s="5">
        <v>3</v>
      </c>
      <c r="P1359" s="5" t="s">
        <v>58</v>
      </c>
      <c r="Q1359" s="5">
        <v>1</v>
      </c>
      <c r="R1359" s="5" t="s">
        <v>48</v>
      </c>
      <c r="S1359" s="5">
        <v>13348</v>
      </c>
      <c r="T1359" s="5">
        <v>14842</v>
      </c>
      <c r="U1359" s="5">
        <v>9</v>
      </c>
      <c r="V1359" s="5" t="s">
        <v>42</v>
      </c>
      <c r="W1359" s="5" t="s">
        <v>43</v>
      </c>
      <c r="X1359" s="5">
        <v>13</v>
      </c>
      <c r="Y1359" s="5">
        <v>3</v>
      </c>
      <c r="Z1359" s="5">
        <v>2</v>
      </c>
      <c r="AA1359" s="5">
        <v>80</v>
      </c>
      <c r="AB1359" s="5">
        <v>1</v>
      </c>
      <c r="AC1359" s="5">
        <v>18</v>
      </c>
      <c r="AD1359" s="5">
        <v>3</v>
      </c>
      <c r="AE1359" s="5">
        <v>4</v>
      </c>
      <c r="AF1359" s="5">
        <v>13</v>
      </c>
      <c r="AG1359" s="5">
        <v>7</v>
      </c>
      <c r="AH1359" s="5">
        <v>5</v>
      </c>
      <c r="AI1359" s="5">
        <v>7</v>
      </c>
    </row>
    <row r="1360" spans="1:35" x14ac:dyDescent="0.25">
      <c r="A1360" s="5">
        <v>31</v>
      </c>
      <c r="B1360" s="5" t="s">
        <v>43</v>
      </c>
      <c r="C1360" s="5" t="s">
        <v>36</v>
      </c>
      <c r="D1360" s="5">
        <v>1079</v>
      </c>
      <c r="E1360" s="5" t="s">
        <v>37</v>
      </c>
      <c r="F1360" s="5">
        <v>10</v>
      </c>
      <c r="G1360" s="5">
        <v>2</v>
      </c>
      <c r="H1360" s="5" t="s">
        <v>51</v>
      </c>
      <c r="I1360" s="5">
        <v>1</v>
      </c>
      <c r="J1360" s="5">
        <v>1912</v>
      </c>
      <c r="K1360" s="5">
        <v>3</v>
      </c>
      <c r="L1360" s="5" t="s">
        <v>39</v>
      </c>
      <c r="M1360" s="5">
        <v>86</v>
      </c>
      <c r="N1360" s="5">
        <v>3</v>
      </c>
      <c r="O1360" s="5">
        <v>2</v>
      </c>
      <c r="P1360" s="5" t="s">
        <v>40</v>
      </c>
      <c r="Q1360" s="5">
        <v>4</v>
      </c>
      <c r="R1360" s="5" t="s">
        <v>52</v>
      </c>
      <c r="S1360" s="5">
        <v>6583</v>
      </c>
      <c r="T1360" s="5">
        <v>20115</v>
      </c>
      <c r="U1360" s="5">
        <v>2</v>
      </c>
      <c r="V1360" s="5" t="s">
        <v>42</v>
      </c>
      <c r="W1360" s="5" t="s">
        <v>35</v>
      </c>
      <c r="X1360" s="5">
        <v>11</v>
      </c>
      <c r="Y1360" s="5">
        <v>3</v>
      </c>
      <c r="Z1360" s="5">
        <v>4</v>
      </c>
      <c r="AA1360" s="5">
        <v>80</v>
      </c>
      <c r="AB1360" s="5">
        <v>1</v>
      </c>
      <c r="AC1360" s="5">
        <v>8</v>
      </c>
      <c r="AD1360" s="5">
        <v>2</v>
      </c>
      <c r="AE1360" s="5">
        <v>3</v>
      </c>
      <c r="AF1360" s="5">
        <v>5</v>
      </c>
      <c r="AG1360" s="5">
        <v>2</v>
      </c>
      <c r="AH1360" s="5">
        <v>1</v>
      </c>
      <c r="AI1360" s="5">
        <v>4</v>
      </c>
    </row>
    <row r="1361" spans="1:35" x14ac:dyDescent="0.25">
      <c r="A1361" s="5">
        <v>34</v>
      </c>
      <c r="B1361" s="5" t="s">
        <v>43</v>
      </c>
      <c r="C1361" s="5" t="s">
        <v>36</v>
      </c>
      <c r="D1361" s="5">
        <v>735</v>
      </c>
      <c r="E1361" s="5" t="s">
        <v>37</v>
      </c>
      <c r="F1361" s="5">
        <v>3</v>
      </c>
      <c r="G1361" s="5">
        <v>1</v>
      </c>
      <c r="H1361" s="5" t="s">
        <v>51</v>
      </c>
      <c r="I1361" s="5">
        <v>1</v>
      </c>
      <c r="J1361" s="5">
        <v>1915</v>
      </c>
      <c r="K1361" s="5">
        <v>4</v>
      </c>
      <c r="L1361" s="5" t="s">
        <v>39</v>
      </c>
      <c r="M1361" s="5">
        <v>75</v>
      </c>
      <c r="N1361" s="5">
        <v>2</v>
      </c>
      <c r="O1361" s="5">
        <v>2</v>
      </c>
      <c r="P1361" s="5" t="s">
        <v>40</v>
      </c>
      <c r="Q1361" s="5">
        <v>4</v>
      </c>
      <c r="R1361" s="5" t="s">
        <v>48</v>
      </c>
      <c r="S1361" s="5">
        <v>8103</v>
      </c>
      <c r="T1361" s="5">
        <v>16495</v>
      </c>
      <c r="U1361" s="5">
        <v>3</v>
      </c>
      <c r="V1361" s="5" t="s">
        <v>42</v>
      </c>
      <c r="W1361" s="5" t="s">
        <v>35</v>
      </c>
      <c r="X1361" s="5">
        <v>12</v>
      </c>
      <c r="Y1361" s="5">
        <v>3</v>
      </c>
      <c r="Z1361" s="5">
        <v>3</v>
      </c>
      <c r="AA1361" s="5">
        <v>80</v>
      </c>
      <c r="AB1361" s="5">
        <v>0</v>
      </c>
      <c r="AC1361" s="5">
        <v>9</v>
      </c>
      <c r="AD1361" s="5">
        <v>3</v>
      </c>
      <c r="AE1361" s="5">
        <v>2</v>
      </c>
      <c r="AF1361" s="5">
        <v>4</v>
      </c>
      <c r="AG1361" s="5">
        <v>2</v>
      </c>
      <c r="AH1361" s="5">
        <v>0</v>
      </c>
      <c r="AI1361" s="5">
        <v>1</v>
      </c>
    </row>
    <row r="1362" spans="1:35" x14ac:dyDescent="0.25">
      <c r="A1362" s="5">
        <v>31</v>
      </c>
      <c r="B1362" s="5" t="s">
        <v>43</v>
      </c>
      <c r="C1362" s="5" t="s">
        <v>36</v>
      </c>
      <c r="D1362" s="5">
        <v>471</v>
      </c>
      <c r="E1362" s="5" t="s">
        <v>45</v>
      </c>
      <c r="F1362" s="5">
        <v>4</v>
      </c>
      <c r="G1362" s="5">
        <v>3</v>
      </c>
      <c r="H1362" s="5" t="s">
        <v>51</v>
      </c>
      <c r="I1362" s="5">
        <v>1</v>
      </c>
      <c r="J1362" s="5">
        <v>1916</v>
      </c>
      <c r="K1362" s="5">
        <v>1</v>
      </c>
      <c r="L1362" s="5" t="s">
        <v>39</v>
      </c>
      <c r="M1362" s="5">
        <v>62</v>
      </c>
      <c r="N1362" s="5">
        <v>4</v>
      </c>
      <c r="O1362" s="5">
        <v>1</v>
      </c>
      <c r="P1362" s="5" t="s">
        <v>50</v>
      </c>
      <c r="Q1362" s="5">
        <v>3</v>
      </c>
      <c r="R1362" s="5" t="s">
        <v>52</v>
      </c>
      <c r="S1362" s="5">
        <v>3978</v>
      </c>
      <c r="T1362" s="5">
        <v>16031</v>
      </c>
      <c r="U1362" s="5">
        <v>8</v>
      </c>
      <c r="V1362" s="5" t="s">
        <v>42</v>
      </c>
      <c r="W1362" s="5" t="s">
        <v>43</v>
      </c>
      <c r="X1362" s="5">
        <v>12</v>
      </c>
      <c r="Y1362" s="5">
        <v>3</v>
      </c>
      <c r="Z1362" s="5">
        <v>2</v>
      </c>
      <c r="AA1362" s="5">
        <v>80</v>
      </c>
      <c r="AB1362" s="5">
        <v>1</v>
      </c>
      <c r="AC1362" s="5">
        <v>4</v>
      </c>
      <c r="AD1362" s="5">
        <v>0</v>
      </c>
      <c r="AE1362" s="5">
        <v>2</v>
      </c>
      <c r="AF1362" s="5">
        <v>2</v>
      </c>
      <c r="AG1362" s="5">
        <v>2</v>
      </c>
      <c r="AH1362" s="5">
        <v>2</v>
      </c>
      <c r="AI1362" s="5">
        <v>2</v>
      </c>
    </row>
    <row r="1363" spans="1:35" x14ac:dyDescent="0.25">
      <c r="A1363" s="5">
        <v>26</v>
      </c>
      <c r="B1363" s="5" t="s">
        <v>43</v>
      </c>
      <c r="C1363" s="5" t="s">
        <v>44</v>
      </c>
      <c r="D1363" s="5">
        <v>1096</v>
      </c>
      <c r="E1363" s="5" t="s">
        <v>45</v>
      </c>
      <c r="F1363" s="5">
        <v>6</v>
      </c>
      <c r="G1363" s="5">
        <v>3</v>
      </c>
      <c r="H1363" s="5" t="s">
        <v>49</v>
      </c>
      <c r="I1363" s="5">
        <v>1</v>
      </c>
      <c r="J1363" s="5">
        <v>1918</v>
      </c>
      <c r="K1363" s="5">
        <v>3</v>
      </c>
      <c r="L1363" s="5" t="s">
        <v>46</v>
      </c>
      <c r="M1363" s="5">
        <v>61</v>
      </c>
      <c r="N1363" s="5">
        <v>4</v>
      </c>
      <c r="O1363" s="5">
        <v>1</v>
      </c>
      <c r="P1363" s="5" t="s">
        <v>50</v>
      </c>
      <c r="Q1363" s="5">
        <v>4</v>
      </c>
      <c r="R1363" s="5" t="s">
        <v>48</v>
      </c>
      <c r="S1363" s="5">
        <v>2544</v>
      </c>
      <c r="T1363" s="5">
        <v>7102</v>
      </c>
      <c r="U1363" s="5">
        <v>0</v>
      </c>
      <c r="V1363" s="5" t="s">
        <v>42</v>
      </c>
      <c r="W1363" s="5" t="s">
        <v>43</v>
      </c>
      <c r="X1363" s="5">
        <v>18</v>
      </c>
      <c r="Y1363" s="5">
        <v>3</v>
      </c>
      <c r="Z1363" s="5">
        <v>1</v>
      </c>
      <c r="AA1363" s="5">
        <v>80</v>
      </c>
      <c r="AB1363" s="5">
        <v>1</v>
      </c>
      <c r="AC1363" s="5">
        <v>8</v>
      </c>
      <c r="AD1363" s="5">
        <v>3</v>
      </c>
      <c r="AE1363" s="5">
        <v>3</v>
      </c>
      <c r="AF1363" s="5">
        <v>7</v>
      </c>
      <c r="AG1363" s="5">
        <v>7</v>
      </c>
      <c r="AH1363" s="5">
        <v>7</v>
      </c>
      <c r="AI1363" s="5">
        <v>7</v>
      </c>
    </row>
    <row r="1364" spans="1:35" x14ac:dyDescent="0.25">
      <c r="A1364" s="5">
        <v>45</v>
      </c>
      <c r="B1364" s="5" t="s">
        <v>43</v>
      </c>
      <c r="C1364" s="5" t="s">
        <v>44</v>
      </c>
      <c r="D1364" s="5">
        <v>1297</v>
      </c>
      <c r="E1364" s="5" t="s">
        <v>45</v>
      </c>
      <c r="F1364" s="5">
        <v>1</v>
      </c>
      <c r="G1364" s="5">
        <v>4</v>
      </c>
      <c r="H1364" s="5" t="s">
        <v>51</v>
      </c>
      <c r="I1364" s="5">
        <v>1</v>
      </c>
      <c r="J1364" s="5">
        <v>1922</v>
      </c>
      <c r="K1364" s="5">
        <v>2</v>
      </c>
      <c r="L1364" s="5" t="s">
        <v>46</v>
      </c>
      <c r="M1364" s="5">
        <v>44</v>
      </c>
      <c r="N1364" s="5">
        <v>3</v>
      </c>
      <c r="O1364" s="5">
        <v>2</v>
      </c>
      <c r="P1364" s="5" t="s">
        <v>54</v>
      </c>
      <c r="Q1364" s="5">
        <v>3</v>
      </c>
      <c r="R1364" s="5" t="s">
        <v>41</v>
      </c>
      <c r="S1364" s="5">
        <v>5399</v>
      </c>
      <c r="T1364" s="5">
        <v>14511</v>
      </c>
      <c r="U1364" s="5">
        <v>4</v>
      </c>
      <c r="V1364" s="5" t="s">
        <v>42</v>
      </c>
      <c r="W1364" s="5" t="s">
        <v>43</v>
      </c>
      <c r="X1364" s="5">
        <v>12</v>
      </c>
      <c r="Y1364" s="5">
        <v>3</v>
      </c>
      <c r="Z1364" s="5">
        <v>3</v>
      </c>
      <c r="AA1364" s="5">
        <v>80</v>
      </c>
      <c r="AB1364" s="5">
        <v>0</v>
      </c>
      <c r="AC1364" s="5">
        <v>12</v>
      </c>
      <c r="AD1364" s="5">
        <v>3</v>
      </c>
      <c r="AE1364" s="5">
        <v>3</v>
      </c>
      <c r="AF1364" s="5">
        <v>4</v>
      </c>
      <c r="AG1364" s="5">
        <v>2</v>
      </c>
      <c r="AH1364" s="5">
        <v>0</v>
      </c>
      <c r="AI1364" s="5">
        <v>3</v>
      </c>
    </row>
    <row r="1365" spans="1:35" x14ac:dyDescent="0.25">
      <c r="A1365" s="5">
        <v>33</v>
      </c>
      <c r="B1365" s="5" t="s">
        <v>43</v>
      </c>
      <c r="C1365" s="5" t="s">
        <v>36</v>
      </c>
      <c r="D1365" s="5">
        <v>217</v>
      </c>
      <c r="E1365" s="5" t="s">
        <v>37</v>
      </c>
      <c r="F1365" s="5">
        <v>10</v>
      </c>
      <c r="G1365" s="5">
        <v>4</v>
      </c>
      <c r="H1365" s="5" t="s">
        <v>59</v>
      </c>
      <c r="I1365" s="5">
        <v>1</v>
      </c>
      <c r="J1365" s="5">
        <v>1924</v>
      </c>
      <c r="K1365" s="5">
        <v>2</v>
      </c>
      <c r="L1365" s="5" t="s">
        <v>46</v>
      </c>
      <c r="M1365" s="5">
        <v>43</v>
      </c>
      <c r="N1365" s="5">
        <v>3</v>
      </c>
      <c r="O1365" s="5">
        <v>2</v>
      </c>
      <c r="P1365" s="5" t="s">
        <v>40</v>
      </c>
      <c r="Q1365" s="5">
        <v>3</v>
      </c>
      <c r="R1365" s="5" t="s">
        <v>41</v>
      </c>
      <c r="S1365" s="5">
        <v>5487</v>
      </c>
      <c r="T1365" s="5">
        <v>10410</v>
      </c>
      <c r="U1365" s="5">
        <v>1</v>
      </c>
      <c r="V1365" s="5" t="s">
        <v>42</v>
      </c>
      <c r="W1365" s="5" t="s">
        <v>43</v>
      </c>
      <c r="X1365" s="5">
        <v>14</v>
      </c>
      <c r="Y1365" s="5">
        <v>3</v>
      </c>
      <c r="Z1365" s="5">
        <v>2</v>
      </c>
      <c r="AA1365" s="5">
        <v>80</v>
      </c>
      <c r="AB1365" s="5">
        <v>0</v>
      </c>
      <c r="AC1365" s="5">
        <v>10</v>
      </c>
      <c r="AD1365" s="5">
        <v>2</v>
      </c>
      <c r="AE1365" s="5">
        <v>2</v>
      </c>
      <c r="AF1365" s="5">
        <v>10</v>
      </c>
      <c r="AG1365" s="5">
        <v>4</v>
      </c>
      <c r="AH1365" s="5">
        <v>0</v>
      </c>
      <c r="AI1365" s="5">
        <v>9</v>
      </c>
    </row>
    <row r="1366" spans="1:35" x14ac:dyDescent="0.25">
      <c r="A1366" s="5">
        <v>28</v>
      </c>
      <c r="B1366" s="5" t="s">
        <v>43</v>
      </c>
      <c r="C1366" s="5" t="s">
        <v>44</v>
      </c>
      <c r="D1366" s="5">
        <v>783</v>
      </c>
      <c r="E1366" s="5" t="s">
        <v>37</v>
      </c>
      <c r="F1366" s="5">
        <v>1</v>
      </c>
      <c r="G1366" s="5">
        <v>2</v>
      </c>
      <c r="H1366" s="5" t="s">
        <v>38</v>
      </c>
      <c r="I1366" s="5">
        <v>1</v>
      </c>
      <c r="J1366" s="5">
        <v>1927</v>
      </c>
      <c r="K1366" s="5">
        <v>3</v>
      </c>
      <c r="L1366" s="5" t="s">
        <v>46</v>
      </c>
      <c r="M1366" s="5">
        <v>42</v>
      </c>
      <c r="N1366" s="5">
        <v>2</v>
      </c>
      <c r="O1366" s="5">
        <v>2</v>
      </c>
      <c r="P1366" s="5" t="s">
        <v>40</v>
      </c>
      <c r="Q1366" s="5">
        <v>4</v>
      </c>
      <c r="R1366" s="5" t="s">
        <v>48</v>
      </c>
      <c r="S1366" s="5">
        <v>6834</v>
      </c>
      <c r="T1366" s="5">
        <v>19255</v>
      </c>
      <c r="U1366" s="5">
        <v>1</v>
      </c>
      <c r="V1366" s="5" t="s">
        <v>42</v>
      </c>
      <c r="W1366" s="5" t="s">
        <v>35</v>
      </c>
      <c r="X1366" s="5">
        <v>12</v>
      </c>
      <c r="Y1366" s="5">
        <v>3</v>
      </c>
      <c r="Z1366" s="5">
        <v>3</v>
      </c>
      <c r="AA1366" s="5">
        <v>80</v>
      </c>
      <c r="AB1366" s="5">
        <v>1</v>
      </c>
      <c r="AC1366" s="5">
        <v>7</v>
      </c>
      <c r="AD1366" s="5">
        <v>2</v>
      </c>
      <c r="AE1366" s="5">
        <v>3</v>
      </c>
      <c r="AF1366" s="5">
        <v>7</v>
      </c>
      <c r="AG1366" s="5">
        <v>7</v>
      </c>
      <c r="AH1366" s="5">
        <v>0</v>
      </c>
      <c r="AI1366" s="5">
        <v>7</v>
      </c>
    </row>
    <row r="1367" spans="1:35" x14ac:dyDescent="0.25">
      <c r="A1367" s="5">
        <v>29</v>
      </c>
      <c r="B1367" s="5" t="s">
        <v>35</v>
      </c>
      <c r="C1367" s="5" t="s">
        <v>44</v>
      </c>
      <c r="D1367" s="5">
        <v>746</v>
      </c>
      <c r="E1367" s="5" t="s">
        <v>37</v>
      </c>
      <c r="F1367" s="5">
        <v>24</v>
      </c>
      <c r="G1367" s="5">
        <v>3</v>
      </c>
      <c r="H1367" s="5" t="s">
        <v>60</v>
      </c>
      <c r="I1367" s="5">
        <v>1</v>
      </c>
      <c r="J1367" s="5">
        <v>1928</v>
      </c>
      <c r="K1367" s="5">
        <v>3</v>
      </c>
      <c r="L1367" s="5" t="s">
        <v>46</v>
      </c>
      <c r="M1367" s="5">
        <v>45</v>
      </c>
      <c r="N1367" s="5">
        <v>4</v>
      </c>
      <c r="O1367" s="5">
        <v>1</v>
      </c>
      <c r="P1367" s="5" t="s">
        <v>57</v>
      </c>
      <c r="Q1367" s="5">
        <v>1</v>
      </c>
      <c r="R1367" s="5" t="s">
        <v>41</v>
      </c>
      <c r="S1367" s="5">
        <v>1091</v>
      </c>
      <c r="T1367" s="5">
        <v>10642</v>
      </c>
      <c r="U1367" s="5">
        <v>1</v>
      </c>
      <c r="V1367" s="5" t="s">
        <v>42</v>
      </c>
      <c r="W1367" s="5" t="s">
        <v>43</v>
      </c>
      <c r="X1367" s="5">
        <v>17</v>
      </c>
      <c r="Y1367" s="5">
        <v>3</v>
      </c>
      <c r="Z1367" s="5">
        <v>4</v>
      </c>
      <c r="AA1367" s="5">
        <v>80</v>
      </c>
      <c r="AB1367" s="5">
        <v>0</v>
      </c>
      <c r="AC1367" s="5">
        <v>1</v>
      </c>
      <c r="AD1367" s="5">
        <v>3</v>
      </c>
      <c r="AE1367" s="5">
        <v>3</v>
      </c>
      <c r="AF1367" s="5">
        <v>1</v>
      </c>
      <c r="AG1367" s="5">
        <v>0</v>
      </c>
      <c r="AH1367" s="5">
        <v>0</v>
      </c>
      <c r="AI1367" s="5">
        <v>0</v>
      </c>
    </row>
    <row r="1368" spans="1:35" x14ac:dyDescent="0.25">
      <c r="A1368" s="5">
        <v>39</v>
      </c>
      <c r="B1368" s="5" t="s">
        <v>43</v>
      </c>
      <c r="C1368" s="5" t="s">
        <v>55</v>
      </c>
      <c r="D1368" s="5">
        <v>1251</v>
      </c>
      <c r="E1368" s="5" t="s">
        <v>37</v>
      </c>
      <c r="F1368" s="5">
        <v>21</v>
      </c>
      <c r="G1368" s="5">
        <v>4</v>
      </c>
      <c r="H1368" s="5" t="s">
        <v>38</v>
      </c>
      <c r="I1368" s="5">
        <v>1</v>
      </c>
      <c r="J1368" s="5">
        <v>1929</v>
      </c>
      <c r="K1368" s="5">
        <v>1</v>
      </c>
      <c r="L1368" s="5" t="s">
        <v>39</v>
      </c>
      <c r="M1368" s="5">
        <v>32</v>
      </c>
      <c r="N1368" s="5">
        <v>1</v>
      </c>
      <c r="O1368" s="5">
        <v>2</v>
      </c>
      <c r="P1368" s="5" t="s">
        <v>40</v>
      </c>
      <c r="Q1368" s="5">
        <v>3</v>
      </c>
      <c r="R1368" s="5" t="s">
        <v>48</v>
      </c>
      <c r="S1368" s="5">
        <v>5736</v>
      </c>
      <c r="T1368" s="5">
        <v>3987</v>
      </c>
      <c r="U1368" s="5">
        <v>6</v>
      </c>
      <c r="V1368" s="5" t="s">
        <v>42</v>
      </c>
      <c r="W1368" s="5" t="s">
        <v>43</v>
      </c>
      <c r="X1368" s="5">
        <v>19</v>
      </c>
      <c r="Y1368" s="5">
        <v>3</v>
      </c>
      <c r="Z1368" s="5">
        <v>3</v>
      </c>
      <c r="AA1368" s="5">
        <v>80</v>
      </c>
      <c r="AB1368" s="5">
        <v>1</v>
      </c>
      <c r="AC1368" s="5">
        <v>10</v>
      </c>
      <c r="AD1368" s="5">
        <v>1</v>
      </c>
      <c r="AE1368" s="5">
        <v>3</v>
      </c>
      <c r="AF1368" s="5">
        <v>3</v>
      </c>
      <c r="AG1368" s="5">
        <v>2</v>
      </c>
      <c r="AH1368" s="5">
        <v>1</v>
      </c>
      <c r="AI1368" s="5">
        <v>2</v>
      </c>
    </row>
    <row r="1369" spans="1:35" x14ac:dyDescent="0.25">
      <c r="A1369" s="5">
        <v>27</v>
      </c>
      <c r="B1369" s="5" t="s">
        <v>43</v>
      </c>
      <c r="C1369" s="5" t="s">
        <v>36</v>
      </c>
      <c r="D1369" s="5">
        <v>1354</v>
      </c>
      <c r="E1369" s="5" t="s">
        <v>45</v>
      </c>
      <c r="F1369" s="5">
        <v>2</v>
      </c>
      <c r="G1369" s="5">
        <v>4</v>
      </c>
      <c r="H1369" s="5" t="s">
        <v>60</v>
      </c>
      <c r="I1369" s="5">
        <v>1</v>
      </c>
      <c r="J1369" s="5">
        <v>1931</v>
      </c>
      <c r="K1369" s="5">
        <v>2</v>
      </c>
      <c r="L1369" s="5" t="s">
        <v>46</v>
      </c>
      <c r="M1369" s="5">
        <v>41</v>
      </c>
      <c r="N1369" s="5">
        <v>3</v>
      </c>
      <c r="O1369" s="5">
        <v>1</v>
      </c>
      <c r="P1369" s="5" t="s">
        <v>47</v>
      </c>
      <c r="Q1369" s="5">
        <v>2</v>
      </c>
      <c r="R1369" s="5" t="s">
        <v>48</v>
      </c>
      <c r="S1369" s="5">
        <v>2226</v>
      </c>
      <c r="T1369" s="5">
        <v>6073</v>
      </c>
      <c r="U1369" s="5">
        <v>1</v>
      </c>
      <c r="V1369" s="5" t="s">
        <v>42</v>
      </c>
      <c r="W1369" s="5" t="s">
        <v>43</v>
      </c>
      <c r="X1369" s="5">
        <v>11</v>
      </c>
      <c r="Y1369" s="5">
        <v>3</v>
      </c>
      <c r="Z1369" s="5">
        <v>3</v>
      </c>
      <c r="AA1369" s="5">
        <v>80</v>
      </c>
      <c r="AB1369" s="5">
        <v>1</v>
      </c>
      <c r="AC1369" s="5">
        <v>6</v>
      </c>
      <c r="AD1369" s="5">
        <v>3</v>
      </c>
      <c r="AE1369" s="5">
        <v>2</v>
      </c>
      <c r="AF1369" s="5">
        <v>5</v>
      </c>
      <c r="AG1369" s="5">
        <v>3</v>
      </c>
      <c r="AH1369" s="5">
        <v>1</v>
      </c>
      <c r="AI1369" s="5">
        <v>2</v>
      </c>
    </row>
    <row r="1370" spans="1:35" x14ac:dyDescent="0.25">
      <c r="A1370" s="5">
        <v>34</v>
      </c>
      <c r="B1370" s="5" t="s">
        <v>43</v>
      </c>
      <c r="C1370" s="5" t="s">
        <v>44</v>
      </c>
      <c r="D1370" s="5">
        <v>735</v>
      </c>
      <c r="E1370" s="5" t="s">
        <v>45</v>
      </c>
      <c r="F1370" s="5">
        <v>22</v>
      </c>
      <c r="G1370" s="5">
        <v>4</v>
      </c>
      <c r="H1370" s="5" t="s">
        <v>49</v>
      </c>
      <c r="I1370" s="5">
        <v>1</v>
      </c>
      <c r="J1370" s="5">
        <v>1932</v>
      </c>
      <c r="K1370" s="5">
        <v>3</v>
      </c>
      <c r="L1370" s="5" t="s">
        <v>46</v>
      </c>
      <c r="M1370" s="5">
        <v>86</v>
      </c>
      <c r="N1370" s="5">
        <v>2</v>
      </c>
      <c r="O1370" s="5">
        <v>2</v>
      </c>
      <c r="P1370" s="5" t="s">
        <v>47</v>
      </c>
      <c r="Q1370" s="5">
        <v>4</v>
      </c>
      <c r="R1370" s="5" t="s">
        <v>48</v>
      </c>
      <c r="S1370" s="5">
        <v>5747</v>
      </c>
      <c r="T1370" s="5">
        <v>26496</v>
      </c>
      <c r="U1370" s="5">
        <v>1</v>
      </c>
      <c r="V1370" s="5" t="s">
        <v>42</v>
      </c>
      <c r="W1370" s="5" t="s">
        <v>35</v>
      </c>
      <c r="X1370" s="5">
        <v>15</v>
      </c>
      <c r="Y1370" s="5">
        <v>3</v>
      </c>
      <c r="Z1370" s="5">
        <v>2</v>
      </c>
      <c r="AA1370" s="5">
        <v>80</v>
      </c>
      <c r="AB1370" s="5">
        <v>0</v>
      </c>
      <c r="AC1370" s="5">
        <v>16</v>
      </c>
      <c r="AD1370" s="5">
        <v>3</v>
      </c>
      <c r="AE1370" s="5">
        <v>3</v>
      </c>
      <c r="AF1370" s="5">
        <v>15</v>
      </c>
      <c r="AG1370" s="5">
        <v>10</v>
      </c>
      <c r="AH1370" s="5">
        <v>6</v>
      </c>
      <c r="AI1370" s="5">
        <v>11</v>
      </c>
    </row>
    <row r="1371" spans="1:35" x14ac:dyDescent="0.25">
      <c r="A1371" s="5">
        <v>28</v>
      </c>
      <c r="B1371" s="5" t="s">
        <v>35</v>
      </c>
      <c r="C1371" s="5" t="s">
        <v>36</v>
      </c>
      <c r="D1371" s="5">
        <v>1475</v>
      </c>
      <c r="E1371" s="5" t="s">
        <v>37</v>
      </c>
      <c r="F1371" s="5">
        <v>13</v>
      </c>
      <c r="G1371" s="5">
        <v>2</v>
      </c>
      <c r="H1371" s="5" t="s">
        <v>59</v>
      </c>
      <c r="I1371" s="5">
        <v>1</v>
      </c>
      <c r="J1371" s="5">
        <v>1933</v>
      </c>
      <c r="K1371" s="5">
        <v>4</v>
      </c>
      <c r="L1371" s="5" t="s">
        <v>39</v>
      </c>
      <c r="M1371" s="5">
        <v>84</v>
      </c>
      <c r="N1371" s="5">
        <v>3</v>
      </c>
      <c r="O1371" s="5">
        <v>2</v>
      </c>
      <c r="P1371" s="5" t="s">
        <v>40</v>
      </c>
      <c r="Q1371" s="5">
        <v>3</v>
      </c>
      <c r="R1371" s="5" t="s">
        <v>41</v>
      </c>
      <c r="S1371" s="5">
        <v>9854</v>
      </c>
      <c r="T1371" s="5">
        <v>23352</v>
      </c>
      <c r="U1371" s="5">
        <v>3</v>
      </c>
      <c r="V1371" s="5" t="s">
        <v>42</v>
      </c>
      <c r="W1371" s="5" t="s">
        <v>35</v>
      </c>
      <c r="X1371" s="5">
        <v>11</v>
      </c>
      <c r="Y1371" s="5">
        <v>3</v>
      </c>
      <c r="Z1371" s="5">
        <v>4</v>
      </c>
      <c r="AA1371" s="5">
        <v>80</v>
      </c>
      <c r="AB1371" s="5">
        <v>0</v>
      </c>
      <c r="AC1371" s="5">
        <v>6</v>
      </c>
      <c r="AD1371" s="5">
        <v>0</v>
      </c>
      <c r="AE1371" s="5">
        <v>3</v>
      </c>
      <c r="AF1371" s="5">
        <v>2</v>
      </c>
      <c r="AG1371" s="5">
        <v>0</v>
      </c>
      <c r="AH1371" s="5">
        <v>2</v>
      </c>
      <c r="AI1371" s="5">
        <v>2</v>
      </c>
    </row>
    <row r="1372" spans="1:35" x14ac:dyDescent="0.25">
      <c r="A1372" s="5">
        <v>47</v>
      </c>
      <c r="B1372" s="5" t="s">
        <v>43</v>
      </c>
      <c r="C1372" s="5" t="s">
        <v>55</v>
      </c>
      <c r="D1372" s="5">
        <v>1169</v>
      </c>
      <c r="E1372" s="5" t="s">
        <v>45</v>
      </c>
      <c r="F1372" s="5">
        <v>14</v>
      </c>
      <c r="G1372" s="5">
        <v>4</v>
      </c>
      <c r="H1372" s="5" t="s">
        <v>60</v>
      </c>
      <c r="I1372" s="5">
        <v>1</v>
      </c>
      <c r="J1372" s="5">
        <v>1934</v>
      </c>
      <c r="K1372" s="5">
        <v>3</v>
      </c>
      <c r="L1372" s="5" t="s">
        <v>46</v>
      </c>
      <c r="M1372" s="5">
        <v>64</v>
      </c>
      <c r="N1372" s="5">
        <v>3</v>
      </c>
      <c r="O1372" s="5">
        <v>2</v>
      </c>
      <c r="P1372" s="5" t="s">
        <v>47</v>
      </c>
      <c r="Q1372" s="5">
        <v>2</v>
      </c>
      <c r="R1372" s="5" t="s">
        <v>48</v>
      </c>
      <c r="S1372" s="5">
        <v>5467</v>
      </c>
      <c r="T1372" s="5">
        <v>2125</v>
      </c>
      <c r="U1372" s="5">
        <v>8</v>
      </c>
      <c r="V1372" s="5" t="s">
        <v>42</v>
      </c>
      <c r="W1372" s="5" t="s">
        <v>43</v>
      </c>
      <c r="X1372" s="5">
        <v>18</v>
      </c>
      <c r="Y1372" s="5">
        <v>3</v>
      </c>
      <c r="Z1372" s="5">
        <v>3</v>
      </c>
      <c r="AA1372" s="5">
        <v>80</v>
      </c>
      <c r="AB1372" s="5">
        <v>1</v>
      </c>
      <c r="AC1372" s="5">
        <v>16</v>
      </c>
      <c r="AD1372" s="5">
        <v>4</v>
      </c>
      <c r="AE1372" s="5">
        <v>4</v>
      </c>
      <c r="AF1372" s="5">
        <v>8</v>
      </c>
      <c r="AG1372" s="5">
        <v>7</v>
      </c>
      <c r="AH1372" s="5">
        <v>1</v>
      </c>
      <c r="AI1372" s="5">
        <v>7</v>
      </c>
    </row>
    <row r="1373" spans="1:35" x14ac:dyDescent="0.25">
      <c r="A1373" s="5">
        <v>56</v>
      </c>
      <c r="B1373" s="5" t="s">
        <v>43</v>
      </c>
      <c r="C1373" s="5" t="s">
        <v>36</v>
      </c>
      <c r="D1373" s="5">
        <v>1443</v>
      </c>
      <c r="E1373" s="5" t="s">
        <v>37</v>
      </c>
      <c r="F1373" s="5">
        <v>11</v>
      </c>
      <c r="G1373" s="5">
        <v>5</v>
      </c>
      <c r="H1373" s="5" t="s">
        <v>59</v>
      </c>
      <c r="I1373" s="5">
        <v>1</v>
      </c>
      <c r="J1373" s="5">
        <v>1935</v>
      </c>
      <c r="K1373" s="5">
        <v>4</v>
      </c>
      <c r="L1373" s="5" t="s">
        <v>39</v>
      </c>
      <c r="M1373" s="5">
        <v>89</v>
      </c>
      <c r="N1373" s="5">
        <v>2</v>
      </c>
      <c r="O1373" s="5">
        <v>2</v>
      </c>
      <c r="P1373" s="5" t="s">
        <v>40</v>
      </c>
      <c r="Q1373" s="5">
        <v>1</v>
      </c>
      <c r="R1373" s="5" t="s">
        <v>48</v>
      </c>
      <c r="S1373" s="5">
        <v>5380</v>
      </c>
      <c r="T1373" s="5">
        <v>20328</v>
      </c>
      <c r="U1373" s="5">
        <v>4</v>
      </c>
      <c r="V1373" s="5" t="s">
        <v>42</v>
      </c>
      <c r="W1373" s="5" t="s">
        <v>43</v>
      </c>
      <c r="X1373" s="5">
        <v>16</v>
      </c>
      <c r="Y1373" s="5">
        <v>3</v>
      </c>
      <c r="Z1373" s="5">
        <v>3</v>
      </c>
      <c r="AA1373" s="5">
        <v>80</v>
      </c>
      <c r="AB1373" s="5">
        <v>1</v>
      </c>
      <c r="AC1373" s="5">
        <v>6</v>
      </c>
      <c r="AD1373" s="5">
        <v>3</v>
      </c>
      <c r="AE1373" s="5">
        <v>3</v>
      </c>
      <c r="AF1373" s="5">
        <v>0</v>
      </c>
      <c r="AG1373" s="5">
        <v>0</v>
      </c>
      <c r="AH1373" s="5">
        <v>0</v>
      </c>
      <c r="AI1373" s="5">
        <v>0</v>
      </c>
    </row>
    <row r="1374" spans="1:35" x14ac:dyDescent="0.25">
      <c r="A1374" s="5">
        <v>39</v>
      </c>
      <c r="B1374" s="5" t="s">
        <v>43</v>
      </c>
      <c r="C1374" s="5" t="s">
        <v>36</v>
      </c>
      <c r="D1374" s="5">
        <v>867</v>
      </c>
      <c r="E1374" s="5" t="s">
        <v>45</v>
      </c>
      <c r="F1374" s="5">
        <v>9</v>
      </c>
      <c r="G1374" s="5">
        <v>2</v>
      </c>
      <c r="H1374" s="5" t="s">
        <v>51</v>
      </c>
      <c r="I1374" s="5">
        <v>1</v>
      </c>
      <c r="J1374" s="5">
        <v>1936</v>
      </c>
      <c r="K1374" s="5">
        <v>1</v>
      </c>
      <c r="L1374" s="5" t="s">
        <v>46</v>
      </c>
      <c r="M1374" s="5">
        <v>87</v>
      </c>
      <c r="N1374" s="5">
        <v>3</v>
      </c>
      <c r="O1374" s="5">
        <v>2</v>
      </c>
      <c r="P1374" s="5" t="s">
        <v>53</v>
      </c>
      <c r="Q1374" s="5">
        <v>1</v>
      </c>
      <c r="R1374" s="5" t="s">
        <v>48</v>
      </c>
      <c r="S1374" s="5">
        <v>5151</v>
      </c>
      <c r="T1374" s="5">
        <v>12315</v>
      </c>
      <c r="U1374" s="5">
        <v>1</v>
      </c>
      <c r="V1374" s="5" t="s">
        <v>42</v>
      </c>
      <c r="W1374" s="5" t="s">
        <v>43</v>
      </c>
      <c r="X1374" s="5">
        <v>25</v>
      </c>
      <c r="Y1374" s="5">
        <v>4</v>
      </c>
      <c r="Z1374" s="5">
        <v>4</v>
      </c>
      <c r="AA1374" s="5">
        <v>80</v>
      </c>
      <c r="AB1374" s="5">
        <v>1</v>
      </c>
      <c r="AC1374" s="5">
        <v>10</v>
      </c>
      <c r="AD1374" s="5">
        <v>3</v>
      </c>
      <c r="AE1374" s="5">
        <v>3</v>
      </c>
      <c r="AF1374" s="5">
        <v>10</v>
      </c>
      <c r="AG1374" s="5">
        <v>0</v>
      </c>
      <c r="AH1374" s="5">
        <v>7</v>
      </c>
      <c r="AI1374" s="5">
        <v>9</v>
      </c>
    </row>
    <row r="1375" spans="1:35" x14ac:dyDescent="0.25">
      <c r="A1375" s="5">
        <v>38</v>
      </c>
      <c r="B1375" s="5" t="s">
        <v>43</v>
      </c>
      <c r="C1375" s="5" t="s">
        <v>44</v>
      </c>
      <c r="D1375" s="5">
        <v>1394</v>
      </c>
      <c r="E1375" s="5" t="s">
        <v>45</v>
      </c>
      <c r="F1375" s="5">
        <v>8</v>
      </c>
      <c r="G1375" s="5">
        <v>3</v>
      </c>
      <c r="H1375" s="5" t="s">
        <v>51</v>
      </c>
      <c r="I1375" s="5">
        <v>1</v>
      </c>
      <c r="J1375" s="5">
        <v>1937</v>
      </c>
      <c r="K1375" s="5">
        <v>4</v>
      </c>
      <c r="L1375" s="5" t="s">
        <v>39</v>
      </c>
      <c r="M1375" s="5">
        <v>58</v>
      </c>
      <c r="N1375" s="5">
        <v>2</v>
      </c>
      <c r="O1375" s="5">
        <v>2</v>
      </c>
      <c r="P1375" s="5" t="s">
        <v>47</v>
      </c>
      <c r="Q1375" s="5">
        <v>2</v>
      </c>
      <c r="R1375" s="5" t="s">
        <v>52</v>
      </c>
      <c r="S1375" s="5">
        <v>2133</v>
      </c>
      <c r="T1375" s="5">
        <v>18115</v>
      </c>
      <c r="U1375" s="5">
        <v>1</v>
      </c>
      <c r="V1375" s="5" t="s">
        <v>42</v>
      </c>
      <c r="W1375" s="5" t="s">
        <v>35</v>
      </c>
      <c r="X1375" s="5">
        <v>16</v>
      </c>
      <c r="Y1375" s="5">
        <v>3</v>
      </c>
      <c r="Z1375" s="5">
        <v>3</v>
      </c>
      <c r="AA1375" s="5">
        <v>80</v>
      </c>
      <c r="AB1375" s="5">
        <v>1</v>
      </c>
      <c r="AC1375" s="5">
        <v>20</v>
      </c>
      <c r="AD1375" s="5">
        <v>3</v>
      </c>
      <c r="AE1375" s="5">
        <v>3</v>
      </c>
      <c r="AF1375" s="5">
        <v>20</v>
      </c>
      <c r="AG1375" s="5">
        <v>11</v>
      </c>
      <c r="AH1375" s="5">
        <v>0</v>
      </c>
      <c r="AI1375" s="5">
        <v>7</v>
      </c>
    </row>
    <row r="1376" spans="1:35" x14ac:dyDescent="0.25">
      <c r="A1376" s="5">
        <v>58</v>
      </c>
      <c r="B1376" s="5" t="s">
        <v>43</v>
      </c>
      <c r="C1376" s="5" t="s">
        <v>36</v>
      </c>
      <c r="D1376" s="5">
        <v>605</v>
      </c>
      <c r="E1376" s="5" t="s">
        <v>37</v>
      </c>
      <c r="F1376" s="5">
        <v>21</v>
      </c>
      <c r="G1376" s="5">
        <v>3</v>
      </c>
      <c r="H1376" s="5" t="s">
        <v>38</v>
      </c>
      <c r="I1376" s="5">
        <v>1</v>
      </c>
      <c r="J1376" s="5">
        <v>1938</v>
      </c>
      <c r="K1376" s="5">
        <v>4</v>
      </c>
      <c r="L1376" s="5" t="s">
        <v>39</v>
      </c>
      <c r="M1376" s="5">
        <v>72</v>
      </c>
      <c r="N1376" s="5">
        <v>3</v>
      </c>
      <c r="O1376" s="5">
        <v>4</v>
      </c>
      <c r="P1376" s="5" t="s">
        <v>56</v>
      </c>
      <c r="Q1376" s="5">
        <v>4</v>
      </c>
      <c r="R1376" s="5" t="s">
        <v>48</v>
      </c>
      <c r="S1376" s="5">
        <v>17875</v>
      </c>
      <c r="T1376" s="5">
        <v>11761</v>
      </c>
      <c r="U1376" s="5">
        <v>4</v>
      </c>
      <c r="V1376" s="5" t="s">
        <v>42</v>
      </c>
      <c r="W1376" s="5" t="s">
        <v>35</v>
      </c>
      <c r="X1376" s="5">
        <v>13</v>
      </c>
      <c r="Y1376" s="5">
        <v>3</v>
      </c>
      <c r="Z1376" s="5">
        <v>3</v>
      </c>
      <c r="AA1376" s="5">
        <v>80</v>
      </c>
      <c r="AB1376" s="5">
        <v>1</v>
      </c>
      <c r="AC1376" s="5">
        <v>29</v>
      </c>
      <c r="AD1376" s="5">
        <v>2</v>
      </c>
      <c r="AE1376" s="5">
        <v>2</v>
      </c>
      <c r="AF1376" s="5">
        <v>1</v>
      </c>
      <c r="AG1376" s="5">
        <v>0</v>
      </c>
      <c r="AH1376" s="5">
        <v>0</v>
      </c>
      <c r="AI1376" s="5">
        <v>0</v>
      </c>
    </row>
    <row r="1377" spans="1:35" x14ac:dyDescent="0.25">
      <c r="A1377" s="5">
        <v>32</v>
      </c>
      <c r="B1377" s="5" t="s">
        <v>35</v>
      </c>
      <c r="C1377" s="5" t="s">
        <v>44</v>
      </c>
      <c r="D1377" s="5">
        <v>238</v>
      </c>
      <c r="E1377" s="5" t="s">
        <v>45</v>
      </c>
      <c r="F1377" s="5">
        <v>5</v>
      </c>
      <c r="G1377" s="5">
        <v>2</v>
      </c>
      <c r="H1377" s="5" t="s">
        <v>38</v>
      </c>
      <c r="I1377" s="5">
        <v>1</v>
      </c>
      <c r="J1377" s="5">
        <v>1939</v>
      </c>
      <c r="K1377" s="5">
        <v>1</v>
      </c>
      <c r="L1377" s="5" t="s">
        <v>39</v>
      </c>
      <c r="M1377" s="5">
        <v>47</v>
      </c>
      <c r="N1377" s="5">
        <v>4</v>
      </c>
      <c r="O1377" s="5">
        <v>1</v>
      </c>
      <c r="P1377" s="5" t="s">
        <v>47</v>
      </c>
      <c r="Q1377" s="5">
        <v>3</v>
      </c>
      <c r="R1377" s="5" t="s">
        <v>41</v>
      </c>
      <c r="S1377" s="5">
        <v>2432</v>
      </c>
      <c r="T1377" s="5">
        <v>15318</v>
      </c>
      <c r="U1377" s="5">
        <v>3</v>
      </c>
      <c r="V1377" s="5" t="s">
        <v>42</v>
      </c>
      <c r="W1377" s="5" t="s">
        <v>35</v>
      </c>
      <c r="X1377" s="5">
        <v>14</v>
      </c>
      <c r="Y1377" s="5">
        <v>3</v>
      </c>
      <c r="Z1377" s="5">
        <v>1</v>
      </c>
      <c r="AA1377" s="5">
        <v>80</v>
      </c>
      <c r="AB1377" s="5">
        <v>0</v>
      </c>
      <c r="AC1377" s="5">
        <v>8</v>
      </c>
      <c r="AD1377" s="5">
        <v>2</v>
      </c>
      <c r="AE1377" s="5">
        <v>3</v>
      </c>
      <c r="AF1377" s="5">
        <v>4</v>
      </c>
      <c r="AG1377" s="5">
        <v>1</v>
      </c>
      <c r="AH1377" s="5">
        <v>0</v>
      </c>
      <c r="AI1377" s="5">
        <v>3</v>
      </c>
    </row>
    <row r="1378" spans="1:35" x14ac:dyDescent="0.25">
      <c r="A1378" s="5">
        <v>38</v>
      </c>
      <c r="B1378" s="5" t="s">
        <v>43</v>
      </c>
      <c r="C1378" s="5" t="s">
        <v>36</v>
      </c>
      <c r="D1378" s="5">
        <v>1206</v>
      </c>
      <c r="E1378" s="5" t="s">
        <v>45</v>
      </c>
      <c r="F1378" s="5">
        <v>9</v>
      </c>
      <c r="G1378" s="5">
        <v>2</v>
      </c>
      <c r="H1378" s="5" t="s">
        <v>38</v>
      </c>
      <c r="I1378" s="5">
        <v>1</v>
      </c>
      <c r="J1378" s="5">
        <v>1940</v>
      </c>
      <c r="K1378" s="5">
        <v>2</v>
      </c>
      <c r="L1378" s="5" t="s">
        <v>46</v>
      </c>
      <c r="M1378" s="5">
        <v>71</v>
      </c>
      <c r="N1378" s="5">
        <v>3</v>
      </c>
      <c r="O1378" s="5">
        <v>1</v>
      </c>
      <c r="P1378" s="5" t="s">
        <v>47</v>
      </c>
      <c r="Q1378" s="5">
        <v>4</v>
      </c>
      <c r="R1378" s="5" t="s">
        <v>52</v>
      </c>
      <c r="S1378" s="5">
        <v>4771</v>
      </c>
      <c r="T1378" s="5">
        <v>14293</v>
      </c>
      <c r="U1378" s="5">
        <v>2</v>
      </c>
      <c r="V1378" s="5" t="s">
        <v>42</v>
      </c>
      <c r="W1378" s="5" t="s">
        <v>43</v>
      </c>
      <c r="X1378" s="5">
        <v>19</v>
      </c>
      <c r="Y1378" s="5">
        <v>3</v>
      </c>
      <c r="Z1378" s="5">
        <v>4</v>
      </c>
      <c r="AA1378" s="5">
        <v>80</v>
      </c>
      <c r="AB1378" s="5">
        <v>2</v>
      </c>
      <c r="AC1378" s="5">
        <v>10</v>
      </c>
      <c r="AD1378" s="5">
        <v>0</v>
      </c>
      <c r="AE1378" s="5">
        <v>4</v>
      </c>
      <c r="AF1378" s="5">
        <v>5</v>
      </c>
      <c r="AG1378" s="5">
        <v>2</v>
      </c>
      <c r="AH1378" s="5">
        <v>0</v>
      </c>
      <c r="AI1378" s="5">
        <v>3</v>
      </c>
    </row>
    <row r="1379" spans="1:35" x14ac:dyDescent="0.25">
      <c r="A1379" s="5">
        <v>49</v>
      </c>
      <c r="B1379" s="5" t="s">
        <v>43</v>
      </c>
      <c r="C1379" s="5" t="s">
        <v>44</v>
      </c>
      <c r="D1379" s="5">
        <v>1064</v>
      </c>
      <c r="E1379" s="5" t="s">
        <v>45</v>
      </c>
      <c r="F1379" s="5">
        <v>2</v>
      </c>
      <c r="G1379" s="5">
        <v>1</v>
      </c>
      <c r="H1379" s="5" t="s">
        <v>38</v>
      </c>
      <c r="I1379" s="5">
        <v>1</v>
      </c>
      <c r="J1379" s="5">
        <v>1941</v>
      </c>
      <c r="K1379" s="5">
        <v>2</v>
      </c>
      <c r="L1379" s="5" t="s">
        <v>46</v>
      </c>
      <c r="M1379" s="5">
        <v>42</v>
      </c>
      <c r="N1379" s="5">
        <v>3</v>
      </c>
      <c r="O1379" s="5">
        <v>5</v>
      </c>
      <c r="P1379" s="5" t="s">
        <v>58</v>
      </c>
      <c r="Q1379" s="5">
        <v>4</v>
      </c>
      <c r="R1379" s="5" t="s">
        <v>48</v>
      </c>
      <c r="S1379" s="5">
        <v>19161</v>
      </c>
      <c r="T1379" s="5">
        <v>13738</v>
      </c>
      <c r="U1379" s="5">
        <v>3</v>
      </c>
      <c r="V1379" s="5" t="s">
        <v>42</v>
      </c>
      <c r="W1379" s="5" t="s">
        <v>43</v>
      </c>
      <c r="X1379" s="5">
        <v>15</v>
      </c>
      <c r="Y1379" s="5">
        <v>3</v>
      </c>
      <c r="Z1379" s="5">
        <v>4</v>
      </c>
      <c r="AA1379" s="5">
        <v>80</v>
      </c>
      <c r="AB1379" s="5">
        <v>0</v>
      </c>
      <c r="AC1379" s="5">
        <v>28</v>
      </c>
      <c r="AD1379" s="5">
        <v>3</v>
      </c>
      <c r="AE1379" s="5">
        <v>3</v>
      </c>
      <c r="AF1379" s="5">
        <v>5</v>
      </c>
      <c r="AG1379" s="5">
        <v>4</v>
      </c>
      <c r="AH1379" s="5">
        <v>4</v>
      </c>
      <c r="AI1379" s="5">
        <v>3</v>
      </c>
    </row>
    <row r="1380" spans="1:35" x14ac:dyDescent="0.25">
      <c r="A1380" s="5">
        <v>42</v>
      </c>
      <c r="B1380" s="5" t="s">
        <v>43</v>
      </c>
      <c r="C1380" s="5" t="s">
        <v>36</v>
      </c>
      <c r="D1380" s="5">
        <v>419</v>
      </c>
      <c r="E1380" s="5" t="s">
        <v>37</v>
      </c>
      <c r="F1380" s="5">
        <v>12</v>
      </c>
      <c r="G1380" s="5">
        <v>4</v>
      </c>
      <c r="H1380" s="5" t="s">
        <v>59</v>
      </c>
      <c r="I1380" s="5">
        <v>1</v>
      </c>
      <c r="J1380" s="5">
        <v>1943</v>
      </c>
      <c r="K1380" s="5">
        <v>2</v>
      </c>
      <c r="L1380" s="5" t="s">
        <v>46</v>
      </c>
      <c r="M1380" s="5">
        <v>77</v>
      </c>
      <c r="N1380" s="5">
        <v>3</v>
      </c>
      <c r="O1380" s="5">
        <v>2</v>
      </c>
      <c r="P1380" s="5" t="s">
        <v>40</v>
      </c>
      <c r="Q1380" s="5">
        <v>4</v>
      </c>
      <c r="R1380" s="5" t="s">
        <v>52</v>
      </c>
      <c r="S1380" s="5">
        <v>5087</v>
      </c>
      <c r="T1380" s="5">
        <v>2900</v>
      </c>
      <c r="U1380" s="5">
        <v>3</v>
      </c>
      <c r="V1380" s="5" t="s">
        <v>42</v>
      </c>
      <c r="W1380" s="5" t="s">
        <v>35</v>
      </c>
      <c r="X1380" s="5">
        <v>12</v>
      </c>
      <c r="Y1380" s="5">
        <v>3</v>
      </c>
      <c r="Z1380" s="5">
        <v>3</v>
      </c>
      <c r="AA1380" s="5">
        <v>80</v>
      </c>
      <c r="AB1380" s="5">
        <v>2</v>
      </c>
      <c r="AC1380" s="5">
        <v>14</v>
      </c>
      <c r="AD1380" s="5">
        <v>4</v>
      </c>
      <c r="AE1380" s="5">
        <v>3</v>
      </c>
      <c r="AF1380" s="5">
        <v>0</v>
      </c>
      <c r="AG1380" s="5">
        <v>0</v>
      </c>
      <c r="AH1380" s="5">
        <v>0</v>
      </c>
      <c r="AI1380" s="5">
        <v>0</v>
      </c>
    </row>
    <row r="1381" spans="1:35" x14ac:dyDescent="0.25">
      <c r="A1381" s="5">
        <v>27</v>
      </c>
      <c r="B1381" s="5" t="s">
        <v>35</v>
      </c>
      <c r="C1381" s="5" t="s">
        <v>44</v>
      </c>
      <c r="D1381" s="5">
        <v>1337</v>
      </c>
      <c r="E1381" s="5" t="s">
        <v>61</v>
      </c>
      <c r="F1381" s="5">
        <v>22</v>
      </c>
      <c r="G1381" s="5">
        <v>3</v>
      </c>
      <c r="H1381" s="5" t="s">
        <v>61</v>
      </c>
      <c r="I1381" s="5">
        <v>1</v>
      </c>
      <c r="J1381" s="5">
        <v>1944</v>
      </c>
      <c r="K1381" s="5">
        <v>1</v>
      </c>
      <c r="L1381" s="5" t="s">
        <v>39</v>
      </c>
      <c r="M1381" s="5">
        <v>58</v>
      </c>
      <c r="N1381" s="5">
        <v>2</v>
      </c>
      <c r="O1381" s="5">
        <v>1</v>
      </c>
      <c r="P1381" s="5" t="s">
        <v>61</v>
      </c>
      <c r="Q1381" s="5">
        <v>2</v>
      </c>
      <c r="R1381" s="5" t="s">
        <v>48</v>
      </c>
      <c r="S1381" s="5">
        <v>2863</v>
      </c>
      <c r="T1381" s="5">
        <v>19555</v>
      </c>
      <c r="U1381" s="5">
        <v>1</v>
      </c>
      <c r="V1381" s="5" t="s">
        <v>42</v>
      </c>
      <c r="W1381" s="5" t="s">
        <v>43</v>
      </c>
      <c r="X1381" s="5">
        <v>12</v>
      </c>
      <c r="Y1381" s="5">
        <v>3</v>
      </c>
      <c r="Z1381" s="5">
        <v>1</v>
      </c>
      <c r="AA1381" s="5">
        <v>80</v>
      </c>
      <c r="AB1381" s="5">
        <v>0</v>
      </c>
      <c r="AC1381" s="5">
        <v>1</v>
      </c>
      <c r="AD1381" s="5">
        <v>2</v>
      </c>
      <c r="AE1381" s="5">
        <v>3</v>
      </c>
      <c r="AF1381" s="5">
        <v>1</v>
      </c>
      <c r="AG1381" s="5">
        <v>0</v>
      </c>
      <c r="AH1381" s="5">
        <v>0</v>
      </c>
      <c r="AI1381" s="5">
        <v>0</v>
      </c>
    </row>
    <row r="1382" spans="1:35" x14ac:dyDescent="0.25">
      <c r="A1382" s="5">
        <v>35</v>
      </c>
      <c r="B1382" s="5" t="s">
        <v>43</v>
      </c>
      <c r="C1382" s="5" t="s">
        <v>36</v>
      </c>
      <c r="D1382" s="5">
        <v>682</v>
      </c>
      <c r="E1382" s="5" t="s">
        <v>37</v>
      </c>
      <c r="F1382" s="5">
        <v>18</v>
      </c>
      <c r="G1382" s="5">
        <v>4</v>
      </c>
      <c r="H1382" s="5" t="s">
        <v>51</v>
      </c>
      <c r="I1382" s="5">
        <v>1</v>
      </c>
      <c r="J1382" s="5">
        <v>1945</v>
      </c>
      <c r="K1382" s="5">
        <v>2</v>
      </c>
      <c r="L1382" s="5" t="s">
        <v>46</v>
      </c>
      <c r="M1382" s="5">
        <v>71</v>
      </c>
      <c r="N1382" s="5">
        <v>3</v>
      </c>
      <c r="O1382" s="5">
        <v>2</v>
      </c>
      <c r="P1382" s="5" t="s">
        <v>40</v>
      </c>
      <c r="Q1382" s="5">
        <v>1</v>
      </c>
      <c r="R1382" s="5" t="s">
        <v>48</v>
      </c>
      <c r="S1382" s="5">
        <v>5561</v>
      </c>
      <c r="T1382" s="5">
        <v>15975</v>
      </c>
      <c r="U1382" s="5">
        <v>0</v>
      </c>
      <c r="V1382" s="5" t="s">
        <v>42</v>
      </c>
      <c r="W1382" s="5" t="s">
        <v>43</v>
      </c>
      <c r="X1382" s="5">
        <v>16</v>
      </c>
      <c r="Y1382" s="5">
        <v>3</v>
      </c>
      <c r="Z1382" s="5">
        <v>4</v>
      </c>
      <c r="AA1382" s="5">
        <v>80</v>
      </c>
      <c r="AB1382" s="5">
        <v>1</v>
      </c>
      <c r="AC1382" s="5">
        <v>6</v>
      </c>
      <c r="AD1382" s="5">
        <v>2</v>
      </c>
      <c r="AE1382" s="5">
        <v>1</v>
      </c>
      <c r="AF1382" s="5">
        <v>5</v>
      </c>
      <c r="AG1382" s="5">
        <v>3</v>
      </c>
      <c r="AH1382" s="5">
        <v>0</v>
      </c>
      <c r="AI1382" s="5">
        <v>4</v>
      </c>
    </row>
    <row r="1383" spans="1:35" x14ac:dyDescent="0.25">
      <c r="A1383" s="5">
        <v>28</v>
      </c>
      <c r="B1383" s="5" t="s">
        <v>43</v>
      </c>
      <c r="C1383" s="5" t="s">
        <v>55</v>
      </c>
      <c r="D1383" s="5">
        <v>1103</v>
      </c>
      <c r="E1383" s="5" t="s">
        <v>45</v>
      </c>
      <c r="F1383" s="5">
        <v>16</v>
      </c>
      <c r="G1383" s="5">
        <v>3</v>
      </c>
      <c r="H1383" s="5" t="s">
        <v>51</v>
      </c>
      <c r="I1383" s="5">
        <v>1</v>
      </c>
      <c r="J1383" s="5">
        <v>1947</v>
      </c>
      <c r="K1383" s="5">
        <v>3</v>
      </c>
      <c r="L1383" s="5" t="s">
        <v>46</v>
      </c>
      <c r="M1383" s="5">
        <v>49</v>
      </c>
      <c r="N1383" s="5">
        <v>3</v>
      </c>
      <c r="O1383" s="5">
        <v>1</v>
      </c>
      <c r="P1383" s="5" t="s">
        <v>47</v>
      </c>
      <c r="Q1383" s="5">
        <v>3</v>
      </c>
      <c r="R1383" s="5" t="s">
        <v>41</v>
      </c>
      <c r="S1383" s="5">
        <v>2144</v>
      </c>
      <c r="T1383" s="5">
        <v>2122</v>
      </c>
      <c r="U1383" s="5">
        <v>1</v>
      </c>
      <c r="V1383" s="5" t="s">
        <v>42</v>
      </c>
      <c r="W1383" s="5" t="s">
        <v>43</v>
      </c>
      <c r="X1383" s="5">
        <v>14</v>
      </c>
      <c r="Y1383" s="5">
        <v>3</v>
      </c>
      <c r="Z1383" s="5">
        <v>3</v>
      </c>
      <c r="AA1383" s="5">
        <v>80</v>
      </c>
      <c r="AB1383" s="5">
        <v>0</v>
      </c>
      <c r="AC1383" s="5">
        <v>5</v>
      </c>
      <c r="AD1383" s="5">
        <v>3</v>
      </c>
      <c r="AE1383" s="5">
        <v>2</v>
      </c>
      <c r="AF1383" s="5">
        <v>5</v>
      </c>
      <c r="AG1383" s="5">
        <v>3</v>
      </c>
      <c r="AH1383" s="5">
        <v>1</v>
      </c>
      <c r="AI1383" s="5">
        <v>4</v>
      </c>
    </row>
    <row r="1384" spans="1:35" x14ac:dyDescent="0.25">
      <c r="A1384" s="5">
        <v>31</v>
      </c>
      <c r="B1384" s="5" t="s">
        <v>43</v>
      </c>
      <c r="C1384" s="5" t="s">
        <v>55</v>
      </c>
      <c r="D1384" s="5">
        <v>976</v>
      </c>
      <c r="E1384" s="5" t="s">
        <v>45</v>
      </c>
      <c r="F1384" s="5">
        <v>3</v>
      </c>
      <c r="G1384" s="5">
        <v>2</v>
      </c>
      <c r="H1384" s="5" t="s">
        <v>51</v>
      </c>
      <c r="I1384" s="5">
        <v>1</v>
      </c>
      <c r="J1384" s="5">
        <v>1948</v>
      </c>
      <c r="K1384" s="5">
        <v>3</v>
      </c>
      <c r="L1384" s="5" t="s">
        <v>46</v>
      </c>
      <c r="M1384" s="5">
        <v>48</v>
      </c>
      <c r="N1384" s="5">
        <v>3</v>
      </c>
      <c r="O1384" s="5">
        <v>1</v>
      </c>
      <c r="P1384" s="5" t="s">
        <v>47</v>
      </c>
      <c r="Q1384" s="5">
        <v>1</v>
      </c>
      <c r="R1384" s="5" t="s">
        <v>52</v>
      </c>
      <c r="S1384" s="5">
        <v>3065</v>
      </c>
      <c r="T1384" s="5">
        <v>3995</v>
      </c>
      <c r="U1384" s="5">
        <v>1</v>
      </c>
      <c r="V1384" s="5" t="s">
        <v>42</v>
      </c>
      <c r="W1384" s="5" t="s">
        <v>35</v>
      </c>
      <c r="X1384" s="5">
        <v>13</v>
      </c>
      <c r="Y1384" s="5">
        <v>3</v>
      </c>
      <c r="Z1384" s="5">
        <v>4</v>
      </c>
      <c r="AA1384" s="5">
        <v>80</v>
      </c>
      <c r="AB1384" s="5">
        <v>1</v>
      </c>
      <c r="AC1384" s="5">
        <v>4</v>
      </c>
      <c r="AD1384" s="5">
        <v>3</v>
      </c>
      <c r="AE1384" s="5">
        <v>4</v>
      </c>
      <c r="AF1384" s="5">
        <v>4</v>
      </c>
      <c r="AG1384" s="5">
        <v>2</v>
      </c>
      <c r="AH1384" s="5">
        <v>2</v>
      </c>
      <c r="AI1384" s="5">
        <v>3</v>
      </c>
    </row>
    <row r="1385" spans="1:35" x14ac:dyDescent="0.25">
      <c r="A1385" s="5">
        <v>36</v>
      </c>
      <c r="B1385" s="5" t="s">
        <v>43</v>
      </c>
      <c r="C1385" s="5" t="s">
        <v>55</v>
      </c>
      <c r="D1385" s="5">
        <v>1351</v>
      </c>
      <c r="E1385" s="5" t="s">
        <v>45</v>
      </c>
      <c r="F1385" s="5">
        <v>9</v>
      </c>
      <c r="G1385" s="5">
        <v>4</v>
      </c>
      <c r="H1385" s="5" t="s">
        <v>38</v>
      </c>
      <c r="I1385" s="5">
        <v>1</v>
      </c>
      <c r="J1385" s="5">
        <v>1949</v>
      </c>
      <c r="K1385" s="5">
        <v>1</v>
      </c>
      <c r="L1385" s="5" t="s">
        <v>46</v>
      </c>
      <c r="M1385" s="5">
        <v>66</v>
      </c>
      <c r="N1385" s="5">
        <v>4</v>
      </c>
      <c r="O1385" s="5">
        <v>1</v>
      </c>
      <c r="P1385" s="5" t="s">
        <v>50</v>
      </c>
      <c r="Q1385" s="5">
        <v>2</v>
      </c>
      <c r="R1385" s="5" t="s">
        <v>48</v>
      </c>
      <c r="S1385" s="5">
        <v>2810</v>
      </c>
      <c r="T1385" s="5">
        <v>9238</v>
      </c>
      <c r="U1385" s="5">
        <v>1</v>
      </c>
      <c r="V1385" s="5" t="s">
        <v>42</v>
      </c>
      <c r="W1385" s="5" t="s">
        <v>43</v>
      </c>
      <c r="X1385" s="5">
        <v>22</v>
      </c>
      <c r="Y1385" s="5">
        <v>4</v>
      </c>
      <c r="Z1385" s="5">
        <v>2</v>
      </c>
      <c r="AA1385" s="5">
        <v>80</v>
      </c>
      <c r="AB1385" s="5">
        <v>0</v>
      </c>
      <c r="AC1385" s="5">
        <v>5</v>
      </c>
      <c r="AD1385" s="5">
        <v>3</v>
      </c>
      <c r="AE1385" s="5">
        <v>3</v>
      </c>
      <c r="AF1385" s="5">
        <v>5</v>
      </c>
      <c r="AG1385" s="5">
        <v>4</v>
      </c>
      <c r="AH1385" s="5">
        <v>0</v>
      </c>
      <c r="AI1385" s="5">
        <v>2</v>
      </c>
    </row>
    <row r="1386" spans="1:35" x14ac:dyDescent="0.25">
      <c r="A1386" s="5">
        <v>34</v>
      </c>
      <c r="B1386" s="5" t="s">
        <v>43</v>
      </c>
      <c r="C1386" s="5" t="s">
        <v>36</v>
      </c>
      <c r="D1386" s="5">
        <v>937</v>
      </c>
      <c r="E1386" s="5" t="s">
        <v>37</v>
      </c>
      <c r="F1386" s="5">
        <v>1</v>
      </c>
      <c r="G1386" s="5">
        <v>3</v>
      </c>
      <c r="H1386" s="5" t="s">
        <v>59</v>
      </c>
      <c r="I1386" s="5">
        <v>1</v>
      </c>
      <c r="J1386" s="5">
        <v>1950</v>
      </c>
      <c r="K1386" s="5">
        <v>1</v>
      </c>
      <c r="L1386" s="5" t="s">
        <v>46</v>
      </c>
      <c r="M1386" s="5">
        <v>32</v>
      </c>
      <c r="N1386" s="5">
        <v>3</v>
      </c>
      <c r="O1386" s="5">
        <v>3</v>
      </c>
      <c r="P1386" s="5" t="s">
        <v>40</v>
      </c>
      <c r="Q1386" s="5">
        <v>4</v>
      </c>
      <c r="R1386" s="5" t="s">
        <v>41</v>
      </c>
      <c r="S1386" s="5">
        <v>9888</v>
      </c>
      <c r="T1386" s="5">
        <v>6770</v>
      </c>
      <c r="U1386" s="5">
        <v>1</v>
      </c>
      <c r="V1386" s="5" t="s">
        <v>42</v>
      </c>
      <c r="W1386" s="5" t="s">
        <v>43</v>
      </c>
      <c r="X1386" s="5">
        <v>21</v>
      </c>
      <c r="Y1386" s="5">
        <v>4</v>
      </c>
      <c r="Z1386" s="5">
        <v>1</v>
      </c>
      <c r="AA1386" s="5">
        <v>80</v>
      </c>
      <c r="AB1386" s="5">
        <v>0</v>
      </c>
      <c r="AC1386" s="5">
        <v>14</v>
      </c>
      <c r="AD1386" s="5">
        <v>3</v>
      </c>
      <c r="AE1386" s="5">
        <v>2</v>
      </c>
      <c r="AF1386" s="5">
        <v>14</v>
      </c>
      <c r="AG1386" s="5">
        <v>8</v>
      </c>
      <c r="AH1386" s="5">
        <v>2</v>
      </c>
      <c r="AI1386" s="5">
        <v>1</v>
      </c>
    </row>
    <row r="1387" spans="1:35" x14ac:dyDescent="0.25">
      <c r="A1387" s="5">
        <v>34</v>
      </c>
      <c r="B1387" s="5" t="s">
        <v>43</v>
      </c>
      <c r="C1387" s="5" t="s">
        <v>36</v>
      </c>
      <c r="D1387" s="5">
        <v>1239</v>
      </c>
      <c r="E1387" s="5" t="s">
        <v>37</v>
      </c>
      <c r="F1387" s="5">
        <v>13</v>
      </c>
      <c r="G1387" s="5">
        <v>4</v>
      </c>
      <c r="H1387" s="5" t="s">
        <v>51</v>
      </c>
      <c r="I1387" s="5">
        <v>1</v>
      </c>
      <c r="J1387" s="5">
        <v>1951</v>
      </c>
      <c r="K1387" s="5">
        <v>4</v>
      </c>
      <c r="L1387" s="5" t="s">
        <v>46</v>
      </c>
      <c r="M1387" s="5">
        <v>39</v>
      </c>
      <c r="N1387" s="5">
        <v>3</v>
      </c>
      <c r="O1387" s="5">
        <v>3</v>
      </c>
      <c r="P1387" s="5" t="s">
        <v>40</v>
      </c>
      <c r="Q1387" s="5">
        <v>3</v>
      </c>
      <c r="R1387" s="5" t="s">
        <v>52</v>
      </c>
      <c r="S1387" s="5">
        <v>8628</v>
      </c>
      <c r="T1387" s="5">
        <v>22914</v>
      </c>
      <c r="U1387" s="5">
        <v>1</v>
      </c>
      <c r="V1387" s="5" t="s">
        <v>42</v>
      </c>
      <c r="W1387" s="5" t="s">
        <v>43</v>
      </c>
      <c r="X1387" s="5">
        <v>18</v>
      </c>
      <c r="Y1387" s="5">
        <v>3</v>
      </c>
      <c r="Z1387" s="5">
        <v>3</v>
      </c>
      <c r="AA1387" s="5">
        <v>80</v>
      </c>
      <c r="AB1387" s="5">
        <v>1</v>
      </c>
      <c r="AC1387" s="5">
        <v>9</v>
      </c>
      <c r="AD1387" s="5">
        <v>2</v>
      </c>
      <c r="AE1387" s="5">
        <v>2</v>
      </c>
      <c r="AF1387" s="5">
        <v>8</v>
      </c>
      <c r="AG1387" s="5">
        <v>7</v>
      </c>
      <c r="AH1387" s="5">
        <v>1</v>
      </c>
      <c r="AI1387" s="5">
        <v>1</v>
      </c>
    </row>
    <row r="1388" spans="1:35" x14ac:dyDescent="0.25">
      <c r="A1388" s="5">
        <v>26</v>
      </c>
      <c r="B1388" s="5" t="s">
        <v>43</v>
      </c>
      <c r="C1388" s="5" t="s">
        <v>36</v>
      </c>
      <c r="D1388" s="5">
        <v>157</v>
      </c>
      <c r="E1388" s="5" t="s">
        <v>45</v>
      </c>
      <c r="F1388" s="5">
        <v>1</v>
      </c>
      <c r="G1388" s="5">
        <v>3</v>
      </c>
      <c r="H1388" s="5" t="s">
        <v>51</v>
      </c>
      <c r="I1388" s="5">
        <v>1</v>
      </c>
      <c r="J1388" s="5">
        <v>1952</v>
      </c>
      <c r="K1388" s="5">
        <v>3</v>
      </c>
      <c r="L1388" s="5" t="s">
        <v>46</v>
      </c>
      <c r="M1388" s="5">
        <v>95</v>
      </c>
      <c r="N1388" s="5">
        <v>3</v>
      </c>
      <c r="O1388" s="5">
        <v>1</v>
      </c>
      <c r="P1388" s="5" t="s">
        <v>50</v>
      </c>
      <c r="Q1388" s="5">
        <v>1</v>
      </c>
      <c r="R1388" s="5" t="s">
        <v>41</v>
      </c>
      <c r="S1388" s="5">
        <v>2867</v>
      </c>
      <c r="T1388" s="5">
        <v>20006</v>
      </c>
      <c r="U1388" s="5">
        <v>0</v>
      </c>
      <c r="V1388" s="5" t="s">
        <v>42</v>
      </c>
      <c r="W1388" s="5" t="s">
        <v>43</v>
      </c>
      <c r="X1388" s="5">
        <v>13</v>
      </c>
      <c r="Y1388" s="5">
        <v>3</v>
      </c>
      <c r="Z1388" s="5">
        <v>4</v>
      </c>
      <c r="AA1388" s="5">
        <v>80</v>
      </c>
      <c r="AB1388" s="5">
        <v>0</v>
      </c>
      <c r="AC1388" s="5">
        <v>8</v>
      </c>
      <c r="AD1388" s="5">
        <v>6</v>
      </c>
      <c r="AE1388" s="5">
        <v>2</v>
      </c>
      <c r="AF1388" s="5">
        <v>7</v>
      </c>
      <c r="AG1388" s="5">
        <v>7</v>
      </c>
      <c r="AH1388" s="5">
        <v>7</v>
      </c>
      <c r="AI1388" s="5">
        <v>6</v>
      </c>
    </row>
    <row r="1389" spans="1:35" x14ac:dyDescent="0.25">
      <c r="A1389" s="5">
        <v>29</v>
      </c>
      <c r="B1389" s="5" t="s">
        <v>43</v>
      </c>
      <c r="C1389" s="5" t="s">
        <v>36</v>
      </c>
      <c r="D1389" s="5">
        <v>136</v>
      </c>
      <c r="E1389" s="5" t="s">
        <v>45</v>
      </c>
      <c r="F1389" s="5">
        <v>1</v>
      </c>
      <c r="G1389" s="5">
        <v>3</v>
      </c>
      <c r="H1389" s="5" t="s">
        <v>38</v>
      </c>
      <c r="I1389" s="5">
        <v>1</v>
      </c>
      <c r="J1389" s="5">
        <v>1954</v>
      </c>
      <c r="K1389" s="5">
        <v>1</v>
      </c>
      <c r="L1389" s="5" t="s">
        <v>46</v>
      </c>
      <c r="M1389" s="5">
        <v>89</v>
      </c>
      <c r="N1389" s="5">
        <v>3</v>
      </c>
      <c r="O1389" s="5">
        <v>2</v>
      </c>
      <c r="P1389" s="5" t="s">
        <v>54</v>
      </c>
      <c r="Q1389" s="5">
        <v>1</v>
      </c>
      <c r="R1389" s="5" t="s">
        <v>48</v>
      </c>
      <c r="S1389" s="5">
        <v>5373</v>
      </c>
      <c r="T1389" s="5">
        <v>6225</v>
      </c>
      <c r="U1389" s="5">
        <v>0</v>
      </c>
      <c r="V1389" s="5" t="s">
        <v>42</v>
      </c>
      <c r="W1389" s="5" t="s">
        <v>43</v>
      </c>
      <c r="X1389" s="5">
        <v>12</v>
      </c>
      <c r="Y1389" s="5">
        <v>3</v>
      </c>
      <c r="Z1389" s="5">
        <v>1</v>
      </c>
      <c r="AA1389" s="5">
        <v>80</v>
      </c>
      <c r="AB1389" s="5">
        <v>1</v>
      </c>
      <c r="AC1389" s="5">
        <v>6</v>
      </c>
      <c r="AD1389" s="5">
        <v>5</v>
      </c>
      <c r="AE1389" s="5">
        <v>2</v>
      </c>
      <c r="AF1389" s="5">
        <v>5</v>
      </c>
      <c r="AG1389" s="5">
        <v>3</v>
      </c>
      <c r="AH1389" s="5">
        <v>0</v>
      </c>
      <c r="AI1389" s="5">
        <v>2</v>
      </c>
    </row>
    <row r="1390" spans="1:35" x14ac:dyDescent="0.25">
      <c r="A1390" s="5">
        <v>32</v>
      </c>
      <c r="B1390" s="5" t="s">
        <v>43</v>
      </c>
      <c r="C1390" s="5" t="s">
        <v>55</v>
      </c>
      <c r="D1390" s="5">
        <v>1146</v>
      </c>
      <c r="E1390" s="5" t="s">
        <v>45</v>
      </c>
      <c r="F1390" s="5">
        <v>15</v>
      </c>
      <c r="G1390" s="5">
        <v>4</v>
      </c>
      <c r="H1390" s="5" t="s">
        <v>51</v>
      </c>
      <c r="I1390" s="5">
        <v>1</v>
      </c>
      <c r="J1390" s="5">
        <v>1955</v>
      </c>
      <c r="K1390" s="5">
        <v>3</v>
      </c>
      <c r="L1390" s="5" t="s">
        <v>39</v>
      </c>
      <c r="M1390" s="5">
        <v>34</v>
      </c>
      <c r="N1390" s="5">
        <v>3</v>
      </c>
      <c r="O1390" s="5">
        <v>2</v>
      </c>
      <c r="P1390" s="5" t="s">
        <v>54</v>
      </c>
      <c r="Q1390" s="5">
        <v>4</v>
      </c>
      <c r="R1390" s="5" t="s">
        <v>52</v>
      </c>
      <c r="S1390" s="5">
        <v>6667</v>
      </c>
      <c r="T1390" s="5">
        <v>16542</v>
      </c>
      <c r="U1390" s="5">
        <v>5</v>
      </c>
      <c r="V1390" s="5" t="s">
        <v>42</v>
      </c>
      <c r="W1390" s="5" t="s">
        <v>43</v>
      </c>
      <c r="X1390" s="5">
        <v>18</v>
      </c>
      <c r="Y1390" s="5">
        <v>3</v>
      </c>
      <c r="Z1390" s="5">
        <v>2</v>
      </c>
      <c r="AA1390" s="5">
        <v>80</v>
      </c>
      <c r="AB1390" s="5">
        <v>1</v>
      </c>
      <c r="AC1390" s="5">
        <v>9</v>
      </c>
      <c r="AD1390" s="5">
        <v>6</v>
      </c>
      <c r="AE1390" s="5">
        <v>3</v>
      </c>
      <c r="AF1390" s="5">
        <v>5</v>
      </c>
      <c r="AG1390" s="5">
        <v>1</v>
      </c>
      <c r="AH1390" s="5">
        <v>1</v>
      </c>
      <c r="AI1390" s="5">
        <v>2</v>
      </c>
    </row>
    <row r="1391" spans="1:35" x14ac:dyDescent="0.25">
      <c r="A1391" s="5">
        <v>31</v>
      </c>
      <c r="B1391" s="5" t="s">
        <v>43</v>
      </c>
      <c r="C1391" s="5" t="s">
        <v>44</v>
      </c>
      <c r="D1391" s="5">
        <v>1125</v>
      </c>
      <c r="E1391" s="5" t="s">
        <v>45</v>
      </c>
      <c r="F1391" s="5">
        <v>1</v>
      </c>
      <c r="G1391" s="5">
        <v>3</v>
      </c>
      <c r="H1391" s="5" t="s">
        <v>38</v>
      </c>
      <c r="I1391" s="5">
        <v>1</v>
      </c>
      <c r="J1391" s="5">
        <v>1956</v>
      </c>
      <c r="K1391" s="5">
        <v>4</v>
      </c>
      <c r="L1391" s="5" t="s">
        <v>46</v>
      </c>
      <c r="M1391" s="5">
        <v>48</v>
      </c>
      <c r="N1391" s="5">
        <v>1</v>
      </c>
      <c r="O1391" s="5">
        <v>2</v>
      </c>
      <c r="P1391" s="5" t="s">
        <v>47</v>
      </c>
      <c r="Q1391" s="5">
        <v>1</v>
      </c>
      <c r="R1391" s="5" t="s">
        <v>48</v>
      </c>
      <c r="S1391" s="5">
        <v>5003</v>
      </c>
      <c r="T1391" s="5">
        <v>5771</v>
      </c>
      <c r="U1391" s="5">
        <v>1</v>
      </c>
      <c r="V1391" s="5" t="s">
        <v>42</v>
      </c>
      <c r="W1391" s="5" t="s">
        <v>43</v>
      </c>
      <c r="X1391" s="5">
        <v>21</v>
      </c>
      <c r="Y1391" s="5">
        <v>4</v>
      </c>
      <c r="Z1391" s="5">
        <v>2</v>
      </c>
      <c r="AA1391" s="5">
        <v>80</v>
      </c>
      <c r="AB1391" s="5">
        <v>0</v>
      </c>
      <c r="AC1391" s="5">
        <v>10</v>
      </c>
      <c r="AD1391" s="5">
        <v>6</v>
      </c>
      <c r="AE1391" s="5">
        <v>3</v>
      </c>
      <c r="AF1391" s="5">
        <v>10</v>
      </c>
      <c r="AG1391" s="5">
        <v>8</v>
      </c>
      <c r="AH1391" s="5">
        <v>8</v>
      </c>
      <c r="AI1391" s="5">
        <v>7</v>
      </c>
    </row>
    <row r="1392" spans="1:35" x14ac:dyDescent="0.25">
      <c r="A1392" s="5">
        <v>28</v>
      </c>
      <c r="B1392" s="5" t="s">
        <v>35</v>
      </c>
      <c r="C1392" s="5" t="s">
        <v>36</v>
      </c>
      <c r="D1392" s="5">
        <v>1404</v>
      </c>
      <c r="E1392" s="5" t="s">
        <v>45</v>
      </c>
      <c r="F1392" s="5">
        <v>17</v>
      </c>
      <c r="G1392" s="5">
        <v>3</v>
      </c>
      <c r="H1392" s="5" t="s">
        <v>60</v>
      </c>
      <c r="I1392" s="5">
        <v>1</v>
      </c>
      <c r="J1392" s="5">
        <v>1960</v>
      </c>
      <c r="K1392" s="5">
        <v>3</v>
      </c>
      <c r="L1392" s="5" t="s">
        <v>46</v>
      </c>
      <c r="M1392" s="5">
        <v>32</v>
      </c>
      <c r="N1392" s="5">
        <v>2</v>
      </c>
      <c r="O1392" s="5">
        <v>1</v>
      </c>
      <c r="P1392" s="5" t="s">
        <v>50</v>
      </c>
      <c r="Q1392" s="5">
        <v>4</v>
      </c>
      <c r="R1392" s="5" t="s">
        <v>52</v>
      </c>
      <c r="S1392" s="5">
        <v>2367</v>
      </c>
      <c r="T1392" s="5">
        <v>18779</v>
      </c>
      <c r="U1392" s="5">
        <v>5</v>
      </c>
      <c r="V1392" s="5" t="s">
        <v>42</v>
      </c>
      <c r="W1392" s="5" t="s">
        <v>43</v>
      </c>
      <c r="X1392" s="5">
        <v>12</v>
      </c>
      <c r="Y1392" s="5">
        <v>3</v>
      </c>
      <c r="Z1392" s="5">
        <v>1</v>
      </c>
      <c r="AA1392" s="5">
        <v>80</v>
      </c>
      <c r="AB1392" s="5">
        <v>1</v>
      </c>
      <c r="AC1392" s="5">
        <v>6</v>
      </c>
      <c r="AD1392" s="5">
        <v>2</v>
      </c>
      <c r="AE1392" s="5">
        <v>2</v>
      </c>
      <c r="AF1392" s="5">
        <v>4</v>
      </c>
      <c r="AG1392" s="5">
        <v>1</v>
      </c>
      <c r="AH1392" s="5">
        <v>0</v>
      </c>
      <c r="AI1392" s="5">
        <v>3</v>
      </c>
    </row>
    <row r="1393" spans="1:35" x14ac:dyDescent="0.25">
      <c r="A1393" s="5">
        <v>38</v>
      </c>
      <c r="B1393" s="5" t="s">
        <v>43</v>
      </c>
      <c r="C1393" s="5" t="s">
        <v>36</v>
      </c>
      <c r="D1393" s="5">
        <v>1404</v>
      </c>
      <c r="E1393" s="5" t="s">
        <v>37</v>
      </c>
      <c r="F1393" s="5">
        <v>1</v>
      </c>
      <c r="G1393" s="5">
        <v>3</v>
      </c>
      <c r="H1393" s="5" t="s">
        <v>38</v>
      </c>
      <c r="I1393" s="5">
        <v>1</v>
      </c>
      <c r="J1393" s="5">
        <v>1961</v>
      </c>
      <c r="K1393" s="5">
        <v>1</v>
      </c>
      <c r="L1393" s="5" t="s">
        <v>46</v>
      </c>
      <c r="M1393" s="5">
        <v>59</v>
      </c>
      <c r="N1393" s="5">
        <v>2</v>
      </c>
      <c r="O1393" s="5">
        <v>1</v>
      </c>
      <c r="P1393" s="5" t="s">
        <v>57</v>
      </c>
      <c r="Q1393" s="5">
        <v>1</v>
      </c>
      <c r="R1393" s="5" t="s">
        <v>41</v>
      </c>
      <c r="S1393" s="5">
        <v>2858</v>
      </c>
      <c r="T1393" s="5">
        <v>11473</v>
      </c>
      <c r="U1393" s="5">
        <v>4</v>
      </c>
      <c r="V1393" s="5" t="s">
        <v>42</v>
      </c>
      <c r="W1393" s="5" t="s">
        <v>43</v>
      </c>
      <c r="X1393" s="5">
        <v>14</v>
      </c>
      <c r="Y1393" s="5">
        <v>3</v>
      </c>
      <c r="Z1393" s="5">
        <v>1</v>
      </c>
      <c r="AA1393" s="5">
        <v>80</v>
      </c>
      <c r="AB1393" s="5">
        <v>0</v>
      </c>
      <c r="AC1393" s="5">
        <v>20</v>
      </c>
      <c r="AD1393" s="5">
        <v>3</v>
      </c>
      <c r="AE1393" s="5">
        <v>2</v>
      </c>
      <c r="AF1393" s="5">
        <v>1</v>
      </c>
      <c r="AG1393" s="5">
        <v>0</v>
      </c>
      <c r="AH1393" s="5">
        <v>0</v>
      </c>
      <c r="AI1393" s="5">
        <v>0</v>
      </c>
    </row>
    <row r="1394" spans="1:35" x14ac:dyDescent="0.25">
      <c r="A1394" s="5">
        <v>35</v>
      </c>
      <c r="B1394" s="5" t="s">
        <v>43</v>
      </c>
      <c r="C1394" s="5" t="s">
        <v>36</v>
      </c>
      <c r="D1394" s="5">
        <v>1224</v>
      </c>
      <c r="E1394" s="5" t="s">
        <v>37</v>
      </c>
      <c r="F1394" s="5">
        <v>7</v>
      </c>
      <c r="G1394" s="5">
        <v>4</v>
      </c>
      <c r="H1394" s="5" t="s">
        <v>38</v>
      </c>
      <c r="I1394" s="5">
        <v>1</v>
      </c>
      <c r="J1394" s="5">
        <v>1962</v>
      </c>
      <c r="K1394" s="5">
        <v>3</v>
      </c>
      <c r="L1394" s="5" t="s">
        <v>39</v>
      </c>
      <c r="M1394" s="5">
        <v>55</v>
      </c>
      <c r="N1394" s="5">
        <v>3</v>
      </c>
      <c r="O1394" s="5">
        <v>2</v>
      </c>
      <c r="P1394" s="5" t="s">
        <v>40</v>
      </c>
      <c r="Q1394" s="5">
        <v>4</v>
      </c>
      <c r="R1394" s="5" t="s">
        <v>48</v>
      </c>
      <c r="S1394" s="5">
        <v>5204</v>
      </c>
      <c r="T1394" s="5">
        <v>13586</v>
      </c>
      <c r="U1394" s="5">
        <v>1</v>
      </c>
      <c r="V1394" s="5" t="s">
        <v>42</v>
      </c>
      <c r="W1394" s="5" t="s">
        <v>35</v>
      </c>
      <c r="X1394" s="5">
        <v>11</v>
      </c>
      <c r="Y1394" s="5">
        <v>3</v>
      </c>
      <c r="Z1394" s="5">
        <v>4</v>
      </c>
      <c r="AA1394" s="5">
        <v>80</v>
      </c>
      <c r="AB1394" s="5">
        <v>0</v>
      </c>
      <c r="AC1394" s="5">
        <v>10</v>
      </c>
      <c r="AD1394" s="5">
        <v>2</v>
      </c>
      <c r="AE1394" s="5">
        <v>3</v>
      </c>
      <c r="AF1394" s="5">
        <v>10</v>
      </c>
      <c r="AG1394" s="5">
        <v>8</v>
      </c>
      <c r="AH1394" s="5">
        <v>0</v>
      </c>
      <c r="AI1394" s="5">
        <v>9</v>
      </c>
    </row>
    <row r="1395" spans="1:35" x14ac:dyDescent="0.25">
      <c r="A1395" s="5">
        <v>27</v>
      </c>
      <c r="B1395" s="5" t="s">
        <v>43</v>
      </c>
      <c r="C1395" s="5" t="s">
        <v>36</v>
      </c>
      <c r="D1395" s="5">
        <v>954</v>
      </c>
      <c r="E1395" s="5" t="s">
        <v>37</v>
      </c>
      <c r="F1395" s="5">
        <v>9</v>
      </c>
      <c r="G1395" s="5">
        <v>3</v>
      </c>
      <c r="H1395" s="5" t="s">
        <v>59</v>
      </c>
      <c r="I1395" s="5">
        <v>1</v>
      </c>
      <c r="J1395" s="5">
        <v>1965</v>
      </c>
      <c r="K1395" s="5">
        <v>4</v>
      </c>
      <c r="L1395" s="5" t="s">
        <v>46</v>
      </c>
      <c r="M1395" s="5">
        <v>44</v>
      </c>
      <c r="N1395" s="5">
        <v>3</v>
      </c>
      <c r="O1395" s="5">
        <v>2</v>
      </c>
      <c r="P1395" s="5" t="s">
        <v>40</v>
      </c>
      <c r="Q1395" s="5">
        <v>4</v>
      </c>
      <c r="R1395" s="5" t="s">
        <v>41</v>
      </c>
      <c r="S1395" s="5">
        <v>4105</v>
      </c>
      <c r="T1395" s="5">
        <v>5099</v>
      </c>
      <c r="U1395" s="5">
        <v>1</v>
      </c>
      <c r="V1395" s="5" t="s">
        <v>42</v>
      </c>
      <c r="W1395" s="5" t="s">
        <v>43</v>
      </c>
      <c r="X1395" s="5">
        <v>14</v>
      </c>
      <c r="Y1395" s="5">
        <v>3</v>
      </c>
      <c r="Z1395" s="5">
        <v>1</v>
      </c>
      <c r="AA1395" s="5">
        <v>80</v>
      </c>
      <c r="AB1395" s="5">
        <v>0</v>
      </c>
      <c r="AC1395" s="5">
        <v>7</v>
      </c>
      <c r="AD1395" s="5">
        <v>5</v>
      </c>
      <c r="AE1395" s="5">
        <v>3</v>
      </c>
      <c r="AF1395" s="5">
        <v>7</v>
      </c>
      <c r="AG1395" s="5">
        <v>7</v>
      </c>
      <c r="AH1395" s="5">
        <v>0</v>
      </c>
      <c r="AI1395" s="5">
        <v>7</v>
      </c>
    </row>
    <row r="1396" spans="1:35" x14ac:dyDescent="0.25">
      <c r="A1396" s="5">
        <v>32</v>
      </c>
      <c r="B1396" s="5" t="s">
        <v>43</v>
      </c>
      <c r="C1396" s="5" t="s">
        <v>36</v>
      </c>
      <c r="D1396" s="5">
        <v>1373</v>
      </c>
      <c r="E1396" s="5" t="s">
        <v>45</v>
      </c>
      <c r="F1396" s="5">
        <v>5</v>
      </c>
      <c r="G1396" s="5">
        <v>4</v>
      </c>
      <c r="H1396" s="5" t="s">
        <v>38</v>
      </c>
      <c r="I1396" s="5">
        <v>1</v>
      </c>
      <c r="J1396" s="5">
        <v>1966</v>
      </c>
      <c r="K1396" s="5">
        <v>4</v>
      </c>
      <c r="L1396" s="5" t="s">
        <v>46</v>
      </c>
      <c r="M1396" s="5">
        <v>56</v>
      </c>
      <c r="N1396" s="5">
        <v>2</v>
      </c>
      <c r="O1396" s="5">
        <v>2</v>
      </c>
      <c r="P1396" s="5" t="s">
        <v>53</v>
      </c>
      <c r="Q1396" s="5">
        <v>4</v>
      </c>
      <c r="R1396" s="5" t="s">
        <v>41</v>
      </c>
      <c r="S1396" s="5">
        <v>9679</v>
      </c>
      <c r="T1396" s="5">
        <v>10138</v>
      </c>
      <c r="U1396" s="5">
        <v>8</v>
      </c>
      <c r="V1396" s="5" t="s">
        <v>42</v>
      </c>
      <c r="W1396" s="5" t="s">
        <v>43</v>
      </c>
      <c r="X1396" s="5">
        <v>24</v>
      </c>
      <c r="Y1396" s="5">
        <v>4</v>
      </c>
      <c r="Z1396" s="5">
        <v>2</v>
      </c>
      <c r="AA1396" s="5">
        <v>80</v>
      </c>
      <c r="AB1396" s="5">
        <v>0</v>
      </c>
      <c r="AC1396" s="5">
        <v>8</v>
      </c>
      <c r="AD1396" s="5">
        <v>1</v>
      </c>
      <c r="AE1396" s="5">
        <v>3</v>
      </c>
      <c r="AF1396" s="5">
        <v>1</v>
      </c>
      <c r="AG1396" s="5">
        <v>0</v>
      </c>
      <c r="AH1396" s="5">
        <v>0</v>
      </c>
      <c r="AI1396" s="5">
        <v>0</v>
      </c>
    </row>
    <row r="1397" spans="1:35" x14ac:dyDescent="0.25">
      <c r="A1397" s="5">
        <v>31</v>
      </c>
      <c r="B1397" s="5" t="s">
        <v>35</v>
      </c>
      <c r="C1397" s="5" t="s">
        <v>44</v>
      </c>
      <c r="D1397" s="5">
        <v>754</v>
      </c>
      <c r="E1397" s="5" t="s">
        <v>37</v>
      </c>
      <c r="F1397" s="5">
        <v>26</v>
      </c>
      <c r="G1397" s="5">
        <v>4</v>
      </c>
      <c r="H1397" s="5" t="s">
        <v>59</v>
      </c>
      <c r="I1397" s="5">
        <v>1</v>
      </c>
      <c r="J1397" s="5">
        <v>1967</v>
      </c>
      <c r="K1397" s="5">
        <v>1</v>
      </c>
      <c r="L1397" s="5" t="s">
        <v>46</v>
      </c>
      <c r="M1397" s="5">
        <v>63</v>
      </c>
      <c r="N1397" s="5">
        <v>3</v>
      </c>
      <c r="O1397" s="5">
        <v>2</v>
      </c>
      <c r="P1397" s="5" t="s">
        <v>40</v>
      </c>
      <c r="Q1397" s="5">
        <v>4</v>
      </c>
      <c r="R1397" s="5" t="s">
        <v>48</v>
      </c>
      <c r="S1397" s="5">
        <v>5617</v>
      </c>
      <c r="T1397" s="5">
        <v>21075</v>
      </c>
      <c r="U1397" s="5">
        <v>1</v>
      </c>
      <c r="V1397" s="5" t="s">
        <v>42</v>
      </c>
      <c r="W1397" s="5" t="s">
        <v>35</v>
      </c>
      <c r="X1397" s="5">
        <v>11</v>
      </c>
      <c r="Y1397" s="5">
        <v>3</v>
      </c>
      <c r="Z1397" s="5">
        <v>3</v>
      </c>
      <c r="AA1397" s="5">
        <v>80</v>
      </c>
      <c r="AB1397" s="5">
        <v>0</v>
      </c>
      <c r="AC1397" s="5">
        <v>10</v>
      </c>
      <c r="AD1397" s="5">
        <v>4</v>
      </c>
      <c r="AE1397" s="5">
        <v>3</v>
      </c>
      <c r="AF1397" s="5">
        <v>10</v>
      </c>
      <c r="AG1397" s="5">
        <v>7</v>
      </c>
      <c r="AH1397" s="5">
        <v>0</v>
      </c>
      <c r="AI1397" s="5">
        <v>8</v>
      </c>
    </row>
    <row r="1398" spans="1:35" x14ac:dyDescent="0.25">
      <c r="A1398" s="5">
        <v>53</v>
      </c>
      <c r="B1398" s="5" t="s">
        <v>35</v>
      </c>
      <c r="C1398" s="5" t="s">
        <v>36</v>
      </c>
      <c r="D1398" s="5">
        <v>1168</v>
      </c>
      <c r="E1398" s="5" t="s">
        <v>37</v>
      </c>
      <c r="F1398" s="5">
        <v>24</v>
      </c>
      <c r="G1398" s="5">
        <v>4</v>
      </c>
      <c r="H1398" s="5" t="s">
        <v>38</v>
      </c>
      <c r="I1398" s="5">
        <v>1</v>
      </c>
      <c r="J1398" s="5">
        <v>1968</v>
      </c>
      <c r="K1398" s="5">
        <v>1</v>
      </c>
      <c r="L1398" s="5" t="s">
        <v>46</v>
      </c>
      <c r="M1398" s="5">
        <v>66</v>
      </c>
      <c r="N1398" s="5">
        <v>3</v>
      </c>
      <c r="O1398" s="5">
        <v>3</v>
      </c>
      <c r="P1398" s="5" t="s">
        <v>40</v>
      </c>
      <c r="Q1398" s="5">
        <v>1</v>
      </c>
      <c r="R1398" s="5" t="s">
        <v>41</v>
      </c>
      <c r="S1398" s="5">
        <v>10448</v>
      </c>
      <c r="T1398" s="5">
        <v>5843</v>
      </c>
      <c r="U1398" s="5">
        <v>6</v>
      </c>
      <c r="V1398" s="5" t="s">
        <v>42</v>
      </c>
      <c r="W1398" s="5" t="s">
        <v>35</v>
      </c>
      <c r="X1398" s="5">
        <v>13</v>
      </c>
      <c r="Y1398" s="5">
        <v>3</v>
      </c>
      <c r="Z1398" s="5">
        <v>2</v>
      </c>
      <c r="AA1398" s="5">
        <v>80</v>
      </c>
      <c r="AB1398" s="5">
        <v>0</v>
      </c>
      <c r="AC1398" s="5">
        <v>15</v>
      </c>
      <c r="AD1398" s="5">
        <v>2</v>
      </c>
      <c r="AE1398" s="5">
        <v>2</v>
      </c>
      <c r="AF1398" s="5">
        <v>2</v>
      </c>
      <c r="AG1398" s="5">
        <v>2</v>
      </c>
      <c r="AH1398" s="5">
        <v>2</v>
      </c>
      <c r="AI1398" s="5">
        <v>2</v>
      </c>
    </row>
    <row r="1399" spans="1:35" x14ac:dyDescent="0.25">
      <c r="A1399" s="5">
        <v>54</v>
      </c>
      <c r="B1399" s="5" t="s">
        <v>43</v>
      </c>
      <c r="C1399" s="5" t="s">
        <v>36</v>
      </c>
      <c r="D1399" s="5">
        <v>155</v>
      </c>
      <c r="E1399" s="5" t="s">
        <v>45</v>
      </c>
      <c r="F1399" s="5">
        <v>9</v>
      </c>
      <c r="G1399" s="5">
        <v>2</v>
      </c>
      <c r="H1399" s="5" t="s">
        <v>38</v>
      </c>
      <c r="I1399" s="5">
        <v>1</v>
      </c>
      <c r="J1399" s="5">
        <v>1969</v>
      </c>
      <c r="K1399" s="5">
        <v>1</v>
      </c>
      <c r="L1399" s="5" t="s">
        <v>39</v>
      </c>
      <c r="M1399" s="5">
        <v>67</v>
      </c>
      <c r="N1399" s="5">
        <v>3</v>
      </c>
      <c r="O1399" s="5">
        <v>2</v>
      </c>
      <c r="P1399" s="5" t="s">
        <v>47</v>
      </c>
      <c r="Q1399" s="5">
        <v>3</v>
      </c>
      <c r="R1399" s="5" t="s">
        <v>48</v>
      </c>
      <c r="S1399" s="5">
        <v>2897</v>
      </c>
      <c r="T1399" s="5">
        <v>22474</v>
      </c>
      <c r="U1399" s="5">
        <v>3</v>
      </c>
      <c r="V1399" s="5" t="s">
        <v>42</v>
      </c>
      <c r="W1399" s="5" t="s">
        <v>43</v>
      </c>
      <c r="X1399" s="5">
        <v>11</v>
      </c>
      <c r="Y1399" s="5">
        <v>3</v>
      </c>
      <c r="Z1399" s="5">
        <v>3</v>
      </c>
      <c r="AA1399" s="5">
        <v>80</v>
      </c>
      <c r="AB1399" s="5">
        <v>2</v>
      </c>
      <c r="AC1399" s="5">
        <v>9</v>
      </c>
      <c r="AD1399" s="5">
        <v>6</v>
      </c>
      <c r="AE1399" s="5">
        <v>2</v>
      </c>
      <c r="AF1399" s="5">
        <v>4</v>
      </c>
      <c r="AG1399" s="5">
        <v>3</v>
      </c>
      <c r="AH1399" s="5">
        <v>2</v>
      </c>
      <c r="AI1399" s="5">
        <v>3</v>
      </c>
    </row>
    <row r="1400" spans="1:35" x14ac:dyDescent="0.25">
      <c r="A1400" s="5">
        <v>33</v>
      </c>
      <c r="B1400" s="5" t="s">
        <v>43</v>
      </c>
      <c r="C1400" s="5" t="s">
        <v>44</v>
      </c>
      <c r="D1400" s="5">
        <v>1303</v>
      </c>
      <c r="E1400" s="5" t="s">
        <v>45</v>
      </c>
      <c r="F1400" s="5">
        <v>7</v>
      </c>
      <c r="G1400" s="5">
        <v>2</v>
      </c>
      <c r="H1400" s="5" t="s">
        <v>38</v>
      </c>
      <c r="I1400" s="5">
        <v>1</v>
      </c>
      <c r="J1400" s="5">
        <v>1970</v>
      </c>
      <c r="K1400" s="5">
        <v>4</v>
      </c>
      <c r="L1400" s="5" t="s">
        <v>46</v>
      </c>
      <c r="M1400" s="5">
        <v>36</v>
      </c>
      <c r="N1400" s="5">
        <v>3</v>
      </c>
      <c r="O1400" s="5">
        <v>2</v>
      </c>
      <c r="P1400" s="5" t="s">
        <v>54</v>
      </c>
      <c r="Q1400" s="5">
        <v>3</v>
      </c>
      <c r="R1400" s="5" t="s">
        <v>52</v>
      </c>
      <c r="S1400" s="5">
        <v>5968</v>
      </c>
      <c r="T1400" s="5">
        <v>18079</v>
      </c>
      <c r="U1400" s="5">
        <v>1</v>
      </c>
      <c r="V1400" s="5" t="s">
        <v>42</v>
      </c>
      <c r="W1400" s="5" t="s">
        <v>43</v>
      </c>
      <c r="X1400" s="5">
        <v>20</v>
      </c>
      <c r="Y1400" s="5">
        <v>4</v>
      </c>
      <c r="Z1400" s="5">
        <v>3</v>
      </c>
      <c r="AA1400" s="5">
        <v>80</v>
      </c>
      <c r="AB1400" s="5">
        <v>3</v>
      </c>
      <c r="AC1400" s="5">
        <v>9</v>
      </c>
      <c r="AD1400" s="5">
        <v>2</v>
      </c>
      <c r="AE1400" s="5">
        <v>3</v>
      </c>
      <c r="AF1400" s="5">
        <v>9</v>
      </c>
      <c r="AG1400" s="5">
        <v>7</v>
      </c>
      <c r="AH1400" s="5">
        <v>2</v>
      </c>
      <c r="AI1400" s="5">
        <v>8</v>
      </c>
    </row>
    <row r="1401" spans="1:35" x14ac:dyDescent="0.25">
      <c r="A1401" s="5">
        <v>43</v>
      </c>
      <c r="B1401" s="5" t="s">
        <v>43</v>
      </c>
      <c r="C1401" s="5" t="s">
        <v>36</v>
      </c>
      <c r="D1401" s="5">
        <v>574</v>
      </c>
      <c r="E1401" s="5" t="s">
        <v>45</v>
      </c>
      <c r="F1401" s="5">
        <v>11</v>
      </c>
      <c r="G1401" s="5">
        <v>3</v>
      </c>
      <c r="H1401" s="5" t="s">
        <v>38</v>
      </c>
      <c r="I1401" s="5">
        <v>1</v>
      </c>
      <c r="J1401" s="5">
        <v>1971</v>
      </c>
      <c r="K1401" s="5">
        <v>1</v>
      </c>
      <c r="L1401" s="5" t="s">
        <v>46</v>
      </c>
      <c r="M1401" s="5">
        <v>30</v>
      </c>
      <c r="N1401" s="5">
        <v>3</v>
      </c>
      <c r="O1401" s="5">
        <v>3</v>
      </c>
      <c r="P1401" s="5" t="s">
        <v>54</v>
      </c>
      <c r="Q1401" s="5">
        <v>3</v>
      </c>
      <c r="R1401" s="5" t="s">
        <v>48</v>
      </c>
      <c r="S1401" s="5">
        <v>7510</v>
      </c>
      <c r="T1401" s="5">
        <v>16873</v>
      </c>
      <c r="U1401" s="5">
        <v>1</v>
      </c>
      <c r="V1401" s="5" t="s">
        <v>42</v>
      </c>
      <c r="W1401" s="5" t="s">
        <v>43</v>
      </c>
      <c r="X1401" s="5">
        <v>17</v>
      </c>
      <c r="Y1401" s="5">
        <v>3</v>
      </c>
      <c r="Z1401" s="5">
        <v>2</v>
      </c>
      <c r="AA1401" s="5">
        <v>80</v>
      </c>
      <c r="AB1401" s="5">
        <v>1</v>
      </c>
      <c r="AC1401" s="5">
        <v>10</v>
      </c>
      <c r="AD1401" s="5">
        <v>1</v>
      </c>
      <c r="AE1401" s="5">
        <v>3</v>
      </c>
      <c r="AF1401" s="5">
        <v>10</v>
      </c>
      <c r="AG1401" s="5">
        <v>9</v>
      </c>
      <c r="AH1401" s="5">
        <v>0</v>
      </c>
      <c r="AI1401" s="5">
        <v>9</v>
      </c>
    </row>
    <row r="1402" spans="1:35" x14ac:dyDescent="0.25">
      <c r="A1402" s="5">
        <v>38</v>
      </c>
      <c r="B1402" s="5" t="s">
        <v>43</v>
      </c>
      <c r="C1402" s="5" t="s">
        <v>44</v>
      </c>
      <c r="D1402" s="5">
        <v>1444</v>
      </c>
      <c r="E1402" s="5" t="s">
        <v>61</v>
      </c>
      <c r="F1402" s="5">
        <v>1</v>
      </c>
      <c r="G1402" s="5">
        <v>4</v>
      </c>
      <c r="H1402" s="5" t="s">
        <v>49</v>
      </c>
      <c r="I1402" s="5">
        <v>1</v>
      </c>
      <c r="J1402" s="5">
        <v>1972</v>
      </c>
      <c r="K1402" s="5">
        <v>4</v>
      </c>
      <c r="L1402" s="5" t="s">
        <v>46</v>
      </c>
      <c r="M1402" s="5">
        <v>88</v>
      </c>
      <c r="N1402" s="5">
        <v>3</v>
      </c>
      <c r="O1402" s="5">
        <v>1</v>
      </c>
      <c r="P1402" s="5" t="s">
        <v>61</v>
      </c>
      <c r="Q1402" s="5">
        <v>2</v>
      </c>
      <c r="R1402" s="5" t="s">
        <v>48</v>
      </c>
      <c r="S1402" s="5">
        <v>2991</v>
      </c>
      <c r="T1402" s="5">
        <v>5224</v>
      </c>
      <c r="U1402" s="5">
        <v>0</v>
      </c>
      <c r="V1402" s="5" t="s">
        <v>42</v>
      </c>
      <c r="W1402" s="5" t="s">
        <v>35</v>
      </c>
      <c r="X1402" s="5">
        <v>11</v>
      </c>
      <c r="Y1402" s="5">
        <v>3</v>
      </c>
      <c r="Z1402" s="5">
        <v>2</v>
      </c>
      <c r="AA1402" s="5">
        <v>80</v>
      </c>
      <c r="AB1402" s="5">
        <v>1</v>
      </c>
      <c r="AC1402" s="5">
        <v>7</v>
      </c>
      <c r="AD1402" s="5">
        <v>2</v>
      </c>
      <c r="AE1402" s="5">
        <v>3</v>
      </c>
      <c r="AF1402" s="5">
        <v>6</v>
      </c>
      <c r="AG1402" s="5">
        <v>2</v>
      </c>
      <c r="AH1402" s="5">
        <v>1</v>
      </c>
      <c r="AI1402" s="5">
        <v>2</v>
      </c>
    </row>
    <row r="1403" spans="1:35" x14ac:dyDescent="0.25">
      <c r="A1403" s="5">
        <v>55</v>
      </c>
      <c r="B1403" s="5" t="s">
        <v>43</v>
      </c>
      <c r="C1403" s="5" t="s">
        <v>36</v>
      </c>
      <c r="D1403" s="5">
        <v>189</v>
      </c>
      <c r="E1403" s="5" t="s">
        <v>61</v>
      </c>
      <c r="F1403" s="5">
        <v>26</v>
      </c>
      <c r="G1403" s="5">
        <v>4</v>
      </c>
      <c r="H1403" s="5" t="s">
        <v>61</v>
      </c>
      <c r="I1403" s="5">
        <v>1</v>
      </c>
      <c r="J1403" s="5">
        <v>1973</v>
      </c>
      <c r="K1403" s="5">
        <v>3</v>
      </c>
      <c r="L1403" s="5" t="s">
        <v>46</v>
      </c>
      <c r="M1403" s="5">
        <v>71</v>
      </c>
      <c r="N1403" s="5">
        <v>4</v>
      </c>
      <c r="O1403" s="5">
        <v>5</v>
      </c>
      <c r="P1403" s="5" t="s">
        <v>56</v>
      </c>
      <c r="Q1403" s="5">
        <v>2</v>
      </c>
      <c r="R1403" s="5" t="s">
        <v>48</v>
      </c>
      <c r="S1403" s="5">
        <v>19636</v>
      </c>
      <c r="T1403" s="5">
        <v>25811</v>
      </c>
      <c r="U1403" s="5">
        <v>4</v>
      </c>
      <c r="V1403" s="5" t="s">
        <v>42</v>
      </c>
      <c r="W1403" s="5" t="s">
        <v>35</v>
      </c>
      <c r="X1403" s="5">
        <v>18</v>
      </c>
      <c r="Y1403" s="5">
        <v>3</v>
      </c>
      <c r="Z1403" s="5">
        <v>1</v>
      </c>
      <c r="AA1403" s="5">
        <v>80</v>
      </c>
      <c r="AB1403" s="5">
        <v>1</v>
      </c>
      <c r="AC1403" s="5">
        <v>35</v>
      </c>
      <c r="AD1403" s="5">
        <v>0</v>
      </c>
      <c r="AE1403" s="5">
        <v>3</v>
      </c>
      <c r="AF1403" s="5">
        <v>10</v>
      </c>
      <c r="AG1403" s="5">
        <v>9</v>
      </c>
      <c r="AH1403" s="5">
        <v>1</v>
      </c>
      <c r="AI1403" s="5">
        <v>4</v>
      </c>
    </row>
    <row r="1404" spans="1:35" x14ac:dyDescent="0.25">
      <c r="A1404" s="5">
        <v>31</v>
      </c>
      <c r="B1404" s="5" t="s">
        <v>43</v>
      </c>
      <c r="C1404" s="5" t="s">
        <v>36</v>
      </c>
      <c r="D1404" s="5">
        <v>1276</v>
      </c>
      <c r="E1404" s="5" t="s">
        <v>45</v>
      </c>
      <c r="F1404" s="5">
        <v>2</v>
      </c>
      <c r="G1404" s="5">
        <v>1</v>
      </c>
      <c r="H1404" s="5" t="s">
        <v>51</v>
      </c>
      <c r="I1404" s="5">
        <v>1</v>
      </c>
      <c r="J1404" s="5">
        <v>1974</v>
      </c>
      <c r="K1404" s="5">
        <v>4</v>
      </c>
      <c r="L1404" s="5" t="s">
        <v>39</v>
      </c>
      <c r="M1404" s="5">
        <v>59</v>
      </c>
      <c r="N1404" s="5">
        <v>1</v>
      </c>
      <c r="O1404" s="5">
        <v>1</v>
      </c>
      <c r="P1404" s="5" t="s">
        <v>50</v>
      </c>
      <c r="Q1404" s="5">
        <v>4</v>
      </c>
      <c r="R1404" s="5" t="s">
        <v>52</v>
      </c>
      <c r="S1404" s="5">
        <v>1129</v>
      </c>
      <c r="T1404" s="5">
        <v>17536</v>
      </c>
      <c r="U1404" s="5">
        <v>1</v>
      </c>
      <c r="V1404" s="5" t="s">
        <v>42</v>
      </c>
      <c r="W1404" s="5" t="s">
        <v>35</v>
      </c>
      <c r="X1404" s="5">
        <v>11</v>
      </c>
      <c r="Y1404" s="5">
        <v>3</v>
      </c>
      <c r="Z1404" s="5">
        <v>3</v>
      </c>
      <c r="AA1404" s="5">
        <v>80</v>
      </c>
      <c r="AB1404" s="5">
        <v>3</v>
      </c>
      <c r="AC1404" s="5">
        <v>1</v>
      </c>
      <c r="AD1404" s="5">
        <v>4</v>
      </c>
      <c r="AE1404" s="5">
        <v>3</v>
      </c>
      <c r="AF1404" s="5">
        <v>1</v>
      </c>
      <c r="AG1404" s="5">
        <v>0</v>
      </c>
      <c r="AH1404" s="5">
        <v>0</v>
      </c>
      <c r="AI1404" s="5">
        <v>0</v>
      </c>
    </row>
    <row r="1405" spans="1:35" x14ac:dyDescent="0.25">
      <c r="A1405" s="5">
        <v>39</v>
      </c>
      <c r="B1405" s="5" t="s">
        <v>43</v>
      </c>
      <c r="C1405" s="5" t="s">
        <v>36</v>
      </c>
      <c r="D1405" s="5">
        <v>119</v>
      </c>
      <c r="E1405" s="5" t="s">
        <v>37</v>
      </c>
      <c r="F1405" s="5">
        <v>15</v>
      </c>
      <c r="G1405" s="5">
        <v>4</v>
      </c>
      <c r="H1405" s="5" t="s">
        <v>59</v>
      </c>
      <c r="I1405" s="5">
        <v>1</v>
      </c>
      <c r="J1405" s="5">
        <v>1975</v>
      </c>
      <c r="K1405" s="5">
        <v>2</v>
      </c>
      <c r="L1405" s="5" t="s">
        <v>46</v>
      </c>
      <c r="M1405" s="5">
        <v>77</v>
      </c>
      <c r="N1405" s="5">
        <v>3</v>
      </c>
      <c r="O1405" s="5">
        <v>4</v>
      </c>
      <c r="P1405" s="5" t="s">
        <v>40</v>
      </c>
      <c r="Q1405" s="5">
        <v>1</v>
      </c>
      <c r="R1405" s="5" t="s">
        <v>41</v>
      </c>
      <c r="S1405" s="5">
        <v>13341</v>
      </c>
      <c r="T1405" s="5">
        <v>25098</v>
      </c>
      <c r="U1405" s="5">
        <v>0</v>
      </c>
      <c r="V1405" s="5" t="s">
        <v>42</v>
      </c>
      <c r="W1405" s="5" t="s">
        <v>43</v>
      </c>
      <c r="X1405" s="5">
        <v>12</v>
      </c>
      <c r="Y1405" s="5">
        <v>3</v>
      </c>
      <c r="Z1405" s="5">
        <v>1</v>
      </c>
      <c r="AA1405" s="5">
        <v>80</v>
      </c>
      <c r="AB1405" s="5">
        <v>0</v>
      </c>
      <c r="AC1405" s="5">
        <v>21</v>
      </c>
      <c r="AD1405" s="5">
        <v>3</v>
      </c>
      <c r="AE1405" s="5">
        <v>3</v>
      </c>
      <c r="AF1405" s="5">
        <v>20</v>
      </c>
      <c r="AG1405" s="5">
        <v>8</v>
      </c>
      <c r="AH1405" s="5">
        <v>11</v>
      </c>
      <c r="AI1405" s="5">
        <v>10</v>
      </c>
    </row>
    <row r="1406" spans="1:35" x14ac:dyDescent="0.25">
      <c r="A1406" s="5">
        <v>42</v>
      </c>
      <c r="B1406" s="5" t="s">
        <v>43</v>
      </c>
      <c r="C1406" s="5" t="s">
        <v>55</v>
      </c>
      <c r="D1406" s="5">
        <v>335</v>
      </c>
      <c r="E1406" s="5" t="s">
        <v>45</v>
      </c>
      <c r="F1406" s="5">
        <v>23</v>
      </c>
      <c r="G1406" s="5">
        <v>2</v>
      </c>
      <c r="H1406" s="5" t="s">
        <v>38</v>
      </c>
      <c r="I1406" s="5">
        <v>1</v>
      </c>
      <c r="J1406" s="5">
        <v>1976</v>
      </c>
      <c r="K1406" s="5">
        <v>4</v>
      </c>
      <c r="L1406" s="5" t="s">
        <v>46</v>
      </c>
      <c r="M1406" s="5">
        <v>37</v>
      </c>
      <c r="N1406" s="5">
        <v>2</v>
      </c>
      <c r="O1406" s="5">
        <v>2</v>
      </c>
      <c r="P1406" s="5" t="s">
        <v>47</v>
      </c>
      <c r="Q1406" s="5">
        <v>3</v>
      </c>
      <c r="R1406" s="5" t="s">
        <v>41</v>
      </c>
      <c r="S1406" s="5">
        <v>4332</v>
      </c>
      <c r="T1406" s="5">
        <v>14811</v>
      </c>
      <c r="U1406" s="5">
        <v>1</v>
      </c>
      <c r="V1406" s="5" t="s">
        <v>42</v>
      </c>
      <c r="W1406" s="5" t="s">
        <v>43</v>
      </c>
      <c r="X1406" s="5">
        <v>12</v>
      </c>
      <c r="Y1406" s="5">
        <v>3</v>
      </c>
      <c r="Z1406" s="5">
        <v>4</v>
      </c>
      <c r="AA1406" s="5">
        <v>80</v>
      </c>
      <c r="AB1406" s="5">
        <v>0</v>
      </c>
      <c r="AC1406" s="5">
        <v>20</v>
      </c>
      <c r="AD1406" s="5">
        <v>2</v>
      </c>
      <c r="AE1406" s="5">
        <v>3</v>
      </c>
      <c r="AF1406" s="5">
        <v>20</v>
      </c>
      <c r="AG1406" s="5">
        <v>9</v>
      </c>
      <c r="AH1406" s="5">
        <v>3</v>
      </c>
      <c r="AI1406" s="5">
        <v>7</v>
      </c>
    </row>
    <row r="1407" spans="1:35" x14ac:dyDescent="0.25">
      <c r="A1407" s="5">
        <v>31</v>
      </c>
      <c r="B1407" s="5" t="s">
        <v>43</v>
      </c>
      <c r="C1407" s="5" t="s">
        <v>55</v>
      </c>
      <c r="D1407" s="5">
        <v>697</v>
      </c>
      <c r="E1407" s="5" t="s">
        <v>45</v>
      </c>
      <c r="F1407" s="5">
        <v>10</v>
      </c>
      <c r="G1407" s="5">
        <v>3</v>
      </c>
      <c r="H1407" s="5" t="s">
        <v>51</v>
      </c>
      <c r="I1407" s="5">
        <v>1</v>
      </c>
      <c r="J1407" s="5">
        <v>1979</v>
      </c>
      <c r="K1407" s="5">
        <v>3</v>
      </c>
      <c r="L1407" s="5" t="s">
        <v>39</v>
      </c>
      <c r="M1407" s="5">
        <v>40</v>
      </c>
      <c r="N1407" s="5">
        <v>3</v>
      </c>
      <c r="O1407" s="5">
        <v>3</v>
      </c>
      <c r="P1407" s="5" t="s">
        <v>58</v>
      </c>
      <c r="Q1407" s="5">
        <v>3</v>
      </c>
      <c r="R1407" s="5" t="s">
        <v>48</v>
      </c>
      <c r="S1407" s="5">
        <v>11031</v>
      </c>
      <c r="T1407" s="5">
        <v>26862</v>
      </c>
      <c r="U1407" s="5">
        <v>4</v>
      </c>
      <c r="V1407" s="5" t="s">
        <v>42</v>
      </c>
      <c r="W1407" s="5" t="s">
        <v>43</v>
      </c>
      <c r="X1407" s="5">
        <v>20</v>
      </c>
      <c r="Y1407" s="5">
        <v>4</v>
      </c>
      <c r="Z1407" s="5">
        <v>3</v>
      </c>
      <c r="AA1407" s="5">
        <v>80</v>
      </c>
      <c r="AB1407" s="5">
        <v>1</v>
      </c>
      <c r="AC1407" s="5">
        <v>13</v>
      </c>
      <c r="AD1407" s="5">
        <v>2</v>
      </c>
      <c r="AE1407" s="5">
        <v>4</v>
      </c>
      <c r="AF1407" s="5">
        <v>11</v>
      </c>
      <c r="AG1407" s="5">
        <v>7</v>
      </c>
      <c r="AH1407" s="5">
        <v>4</v>
      </c>
      <c r="AI1407" s="5">
        <v>8</v>
      </c>
    </row>
    <row r="1408" spans="1:35" x14ac:dyDescent="0.25">
      <c r="A1408" s="5">
        <v>54</v>
      </c>
      <c r="B1408" s="5" t="s">
        <v>43</v>
      </c>
      <c r="C1408" s="5" t="s">
        <v>36</v>
      </c>
      <c r="D1408" s="5">
        <v>157</v>
      </c>
      <c r="E1408" s="5" t="s">
        <v>45</v>
      </c>
      <c r="F1408" s="5">
        <v>10</v>
      </c>
      <c r="G1408" s="5">
        <v>3</v>
      </c>
      <c r="H1408" s="5" t="s">
        <v>51</v>
      </c>
      <c r="I1408" s="5">
        <v>1</v>
      </c>
      <c r="J1408" s="5">
        <v>1980</v>
      </c>
      <c r="K1408" s="5">
        <v>3</v>
      </c>
      <c r="L1408" s="5" t="s">
        <v>39</v>
      </c>
      <c r="M1408" s="5">
        <v>77</v>
      </c>
      <c r="N1408" s="5">
        <v>3</v>
      </c>
      <c r="O1408" s="5">
        <v>2</v>
      </c>
      <c r="P1408" s="5" t="s">
        <v>53</v>
      </c>
      <c r="Q1408" s="5">
        <v>1</v>
      </c>
      <c r="R1408" s="5" t="s">
        <v>41</v>
      </c>
      <c r="S1408" s="5">
        <v>4440</v>
      </c>
      <c r="T1408" s="5">
        <v>25198</v>
      </c>
      <c r="U1408" s="5">
        <v>6</v>
      </c>
      <c r="V1408" s="5" t="s">
        <v>42</v>
      </c>
      <c r="W1408" s="5" t="s">
        <v>35</v>
      </c>
      <c r="X1408" s="5">
        <v>19</v>
      </c>
      <c r="Y1408" s="5">
        <v>3</v>
      </c>
      <c r="Z1408" s="5">
        <v>4</v>
      </c>
      <c r="AA1408" s="5">
        <v>80</v>
      </c>
      <c r="AB1408" s="5">
        <v>0</v>
      </c>
      <c r="AC1408" s="5">
        <v>9</v>
      </c>
      <c r="AD1408" s="5">
        <v>3</v>
      </c>
      <c r="AE1408" s="5">
        <v>3</v>
      </c>
      <c r="AF1408" s="5">
        <v>5</v>
      </c>
      <c r="AG1408" s="5">
        <v>2</v>
      </c>
      <c r="AH1408" s="5">
        <v>1</v>
      </c>
      <c r="AI1408" s="5">
        <v>4</v>
      </c>
    </row>
    <row r="1409" spans="1:35" x14ac:dyDescent="0.25">
      <c r="A1409" s="5">
        <v>24</v>
      </c>
      <c r="B1409" s="5" t="s">
        <v>43</v>
      </c>
      <c r="C1409" s="5" t="s">
        <v>36</v>
      </c>
      <c r="D1409" s="5">
        <v>771</v>
      </c>
      <c r="E1409" s="5" t="s">
        <v>45</v>
      </c>
      <c r="F1409" s="5">
        <v>1</v>
      </c>
      <c r="G1409" s="5">
        <v>2</v>
      </c>
      <c r="H1409" s="5" t="s">
        <v>38</v>
      </c>
      <c r="I1409" s="5">
        <v>1</v>
      </c>
      <c r="J1409" s="5">
        <v>1981</v>
      </c>
      <c r="K1409" s="5">
        <v>2</v>
      </c>
      <c r="L1409" s="5" t="s">
        <v>46</v>
      </c>
      <c r="M1409" s="5">
        <v>45</v>
      </c>
      <c r="N1409" s="5">
        <v>2</v>
      </c>
      <c r="O1409" s="5">
        <v>2</v>
      </c>
      <c r="P1409" s="5" t="s">
        <v>54</v>
      </c>
      <c r="Q1409" s="5">
        <v>3</v>
      </c>
      <c r="R1409" s="5" t="s">
        <v>41</v>
      </c>
      <c r="S1409" s="5">
        <v>4617</v>
      </c>
      <c r="T1409" s="5">
        <v>14120</v>
      </c>
      <c r="U1409" s="5">
        <v>1</v>
      </c>
      <c r="V1409" s="5" t="s">
        <v>42</v>
      </c>
      <c r="W1409" s="5" t="s">
        <v>43</v>
      </c>
      <c r="X1409" s="5">
        <v>12</v>
      </c>
      <c r="Y1409" s="5">
        <v>3</v>
      </c>
      <c r="Z1409" s="5">
        <v>2</v>
      </c>
      <c r="AA1409" s="5">
        <v>80</v>
      </c>
      <c r="AB1409" s="5">
        <v>0</v>
      </c>
      <c r="AC1409" s="5">
        <v>4</v>
      </c>
      <c r="AD1409" s="5">
        <v>2</v>
      </c>
      <c r="AE1409" s="5">
        <v>2</v>
      </c>
      <c r="AF1409" s="5">
        <v>4</v>
      </c>
      <c r="AG1409" s="5">
        <v>3</v>
      </c>
      <c r="AH1409" s="5">
        <v>1</v>
      </c>
      <c r="AI1409" s="5">
        <v>2</v>
      </c>
    </row>
    <row r="1410" spans="1:35" x14ac:dyDescent="0.25">
      <c r="A1410" s="5">
        <v>23</v>
      </c>
      <c r="B1410" s="5" t="s">
        <v>43</v>
      </c>
      <c r="C1410" s="5" t="s">
        <v>36</v>
      </c>
      <c r="D1410" s="5">
        <v>571</v>
      </c>
      <c r="E1410" s="5" t="s">
        <v>45</v>
      </c>
      <c r="F1410" s="5">
        <v>12</v>
      </c>
      <c r="G1410" s="5">
        <v>2</v>
      </c>
      <c r="H1410" s="5" t="s">
        <v>49</v>
      </c>
      <c r="I1410" s="5">
        <v>1</v>
      </c>
      <c r="J1410" s="5">
        <v>1982</v>
      </c>
      <c r="K1410" s="5">
        <v>4</v>
      </c>
      <c r="L1410" s="5" t="s">
        <v>46</v>
      </c>
      <c r="M1410" s="5">
        <v>78</v>
      </c>
      <c r="N1410" s="5">
        <v>3</v>
      </c>
      <c r="O1410" s="5">
        <v>1</v>
      </c>
      <c r="P1410" s="5" t="s">
        <v>50</v>
      </c>
      <c r="Q1410" s="5">
        <v>4</v>
      </c>
      <c r="R1410" s="5" t="s">
        <v>41</v>
      </c>
      <c r="S1410" s="5">
        <v>2647</v>
      </c>
      <c r="T1410" s="5">
        <v>13672</v>
      </c>
      <c r="U1410" s="5">
        <v>1</v>
      </c>
      <c r="V1410" s="5" t="s">
        <v>42</v>
      </c>
      <c r="W1410" s="5" t="s">
        <v>43</v>
      </c>
      <c r="X1410" s="5">
        <v>13</v>
      </c>
      <c r="Y1410" s="5">
        <v>3</v>
      </c>
      <c r="Z1410" s="5">
        <v>3</v>
      </c>
      <c r="AA1410" s="5">
        <v>80</v>
      </c>
      <c r="AB1410" s="5">
        <v>0</v>
      </c>
      <c r="AC1410" s="5">
        <v>5</v>
      </c>
      <c r="AD1410" s="5">
        <v>6</v>
      </c>
      <c r="AE1410" s="5">
        <v>4</v>
      </c>
      <c r="AF1410" s="5">
        <v>5</v>
      </c>
      <c r="AG1410" s="5">
        <v>2</v>
      </c>
      <c r="AH1410" s="5">
        <v>1</v>
      </c>
      <c r="AI1410" s="5">
        <v>4</v>
      </c>
    </row>
    <row r="1411" spans="1:35" x14ac:dyDescent="0.25">
      <c r="A1411" s="5">
        <v>40</v>
      </c>
      <c r="B1411" s="5" t="s">
        <v>43</v>
      </c>
      <c r="C1411" s="5" t="s">
        <v>44</v>
      </c>
      <c r="D1411" s="5">
        <v>692</v>
      </c>
      <c r="E1411" s="5" t="s">
        <v>45</v>
      </c>
      <c r="F1411" s="5">
        <v>11</v>
      </c>
      <c r="G1411" s="5">
        <v>3</v>
      </c>
      <c r="H1411" s="5" t="s">
        <v>60</v>
      </c>
      <c r="I1411" s="5">
        <v>1</v>
      </c>
      <c r="J1411" s="5">
        <v>1985</v>
      </c>
      <c r="K1411" s="5">
        <v>4</v>
      </c>
      <c r="L1411" s="5" t="s">
        <v>39</v>
      </c>
      <c r="M1411" s="5">
        <v>73</v>
      </c>
      <c r="N1411" s="5">
        <v>3</v>
      </c>
      <c r="O1411" s="5">
        <v>2</v>
      </c>
      <c r="P1411" s="5" t="s">
        <v>50</v>
      </c>
      <c r="Q1411" s="5">
        <v>3</v>
      </c>
      <c r="R1411" s="5" t="s">
        <v>48</v>
      </c>
      <c r="S1411" s="5">
        <v>6323</v>
      </c>
      <c r="T1411" s="5">
        <v>26849</v>
      </c>
      <c r="U1411" s="5">
        <v>1</v>
      </c>
      <c r="V1411" s="5" t="s">
        <v>42</v>
      </c>
      <c r="W1411" s="5" t="s">
        <v>43</v>
      </c>
      <c r="X1411" s="5">
        <v>11</v>
      </c>
      <c r="Y1411" s="5">
        <v>3</v>
      </c>
      <c r="Z1411" s="5">
        <v>1</v>
      </c>
      <c r="AA1411" s="5">
        <v>80</v>
      </c>
      <c r="AB1411" s="5">
        <v>1</v>
      </c>
      <c r="AC1411" s="5">
        <v>10</v>
      </c>
      <c r="AD1411" s="5">
        <v>2</v>
      </c>
      <c r="AE1411" s="5">
        <v>4</v>
      </c>
      <c r="AF1411" s="5">
        <v>10</v>
      </c>
      <c r="AG1411" s="5">
        <v>9</v>
      </c>
      <c r="AH1411" s="5">
        <v>9</v>
      </c>
      <c r="AI1411" s="5">
        <v>4</v>
      </c>
    </row>
    <row r="1412" spans="1:35" x14ac:dyDescent="0.25">
      <c r="A1412" s="5">
        <v>40</v>
      </c>
      <c r="B1412" s="5" t="s">
        <v>43</v>
      </c>
      <c r="C1412" s="5" t="s">
        <v>36</v>
      </c>
      <c r="D1412" s="5">
        <v>444</v>
      </c>
      <c r="E1412" s="5" t="s">
        <v>37</v>
      </c>
      <c r="F1412" s="5">
        <v>2</v>
      </c>
      <c r="G1412" s="5">
        <v>2</v>
      </c>
      <c r="H1412" s="5" t="s">
        <v>59</v>
      </c>
      <c r="I1412" s="5">
        <v>1</v>
      </c>
      <c r="J1412" s="5">
        <v>1986</v>
      </c>
      <c r="K1412" s="5">
        <v>2</v>
      </c>
      <c r="L1412" s="5" t="s">
        <v>39</v>
      </c>
      <c r="M1412" s="5">
        <v>92</v>
      </c>
      <c r="N1412" s="5">
        <v>3</v>
      </c>
      <c r="O1412" s="5">
        <v>2</v>
      </c>
      <c r="P1412" s="5" t="s">
        <v>40</v>
      </c>
      <c r="Q1412" s="5">
        <v>2</v>
      </c>
      <c r="R1412" s="5" t="s">
        <v>48</v>
      </c>
      <c r="S1412" s="5">
        <v>5677</v>
      </c>
      <c r="T1412" s="5">
        <v>4258</v>
      </c>
      <c r="U1412" s="5">
        <v>3</v>
      </c>
      <c r="V1412" s="5" t="s">
        <v>42</v>
      </c>
      <c r="W1412" s="5" t="s">
        <v>43</v>
      </c>
      <c r="X1412" s="5">
        <v>14</v>
      </c>
      <c r="Y1412" s="5">
        <v>3</v>
      </c>
      <c r="Z1412" s="5">
        <v>3</v>
      </c>
      <c r="AA1412" s="5">
        <v>80</v>
      </c>
      <c r="AB1412" s="5">
        <v>1</v>
      </c>
      <c r="AC1412" s="5">
        <v>15</v>
      </c>
      <c r="AD1412" s="5">
        <v>4</v>
      </c>
      <c r="AE1412" s="5">
        <v>3</v>
      </c>
      <c r="AF1412" s="5">
        <v>11</v>
      </c>
      <c r="AG1412" s="5">
        <v>8</v>
      </c>
      <c r="AH1412" s="5">
        <v>5</v>
      </c>
      <c r="AI1412" s="5">
        <v>10</v>
      </c>
    </row>
    <row r="1413" spans="1:35" x14ac:dyDescent="0.25">
      <c r="A1413" s="5">
        <v>25</v>
      </c>
      <c r="B1413" s="5" t="s">
        <v>43</v>
      </c>
      <c r="C1413" s="5" t="s">
        <v>36</v>
      </c>
      <c r="D1413" s="5">
        <v>309</v>
      </c>
      <c r="E1413" s="5" t="s">
        <v>61</v>
      </c>
      <c r="F1413" s="5">
        <v>2</v>
      </c>
      <c r="G1413" s="5">
        <v>3</v>
      </c>
      <c r="H1413" s="5" t="s">
        <v>61</v>
      </c>
      <c r="I1413" s="5">
        <v>1</v>
      </c>
      <c r="J1413" s="5">
        <v>1987</v>
      </c>
      <c r="K1413" s="5">
        <v>3</v>
      </c>
      <c r="L1413" s="5" t="s">
        <v>39</v>
      </c>
      <c r="M1413" s="5">
        <v>82</v>
      </c>
      <c r="N1413" s="5">
        <v>3</v>
      </c>
      <c r="O1413" s="5">
        <v>1</v>
      </c>
      <c r="P1413" s="5" t="s">
        <v>61</v>
      </c>
      <c r="Q1413" s="5">
        <v>2</v>
      </c>
      <c r="R1413" s="5" t="s">
        <v>48</v>
      </c>
      <c r="S1413" s="5">
        <v>2187</v>
      </c>
      <c r="T1413" s="5">
        <v>19655</v>
      </c>
      <c r="U1413" s="5">
        <v>4</v>
      </c>
      <c r="V1413" s="5" t="s">
        <v>42</v>
      </c>
      <c r="W1413" s="5" t="s">
        <v>43</v>
      </c>
      <c r="X1413" s="5">
        <v>14</v>
      </c>
      <c r="Y1413" s="5">
        <v>3</v>
      </c>
      <c r="Z1413" s="5">
        <v>3</v>
      </c>
      <c r="AA1413" s="5">
        <v>80</v>
      </c>
      <c r="AB1413" s="5">
        <v>0</v>
      </c>
      <c r="AC1413" s="5">
        <v>6</v>
      </c>
      <c r="AD1413" s="5">
        <v>3</v>
      </c>
      <c r="AE1413" s="5">
        <v>3</v>
      </c>
      <c r="AF1413" s="5">
        <v>2</v>
      </c>
      <c r="AG1413" s="5">
        <v>0</v>
      </c>
      <c r="AH1413" s="5">
        <v>1</v>
      </c>
      <c r="AI1413" s="5">
        <v>2</v>
      </c>
    </row>
    <row r="1414" spans="1:35" x14ac:dyDescent="0.25">
      <c r="A1414" s="5">
        <v>30</v>
      </c>
      <c r="B1414" s="5" t="s">
        <v>43</v>
      </c>
      <c r="C1414" s="5" t="s">
        <v>36</v>
      </c>
      <c r="D1414" s="5">
        <v>911</v>
      </c>
      <c r="E1414" s="5" t="s">
        <v>45</v>
      </c>
      <c r="F1414" s="5">
        <v>1</v>
      </c>
      <c r="G1414" s="5">
        <v>2</v>
      </c>
      <c r="H1414" s="5" t="s">
        <v>51</v>
      </c>
      <c r="I1414" s="5">
        <v>1</v>
      </c>
      <c r="J1414" s="5">
        <v>1989</v>
      </c>
      <c r="K1414" s="5">
        <v>4</v>
      </c>
      <c r="L1414" s="5" t="s">
        <v>46</v>
      </c>
      <c r="M1414" s="5">
        <v>76</v>
      </c>
      <c r="N1414" s="5">
        <v>3</v>
      </c>
      <c r="O1414" s="5">
        <v>1</v>
      </c>
      <c r="P1414" s="5" t="s">
        <v>50</v>
      </c>
      <c r="Q1414" s="5">
        <v>2</v>
      </c>
      <c r="R1414" s="5" t="s">
        <v>48</v>
      </c>
      <c r="S1414" s="5">
        <v>3748</v>
      </c>
      <c r="T1414" s="5">
        <v>4077</v>
      </c>
      <c r="U1414" s="5">
        <v>1</v>
      </c>
      <c r="V1414" s="5" t="s">
        <v>42</v>
      </c>
      <c r="W1414" s="5" t="s">
        <v>43</v>
      </c>
      <c r="X1414" s="5">
        <v>13</v>
      </c>
      <c r="Y1414" s="5">
        <v>3</v>
      </c>
      <c r="Z1414" s="5">
        <v>3</v>
      </c>
      <c r="AA1414" s="5">
        <v>80</v>
      </c>
      <c r="AB1414" s="5">
        <v>0</v>
      </c>
      <c r="AC1414" s="5">
        <v>12</v>
      </c>
      <c r="AD1414" s="5">
        <v>6</v>
      </c>
      <c r="AE1414" s="5">
        <v>2</v>
      </c>
      <c r="AF1414" s="5">
        <v>12</v>
      </c>
      <c r="AG1414" s="5">
        <v>8</v>
      </c>
      <c r="AH1414" s="5">
        <v>1</v>
      </c>
      <c r="AI1414" s="5">
        <v>7</v>
      </c>
    </row>
    <row r="1415" spans="1:35" x14ac:dyDescent="0.25">
      <c r="A1415" s="5">
        <v>25</v>
      </c>
      <c r="B1415" s="5" t="s">
        <v>43</v>
      </c>
      <c r="C1415" s="5" t="s">
        <v>36</v>
      </c>
      <c r="D1415" s="5">
        <v>977</v>
      </c>
      <c r="E1415" s="5" t="s">
        <v>45</v>
      </c>
      <c r="F1415" s="5">
        <v>2</v>
      </c>
      <c r="G1415" s="5">
        <v>1</v>
      </c>
      <c r="H1415" s="5" t="s">
        <v>49</v>
      </c>
      <c r="I1415" s="5">
        <v>1</v>
      </c>
      <c r="J1415" s="5">
        <v>1992</v>
      </c>
      <c r="K1415" s="5">
        <v>4</v>
      </c>
      <c r="L1415" s="5" t="s">
        <v>46</v>
      </c>
      <c r="M1415" s="5">
        <v>57</v>
      </c>
      <c r="N1415" s="5">
        <v>3</v>
      </c>
      <c r="O1415" s="5">
        <v>1</v>
      </c>
      <c r="P1415" s="5" t="s">
        <v>50</v>
      </c>
      <c r="Q1415" s="5">
        <v>3</v>
      </c>
      <c r="R1415" s="5" t="s">
        <v>52</v>
      </c>
      <c r="S1415" s="5">
        <v>3977</v>
      </c>
      <c r="T1415" s="5">
        <v>7298</v>
      </c>
      <c r="U1415" s="5">
        <v>6</v>
      </c>
      <c r="V1415" s="5" t="s">
        <v>42</v>
      </c>
      <c r="W1415" s="5" t="s">
        <v>35</v>
      </c>
      <c r="X1415" s="5">
        <v>19</v>
      </c>
      <c r="Y1415" s="5">
        <v>3</v>
      </c>
      <c r="Z1415" s="5">
        <v>3</v>
      </c>
      <c r="AA1415" s="5">
        <v>80</v>
      </c>
      <c r="AB1415" s="5">
        <v>1</v>
      </c>
      <c r="AC1415" s="5">
        <v>7</v>
      </c>
      <c r="AD1415" s="5">
        <v>2</v>
      </c>
      <c r="AE1415" s="5">
        <v>2</v>
      </c>
      <c r="AF1415" s="5">
        <v>2</v>
      </c>
      <c r="AG1415" s="5">
        <v>2</v>
      </c>
      <c r="AH1415" s="5">
        <v>0</v>
      </c>
      <c r="AI1415" s="5">
        <v>2</v>
      </c>
    </row>
    <row r="1416" spans="1:35" x14ac:dyDescent="0.25">
      <c r="A1416" s="5">
        <v>47</v>
      </c>
      <c r="B1416" s="5" t="s">
        <v>43</v>
      </c>
      <c r="C1416" s="5" t="s">
        <v>36</v>
      </c>
      <c r="D1416" s="5">
        <v>1180</v>
      </c>
      <c r="E1416" s="5" t="s">
        <v>45</v>
      </c>
      <c r="F1416" s="5">
        <v>25</v>
      </c>
      <c r="G1416" s="5">
        <v>3</v>
      </c>
      <c r="H1416" s="5" t="s">
        <v>51</v>
      </c>
      <c r="I1416" s="5">
        <v>1</v>
      </c>
      <c r="J1416" s="5">
        <v>1993</v>
      </c>
      <c r="K1416" s="5">
        <v>1</v>
      </c>
      <c r="L1416" s="5" t="s">
        <v>46</v>
      </c>
      <c r="M1416" s="5">
        <v>84</v>
      </c>
      <c r="N1416" s="5">
        <v>3</v>
      </c>
      <c r="O1416" s="5">
        <v>3</v>
      </c>
      <c r="P1416" s="5" t="s">
        <v>54</v>
      </c>
      <c r="Q1416" s="5">
        <v>3</v>
      </c>
      <c r="R1416" s="5" t="s">
        <v>41</v>
      </c>
      <c r="S1416" s="5">
        <v>8633</v>
      </c>
      <c r="T1416" s="5">
        <v>13084</v>
      </c>
      <c r="U1416" s="5">
        <v>2</v>
      </c>
      <c r="V1416" s="5" t="s">
        <v>42</v>
      </c>
      <c r="W1416" s="5" t="s">
        <v>43</v>
      </c>
      <c r="X1416" s="5">
        <v>23</v>
      </c>
      <c r="Y1416" s="5">
        <v>4</v>
      </c>
      <c r="Z1416" s="5">
        <v>2</v>
      </c>
      <c r="AA1416" s="5">
        <v>80</v>
      </c>
      <c r="AB1416" s="5">
        <v>0</v>
      </c>
      <c r="AC1416" s="5">
        <v>25</v>
      </c>
      <c r="AD1416" s="5">
        <v>3</v>
      </c>
      <c r="AE1416" s="5">
        <v>3</v>
      </c>
      <c r="AF1416" s="5">
        <v>17</v>
      </c>
      <c r="AG1416" s="5">
        <v>14</v>
      </c>
      <c r="AH1416" s="5">
        <v>12</v>
      </c>
      <c r="AI1416" s="5">
        <v>11</v>
      </c>
    </row>
    <row r="1417" spans="1:35" x14ac:dyDescent="0.25">
      <c r="A1417" s="5">
        <v>33</v>
      </c>
      <c r="B1417" s="5" t="s">
        <v>43</v>
      </c>
      <c r="C1417" s="5" t="s">
        <v>55</v>
      </c>
      <c r="D1417" s="5">
        <v>1313</v>
      </c>
      <c r="E1417" s="5" t="s">
        <v>45</v>
      </c>
      <c r="F1417" s="5">
        <v>1</v>
      </c>
      <c r="G1417" s="5">
        <v>2</v>
      </c>
      <c r="H1417" s="5" t="s">
        <v>51</v>
      </c>
      <c r="I1417" s="5">
        <v>1</v>
      </c>
      <c r="J1417" s="5">
        <v>1994</v>
      </c>
      <c r="K1417" s="5">
        <v>2</v>
      </c>
      <c r="L1417" s="5" t="s">
        <v>46</v>
      </c>
      <c r="M1417" s="5">
        <v>59</v>
      </c>
      <c r="N1417" s="5">
        <v>2</v>
      </c>
      <c r="O1417" s="5">
        <v>1</v>
      </c>
      <c r="P1417" s="5" t="s">
        <v>50</v>
      </c>
      <c r="Q1417" s="5">
        <v>3</v>
      </c>
      <c r="R1417" s="5" t="s">
        <v>52</v>
      </c>
      <c r="S1417" s="5">
        <v>2008</v>
      </c>
      <c r="T1417" s="5">
        <v>20439</v>
      </c>
      <c r="U1417" s="5">
        <v>1</v>
      </c>
      <c r="V1417" s="5" t="s">
        <v>42</v>
      </c>
      <c r="W1417" s="5" t="s">
        <v>43</v>
      </c>
      <c r="X1417" s="5">
        <v>12</v>
      </c>
      <c r="Y1417" s="5">
        <v>3</v>
      </c>
      <c r="Z1417" s="5">
        <v>3</v>
      </c>
      <c r="AA1417" s="5">
        <v>80</v>
      </c>
      <c r="AB1417" s="5">
        <v>3</v>
      </c>
      <c r="AC1417" s="5">
        <v>1</v>
      </c>
      <c r="AD1417" s="5">
        <v>2</v>
      </c>
      <c r="AE1417" s="5">
        <v>2</v>
      </c>
      <c r="AF1417" s="5">
        <v>1</v>
      </c>
      <c r="AG1417" s="5">
        <v>1</v>
      </c>
      <c r="AH1417" s="5">
        <v>0</v>
      </c>
      <c r="AI1417" s="5">
        <v>0</v>
      </c>
    </row>
    <row r="1418" spans="1:35" x14ac:dyDescent="0.25">
      <c r="A1418" s="5">
        <v>38</v>
      </c>
      <c r="B1418" s="5" t="s">
        <v>43</v>
      </c>
      <c r="C1418" s="5" t="s">
        <v>36</v>
      </c>
      <c r="D1418" s="5">
        <v>1321</v>
      </c>
      <c r="E1418" s="5" t="s">
        <v>37</v>
      </c>
      <c r="F1418" s="5">
        <v>1</v>
      </c>
      <c r="G1418" s="5">
        <v>4</v>
      </c>
      <c r="H1418" s="5" t="s">
        <v>38</v>
      </c>
      <c r="I1418" s="5">
        <v>1</v>
      </c>
      <c r="J1418" s="5">
        <v>1995</v>
      </c>
      <c r="K1418" s="5">
        <v>4</v>
      </c>
      <c r="L1418" s="5" t="s">
        <v>46</v>
      </c>
      <c r="M1418" s="5">
        <v>86</v>
      </c>
      <c r="N1418" s="5">
        <v>3</v>
      </c>
      <c r="O1418" s="5">
        <v>2</v>
      </c>
      <c r="P1418" s="5" t="s">
        <v>40</v>
      </c>
      <c r="Q1418" s="5">
        <v>2</v>
      </c>
      <c r="R1418" s="5" t="s">
        <v>48</v>
      </c>
      <c r="S1418" s="5">
        <v>4440</v>
      </c>
      <c r="T1418" s="5">
        <v>7636</v>
      </c>
      <c r="U1418" s="5">
        <v>0</v>
      </c>
      <c r="V1418" s="5" t="s">
        <v>42</v>
      </c>
      <c r="W1418" s="5" t="s">
        <v>43</v>
      </c>
      <c r="X1418" s="5">
        <v>15</v>
      </c>
      <c r="Y1418" s="5">
        <v>3</v>
      </c>
      <c r="Z1418" s="5">
        <v>1</v>
      </c>
      <c r="AA1418" s="5">
        <v>80</v>
      </c>
      <c r="AB1418" s="5">
        <v>2</v>
      </c>
      <c r="AC1418" s="5">
        <v>16</v>
      </c>
      <c r="AD1418" s="5">
        <v>3</v>
      </c>
      <c r="AE1418" s="5">
        <v>3</v>
      </c>
      <c r="AF1418" s="5">
        <v>15</v>
      </c>
      <c r="AG1418" s="5">
        <v>13</v>
      </c>
      <c r="AH1418" s="5">
        <v>5</v>
      </c>
      <c r="AI1418" s="5">
        <v>8</v>
      </c>
    </row>
    <row r="1419" spans="1:35" x14ac:dyDescent="0.25">
      <c r="A1419" s="5">
        <v>31</v>
      </c>
      <c r="B1419" s="5" t="s">
        <v>43</v>
      </c>
      <c r="C1419" s="5" t="s">
        <v>36</v>
      </c>
      <c r="D1419" s="5">
        <v>1154</v>
      </c>
      <c r="E1419" s="5" t="s">
        <v>37</v>
      </c>
      <c r="F1419" s="5">
        <v>2</v>
      </c>
      <c r="G1419" s="5">
        <v>2</v>
      </c>
      <c r="H1419" s="5" t="s">
        <v>38</v>
      </c>
      <c r="I1419" s="5">
        <v>1</v>
      </c>
      <c r="J1419" s="5">
        <v>1996</v>
      </c>
      <c r="K1419" s="5">
        <v>1</v>
      </c>
      <c r="L1419" s="5" t="s">
        <v>46</v>
      </c>
      <c r="M1419" s="5">
        <v>54</v>
      </c>
      <c r="N1419" s="5">
        <v>3</v>
      </c>
      <c r="O1419" s="5">
        <v>1</v>
      </c>
      <c r="P1419" s="5" t="s">
        <v>57</v>
      </c>
      <c r="Q1419" s="5">
        <v>3</v>
      </c>
      <c r="R1419" s="5" t="s">
        <v>48</v>
      </c>
      <c r="S1419" s="5">
        <v>3067</v>
      </c>
      <c r="T1419" s="5">
        <v>6393</v>
      </c>
      <c r="U1419" s="5">
        <v>0</v>
      </c>
      <c r="V1419" s="5" t="s">
        <v>42</v>
      </c>
      <c r="W1419" s="5" t="s">
        <v>43</v>
      </c>
      <c r="X1419" s="5">
        <v>19</v>
      </c>
      <c r="Y1419" s="5">
        <v>3</v>
      </c>
      <c r="Z1419" s="5">
        <v>3</v>
      </c>
      <c r="AA1419" s="5">
        <v>80</v>
      </c>
      <c r="AB1419" s="5">
        <v>1</v>
      </c>
      <c r="AC1419" s="5">
        <v>3</v>
      </c>
      <c r="AD1419" s="5">
        <v>1</v>
      </c>
      <c r="AE1419" s="5">
        <v>3</v>
      </c>
      <c r="AF1419" s="5">
        <v>2</v>
      </c>
      <c r="AG1419" s="5">
        <v>2</v>
      </c>
      <c r="AH1419" s="5">
        <v>1</v>
      </c>
      <c r="AI1419" s="5">
        <v>2</v>
      </c>
    </row>
    <row r="1420" spans="1:35" x14ac:dyDescent="0.25">
      <c r="A1420" s="5">
        <v>38</v>
      </c>
      <c r="B1420" s="5" t="s">
        <v>43</v>
      </c>
      <c r="C1420" s="5" t="s">
        <v>44</v>
      </c>
      <c r="D1420" s="5">
        <v>508</v>
      </c>
      <c r="E1420" s="5" t="s">
        <v>45</v>
      </c>
      <c r="F1420" s="5">
        <v>6</v>
      </c>
      <c r="G1420" s="5">
        <v>4</v>
      </c>
      <c r="H1420" s="5" t="s">
        <v>38</v>
      </c>
      <c r="I1420" s="5">
        <v>1</v>
      </c>
      <c r="J1420" s="5">
        <v>1997</v>
      </c>
      <c r="K1420" s="5">
        <v>1</v>
      </c>
      <c r="L1420" s="5" t="s">
        <v>46</v>
      </c>
      <c r="M1420" s="5">
        <v>72</v>
      </c>
      <c r="N1420" s="5">
        <v>2</v>
      </c>
      <c r="O1420" s="5">
        <v>2</v>
      </c>
      <c r="P1420" s="5" t="s">
        <v>53</v>
      </c>
      <c r="Q1420" s="5">
        <v>3</v>
      </c>
      <c r="R1420" s="5" t="s">
        <v>48</v>
      </c>
      <c r="S1420" s="5">
        <v>5321</v>
      </c>
      <c r="T1420" s="5">
        <v>14284</v>
      </c>
      <c r="U1420" s="5">
        <v>2</v>
      </c>
      <c r="V1420" s="5" t="s">
        <v>42</v>
      </c>
      <c r="W1420" s="5" t="s">
        <v>43</v>
      </c>
      <c r="X1420" s="5">
        <v>11</v>
      </c>
      <c r="Y1420" s="5">
        <v>3</v>
      </c>
      <c r="Z1420" s="5">
        <v>4</v>
      </c>
      <c r="AA1420" s="5">
        <v>80</v>
      </c>
      <c r="AB1420" s="5">
        <v>1</v>
      </c>
      <c r="AC1420" s="5">
        <v>10</v>
      </c>
      <c r="AD1420" s="5">
        <v>1</v>
      </c>
      <c r="AE1420" s="5">
        <v>3</v>
      </c>
      <c r="AF1420" s="5">
        <v>8</v>
      </c>
      <c r="AG1420" s="5">
        <v>3</v>
      </c>
      <c r="AH1420" s="5">
        <v>7</v>
      </c>
      <c r="AI1420" s="5">
        <v>7</v>
      </c>
    </row>
    <row r="1421" spans="1:35" x14ac:dyDescent="0.25">
      <c r="A1421" s="5">
        <v>42</v>
      </c>
      <c r="B1421" s="5" t="s">
        <v>43</v>
      </c>
      <c r="C1421" s="5" t="s">
        <v>36</v>
      </c>
      <c r="D1421" s="5">
        <v>557</v>
      </c>
      <c r="E1421" s="5" t="s">
        <v>45</v>
      </c>
      <c r="F1421" s="5">
        <v>18</v>
      </c>
      <c r="G1421" s="5">
        <v>4</v>
      </c>
      <c r="H1421" s="5" t="s">
        <v>38</v>
      </c>
      <c r="I1421" s="5">
        <v>1</v>
      </c>
      <c r="J1421" s="5">
        <v>1998</v>
      </c>
      <c r="K1421" s="5">
        <v>4</v>
      </c>
      <c r="L1421" s="5" t="s">
        <v>46</v>
      </c>
      <c r="M1421" s="5">
        <v>35</v>
      </c>
      <c r="N1421" s="5">
        <v>3</v>
      </c>
      <c r="O1421" s="5">
        <v>2</v>
      </c>
      <c r="P1421" s="5" t="s">
        <v>47</v>
      </c>
      <c r="Q1421" s="5">
        <v>1</v>
      </c>
      <c r="R1421" s="5" t="s">
        <v>52</v>
      </c>
      <c r="S1421" s="5">
        <v>5410</v>
      </c>
      <c r="T1421" s="5">
        <v>11189</v>
      </c>
      <c r="U1421" s="5">
        <v>6</v>
      </c>
      <c r="V1421" s="5" t="s">
        <v>42</v>
      </c>
      <c r="W1421" s="5" t="s">
        <v>35</v>
      </c>
      <c r="X1421" s="5">
        <v>17</v>
      </c>
      <c r="Y1421" s="5">
        <v>3</v>
      </c>
      <c r="Z1421" s="5">
        <v>3</v>
      </c>
      <c r="AA1421" s="5">
        <v>80</v>
      </c>
      <c r="AB1421" s="5">
        <v>1</v>
      </c>
      <c r="AC1421" s="5">
        <v>9</v>
      </c>
      <c r="AD1421" s="5">
        <v>3</v>
      </c>
      <c r="AE1421" s="5">
        <v>2</v>
      </c>
      <c r="AF1421" s="5">
        <v>4</v>
      </c>
      <c r="AG1421" s="5">
        <v>3</v>
      </c>
      <c r="AH1421" s="5">
        <v>1</v>
      </c>
      <c r="AI1421" s="5">
        <v>2</v>
      </c>
    </row>
    <row r="1422" spans="1:35" x14ac:dyDescent="0.25">
      <c r="A1422" s="5">
        <v>41</v>
      </c>
      <c r="B1422" s="5" t="s">
        <v>43</v>
      </c>
      <c r="C1422" s="5" t="s">
        <v>36</v>
      </c>
      <c r="D1422" s="5">
        <v>642</v>
      </c>
      <c r="E1422" s="5" t="s">
        <v>45</v>
      </c>
      <c r="F1422" s="5">
        <v>1</v>
      </c>
      <c r="G1422" s="5">
        <v>3</v>
      </c>
      <c r="H1422" s="5" t="s">
        <v>38</v>
      </c>
      <c r="I1422" s="5">
        <v>1</v>
      </c>
      <c r="J1422" s="5">
        <v>1999</v>
      </c>
      <c r="K1422" s="5">
        <v>4</v>
      </c>
      <c r="L1422" s="5" t="s">
        <v>46</v>
      </c>
      <c r="M1422" s="5">
        <v>76</v>
      </c>
      <c r="N1422" s="5">
        <v>3</v>
      </c>
      <c r="O1422" s="5">
        <v>1</v>
      </c>
      <c r="P1422" s="5" t="s">
        <v>47</v>
      </c>
      <c r="Q1422" s="5">
        <v>4</v>
      </c>
      <c r="R1422" s="5" t="s">
        <v>48</v>
      </c>
      <c r="S1422" s="5">
        <v>2782</v>
      </c>
      <c r="T1422" s="5">
        <v>21412</v>
      </c>
      <c r="U1422" s="5">
        <v>3</v>
      </c>
      <c r="V1422" s="5" t="s">
        <v>42</v>
      </c>
      <c r="W1422" s="5" t="s">
        <v>43</v>
      </c>
      <c r="X1422" s="5">
        <v>22</v>
      </c>
      <c r="Y1422" s="5">
        <v>4</v>
      </c>
      <c r="Z1422" s="5">
        <v>1</v>
      </c>
      <c r="AA1422" s="5">
        <v>80</v>
      </c>
      <c r="AB1422" s="5">
        <v>1</v>
      </c>
      <c r="AC1422" s="5">
        <v>12</v>
      </c>
      <c r="AD1422" s="5">
        <v>3</v>
      </c>
      <c r="AE1422" s="5">
        <v>3</v>
      </c>
      <c r="AF1422" s="5">
        <v>5</v>
      </c>
      <c r="AG1422" s="5">
        <v>3</v>
      </c>
      <c r="AH1422" s="5">
        <v>1</v>
      </c>
      <c r="AI1422" s="5">
        <v>0</v>
      </c>
    </row>
    <row r="1423" spans="1:35" x14ac:dyDescent="0.25">
      <c r="A1423" s="5">
        <v>47</v>
      </c>
      <c r="B1423" s="5" t="s">
        <v>43</v>
      </c>
      <c r="C1423" s="5" t="s">
        <v>55</v>
      </c>
      <c r="D1423" s="5">
        <v>1162</v>
      </c>
      <c r="E1423" s="5" t="s">
        <v>45</v>
      </c>
      <c r="F1423" s="5">
        <v>1</v>
      </c>
      <c r="G1423" s="5">
        <v>1</v>
      </c>
      <c r="H1423" s="5" t="s">
        <v>51</v>
      </c>
      <c r="I1423" s="5">
        <v>1</v>
      </c>
      <c r="J1423" s="5">
        <v>2000</v>
      </c>
      <c r="K1423" s="5">
        <v>3</v>
      </c>
      <c r="L1423" s="5" t="s">
        <v>39</v>
      </c>
      <c r="M1423" s="5">
        <v>98</v>
      </c>
      <c r="N1423" s="5">
        <v>3</v>
      </c>
      <c r="O1423" s="5">
        <v>3</v>
      </c>
      <c r="P1423" s="5" t="s">
        <v>58</v>
      </c>
      <c r="Q1423" s="5">
        <v>2</v>
      </c>
      <c r="R1423" s="5" t="s">
        <v>48</v>
      </c>
      <c r="S1423" s="5">
        <v>11957</v>
      </c>
      <c r="T1423" s="5">
        <v>17231</v>
      </c>
      <c r="U1423" s="5">
        <v>0</v>
      </c>
      <c r="V1423" s="5" t="s">
        <v>42</v>
      </c>
      <c r="W1423" s="5" t="s">
        <v>43</v>
      </c>
      <c r="X1423" s="5">
        <v>18</v>
      </c>
      <c r="Y1423" s="5">
        <v>3</v>
      </c>
      <c r="Z1423" s="5">
        <v>1</v>
      </c>
      <c r="AA1423" s="5">
        <v>80</v>
      </c>
      <c r="AB1423" s="5">
        <v>2</v>
      </c>
      <c r="AC1423" s="5">
        <v>14</v>
      </c>
      <c r="AD1423" s="5">
        <v>3</v>
      </c>
      <c r="AE1423" s="5">
        <v>1</v>
      </c>
      <c r="AF1423" s="5">
        <v>13</v>
      </c>
      <c r="AG1423" s="5">
        <v>8</v>
      </c>
      <c r="AH1423" s="5">
        <v>5</v>
      </c>
      <c r="AI1423" s="5">
        <v>12</v>
      </c>
    </row>
    <row r="1424" spans="1:35" x14ac:dyDescent="0.25">
      <c r="A1424" s="5">
        <v>35</v>
      </c>
      <c r="B1424" s="5" t="s">
        <v>43</v>
      </c>
      <c r="C1424" s="5" t="s">
        <v>36</v>
      </c>
      <c r="D1424" s="5">
        <v>1490</v>
      </c>
      <c r="E1424" s="5" t="s">
        <v>45</v>
      </c>
      <c r="F1424" s="5">
        <v>11</v>
      </c>
      <c r="G1424" s="5">
        <v>4</v>
      </c>
      <c r="H1424" s="5" t="s">
        <v>51</v>
      </c>
      <c r="I1424" s="5">
        <v>1</v>
      </c>
      <c r="J1424" s="5">
        <v>2003</v>
      </c>
      <c r="K1424" s="5">
        <v>4</v>
      </c>
      <c r="L1424" s="5" t="s">
        <v>46</v>
      </c>
      <c r="M1424" s="5">
        <v>43</v>
      </c>
      <c r="N1424" s="5">
        <v>3</v>
      </c>
      <c r="O1424" s="5">
        <v>1</v>
      </c>
      <c r="P1424" s="5" t="s">
        <v>50</v>
      </c>
      <c r="Q1424" s="5">
        <v>3</v>
      </c>
      <c r="R1424" s="5" t="s">
        <v>48</v>
      </c>
      <c r="S1424" s="5">
        <v>2660</v>
      </c>
      <c r="T1424" s="5">
        <v>20232</v>
      </c>
      <c r="U1424" s="5">
        <v>7</v>
      </c>
      <c r="V1424" s="5" t="s">
        <v>42</v>
      </c>
      <c r="W1424" s="5" t="s">
        <v>35</v>
      </c>
      <c r="X1424" s="5">
        <v>11</v>
      </c>
      <c r="Y1424" s="5">
        <v>3</v>
      </c>
      <c r="Z1424" s="5">
        <v>3</v>
      </c>
      <c r="AA1424" s="5">
        <v>80</v>
      </c>
      <c r="AB1424" s="5">
        <v>1</v>
      </c>
      <c r="AC1424" s="5">
        <v>5</v>
      </c>
      <c r="AD1424" s="5">
        <v>3</v>
      </c>
      <c r="AE1424" s="5">
        <v>3</v>
      </c>
      <c r="AF1424" s="5">
        <v>2</v>
      </c>
      <c r="AG1424" s="5">
        <v>2</v>
      </c>
      <c r="AH1424" s="5">
        <v>2</v>
      </c>
      <c r="AI1424" s="5">
        <v>2</v>
      </c>
    </row>
    <row r="1425" spans="1:35" x14ac:dyDescent="0.25">
      <c r="A1425" s="5">
        <v>22</v>
      </c>
      <c r="B1425" s="5" t="s">
        <v>43</v>
      </c>
      <c r="C1425" s="5" t="s">
        <v>36</v>
      </c>
      <c r="D1425" s="5">
        <v>581</v>
      </c>
      <c r="E1425" s="5" t="s">
        <v>45</v>
      </c>
      <c r="F1425" s="5">
        <v>1</v>
      </c>
      <c r="G1425" s="5">
        <v>2</v>
      </c>
      <c r="H1425" s="5" t="s">
        <v>38</v>
      </c>
      <c r="I1425" s="5">
        <v>1</v>
      </c>
      <c r="J1425" s="5">
        <v>2007</v>
      </c>
      <c r="K1425" s="5">
        <v>4</v>
      </c>
      <c r="L1425" s="5" t="s">
        <v>46</v>
      </c>
      <c r="M1425" s="5">
        <v>63</v>
      </c>
      <c r="N1425" s="5">
        <v>3</v>
      </c>
      <c r="O1425" s="5">
        <v>1</v>
      </c>
      <c r="P1425" s="5" t="s">
        <v>47</v>
      </c>
      <c r="Q1425" s="5">
        <v>3</v>
      </c>
      <c r="R1425" s="5" t="s">
        <v>41</v>
      </c>
      <c r="S1425" s="5">
        <v>3375</v>
      </c>
      <c r="T1425" s="5">
        <v>17624</v>
      </c>
      <c r="U1425" s="5">
        <v>0</v>
      </c>
      <c r="V1425" s="5" t="s">
        <v>42</v>
      </c>
      <c r="W1425" s="5" t="s">
        <v>43</v>
      </c>
      <c r="X1425" s="5">
        <v>12</v>
      </c>
      <c r="Y1425" s="5">
        <v>3</v>
      </c>
      <c r="Z1425" s="5">
        <v>4</v>
      </c>
      <c r="AA1425" s="5">
        <v>80</v>
      </c>
      <c r="AB1425" s="5">
        <v>0</v>
      </c>
      <c r="AC1425" s="5">
        <v>4</v>
      </c>
      <c r="AD1425" s="5">
        <v>2</v>
      </c>
      <c r="AE1425" s="5">
        <v>4</v>
      </c>
      <c r="AF1425" s="5">
        <v>3</v>
      </c>
      <c r="AG1425" s="5">
        <v>2</v>
      </c>
      <c r="AH1425" s="5">
        <v>1</v>
      </c>
      <c r="AI1425" s="5">
        <v>2</v>
      </c>
    </row>
    <row r="1426" spans="1:35" x14ac:dyDescent="0.25">
      <c r="A1426" s="5">
        <v>35</v>
      </c>
      <c r="B1426" s="5" t="s">
        <v>43</v>
      </c>
      <c r="C1426" s="5" t="s">
        <v>36</v>
      </c>
      <c r="D1426" s="5">
        <v>1395</v>
      </c>
      <c r="E1426" s="5" t="s">
        <v>45</v>
      </c>
      <c r="F1426" s="5">
        <v>9</v>
      </c>
      <c r="G1426" s="5">
        <v>4</v>
      </c>
      <c r="H1426" s="5" t="s">
        <v>51</v>
      </c>
      <c r="I1426" s="5">
        <v>1</v>
      </c>
      <c r="J1426" s="5">
        <v>2008</v>
      </c>
      <c r="K1426" s="5">
        <v>2</v>
      </c>
      <c r="L1426" s="5" t="s">
        <v>46</v>
      </c>
      <c r="M1426" s="5">
        <v>48</v>
      </c>
      <c r="N1426" s="5">
        <v>3</v>
      </c>
      <c r="O1426" s="5">
        <v>2</v>
      </c>
      <c r="P1426" s="5" t="s">
        <v>47</v>
      </c>
      <c r="Q1426" s="5">
        <v>3</v>
      </c>
      <c r="R1426" s="5" t="s">
        <v>41</v>
      </c>
      <c r="S1426" s="5">
        <v>5098</v>
      </c>
      <c r="T1426" s="5">
        <v>18698</v>
      </c>
      <c r="U1426" s="5">
        <v>1</v>
      </c>
      <c r="V1426" s="5" t="s">
        <v>42</v>
      </c>
      <c r="W1426" s="5" t="s">
        <v>43</v>
      </c>
      <c r="X1426" s="5">
        <v>19</v>
      </c>
      <c r="Y1426" s="5">
        <v>3</v>
      </c>
      <c r="Z1426" s="5">
        <v>2</v>
      </c>
      <c r="AA1426" s="5">
        <v>80</v>
      </c>
      <c r="AB1426" s="5">
        <v>0</v>
      </c>
      <c r="AC1426" s="5">
        <v>10</v>
      </c>
      <c r="AD1426" s="5">
        <v>5</v>
      </c>
      <c r="AE1426" s="5">
        <v>3</v>
      </c>
      <c r="AF1426" s="5">
        <v>10</v>
      </c>
      <c r="AG1426" s="5">
        <v>7</v>
      </c>
      <c r="AH1426" s="5">
        <v>0</v>
      </c>
      <c r="AI1426" s="5">
        <v>8</v>
      </c>
    </row>
    <row r="1427" spans="1:35" x14ac:dyDescent="0.25">
      <c r="A1427" s="5">
        <v>33</v>
      </c>
      <c r="B1427" s="5" t="s">
        <v>43</v>
      </c>
      <c r="C1427" s="5" t="s">
        <v>36</v>
      </c>
      <c r="D1427" s="5">
        <v>501</v>
      </c>
      <c r="E1427" s="5" t="s">
        <v>45</v>
      </c>
      <c r="F1427" s="5">
        <v>15</v>
      </c>
      <c r="G1427" s="5">
        <v>2</v>
      </c>
      <c r="H1427" s="5" t="s">
        <v>51</v>
      </c>
      <c r="I1427" s="5">
        <v>1</v>
      </c>
      <c r="J1427" s="5">
        <v>2009</v>
      </c>
      <c r="K1427" s="5">
        <v>2</v>
      </c>
      <c r="L1427" s="5" t="s">
        <v>39</v>
      </c>
      <c r="M1427" s="5">
        <v>95</v>
      </c>
      <c r="N1427" s="5">
        <v>3</v>
      </c>
      <c r="O1427" s="5">
        <v>2</v>
      </c>
      <c r="P1427" s="5" t="s">
        <v>54</v>
      </c>
      <c r="Q1427" s="5">
        <v>4</v>
      </c>
      <c r="R1427" s="5" t="s">
        <v>48</v>
      </c>
      <c r="S1427" s="5">
        <v>4878</v>
      </c>
      <c r="T1427" s="5">
        <v>21653</v>
      </c>
      <c r="U1427" s="5">
        <v>0</v>
      </c>
      <c r="V1427" s="5" t="s">
        <v>42</v>
      </c>
      <c r="W1427" s="5" t="s">
        <v>35</v>
      </c>
      <c r="X1427" s="5">
        <v>13</v>
      </c>
      <c r="Y1427" s="5">
        <v>3</v>
      </c>
      <c r="Z1427" s="5">
        <v>1</v>
      </c>
      <c r="AA1427" s="5">
        <v>80</v>
      </c>
      <c r="AB1427" s="5">
        <v>1</v>
      </c>
      <c r="AC1427" s="5">
        <v>10</v>
      </c>
      <c r="AD1427" s="5">
        <v>6</v>
      </c>
      <c r="AE1427" s="5">
        <v>3</v>
      </c>
      <c r="AF1427" s="5">
        <v>9</v>
      </c>
      <c r="AG1427" s="5">
        <v>7</v>
      </c>
      <c r="AH1427" s="5">
        <v>8</v>
      </c>
      <c r="AI1427" s="5">
        <v>1</v>
      </c>
    </row>
    <row r="1428" spans="1:35" x14ac:dyDescent="0.25">
      <c r="A1428" s="5">
        <v>32</v>
      </c>
      <c r="B1428" s="5" t="s">
        <v>43</v>
      </c>
      <c r="C1428" s="5" t="s">
        <v>36</v>
      </c>
      <c r="D1428" s="5">
        <v>267</v>
      </c>
      <c r="E1428" s="5" t="s">
        <v>45</v>
      </c>
      <c r="F1428" s="5">
        <v>29</v>
      </c>
      <c r="G1428" s="5">
        <v>4</v>
      </c>
      <c r="H1428" s="5" t="s">
        <v>38</v>
      </c>
      <c r="I1428" s="5">
        <v>1</v>
      </c>
      <c r="J1428" s="5">
        <v>2010</v>
      </c>
      <c r="K1428" s="5">
        <v>3</v>
      </c>
      <c r="L1428" s="5" t="s">
        <v>39</v>
      </c>
      <c r="M1428" s="5">
        <v>49</v>
      </c>
      <c r="N1428" s="5">
        <v>2</v>
      </c>
      <c r="O1428" s="5">
        <v>1</v>
      </c>
      <c r="P1428" s="5" t="s">
        <v>50</v>
      </c>
      <c r="Q1428" s="5">
        <v>2</v>
      </c>
      <c r="R1428" s="5" t="s">
        <v>41</v>
      </c>
      <c r="S1428" s="5">
        <v>2837</v>
      </c>
      <c r="T1428" s="5">
        <v>15919</v>
      </c>
      <c r="U1428" s="5">
        <v>1</v>
      </c>
      <c r="V1428" s="5" t="s">
        <v>42</v>
      </c>
      <c r="W1428" s="5" t="s">
        <v>43</v>
      </c>
      <c r="X1428" s="5">
        <v>13</v>
      </c>
      <c r="Y1428" s="5">
        <v>3</v>
      </c>
      <c r="Z1428" s="5">
        <v>3</v>
      </c>
      <c r="AA1428" s="5">
        <v>80</v>
      </c>
      <c r="AB1428" s="5">
        <v>0</v>
      </c>
      <c r="AC1428" s="5">
        <v>6</v>
      </c>
      <c r="AD1428" s="5">
        <v>3</v>
      </c>
      <c r="AE1428" s="5">
        <v>3</v>
      </c>
      <c r="AF1428" s="5">
        <v>6</v>
      </c>
      <c r="AG1428" s="5">
        <v>2</v>
      </c>
      <c r="AH1428" s="5">
        <v>4</v>
      </c>
      <c r="AI1428" s="5">
        <v>1</v>
      </c>
    </row>
    <row r="1429" spans="1:35" x14ac:dyDescent="0.25">
      <c r="A1429" s="5">
        <v>40</v>
      </c>
      <c r="B1429" s="5" t="s">
        <v>43</v>
      </c>
      <c r="C1429" s="5" t="s">
        <v>36</v>
      </c>
      <c r="D1429" s="5">
        <v>543</v>
      </c>
      <c r="E1429" s="5" t="s">
        <v>45</v>
      </c>
      <c r="F1429" s="5">
        <v>1</v>
      </c>
      <c r="G1429" s="5">
        <v>4</v>
      </c>
      <c r="H1429" s="5" t="s">
        <v>38</v>
      </c>
      <c r="I1429" s="5">
        <v>1</v>
      </c>
      <c r="J1429" s="5">
        <v>2012</v>
      </c>
      <c r="K1429" s="5">
        <v>1</v>
      </c>
      <c r="L1429" s="5" t="s">
        <v>46</v>
      </c>
      <c r="M1429" s="5">
        <v>83</v>
      </c>
      <c r="N1429" s="5">
        <v>3</v>
      </c>
      <c r="O1429" s="5">
        <v>1</v>
      </c>
      <c r="P1429" s="5" t="s">
        <v>50</v>
      </c>
      <c r="Q1429" s="5">
        <v>4</v>
      </c>
      <c r="R1429" s="5" t="s">
        <v>48</v>
      </c>
      <c r="S1429" s="5">
        <v>2406</v>
      </c>
      <c r="T1429" s="5">
        <v>4060</v>
      </c>
      <c r="U1429" s="5">
        <v>8</v>
      </c>
      <c r="V1429" s="5" t="s">
        <v>42</v>
      </c>
      <c r="W1429" s="5" t="s">
        <v>43</v>
      </c>
      <c r="X1429" s="5">
        <v>19</v>
      </c>
      <c r="Y1429" s="5">
        <v>3</v>
      </c>
      <c r="Z1429" s="5">
        <v>3</v>
      </c>
      <c r="AA1429" s="5">
        <v>80</v>
      </c>
      <c r="AB1429" s="5">
        <v>2</v>
      </c>
      <c r="AC1429" s="5">
        <v>8</v>
      </c>
      <c r="AD1429" s="5">
        <v>3</v>
      </c>
      <c r="AE1429" s="5">
        <v>2</v>
      </c>
      <c r="AF1429" s="5">
        <v>1</v>
      </c>
      <c r="AG1429" s="5">
        <v>0</v>
      </c>
      <c r="AH1429" s="5">
        <v>0</v>
      </c>
      <c r="AI1429" s="5">
        <v>0</v>
      </c>
    </row>
    <row r="1430" spans="1:35" x14ac:dyDescent="0.25">
      <c r="A1430" s="5">
        <v>32</v>
      </c>
      <c r="B1430" s="5" t="s">
        <v>43</v>
      </c>
      <c r="C1430" s="5" t="s">
        <v>36</v>
      </c>
      <c r="D1430" s="5">
        <v>234</v>
      </c>
      <c r="E1430" s="5" t="s">
        <v>37</v>
      </c>
      <c r="F1430" s="5">
        <v>1</v>
      </c>
      <c r="G1430" s="5">
        <v>4</v>
      </c>
      <c r="H1430" s="5" t="s">
        <v>51</v>
      </c>
      <c r="I1430" s="5">
        <v>1</v>
      </c>
      <c r="J1430" s="5">
        <v>2013</v>
      </c>
      <c r="K1430" s="5">
        <v>2</v>
      </c>
      <c r="L1430" s="5" t="s">
        <v>46</v>
      </c>
      <c r="M1430" s="5">
        <v>68</v>
      </c>
      <c r="N1430" s="5">
        <v>2</v>
      </c>
      <c r="O1430" s="5">
        <v>1</v>
      </c>
      <c r="P1430" s="5" t="s">
        <v>57</v>
      </c>
      <c r="Q1430" s="5">
        <v>2</v>
      </c>
      <c r="R1430" s="5" t="s">
        <v>48</v>
      </c>
      <c r="S1430" s="5">
        <v>2269</v>
      </c>
      <c r="T1430" s="5">
        <v>18024</v>
      </c>
      <c r="U1430" s="5">
        <v>0</v>
      </c>
      <c r="V1430" s="5" t="s">
        <v>42</v>
      </c>
      <c r="W1430" s="5" t="s">
        <v>43</v>
      </c>
      <c r="X1430" s="5">
        <v>14</v>
      </c>
      <c r="Y1430" s="5">
        <v>3</v>
      </c>
      <c r="Z1430" s="5">
        <v>2</v>
      </c>
      <c r="AA1430" s="5">
        <v>80</v>
      </c>
      <c r="AB1430" s="5">
        <v>1</v>
      </c>
      <c r="AC1430" s="5">
        <v>3</v>
      </c>
      <c r="AD1430" s="5">
        <v>2</v>
      </c>
      <c r="AE1430" s="5">
        <v>3</v>
      </c>
      <c r="AF1430" s="5">
        <v>2</v>
      </c>
      <c r="AG1430" s="5">
        <v>2</v>
      </c>
      <c r="AH1430" s="5">
        <v>2</v>
      </c>
      <c r="AI1430" s="5">
        <v>2</v>
      </c>
    </row>
    <row r="1431" spans="1:35" x14ac:dyDescent="0.25">
      <c r="A1431" s="5">
        <v>39</v>
      </c>
      <c r="B1431" s="5" t="s">
        <v>43</v>
      </c>
      <c r="C1431" s="5" t="s">
        <v>36</v>
      </c>
      <c r="D1431" s="5">
        <v>116</v>
      </c>
      <c r="E1431" s="5" t="s">
        <v>45</v>
      </c>
      <c r="F1431" s="5">
        <v>24</v>
      </c>
      <c r="G1431" s="5">
        <v>1</v>
      </c>
      <c r="H1431" s="5" t="s">
        <v>38</v>
      </c>
      <c r="I1431" s="5">
        <v>1</v>
      </c>
      <c r="J1431" s="5">
        <v>2014</v>
      </c>
      <c r="K1431" s="5">
        <v>1</v>
      </c>
      <c r="L1431" s="5" t="s">
        <v>46</v>
      </c>
      <c r="M1431" s="5">
        <v>52</v>
      </c>
      <c r="N1431" s="5">
        <v>3</v>
      </c>
      <c r="O1431" s="5">
        <v>2</v>
      </c>
      <c r="P1431" s="5" t="s">
        <v>47</v>
      </c>
      <c r="Q1431" s="5">
        <v>4</v>
      </c>
      <c r="R1431" s="5" t="s">
        <v>41</v>
      </c>
      <c r="S1431" s="5">
        <v>4108</v>
      </c>
      <c r="T1431" s="5">
        <v>5340</v>
      </c>
      <c r="U1431" s="5">
        <v>7</v>
      </c>
      <c r="V1431" s="5" t="s">
        <v>42</v>
      </c>
      <c r="W1431" s="5" t="s">
        <v>43</v>
      </c>
      <c r="X1431" s="5">
        <v>13</v>
      </c>
      <c r="Y1431" s="5">
        <v>3</v>
      </c>
      <c r="Z1431" s="5">
        <v>1</v>
      </c>
      <c r="AA1431" s="5">
        <v>80</v>
      </c>
      <c r="AB1431" s="5">
        <v>0</v>
      </c>
      <c r="AC1431" s="5">
        <v>18</v>
      </c>
      <c r="AD1431" s="5">
        <v>2</v>
      </c>
      <c r="AE1431" s="5">
        <v>3</v>
      </c>
      <c r="AF1431" s="5">
        <v>7</v>
      </c>
      <c r="AG1431" s="5">
        <v>7</v>
      </c>
      <c r="AH1431" s="5">
        <v>1</v>
      </c>
      <c r="AI1431" s="5">
        <v>7</v>
      </c>
    </row>
    <row r="1432" spans="1:35" x14ac:dyDescent="0.25">
      <c r="A1432" s="5">
        <v>38</v>
      </c>
      <c r="B1432" s="5" t="s">
        <v>43</v>
      </c>
      <c r="C1432" s="5" t="s">
        <v>36</v>
      </c>
      <c r="D1432" s="5">
        <v>201</v>
      </c>
      <c r="E1432" s="5" t="s">
        <v>45</v>
      </c>
      <c r="F1432" s="5">
        <v>10</v>
      </c>
      <c r="G1432" s="5">
        <v>3</v>
      </c>
      <c r="H1432" s="5" t="s">
        <v>51</v>
      </c>
      <c r="I1432" s="5">
        <v>1</v>
      </c>
      <c r="J1432" s="5">
        <v>2015</v>
      </c>
      <c r="K1432" s="5">
        <v>2</v>
      </c>
      <c r="L1432" s="5" t="s">
        <v>39</v>
      </c>
      <c r="M1432" s="5">
        <v>99</v>
      </c>
      <c r="N1432" s="5">
        <v>1</v>
      </c>
      <c r="O1432" s="5">
        <v>3</v>
      </c>
      <c r="P1432" s="5" t="s">
        <v>58</v>
      </c>
      <c r="Q1432" s="5">
        <v>3</v>
      </c>
      <c r="R1432" s="5" t="s">
        <v>48</v>
      </c>
      <c r="S1432" s="5">
        <v>13206</v>
      </c>
      <c r="T1432" s="5">
        <v>3376</v>
      </c>
      <c r="U1432" s="5">
        <v>3</v>
      </c>
      <c r="V1432" s="5" t="s">
        <v>42</v>
      </c>
      <c r="W1432" s="5" t="s">
        <v>43</v>
      </c>
      <c r="X1432" s="5">
        <v>12</v>
      </c>
      <c r="Y1432" s="5">
        <v>3</v>
      </c>
      <c r="Z1432" s="5">
        <v>1</v>
      </c>
      <c r="AA1432" s="5">
        <v>80</v>
      </c>
      <c r="AB1432" s="5">
        <v>1</v>
      </c>
      <c r="AC1432" s="5">
        <v>20</v>
      </c>
      <c r="AD1432" s="5">
        <v>3</v>
      </c>
      <c r="AE1432" s="5">
        <v>3</v>
      </c>
      <c r="AF1432" s="5">
        <v>18</v>
      </c>
      <c r="AG1432" s="5">
        <v>16</v>
      </c>
      <c r="AH1432" s="5">
        <v>1</v>
      </c>
      <c r="AI1432" s="5">
        <v>11</v>
      </c>
    </row>
    <row r="1433" spans="1:35" x14ac:dyDescent="0.25">
      <c r="A1433" s="5">
        <v>32</v>
      </c>
      <c r="B1433" s="5" t="s">
        <v>43</v>
      </c>
      <c r="C1433" s="5" t="s">
        <v>36</v>
      </c>
      <c r="D1433" s="5">
        <v>801</v>
      </c>
      <c r="E1433" s="5" t="s">
        <v>37</v>
      </c>
      <c r="F1433" s="5">
        <v>1</v>
      </c>
      <c r="G1433" s="5">
        <v>4</v>
      </c>
      <c r="H1433" s="5" t="s">
        <v>59</v>
      </c>
      <c r="I1433" s="5">
        <v>1</v>
      </c>
      <c r="J1433" s="5">
        <v>2016</v>
      </c>
      <c r="K1433" s="5">
        <v>3</v>
      </c>
      <c r="L1433" s="5" t="s">
        <v>39</v>
      </c>
      <c r="M1433" s="5">
        <v>48</v>
      </c>
      <c r="N1433" s="5">
        <v>3</v>
      </c>
      <c r="O1433" s="5">
        <v>3</v>
      </c>
      <c r="P1433" s="5" t="s">
        <v>40</v>
      </c>
      <c r="Q1433" s="5">
        <v>4</v>
      </c>
      <c r="R1433" s="5" t="s">
        <v>48</v>
      </c>
      <c r="S1433" s="5">
        <v>10422</v>
      </c>
      <c r="T1433" s="5">
        <v>24032</v>
      </c>
      <c r="U1433" s="5">
        <v>1</v>
      </c>
      <c r="V1433" s="5" t="s">
        <v>42</v>
      </c>
      <c r="W1433" s="5" t="s">
        <v>43</v>
      </c>
      <c r="X1433" s="5">
        <v>19</v>
      </c>
      <c r="Y1433" s="5">
        <v>3</v>
      </c>
      <c r="Z1433" s="5">
        <v>3</v>
      </c>
      <c r="AA1433" s="5">
        <v>80</v>
      </c>
      <c r="AB1433" s="5">
        <v>2</v>
      </c>
      <c r="AC1433" s="5">
        <v>14</v>
      </c>
      <c r="AD1433" s="5">
        <v>3</v>
      </c>
      <c r="AE1433" s="5">
        <v>3</v>
      </c>
      <c r="AF1433" s="5">
        <v>14</v>
      </c>
      <c r="AG1433" s="5">
        <v>10</v>
      </c>
      <c r="AH1433" s="5">
        <v>5</v>
      </c>
      <c r="AI1433" s="5">
        <v>7</v>
      </c>
    </row>
    <row r="1434" spans="1:35" x14ac:dyDescent="0.25">
      <c r="A1434" s="5">
        <v>37</v>
      </c>
      <c r="B1434" s="5" t="s">
        <v>43</v>
      </c>
      <c r="C1434" s="5" t="s">
        <v>36</v>
      </c>
      <c r="D1434" s="5">
        <v>161</v>
      </c>
      <c r="E1434" s="5" t="s">
        <v>45</v>
      </c>
      <c r="F1434" s="5">
        <v>10</v>
      </c>
      <c r="G1434" s="5">
        <v>3</v>
      </c>
      <c r="H1434" s="5" t="s">
        <v>38</v>
      </c>
      <c r="I1434" s="5">
        <v>1</v>
      </c>
      <c r="J1434" s="5">
        <v>2017</v>
      </c>
      <c r="K1434" s="5">
        <v>3</v>
      </c>
      <c r="L1434" s="5" t="s">
        <v>39</v>
      </c>
      <c r="M1434" s="5">
        <v>42</v>
      </c>
      <c r="N1434" s="5">
        <v>4</v>
      </c>
      <c r="O1434" s="5">
        <v>3</v>
      </c>
      <c r="P1434" s="5" t="s">
        <v>58</v>
      </c>
      <c r="Q1434" s="5">
        <v>4</v>
      </c>
      <c r="R1434" s="5" t="s">
        <v>48</v>
      </c>
      <c r="S1434" s="5">
        <v>13744</v>
      </c>
      <c r="T1434" s="5">
        <v>15471</v>
      </c>
      <c r="U1434" s="5">
        <v>1</v>
      </c>
      <c r="V1434" s="5" t="s">
        <v>42</v>
      </c>
      <c r="W1434" s="5" t="s">
        <v>35</v>
      </c>
      <c r="X1434" s="5">
        <v>25</v>
      </c>
      <c r="Y1434" s="5">
        <v>4</v>
      </c>
      <c r="Z1434" s="5">
        <v>1</v>
      </c>
      <c r="AA1434" s="5">
        <v>80</v>
      </c>
      <c r="AB1434" s="5">
        <v>1</v>
      </c>
      <c r="AC1434" s="5">
        <v>16</v>
      </c>
      <c r="AD1434" s="5">
        <v>2</v>
      </c>
      <c r="AE1434" s="5">
        <v>3</v>
      </c>
      <c r="AF1434" s="5">
        <v>16</v>
      </c>
      <c r="AG1434" s="5">
        <v>11</v>
      </c>
      <c r="AH1434" s="5">
        <v>6</v>
      </c>
      <c r="AI1434" s="5">
        <v>8</v>
      </c>
    </row>
    <row r="1435" spans="1:35" x14ac:dyDescent="0.25">
      <c r="A1435" s="5">
        <v>25</v>
      </c>
      <c r="B1435" s="5" t="s">
        <v>43</v>
      </c>
      <c r="C1435" s="5" t="s">
        <v>36</v>
      </c>
      <c r="D1435" s="5">
        <v>1382</v>
      </c>
      <c r="E1435" s="5" t="s">
        <v>37</v>
      </c>
      <c r="F1435" s="5">
        <v>8</v>
      </c>
      <c r="G1435" s="5">
        <v>2</v>
      </c>
      <c r="H1435" s="5" t="s">
        <v>49</v>
      </c>
      <c r="I1435" s="5">
        <v>1</v>
      </c>
      <c r="J1435" s="5">
        <v>2018</v>
      </c>
      <c r="K1435" s="5">
        <v>1</v>
      </c>
      <c r="L1435" s="5" t="s">
        <v>39</v>
      </c>
      <c r="M1435" s="5">
        <v>85</v>
      </c>
      <c r="N1435" s="5">
        <v>3</v>
      </c>
      <c r="O1435" s="5">
        <v>2</v>
      </c>
      <c r="P1435" s="5" t="s">
        <v>40</v>
      </c>
      <c r="Q1435" s="5">
        <v>3</v>
      </c>
      <c r="R1435" s="5" t="s">
        <v>52</v>
      </c>
      <c r="S1435" s="5">
        <v>4907</v>
      </c>
      <c r="T1435" s="5">
        <v>13684</v>
      </c>
      <c r="U1435" s="5">
        <v>0</v>
      </c>
      <c r="V1435" s="5" t="s">
        <v>42</v>
      </c>
      <c r="W1435" s="5" t="s">
        <v>35</v>
      </c>
      <c r="X1435" s="5">
        <v>22</v>
      </c>
      <c r="Y1435" s="5">
        <v>4</v>
      </c>
      <c r="Z1435" s="5">
        <v>2</v>
      </c>
      <c r="AA1435" s="5">
        <v>80</v>
      </c>
      <c r="AB1435" s="5">
        <v>1</v>
      </c>
      <c r="AC1435" s="5">
        <v>6</v>
      </c>
      <c r="AD1435" s="5">
        <v>3</v>
      </c>
      <c r="AE1435" s="5">
        <v>2</v>
      </c>
      <c r="AF1435" s="5">
        <v>5</v>
      </c>
      <c r="AG1435" s="5">
        <v>3</v>
      </c>
      <c r="AH1435" s="5">
        <v>0</v>
      </c>
      <c r="AI1435" s="5">
        <v>4</v>
      </c>
    </row>
    <row r="1436" spans="1:35" x14ac:dyDescent="0.25">
      <c r="A1436" s="5">
        <v>52</v>
      </c>
      <c r="B1436" s="5" t="s">
        <v>43</v>
      </c>
      <c r="C1436" s="5" t="s">
        <v>55</v>
      </c>
      <c r="D1436" s="5">
        <v>585</v>
      </c>
      <c r="E1436" s="5" t="s">
        <v>37</v>
      </c>
      <c r="F1436" s="5">
        <v>29</v>
      </c>
      <c r="G1436" s="5">
        <v>4</v>
      </c>
      <c r="H1436" s="5" t="s">
        <v>38</v>
      </c>
      <c r="I1436" s="5">
        <v>1</v>
      </c>
      <c r="J1436" s="5">
        <v>2019</v>
      </c>
      <c r="K1436" s="5">
        <v>1</v>
      </c>
      <c r="L1436" s="5" t="s">
        <v>46</v>
      </c>
      <c r="M1436" s="5">
        <v>40</v>
      </c>
      <c r="N1436" s="5">
        <v>3</v>
      </c>
      <c r="O1436" s="5">
        <v>1</v>
      </c>
      <c r="P1436" s="5" t="s">
        <v>57</v>
      </c>
      <c r="Q1436" s="5">
        <v>4</v>
      </c>
      <c r="R1436" s="5" t="s">
        <v>52</v>
      </c>
      <c r="S1436" s="5">
        <v>3482</v>
      </c>
      <c r="T1436" s="5">
        <v>19788</v>
      </c>
      <c r="U1436" s="5">
        <v>2</v>
      </c>
      <c r="V1436" s="5" t="s">
        <v>42</v>
      </c>
      <c r="W1436" s="5" t="s">
        <v>43</v>
      </c>
      <c r="X1436" s="5">
        <v>15</v>
      </c>
      <c r="Y1436" s="5">
        <v>3</v>
      </c>
      <c r="Z1436" s="5">
        <v>2</v>
      </c>
      <c r="AA1436" s="5">
        <v>80</v>
      </c>
      <c r="AB1436" s="5">
        <v>2</v>
      </c>
      <c r="AC1436" s="5">
        <v>16</v>
      </c>
      <c r="AD1436" s="5">
        <v>3</v>
      </c>
      <c r="AE1436" s="5">
        <v>2</v>
      </c>
      <c r="AF1436" s="5">
        <v>9</v>
      </c>
      <c r="AG1436" s="5">
        <v>8</v>
      </c>
      <c r="AH1436" s="5">
        <v>0</v>
      </c>
      <c r="AI1436" s="5">
        <v>0</v>
      </c>
    </row>
    <row r="1437" spans="1:35" x14ac:dyDescent="0.25">
      <c r="A1437" s="5">
        <v>44</v>
      </c>
      <c r="B1437" s="5" t="s">
        <v>43</v>
      </c>
      <c r="C1437" s="5" t="s">
        <v>36</v>
      </c>
      <c r="D1437" s="5">
        <v>1037</v>
      </c>
      <c r="E1437" s="5" t="s">
        <v>45</v>
      </c>
      <c r="F1437" s="5">
        <v>1</v>
      </c>
      <c r="G1437" s="5">
        <v>3</v>
      </c>
      <c r="H1437" s="5" t="s">
        <v>51</v>
      </c>
      <c r="I1437" s="5">
        <v>1</v>
      </c>
      <c r="J1437" s="5">
        <v>2020</v>
      </c>
      <c r="K1437" s="5">
        <v>2</v>
      </c>
      <c r="L1437" s="5" t="s">
        <v>46</v>
      </c>
      <c r="M1437" s="5">
        <v>42</v>
      </c>
      <c r="N1437" s="5">
        <v>3</v>
      </c>
      <c r="O1437" s="5">
        <v>1</v>
      </c>
      <c r="P1437" s="5" t="s">
        <v>47</v>
      </c>
      <c r="Q1437" s="5">
        <v>4</v>
      </c>
      <c r="R1437" s="5" t="s">
        <v>41</v>
      </c>
      <c r="S1437" s="5">
        <v>2436</v>
      </c>
      <c r="T1437" s="5">
        <v>13422</v>
      </c>
      <c r="U1437" s="5">
        <v>6</v>
      </c>
      <c r="V1437" s="5" t="s">
        <v>42</v>
      </c>
      <c r="W1437" s="5" t="s">
        <v>35</v>
      </c>
      <c r="X1437" s="5">
        <v>12</v>
      </c>
      <c r="Y1437" s="5">
        <v>3</v>
      </c>
      <c r="Z1437" s="5">
        <v>3</v>
      </c>
      <c r="AA1437" s="5">
        <v>80</v>
      </c>
      <c r="AB1437" s="5">
        <v>0</v>
      </c>
      <c r="AC1437" s="5">
        <v>6</v>
      </c>
      <c r="AD1437" s="5">
        <v>2</v>
      </c>
      <c r="AE1437" s="5">
        <v>3</v>
      </c>
      <c r="AF1437" s="5">
        <v>4</v>
      </c>
      <c r="AG1437" s="5">
        <v>3</v>
      </c>
      <c r="AH1437" s="5">
        <v>1</v>
      </c>
      <c r="AI1437" s="5">
        <v>2</v>
      </c>
    </row>
    <row r="1438" spans="1:35" x14ac:dyDescent="0.25">
      <c r="A1438" s="5">
        <v>21</v>
      </c>
      <c r="B1438" s="5" t="s">
        <v>43</v>
      </c>
      <c r="C1438" s="5" t="s">
        <v>36</v>
      </c>
      <c r="D1438" s="5">
        <v>501</v>
      </c>
      <c r="E1438" s="5" t="s">
        <v>37</v>
      </c>
      <c r="F1438" s="5">
        <v>5</v>
      </c>
      <c r="G1438" s="5">
        <v>1</v>
      </c>
      <c r="H1438" s="5" t="s">
        <v>51</v>
      </c>
      <c r="I1438" s="5">
        <v>1</v>
      </c>
      <c r="J1438" s="5">
        <v>2021</v>
      </c>
      <c r="K1438" s="5">
        <v>3</v>
      </c>
      <c r="L1438" s="5" t="s">
        <v>46</v>
      </c>
      <c r="M1438" s="5">
        <v>58</v>
      </c>
      <c r="N1438" s="5">
        <v>3</v>
      </c>
      <c r="O1438" s="5">
        <v>1</v>
      </c>
      <c r="P1438" s="5" t="s">
        <v>57</v>
      </c>
      <c r="Q1438" s="5">
        <v>1</v>
      </c>
      <c r="R1438" s="5" t="s">
        <v>41</v>
      </c>
      <c r="S1438" s="5">
        <v>2380</v>
      </c>
      <c r="T1438" s="5">
        <v>25479</v>
      </c>
      <c r="U1438" s="5">
        <v>1</v>
      </c>
      <c r="V1438" s="5" t="s">
        <v>42</v>
      </c>
      <c r="W1438" s="5" t="s">
        <v>35</v>
      </c>
      <c r="X1438" s="5">
        <v>11</v>
      </c>
      <c r="Y1438" s="5">
        <v>3</v>
      </c>
      <c r="Z1438" s="5">
        <v>4</v>
      </c>
      <c r="AA1438" s="5">
        <v>80</v>
      </c>
      <c r="AB1438" s="5">
        <v>0</v>
      </c>
      <c r="AC1438" s="5">
        <v>2</v>
      </c>
      <c r="AD1438" s="5">
        <v>6</v>
      </c>
      <c r="AE1438" s="5">
        <v>3</v>
      </c>
      <c r="AF1438" s="5">
        <v>2</v>
      </c>
      <c r="AG1438" s="5">
        <v>2</v>
      </c>
      <c r="AH1438" s="5">
        <v>1</v>
      </c>
      <c r="AI1438" s="5">
        <v>2</v>
      </c>
    </row>
    <row r="1439" spans="1:35" x14ac:dyDescent="0.25">
      <c r="A1439" s="5">
        <v>39</v>
      </c>
      <c r="B1439" s="5" t="s">
        <v>43</v>
      </c>
      <c r="C1439" s="5" t="s">
        <v>55</v>
      </c>
      <c r="D1439" s="5">
        <v>105</v>
      </c>
      <c r="E1439" s="5" t="s">
        <v>45</v>
      </c>
      <c r="F1439" s="5">
        <v>9</v>
      </c>
      <c r="G1439" s="5">
        <v>3</v>
      </c>
      <c r="H1439" s="5" t="s">
        <v>38</v>
      </c>
      <c r="I1439" s="5">
        <v>1</v>
      </c>
      <c r="J1439" s="5">
        <v>2022</v>
      </c>
      <c r="K1439" s="5">
        <v>4</v>
      </c>
      <c r="L1439" s="5" t="s">
        <v>46</v>
      </c>
      <c r="M1439" s="5">
        <v>87</v>
      </c>
      <c r="N1439" s="5">
        <v>3</v>
      </c>
      <c r="O1439" s="5">
        <v>5</v>
      </c>
      <c r="P1439" s="5" t="s">
        <v>56</v>
      </c>
      <c r="Q1439" s="5">
        <v>4</v>
      </c>
      <c r="R1439" s="5" t="s">
        <v>41</v>
      </c>
      <c r="S1439" s="5">
        <v>19431</v>
      </c>
      <c r="T1439" s="5">
        <v>15302</v>
      </c>
      <c r="U1439" s="5">
        <v>2</v>
      </c>
      <c r="V1439" s="5" t="s">
        <v>42</v>
      </c>
      <c r="W1439" s="5" t="s">
        <v>43</v>
      </c>
      <c r="X1439" s="5">
        <v>13</v>
      </c>
      <c r="Y1439" s="5">
        <v>3</v>
      </c>
      <c r="Z1439" s="5">
        <v>3</v>
      </c>
      <c r="AA1439" s="5">
        <v>80</v>
      </c>
      <c r="AB1439" s="5">
        <v>0</v>
      </c>
      <c r="AC1439" s="5">
        <v>21</v>
      </c>
      <c r="AD1439" s="5">
        <v>3</v>
      </c>
      <c r="AE1439" s="5">
        <v>2</v>
      </c>
      <c r="AF1439" s="5">
        <v>6</v>
      </c>
      <c r="AG1439" s="5">
        <v>0</v>
      </c>
      <c r="AH1439" s="5">
        <v>1</v>
      </c>
      <c r="AI1439" s="5">
        <v>3</v>
      </c>
    </row>
    <row r="1440" spans="1:35" x14ac:dyDescent="0.25">
      <c r="A1440" s="5">
        <v>23</v>
      </c>
      <c r="B1440" s="5" t="s">
        <v>35</v>
      </c>
      <c r="C1440" s="5" t="s">
        <v>44</v>
      </c>
      <c r="D1440" s="5">
        <v>638</v>
      </c>
      <c r="E1440" s="5" t="s">
        <v>37</v>
      </c>
      <c r="F1440" s="5">
        <v>9</v>
      </c>
      <c r="G1440" s="5">
        <v>3</v>
      </c>
      <c r="H1440" s="5" t="s">
        <v>59</v>
      </c>
      <c r="I1440" s="5">
        <v>1</v>
      </c>
      <c r="J1440" s="5">
        <v>2023</v>
      </c>
      <c r="K1440" s="5">
        <v>4</v>
      </c>
      <c r="L1440" s="5" t="s">
        <v>46</v>
      </c>
      <c r="M1440" s="5">
        <v>33</v>
      </c>
      <c r="N1440" s="5">
        <v>3</v>
      </c>
      <c r="O1440" s="5">
        <v>1</v>
      </c>
      <c r="P1440" s="5" t="s">
        <v>57</v>
      </c>
      <c r="Q1440" s="5">
        <v>1</v>
      </c>
      <c r="R1440" s="5" t="s">
        <v>48</v>
      </c>
      <c r="S1440" s="5">
        <v>1790</v>
      </c>
      <c r="T1440" s="5">
        <v>26956</v>
      </c>
      <c r="U1440" s="5">
        <v>1</v>
      </c>
      <c r="V1440" s="5" t="s">
        <v>42</v>
      </c>
      <c r="W1440" s="5" t="s">
        <v>43</v>
      </c>
      <c r="X1440" s="5">
        <v>19</v>
      </c>
      <c r="Y1440" s="5">
        <v>3</v>
      </c>
      <c r="Z1440" s="5">
        <v>1</v>
      </c>
      <c r="AA1440" s="5">
        <v>80</v>
      </c>
      <c r="AB1440" s="5">
        <v>1</v>
      </c>
      <c r="AC1440" s="5">
        <v>1</v>
      </c>
      <c r="AD1440" s="5">
        <v>3</v>
      </c>
      <c r="AE1440" s="5">
        <v>2</v>
      </c>
      <c r="AF1440" s="5">
        <v>1</v>
      </c>
      <c r="AG1440" s="5">
        <v>0</v>
      </c>
      <c r="AH1440" s="5">
        <v>1</v>
      </c>
      <c r="AI1440" s="5">
        <v>0</v>
      </c>
    </row>
    <row r="1441" spans="1:35" x14ac:dyDescent="0.25">
      <c r="A1441" s="5">
        <v>36</v>
      </c>
      <c r="B1441" s="5" t="s">
        <v>43</v>
      </c>
      <c r="C1441" s="5" t="s">
        <v>36</v>
      </c>
      <c r="D1441" s="5">
        <v>557</v>
      </c>
      <c r="E1441" s="5" t="s">
        <v>37</v>
      </c>
      <c r="F1441" s="5">
        <v>3</v>
      </c>
      <c r="G1441" s="5">
        <v>3</v>
      </c>
      <c r="H1441" s="5" t="s">
        <v>51</v>
      </c>
      <c r="I1441" s="5">
        <v>1</v>
      </c>
      <c r="J1441" s="5">
        <v>2024</v>
      </c>
      <c r="K1441" s="5">
        <v>1</v>
      </c>
      <c r="L1441" s="5" t="s">
        <v>39</v>
      </c>
      <c r="M1441" s="5">
        <v>94</v>
      </c>
      <c r="N1441" s="5">
        <v>2</v>
      </c>
      <c r="O1441" s="5">
        <v>3</v>
      </c>
      <c r="P1441" s="5" t="s">
        <v>40</v>
      </c>
      <c r="Q1441" s="5">
        <v>4</v>
      </c>
      <c r="R1441" s="5" t="s">
        <v>48</v>
      </c>
      <c r="S1441" s="5">
        <v>7644</v>
      </c>
      <c r="T1441" s="5">
        <v>12695</v>
      </c>
      <c r="U1441" s="5">
        <v>0</v>
      </c>
      <c r="V1441" s="5" t="s">
        <v>42</v>
      </c>
      <c r="W1441" s="5" t="s">
        <v>43</v>
      </c>
      <c r="X1441" s="5">
        <v>19</v>
      </c>
      <c r="Y1441" s="5">
        <v>3</v>
      </c>
      <c r="Z1441" s="5">
        <v>3</v>
      </c>
      <c r="AA1441" s="5">
        <v>80</v>
      </c>
      <c r="AB1441" s="5">
        <v>2</v>
      </c>
      <c r="AC1441" s="5">
        <v>10</v>
      </c>
      <c r="AD1441" s="5">
        <v>2</v>
      </c>
      <c r="AE1441" s="5">
        <v>3</v>
      </c>
      <c r="AF1441" s="5">
        <v>9</v>
      </c>
      <c r="AG1441" s="5">
        <v>7</v>
      </c>
      <c r="AH1441" s="5">
        <v>3</v>
      </c>
      <c r="AI1441" s="5">
        <v>4</v>
      </c>
    </row>
    <row r="1442" spans="1:35" x14ac:dyDescent="0.25">
      <c r="A1442" s="5">
        <v>36</v>
      </c>
      <c r="B1442" s="5" t="s">
        <v>43</v>
      </c>
      <c r="C1442" s="5" t="s">
        <v>44</v>
      </c>
      <c r="D1442" s="5">
        <v>688</v>
      </c>
      <c r="E1442" s="5" t="s">
        <v>45</v>
      </c>
      <c r="F1442" s="5">
        <v>4</v>
      </c>
      <c r="G1442" s="5">
        <v>2</v>
      </c>
      <c r="H1442" s="5" t="s">
        <v>38</v>
      </c>
      <c r="I1442" s="5">
        <v>1</v>
      </c>
      <c r="J1442" s="5">
        <v>2025</v>
      </c>
      <c r="K1442" s="5">
        <v>4</v>
      </c>
      <c r="L1442" s="5" t="s">
        <v>39</v>
      </c>
      <c r="M1442" s="5">
        <v>97</v>
      </c>
      <c r="N1442" s="5">
        <v>3</v>
      </c>
      <c r="O1442" s="5">
        <v>2</v>
      </c>
      <c r="P1442" s="5" t="s">
        <v>53</v>
      </c>
      <c r="Q1442" s="5">
        <v>2</v>
      </c>
      <c r="R1442" s="5" t="s">
        <v>52</v>
      </c>
      <c r="S1442" s="5">
        <v>5131</v>
      </c>
      <c r="T1442" s="5">
        <v>9192</v>
      </c>
      <c r="U1442" s="5">
        <v>7</v>
      </c>
      <c r="V1442" s="5" t="s">
        <v>42</v>
      </c>
      <c r="W1442" s="5" t="s">
        <v>43</v>
      </c>
      <c r="X1442" s="5">
        <v>13</v>
      </c>
      <c r="Y1442" s="5">
        <v>3</v>
      </c>
      <c r="Z1442" s="5">
        <v>2</v>
      </c>
      <c r="AA1442" s="5">
        <v>80</v>
      </c>
      <c r="AB1442" s="5">
        <v>3</v>
      </c>
      <c r="AC1442" s="5">
        <v>18</v>
      </c>
      <c r="AD1442" s="5">
        <v>3</v>
      </c>
      <c r="AE1442" s="5">
        <v>3</v>
      </c>
      <c r="AF1442" s="5">
        <v>4</v>
      </c>
      <c r="AG1442" s="5">
        <v>2</v>
      </c>
      <c r="AH1442" s="5">
        <v>0</v>
      </c>
      <c r="AI1442" s="5">
        <v>2</v>
      </c>
    </row>
    <row r="1443" spans="1:35" x14ac:dyDescent="0.25">
      <c r="A1443" s="5">
        <v>56</v>
      </c>
      <c r="B1443" s="5" t="s">
        <v>43</v>
      </c>
      <c r="C1443" s="5" t="s">
        <v>55</v>
      </c>
      <c r="D1443" s="5">
        <v>667</v>
      </c>
      <c r="E1443" s="5" t="s">
        <v>45</v>
      </c>
      <c r="F1443" s="5">
        <v>1</v>
      </c>
      <c r="G1443" s="5">
        <v>4</v>
      </c>
      <c r="H1443" s="5" t="s">
        <v>38</v>
      </c>
      <c r="I1443" s="5">
        <v>1</v>
      </c>
      <c r="J1443" s="5">
        <v>2026</v>
      </c>
      <c r="K1443" s="5">
        <v>3</v>
      </c>
      <c r="L1443" s="5" t="s">
        <v>46</v>
      </c>
      <c r="M1443" s="5">
        <v>57</v>
      </c>
      <c r="N1443" s="5">
        <v>3</v>
      </c>
      <c r="O1443" s="5">
        <v>2</v>
      </c>
      <c r="P1443" s="5" t="s">
        <v>54</v>
      </c>
      <c r="Q1443" s="5">
        <v>3</v>
      </c>
      <c r="R1443" s="5" t="s">
        <v>52</v>
      </c>
      <c r="S1443" s="5">
        <v>6306</v>
      </c>
      <c r="T1443" s="5">
        <v>26236</v>
      </c>
      <c r="U1443" s="5">
        <v>1</v>
      </c>
      <c r="V1443" s="5" t="s">
        <v>42</v>
      </c>
      <c r="W1443" s="5" t="s">
        <v>43</v>
      </c>
      <c r="X1443" s="5">
        <v>21</v>
      </c>
      <c r="Y1443" s="5">
        <v>4</v>
      </c>
      <c r="Z1443" s="5">
        <v>1</v>
      </c>
      <c r="AA1443" s="5">
        <v>80</v>
      </c>
      <c r="AB1443" s="5">
        <v>1</v>
      </c>
      <c r="AC1443" s="5">
        <v>13</v>
      </c>
      <c r="AD1443" s="5">
        <v>2</v>
      </c>
      <c r="AE1443" s="5">
        <v>2</v>
      </c>
      <c r="AF1443" s="5">
        <v>13</v>
      </c>
      <c r="AG1443" s="5">
        <v>12</v>
      </c>
      <c r="AH1443" s="5">
        <v>1</v>
      </c>
      <c r="AI1443" s="5">
        <v>9</v>
      </c>
    </row>
    <row r="1444" spans="1:35" x14ac:dyDescent="0.25">
      <c r="A1444" s="5">
        <v>29</v>
      </c>
      <c r="B1444" s="5" t="s">
        <v>35</v>
      </c>
      <c r="C1444" s="5" t="s">
        <v>36</v>
      </c>
      <c r="D1444" s="5">
        <v>1092</v>
      </c>
      <c r="E1444" s="5" t="s">
        <v>45</v>
      </c>
      <c r="F1444" s="5">
        <v>1</v>
      </c>
      <c r="G1444" s="5">
        <v>4</v>
      </c>
      <c r="H1444" s="5" t="s">
        <v>51</v>
      </c>
      <c r="I1444" s="5">
        <v>1</v>
      </c>
      <c r="J1444" s="5">
        <v>2027</v>
      </c>
      <c r="K1444" s="5">
        <v>1</v>
      </c>
      <c r="L1444" s="5" t="s">
        <v>46</v>
      </c>
      <c r="M1444" s="5">
        <v>36</v>
      </c>
      <c r="N1444" s="5">
        <v>3</v>
      </c>
      <c r="O1444" s="5">
        <v>1</v>
      </c>
      <c r="P1444" s="5" t="s">
        <v>47</v>
      </c>
      <c r="Q1444" s="5">
        <v>4</v>
      </c>
      <c r="R1444" s="5" t="s">
        <v>48</v>
      </c>
      <c r="S1444" s="5">
        <v>4787</v>
      </c>
      <c r="T1444" s="5">
        <v>26124</v>
      </c>
      <c r="U1444" s="5">
        <v>9</v>
      </c>
      <c r="V1444" s="5" t="s">
        <v>42</v>
      </c>
      <c r="W1444" s="5" t="s">
        <v>35</v>
      </c>
      <c r="X1444" s="5">
        <v>14</v>
      </c>
      <c r="Y1444" s="5">
        <v>3</v>
      </c>
      <c r="Z1444" s="5">
        <v>2</v>
      </c>
      <c r="AA1444" s="5">
        <v>80</v>
      </c>
      <c r="AB1444" s="5">
        <v>3</v>
      </c>
      <c r="AC1444" s="5">
        <v>4</v>
      </c>
      <c r="AD1444" s="5">
        <v>3</v>
      </c>
      <c r="AE1444" s="5">
        <v>4</v>
      </c>
      <c r="AF1444" s="5">
        <v>2</v>
      </c>
      <c r="AG1444" s="5">
        <v>2</v>
      </c>
      <c r="AH1444" s="5">
        <v>2</v>
      </c>
      <c r="AI1444" s="5">
        <v>2</v>
      </c>
    </row>
    <row r="1445" spans="1:35" x14ac:dyDescent="0.25">
      <c r="A1445" s="5">
        <v>42</v>
      </c>
      <c r="B1445" s="5" t="s">
        <v>43</v>
      </c>
      <c r="C1445" s="5" t="s">
        <v>36</v>
      </c>
      <c r="D1445" s="5">
        <v>300</v>
      </c>
      <c r="E1445" s="5" t="s">
        <v>45</v>
      </c>
      <c r="F1445" s="5">
        <v>2</v>
      </c>
      <c r="G1445" s="5">
        <v>3</v>
      </c>
      <c r="H1445" s="5" t="s">
        <v>38</v>
      </c>
      <c r="I1445" s="5">
        <v>1</v>
      </c>
      <c r="J1445" s="5">
        <v>2031</v>
      </c>
      <c r="K1445" s="5">
        <v>1</v>
      </c>
      <c r="L1445" s="5" t="s">
        <v>46</v>
      </c>
      <c r="M1445" s="5">
        <v>56</v>
      </c>
      <c r="N1445" s="5">
        <v>3</v>
      </c>
      <c r="O1445" s="5">
        <v>5</v>
      </c>
      <c r="P1445" s="5" t="s">
        <v>56</v>
      </c>
      <c r="Q1445" s="5">
        <v>3</v>
      </c>
      <c r="R1445" s="5" t="s">
        <v>48</v>
      </c>
      <c r="S1445" s="5">
        <v>18880</v>
      </c>
      <c r="T1445" s="5">
        <v>17312</v>
      </c>
      <c r="U1445" s="5">
        <v>5</v>
      </c>
      <c r="V1445" s="5" t="s">
        <v>42</v>
      </c>
      <c r="W1445" s="5" t="s">
        <v>43</v>
      </c>
      <c r="X1445" s="5">
        <v>11</v>
      </c>
      <c r="Y1445" s="5">
        <v>3</v>
      </c>
      <c r="Z1445" s="5">
        <v>1</v>
      </c>
      <c r="AA1445" s="5">
        <v>80</v>
      </c>
      <c r="AB1445" s="5">
        <v>0</v>
      </c>
      <c r="AC1445" s="5">
        <v>24</v>
      </c>
      <c r="AD1445" s="5">
        <v>2</v>
      </c>
      <c r="AE1445" s="5">
        <v>2</v>
      </c>
      <c r="AF1445" s="5">
        <v>22</v>
      </c>
      <c r="AG1445" s="5">
        <v>6</v>
      </c>
      <c r="AH1445" s="5">
        <v>4</v>
      </c>
      <c r="AI1445" s="5">
        <v>14</v>
      </c>
    </row>
    <row r="1446" spans="1:35" x14ac:dyDescent="0.25">
      <c r="A1446" s="5">
        <v>56</v>
      </c>
      <c r="B1446" s="5" t="s">
        <v>35</v>
      </c>
      <c r="C1446" s="5" t="s">
        <v>36</v>
      </c>
      <c r="D1446" s="5">
        <v>310</v>
      </c>
      <c r="E1446" s="5" t="s">
        <v>45</v>
      </c>
      <c r="F1446" s="5">
        <v>7</v>
      </c>
      <c r="G1446" s="5">
        <v>2</v>
      </c>
      <c r="H1446" s="5" t="s">
        <v>60</v>
      </c>
      <c r="I1446" s="5">
        <v>1</v>
      </c>
      <c r="J1446" s="5">
        <v>2032</v>
      </c>
      <c r="K1446" s="5">
        <v>4</v>
      </c>
      <c r="L1446" s="5" t="s">
        <v>46</v>
      </c>
      <c r="M1446" s="5">
        <v>72</v>
      </c>
      <c r="N1446" s="5">
        <v>3</v>
      </c>
      <c r="O1446" s="5">
        <v>1</v>
      </c>
      <c r="P1446" s="5" t="s">
        <v>50</v>
      </c>
      <c r="Q1446" s="5">
        <v>3</v>
      </c>
      <c r="R1446" s="5" t="s">
        <v>48</v>
      </c>
      <c r="S1446" s="5">
        <v>2339</v>
      </c>
      <c r="T1446" s="5">
        <v>3666</v>
      </c>
      <c r="U1446" s="5">
        <v>8</v>
      </c>
      <c r="V1446" s="5" t="s">
        <v>42</v>
      </c>
      <c r="W1446" s="5" t="s">
        <v>43</v>
      </c>
      <c r="X1446" s="5">
        <v>11</v>
      </c>
      <c r="Y1446" s="5">
        <v>3</v>
      </c>
      <c r="Z1446" s="5">
        <v>4</v>
      </c>
      <c r="AA1446" s="5">
        <v>80</v>
      </c>
      <c r="AB1446" s="5">
        <v>1</v>
      </c>
      <c r="AC1446" s="5">
        <v>14</v>
      </c>
      <c r="AD1446" s="5">
        <v>4</v>
      </c>
      <c r="AE1446" s="5">
        <v>1</v>
      </c>
      <c r="AF1446" s="5">
        <v>10</v>
      </c>
      <c r="AG1446" s="5">
        <v>9</v>
      </c>
      <c r="AH1446" s="5">
        <v>9</v>
      </c>
      <c r="AI1446" s="5">
        <v>8</v>
      </c>
    </row>
    <row r="1447" spans="1:35" x14ac:dyDescent="0.25">
      <c r="A1447" s="5">
        <v>41</v>
      </c>
      <c r="B1447" s="5" t="s">
        <v>43</v>
      </c>
      <c r="C1447" s="5" t="s">
        <v>36</v>
      </c>
      <c r="D1447" s="5">
        <v>582</v>
      </c>
      <c r="E1447" s="5" t="s">
        <v>45</v>
      </c>
      <c r="F1447" s="5">
        <v>28</v>
      </c>
      <c r="G1447" s="5">
        <v>4</v>
      </c>
      <c r="H1447" s="5" t="s">
        <v>38</v>
      </c>
      <c r="I1447" s="5">
        <v>1</v>
      </c>
      <c r="J1447" s="5">
        <v>2034</v>
      </c>
      <c r="K1447" s="5">
        <v>1</v>
      </c>
      <c r="L1447" s="5" t="s">
        <v>39</v>
      </c>
      <c r="M1447" s="5">
        <v>60</v>
      </c>
      <c r="N1447" s="5">
        <v>2</v>
      </c>
      <c r="O1447" s="5">
        <v>4</v>
      </c>
      <c r="P1447" s="5" t="s">
        <v>53</v>
      </c>
      <c r="Q1447" s="5">
        <v>2</v>
      </c>
      <c r="R1447" s="5" t="s">
        <v>48</v>
      </c>
      <c r="S1447" s="5">
        <v>13570</v>
      </c>
      <c r="T1447" s="5">
        <v>5640</v>
      </c>
      <c r="U1447" s="5">
        <v>0</v>
      </c>
      <c r="V1447" s="5" t="s">
        <v>42</v>
      </c>
      <c r="W1447" s="5" t="s">
        <v>43</v>
      </c>
      <c r="X1447" s="5">
        <v>23</v>
      </c>
      <c r="Y1447" s="5">
        <v>4</v>
      </c>
      <c r="Z1447" s="5">
        <v>3</v>
      </c>
      <c r="AA1447" s="5">
        <v>80</v>
      </c>
      <c r="AB1447" s="5">
        <v>1</v>
      </c>
      <c r="AC1447" s="5">
        <v>21</v>
      </c>
      <c r="AD1447" s="5">
        <v>3</v>
      </c>
      <c r="AE1447" s="5">
        <v>3</v>
      </c>
      <c r="AF1447" s="5">
        <v>20</v>
      </c>
      <c r="AG1447" s="5">
        <v>7</v>
      </c>
      <c r="AH1447" s="5">
        <v>0</v>
      </c>
      <c r="AI1447" s="5">
        <v>10</v>
      </c>
    </row>
    <row r="1448" spans="1:35" x14ac:dyDescent="0.25">
      <c r="A1448" s="5">
        <v>34</v>
      </c>
      <c r="B1448" s="5" t="s">
        <v>43</v>
      </c>
      <c r="C1448" s="5" t="s">
        <v>36</v>
      </c>
      <c r="D1448" s="5">
        <v>704</v>
      </c>
      <c r="E1448" s="5" t="s">
        <v>37</v>
      </c>
      <c r="F1448" s="5">
        <v>28</v>
      </c>
      <c r="G1448" s="5">
        <v>3</v>
      </c>
      <c r="H1448" s="5" t="s">
        <v>59</v>
      </c>
      <c r="I1448" s="5">
        <v>1</v>
      </c>
      <c r="J1448" s="5">
        <v>2035</v>
      </c>
      <c r="K1448" s="5">
        <v>4</v>
      </c>
      <c r="L1448" s="5" t="s">
        <v>39</v>
      </c>
      <c r="M1448" s="5">
        <v>95</v>
      </c>
      <c r="N1448" s="5">
        <v>2</v>
      </c>
      <c r="O1448" s="5">
        <v>2</v>
      </c>
      <c r="P1448" s="5" t="s">
        <v>40</v>
      </c>
      <c r="Q1448" s="5">
        <v>3</v>
      </c>
      <c r="R1448" s="5" t="s">
        <v>48</v>
      </c>
      <c r="S1448" s="5">
        <v>6712</v>
      </c>
      <c r="T1448" s="5">
        <v>8978</v>
      </c>
      <c r="U1448" s="5">
        <v>1</v>
      </c>
      <c r="V1448" s="5" t="s">
        <v>42</v>
      </c>
      <c r="W1448" s="5" t="s">
        <v>43</v>
      </c>
      <c r="X1448" s="5">
        <v>21</v>
      </c>
      <c r="Y1448" s="5">
        <v>4</v>
      </c>
      <c r="Z1448" s="5">
        <v>4</v>
      </c>
      <c r="AA1448" s="5">
        <v>80</v>
      </c>
      <c r="AB1448" s="5">
        <v>2</v>
      </c>
      <c r="AC1448" s="5">
        <v>8</v>
      </c>
      <c r="AD1448" s="5">
        <v>2</v>
      </c>
      <c r="AE1448" s="5">
        <v>3</v>
      </c>
      <c r="AF1448" s="5">
        <v>8</v>
      </c>
      <c r="AG1448" s="5">
        <v>7</v>
      </c>
      <c r="AH1448" s="5">
        <v>1</v>
      </c>
      <c r="AI1448" s="5">
        <v>7</v>
      </c>
    </row>
    <row r="1449" spans="1:35" x14ac:dyDescent="0.25">
      <c r="A1449" s="5">
        <v>36</v>
      </c>
      <c r="B1449" s="5" t="s">
        <v>43</v>
      </c>
      <c r="C1449" s="5" t="s">
        <v>55</v>
      </c>
      <c r="D1449" s="5">
        <v>301</v>
      </c>
      <c r="E1449" s="5" t="s">
        <v>37</v>
      </c>
      <c r="F1449" s="5">
        <v>15</v>
      </c>
      <c r="G1449" s="5">
        <v>4</v>
      </c>
      <c r="H1449" s="5" t="s">
        <v>59</v>
      </c>
      <c r="I1449" s="5">
        <v>1</v>
      </c>
      <c r="J1449" s="5">
        <v>2036</v>
      </c>
      <c r="K1449" s="5">
        <v>4</v>
      </c>
      <c r="L1449" s="5" t="s">
        <v>46</v>
      </c>
      <c r="M1449" s="5">
        <v>88</v>
      </c>
      <c r="N1449" s="5">
        <v>1</v>
      </c>
      <c r="O1449" s="5">
        <v>2</v>
      </c>
      <c r="P1449" s="5" t="s">
        <v>40</v>
      </c>
      <c r="Q1449" s="5">
        <v>4</v>
      </c>
      <c r="R1449" s="5" t="s">
        <v>52</v>
      </c>
      <c r="S1449" s="5">
        <v>5406</v>
      </c>
      <c r="T1449" s="5">
        <v>10436</v>
      </c>
      <c r="U1449" s="5">
        <v>1</v>
      </c>
      <c r="V1449" s="5" t="s">
        <v>42</v>
      </c>
      <c r="W1449" s="5" t="s">
        <v>43</v>
      </c>
      <c r="X1449" s="5">
        <v>24</v>
      </c>
      <c r="Y1449" s="5">
        <v>4</v>
      </c>
      <c r="Z1449" s="5">
        <v>1</v>
      </c>
      <c r="AA1449" s="5">
        <v>80</v>
      </c>
      <c r="AB1449" s="5">
        <v>1</v>
      </c>
      <c r="AC1449" s="5">
        <v>15</v>
      </c>
      <c r="AD1449" s="5">
        <v>4</v>
      </c>
      <c r="AE1449" s="5">
        <v>2</v>
      </c>
      <c r="AF1449" s="5">
        <v>15</v>
      </c>
      <c r="AG1449" s="5">
        <v>12</v>
      </c>
      <c r="AH1449" s="5">
        <v>11</v>
      </c>
      <c r="AI1449" s="5">
        <v>11</v>
      </c>
    </row>
    <row r="1450" spans="1:35" x14ac:dyDescent="0.25">
      <c r="A1450" s="5">
        <v>41</v>
      </c>
      <c r="B1450" s="5" t="s">
        <v>43</v>
      </c>
      <c r="C1450" s="5" t="s">
        <v>36</v>
      </c>
      <c r="D1450" s="5">
        <v>930</v>
      </c>
      <c r="E1450" s="5" t="s">
        <v>37</v>
      </c>
      <c r="F1450" s="5">
        <v>3</v>
      </c>
      <c r="G1450" s="5">
        <v>3</v>
      </c>
      <c r="H1450" s="5" t="s">
        <v>38</v>
      </c>
      <c r="I1450" s="5">
        <v>1</v>
      </c>
      <c r="J1450" s="5">
        <v>2037</v>
      </c>
      <c r="K1450" s="5">
        <v>3</v>
      </c>
      <c r="L1450" s="5" t="s">
        <v>46</v>
      </c>
      <c r="M1450" s="5">
        <v>57</v>
      </c>
      <c r="N1450" s="5">
        <v>2</v>
      </c>
      <c r="O1450" s="5">
        <v>2</v>
      </c>
      <c r="P1450" s="5" t="s">
        <v>40</v>
      </c>
      <c r="Q1450" s="5">
        <v>2</v>
      </c>
      <c r="R1450" s="5" t="s">
        <v>52</v>
      </c>
      <c r="S1450" s="5">
        <v>8938</v>
      </c>
      <c r="T1450" s="5">
        <v>12227</v>
      </c>
      <c r="U1450" s="5">
        <v>2</v>
      </c>
      <c r="V1450" s="5" t="s">
        <v>42</v>
      </c>
      <c r="W1450" s="5" t="s">
        <v>43</v>
      </c>
      <c r="X1450" s="5">
        <v>11</v>
      </c>
      <c r="Y1450" s="5">
        <v>3</v>
      </c>
      <c r="Z1450" s="5">
        <v>3</v>
      </c>
      <c r="AA1450" s="5">
        <v>80</v>
      </c>
      <c r="AB1450" s="5">
        <v>1</v>
      </c>
      <c r="AC1450" s="5">
        <v>14</v>
      </c>
      <c r="AD1450" s="5">
        <v>5</v>
      </c>
      <c r="AE1450" s="5">
        <v>3</v>
      </c>
      <c r="AF1450" s="5">
        <v>5</v>
      </c>
      <c r="AG1450" s="5">
        <v>4</v>
      </c>
      <c r="AH1450" s="5">
        <v>0</v>
      </c>
      <c r="AI1450" s="5">
        <v>4</v>
      </c>
    </row>
    <row r="1451" spans="1:35" x14ac:dyDescent="0.25">
      <c r="A1451" s="5">
        <v>32</v>
      </c>
      <c r="B1451" s="5" t="s">
        <v>43</v>
      </c>
      <c r="C1451" s="5" t="s">
        <v>36</v>
      </c>
      <c r="D1451" s="5">
        <v>529</v>
      </c>
      <c r="E1451" s="5" t="s">
        <v>45</v>
      </c>
      <c r="F1451" s="5">
        <v>2</v>
      </c>
      <c r="G1451" s="5">
        <v>3</v>
      </c>
      <c r="H1451" s="5" t="s">
        <v>60</v>
      </c>
      <c r="I1451" s="5">
        <v>1</v>
      </c>
      <c r="J1451" s="5">
        <v>2038</v>
      </c>
      <c r="K1451" s="5">
        <v>4</v>
      </c>
      <c r="L1451" s="5" t="s">
        <v>46</v>
      </c>
      <c r="M1451" s="5">
        <v>78</v>
      </c>
      <c r="N1451" s="5">
        <v>3</v>
      </c>
      <c r="O1451" s="5">
        <v>1</v>
      </c>
      <c r="P1451" s="5" t="s">
        <v>47</v>
      </c>
      <c r="Q1451" s="5">
        <v>1</v>
      </c>
      <c r="R1451" s="5" t="s">
        <v>41</v>
      </c>
      <c r="S1451" s="5">
        <v>2439</v>
      </c>
      <c r="T1451" s="5">
        <v>11288</v>
      </c>
      <c r="U1451" s="5">
        <v>1</v>
      </c>
      <c r="V1451" s="5" t="s">
        <v>42</v>
      </c>
      <c r="W1451" s="5" t="s">
        <v>43</v>
      </c>
      <c r="X1451" s="5">
        <v>14</v>
      </c>
      <c r="Y1451" s="5">
        <v>3</v>
      </c>
      <c r="Z1451" s="5">
        <v>4</v>
      </c>
      <c r="AA1451" s="5">
        <v>80</v>
      </c>
      <c r="AB1451" s="5">
        <v>0</v>
      </c>
      <c r="AC1451" s="5">
        <v>4</v>
      </c>
      <c r="AD1451" s="5">
        <v>4</v>
      </c>
      <c r="AE1451" s="5">
        <v>3</v>
      </c>
      <c r="AF1451" s="5">
        <v>4</v>
      </c>
      <c r="AG1451" s="5">
        <v>2</v>
      </c>
      <c r="AH1451" s="5">
        <v>1</v>
      </c>
      <c r="AI1451" s="5">
        <v>2</v>
      </c>
    </row>
    <row r="1452" spans="1:35" x14ac:dyDescent="0.25">
      <c r="A1452" s="5">
        <v>35</v>
      </c>
      <c r="B1452" s="5" t="s">
        <v>43</v>
      </c>
      <c r="C1452" s="5" t="s">
        <v>36</v>
      </c>
      <c r="D1452" s="5">
        <v>1146</v>
      </c>
      <c r="E1452" s="5" t="s">
        <v>61</v>
      </c>
      <c r="F1452" s="5">
        <v>26</v>
      </c>
      <c r="G1452" s="5">
        <v>4</v>
      </c>
      <c r="H1452" s="5" t="s">
        <v>38</v>
      </c>
      <c r="I1452" s="5">
        <v>1</v>
      </c>
      <c r="J1452" s="5">
        <v>2040</v>
      </c>
      <c r="K1452" s="5">
        <v>3</v>
      </c>
      <c r="L1452" s="5" t="s">
        <v>39</v>
      </c>
      <c r="M1452" s="5">
        <v>31</v>
      </c>
      <c r="N1452" s="5">
        <v>3</v>
      </c>
      <c r="O1452" s="5">
        <v>3</v>
      </c>
      <c r="P1452" s="5" t="s">
        <v>61</v>
      </c>
      <c r="Q1452" s="5">
        <v>4</v>
      </c>
      <c r="R1452" s="5" t="s">
        <v>41</v>
      </c>
      <c r="S1452" s="5">
        <v>8837</v>
      </c>
      <c r="T1452" s="5">
        <v>16642</v>
      </c>
      <c r="U1452" s="5">
        <v>1</v>
      </c>
      <c r="V1452" s="5" t="s">
        <v>42</v>
      </c>
      <c r="W1452" s="5" t="s">
        <v>35</v>
      </c>
      <c r="X1452" s="5">
        <v>16</v>
      </c>
      <c r="Y1452" s="5">
        <v>3</v>
      </c>
      <c r="Z1452" s="5">
        <v>3</v>
      </c>
      <c r="AA1452" s="5">
        <v>80</v>
      </c>
      <c r="AB1452" s="5">
        <v>0</v>
      </c>
      <c r="AC1452" s="5">
        <v>9</v>
      </c>
      <c r="AD1452" s="5">
        <v>2</v>
      </c>
      <c r="AE1452" s="5">
        <v>3</v>
      </c>
      <c r="AF1452" s="5">
        <v>9</v>
      </c>
      <c r="AG1452" s="5">
        <v>0</v>
      </c>
      <c r="AH1452" s="5">
        <v>1</v>
      </c>
      <c r="AI1452" s="5">
        <v>7</v>
      </c>
    </row>
    <row r="1453" spans="1:35" x14ac:dyDescent="0.25">
      <c r="A1453" s="5">
        <v>38</v>
      </c>
      <c r="B1453" s="5" t="s">
        <v>43</v>
      </c>
      <c r="C1453" s="5" t="s">
        <v>36</v>
      </c>
      <c r="D1453" s="5">
        <v>345</v>
      </c>
      <c r="E1453" s="5" t="s">
        <v>37</v>
      </c>
      <c r="F1453" s="5">
        <v>10</v>
      </c>
      <c r="G1453" s="5">
        <v>2</v>
      </c>
      <c r="H1453" s="5" t="s">
        <v>38</v>
      </c>
      <c r="I1453" s="5">
        <v>1</v>
      </c>
      <c r="J1453" s="5">
        <v>2041</v>
      </c>
      <c r="K1453" s="5">
        <v>1</v>
      </c>
      <c r="L1453" s="5" t="s">
        <v>39</v>
      </c>
      <c r="M1453" s="5">
        <v>100</v>
      </c>
      <c r="N1453" s="5">
        <v>3</v>
      </c>
      <c r="O1453" s="5">
        <v>2</v>
      </c>
      <c r="P1453" s="5" t="s">
        <v>40</v>
      </c>
      <c r="Q1453" s="5">
        <v>4</v>
      </c>
      <c r="R1453" s="5" t="s">
        <v>48</v>
      </c>
      <c r="S1453" s="5">
        <v>5343</v>
      </c>
      <c r="T1453" s="5">
        <v>5982</v>
      </c>
      <c r="U1453" s="5">
        <v>1</v>
      </c>
      <c r="V1453" s="5" t="s">
        <v>42</v>
      </c>
      <c r="W1453" s="5" t="s">
        <v>43</v>
      </c>
      <c r="X1453" s="5">
        <v>11</v>
      </c>
      <c r="Y1453" s="5">
        <v>3</v>
      </c>
      <c r="Z1453" s="5">
        <v>3</v>
      </c>
      <c r="AA1453" s="5">
        <v>80</v>
      </c>
      <c r="AB1453" s="5">
        <v>1</v>
      </c>
      <c r="AC1453" s="5">
        <v>10</v>
      </c>
      <c r="AD1453" s="5">
        <v>1</v>
      </c>
      <c r="AE1453" s="5">
        <v>3</v>
      </c>
      <c r="AF1453" s="5">
        <v>10</v>
      </c>
      <c r="AG1453" s="5">
        <v>7</v>
      </c>
      <c r="AH1453" s="5">
        <v>1</v>
      </c>
      <c r="AI1453" s="5">
        <v>9</v>
      </c>
    </row>
    <row r="1454" spans="1:35" x14ac:dyDescent="0.25">
      <c r="A1454" s="5">
        <v>50</v>
      </c>
      <c r="B1454" s="5" t="s">
        <v>35</v>
      </c>
      <c r="C1454" s="5" t="s">
        <v>44</v>
      </c>
      <c r="D1454" s="5">
        <v>878</v>
      </c>
      <c r="E1454" s="5" t="s">
        <v>37</v>
      </c>
      <c r="F1454" s="5">
        <v>1</v>
      </c>
      <c r="G1454" s="5">
        <v>4</v>
      </c>
      <c r="H1454" s="5" t="s">
        <v>38</v>
      </c>
      <c r="I1454" s="5">
        <v>1</v>
      </c>
      <c r="J1454" s="5">
        <v>2044</v>
      </c>
      <c r="K1454" s="5">
        <v>2</v>
      </c>
      <c r="L1454" s="5" t="s">
        <v>46</v>
      </c>
      <c r="M1454" s="5">
        <v>94</v>
      </c>
      <c r="N1454" s="5">
        <v>3</v>
      </c>
      <c r="O1454" s="5">
        <v>2</v>
      </c>
      <c r="P1454" s="5" t="s">
        <v>40</v>
      </c>
      <c r="Q1454" s="5">
        <v>3</v>
      </c>
      <c r="R1454" s="5" t="s">
        <v>52</v>
      </c>
      <c r="S1454" s="5">
        <v>6728</v>
      </c>
      <c r="T1454" s="5">
        <v>14255</v>
      </c>
      <c r="U1454" s="5">
        <v>7</v>
      </c>
      <c r="V1454" s="5" t="s">
        <v>42</v>
      </c>
      <c r="W1454" s="5" t="s">
        <v>43</v>
      </c>
      <c r="X1454" s="5">
        <v>12</v>
      </c>
      <c r="Y1454" s="5">
        <v>3</v>
      </c>
      <c r="Z1454" s="5">
        <v>4</v>
      </c>
      <c r="AA1454" s="5">
        <v>80</v>
      </c>
      <c r="AB1454" s="5">
        <v>2</v>
      </c>
      <c r="AC1454" s="5">
        <v>12</v>
      </c>
      <c r="AD1454" s="5">
        <v>3</v>
      </c>
      <c r="AE1454" s="5">
        <v>3</v>
      </c>
      <c r="AF1454" s="5">
        <v>6</v>
      </c>
      <c r="AG1454" s="5">
        <v>3</v>
      </c>
      <c r="AH1454" s="5">
        <v>0</v>
      </c>
      <c r="AI1454" s="5">
        <v>1</v>
      </c>
    </row>
    <row r="1455" spans="1:35" x14ac:dyDescent="0.25">
      <c r="A1455" s="5">
        <v>36</v>
      </c>
      <c r="B1455" s="5" t="s">
        <v>43</v>
      </c>
      <c r="C1455" s="5" t="s">
        <v>36</v>
      </c>
      <c r="D1455" s="5">
        <v>1120</v>
      </c>
      <c r="E1455" s="5" t="s">
        <v>37</v>
      </c>
      <c r="F1455" s="5">
        <v>11</v>
      </c>
      <c r="G1455" s="5">
        <v>4</v>
      </c>
      <c r="H1455" s="5" t="s">
        <v>59</v>
      </c>
      <c r="I1455" s="5">
        <v>1</v>
      </c>
      <c r="J1455" s="5">
        <v>2045</v>
      </c>
      <c r="K1455" s="5">
        <v>2</v>
      </c>
      <c r="L1455" s="5" t="s">
        <v>39</v>
      </c>
      <c r="M1455" s="5">
        <v>100</v>
      </c>
      <c r="N1455" s="5">
        <v>2</v>
      </c>
      <c r="O1455" s="5">
        <v>2</v>
      </c>
      <c r="P1455" s="5" t="s">
        <v>40</v>
      </c>
      <c r="Q1455" s="5">
        <v>4</v>
      </c>
      <c r="R1455" s="5" t="s">
        <v>48</v>
      </c>
      <c r="S1455" s="5">
        <v>6652</v>
      </c>
      <c r="T1455" s="5">
        <v>14369</v>
      </c>
      <c r="U1455" s="5">
        <v>4</v>
      </c>
      <c r="V1455" s="5" t="s">
        <v>42</v>
      </c>
      <c r="W1455" s="5" t="s">
        <v>43</v>
      </c>
      <c r="X1455" s="5">
        <v>13</v>
      </c>
      <c r="Y1455" s="5">
        <v>3</v>
      </c>
      <c r="Z1455" s="5">
        <v>1</v>
      </c>
      <c r="AA1455" s="5">
        <v>80</v>
      </c>
      <c r="AB1455" s="5">
        <v>1</v>
      </c>
      <c r="AC1455" s="5">
        <v>8</v>
      </c>
      <c r="AD1455" s="5">
        <v>2</v>
      </c>
      <c r="AE1455" s="5">
        <v>2</v>
      </c>
      <c r="AF1455" s="5">
        <v>6</v>
      </c>
      <c r="AG1455" s="5">
        <v>3</v>
      </c>
      <c r="AH1455" s="5">
        <v>0</v>
      </c>
      <c r="AI1455" s="5">
        <v>0</v>
      </c>
    </row>
    <row r="1456" spans="1:35" x14ac:dyDescent="0.25">
      <c r="A1456" s="5">
        <v>45</v>
      </c>
      <c r="B1456" s="5" t="s">
        <v>43</v>
      </c>
      <c r="C1456" s="5" t="s">
        <v>36</v>
      </c>
      <c r="D1456" s="5">
        <v>374</v>
      </c>
      <c r="E1456" s="5" t="s">
        <v>37</v>
      </c>
      <c r="F1456" s="5">
        <v>20</v>
      </c>
      <c r="G1456" s="5">
        <v>3</v>
      </c>
      <c r="H1456" s="5" t="s">
        <v>38</v>
      </c>
      <c r="I1456" s="5">
        <v>1</v>
      </c>
      <c r="J1456" s="5">
        <v>2046</v>
      </c>
      <c r="K1456" s="5">
        <v>4</v>
      </c>
      <c r="L1456" s="5" t="s">
        <v>39</v>
      </c>
      <c r="M1456" s="5">
        <v>50</v>
      </c>
      <c r="N1456" s="5">
        <v>3</v>
      </c>
      <c r="O1456" s="5">
        <v>2</v>
      </c>
      <c r="P1456" s="5" t="s">
        <v>40</v>
      </c>
      <c r="Q1456" s="5">
        <v>3</v>
      </c>
      <c r="R1456" s="5" t="s">
        <v>41</v>
      </c>
      <c r="S1456" s="5">
        <v>4850</v>
      </c>
      <c r="T1456" s="5">
        <v>23333</v>
      </c>
      <c r="U1456" s="5">
        <v>8</v>
      </c>
      <c r="V1456" s="5" t="s">
        <v>42</v>
      </c>
      <c r="W1456" s="5" t="s">
        <v>43</v>
      </c>
      <c r="X1456" s="5">
        <v>15</v>
      </c>
      <c r="Y1456" s="5">
        <v>3</v>
      </c>
      <c r="Z1456" s="5">
        <v>3</v>
      </c>
      <c r="AA1456" s="5">
        <v>80</v>
      </c>
      <c r="AB1456" s="5">
        <v>0</v>
      </c>
      <c r="AC1456" s="5">
        <v>8</v>
      </c>
      <c r="AD1456" s="5">
        <v>3</v>
      </c>
      <c r="AE1456" s="5">
        <v>3</v>
      </c>
      <c r="AF1456" s="5">
        <v>5</v>
      </c>
      <c r="AG1456" s="5">
        <v>3</v>
      </c>
      <c r="AH1456" s="5">
        <v>0</v>
      </c>
      <c r="AI1456" s="5">
        <v>1</v>
      </c>
    </row>
    <row r="1457" spans="1:35" x14ac:dyDescent="0.25">
      <c r="A1457" s="5">
        <v>40</v>
      </c>
      <c r="B1457" s="5" t="s">
        <v>43</v>
      </c>
      <c r="C1457" s="5" t="s">
        <v>36</v>
      </c>
      <c r="D1457" s="5">
        <v>1322</v>
      </c>
      <c r="E1457" s="5" t="s">
        <v>45</v>
      </c>
      <c r="F1457" s="5">
        <v>2</v>
      </c>
      <c r="G1457" s="5">
        <v>4</v>
      </c>
      <c r="H1457" s="5" t="s">
        <v>38</v>
      </c>
      <c r="I1457" s="5">
        <v>1</v>
      </c>
      <c r="J1457" s="5">
        <v>2048</v>
      </c>
      <c r="K1457" s="5">
        <v>3</v>
      </c>
      <c r="L1457" s="5" t="s">
        <v>46</v>
      </c>
      <c r="M1457" s="5">
        <v>52</v>
      </c>
      <c r="N1457" s="5">
        <v>2</v>
      </c>
      <c r="O1457" s="5">
        <v>1</v>
      </c>
      <c r="P1457" s="5" t="s">
        <v>47</v>
      </c>
      <c r="Q1457" s="5">
        <v>3</v>
      </c>
      <c r="R1457" s="5" t="s">
        <v>41</v>
      </c>
      <c r="S1457" s="5">
        <v>2809</v>
      </c>
      <c r="T1457" s="5">
        <v>2725</v>
      </c>
      <c r="U1457" s="5">
        <v>2</v>
      </c>
      <c r="V1457" s="5" t="s">
        <v>42</v>
      </c>
      <c r="W1457" s="5" t="s">
        <v>43</v>
      </c>
      <c r="X1457" s="5">
        <v>14</v>
      </c>
      <c r="Y1457" s="5">
        <v>3</v>
      </c>
      <c r="Z1457" s="5">
        <v>4</v>
      </c>
      <c r="AA1457" s="5">
        <v>80</v>
      </c>
      <c r="AB1457" s="5">
        <v>0</v>
      </c>
      <c r="AC1457" s="5">
        <v>8</v>
      </c>
      <c r="AD1457" s="5">
        <v>2</v>
      </c>
      <c r="AE1457" s="5">
        <v>3</v>
      </c>
      <c r="AF1457" s="5">
        <v>2</v>
      </c>
      <c r="AG1457" s="5">
        <v>2</v>
      </c>
      <c r="AH1457" s="5">
        <v>2</v>
      </c>
      <c r="AI1457" s="5">
        <v>2</v>
      </c>
    </row>
    <row r="1458" spans="1:35" x14ac:dyDescent="0.25">
      <c r="A1458" s="5">
        <v>35</v>
      </c>
      <c r="B1458" s="5" t="s">
        <v>43</v>
      </c>
      <c r="C1458" s="5" t="s">
        <v>44</v>
      </c>
      <c r="D1458" s="5">
        <v>1199</v>
      </c>
      <c r="E1458" s="5" t="s">
        <v>45</v>
      </c>
      <c r="F1458" s="5">
        <v>18</v>
      </c>
      <c r="G1458" s="5">
        <v>4</v>
      </c>
      <c r="H1458" s="5" t="s">
        <v>38</v>
      </c>
      <c r="I1458" s="5">
        <v>1</v>
      </c>
      <c r="J1458" s="5">
        <v>2049</v>
      </c>
      <c r="K1458" s="5">
        <v>3</v>
      </c>
      <c r="L1458" s="5" t="s">
        <v>46</v>
      </c>
      <c r="M1458" s="5">
        <v>80</v>
      </c>
      <c r="N1458" s="5">
        <v>3</v>
      </c>
      <c r="O1458" s="5">
        <v>2</v>
      </c>
      <c r="P1458" s="5" t="s">
        <v>54</v>
      </c>
      <c r="Q1458" s="5">
        <v>3</v>
      </c>
      <c r="R1458" s="5" t="s">
        <v>48</v>
      </c>
      <c r="S1458" s="5">
        <v>5689</v>
      </c>
      <c r="T1458" s="5">
        <v>24594</v>
      </c>
      <c r="U1458" s="5">
        <v>1</v>
      </c>
      <c r="V1458" s="5" t="s">
        <v>42</v>
      </c>
      <c r="W1458" s="5" t="s">
        <v>35</v>
      </c>
      <c r="X1458" s="5">
        <v>14</v>
      </c>
      <c r="Y1458" s="5">
        <v>3</v>
      </c>
      <c r="Z1458" s="5">
        <v>4</v>
      </c>
      <c r="AA1458" s="5">
        <v>80</v>
      </c>
      <c r="AB1458" s="5">
        <v>2</v>
      </c>
      <c r="AC1458" s="5">
        <v>10</v>
      </c>
      <c r="AD1458" s="5">
        <v>2</v>
      </c>
      <c r="AE1458" s="5">
        <v>4</v>
      </c>
      <c r="AF1458" s="5">
        <v>10</v>
      </c>
      <c r="AG1458" s="5">
        <v>2</v>
      </c>
      <c r="AH1458" s="5">
        <v>0</v>
      </c>
      <c r="AI1458" s="5">
        <v>2</v>
      </c>
    </row>
    <row r="1459" spans="1:35" x14ac:dyDescent="0.25">
      <c r="A1459" s="5">
        <v>40</v>
      </c>
      <c r="B1459" s="5" t="s">
        <v>43</v>
      </c>
      <c r="C1459" s="5" t="s">
        <v>36</v>
      </c>
      <c r="D1459" s="5">
        <v>1194</v>
      </c>
      <c r="E1459" s="5" t="s">
        <v>45</v>
      </c>
      <c r="F1459" s="5">
        <v>2</v>
      </c>
      <c r="G1459" s="5">
        <v>4</v>
      </c>
      <c r="H1459" s="5" t="s">
        <v>51</v>
      </c>
      <c r="I1459" s="5">
        <v>1</v>
      </c>
      <c r="J1459" s="5">
        <v>2051</v>
      </c>
      <c r="K1459" s="5">
        <v>3</v>
      </c>
      <c r="L1459" s="5" t="s">
        <v>39</v>
      </c>
      <c r="M1459" s="5">
        <v>98</v>
      </c>
      <c r="N1459" s="5">
        <v>3</v>
      </c>
      <c r="O1459" s="5">
        <v>1</v>
      </c>
      <c r="P1459" s="5" t="s">
        <v>47</v>
      </c>
      <c r="Q1459" s="5">
        <v>3</v>
      </c>
      <c r="R1459" s="5" t="s">
        <v>48</v>
      </c>
      <c r="S1459" s="5">
        <v>2001</v>
      </c>
      <c r="T1459" s="5">
        <v>12549</v>
      </c>
      <c r="U1459" s="5">
        <v>2</v>
      </c>
      <c r="V1459" s="5" t="s">
        <v>42</v>
      </c>
      <c r="W1459" s="5" t="s">
        <v>43</v>
      </c>
      <c r="X1459" s="5">
        <v>14</v>
      </c>
      <c r="Y1459" s="5">
        <v>3</v>
      </c>
      <c r="Z1459" s="5">
        <v>2</v>
      </c>
      <c r="AA1459" s="5">
        <v>80</v>
      </c>
      <c r="AB1459" s="5">
        <v>3</v>
      </c>
      <c r="AC1459" s="5">
        <v>20</v>
      </c>
      <c r="AD1459" s="5">
        <v>2</v>
      </c>
      <c r="AE1459" s="5">
        <v>3</v>
      </c>
      <c r="AF1459" s="5">
        <v>5</v>
      </c>
      <c r="AG1459" s="5">
        <v>3</v>
      </c>
      <c r="AH1459" s="5">
        <v>0</v>
      </c>
      <c r="AI1459" s="5">
        <v>2</v>
      </c>
    </row>
    <row r="1460" spans="1:35" x14ac:dyDescent="0.25">
      <c r="A1460" s="5">
        <v>35</v>
      </c>
      <c r="B1460" s="5" t="s">
        <v>43</v>
      </c>
      <c r="C1460" s="5" t="s">
        <v>36</v>
      </c>
      <c r="D1460" s="5">
        <v>287</v>
      </c>
      <c r="E1460" s="5" t="s">
        <v>45</v>
      </c>
      <c r="F1460" s="5">
        <v>1</v>
      </c>
      <c r="G1460" s="5">
        <v>4</v>
      </c>
      <c r="H1460" s="5" t="s">
        <v>38</v>
      </c>
      <c r="I1460" s="5">
        <v>1</v>
      </c>
      <c r="J1460" s="5">
        <v>2052</v>
      </c>
      <c r="K1460" s="5">
        <v>3</v>
      </c>
      <c r="L1460" s="5" t="s">
        <v>39</v>
      </c>
      <c r="M1460" s="5">
        <v>62</v>
      </c>
      <c r="N1460" s="5">
        <v>1</v>
      </c>
      <c r="O1460" s="5">
        <v>1</v>
      </c>
      <c r="P1460" s="5" t="s">
        <v>47</v>
      </c>
      <c r="Q1460" s="5">
        <v>4</v>
      </c>
      <c r="R1460" s="5" t="s">
        <v>48</v>
      </c>
      <c r="S1460" s="5">
        <v>2977</v>
      </c>
      <c r="T1460" s="5">
        <v>8952</v>
      </c>
      <c r="U1460" s="5">
        <v>1</v>
      </c>
      <c r="V1460" s="5" t="s">
        <v>42</v>
      </c>
      <c r="W1460" s="5" t="s">
        <v>43</v>
      </c>
      <c r="X1460" s="5">
        <v>12</v>
      </c>
      <c r="Y1460" s="5">
        <v>3</v>
      </c>
      <c r="Z1460" s="5">
        <v>4</v>
      </c>
      <c r="AA1460" s="5">
        <v>80</v>
      </c>
      <c r="AB1460" s="5">
        <v>1</v>
      </c>
      <c r="AC1460" s="5">
        <v>4</v>
      </c>
      <c r="AD1460" s="5">
        <v>5</v>
      </c>
      <c r="AE1460" s="5">
        <v>3</v>
      </c>
      <c r="AF1460" s="5">
        <v>4</v>
      </c>
      <c r="AG1460" s="5">
        <v>3</v>
      </c>
      <c r="AH1460" s="5">
        <v>1</v>
      </c>
      <c r="AI1460" s="5">
        <v>1</v>
      </c>
    </row>
    <row r="1461" spans="1:35" x14ac:dyDescent="0.25">
      <c r="A1461" s="5">
        <v>29</v>
      </c>
      <c r="B1461" s="5" t="s">
        <v>43</v>
      </c>
      <c r="C1461" s="5" t="s">
        <v>36</v>
      </c>
      <c r="D1461" s="5">
        <v>1378</v>
      </c>
      <c r="E1461" s="5" t="s">
        <v>45</v>
      </c>
      <c r="F1461" s="5">
        <v>13</v>
      </c>
      <c r="G1461" s="5">
        <v>2</v>
      </c>
      <c r="H1461" s="5" t="s">
        <v>49</v>
      </c>
      <c r="I1461" s="5">
        <v>1</v>
      </c>
      <c r="J1461" s="5">
        <v>2053</v>
      </c>
      <c r="K1461" s="5">
        <v>4</v>
      </c>
      <c r="L1461" s="5" t="s">
        <v>46</v>
      </c>
      <c r="M1461" s="5">
        <v>46</v>
      </c>
      <c r="N1461" s="5">
        <v>2</v>
      </c>
      <c r="O1461" s="5">
        <v>2</v>
      </c>
      <c r="P1461" s="5" t="s">
        <v>50</v>
      </c>
      <c r="Q1461" s="5">
        <v>2</v>
      </c>
      <c r="R1461" s="5" t="s">
        <v>48</v>
      </c>
      <c r="S1461" s="5">
        <v>4025</v>
      </c>
      <c r="T1461" s="5">
        <v>23679</v>
      </c>
      <c r="U1461" s="5">
        <v>4</v>
      </c>
      <c r="V1461" s="5" t="s">
        <v>42</v>
      </c>
      <c r="W1461" s="5" t="s">
        <v>35</v>
      </c>
      <c r="X1461" s="5">
        <v>13</v>
      </c>
      <c r="Y1461" s="5">
        <v>3</v>
      </c>
      <c r="Z1461" s="5">
        <v>1</v>
      </c>
      <c r="AA1461" s="5">
        <v>80</v>
      </c>
      <c r="AB1461" s="5">
        <v>1</v>
      </c>
      <c r="AC1461" s="5">
        <v>10</v>
      </c>
      <c r="AD1461" s="5">
        <v>2</v>
      </c>
      <c r="AE1461" s="5">
        <v>3</v>
      </c>
      <c r="AF1461" s="5">
        <v>4</v>
      </c>
      <c r="AG1461" s="5">
        <v>3</v>
      </c>
      <c r="AH1461" s="5">
        <v>0</v>
      </c>
      <c r="AI1461" s="5">
        <v>3</v>
      </c>
    </row>
    <row r="1462" spans="1:35" x14ac:dyDescent="0.25">
      <c r="A1462" s="5">
        <v>29</v>
      </c>
      <c r="B1462" s="5" t="s">
        <v>43</v>
      </c>
      <c r="C1462" s="5" t="s">
        <v>36</v>
      </c>
      <c r="D1462" s="5">
        <v>468</v>
      </c>
      <c r="E1462" s="5" t="s">
        <v>45</v>
      </c>
      <c r="F1462" s="5">
        <v>28</v>
      </c>
      <c r="G1462" s="5">
        <v>4</v>
      </c>
      <c r="H1462" s="5" t="s">
        <v>51</v>
      </c>
      <c r="I1462" s="5">
        <v>1</v>
      </c>
      <c r="J1462" s="5">
        <v>2054</v>
      </c>
      <c r="K1462" s="5">
        <v>4</v>
      </c>
      <c r="L1462" s="5" t="s">
        <v>39</v>
      </c>
      <c r="M1462" s="5">
        <v>73</v>
      </c>
      <c r="N1462" s="5">
        <v>2</v>
      </c>
      <c r="O1462" s="5">
        <v>1</v>
      </c>
      <c r="P1462" s="5" t="s">
        <v>47</v>
      </c>
      <c r="Q1462" s="5">
        <v>1</v>
      </c>
      <c r="R1462" s="5" t="s">
        <v>41</v>
      </c>
      <c r="S1462" s="5">
        <v>3785</v>
      </c>
      <c r="T1462" s="5">
        <v>8489</v>
      </c>
      <c r="U1462" s="5">
        <v>1</v>
      </c>
      <c r="V1462" s="5" t="s">
        <v>42</v>
      </c>
      <c r="W1462" s="5" t="s">
        <v>43</v>
      </c>
      <c r="X1462" s="5">
        <v>14</v>
      </c>
      <c r="Y1462" s="5">
        <v>3</v>
      </c>
      <c r="Z1462" s="5">
        <v>2</v>
      </c>
      <c r="AA1462" s="5">
        <v>80</v>
      </c>
      <c r="AB1462" s="5">
        <v>0</v>
      </c>
      <c r="AC1462" s="5">
        <v>5</v>
      </c>
      <c r="AD1462" s="5">
        <v>3</v>
      </c>
      <c r="AE1462" s="5">
        <v>1</v>
      </c>
      <c r="AF1462" s="5">
        <v>5</v>
      </c>
      <c r="AG1462" s="5">
        <v>4</v>
      </c>
      <c r="AH1462" s="5">
        <v>0</v>
      </c>
      <c r="AI1462" s="5">
        <v>4</v>
      </c>
    </row>
    <row r="1463" spans="1:35" x14ac:dyDescent="0.25">
      <c r="A1463" s="5">
        <v>50</v>
      </c>
      <c r="B1463" s="5" t="s">
        <v>35</v>
      </c>
      <c r="C1463" s="5" t="s">
        <v>36</v>
      </c>
      <c r="D1463" s="5">
        <v>410</v>
      </c>
      <c r="E1463" s="5" t="s">
        <v>37</v>
      </c>
      <c r="F1463" s="5">
        <v>28</v>
      </c>
      <c r="G1463" s="5">
        <v>3</v>
      </c>
      <c r="H1463" s="5" t="s">
        <v>59</v>
      </c>
      <c r="I1463" s="5">
        <v>1</v>
      </c>
      <c r="J1463" s="5">
        <v>2055</v>
      </c>
      <c r="K1463" s="5">
        <v>4</v>
      </c>
      <c r="L1463" s="5" t="s">
        <v>46</v>
      </c>
      <c r="M1463" s="5">
        <v>39</v>
      </c>
      <c r="N1463" s="5">
        <v>2</v>
      </c>
      <c r="O1463" s="5">
        <v>3</v>
      </c>
      <c r="P1463" s="5" t="s">
        <v>40</v>
      </c>
      <c r="Q1463" s="5">
        <v>1</v>
      </c>
      <c r="R1463" s="5" t="s">
        <v>52</v>
      </c>
      <c r="S1463" s="5">
        <v>10854</v>
      </c>
      <c r="T1463" s="5">
        <v>16586</v>
      </c>
      <c r="U1463" s="5">
        <v>4</v>
      </c>
      <c r="V1463" s="5" t="s">
        <v>42</v>
      </c>
      <c r="W1463" s="5" t="s">
        <v>35</v>
      </c>
      <c r="X1463" s="5">
        <v>13</v>
      </c>
      <c r="Y1463" s="5">
        <v>3</v>
      </c>
      <c r="Z1463" s="5">
        <v>2</v>
      </c>
      <c r="AA1463" s="5">
        <v>80</v>
      </c>
      <c r="AB1463" s="5">
        <v>1</v>
      </c>
      <c r="AC1463" s="5">
        <v>20</v>
      </c>
      <c r="AD1463" s="5">
        <v>3</v>
      </c>
      <c r="AE1463" s="5">
        <v>3</v>
      </c>
      <c r="AF1463" s="5">
        <v>3</v>
      </c>
      <c r="AG1463" s="5">
        <v>2</v>
      </c>
      <c r="AH1463" s="5">
        <v>2</v>
      </c>
      <c r="AI1463" s="5">
        <v>0</v>
      </c>
    </row>
    <row r="1464" spans="1:35" x14ac:dyDescent="0.25">
      <c r="A1464" s="5">
        <v>39</v>
      </c>
      <c r="B1464" s="5" t="s">
        <v>43</v>
      </c>
      <c r="C1464" s="5" t="s">
        <v>36</v>
      </c>
      <c r="D1464" s="5">
        <v>722</v>
      </c>
      <c r="E1464" s="5" t="s">
        <v>37</v>
      </c>
      <c r="F1464" s="5">
        <v>24</v>
      </c>
      <c r="G1464" s="5">
        <v>1</v>
      </c>
      <c r="H1464" s="5" t="s">
        <v>59</v>
      </c>
      <c r="I1464" s="5">
        <v>1</v>
      </c>
      <c r="J1464" s="5">
        <v>2056</v>
      </c>
      <c r="K1464" s="5">
        <v>2</v>
      </c>
      <c r="L1464" s="5" t="s">
        <v>39</v>
      </c>
      <c r="M1464" s="5">
        <v>60</v>
      </c>
      <c r="N1464" s="5">
        <v>2</v>
      </c>
      <c r="O1464" s="5">
        <v>4</v>
      </c>
      <c r="P1464" s="5" t="s">
        <v>40</v>
      </c>
      <c r="Q1464" s="5">
        <v>4</v>
      </c>
      <c r="R1464" s="5" t="s">
        <v>48</v>
      </c>
      <c r="S1464" s="5">
        <v>12031</v>
      </c>
      <c r="T1464" s="5">
        <v>8828</v>
      </c>
      <c r="U1464" s="5">
        <v>0</v>
      </c>
      <c r="V1464" s="5" t="s">
        <v>42</v>
      </c>
      <c r="W1464" s="5" t="s">
        <v>43</v>
      </c>
      <c r="X1464" s="5">
        <v>11</v>
      </c>
      <c r="Y1464" s="5">
        <v>3</v>
      </c>
      <c r="Z1464" s="5">
        <v>1</v>
      </c>
      <c r="AA1464" s="5">
        <v>80</v>
      </c>
      <c r="AB1464" s="5">
        <v>1</v>
      </c>
      <c r="AC1464" s="5">
        <v>21</v>
      </c>
      <c r="AD1464" s="5">
        <v>2</v>
      </c>
      <c r="AE1464" s="5">
        <v>2</v>
      </c>
      <c r="AF1464" s="5">
        <v>20</v>
      </c>
      <c r="AG1464" s="5">
        <v>9</v>
      </c>
      <c r="AH1464" s="5">
        <v>9</v>
      </c>
      <c r="AI1464" s="5">
        <v>6</v>
      </c>
    </row>
    <row r="1465" spans="1:35" x14ac:dyDescent="0.25">
      <c r="A1465" s="5">
        <v>31</v>
      </c>
      <c r="B1465" s="5" t="s">
        <v>43</v>
      </c>
      <c r="C1465" s="5" t="s">
        <v>55</v>
      </c>
      <c r="D1465" s="5">
        <v>325</v>
      </c>
      <c r="E1465" s="5" t="s">
        <v>45</v>
      </c>
      <c r="F1465" s="5">
        <v>5</v>
      </c>
      <c r="G1465" s="5">
        <v>3</v>
      </c>
      <c r="H1465" s="5" t="s">
        <v>51</v>
      </c>
      <c r="I1465" s="5">
        <v>1</v>
      </c>
      <c r="J1465" s="5">
        <v>2057</v>
      </c>
      <c r="K1465" s="5">
        <v>2</v>
      </c>
      <c r="L1465" s="5" t="s">
        <v>46</v>
      </c>
      <c r="M1465" s="5">
        <v>74</v>
      </c>
      <c r="N1465" s="5">
        <v>3</v>
      </c>
      <c r="O1465" s="5">
        <v>2</v>
      </c>
      <c r="P1465" s="5" t="s">
        <v>53</v>
      </c>
      <c r="Q1465" s="5">
        <v>1</v>
      </c>
      <c r="R1465" s="5" t="s">
        <v>41</v>
      </c>
      <c r="S1465" s="5">
        <v>9936</v>
      </c>
      <c r="T1465" s="5">
        <v>3787</v>
      </c>
      <c r="U1465" s="5">
        <v>0</v>
      </c>
      <c r="V1465" s="5" t="s">
        <v>42</v>
      </c>
      <c r="W1465" s="5" t="s">
        <v>43</v>
      </c>
      <c r="X1465" s="5">
        <v>19</v>
      </c>
      <c r="Y1465" s="5">
        <v>3</v>
      </c>
      <c r="Z1465" s="5">
        <v>2</v>
      </c>
      <c r="AA1465" s="5">
        <v>80</v>
      </c>
      <c r="AB1465" s="5">
        <v>0</v>
      </c>
      <c r="AC1465" s="5">
        <v>10</v>
      </c>
      <c r="AD1465" s="5">
        <v>2</v>
      </c>
      <c r="AE1465" s="5">
        <v>3</v>
      </c>
      <c r="AF1465" s="5">
        <v>9</v>
      </c>
      <c r="AG1465" s="5">
        <v>4</v>
      </c>
      <c r="AH1465" s="5">
        <v>1</v>
      </c>
      <c r="AI1465" s="5">
        <v>7</v>
      </c>
    </row>
    <row r="1466" spans="1:35" x14ac:dyDescent="0.25">
      <c r="A1466" s="5">
        <v>26</v>
      </c>
      <c r="B1466" s="5" t="s">
        <v>43</v>
      </c>
      <c r="C1466" s="5" t="s">
        <v>36</v>
      </c>
      <c r="D1466" s="5">
        <v>1167</v>
      </c>
      <c r="E1466" s="5" t="s">
        <v>37</v>
      </c>
      <c r="F1466" s="5">
        <v>5</v>
      </c>
      <c r="G1466" s="5">
        <v>3</v>
      </c>
      <c r="H1466" s="5" t="s">
        <v>49</v>
      </c>
      <c r="I1466" s="5">
        <v>1</v>
      </c>
      <c r="J1466" s="5">
        <v>2060</v>
      </c>
      <c r="K1466" s="5">
        <v>4</v>
      </c>
      <c r="L1466" s="5" t="s">
        <v>39</v>
      </c>
      <c r="M1466" s="5">
        <v>30</v>
      </c>
      <c r="N1466" s="5">
        <v>2</v>
      </c>
      <c r="O1466" s="5">
        <v>1</v>
      </c>
      <c r="P1466" s="5" t="s">
        <v>57</v>
      </c>
      <c r="Q1466" s="5">
        <v>3</v>
      </c>
      <c r="R1466" s="5" t="s">
        <v>41</v>
      </c>
      <c r="S1466" s="5">
        <v>2966</v>
      </c>
      <c r="T1466" s="5">
        <v>21378</v>
      </c>
      <c r="U1466" s="5">
        <v>0</v>
      </c>
      <c r="V1466" s="5" t="s">
        <v>42</v>
      </c>
      <c r="W1466" s="5" t="s">
        <v>43</v>
      </c>
      <c r="X1466" s="5">
        <v>18</v>
      </c>
      <c r="Y1466" s="5">
        <v>3</v>
      </c>
      <c r="Z1466" s="5">
        <v>4</v>
      </c>
      <c r="AA1466" s="5">
        <v>80</v>
      </c>
      <c r="AB1466" s="5">
        <v>0</v>
      </c>
      <c r="AC1466" s="5">
        <v>5</v>
      </c>
      <c r="AD1466" s="5">
        <v>2</v>
      </c>
      <c r="AE1466" s="5">
        <v>3</v>
      </c>
      <c r="AF1466" s="5">
        <v>4</v>
      </c>
      <c r="AG1466" s="5">
        <v>2</v>
      </c>
      <c r="AH1466" s="5">
        <v>0</v>
      </c>
      <c r="AI1466" s="5">
        <v>0</v>
      </c>
    </row>
    <row r="1467" spans="1:35" x14ac:dyDescent="0.25">
      <c r="A1467" s="5">
        <v>36</v>
      </c>
      <c r="B1467" s="5" t="s">
        <v>43</v>
      </c>
      <c r="C1467" s="5" t="s">
        <v>44</v>
      </c>
      <c r="D1467" s="5">
        <v>884</v>
      </c>
      <c r="E1467" s="5" t="s">
        <v>45</v>
      </c>
      <c r="F1467" s="5">
        <v>23</v>
      </c>
      <c r="G1467" s="5">
        <v>2</v>
      </c>
      <c r="H1467" s="5" t="s">
        <v>51</v>
      </c>
      <c r="I1467" s="5">
        <v>1</v>
      </c>
      <c r="J1467" s="5">
        <v>2061</v>
      </c>
      <c r="K1467" s="5">
        <v>3</v>
      </c>
      <c r="L1467" s="5" t="s">
        <v>46</v>
      </c>
      <c r="M1467" s="5">
        <v>41</v>
      </c>
      <c r="N1467" s="5">
        <v>4</v>
      </c>
      <c r="O1467" s="5">
        <v>2</v>
      </c>
      <c r="P1467" s="5" t="s">
        <v>50</v>
      </c>
      <c r="Q1467" s="5">
        <v>4</v>
      </c>
      <c r="R1467" s="5" t="s">
        <v>48</v>
      </c>
      <c r="S1467" s="5">
        <v>2571</v>
      </c>
      <c r="T1467" s="5">
        <v>12290</v>
      </c>
      <c r="U1467" s="5">
        <v>4</v>
      </c>
      <c r="V1467" s="5" t="s">
        <v>42</v>
      </c>
      <c r="W1467" s="5" t="s">
        <v>43</v>
      </c>
      <c r="X1467" s="5">
        <v>17</v>
      </c>
      <c r="Y1467" s="5">
        <v>3</v>
      </c>
      <c r="Z1467" s="5">
        <v>3</v>
      </c>
      <c r="AA1467" s="5">
        <v>80</v>
      </c>
      <c r="AB1467" s="5">
        <v>1</v>
      </c>
      <c r="AC1467" s="5">
        <v>17</v>
      </c>
      <c r="AD1467" s="5">
        <v>3</v>
      </c>
      <c r="AE1467" s="5">
        <v>3</v>
      </c>
      <c r="AF1467" s="5">
        <v>5</v>
      </c>
      <c r="AG1467" s="5">
        <v>2</v>
      </c>
      <c r="AH1467" s="5">
        <v>0</v>
      </c>
      <c r="AI1467" s="5">
        <v>3</v>
      </c>
    </row>
    <row r="1468" spans="1:35" x14ac:dyDescent="0.25">
      <c r="A1468" s="5">
        <v>39</v>
      </c>
      <c r="B1468" s="5" t="s">
        <v>43</v>
      </c>
      <c r="C1468" s="5" t="s">
        <v>36</v>
      </c>
      <c r="D1468" s="5">
        <v>613</v>
      </c>
      <c r="E1468" s="5" t="s">
        <v>45</v>
      </c>
      <c r="F1468" s="5">
        <v>6</v>
      </c>
      <c r="G1468" s="5">
        <v>1</v>
      </c>
      <c r="H1468" s="5" t="s">
        <v>51</v>
      </c>
      <c r="I1468" s="5">
        <v>1</v>
      </c>
      <c r="J1468" s="5">
        <v>2062</v>
      </c>
      <c r="K1468" s="5">
        <v>4</v>
      </c>
      <c r="L1468" s="5" t="s">
        <v>46</v>
      </c>
      <c r="M1468" s="5">
        <v>42</v>
      </c>
      <c r="N1468" s="5">
        <v>2</v>
      </c>
      <c r="O1468" s="5">
        <v>3</v>
      </c>
      <c r="P1468" s="5" t="s">
        <v>54</v>
      </c>
      <c r="Q1468" s="5">
        <v>1</v>
      </c>
      <c r="R1468" s="5" t="s">
        <v>48</v>
      </c>
      <c r="S1468" s="5">
        <v>9991</v>
      </c>
      <c r="T1468" s="5">
        <v>21457</v>
      </c>
      <c r="U1468" s="5">
        <v>4</v>
      </c>
      <c r="V1468" s="5" t="s">
        <v>42</v>
      </c>
      <c r="W1468" s="5" t="s">
        <v>43</v>
      </c>
      <c r="X1468" s="5">
        <v>15</v>
      </c>
      <c r="Y1468" s="5">
        <v>3</v>
      </c>
      <c r="Z1468" s="5">
        <v>1</v>
      </c>
      <c r="AA1468" s="5">
        <v>80</v>
      </c>
      <c r="AB1468" s="5">
        <v>1</v>
      </c>
      <c r="AC1468" s="5">
        <v>9</v>
      </c>
      <c r="AD1468" s="5">
        <v>5</v>
      </c>
      <c r="AE1468" s="5">
        <v>3</v>
      </c>
      <c r="AF1468" s="5">
        <v>7</v>
      </c>
      <c r="AG1468" s="5">
        <v>7</v>
      </c>
      <c r="AH1468" s="5">
        <v>1</v>
      </c>
      <c r="AI1468" s="5">
        <v>7</v>
      </c>
    </row>
    <row r="1469" spans="1:35" x14ac:dyDescent="0.25">
      <c r="A1469" s="5">
        <v>27</v>
      </c>
      <c r="B1469" s="5" t="s">
        <v>43</v>
      </c>
      <c r="C1469" s="5" t="s">
        <v>36</v>
      </c>
      <c r="D1469" s="5">
        <v>155</v>
      </c>
      <c r="E1469" s="5" t="s">
        <v>45</v>
      </c>
      <c r="F1469" s="5">
        <v>4</v>
      </c>
      <c r="G1469" s="5">
        <v>3</v>
      </c>
      <c r="H1469" s="5" t="s">
        <v>38</v>
      </c>
      <c r="I1469" s="5">
        <v>1</v>
      </c>
      <c r="J1469" s="5">
        <v>2064</v>
      </c>
      <c r="K1469" s="5">
        <v>2</v>
      </c>
      <c r="L1469" s="5" t="s">
        <v>46</v>
      </c>
      <c r="M1469" s="5">
        <v>87</v>
      </c>
      <c r="N1469" s="5">
        <v>4</v>
      </c>
      <c r="O1469" s="5">
        <v>2</v>
      </c>
      <c r="P1469" s="5" t="s">
        <v>53</v>
      </c>
      <c r="Q1469" s="5">
        <v>2</v>
      </c>
      <c r="R1469" s="5" t="s">
        <v>48</v>
      </c>
      <c r="S1469" s="5">
        <v>6142</v>
      </c>
      <c r="T1469" s="5">
        <v>5174</v>
      </c>
      <c r="U1469" s="5">
        <v>1</v>
      </c>
      <c r="V1469" s="5" t="s">
        <v>42</v>
      </c>
      <c r="W1469" s="5" t="s">
        <v>35</v>
      </c>
      <c r="X1469" s="5">
        <v>20</v>
      </c>
      <c r="Y1469" s="5">
        <v>4</v>
      </c>
      <c r="Z1469" s="5">
        <v>2</v>
      </c>
      <c r="AA1469" s="5">
        <v>80</v>
      </c>
      <c r="AB1469" s="5">
        <v>1</v>
      </c>
      <c r="AC1469" s="5">
        <v>6</v>
      </c>
      <c r="AD1469" s="5">
        <v>0</v>
      </c>
      <c r="AE1469" s="5">
        <v>3</v>
      </c>
      <c r="AF1469" s="5">
        <v>6</v>
      </c>
      <c r="AG1469" s="5">
        <v>2</v>
      </c>
      <c r="AH1469" s="5">
        <v>0</v>
      </c>
      <c r="AI1469" s="5">
        <v>3</v>
      </c>
    </row>
    <row r="1470" spans="1:35" x14ac:dyDescent="0.25">
      <c r="A1470" s="5">
        <v>49</v>
      </c>
      <c r="B1470" s="5" t="s">
        <v>43</v>
      </c>
      <c r="C1470" s="5" t="s">
        <v>44</v>
      </c>
      <c r="D1470" s="5">
        <v>1023</v>
      </c>
      <c r="E1470" s="5" t="s">
        <v>37</v>
      </c>
      <c r="F1470" s="5">
        <v>2</v>
      </c>
      <c r="G1470" s="5">
        <v>3</v>
      </c>
      <c r="H1470" s="5" t="s">
        <v>51</v>
      </c>
      <c r="I1470" s="5">
        <v>1</v>
      </c>
      <c r="J1470" s="5">
        <v>2065</v>
      </c>
      <c r="K1470" s="5">
        <v>4</v>
      </c>
      <c r="L1470" s="5" t="s">
        <v>46</v>
      </c>
      <c r="M1470" s="5">
        <v>63</v>
      </c>
      <c r="N1470" s="5">
        <v>2</v>
      </c>
      <c r="O1470" s="5">
        <v>2</v>
      </c>
      <c r="P1470" s="5" t="s">
        <v>40</v>
      </c>
      <c r="Q1470" s="5">
        <v>2</v>
      </c>
      <c r="R1470" s="5" t="s">
        <v>48</v>
      </c>
      <c r="S1470" s="5">
        <v>5390</v>
      </c>
      <c r="T1470" s="5">
        <v>13243</v>
      </c>
      <c r="U1470" s="5">
        <v>2</v>
      </c>
      <c r="V1470" s="5" t="s">
        <v>42</v>
      </c>
      <c r="W1470" s="5" t="s">
        <v>43</v>
      </c>
      <c r="X1470" s="5">
        <v>14</v>
      </c>
      <c r="Y1470" s="5">
        <v>3</v>
      </c>
      <c r="Z1470" s="5">
        <v>4</v>
      </c>
      <c r="AA1470" s="5">
        <v>80</v>
      </c>
      <c r="AB1470" s="5">
        <v>0</v>
      </c>
      <c r="AC1470" s="5">
        <v>17</v>
      </c>
      <c r="AD1470" s="5">
        <v>3</v>
      </c>
      <c r="AE1470" s="5">
        <v>2</v>
      </c>
      <c r="AF1470" s="5">
        <v>9</v>
      </c>
      <c r="AG1470" s="5">
        <v>6</v>
      </c>
      <c r="AH1470" s="5">
        <v>0</v>
      </c>
      <c r="AI1470" s="5">
        <v>8</v>
      </c>
    </row>
    <row r="1471" spans="1:35" x14ac:dyDescent="0.25">
      <c r="A1471" s="5">
        <v>34</v>
      </c>
      <c r="B1471" s="5" t="s">
        <v>43</v>
      </c>
      <c r="C1471" s="5" t="s">
        <v>36</v>
      </c>
      <c r="D1471" s="5">
        <v>628</v>
      </c>
      <c r="E1471" s="5" t="s">
        <v>45</v>
      </c>
      <c r="F1471" s="5">
        <v>8</v>
      </c>
      <c r="G1471" s="5">
        <v>3</v>
      </c>
      <c r="H1471" s="5" t="s">
        <v>51</v>
      </c>
      <c r="I1471" s="5">
        <v>1</v>
      </c>
      <c r="J1471" s="5">
        <v>2068</v>
      </c>
      <c r="K1471" s="5">
        <v>2</v>
      </c>
      <c r="L1471" s="5" t="s">
        <v>46</v>
      </c>
      <c r="M1471" s="5">
        <v>82</v>
      </c>
      <c r="N1471" s="5">
        <v>4</v>
      </c>
      <c r="O1471" s="5">
        <v>2</v>
      </c>
      <c r="P1471" s="5" t="s">
        <v>50</v>
      </c>
      <c r="Q1471" s="5">
        <v>3</v>
      </c>
      <c r="R1471" s="5" t="s">
        <v>48</v>
      </c>
      <c r="S1471" s="5">
        <v>4404</v>
      </c>
      <c r="T1471" s="5">
        <v>10228</v>
      </c>
      <c r="U1471" s="5">
        <v>2</v>
      </c>
      <c r="V1471" s="5" t="s">
        <v>42</v>
      </c>
      <c r="W1471" s="5" t="s">
        <v>43</v>
      </c>
      <c r="X1471" s="5">
        <v>12</v>
      </c>
      <c r="Y1471" s="5">
        <v>3</v>
      </c>
      <c r="Z1471" s="5">
        <v>1</v>
      </c>
      <c r="AA1471" s="5">
        <v>80</v>
      </c>
      <c r="AB1471" s="5">
        <v>0</v>
      </c>
      <c r="AC1471" s="5">
        <v>6</v>
      </c>
      <c r="AD1471" s="5">
        <v>3</v>
      </c>
      <c r="AE1471" s="5">
        <v>4</v>
      </c>
      <c r="AF1471" s="5">
        <v>4</v>
      </c>
      <c r="AG1471" s="5">
        <v>3</v>
      </c>
      <c r="AH1471" s="5">
        <v>1</v>
      </c>
      <c r="AI1471" s="5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R1504"/>
  <sheetViews>
    <sheetView topLeftCell="F1" workbookViewId="0">
      <selection activeCell="O8" sqref="O8"/>
    </sheetView>
  </sheetViews>
  <sheetFormatPr defaultColWidth="11.42578125" defaultRowHeight="15" x14ac:dyDescent="0.25"/>
  <cols>
    <col min="37" max="37" width="23" bestFit="1" customWidth="1"/>
    <col min="38" max="38" width="14.28515625" bestFit="1" customWidth="1"/>
    <col min="39" max="40" width="12.7109375" customWidth="1"/>
    <col min="41" max="41" width="16.85546875" bestFit="1" customWidth="1"/>
    <col min="42" max="45" width="12.7109375" customWidth="1"/>
    <col min="46" max="46" width="18.140625" bestFit="1" customWidth="1"/>
    <col min="47" max="49" width="12.7109375" customWidth="1"/>
    <col min="51" max="51" width="23" bestFit="1" customWidth="1"/>
    <col min="52" max="58" width="12.7109375" customWidth="1"/>
    <col min="60" max="60" width="18.140625" bestFit="1" customWidth="1"/>
    <col min="61" max="69" width="19.5703125" bestFit="1" customWidth="1"/>
    <col min="71" max="71" width="18.140625" bestFit="1" customWidth="1"/>
    <col min="72" max="81" width="19.5703125" bestFit="1" customWidth="1"/>
    <col min="83" max="83" width="23" bestFit="1" customWidth="1"/>
    <col min="84" max="84" width="14.28515625" bestFit="1" customWidth="1"/>
    <col min="85" max="87" width="12.7109375" customWidth="1"/>
    <col min="88" max="88" width="16.85546875" bestFit="1" customWidth="1"/>
    <col min="89" max="92" width="12.7109375" customWidth="1"/>
    <col min="93" max="93" width="18.140625" bestFit="1" customWidth="1"/>
    <col min="94" max="96" width="12.7109375" customWidth="1"/>
  </cols>
  <sheetData>
    <row r="1" spans="1:90" ht="15" customHeight="1" thickTop="1" x14ac:dyDescent="0.25">
      <c r="A1" s="20" t="s">
        <v>77</v>
      </c>
      <c r="B1" s="21" t="s">
        <v>0</v>
      </c>
      <c r="C1" s="21" t="s">
        <v>1</v>
      </c>
      <c r="D1" s="21" t="s">
        <v>2</v>
      </c>
      <c r="E1" s="21" t="s">
        <v>3</v>
      </c>
      <c r="F1" s="21" t="s">
        <v>4</v>
      </c>
      <c r="G1" s="21" t="s">
        <v>5</v>
      </c>
      <c r="H1" s="21" t="s">
        <v>6</v>
      </c>
      <c r="I1" s="21" t="s">
        <v>7</v>
      </c>
      <c r="J1" s="21" t="s">
        <v>8</v>
      </c>
      <c r="K1" s="21" t="s">
        <v>9</v>
      </c>
      <c r="L1" s="21" t="s">
        <v>10</v>
      </c>
      <c r="M1" s="21" t="s">
        <v>11</v>
      </c>
      <c r="N1" s="21" t="s">
        <v>12</v>
      </c>
      <c r="O1" s="21" t="s">
        <v>13</v>
      </c>
      <c r="P1" s="21" t="s">
        <v>14</v>
      </c>
      <c r="Q1" s="21" t="s">
        <v>15</v>
      </c>
      <c r="R1" s="21" t="s">
        <v>16</v>
      </c>
      <c r="S1" s="21" t="s">
        <v>17</v>
      </c>
      <c r="T1" s="50" t="s">
        <v>18</v>
      </c>
      <c r="U1" s="21" t="s">
        <v>19</v>
      </c>
      <c r="V1" s="21" t="s">
        <v>20</v>
      </c>
      <c r="W1" s="21" t="s">
        <v>22</v>
      </c>
      <c r="X1" s="21" t="s">
        <v>23</v>
      </c>
      <c r="Y1" s="21" t="s">
        <v>24</v>
      </c>
      <c r="Z1" s="21" t="s">
        <v>25</v>
      </c>
      <c r="AA1" s="21" t="s">
        <v>26</v>
      </c>
      <c r="AB1" s="21" t="s">
        <v>27</v>
      </c>
      <c r="AC1" s="21" t="s">
        <v>28</v>
      </c>
      <c r="AD1" s="21" t="s">
        <v>29</v>
      </c>
      <c r="AE1" s="21" t="s">
        <v>30</v>
      </c>
      <c r="AF1" s="21" t="s">
        <v>31</v>
      </c>
      <c r="AG1" s="21" t="s">
        <v>32</v>
      </c>
      <c r="AH1" s="21" t="s">
        <v>33</v>
      </c>
      <c r="AI1" s="22" t="s">
        <v>34</v>
      </c>
      <c r="AK1" s="37" t="s">
        <v>321</v>
      </c>
      <c r="AL1" s="34"/>
      <c r="AY1" s="37" t="s">
        <v>321</v>
      </c>
      <c r="AZ1" s="34"/>
      <c r="BH1" s="37"/>
      <c r="BI1" s="34" t="s">
        <v>5</v>
      </c>
      <c r="BJ1" s="34" t="s">
        <v>14</v>
      </c>
      <c r="BK1" s="34" t="s">
        <v>16</v>
      </c>
      <c r="BL1" s="34" t="s">
        <v>20</v>
      </c>
      <c r="BM1" s="34" t="s">
        <v>22</v>
      </c>
      <c r="BN1" s="34" t="s">
        <v>27</v>
      </c>
      <c r="BO1" s="34" t="s">
        <v>30</v>
      </c>
      <c r="BP1" s="34" t="s">
        <v>31</v>
      </c>
      <c r="BQ1" s="34" t="s">
        <v>33</v>
      </c>
      <c r="BS1" s="37"/>
      <c r="BT1" s="34" t="s">
        <v>5</v>
      </c>
      <c r="BU1" s="34" t="s">
        <v>14</v>
      </c>
      <c r="BV1" s="34" t="s">
        <v>16</v>
      </c>
      <c r="BW1" s="34" t="s">
        <v>17</v>
      </c>
      <c r="BX1" s="34" t="s">
        <v>20</v>
      </c>
      <c r="BY1" s="34" t="s">
        <v>22</v>
      </c>
      <c r="BZ1" s="34" t="s">
        <v>27</v>
      </c>
      <c r="CA1" s="34" t="s">
        <v>30</v>
      </c>
      <c r="CB1" s="34" t="s">
        <v>31</v>
      </c>
      <c r="CC1" s="34" t="s">
        <v>33</v>
      </c>
      <c r="CE1" s="37" t="s">
        <v>321</v>
      </c>
      <c r="CF1" s="34"/>
    </row>
    <row r="2" spans="1:90" ht="15" customHeight="1" thickBot="1" x14ac:dyDescent="0.3">
      <c r="A2" s="23">
        <v>0</v>
      </c>
      <c r="B2" s="24">
        <v>41</v>
      </c>
      <c r="C2" s="24">
        <v>1</v>
      </c>
      <c r="D2" s="24">
        <v>1</v>
      </c>
      <c r="E2" s="24">
        <v>1102</v>
      </c>
      <c r="F2" s="24">
        <v>1</v>
      </c>
      <c r="G2" s="24">
        <v>1</v>
      </c>
      <c r="H2" s="24">
        <v>2</v>
      </c>
      <c r="I2" s="24">
        <v>1</v>
      </c>
      <c r="J2" s="24">
        <v>1</v>
      </c>
      <c r="K2" s="24">
        <v>1</v>
      </c>
      <c r="L2" s="24">
        <v>2</v>
      </c>
      <c r="M2" s="24">
        <v>0</v>
      </c>
      <c r="N2" s="24">
        <v>94</v>
      </c>
      <c r="O2" s="24">
        <v>3</v>
      </c>
      <c r="P2" s="24">
        <v>2</v>
      </c>
      <c r="Q2" s="24">
        <v>1</v>
      </c>
      <c r="R2" s="24">
        <v>4</v>
      </c>
      <c r="S2" s="24">
        <v>1</v>
      </c>
      <c r="T2" s="24">
        <v>5993</v>
      </c>
      <c r="U2" s="24">
        <v>19479</v>
      </c>
      <c r="V2" s="24">
        <v>8</v>
      </c>
      <c r="W2" s="24">
        <v>1</v>
      </c>
      <c r="X2" s="24">
        <v>11</v>
      </c>
      <c r="Y2" s="24">
        <v>3</v>
      </c>
      <c r="Z2" s="24">
        <v>1</v>
      </c>
      <c r="AA2" s="24">
        <v>80</v>
      </c>
      <c r="AB2" s="24">
        <v>0</v>
      </c>
      <c r="AC2" s="24">
        <v>8</v>
      </c>
      <c r="AD2" s="24">
        <v>0</v>
      </c>
      <c r="AE2" s="24">
        <v>1</v>
      </c>
      <c r="AF2" s="24">
        <v>6</v>
      </c>
      <c r="AG2" s="24">
        <v>4</v>
      </c>
      <c r="AH2" s="24">
        <v>0</v>
      </c>
      <c r="AI2" s="25">
        <v>5</v>
      </c>
      <c r="AK2" s="38" t="s">
        <v>320</v>
      </c>
      <c r="AL2" s="35" t="s">
        <v>326</v>
      </c>
      <c r="AY2" s="38" t="s">
        <v>320</v>
      </c>
      <c r="AZ2" s="35" t="s">
        <v>326</v>
      </c>
      <c r="BH2" s="38" t="s">
        <v>347</v>
      </c>
      <c r="BI2" s="35" t="s">
        <v>98</v>
      </c>
      <c r="BJ2" s="35" t="s">
        <v>98</v>
      </c>
      <c r="BK2" s="35" t="s">
        <v>98</v>
      </c>
      <c r="BL2" s="35" t="s">
        <v>98</v>
      </c>
      <c r="BM2" s="35" t="s">
        <v>98</v>
      </c>
      <c r="BN2" s="35" t="s">
        <v>98</v>
      </c>
      <c r="BO2" s="35" t="s">
        <v>98</v>
      </c>
      <c r="BP2" s="35" t="s">
        <v>98</v>
      </c>
      <c r="BQ2" s="35" t="s">
        <v>98</v>
      </c>
      <c r="BS2" s="38" t="s">
        <v>347</v>
      </c>
      <c r="BT2" s="35" t="s">
        <v>98</v>
      </c>
      <c r="BU2" s="35" t="s">
        <v>98</v>
      </c>
      <c r="BV2" s="35" t="s">
        <v>98</v>
      </c>
      <c r="BW2" s="35" t="s">
        <v>98</v>
      </c>
      <c r="BX2" s="35" t="s">
        <v>98</v>
      </c>
      <c r="BY2" s="35" t="s">
        <v>98</v>
      </c>
      <c r="BZ2" s="35" t="s">
        <v>98</v>
      </c>
      <c r="CA2" s="35" t="s">
        <v>98</v>
      </c>
      <c r="CB2" s="35" t="s">
        <v>98</v>
      </c>
      <c r="CC2" s="35" t="s">
        <v>98</v>
      </c>
      <c r="CE2" s="38" t="s">
        <v>320</v>
      </c>
      <c r="CF2" s="35" t="s">
        <v>326</v>
      </c>
    </row>
    <row r="3" spans="1:90" ht="15" customHeight="1" thickTop="1" x14ac:dyDescent="0.25">
      <c r="A3" s="26">
        <v>1</v>
      </c>
      <c r="B3" s="27">
        <v>49</v>
      </c>
      <c r="C3" s="27">
        <v>0</v>
      </c>
      <c r="D3" s="27">
        <v>2</v>
      </c>
      <c r="E3" s="27">
        <v>279</v>
      </c>
      <c r="F3" s="27">
        <v>2</v>
      </c>
      <c r="G3" s="27">
        <v>8</v>
      </c>
      <c r="H3" s="27">
        <v>1</v>
      </c>
      <c r="I3" s="27">
        <v>1</v>
      </c>
      <c r="J3" s="27">
        <v>1</v>
      </c>
      <c r="K3" s="27">
        <v>2</v>
      </c>
      <c r="L3" s="27">
        <v>3</v>
      </c>
      <c r="M3" s="27">
        <v>1</v>
      </c>
      <c r="N3" s="27">
        <v>61</v>
      </c>
      <c r="O3" s="27">
        <v>2</v>
      </c>
      <c r="P3" s="27">
        <v>2</v>
      </c>
      <c r="Q3" s="27">
        <v>2</v>
      </c>
      <c r="R3" s="27">
        <v>2</v>
      </c>
      <c r="S3" s="27">
        <v>2</v>
      </c>
      <c r="T3" s="27">
        <v>5130</v>
      </c>
      <c r="U3" s="27">
        <v>24907</v>
      </c>
      <c r="V3" s="27">
        <v>1</v>
      </c>
      <c r="W3" s="27">
        <v>0</v>
      </c>
      <c r="X3" s="27">
        <v>23</v>
      </c>
      <c r="Y3" s="27">
        <v>4</v>
      </c>
      <c r="Z3" s="27">
        <v>4</v>
      </c>
      <c r="AA3" s="27">
        <v>80</v>
      </c>
      <c r="AB3" s="27">
        <v>1</v>
      </c>
      <c r="AC3" s="27">
        <v>10</v>
      </c>
      <c r="AD3" s="27">
        <v>3</v>
      </c>
      <c r="AE3" s="27">
        <v>3</v>
      </c>
      <c r="AF3" s="27">
        <v>10</v>
      </c>
      <c r="AG3" s="27">
        <v>7</v>
      </c>
      <c r="AH3" s="27">
        <v>1</v>
      </c>
      <c r="AI3" s="28">
        <v>7</v>
      </c>
      <c r="AK3" s="36" t="s">
        <v>327</v>
      </c>
      <c r="AL3" s="39">
        <v>1298.5827008306633</v>
      </c>
      <c r="AY3" s="36" t="s">
        <v>327</v>
      </c>
      <c r="AZ3" s="39">
        <v>1298.5827008306633</v>
      </c>
      <c r="BH3" s="36" t="s">
        <v>5</v>
      </c>
      <c r="BI3" s="44">
        <v>1</v>
      </c>
      <c r="BJ3" s="44">
        <f>$BI$4</f>
        <v>5.3027305544962305E-3</v>
      </c>
      <c r="BK3" s="44">
        <f>$BI$5</f>
        <v>-3.6688391677204219E-3</v>
      </c>
      <c r="BL3" s="44">
        <f>$BI$6</f>
        <v>-2.9250804197292993E-2</v>
      </c>
      <c r="BM3" s="44">
        <f>$BI$7</f>
        <v>2.5513634949946084E-2</v>
      </c>
      <c r="BN3" s="44">
        <f>$BI$8</f>
        <v>4.4871998853181376E-2</v>
      </c>
      <c r="BO3" s="44">
        <f>$BI$9</f>
        <v>-2.6556004106568967E-2</v>
      </c>
      <c r="BP3" s="44">
        <f>$BI$10</f>
        <v>9.507719899011273E-3</v>
      </c>
      <c r="BQ3" s="44">
        <f>$BI$11</f>
        <v>1.0028835943115365E-2</v>
      </c>
      <c r="BS3" s="36" t="s">
        <v>5</v>
      </c>
      <c r="BT3" s="44">
        <v>1</v>
      </c>
      <c r="BU3" s="44">
        <f>$BT$4</f>
        <v>5.3027305544962305E-3</v>
      </c>
      <c r="BV3" s="44">
        <f>$BT$5</f>
        <v>-3.6688391677204219E-3</v>
      </c>
      <c r="BW3" s="44">
        <f>$BT$6</f>
        <v>1.4437031066696811E-2</v>
      </c>
      <c r="BX3" s="44">
        <f>$BT$7</f>
        <v>-2.9250804197292993E-2</v>
      </c>
      <c r="BY3" s="44">
        <f>$BT$8</f>
        <v>2.5513634949946084E-2</v>
      </c>
      <c r="BZ3" s="44">
        <f>$BT$9</f>
        <v>4.4871998853181376E-2</v>
      </c>
      <c r="CA3" s="44">
        <f>$BT$10</f>
        <v>-2.6556004106568967E-2</v>
      </c>
      <c r="CB3" s="44">
        <f>$BT$11</f>
        <v>9.507719899011273E-3</v>
      </c>
      <c r="CC3" s="44">
        <f>$BT$12</f>
        <v>1.0028835943115365E-2</v>
      </c>
      <c r="CE3" s="36" t="s">
        <v>327</v>
      </c>
      <c r="CF3" s="39">
        <v>1298.5827008306633</v>
      </c>
    </row>
    <row r="4" spans="1:90" ht="15" customHeight="1" x14ac:dyDescent="0.25">
      <c r="A4" s="26">
        <v>2</v>
      </c>
      <c r="B4" s="27">
        <v>37</v>
      </c>
      <c r="C4" s="27">
        <v>1</v>
      </c>
      <c r="D4" s="27">
        <v>1</v>
      </c>
      <c r="E4" s="27">
        <v>1373</v>
      </c>
      <c r="F4" s="27">
        <v>2</v>
      </c>
      <c r="G4" s="27">
        <v>2</v>
      </c>
      <c r="H4" s="27">
        <v>2</v>
      </c>
      <c r="I4" s="27">
        <v>6</v>
      </c>
      <c r="J4" s="27">
        <v>1</v>
      </c>
      <c r="K4" s="27">
        <v>4</v>
      </c>
      <c r="L4" s="27">
        <v>4</v>
      </c>
      <c r="M4" s="27">
        <v>1</v>
      </c>
      <c r="N4" s="27">
        <v>92</v>
      </c>
      <c r="O4" s="27">
        <v>2</v>
      </c>
      <c r="P4" s="27">
        <v>1</v>
      </c>
      <c r="Q4" s="27">
        <v>3</v>
      </c>
      <c r="R4" s="27">
        <v>3</v>
      </c>
      <c r="S4" s="27">
        <v>1</v>
      </c>
      <c r="T4" s="27">
        <v>2090</v>
      </c>
      <c r="U4" s="27">
        <v>2396</v>
      </c>
      <c r="V4" s="27">
        <v>6</v>
      </c>
      <c r="W4" s="27">
        <v>1</v>
      </c>
      <c r="X4" s="27">
        <v>15</v>
      </c>
      <c r="Y4" s="27">
        <v>3</v>
      </c>
      <c r="Z4" s="27">
        <v>2</v>
      </c>
      <c r="AA4" s="27">
        <v>80</v>
      </c>
      <c r="AB4" s="27">
        <v>0</v>
      </c>
      <c r="AC4" s="27">
        <v>7</v>
      </c>
      <c r="AD4" s="27">
        <v>3</v>
      </c>
      <c r="AE4" s="27">
        <v>3</v>
      </c>
      <c r="AF4" s="27">
        <v>0</v>
      </c>
      <c r="AG4" s="27">
        <v>0</v>
      </c>
      <c r="AH4" s="27">
        <v>0</v>
      </c>
      <c r="AI4" s="28">
        <v>0</v>
      </c>
      <c r="AK4" s="36" t="s">
        <v>328</v>
      </c>
      <c r="AL4" s="39">
        <v>1077.3645309269759</v>
      </c>
      <c r="AY4" s="36" t="s">
        <v>328</v>
      </c>
      <c r="AZ4" s="39">
        <v>1116.6026893038309</v>
      </c>
      <c r="BH4" s="36" t="s">
        <v>14</v>
      </c>
      <c r="BI4" s="44">
        <f>_xll.StatCorrelationCoeff( ST_JobLevel,ST_DistanceFromHome)</f>
        <v>5.3027305544962305E-3</v>
      </c>
      <c r="BJ4" s="44">
        <v>1</v>
      </c>
      <c r="BK4" s="44">
        <f>$BJ$5</f>
        <v>-1.9437080267456805E-3</v>
      </c>
      <c r="BL4" s="44">
        <f>$BJ$6</f>
        <v>0.14250112381048838</v>
      </c>
      <c r="BM4" s="44">
        <f>$BJ$7</f>
        <v>5.4404777488093023E-4</v>
      </c>
      <c r="BN4" s="44">
        <f>$BJ$8</f>
        <v>1.3983910528615516E-2</v>
      </c>
      <c r="BO4" s="44">
        <f>$BJ$9</f>
        <v>3.7817745596666272E-2</v>
      </c>
      <c r="BP4" s="44">
        <f>$BJ$10</f>
        <v>0.53473868737563535</v>
      </c>
      <c r="BQ4" s="44">
        <f>$BJ$11</f>
        <v>0.35388534696410395</v>
      </c>
      <c r="BS4" s="36" t="s">
        <v>14</v>
      </c>
      <c r="BT4" s="44">
        <f>_xll.StatCorrelationCoeff( ST_JobLevel,ST_DistanceFromHome)</f>
        <v>5.3027305544962305E-3</v>
      </c>
      <c r="BU4" s="44">
        <v>1</v>
      </c>
      <c r="BV4" s="44">
        <f>$BU$5</f>
        <v>-1.9437080267456805E-3</v>
      </c>
      <c r="BW4" s="44">
        <f>$BU$6</f>
        <v>7.6769478128517754E-2</v>
      </c>
      <c r="BX4" s="44">
        <f>$BU$7</f>
        <v>0.14250112381048838</v>
      </c>
      <c r="BY4" s="44">
        <f>$BU$8</f>
        <v>5.4404777488093023E-4</v>
      </c>
      <c r="BZ4" s="44">
        <f>$BU$9</f>
        <v>1.3983910528615516E-2</v>
      </c>
      <c r="CA4" s="44">
        <f>$BU$10</f>
        <v>3.7817745596666272E-2</v>
      </c>
      <c r="CB4" s="44">
        <f>$BU$11</f>
        <v>0.53473868737563535</v>
      </c>
      <c r="CC4" s="44">
        <f>$BU$12</f>
        <v>0.35388534696410395</v>
      </c>
      <c r="CE4" s="36" t="s">
        <v>328</v>
      </c>
      <c r="CF4" s="39">
        <v>1063.6989447350716</v>
      </c>
    </row>
    <row r="5" spans="1:90" ht="15" customHeight="1" x14ac:dyDescent="0.25">
      <c r="A5" s="26">
        <v>3</v>
      </c>
      <c r="B5" s="27">
        <v>33</v>
      </c>
      <c r="C5" s="27">
        <v>0</v>
      </c>
      <c r="D5" s="27">
        <v>2</v>
      </c>
      <c r="E5" s="27">
        <v>1392</v>
      </c>
      <c r="F5" s="27">
        <v>2</v>
      </c>
      <c r="G5" s="27">
        <v>3</v>
      </c>
      <c r="H5" s="27">
        <v>4</v>
      </c>
      <c r="I5" s="27">
        <v>1</v>
      </c>
      <c r="J5" s="27">
        <v>1</v>
      </c>
      <c r="K5" s="27">
        <v>5</v>
      </c>
      <c r="L5" s="27">
        <v>4</v>
      </c>
      <c r="M5" s="27">
        <v>0</v>
      </c>
      <c r="N5" s="27">
        <v>56</v>
      </c>
      <c r="O5" s="27">
        <v>3</v>
      </c>
      <c r="P5" s="27">
        <v>1</v>
      </c>
      <c r="Q5" s="27">
        <v>2</v>
      </c>
      <c r="R5" s="27">
        <v>3</v>
      </c>
      <c r="S5" s="27">
        <v>2</v>
      </c>
      <c r="T5" s="27">
        <v>2909</v>
      </c>
      <c r="U5" s="27">
        <v>23159</v>
      </c>
      <c r="V5" s="27">
        <v>1</v>
      </c>
      <c r="W5" s="27">
        <v>1</v>
      </c>
      <c r="X5" s="27">
        <v>11</v>
      </c>
      <c r="Y5" s="27">
        <v>3</v>
      </c>
      <c r="Z5" s="27">
        <v>3</v>
      </c>
      <c r="AA5" s="27">
        <v>80</v>
      </c>
      <c r="AB5" s="27">
        <v>0</v>
      </c>
      <c r="AC5" s="27">
        <v>8</v>
      </c>
      <c r="AD5" s="27">
        <v>3</v>
      </c>
      <c r="AE5" s="27">
        <v>3</v>
      </c>
      <c r="AF5" s="27">
        <v>8</v>
      </c>
      <c r="AG5" s="27">
        <v>7</v>
      </c>
      <c r="AH5" s="27">
        <v>3</v>
      </c>
      <c r="AI5" s="28">
        <v>0</v>
      </c>
      <c r="AK5" s="36" t="s">
        <v>329</v>
      </c>
      <c r="AL5" s="39">
        <v>221.21816990368734</v>
      </c>
      <c r="AY5" s="36" t="s">
        <v>329</v>
      </c>
      <c r="AZ5" s="39">
        <v>181.98001152683241</v>
      </c>
      <c r="BH5" s="36" t="s">
        <v>16</v>
      </c>
      <c r="BI5" s="44">
        <f>_xll.StatCorrelationCoeff( ST_JobSatisfaction,ST_DistanceFromHome)</f>
        <v>-3.6688391677204219E-3</v>
      </c>
      <c r="BJ5" s="44">
        <f>_xll.StatCorrelationCoeff( ST_JobSatisfaction,ST_JobLevel)</f>
        <v>-1.9437080267456805E-3</v>
      </c>
      <c r="BK5" s="44">
        <v>1</v>
      </c>
      <c r="BL5" s="44">
        <f>$BK$6</f>
        <v>-5.5699426012746009E-2</v>
      </c>
      <c r="BM5" s="44">
        <f>$BK$7</f>
        <v>2.4539481060031575E-2</v>
      </c>
      <c r="BN5" s="44">
        <f>$BK$8</f>
        <v>1.069022612075585E-2</v>
      </c>
      <c r="BO5" s="44">
        <f>$BK$9</f>
        <v>-1.9458710212974534E-2</v>
      </c>
      <c r="BP5" s="44">
        <f>$BK$10</f>
        <v>-3.8026279482880621E-3</v>
      </c>
      <c r="BQ5" s="44">
        <f>$BK$11</f>
        <v>-1.8213567810190918E-2</v>
      </c>
      <c r="BS5" s="36" t="s">
        <v>16</v>
      </c>
      <c r="BT5" s="44">
        <f>_xll.StatCorrelationCoeff( ST_JobSatisfaction,ST_DistanceFromHome)</f>
        <v>-3.6688391677204219E-3</v>
      </c>
      <c r="BU5" s="44">
        <f>_xll.StatCorrelationCoeff( ST_JobSatisfaction,ST_JobLevel)</f>
        <v>-1.9437080267456805E-3</v>
      </c>
      <c r="BV5" s="44">
        <v>1</v>
      </c>
      <c r="BW5" s="44">
        <f>$BV$6</f>
        <v>-2.4359952979775883E-2</v>
      </c>
      <c r="BX5" s="44">
        <f>$BV$7</f>
        <v>-5.5699426012746009E-2</v>
      </c>
      <c r="BY5" s="44">
        <f>$BV$8</f>
        <v>2.4539481060031575E-2</v>
      </c>
      <c r="BZ5" s="44">
        <f>$BV$9</f>
        <v>1.069022612075585E-2</v>
      </c>
      <c r="CA5" s="44">
        <f>$BV$10</f>
        <v>-1.9458710212974534E-2</v>
      </c>
      <c r="CB5" s="44">
        <f>$BV$11</f>
        <v>-3.8026279482880621E-3</v>
      </c>
      <c r="CC5" s="44">
        <f>$BV$12</f>
        <v>-1.8213567810190918E-2</v>
      </c>
      <c r="CE5" s="36" t="s">
        <v>329</v>
      </c>
      <c r="CF5" s="39">
        <v>234.88375609559171</v>
      </c>
    </row>
    <row r="6" spans="1:90" ht="15" customHeight="1" x14ac:dyDescent="0.25">
      <c r="A6" s="26">
        <v>4</v>
      </c>
      <c r="B6" s="27">
        <v>27</v>
      </c>
      <c r="C6" s="27">
        <v>0</v>
      </c>
      <c r="D6" s="27">
        <v>1</v>
      </c>
      <c r="E6" s="27">
        <v>591</v>
      </c>
      <c r="F6" s="27">
        <v>2</v>
      </c>
      <c r="G6" s="27">
        <v>2</v>
      </c>
      <c r="H6" s="27">
        <v>1</v>
      </c>
      <c r="I6" s="27">
        <v>3</v>
      </c>
      <c r="J6" s="27">
        <v>1</v>
      </c>
      <c r="K6" s="27">
        <v>7</v>
      </c>
      <c r="L6" s="27">
        <v>1</v>
      </c>
      <c r="M6" s="27">
        <v>1</v>
      </c>
      <c r="N6" s="27">
        <v>40</v>
      </c>
      <c r="O6" s="27">
        <v>3</v>
      </c>
      <c r="P6" s="27">
        <v>1</v>
      </c>
      <c r="Q6" s="27">
        <v>3</v>
      </c>
      <c r="R6" s="27">
        <v>2</v>
      </c>
      <c r="S6" s="27">
        <v>2</v>
      </c>
      <c r="T6" s="27">
        <v>3468</v>
      </c>
      <c r="U6" s="27">
        <v>16632</v>
      </c>
      <c r="V6" s="27">
        <v>9</v>
      </c>
      <c r="W6" s="27">
        <v>0</v>
      </c>
      <c r="X6" s="27">
        <v>12</v>
      </c>
      <c r="Y6" s="27">
        <v>3</v>
      </c>
      <c r="Z6" s="27">
        <v>4</v>
      </c>
      <c r="AA6" s="27">
        <v>80</v>
      </c>
      <c r="AB6" s="27">
        <v>1</v>
      </c>
      <c r="AC6" s="27">
        <v>6</v>
      </c>
      <c r="AD6" s="27">
        <v>3</v>
      </c>
      <c r="AE6" s="27">
        <v>3</v>
      </c>
      <c r="AF6" s="27">
        <v>2</v>
      </c>
      <c r="AG6" s="27">
        <v>2</v>
      </c>
      <c r="AH6" s="27">
        <v>2</v>
      </c>
      <c r="AI6" s="28">
        <v>2</v>
      </c>
      <c r="AK6" s="36" t="s">
        <v>330</v>
      </c>
      <c r="AL6" s="40">
        <v>1.1602265505773379E-42</v>
      </c>
      <c r="AY6" s="36" t="s">
        <v>330</v>
      </c>
      <c r="AZ6" s="40">
        <v>2.8008073320584318E-38</v>
      </c>
      <c r="BH6" s="36" t="s">
        <v>20</v>
      </c>
      <c r="BI6" s="44">
        <f>_xll.StatCorrelationCoeff( ST_NumCompaniesWorked,ST_DistanceFromHome)</f>
        <v>-2.9250804197292993E-2</v>
      </c>
      <c r="BJ6" s="44">
        <f>_xll.StatCorrelationCoeff( ST_NumCompaniesWorked,ST_JobLevel)</f>
        <v>0.14250112381048838</v>
      </c>
      <c r="BK6" s="44">
        <f>_xll.StatCorrelationCoeff( ST_NumCompaniesWorked,ST_JobSatisfaction)</f>
        <v>-5.5699426012746009E-2</v>
      </c>
      <c r="BL6" s="44">
        <v>1</v>
      </c>
      <c r="BM6" s="44">
        <f>$BL$7</f>
        <v>-2.0785821366833976E-2</v>
      </c>
      <c r="BN6" s="44">
        <f>$BL$8</f>
        <v>3.0075475096897532E-2</v>
      </c>
      <c r="BO6" s="44">
        <f>$BL$9</f>
        <v>-8.3656847900586574E-3</v>
      </c>
      <c r="BP6" s="44">
        <f>$BL$10</f>
        <v>-0.11842134024259048</v>
      </c>
      <c r="BQ6" s="44">
        <f>$BL$11</f>
        <v>-3.6813892383508136E-2</v>
      </c>
      <c r="BS6" s="36" t="s">
        <v>17</v>
      </c>
      <c r="BT6" s="44">
        <f>_xll.StatCorrelationCoeff( ST_MaritalStatus,ST_DistanceFromHome)</f>
        <v>1.4437031066696811E-2</v>
      </c>
      <c r="BU6" s="44">
        <f>_xll.StatCorrelationCoeff( ST_MaritalStatus,ST_JobLevel)</f>
        <v>7.6769478128517754E-2</v>
      </c>
      <c r="BV6" s="44">
        <f>_xll.StatCorrelationCoeff( ST_MaritalStatus,ST_JobSatisfaction)</f>
        <v>-2.4359952979775883E-2</v>
      </c>
      <c r="BW6" s="44">
        <v>1</v>
      </c>
      <c r="BX6" s="44">
        <f>$BW$7</f>
        <v>3.5505388737449385E-2</v>
      </c>
      <c r="BY6" s="44">
        <f>$BW$8</f>
        <v>1.7521381576973721E-2</v>
      </c>
      <c r="BZ6" s="44">
        <f>$BW$9</f>
        <v>0.66257729166043167</v>
      </c>
      <c r="CA6" s="44">
        <f>$BW$10</f>
        <v>-1.4708293809199875E-2</v>
      </c>
      <c r="CB6" s="44">
        <f>$BW$11</f>
        <v>5.9986003933261402E-2</v>
      </c>
      <c r="CC6" s="44">
        <f>$BW$12</f>
        <v>3.091507878506022E-2</v>
      </c>
      <c r="CE6" s="36" t="s">
        <v>330</v>
      </c>
      <c r="CF6" s="40">
        <v>8.1215353070097862E-45</v>
      </c>
    </row>
    <row r="7" spans="1:90" ht="15" customHeight="1" x14ac:dyDescent="0.25">
      <c r="A7" s="26">
        <v>5</v>
      </c>
      <c r="B7" s="27">
        <v>32</v>
      </c>
      <c r="C7" s="27">
        <v>0</v>
      </c>
      <c r="D7" s="27">
        <v>2</v>
      </c>
      <c r="E7" s="27">
        <v>1005</v>
      </c>
      <c r="F7" s="27">
        <v>2</v>
      </c>
      <c r="G7" s="27">
        <v>2</v>
      </c>
      <c r="H7" s="27">
        <v>2</v>
      </c>
      <c r="I7" s="27">
        <v>1</v>
      </c>
      <c r="J7" s="27">
        <v>1</v>
      </c>
      <c r="K7" s="27">
        <v>8</v>
      </c>
      <c r="L7" s="27">
        <v>4</v>
      </c>
      <c r="M7" s="27">
        <v>1</v>
      </c>
      <c r="N7" s="27">
        <v>79</v>
      </c>
      <c r="O7" s="27">
        <v>3</v>
      </c>
      <c r="P7" s="27">
        <v>1</v>
      </c>
      <c r="Q7" s="27">
        <v>3</v>
      </c>
      <c r="R7" s="27">
        <v>4</v>
      </c>
      <c r="S7" s="27">
        <v>1</v>
      </c>
      <c r="T7" s="27">
        <v>3068</v>
      </c>
      <c r="U7" s="27">
        <v>11864</v>
      </c>
      <c r="V7" s="27">
        <v>0</v>
      </c>
      <c r="W7" s="27">
        <v>0</v>
      </c>
      <c r="X7" s="27">
        <v>13</v>
      </c>
      <c r="Y7" s="27">
        <v>3</v>
      </c>
      <c r="Z7" s="27">
        <v>3</v>
      </c>
      <c r="AA7" s="27">
        <v>80</v>
      </c>
      <c r="AB7" s="27">
        <v>0</v>
      </c>
      <c r="AC7" s="27">
        <v>8</v>
      </c>
      <c r="AD7" s="27">
        <v>2</v>
      </c>
      <c r="AE7" s="27">
        <v>2</v>
      </c>
      <c r="AF7" s="27">
        <v>7</v>
      </c>
      <c r="AG7" s="27">
        <v>7</v>
      </c>
      <c r="AH7" s="27">
        <v>3</v>
      </c>
      <c r="AI7" s="28">
        <v>6</v>
      </c>
      <c r="BH7" s="36" t="s">
        <v>22</v>
      </c>
      <c r="BI7" s="44">
        <f>_xll.StatCorrelationCoeff( ST_OverTime,ST_DistanceFromHome)</f>
        <v>2.5513634949946084E-2</v>
      </c>
      <c r="BJ7" s="44">
        <f>_xll.StatCorrelationCoeff( ST_OverTime,ST_JobLevel)</f>
        <v>5.4404777488093023E-4</v>
      </c>
      <c r="BK7" s="44">
        <f>_xll.StatCorrelationCoeff( ST_OverTime,ST_JobSatisfaction)</f>
        <v>2.4539481060031575E-2</v>
      </c>
      <c r="BL7" s="44">
        <f>_xll.StatCorrelationCoeff( ST_OverTime,ST_NumCompaniesWorked)</f>
        <v>-2.0785821366833976E-2</v>
      </c>
      <c r="BM7" s="44">
        <v>1</v>
      </c>
      <c r="BN7" s="44">
        <f>$BM$8</f>
        <v>-4.4867072191976266E-4</v>
      </c>
      <c r="BO7" s="44">
        <f>$BM$9</f>
        <v>-2.7091878472392382E-2</v>
      </c>
      <c r="BP7" s="44">
        <f>$BM$10</f>
        <v>-1.1687120468355161E-2</v>
      </c>
      <c r="BQ7" s="44">
        <f>$BM$11</f>
        <v>-1.2238822598887799E-2</v>
      </c>
      <c r="BS7" s="36" t="s">
        <v>20</v>
      </c>
      <c r="BT7" s="44">
        <f>_xll.StatCorrelationCoeff( ST_NumCompaniesWorked,ST_DistanceFromHome)</f>
        <v>-2.9250804197292993E-2</v>
      </c>
      <c r="BU7" s="44">
        <f>_xll.StatCorrelationCoeff( ST_NumCompaniesWorked,ST_JobLevel)</f>
        <v>0.14250112381048838</v>
      </c>
      <c r="BV7" s="44">
        <f>_xll.StatCorrelationCoeff( ST_NumCompaniesWorked,ST_JobSatisfaction)</f>
        <v>-5.5699426012746009E-2</v>
      </c>
      <c r="BW7" s="44">
        <f>_xll.StatCorrelationCoeff( ST_NumCompaniesWorked,ST_MaritalStatus)</f>
        <v>3.5505388737449385E-2</v>
      </c>
      <c r="BX7" s="44">
        <v>1</v>
      </c>
      <c r="BY7" s="44">
        <f>$BX$8</f>
        <v>-2.0785821366833976E-2</v>
      </c>
      <c r="BZ7" s="44">
        <f>$BX$9</f>
        <v>3.0075475096897532E-2</v>
      </c>
      <c r="CA7" s="44">
        <f>$BX$10</f>
        <v>-8.3656847900586574E-3</v>
      </c>
      <c r="CB7" s="44">
        <f>$BX$11</f>
        <v>-0.11842134024259048</v>
      </c>
      <c r="CC7" s="44">
        <f>$BX$12</f>
        <v>-3.6813892383508136E-2</v>
      </c>
    </row>
    <row r="8" spans="1:90" ht="15" customHeight="1" x14ac:dyDescent="0.25">
      <c r="A8" s="26">
        <v>6</v>
      </c>
      <c r="B8" s="27">
        <v>59</v>
      </c>
      <c r="C8" s="27">
        <v>0</v>
      </c>
      <c r="D8" s="27">
        <v>1</v>
      </c>
      <c r="E8" s="27">
        <v>1324</v>
      </c>
      <c r="F8" s="27">
        <v>2</v>
      </c>
      <c r="G8" s="27">
        <v>3</v>
      </c>
      <c r="H8" s="27">
        <v>3</v>
      </c>
      <c r="I8" s="27">
        <v>3</v>
      </c>
      <c r="J8" s="27">
        <v>1</v>
      </c>
      <c r="K8" s="27">
        <v>10</v>
      </c>
      <c r="L8" s="27">
        <v>3</v>
      </c>
      <c r="M8" s="27">
        <v>0</v>
      </c>
      <c r="N8" s="27">
        <v>81</v>
      </c>
      <c r="O8" s="27">
        <v>4</v>
      </c>
      <c r="P8" s="27">
        <v>1</v>
      </c>
      <c r="Q8" s="27">
        <v>3</v>
      </c>
      <c r="R8" s="27">
        <v>1</v>
      </c>
      <c r="S8" s="27">
        <v>2</v>
      </c>
      <c r="T8" s="27">
        <v>2670</v>
      </c>
      <c r="U8" s="27">
        <v>9964</v>
      </c>
      <c r="V8" s="27">
        <v>4</v>
      </c>
      <c r="W8" s="27">
        <v>1</v>
      </c>
      <c r="X8" s="27">
        <v>20</v>
      </c>
      <c r="Y8" s="27">
        <v>4</v>
      </c>
      <c r="Z8" s="27">
        <v>1</v>
      </c>
      <c r="AA8" s="27">
        <v>80</v>
      </c>
      <c r="AB8" s="27">
        <v>3</v>
      </c>
      <c r="AC8" s="27">
        <v>12</v>
      </c>
      <c r="AD8" s="27">
        <v>3</v>
      </c>
      <c r="AE8" s="27">
        <v>2</v>
      </c>
      <c r="AF8" s="27">
        <v>1</v>
      </c>
      <c r="AG8" s="27">
        <v>0</v>
      </c>
      <c r="AH8" s="27">
        <v>0</v>
      </c>
      <c r="AI8" s="28">
        <v>0</v>
      </c>
      <c r="AK8" s="37"/>
      <c r="AL8" s="48" t="s">
        <v>332</v>
      </c>
      <c r="AM8" s="34" t="s">
        <v>333</v>
      </c>
      <c r="AN8" s="34" t="s">
        <v>335</v>
      </c>
      <c r="AO8" s="48" t="s">
        <v>330</v>
      </c>
      <c r="AP8" s="34" t="s">
        <v>336</v>
      </c>
      <c r="AQ8" s="34" t="s">
        <v>338</v>
      </c>
      <c r="AR8" s="48" t="s">
        <v>339</v>
      </c>
      <c r="AY8" s="37"/>
      <c r="AZ8" s="48" t="s">
        <v>332</v>
      </c>
      <c r="BA8" s="34" t="s">
        <v>333</v>
      </c>
      <c r="BB8" s="34" t="s">
        <v>335</v>
      </c>
      <c r="BC8" s="48" t="s">
        <v>330</v>
      </c>
      <c r="BD8" s="34" t="s">
        <v>336</v>
      </c>
      <c r="BE8" s="34" t="s">
        <v>338</v>
      </c>
      <c r="BF8" s="48" t="s">
        <v>339</v>
      </c>
      <c r="BH8" s="36" t="s">
        <v>27</v>
      </c>
      <c r="BI8" s="44">
        <f>_xll.StatCorrelationCoeff( ST_StockOptionLevel,ST_DistanceFromHome)</f>
        <v>4.4871998853181376E-2</v>
      </c>
      <c r="BJ8" s="44">
        <f>_xll.StatCorrelationCoeff( ST_StockOptionLevel,ST_JobLevel)</f>
        <v>1.3983910528615516E-2</v>
      </c>
      <c r="BK8" s="44">
        <f>_xll.StatCorrelationCoeff( ST_StockOptionLevel,ST_JobSatisfaction)</f>
        <v>1.069022612075585E-2</v>
      </c>
      <c r="BL8" s="44">
        <f>_xll.StatCorrelationCoeff( ST_StockOptionLevel,ST_NumCompaniesWorked)</f>
        <v>3.0075475096897532E-2</v>
      </c>
      <c r="BM8" s="44">
        <f>_xll.StatCorrelationCoeff( ST_StockOptionLevel,ST_OverTime)</f>
        <v>-4.4867072191976266E-4</v>
      </c>
      <c r="BN8" s="44">
        <v>1</v>
      </c>
      <c r="BO8" s="44">
        <f>$BN$9</f>
        <v>4.1287300028718223E-3</v>
      </c>
      <c r="BP8" s="44">
        <f>$BN$10</f>
        <v>1.5058008028094431E-2</v>
      </c>
      <c r="BQ8" s="44">
        <f>$BN$11</f>
        <v>1.4352184864355581E-2</v>
      </c>
      <c r="BS8" s="36" t="s">
        <v>22</v>
      </c>
      <c r="BT8" s="44">
        <f>_xll.StatCorrelationCoeff( ST_OverTime,ST_DistanceFromHome)</f>
        <v>2.5513634949946084E-2</v>
      </c>
      <c r="BU8" s="44">
        <f>_xll.StatCorrelationCoeff( ST_OverTime,ST_JobLevel)</f>
        <v>5.4404777488093023E-4</v>
      </c>
      <c r="BV8" s="44">
        <f>_xll.StatCorrelationCoeff( ST_OverTime,ST_JobSatisfaction)</f>
        <v>2.4539481060031575E-2</v>
      </c>
      <c r="BW8" s="44">
        <f>_xll.StatCorrelationCoeff( ST_OverTime,ST_MaritalStatus)</f>
        <v>1.7521381576973721E-2</v>
      </c>
      <c r="BX8" s="44">
        <f>_xll.StatCorrelationCoeff( ST_OverTime,ST_NumCompaniesWorked)</f>
        <v>-2.0785821366833976E-2</v>
      </c>
      <c r="BY8" s="44">
        <v>1</v>
      </c>
      <c r="BZ8" s="44">
        <f>$BY$9</f>
        <v>-4.4867072191976266E-4</v>
      </c>
      <c r="CA8" s="44">
        <f>$BY$10</f>
        <v>-2.7091878472392382E-2</v>
      </c>
      <c r="CB8" s="44">
        <f>$BY$11</f>
        <v>-1.1687120468355161E-2</v>
      </c>
      <c r="CC8" s="44">
        <f>$BY$12</f>
        <v>-1.2238822598887799E-2</v>
      </c>
      <c r="CE8" s="37"/>
      <c r="CF8" s="48" t="s">
        <v>332</v>
      </c>
      <c r="CG8" s="34" t="s">
        <v>333</v>
      </c>
      <c r="CH8" s="34" t="s">
        <v>335</v>
      </c>
      <c r="CI8" s="48" t="s">
        <v>330</v>
      </c>
      <c r="CJ8" s="34" t="s">
        <v>336</v>
      </c>
      <c r="CK8" s="34" t="s">
        <v>338</v>
      </c>
      <c r="CL8" s="48" t="s">
        <v>339</v>
      </c>
    </row>
    <row r="9" spans="1:90" ht="15" customHeight="1" thickBot="1" x14ac:dyDescent="0.3">
      <c r="A9" s="26">
        <v>7</v>
      </c>
      <c r="B9" s="27">
        <v>30</v>
      </c>
      <c r="C9" s="27">
        <v>0</v>
      </c>
      <c r="D9" s="27">
        <v>1</v>
      </c>
      <c r="E9" s="27">
        <v>1358</v>
      </c>
      <c r="F9" s="27">
        <v>2</v>
      </c>
      <c r="G9" s="27">
        <v>24</v>
      </c>
      <c r="H9" s="27">
        <v>1</v>
      </c>
      <c r="I9" s="27">
        <v>1</v>
      </c>
      <c r="J9" s="27">
        <v>1</v>
      </c>
      <c r="K9" s="27">
        <v>11</v>
      </c>
      <c r="L9" s="27">
        <v>4</v>
      </c>
      <c r="M9" s="27">
        <v>1</v>
      </c>
      <c r="N9" s="27">
        <v>67</v>
      </c>
      <c r="O9" s="27">
        <v>3</v>
      </c>
      <c r="P9" s="27">
        <v>1</v>
      </c>
      <c r="Q9" s="27">
        <v>3</v>
      </c>
      <c r="R9" s="27">
        <v>3</v>
      </c>
      <c r="S9" s="27">
        <v>3</v>
      </c>
      <c r="T9" s="27">
        <v>2693</v>
      </c>
      <c r="U9" s="27">
        <v>13335</v>
      </c>
      <c r="V9" s="27">
        <v>1</v>
      </c>
      <c r="W9" s="27">
        <v>0</v>
      </c>
      <c r="X9" s="27">
        <v>22</v>
      </c>
      <c r="Y9" s="27">
        <v>4</v>
      </c>
      <c r="Z9" s="27">
        <v>2</v>
      </c>
      <c r="AA9" s="27">
        <v>80</v>
      </c>
      <c r="AB9" s="27">
        <v>1</v>
      </c>
      <c r="AC9" s="27">
        <v>1</v>
      </c>
      <c r="AD9" s="27">
        <v>2</v>
      </c>
      <c r="AE9" s="27">
        <v>3</v>
      </c>
      <c r="AF9" s="27">
        <v>1</v>
      </c>
      <c r="AG9" s="27">
        <v>0</v>
      </c>
      <c r="AH9" s="27">
        <v>0</v>
      </c>
      <c r="AI9" s="28">
        <v>0</v>
      </c>
      <c r="AK9" s="38" t="s">
        <v>322</v>
      </c>
      <c r="AL9" s="49"/>
      <c r="AM9" s="35" t="s">
        <v>334</v>
      </c>
      <c r="AN9" s="35" t="s">
        <v>87</v>
      </c>
      <c r="AO9" s="49"/>
      <c r="AP9" s="35" t="s">
        <v>337</v>
      </c>
      <c r="AQ9" s="35" t="s">
        <v>337</v>
      </c>
      <c r="AR9" s="49"/>
      <c r="AY9" s="38" t="s">
        <v>322</v>
      </c>
      <c r="AZ9" s="49"/>
      <c r="BA9" s="35" t="s">
        <v>334</v>
      </c>
      <c r="BB9" s="35" t="s">
        <v>87</v>
      </c>
      <c r="BC9" s="49"/>
      <c r="BD9" s="35" t="s">
        <v>337</v>
      </c>
      <c r="BE9" s="35" t="s">
        <v>337</v>
      </c>
      <c r="BF9" s="49"/>
      <c r="BH9" s="36" t="s">
        <v>30</v>
      </c>
      <c r="BI9" s="44">
        <f>_xll.StatCorrelationCoeff( ST_WorkLifeBalance,ST_DistanceFromHome)</f>
        <v>-2.6556004106568967E-2</v>
      </c>
      <c r="BJ9" s="44">
        <f>_xll.StatCorrelationCoeff( ST_WorkLifeBalance,ST_JobLevel)</f>
        <v>3.7817745596666272E-2</v>
      </c>
      <c r="BK9" s="44">
        <f>_xll.StatCorrelationCoeff( ST_WorkLifeBalance,ST_JobSatisfaction)</f>
        <v>-1.9458710212974534E-2</v>
      </c>
      <c r="BL9" s="44">
        <f>_xll.StatCorrelationCoeff( ST_WorkLifeBalance,ST_NumCompaniesWorked)</f>
        <v>-8.3656847900586574E-3</v>
      </c>
      <c r="BM9" s="44">
        <f>_xll.StatCorrelationCoeff( ST_WorkLifeBalance,ST_OverTime)</f>
        <v>-2.7091878472392382E-2</v>
      </c>
      <c r="BN9" s="44">
        <f>_xll.StatCorrelationCoeff( ST_WorkLifeBalance,ST_StockOptionLevel)</f>
        <v>4.1287300028718223E-3</v>
      </c>
      <c r="BO9" s="44">
        <v>1</v>
      </c>
      <c r="BP9" s="44">
        <f>$BO$10</f>
        <v>1.2089185354581271E-2</v>
      </c>
      <c r="BQ9" s="44">
        <f>$BO$11</f>
        <v>8.9412491412342483E-3</v>
      </c>
      <c r="BS9" s="36" t="s">
        <v>27</v>
      </c>
      <c r="BT9" s="44">
        <f>_xll.StatCorrelationCoeff( ST_StockOptionLevel,ST_DistanceFromHome)</f>
        <v>4.4871998853181376E-2</v>
      </c>
      <c r="BU9" s="44">
        <f>_xll.StatCorrelationCoeff( ST_StockOptionLevel,ST_JobLevel)</f>
        <v>1.3983910528615516E-2</v>
      </c>
      <c r="BV9" s="44">
        <f>_xll.StatCorrelationCoeff( ST_StockOptionLevel,ST_JobSatisfaction)</f>
        <v>1.069022612075585E-2</v>
      </c>
      <c r="BW9" s="44">
        <f>_xll.StatCorrelationCoeff( ST_StockOptionLevel,ST_MaritalStatus)</f>
        <v>0.66257729166043167</v>
      </c>
      <c r="BX9" s="44">
        <f>_xll.StatCorrelationCoeff( ST_StockOptionLevel,ST_NumCompaniesWorked)</f>
        <v>3.0075475096897532E-2</v>
      </c>
      <c r="BY9" s="44">
        <f>_xll.StatCorrelationCoeff( ST_StockOptionLevel,ST_OverTime)</f>
        <v>-4.4867072191976266E-4</v>
      </c>
      <c r="BZ9" s="44">
        <v>1</v>
      </c>
      <c r="CA9" s="44">
        <f>$BZ$10</f>
        <v>4.1287300028718223E-3</v>
      </c>
      <c r="CB9" s="44">
        <f>$BZ$11</f>
        <v>1.5058008028094431E-2</v>
      </c>
      <c r="CC9" s="44">
        <f>$BZ$12</f>
        <v>1.4352184864355581E-2</v>
      </c>
      <c r="CE9" s="38" t="s">
        <v>322</v>
      </c>
      <c r="CF9" s="49"/>
      <c r="CG9" s="35" t="s">
        <v>334</v>
      </c>
      <c r="CH9" s="35" t="s">
        <v>87</v>
      </c>
      <c r="CI9" s="49"/>
      <c r="CJ9" s="35" t="s">
        <v>337</v>
      </c>
      <c r="CK9" s="35" t="s">
        <v>337</v>
      </c>
      <c r="CL9" s="49"/>
    </row>
    <row r="10" spans="1:90" ht="15" customHeight="1" thickTop="1" x14ac:dyDescent="0.25">
      <c r="A10" s="26">
        <v>8</v>
      </c>
      <c r="B10" s="27">
        <v>38</v>
      </c>
      <c r="C10" s="27">
        <v>0</v>
      </c>
      <c r="D10" s="27">
        <v>2</v>
      </c>
      <c r="E10" s="27">
        <v>216</v>
      </c>
      <c r="F10" s="27">
        <v>2</v>
      </c>
      <c r="G10" s="27">
        <v>23</v>
      </c>
      <c r="H10" s="27">
        <v>3</v>
      </c>
      <c r="I10" s="27">
        <v>1</v>
      </c>
      <c r="J10" s="27">
        <v>1</v>
      </c>
      <c r="K10" s="27">
        <v>12</v>
      </c>
      <c r="L10" s="27">
        <v>4</v>
      </c>
      <c r="M10" s="27">
        <v>1</v>
      </c>
      <c r="N10" s="27">
        <v>44</v>
      </c>
      <c r="O10" s="27">
        <v>2</v>
      </c>
      <c r="P10" s="27">
        <v>3</v>
      </c>
      <c r="Q10" s="27">
        <v>4</v>
      </c>
      <c r="R10" s="27">
        <v>3</v>
      </c>
      <c r="S10" s="27">
        <v>1</v>
      </c>
      <c r="T10" s="27">
        <v>9526</v>
      </c>
      <c r="U10" s="27">
        <v>8787</v>
      </c>
      <c r="V10" s="27">
        <v>0</v>
      </c>
      <c r="W10" s="27">
        <v>0</v>
      </c>
      <c r="X10" s="27">
        <v>21</v>
      </c>
      <c r="Y10" s="27">
        <v>4</v>
      </c>
      <c r="Z10" s="27">
        <v>2</v>
      </c>
      <c r="AA10" s="27">
        <v>80</v>
      </c>
      <c r="AB10" s="27">
        <v>0</v>
      </c>
      <c r="AC10" s="27">
        <v>10</v>
      </c>
      <c r="AD10" s="27">
        <v>2</v>
      </c>
      <c r="AE10" s="27">
        <v>3</v>
      </c>
      <c r="AF10" s="27">
        <v>9</v>
      </c>
      <c r="AG10" s="27">
        <v>7</v>
      </c>
      <c r="AH10" s="27">
        <v>1</v>
      </c>
      <c r="AI10" s="28">
        <v>8</v>
      </c>
      <c r="AK10" s="36" t="s">
        <v>331</v>
      </c>
      <c r="AL10" s="33">
        <v>0.24209488897127276</v>
      </c>
      <c r="AM10" s="39">
        <v>0.40885779289775936</v>
      </c>
      <c r="AN10" s="39">
        <v>0.5921249225933477</v>
      </c>
      <c r="AO10" s="40">
        <v>0.55376693901880225</v>
      </c>
      <c r="AP10" s="39">
        <v>-0.5592663851083356</v>
      </c>
      <c r="AQ10" s="39">
        <v>1.0434561630508812</v>
      </c>
      <c r="AR10" s="39">
        <v>1.2739150675715143</v>
      </c>
      <c r="AY10" s="36" t="s">
        <v>331</v>
      </c>
      <c r="AZ10" s="33">
        <v>-2.8084465465090771E-2</v>
      </c>
      <c r="BA10" s="39">
        <v>0.2532547571168472</v>
      </c>
      <c r="BB10" s="39">
        <v>-0.11089412805040856</v>
      </c>
      <c r="BC10" s="40">
        <v>0.91170030202005359</v>
      </c>
      <c r="BD10" s="39">
        <v>-0.52446378941411131</v>
      </c>
      <c r="BE10" s="39">
        <v>0.46829485848392977</v>
      </c>
      <c r="BF10" s="39">
        <v>0.97230623703420949</v>
      </c>
      <c r="BH10" s="36" t="s">
        <v>31</v>
      </c>
      <c r="BI10" s="44">
        <f>_xll.StatCorrelationCoeff( ST_YearsAtCompany,ST_DistanceFromHome)</f>
        <v>9.507719899011273E-3</v>
      </c>
      <c r="BJ10" s="44">
        <f>_xll.StatCorrelationCoeff( ST_YearsAtCompany,ST_JobLevel)</f>
        <v>0.53473868737563535</v>
      </c>
      <c r="BK10" s="44">
        <f>_xll.StatCorrelationCoeff( ST_YearsAtCompany,ST_JobSatisfaction)</f>
        <v>-3.8026279482880621E-3</v>
      </c>
      <c r="BL10" s="44">
        <f>_xll.StatCorrelationCoeff( ST_YearsAtCompany,ST_NumCompaniesWorked)</f>
        <v>-0.11842134024259048</v>
      </c>
      <c r="BM10" s="44">
        <f>_xll.StatCorrelationCoeff( ST_YearsAtCompany,ST_OverTime)</f>
        <v>-1.1687120468355161E-2</v>
      </c>
      <c r="BN10" s="44">
        <f>_xll.StatCorrelationCoeff( ST_YearsAtCompany,ST_StockOptionLevel)</f>
        <v>1.5058008028094431E-2</v>
      </c>
      <c r="BO10" s="44">
        <f>_xll.StatCorrelationCoeff( ST_YearsAtCompany,ST_WorkLifeBalance)</f>
        <v>1.2089185354581271E-2</v>
      </c>
      <c r="BP10" s="44">
        <v>1</v>
      </c>
      <c r="BQ10" s="44">
        <f>$BP$11</f>
        <v>0.61840886521760197</v>
      </c>
      <c r="BS10" s="36" t="s">
        <v>30</v>
      </c>
      <c r="BT10" s="44">
        <f>_xll.StatCorrelationCoeff( ST_WorkLifeBalance,ST_DistanceFromHome)</f>
        <v>-2.6556004106568967E-2</v>
      </c>
      <c r="BU10" s="44">
        <f>_xll.StatCorrelationCoeff( ST_WorkLifeBalance,ST_JobLevel)</f>
        <v>3.7817745596666272E-2</v>
      </c>
      <c r="BV10" s="44">
        <f>_xll.StatCorrelationCoeff( ST_WorkLifeBalance,ST_JobSatisfaction)</f>
        <v>-1.9458710212974534E-2</v>
      </c>
      <c r="BW10" s="44">
        <f>_xll.StatCorrelationCoeff( ST_WorkLifeBalance,ST_MaritalStatus)</f>
        <v>-1.4708293809199875E-2</v>
      </c>
      <c r="BX10" s="44">
        <f>_xll.StatCorrelationCoeff( ST_WorkLifeBalance,ST_NumCompaniesWorked)</f>
        <v>-8.3656847900586574E-3</v>
      </c>
      <c r="BY10" s="44">
        <f>_xll.StatCorrelationCoeff( ST_WorkLifeBalance,ST_OverTime)</f>
        <v>-2.7091878472392382E-2</v>
      </c>
      <c r="BZ10" s="44">
        <f>_xll.StatCorrelationCoeff( ST_WorkLifeBalance,ST_StockOptionLevel)</f>
        <v>4.1287300028718223E-3</v>
      </c>
      <c r="CA10" s="44">
        <v>1</v>
      </c>
      <c r="CB10" s="44">
        <f>$CA$11</f>
        <v>1.2089185354581271E-2</v>
      </c>
      <c r="CC10" s="44">
        <f>$CA$12</f>
        <v>8.9412491412342483E-3</v>
      </c>
      <c r="CE10" s="36" t="s">
        <v>331</v>
      </c>
      <c r="CF10" s="33">
        <v>1.0496420120801955</v>
      </c>
      <c r="CG10" s="39">
        <v>0.46731328562582619</v>
      </c>
      <c r="CH10" s="39">
        <v>2.2461206312046413</v>
      </c>
      <c r="CI10" s="40">
        <v>2.4696282200424413E-2</v>
      </c>
      <c r="CJ10" s="39">
        <v>0.13370797225357611</v>
      </c>
      <c r="CK10" s="39">
        <v>1.9655760519068148</v>
      </c>
      <c r="CL10" s="39">
        <v>2.8566282965736733</v>
      </c>
    </row>
    <row r="11" spans="1:90" ht="15" customHeight="1" x14ac:dyDescent="0.25">
      <c r="A11" s="26">
        <v>9</v>
      </c>
      <c r="B11" s="27">
        <v>36</v>
      </c>
      <c r="C11" s="27">
        <v>0</v>
      </c>
      <c r="D11" s="27">
        <v>1</v>
      </c>
      <c r="E11" s="27">
        <v>1299</v>
      </c>
      <c r="F11" s="27">
        <v>2</v>
      </c>
      <c r="G11" s="27">
        <v>27</v>
      </c>
      <c r="H11" s="27">
        <v>3</v>
      </c>
      <c r="I11" s="27">
        <v>3</v>
      </c>
      <c r="J11" s="27">
        <v>1</v>
      </c>
      <c r="K11" s="27">
        <v>13</v>
      </c>
      <c r="L11" s="27">
        <v>3</v>
      </c>
      <c r="M11" s="27">
        <v>1</v>
      </c>
      <c r="N11" s="27">
        <v>94</v>
      </c>
      <c r="O11" s="27">
        <v>3</v>
      </c>
      <c r="P11" s="27">
        <v>2</v>
      </c>
      <c r="Q11" s="27">
        <v>5</v>
      </c>
      <c r="R11" s="27">
        <v>3</v>
      </c>
      <c r="S11" s="27">
        <v>2</v>
      </c>
      <c r="T11" s="27">
        <v>5237</v>
      </c>
      <c r="U11" s="27">
        <v>16577</v>
      </c>
      <c r="V11" s="27">
        <v>6</v>
      </c>
      <c r="W11" s="27">
        <v>0</v>
      </c>
      <c r="X11" s="27">
        <v>13</v>
      </c>
      <c r="Y11" s="27">
        <v>3</v>
      </c>
      <c r="Z11" s="27">
        <v>2</v>
      </c>
      <c r="AA11" s="27">
        <v>80</v>
      </c>
      <c r="AB11" s="27">
        <v>2</v>
      </c>
      <c r="AC11" s="27">
        <v>17</v>
      </c>
      <c r="AD11" s="27">
        <v>3</v>
      </c>
      <c r="AE11" s="27">
        <v>2</v>
      </c>
      <c r="AF11" s="27">
        <v>7</v>
      </c>
      <c r="AG11" s="27">
        <v>7</v>
      </c>
      <c r="AH11" s="27">
        <v>7</v>
      </c>
      <c r="AI11" s="28">
        <v>7</v>
      </c>
      <c r="AK11" s="36" t="s">
        <v>5</v>
      </c>
      <c r="AL11" s="33">
        <v>3.363621422422227E-2</v>
      </c>
      <c r="AM11" s="39">
        <v>9.3661093502246679E-3</v>
      </c>
      <c r="AN11" s="39">
        <v>3.5912685797775175</v>
      </c>
      <c r="AO11" s="40">
        <v>3.2907230059842085E-4</v>
      </c>
      <c r="AP11" s="39">
        <v>1.5278639897781922E-2</v>
      </c>
      <c r="AQ11" s="39">
        <v>5.1993788550662619E-2</v>
      </c>
      <c r="AR11" s="39">
        <v>1.0342083080145612</v>
      </c>
      <c r="AY11" s="36" t="s">
        <v>14</v>
      </c>
      <c r="AZ11" s="33">
        <v>-0.55841286610977969</v>
      </c>
      <c r="BA11" s="39">
        <v>8.6968127913085475E-2</v>
      </c>
      <c r="BB11" s="39">
        <v>-6.4208909575223743</v>
      </c>
      <c r="BC11" s="40">
        <v>1.3547896138277338E-10</v>
      </c>
      <c r="BD11" s="39">
        <v>-0.72887039681942722</v>
      </c>
      <c r="BE11" s="39">
        <v>-0.38795533540013216</v>
      </c>
      <c r="BF11" s="39">
        <v>0.57211636892931339</v>
      </c>
      <c r="BH11" s="36" t="s">
        <v>33</v>
      </c>
      <c r="BI11" s="44">
        <f>_xll.StatCorrelationCoeff( ST_YearsSinceLastPromotion,ST_DistanceFromHome)</f>
        <v>1.0028835943115365E-2</v>
      </c>
      <c r="BJ11" s="44">
        <f>_xll.StatCorrelationCoeff( ST_YearsSinceLastPromotion,ST_JobLevel)</f>
        <v>0.35388534696410395</v>
      </c>
      <c r="BK11" s="44">
        <f>_xll.StatCorrelationCoeff( ST_YearsSinceLastPromotion,ST_JobSatisfaction)</f>
        <v>-1.8213567810190918E-2</v>
      </c>
      <c r="BL11" s="44">
        <f>_xll.StatCorrelationCoeff( ST_YearsSinceLastPromotion,ST_NumCompaniesWorked)</f>
        <v>-3.6813892383508136E-2</v>
      </c>
      <c r="BM11" s="44">
        <f>_xll.StatCorrelationCoeff( ST_YearsSinceLastPromotion,ST_OverTime)</f>
        <v>-1.2238822598887799E-2</v>
      </c>
      <c r="BN11" s="44">
        <f>_xll.StatCorrelationCoeff( ST_YearsSinceLastPromotion,ST_StockOptionLevel)</f>
        <v>1.4352184864355581E-2</v>
      </c>
      <c r="BO11" s="44">
        <f>_xll.StatCorrelationCoeff( ST_YearsSinceLastPromotion,ST_WorkLifeBalance)</f>
        <v>8.9412491412342483E-3</v>
      </c>
      <c r="BP11" s="44">
        <f>_xll.StatCorrelationCoeff( ST_YearsSinceLastPromotion,ST_YearsAtCompany)</f>
        <v>0.61840886521760197</v>
      </c>
      <c r="BQ11" s="44">
        <v>1</v>
      </c>
      <c r="BS11" s="36" t="s">
        <v>31</v>
      </c>
      <c r="BT11" s="44">
        <f>_xll.StatCorrelationCoeff( ST_YearsAtCompany,ST_DistanceFromHome)</f>
        <v>9.507719899011273E-3</v>
      </c>
      <c r="BU11" s="44">
        <f>_xll.StatCorrelationCoeff( ST_YearsAtCompany,ST_JobLevel)</f>
        <v>0.53473868737563535</v>
      </c>
      <c r="BV11" s="44">
        <f>_xll.StatCorrelationCoeff( ST_YearsAtCompany,ST_JobSatisfaction)</f>
        <v>-3.8026279482880621E-3</v>
      </c>
      <c r="BW11" s="44">
        <f>_xll.StatCorrelationCoeff( ST_YearsAtCompany,ST_MaritalStatus)</f>
        <v>5.9986003933261402E-2</v>
      </c>
      <c r="BX11" s="44">
        <f>_xll.StatCorrelationCoeff( ST_YearsAtCompany,ST_NumCompaniesWorked)</f>
        <v>-0.11842134024259048</v>
      </c>
      <c r="BY11" s="44">
        <f>_xll.StatCorrelationCoeff( ST_YearsAtCompany,ST_OverTime)</f>
        <v>-1.1687120468355161E-2</v>
      </c>
      <c r="BZ11" s="44">
        <f>_xll.StatCorrelationCoeff( ST_YearsAtCompany,ST_StockOptionLevel)</f>
        <v>1.5058008028094431E-2</v>
      </c>
      <c r="CA11" s="44">
        <f>_xll.StatCorrelationCoeff( ST_YearsAtCompany,ST_WorkLifeBalance)</f>
        <v>1.2089185354581271E-2</v>
      </c>
      <c r="CB11" s="44">
        <v>1</v>
      </c>
      <c r="CC11" s="44">
        <f>$CB$12</f>
        <v>0.61840886521760197</v>
      </c>
      <c r="CE11" s="36" t="s">
        <v>5</v>
      </c>
      <c r="CF11" s="33">
        <v>3.332179714931166E-2</v>
      </c>
      <c r="CG11" s="39">
        <v>9.3840881626167036E-3</v>
      </c>
      <c r="CH11" s="39">
        <v>3.5508827892362911</v>
      </c>
      <c r="CI11" s="40">
        <v>3.8394136250552435E-4</v>
      </c>
      <c r="CJ11" s="39">
        <v>1.4928984350582923E-2</v>
      </c>
      <c r="CK11" s="39">
        <v>5.1714609948040398E-2</v>
      </c>
      <c r="CL11" s="39">
        <v>1.0338831863780824</v>
      </c>
    </row>
    <row r="12" spans="1:90" ht="15" customHeight="1" x14ac:dyDescent="0.25">
      <c r="A12" s="26">
        <v>10</v>
      </c>
      <c r="B12" s="27">
        <v>35</v>
      </c>
      <c r="C12" s="27">
        <v>0</v>
      </c>
      <c r="D12" s="27">
        <v>1</v>
      </c>
      <c r="E12" s="27">
        <v>809</v>
      </c>
      <c r="F12" s="27">
        <v>2</v>
      </c>
      <c r="G12" s="27">
        <v>16</v>
      </c>
      <c r="H12" s="27">
        <v>3</v>
      </c>
      <c r="I12" s="27">
        <v>3</v>
      </c>
      <c r="J12" s="27">
        <v>1</v>
      </c>
      <c r="K12" s="27">
        <v>14</v>
      </c>
      <c r="L12" s="27">
        <v>1</v>
      </c>
      <c r="M12" s="27">
        <v>1</v>
      </c>
      <c r="N12" s="27">
        <v>84</v>
      </c>
      <c r="O12" s="27">
        <v>4</v>
      </c>
      <c r="P12" s="27">
        <v>1</v>
      </c>
      <c r="Q12" s="27">
        <v>3</v>
      </c>
      <c r="R12" s="27">
        <v>2</v>
      </c>
      <c r="S12" s="27">
        <v>2</v>
      </c>
      <c r="T12" s="27">
        <v>2426</v>
      </c>
      <c r="U12" s="27">
        <v>16479</v>
      </c>
      <c r="V12" s="27">
        <v>0</v>
      </c>
      <c r="W12" s="27">
        <v>0</v>
      </c>
      <c r="X12" s="27">
        <v>13</v>
      </c>
      <c r="Y12" s="27">
        <v>3</v>
      </c>
      <c r="Z12" s="27">
        <v>3</v>
      </c>
      <c r="AA12" s="27">
        <v>80</v>
      </c>
      <c r="AB12" s="27">
        <v>1</v>
      </c>
      <c r="AC12" s="27">
        <v>6</v>
      </c>
      <c r="AD12" s="27">
        <v>5</v>
      </c>
      <c r="AE12" s="27">
        <v>3</v>
      </c>
      <c r="AF12" s="27">
        <v>5</v>
      </c>
      <c r="AG12" s="27">
        <v>4</v>
      </c>
      <c r="AH12" s="27">
        <v>0</v>
      </c>
      <c r="AI12" s="28">
        <v>3</v>
      </c>
      <c r="AK12" s="36" t="s">
        <v>14</v>
      </c>
      <c r="AL12" s="33">
        <v>-0.55158168776457817</v>
      </c>
      <c r="AM12" s="39">
        <v>0.10328653857629559</v>
      </c>
      <c r="AN12" s="39">
        <v>-5.3403056716547468</v>
      </c>
      <c r="AO12" s="40">
        <v>9.2789994132758125E-8</v>
      </c>
      <c r="AP12" s="39">
        <v>-0.75402330337411749</v>
      </c>
      <c r="AQ12" s="39">
        <v>-0.34914007215503884</v>
      </c>
      <c r="AR12" s="39">
        <v>0.57603797723239614</v>
      </c>
      <c r="AY12" s="36" t="s">
        <v>16</v>
      </c>
      <c r="AZ12" s="33">
        <v>-0.29237817108391839</v>
      </c>
      <c r="BA12" s="39">
        <v>6.8194941907637988E-2</v>
      </c>
      <c r="BB12" s="39">
        <v>-4.2873879338428083</v>
      </c>
      <c r="BC12" s="40">
        <v>1.8078641154772868E-5</v>
      </c>
      <c r="BD12" s="39">
        <v>-0.42604025722288885</v>
      </c>
      <c r="BE12" s="39">
        <v>-0.15871608494494793</v>
      </c>
      <c r="BF12" s="39">
        <v>0.74648618309888326</v>
      </c>
      <c r="BS12" s="36" t="s">
        <v>33</v>
      </c>
      <c r="BT12" s="44">
        <f>_xll.StatCorrelationCoeff( ST_YearsSinceLastPromotion,ST_DistanceFromHome)</f>
        <v>1.0028835943115365E-2</v>
      </c>
      <c r="BU12" s="44">
        <f>_xll.StatCorrelationCoeff( ST_YearsSinceLastPromotion,ST_JobLevel)</f>
        <v>0.35388534696410395</v>
      </c>
      <c r="BV12" s="44">
        <f>_xll.StatCorrelationCoeff( ST_YearsSinceLastPromotion,ST_JobSatisfaction)</f>
        <v>-1.8213567810190918E-2</v>
      </c>
      <c r="BW12" s="44">
        <f>_xll.StatCorrelationCoeff( ST_YearsSinceLastPromotion,ST_MaritalStatus)</f>
        <v>3.091507878506022E-2</v>
      </c>
      <c r="BX12" s="44">
        <f>_xll.StatCorrelationCoeff( ST_YearsSinceLastPromotion,ST_NumCompaniesWorked)</f>
        <v>-3.6813892383508136E-2</v>
      </c>
      <c r="BY12" s="44">
        <f>_xll.StatCorrelationCoeff( ST_YearsSinceLastPromotion,ST_OverTime)</f>
        <v>-1.2238822598887799E-2</v>
      </c>
      <c r="BZ12" s="44">
        <f>_xll.StatCorrelationCoeff( ST_YearsSinceLastPromotion,ST_StockOptionLevel)</f>
        <v>1.4352184864355581E-2</v>
      </c>
      <c r="CA12" s="44">
        <f>_xll.StatCorrelationCoeff( ST_YearsSinceLastPromotion,ST_WorkLifeBalance)</f>
        <v>8.9412491412342483E-3</v>
      </c>
      <c r="CB12" s="44">
        <f>_xll.StatCorrelationCoeff( ST_YearsSinceLastPromotion,ST_YearsAtCompany)</f>
        <v>0.61840886521760197</v>
      </c>
      <c r="CC12" s="44">
        <v>1</v>
      </c>
      <c r="CE12" s="36" t="s">
        <v>14</v>
      </c>
      <c r="CF12" s="33">
        <v>-0.54022045267775165</v>
      </c>
      <c r="CG12" s="39">
        <v>0.10353813876765448</v>
      </c>
      <c r="CH12" s="39">
        <v>-5.2175986463310613</v>
      </c>
      <c r="CI12" s="40">
        <v>1.8125769418730897E-7</v>
      </c>
      <c r="CJ12" s="39">
        <v>-0.74315520466235441</v>
      </c>
      <c r="CK12" s="39">
        <v>-0.33728570069314889</v>
      </c>
      <c r="CL12" s="39">
        <v>0.58261979812086095</v>
      </c>
    </row>
    <row r="13" spans="1:90" ht="15" customHeight="1" x14ac:dyDescent="0.25">
      <c r="A13" s="26">
        <v>11</v>
      </c>
      <c r="B13" s="27">
        <v>29</v>
      </c>
      <c r="C13" s="27">
        <v>0</v>
      </c>
      <c r="D13" s="27">
        <v>1</v>
      </c>
      <c r="E13" s="27">
        <v>153</v>
      </c>
      <c r="F13" s="27">
        <v>2</v>
      </c>
      <c r="G13" s="27">
        <v>15</v>
      </c>
      <c r="H13" s="27">
        <v>2</v>
      </c>
      <c r="I13" s="27">
        <v>1</v>
      </c>
      <c r="J13" s="27">
        <v>1</v>
      </c>
      <c r="K13" s="27">
        <v>15</v>
      </c>
      <c r="L13" s="27">
        <v>4</v>
      </c>
      <c r="M13" s="27">
        <v>0</v>
      </c>
      <c r="N13" s="27">
        <v>49</v>
      </c>
      <c r="O13" s="27">
        <v>2</v>
      </c>
      <c r="P13" s="27">
        <v>2</v>
      </c>
      <c r="Q13" s="27">
        <v>3</v>
      </c>
      <c r="R13" s="27">
        <v>3</v>
      </c>
      <c r="S13" s="27">
        <v>1</v>
      </c>
      <c r="T13" s="27">
        <v>4193</v>
      </c>
      <c r="U13" s="27">
        <v>12682</v>
      </c>
      <c r="V13" s="27">
        <v>0</v>
      </c>
      <c r="W13" s="27">
        <v>1</v>
      </c>
      <c r="X13" s="27">
        <v>12</v>
      </c>
      <c r="Y13" s="27">
        <v>3</v>
      </c>
      <c r="Z13" s="27">
        <v>4</v>
      </c>
      <c r="AA13" s="27">
        <v>80</v>
      </c>
      <c r="AB13" s="27">
        <v>0</v>
      </c>
      <c r="AC13" s="27">
        <v>10</v>
      </c>
      <c r="AD13" s="27">
        <v>3</v>
      </c>
      <c r="AE13" s="27">
        <v>3</v>
      </c>
      <c r="AF13" s="27">
        <v>9</v>
      </c>
      <c r="AG13" s="27">
        <v>5</v>
      </c>
      <c r="AH13" s="27">
        <v>0</v>
      </c>
      <c r="AI13" s="28">
        <v>8</v>
      </c>
      <c r="AK13" s="36" t="s">
        <v>16</v>
      </c>
      <c r="AL13" s="33">
        <v>-0.29202620892066861</v>
      </c>
      <c r="AM13" s="39">
        <v>6.9659209411305448E-2</v>
      </c>
      <c r="AN13" s="39">
        <v>-4.1922125069836609</v>
      </c>
      <c r="AO13" s="40">
        <v>2.7624704350914797E-5</v>
      </c>
      <c r="AP13" s="39">
        <v>-0.42855825936682729</v>
      </c>
      <c r="AQ13" s="39">
        <v>-0.15549415847450992</v>
      </c>
      <c r="AR13" s="39">
        <v>0.74674896423251824</v>
      </c>
      <c r="AY13" s="36" t="s">
        <v>22</v>
      </c>
      <c r="AZ13" s="33">
        <v>1.4527253720104716</v>
      </c>
      <c r="BA13" s="39">
        <v>0.15500484976456044</v>
      </c>
      <c r="BB13" s="39">
        <v>9.3721285122177882</v>
      </c>
      <c r="BC13" s="40">
        <v>0</v>
      </c>
      <c r="BD13" s="39">
        <v>1.148915866471933</v>
      </c>
      <c r="BE13" s="39">
        <v>1.7565348775490102</v>
      </c>
      <c r="BF13" s="39">
        <v>4.2747489350056158</v>
      </c>
      <c r="BH13" s="37"/>
      <c r="BI13" s="34" t="s">
        <v>5</v>
      </c>
      <c r="BJ13" s="34" t="s">
        <v>14</v>
      </c>
      <c r="BK13" s="34" t="s">
        <v>16</v>
      </c>
      <c r="BL13" s="34" t="s">
        <v>20</v>
      </c>
      <c r="BM13" s="34" t="s">
        <v>22</v>
      </c>
      <c r="BN13" s="34" t="s">
        <v>27</v>
      </c>
      <c r="BO13" s="34" t="s">
        <v>30</v>
      </c>
      <c r="BP13" s="34" t="s">
        <v>31</v>
      </c>
      <c r="BQ13" s="34" t="s">
        <v>33</v>
      </c>
      <c r="CE13" s="36" t="s">
        <v>16</v>
      </c>
      <c r="CF13" s="33">
        <v>-0.31034764745142185</v>
      </c>
      <c r="CG13" s="39">
        <v>7.0234556978682985E-2</v>
      </c>
      <c r="CH13" s="39">
        <v>-4.4187314735339758</v>
      </c>
      <c r="CI13" s="40">
        <v>9.9281909378134969E-6</v>
      </c>
      <c r="CJ13" s="39">
        <v>-0.4480073791296405</v>
      </c>
      <c r="CK13" s="39">
        <v>-0.17268791577320319</v>
      </c>
      <c r="CL13" s="39">
        <v>0.73319201957581048</v>
      </c>
    </row>
    <row r="14" spans="1:90" ht="15" customHeight="1" thickBot="1" x14ac:dyDescent="0.3">
      <c r="A14" s="26">
        <v>12</v>
      </c>
      <c r="B14" s="27">
        <v>31</v>
      </c>
      <c r="C14" s="27">
        <v>0</v>
      </c>
      <c r="D14" s="27">
        <v>1</v>
      </c>
      <c r="E14" s="27">
        <v>670</v>
      </c>
      <c r="F14" s="27">
        <v>2</v>
      </c>
      <c r="G14" s="27">
        <v>26</v>
      </c>
      <c r="H14" s="27">
        <v>1</v>
      </c>
      <c r="I14" s="27">
        <v>1</v>
      </c>
      <c r="J14" s="27">
        <v>1</v>
      </c>
      <c r="K14" s="27">
        <v>16</v>
      </c>
      <c r="L14" s="27">
        <v>1</v>
      </c>
      <c r="M14" s="27">
        <v>1</v>
      </c>
      <c r="N14" s="27">
        <v>31</v>
      </c>
      <c r="O14" s="27">
        <v>3</v>
      </c>
      <c r="P14" s="27">
        <v>1</v>
      </c>
      <c r="Q14" s="27">
        <v>2</v>
      </c>
      <c r="R14" s="27">
        <v>3</v>
      </c>
      <c r="S14" s="27">
        <v>3</v>
      </c>
      <c r="T14" s="27">
        <v>2911</v>
      </c>
      <c r="U14" s="27">
        <v>15170</v>
      </c>
      <c r="V14" s="27">
        <v>1</v>
      </c>
      <c r="W14" s="27">
        <v>0</v>
      </c>
      <c r="X14" s="27">
        <v>17</v>
      </c>
      <c r="Y14" s="27">
        <v>3</v>
      </c>
      <c r="Z14" s="27">
        <v>4</v>
      </c>
      <c r="AA14" s="27">
        <v>80</v>
      </c>
      <c r="AB14" s="27">
        <v>1</v>
      </c>
      <c r="AC14" s="27">
        <v>5</v>
      </c>
      <c r="AD14" s="27">
        <v>1</v>
      </c>
      <c r="AE14" s="27">
        <v>2</v>
      </c>
      <c r="AF14" s="27">
        <v>5</v>
      </c>
      <c r="AG14" s="27">
        <v>2</v>
      </c>
      <c r="AH14" s="27">
        <v>4</v>
      </c>
      <c r="AI14" s="28">
        <v>3</v>
      </c>
      <c r="AK14" s="36" t="s">
        <v>20</v>
      </c>
      <c r="AL14" s="33">
        <v>8.3986770797637347E-2</v>
      </c>
      <c r="AM14" s="39">
        <v>3.0858401147537077E-2</v>
      </c>
      <c r="AN14" s="39">
        <v>2.721682513494081</v>
      </c>
      <c r="AO14" s="40">
        <v>6.4950508397225715E-3</v>
      </c>
      <c r="AP14" s="39">
        <v>2.350430454846468E-2</v>
      </c>
      <c r="AQ14" s="39">
        <v>0.14446923704681003</v>
      </c>
      <c r="AR14" s="39">
        <v>1.087614505441268</v>
      </c>
      <c r="AY14" s="36" t="s">
        <v>27</v>
      </c>
      <c r="AZ14" s="33">
        <v>-0.52763677149865895</v>
      </c>
      <c r="BA14" s="39">
        <v>0.1028770513254544</v>
      </c>
      <c r="BB14" s="39">
        <v>-5.1288092407456878</v>
      </c>
      <c r="BC14" s="40">
        <v>2.915806158743095E-7</v>
      </c>
      <c r="BD14" s="39">
        <v>-0.72927579209654958</v>
      </c>
      <c r="BE14" s="39">
        <v>-0.32599775090076832</v>
      </c>
      <c r="BF14" s="39">
        <v>0.58999762264918032</v>
      </c>
      <c r="BH14" s="38" t="s">
        <v>348</v>
      </c>
      <c r="BI14" s="35" t="s">
        <v>98</v>
      </c>
      <c r="BJ14" s="35" t="s">
        <v>98</v>
      </c>
      <c r="BK14" s="35" t="s">
        <v>98</v>
      </c>
      <c r="BL14" s="35" t="s">
        <v>98</v>
      </c>
      <c r="BM14" s="35" t="s">
        <v>98</v>
      </c>
      <c r="BN14" s="35" t="s">
        <v>98</v>
      </c>
      <c r="BO14" s="35" t="s">
        <v>98</v>
      </c>
      <c r="BP14" s="35" t="s">
        <v>98</v>
      </c>
      <c r="BQ14" s="35" t="s">
        <v>98</v>
      </c>
      <c r="BS14" s="37"/>
      <c r="BT14" s="34" t="s">
        <v>5</v>
      </c>
      <c r="BU14" s="34" t="s">
        <v>14</v>
      </c>
      <c r="BV14" s="34" t="s">
        <v>16</v>
      </c>
      <c r="BW14" s="34" t="s">
        <v>17</v>
      </c>
      <c r="BX14" s="34" t="s">
        <v>20</v>
      </c>
      <c r="BY14" s="34" t="s">
        <v>22</v>
      </c>
      <c r="BZ14" s="34" t="s">
        <v>27</v>
      </c>
      <c r="CA14" s="34" t="s">
        <v>30</v>
      </c>
      <c r="CB14" s="34" t="s">
        <v>31</v>
      </c>
      <c r="CC14" s="34" t="s">
        <v>33</v>
      </c>
      <c r="CE14" s="36" t="s">
        <v>17</v>
      </c>
      <c r="CF14" s="33">
        <v>-0.55418498586344023</v>
      </c>
      <c r="CG14" s="39">
        <v>0.15342400438411219</v>
      </c>
      <c r="CH14" s="39">
        <v>-3.6121139458463309</v>
      </c>
      <c r="CI14" s="40">
        <v>3.0371105184756608E-4</v>
      </c>
      <c r="CJ14" s="39">
        <v>-0.85489603445630014</v>
      </c>
      <c r="CK14" s="39">
        <v>-0.25347393727058032</v>
      </c>
      <c r="CL14" s="39">
        <v>0.57454032891971418</v>
      </c>
    </row>
    <row r="15" spans="1:90" ht="15" customHeight="1" thickTop="1" thickBot="1" x14ac:dyDescent="0.3">
      <c r="A15" s="26">
        <v>13</v>
      </c>
      <c r="B15" s="27">
        <v>34</v>
      </c>
      <c r="C15" s="27">
        <v>0</v>
      </c>
      <c r="D15" s="27">
        <v>1</v>
      </c>
      <c r="E15" s="27">
        <v>1346</v>
      </c>
      <c r="F15" s="27">
        <v>2</v>
      </c>
      <c r="G15" s="27">
        <v>19</v>
      </c>
      <c r="H15" s="27">
        <v>2</v>
      </c>
      <c r="I15" s="27">
        <v>3</v>
      </c>
      <c r="J15" s="27">
        <v>1</v>
      </c>
      <c r="K15" s="27">
        <v>18</v>
      </c>
      <c r="L15" s="27">
        <v>2</v>
      </c>
      <c r="M15" s="27">
        <v>1</v>
      </c>
      <c r="N15" s="27">
        <v>93</v>
      </c>
      <c r="O15" s="27">
        <v>3</v>
      </c>
      <c r="P15" s="27">
        <v>1</v>
      </c>
      <c r="Q15" s="27">
        <v>3</v>
      </c>
      <c r="R15" s="27">
        <v>4</v>
      </c>
      <c r="S15" s="27">
        <v>3</v>
      </c>
      <c r="T15" s="27">
        <v>2661</v>
      </c>
      <c r="U15" s="27">
        <v>8758</v>
      </c>
      <c r="V15" s="27">
        <v>0</v>
      </c>
      <c r="W15" s="27">
        <v>0</v>
      </c>
      <c r="X15" s="27">
        <v>11</v>
      </c>
      <c r="Y15" s="27">
        <v>3</v>
      </c>
      <c r="Z15" s="27">
        <v>3</v>
      </c>
      <c r="AA15" s="27">
        <v>80</v>
      </c>
      <c r="AB15" s="27">
        <v>1</v>
      </c>
      <c r="AC15" s="27">
        <v>3</v>
      </c>
      <c r="AD15" s="27">
        <v>2</v>
      </c>
      <c r="AE15" s="27">
        <v>3</v>
      </c>
      <c r="AF15" s="27">
        <v>2</v>
      </c>
      <c r="AG15" s="27">
        <v>2</v>
      </c>
      <c r="AH15" s="27">
        <v>1</v>
      </c>
      <c r="AI15" s="28">
        <v>2</v>
      </c>
      <c r="AK15" s="36" t="s">
        <v>22</v>
      </c>
      <c r="AL15" s="33">
        <v>1.4752846405450928</v>
      </c>
      <c r="AM15" s="39">
        <v>0.1583301937936161</v>
      </c>
      <c r="AN15" s="39">
        <v>9.3177719624857591</v>
      </c>
      <c r="AO15" s="40">
        <v>0</v>
      </c>
      <c r="AP15" s="39">
        <v>1.1649574607096054</v>
      </c>
      <c r="AQ15" s="39">
        <v>1.7856118203805802</v>
      </c>
      <c r="AR15" s="39">
        <v>4.3722801240227698</v>
      </c>
      <c r="BH15" s="36" t="s">
        <v>5</v>
      </c>
      <c r="BI15" s="45">
        <f>_xll.StatVariance(ST_DistanceFromHome)</f>
        <v>65.721250978267591</v>
      </c>
      <c r="BJ15" s="45">
        <f>$BI$16</f>
        <v>4.7585705487096668E-2</v>
      </c>
      <c r="BK15" s="45">
        <f>$BI$17</f>
        <v>-3.2801711562772611E-2</v>
      </c>
      <c r="BL15" s="45">
        <f>$BI$18</f>
        <v>-0.59235863167595315</v>
      </c>
      <c r="BM15" s="45">
        <f>$BI$19</f>
        <v>9.3201446678058547E-2</v>
      </c>
      <c r="BN15" s="45">
        <f>$BI$20</f>
        <v>0.30996096192050571</v>
      </c>
      <c r="BO15" s="45">
        <f>$BI$21</f>
        <v>-0.15209430266320251</v>
      </c>
      <c r="BP15" s="45">
        <f>$BI$22</f>
        <v>0.47221905780692069</v>
      </c>
      <c r="BQ15" s="45">
        <f>$BI$23</f>
        <v>0.26199135883080255</v>
      </c>
      <c r="BS15" s="38" t="s">
        <v>348</v>
      </c>
      <c r="BT15" s="35" t="s">
        <v>98</v>
      </c>
      <c r="BU15" s="35" t="s">
        <v>98</v>
      </c>
      <c r="BV15" s="35" t="s">
        <v>98</v>
      </c>
      <c r="BW15" s="35" t="s">
        <v>98</v>
      </c>
      <c r="BX15" s="35" t="s">
        <v>98</v>
      </c>
      <c r="BY15" s="35" t="s">
        <v>98</v>
      </c>
      <c r="BZ15" s="35" t="s">
        <v>98</v>
      </c>
      <c r="CA15" s="35" t="s">
        <v>98</v>
      </c>
      <c r="CB15" s="35" t="s">
        <v>98</v>
      </c>
      <c r="CC15" s="35" t="s">
        <v>98</v>
      </c>
      <c r="CE15" s="36" t="s">
        <v>20</v>
      </c>
      <c r="CF15" s="33">
        <v>8.5507610872736145E-2</v>
      </c>
      <c r="CG15" s="39">
        <v>3.0957551404573642E-2</v>
      </c>
      <c r="CH15" s="39">
        <v>2.7620921873072728</v>
      </c>
      <c r="CI15" s="40">
        <v>5.7432259705267885E-3</v>
      </c>
      <c r="CJ15" s="39">
        <v>2.4830810119771805E-2</v>
      </c>
      <c r="CK15" s="39">
        <v>0.14618441162570048</v>
      </c>
      <c r="CL15" s="39">
        <v>1.0892698516067334</v>
      </c>
    </row>
    <row r="16" spans="1:90" ht="15" customHeight="1" thickTop="1" x14ac:dyDescent="0.25">
      <c r="A16" s="26">
        <v>14</v>
      </c>
      <c r="B16" s="27">
        <v>28</v>
      </c>
      <c r="C16" s="27">
        <v>1</v>
      </c>
      <c r="D16" s="27">
        <v>1</v>
      </c>
      <c r="E16" s="27">
        <v>103</v>
      </c>
      <c r="F16" s="27">
        <v>2</v>
      </c>
      <c r="G16" s="27">
        <v>24</v>
      </c>
      <c r="H16" s="27">
        <v>3</v>
      </c>
      <c r="I16" s="27">
        <v>1</v>
      </c>
      <c r="J16" s="27">
        <v>1</v>
      </c>
      <c r="K16" s="27">
        <v>19</v>
      </c>
      <c r="L16" s="27">
        <v>3</v>
      </c>
      <c r="M16" s="27">
        <v>1</v>
      </c>
      <c r="N16" s="27">
        <v>50</v>
      </c>
      <c r="O16" s="27">
        <v>2</v>
      </c>
      <c r="P16" s="27">
        <v>1</v>
      </c>
      <c r="Q16" s="27">
        <v>3</v>
      </c>
      <c r="R16" s="27">
        <v>3</v>
      </c>
      <c r="S16" s="27">
        <v>1</v>
      </c>
      <c r="T16" s="27">
        <v>2028</v>
      </c>
      <c r="U16" s="27">
        <v>12947</v>
      </c>
      <c r="V16" s="27">
        <v>5</v>
      </c>
      <c r="W16" s="27">
        <v>1</v>
      </c>
      <c r="X16" s="27">
        <v>14</v>
      </c>
      <c r="Y16" s="27">
        <v>3</v>
      </c>
      <c r="Z16" s="27">
        <v>2</v>
      </c>
      <c r="AA16" s="27">
        <v>80</v>
      </c>
      <c r="AB16" s="27">
        <v>0</v>
      </c>
      <c r="AC16" s="27">
        <v>6</v>
      </c>
      <c r="AD16" s="27">
        <v>4</v>
      </c>
      <c r="AE16" s="27">
        <v>3</v>
      </c>
      <c r="AF16" s="27">
        <v>4</v>
      </c>
      <c r="AG16" s="27">
        <v>2</v>
      </c>
      <c r="AH16" s="27">
        <v>0</v>
      </c>
      <c r="AI16" s="28">
        <v>3</v>
      </c>
      <c r="AK16" s="36" t="s">
        <v>27</v>
      </c>
      <c r="AL16" s="33">
        <v>-0.56712300353796807</v>
      </c>
      <c r="AM16" s="39">
        <v>0.10526866107744265</v>
      </c>
      <c r="AN16" s="39">
        <v>-5.3873868797547884</v>
      </c>
      <c r="AO16" s="40">
        <v>7.1489441255678798E-8</v>
      </c>
      <c r="AP16" s="39">
        <v>-0.77344957924975566</v>
      </c>
      <c r="AQ16" s="39">
        <v>-0.36079642782618049</v>
      </c>
      <c r="AR16" s="39">
        <v>0.5671547960897243</v>
      </c>
      <c r="AY16" s="37"/>
      <c r="AZ16" s="41">
        <v>1</v>
      </c>
      <c r="BA16" s="41">
        <v>0</v>
      </c>
      <c r="BB16" s="34" t="s">
        <v>340</v>
      </c>
      <c r="BH16" s="36" t="s">
        <v>14</v>
      </c>
      <c r="BI16" s="45">
        <f>_xll.StatCovariance( ST_JobLevel,ST_DistanceFromHome)</f>
        <v>4.7585705487096668E-2</v>
      </c>
      <c r="BJ16" s="45">
        <f>_xll.StatVariance(ST_JobLevel)</f>
        <v>1.2253159398544744</v>
      </c>
      <c r="BK16" s="45">
        <f>$BJ$17</f>
        <v>-2.3728483905475196E-3</v>
      </c>
      <c r="BL16" s="45">
        <f>$BJ$18</f>
        <v>0.3940363892323443</v>
      </c>
      <c r="BM16" s="45">
        <f>$BJ$19</f>
        <v>2.7136790727180901E-4</v>
      </c>
      <c r="BN16" s="45">
        <f>$BJ$20</f>
        <v>1.318959169780908E-2</v>
      </c>
      <c r="BO16" s="45">
        <f>$BJ$21</f>
        <v>2.9574471040968955E-2</v>
      </c>
      <c r="BP16" s="45">
        <f>$BJ$22</f>
        <v>3.6264347536155341</v>
      </c>
      <c r="BQ16" s="45">
        <f>$BJ$23</f>
        <v>1.2623220016393162</v>
      </c>
      <c r="BS16" s="36" t="s">
        <v>5</v>
      </c>
      <c r="BT16" s="45">
        <f>_xll.StatVariance(ST_DistanceFromHome)</f>
        <v>65.721250978267591</v>
      </c>
      <c r="BU16" s="45">
        <f>$BT$17</f>
        <v>4.7585705487096668E-2</v>
      </c>
      <c r="BV16" s="45">
        <f>$BT$18</f>
        <v>-3.2801711562772611E-2</v>
      </c>
      <c r="BW16" s="45">
        <f>$BT$19</f>
        <v>8.5452642595500186E-2</v>
      </c>
      <c r="BX16" s="45">
        <f>$BT$20</f>
        <v>-0.59235863167595315</v>
      </c>
      <c r="BY16" s="45">
        <f>$BT$21</f>
        <v>9.3201446678058547E-2</v>
      </c>
      <c r="BZ16" s="45">
        <f>$BT$22</f>
        <v>0.30996096192050571</v>
      </c>
      <c r="CA16" s="45">
        <f>$BT$23</f>
        <v>-0.15209430266320251</v>
      </c>
      <c r="CB16" s="45">
        <f>$BT$24</f>
        <v>0.47221905780692069</v>
      </c>
      <c r="CC16" s="45">
        <f>$BT$25</f>
        <v>0.26199135883080255</v>
      </c>
      <c r="CE16" s="36" t="s">
        <v>22</v>
      </c>
      <c r="CF16" s="33">
        <v>1.5155738083892756</v>
      </c>
      <c r="CG16" s="39">
        <v>0.1602132315816715</v>
      </c>
      <c r="CH16" s="39">
        <v>9.4597293458667</v>
      </c>
      <c r="CI16" s="40">
        <v>0</v>
      </c>
      <c r="CJ16" s="39">
        <v>1.2015558744891994</v>
      </c>
      <c r="CK16" s="39">
        <v>1.8295917422893517</v>
      </c>
      <c r="CL16" s="39">
        <v>4.5520323719601059</v>
      </c>
    </row>
    <row r="17" spans="1:90" ht="15" customHeight="1" thickBot="1" x14ac:dyDescent="0.3">
      <c r="A17" s="26">
        <v>15</v>
      </c>
      <c r="B17" s="27">
        <v>29</v>
      </c>
      <c r="C17" s="27">
        <v>0</v>
      </c>
      <c r="D17" s="27">
        <v>1</v>
      </c>
      <c r="E17" s="27">
        <v>1389</v>
      </c>
      <c r="F17" s="27">
        <v>2</v>
      </c>
      <c r="G17" s="27">
        <v>21</v>
      </c>
      <c r="H17" s="27">
        <v>4</v>
      </c>
      <c r="I17" s="27">
        <v>1</v>
      </c>
      <c r="J17" s="27">
        <v>1</v>
      </c>
      <c r="K17" s="27">
        <v>20</v>
      </c>
      <c r="L17" s="27">
        <v>2</v>
      </c>
      <c r="M17" s="27">
        <v>0</v>
      </c>
      <c r="N17" s="27">
        <v>51</v>
      </c>
      <c r="O17" s="27">
        <v>4</v>
      </c>
      <c r="P17" s="27">
        <v>3</v>
      </c>
      <c r="Q17" s="27">
        <v>4</v>
      </c>
      <c r="R17" s="27">
        <v>1</v>
      </c>
      <c r="S17" s="27">
        <v>3</v>
      </c>
      <c r="T17" s="27">
        <v>9980</v>
      </c>
      <c r="U17" s="27">
        <v>10195</v>
      </c>
      <c r="V17" s="27">
        <v>1</v>
      </c>
      <c r="W17" s="27">
        <v>0</v>
      </c>
      <c r="X17" s="27">
        <v>11</v>
      </c>
      <c r="Y17" s="27">
        <v>3</v>
      </c>
      <c r="Z17" s="27">
        <v>3</v>
      </c>
      <c r="AA17" s="27">
        <v>80</v>
      </c>
      <c r="AB17" s="27">
        <v>1</v>
      </c>
      <c r="AC17" s="27">
        <v>10</v>
      </c>
      <c r="AD17" s="27">
        <v>1</v>
      </c>
      <c r="AE17" s="27">
        <v>3</v>
      </c>
      <c r="AF17" s="27">
        <v>10</v>
      </c>
      <c r="AG17" s="27">
        <v>9</v>
      </c>
      <c r="AH17" s="27">
        <v>8</v>
      </c>
      <c r="AI17" s="28">
        <v>8</v>
      </c>
      <c r="AK17" s="36" t="s">
        <v>30</v>
      </c>
      <c r="AL17" s="33">
        <v>-0.23253679887206763</v>
      </c>
      <c r="AM17" s="39">
        <v>0.10679337775103345</v>
      </c>
      <c r="AN17" s="39">
        <v>-2.1774458657369076</v>
      </c>
      <c r="AO17" s="40">
        <v>2.9447316711216143E-2</v>
      </c>
      <c r="AP17" s="39">
        <v>-0.44185181926409323</v>
      </c>
      <c r="AQ17" s="39">
        <v>-2.322177848004206E-2</v>
      </c>
      <c r="AR17" s="39">
        <v>0.79252058494655653</v>
      </c>
      <c r="AY17" s="38" t="s">
        <v>323</v>
      </c>
      <c r="AZ17" s="35"/>
      <c r="BA17" s="35"/>
      <c r="BB17" s="35" t="s">
        <v>341</v>
      </c>
      <c r="BH17" s="36" t="s">
        <v>16</v>
      </c>
      <c r="BI17" s="45">
        <f>_xll.StatCovariance( ST_JobSatisfaction,ST_DistanceFromHome)</f>
        <v>-3.2801711562772611E-2</v>
      </c>
      <c r="BJ17" s="45">
        <f>_xll.StatCovariance( ST_JobSatisfaction,ST_JobLevel)</f>
        <v>-2.3728483905475196E-3</v>
      </c>
      <c r="BK17" s="45">
        <f>_xll.StatVariance(ST_JobSatisfaction)</f>
        <v>1.2162695711368152</v>
      </c>
      <c r="BL17" s="45">
        <f>$BK$18</f>
        <v>-0.15344743751823339</v>
      </c>
      <c r="BM17" s="45">
        <f>$BK$19</f>
        <v>1.2194884761256441E-2</v>
      </c>
      <c r="BN17" s="45">
        <f>$BK$20</f>
        <v>1.0045706505883392E-2</v>
      </c>
      <c r="BO17" s="45">
        <f>$BK$21</f>
        <v>-1.5160945249441216E-2</v>
      </c>
      <c r="BP17" s="45">
        <f>$BK$22</f>
        <v>-2.5692891179617015E-2</v>
      </c>
      <c r="BQ17" s="45">
        <f>$BK$23</f>
        <v>-6.4728192161820533E-2</v>
      </c>
      <c r="BS17" s="36" t="s">
        <v>14</v>
      </c>
      <c r="BT17" s="45">
        <f>_xll.StatCovariance( ST_JobLevel,ST_DistanceFromHome)</f>
        <v>4.7585705487096668E-2</v>
      </c>
      <c r="BU17" s="45">
        <f>_xll.StatVariance(ST_JobLevel)</f>
        <v>1.2253159398544744</v>
      </c>
      <c r="BV17" s="45">
        <f>$BU$18</f>
        <v>-2.3728483905475196E-3</v>
      </c>
      <c r="BW17" s="45">
        <f>$BU$19</f>
        <v>6.2045076710057601E-2</v>
      </c>
      <c r="BX17" s="45">
        <f>$BU$20</f>
        <v>0.3940363892323443</v>
      </c>
      <c r="BY17" s="45">
        <f>$BU$21</f>
        <v>2.7136790727180901E-4</v>
      </c>
      <c r="BZ17" s="45">
        <f>$BU$22</f>
        <v>1.318959169780908E-2</v>
      </c>
      <c r="CA17" s="45">
        <f>$BU$23</f>
        <v>2.9574471040968955E-2</v>
      </c>
      <c r="CB17" s="45">
        <f>$BU$24</f>
        <v>3.6264347536155341</v>
      </c>
      <c r="CC17" s="45">
        <f>$BU$25</f>
        <v>1.2623220016393162</v>
      </c>
      <c r="CE17" s="36" t="s">
        <v>27</v>
      </c>
      <c r="CF17" s="33">
        <v>-0.22316757442652257</v>
      </c>
      <c r="CG17" s="39">
        <v>0.13537303362015921</v>
      </c>
      <c r="CH17" s="39">
        <v>-1.648537884234053</v>
      </c>
      <c r="CI17" s="40">
        <v>9.9242343291102486E-2</v>
      </c>
      <c r="CJ17" s="39">
        <v>-0.48849872032203462</v>
      </c>
      <c r="CK17" s="39">
        <v>4.2163571468989469E-2</v>
      </c>
      <c r="CL17" s="39">
        <v>0.79998078174099185</v>
      </c>
    </row>
    <row r="18" spans="1:90" ht="15" customHeight="1" thickTop="1" x14ac:dyDescent="0.25">
      <c r="A18" s="26">
        <v>16</v>
      </c>
      <c r="B18" s="27">
        <v>32</v>
      </c>
      <c r="C18" s="27">
        <v>0</v>
      </c>
      <c r="D18" s="27">
        <v>1</v>
      </c>
      <c r="E18" s="27">
        <v>334</v>
      </c>
      <c r="F18" s="27">
        <v>2</v>
      </c>
      <c r="G18" s="27">
        <v>5</v>
      </c>
      <c r="H18" s="27">
        <v>2</v>
      </c>
      <c r="I18" s="27">
        <v>1</v>
      </c>
      <c r="J18" s="27">
        <v>1</v>
      </c>
      <c r="K18" s="27">
        <v>21</v>
      </c>
      <c r="L18" s="27">
        <v>1</v>
      </c>
      <c r="M18" s="27">
        <v>1</v>
      </c>
      <c r="N18" s="27">
        <v>80</v>
      </c>
      <c r="O18" s="27">
        <v>4</v>
      </c>
      <c r="P18" s="27">
        <v>1</v>
      </c>
      <c r="Q18" s="27">
        <v>2</v>
      </c>
      <c r="R18" s="27">
        <v>2</v>
      </c>
      <c r="S18" s="27">
        <v>3</v>
      </c>
      <c r="T18" s="27">
        <v>3298</v>
      </c>
      <c r="U18" s="27">
        <v>15053</v>
      </c>
      <c r="V18" s="27">
        <v>0</v>
      </c>
      <c r="W18" s="27">
        <v>1</v>
      </c>
      <c r="X18" s="27">
        <v>12</v>
      </c>
      <c r="Y18" s="27">
        <v>3</v>
      </c>
      <c r="Z18" s="27">
        <v>4</v>
      </c>
      <c r="AA18" s="27">
        <v>80</v>
      </c>
      <c r="AB18" s="27">
        <v>2</v>
      </c>
      <c r="AC18" s="27">
        <v>7</v>
      </c>
      <c r="AD18" s="27">
        <v>5</v>
      </c>
      <c r="AE18" s="27">
        <v>2</v>
      </c>
      <c r="AF18" s="27">
        <v>6</v>
      </c>
      <c r="AG18" s="27">
        <v>2</v>
      </c>
      <c r="AH18" s="27">
        <v>0</v>
      </c>
      <c r="AI18" s="28">
        <v>5</v>
      </c>
      <c r="AK18" s="36" t="s">
        <v>31</v>
      </c>
      <c r="AL18" s="33">
        <v>-7.2105436062886455E-2</v>
      </c>
      <c r="AM18" s="39">
        <v>2.4074193120085956E-2</v>
      </c>
      <c r="AN18" s="39">
        <v>-2.9951340717096069</v>
      </c>
      <c r="AO18" s="40">
        <v>2.7432423437860898E-3</v>
      </c>
      <c r="AP18" s="39">
        <v>-0.11929085457825492</v>
      </c>
      <c r="AQ18" s="39">
        <v>-2.4920017547517985E-2</v>
      </c>
      <c r="AR18" s="39">
        <v>0.93043278946922126</v>
      </c>
      <c r="AY18" s="42">
        <v>1</v>
      </c>
      <c r="AZ18" s="39">
        <v>30</v>
      </c>
      <c r="BA18" s="39">
        <v>207</v>
      </c>
      <c r="BB18" s="43">
        <v>0.12658227848101267</v>
      </c>
      <c r="BH18" s="36" t="s">
        <v>20</v>
      </c>
      <c r="BI18" s="45">
        <f>_xll.StatCovariance( ST_NumCompaniesWorked,ST_DistanceFromHome)</f>
        <v>-0.59235863167595315</v>
      </c>
      <c r="BJ18" s="45">
        <f>_xll.StatCovariance( ST_NumCompaniesWorked,ST_JobLevel)</f>
        <v>0.3940363892323443</v>
      </c>
      <c r="BK18" s="45">
        <f>_xll.StatCovariance( ST_NumCompaniesWorked,ST_JobSatisfaction)</f>
        <v>-0.15344743751823339</v>
      </c>
      <c r="BL18" s="45">
        <f>_xll.StatVariance(ST_NumCompaniesWorked)</f>
        <v>6.240048994410583</v>
      </c>
      <c r="BM18" s="45">
        <f>$BL$19</f>
        <v>-2.3396914926624272E-2</v>
      </c>
      <c r="BN18" s="45">
        <f>$BL$20</f>
        <v>6.4015504091357492E-2</v>
      </c>
      <c r="BO18" s="45">
        <f>$BL$21</f>
        <v>-1.4763618177019018E-2</v>
      </c>
      <c r="BP18" s="45">
        <f>$BL$22</f>
        <v>-1.8123338103110476</v>
      </c>
      <c r="BQ18" s="45">
        <f>$BL$23</f>
        <v>-0.29633931176282696</v>
      </c>
      <c r="BS18" s="36" t="s">
        <v>16</v>
      </c>
      <c r="BT18" s="45">
        <f>_xll.StatCovariance( ST_JobSatisfaction,ST_DistanceFromHome)</f>
        <v>-3.2801711562772611E-2</v>
      </c>
      <c r="BU18" s="45">
        <f>_xll.StatCovariance( ST_JobSatisfaction,ST_JobLevel)</f>
        <v>-2.3728483905475196E-3</v>
      </c>
      <c r="BV18" s="45">
        <f>_xll.StatVariance(ST_JobSatisfaction)</f>
        <v>1.2162695711368152</v>
      </c>
      <c r="BW18" s="45">
        <f>$BV$19</f>
        <v>-1.9614898375960033E-2</v>
      </c>
      <c r="BX18" s="45">
        <f>$BV$20</f>
        <v>-0.15344743751823339</v>
      </c>
      <c r="BY18" s="45">
        <f>$BV$21</f>
        <v>1.2194884761256441E-2</v>
      </c>
      <c r="BZ18" s="45">
        <f>$BV$22</f>
        <v>1.0045706505883392E-2</v>
      </c>
      <c r="CA18" s="45">
        <f>$BV$23</f>
        <v>-1.5160945249441216E-2</v>
      </c>
      <c r="CB18" s="45">
        <f>$BV$24</f>
        <v>-2.5692891179617015E-2</v>
      </c>
      <c r="CC18" s="45">
        <f>$BV$25</f>
        <v>-6.4728192161820533E-2</v>
      </c>
      <c r="CE18" s="36" t="s">
        <v>30</v>
      </c>
      <c r="CF18" s="33">
        <v>-0.24880711743073602</v>
      </c>
      <c r="CG18" s="39">
        <v>0.10782802149146462</v>
      </c>
      <c r="CH18" s="39">
        <v>-2.3074439648364589</v>
      </c>
      <c r="CI18" s="40">
        <v>2.1030082679689865E-2</v>
      </c>
      <c r="CJ18" s="39">
        <v>-0.46015003955400668</v>
      </c>
      <c r="CK18" s="39">
        <v>-3.7464195307465392E-2</v>
      </c>
      <c r="CL18" s="39">
        <v>0.77973035527547008</v>
      </c>
    </row>
    <row r="19" spans="1:90" ht="15" customHeight="1" x14ac:dyDescent="0.25">
      <c r="A19" s="26">
        <v>17</v>
      </c>
      <c r="B19" s="27">
        <v>22</v>
      </c>
      <c r="C19" s="27">
        <v>0</v>
      </c>
      <c r="D19" s="27">
        <v>3</v>
      </c>
      <c r="E19" s="27">
        <v>1123</v>
      </c>
      <c r="F19" s="27">
        <v>2</v>
      </c>
      <c r="G19" s="27">
        <v>16</v>
      </c>
      <c r="H19" s="27">
        <v>2</v>
      </c>
      <c r="I19" s="27">
        <v>3</v>
      </c>
      <c r="J19" s="27">
        <v>1</v>
      </c>
      <c r="K19" s="27">
        <v>22</v>
      </c>
      <c r="L19" s="27">
        <v>4</v>
      </c>
      <c r="M19" s="27">
        <v>1</v>
      </c>
      <c r="N19" s="27">
        <v>96</v>
      </c>
      <c r="O19" s="27">
        <v>4</v>
      </c>
      <c r="P19" s="27">
        <v>1</v>
      </c>
      <c r="Q19" s="27">
        <v>3</v>
      </c>
      <c r="R19" s="27">
        <v>4</v>
      </c>
      <c r="S19" s="27">
        <v>3</v>
      </c>
      <c r="T19" s="27">
        <v>2935</v>
      </c>
      <c r="U19" s="27">
        <v>7324</v>
      </c>
      <c r="V19" s="27">
        <v>1</v>
      </c>
      <c r="W19" s="27">
        <v>1</v>
      </c>
      <c r="X19" s="27">
        <v>13</v>
      </c>
      <c r="Y19" s="27">
        <v>3</v>
      </c>
      <c r="Z19" s="27">
        <v>2</v>
      </c>
      <c r="AA19" s="27">
        <v>80</v>
      </c>
      <c r="AB19" s="27">
        <v>2</v>
      </c>
      <c r="AC19" s="27">
        <v>1</v>
      </c>
      <c r="AD19" s="27">
        <v>2</v>
      </c>
      <c r="AE19" s="27">
        <v>2</v>
      </c>
      <c r="AF19" s="27">
        <v>1</v>
      </c>
      <c r="AG19" s="27">
        <v>0</v>
      </c>
      <c r="AH19" s="27">
        <v>0</v>
      </c>
      <c r="AI19" s="28">
        <v>0</v>
      </c>
      <c r="AK19" s="36" t="s">
        <v>33</v>
      </c>
      <c r="AL19" s="33">
        <v>0.11334956464543605</v>
      </c>
      <c r="AM19" s="39">
        <v>3.5846460837794074E-2</v>
      </c>
      <c r="AN19" s="39">
        <v>3.1620852378801079</v>
      </c>
      <c r="AO19" s="40">
        <v>1.5664370550083628E-3</v>
      </c>
      <c r="AP19" s="39">
        <v>4.3090501403359668E-2</v>
      </c>
      <c r="AQ19" s="39">
        <v>0.18360862788751242</v>
      </c>
      <c r="AR19" s="39">
        <v>1.1200233851031767</v>
      </c>
      <c r="AY19" s="42">
        <v>0</v>
      </c>
      <c r="AZ19" s="39">
        <v>22</v>
      </c>
      <c r="BA19" s="39">
        <v>1211</v>
      </c>
      <c r="BB19" s="43">
        <v>0.98215733982157338</v>
      </c>
      <c r="BH19" s="36" t="s">
        <v>22</v>
      </c>
      <c r="BI19" s="45">
        <f>_xll.StatCovariance( ST_OverTime,ST_DistanceFromHome)</f>
        <v>9.3201446678058547E-2</v>
      </c>
      <c r="BJ19" s="45">
        <f>_xll.StatCovariance( ST_OverTime,ST_JobLevel)</f>
        <v>2.7136790727180901E-4</v>
      </c>
      <c r="BK19" s="45">
        <f>_xll.StatCovariance( ST_OverTime,ST_JobSatisfaction)</f>
        <v>1.2194884761256441E-2</v>
      </c>
      <c r="BL19" s="45">
        <f>_xll.StatCovariance( ST_OverTime,ST_NumCompaniesWorked)</f>
        <v>-2.3396914926624272E-2</v>
      </c>
      <c r="BM19" s="45">
        <f>_xll.StatVariance(ST_OverTime)</f>
        <v>0.20304617422190238</v>
      </c>
      <c r="BN19" s="45">
        <f>$BM$20</f>
        <v>-1.7226768174936384E-4</v>
      </c>
      <c r="BO19" s="45">
        <f>$BM$21</f>
        <v>-8.6244981314511464E-3</v>
      </c>
      <c r="BP19" s="45">
        <f>$BM$22</f>
        <v>-3.2264069685055789E-2</v>
      </c>
      <c r="BQ19" s="45">
        <f>$BM$23</f>
        <v>-1.7771356330142506E-2</v>
      </c>
      <c r="BS19" s="36" t="s">
        <v>17</v>
      </c>
      <c r="BT19" s="45">
        <f>_xll.StatCovariance( ST_MaritalStatus,ST_DistanceFromHome)</f>
        <v>8.5452642595500186E-2</v>
      </c>
      <c r="BU19" s="45">
        <f>_xll.StatCovariance( ST_MaritalStatus,ST_JobLevel)</f>
        <v>6.2045076710057601E-2</v>
      </c>
      <c r="BV19" s="45">
        <f>_xll.StatCovariance( ST_MaritalStatus,ST_JobSatisfaction)</f>
        <v>-1.9614898375960033E-2</v>
      </c>
      <c r="BW19" s="45">
        <f>_xll.StatVariance(ST_MaritalStatus)</f>
        <v>0.53307632106621716</v>
      </c>
      <c r="BX19" s="45">
        <f>$BW$20</f>
        <v>6.4756440356945763E-2</v>
      </c>
      <c r="BY19" s="45">
        <f>$BW$21</f>
        <v>5.7644841462793951E-3</v>
      </c>
      <c r="BZ19" s="45">
        <f>$BW$22</f>
        <v>0.41220183103874736</v>
      </c>
      <c r="CA19" s="45">
        <f>$BW$23</f>
        <v>-7.5867242744608121E-3</v>
      </c>
      <c r="CB19" s="45">
        <f>$BW$24</f>
        <v>0.26832358539058898</v>
      </c>
      <c r="CC19" s="45">
        <f>$BW$25</f>
        <v>7.273586085216957E-2</v>
      </c>
      <c r="CE19" s="36" t="s">
        <v>31</v>
      </c>
      <c r="CF19" s="33">
        <v>-7.2626774083386664E-2</v>
      </c>
      <c r="CG19" s="39">
        <v>2.419156985762445E-2</v>
      </c>
      <c r="CH19" s="39">
        <v>-3.0021521757711356</v>
      </c>
      <c r="CI19" s="40">
        <v>2.6807812951559207E-3</v>
      </c>
      <c r="CJ19" s="39">
        <v>-0.12004225100433058</v>
      </c>
      <c r="CK19" s="39">
        <v>-2.521129716244274E-2</v>
      </c>
      <c r="CL19" s="39">
        <v>0.92994784590129453</v>
      </c>
    </row>
    <row r="20" spans="1:90" ht="15" customHeight="1" x14ac:dyDescent="0.25">
      <c r="A20" s="26">
        <v>18</v>
      </c>
      <c r="B20" s="27">
        <v>53</v>
      </c>
      <c r="C20" s="27">
        <v>0</v>
      </c>
      <c r="D20" s="27">
        <v>1</v>
      </c>
      <c r="E20" s="27">
        <v>1219</v>
      </c>
      <c r="F20" s="27">
        <v>1</v>
      </c>
      <c r="G20" s="27">
        <v>2</v>
      </c>
      <c r="H20" s="27">
        <v>4</v>
      </c>
      <c r="I20" s="27">
        <v>1</v>
      </c>
      <c r="J20" s="27">
        <v>1</v>
      </c>
      <c r="K20" s="27">
        <v>23</v>
      </c>
      <c r="L20" s="27">
        <v>1</v>
      </c>
      <c r="M20" s="27">
        <v>0</v>
      </c>
      <c r="N20" s="27">
        <v>78</v>
      </c>
      <c r="O20" s="27">
        <v>2</v>
      </c>
      <c r="P20" s="27">
        <v>4</v>
      </c>
      <c r="Q20" s="27">
        <v>6</v>
      </c>
      <c r="R20" s="27">
        <v>4</v>
      </c>
      <c r="S20" s="27">
        <v>2</v>
      </c>
      <c r="T20" s="27">
        <v>15427</v>
      </c>
      <c r="U20" s="27">
        <v>22021</v>
      </c>
      <c r="V20" s="27">
        <v>2</v>
      </c>
      <c r="W20" s="27">
        <v>0</v>
      </c>
      <c r="X20" s="27">
        <v>16</v>
      </c>
      <c r="Y20" s="27">
        <v>3</v>
      </c>
      <c r="Z20" s="27">
        <v>3</v>
      </c>
      <c r="AA20" s="27">
        <v>80</v>
      </c>
      <c r="AB20" s="27">
        <v>0</v>
      </c>
      <c r="AC20" s="27">
        <v>31</v>
      </c>
      <c r="AD20" s="27">
        <v>3</v>
      </c>
      <c r="AE20" s="27">
        <v>3</v>
      </c>
      <c r="AF20" s="27">
        <v>25</v>
      </c>
      <c r="AG20" s="27">
        <v>8</v>
      </c>
      <c r="AH20" s="27">
        <v>3</v>
      </c>
      <c r="AI20" s="28">
        <v>7</v>
      </c>
      <c r="BH20" s="36" t="s">
        <v>27</v>
      </c>
      <c r="BI20" s="45">
        <f>_xll.StatCovariance( ST_StockOptionLevel,ST_DistanceFromHome)</f>
        <v>0.30996096192050571</v>
      </c>
      <c r="BJ20" s="45">
        <f>_xll.StatCovariance( ST_StockOptionLevel,ST_JobLevel)</f>
        <v>1.318959169780908E-2</v>
      </c>
      <c r="BK20" s="45">
        <f>_xll.StatCovariance( ST_StockOptionLevel,ST_JobSatisfaction)</f>
        <v>1.0045706505883392E-2</v>
      </c>
      <c r="BL20" s="45">
        <f>_xll.StatCovariance( ST_StockOptionLevel,ST_NumCompaniesWorked)</f>
        <v>6.4015504091357492E-2</v>
      </c>
      <c r="BM20" s="45">
        <f>_xll.StatCovariance( ST_StockOptionLevel,ST_OverTime)</f>
        <v>-1.7226768174936384E-4</v>
      </c>
      <c r="BN20" s="45">
        <f>_xll.StatVariance(ST_StockOptionLevel)</f>
        <v>0.72603464803211704</v>
      </c>
      <c r="BO20" s="45">
        <f>$BN$21</f>
        <v>2.4853780858840181E-3</v>
      </c>
      <c r="BP20" s="45">
        <f>$BN$22</f>
        <v>7.8606854586626515E-2</v>
      </c>
      <c r="BQ20" s="45">
        <f>$BN$23</f>
        <v>3.9407621455662199E-2</v>
      </c>
      <c r="BS20" s="36" t="s">
        <v>20</v>
      </c>
      <c r="BT20" s="45">
        <f>_xll.StatCovariance( ST_NumCompaniesWorked,ST_DistanceFromHome)</f>
        <v>-0.59235863167595315</v>
      </c>
      <c r="BU20" s="45">
        <f>_xll.StatCovariance( ST_NumCompaniesWorked,ST_JobLevel)</f>
        <v>0.3940363892323443</v>
      </c>
      <c r="BV20" s="45">
        <f>_xll.StatCovariance( ST_NumCompaniesWorked,ST_JobSatisfaction)</f>
        <v>-0.15344743751823339</v>
      </c>
      <c r="BW20" s="45">
        <f>_xll.StatCovariance( ST_NumCompaniesWorked,ST_MaritalStatus)</f>
        <v>6.4756440356945763E-2</v>
      </c>
      <c r="BX20" s="45">
        <f>_xll.StatVariance(ST_NumCompaniesWorked)</f>
        <v>6.240048994410583</v>
      </c>
      <c r="BY20" s="45">
        <f>$BX$21</f>
        <v>-2.3396914926624272E-2</v>
      </c>
      <c r="BZ20" s="45">
        <f>$BX$22</f>
        <v>6.4015504091357492E-2</v>
      </c>
      <c r="CA20" s="45">
        <f>$BX$23</f>
        <v>-1.4763618177019018E-2</v>
      </c>
      <c r="CB20" s="45">
        <f>$BX$24</f>
        <v>-1.8123338103110476</v>
      </c>
      <c r="CC20" s="45">
        <f>$BX$25</f>
        <v>-0.29633931176282696</v>
      </c>
      <c r="CE20" s="36" t="s">
        <v>33</v>
      </c>
      <c r="CF20" s="33">
        <v>0.11636343707216232</v>
      </c>
      <c r="CG20" s="39">
        <v>3.6156911135704115E-2</v>
      </c>
      <c r="CH20" s="39">
        <v>3.2182903189773895</v>
      </c>
      <c r="CI20" s="40">
        <v>1.2895721906907021E-3</v>
      </c>
      <c r="CJ20" s="39">
        <v>4.5495891246182252E-2</v>
      </c>
      <c r="CK20" s="39">
        <v>0.18723098289814238</v>
      </c>
      <c r="CL20" s="39">
        <v>1.1234040846403592</v>
      </c>
    </row>
    <row r="21" spans="1:90" ht="15" customHeight="1" x14ac:dyDescent="0.25">
      <c r="A21" s="26">
        <v>19</v>
      </c>
      <c r="B21" s="27">
        <v>38</v>
      </c>
      <c r="C21" s="27">
        <v>0</v>
      </c>
      <c r="D21" s="27">
        <v>1</v>
      </c>
      <c r="E21" s="27">
        <v>371</v>
      </c>
      <c r="F21" s="27">
        <v>2</v>
      </c>
      <c r="G21" s="27">
        <v>2</v>
      </c>
      <c r="H21" s="27">
        <v>3</v>
      </c>
      <c r="I21" s="27">
        <v>1</v>
      </c>
      <c r="J21" s="27">
        <v>1</v>
      </c>
      <c r="K21" s="27">
        <v>24</v>
      </c>
      <c r="L21" s="27">
        <v>4</v>
      </c>
      <c r="M21" s="27">
        <v>1</v>
      </c>
      <c r="N21" s="27">
        <v>45</v>
      </c>
      <c r="O21" s="27">
        <v>3</v>
      </c>
      <c r="P21" s="27">
        <v>1</v>
      </c>
      <c r="Q21" s="27">
        <v>2</v>
      </c>
      <c r="R21" s="27">
        <v>4</v>
      </c>
      <c r="S21" s="27">
        <v>1</v>
      </c>
      <c r="T21" s="27">
        <v>3944</v>
      </c>
      <c r="U21" s="27">
        <v>4306</v>
      </c>
      <c r="V21" s="27">
        <v>5</v>
      </c>
      <c r="W21" s="27">
        <v>1</v>
      </c>
      <c r="X21" s="27">
        <v>11</v>
      </c>
      <c r="Y21" s="27">
        <v>3</v>
      </c>
      <c r="Z21" s="27">
        <v>3</v>
      </c>
      <c r="AA21" s="27">
        <v>80</v>
      </c>
      <c r="AB21" s="27">
        <v>0</v>
      </c>
      <c r="AC21" s="27">
        <v>6</v>
      </c>
      <c r="AD21" s="27">
        <v>3</v>
      </c>
      <c r="AE21" s="27">
        <v>3</v>
      </c>
      <c r="AF21" s="27">
        <v>3</v>
      </c>
      <c r="AG21" s="27">
        <v>2</v>
      </c>
      <c r="AH21" s="27">
        <v>1</v>
      </c>
      <c r="AI21" s="28">
        <v>2</v>
      </c>
      <c r="AK21" s="37"/>
      <c r="AL21" s="41">
        <v>1</v>
      </c>
      <c r="AM21" s="41">
        <v>0</v>
      </c>
      <c r="AN21" s="34" t="s">
        <v>340</v>
      </c>
      <c r="AY21" s="37"/>
      <c r="AZ21" s="48" t="s">
        <v>340</v>
      </c>
      <c r="BH21" s="36" t="s">
        <v>30</v>
      </c>
      <c r="BI21" s="45">
        <f>_xll.StatCovariance( ST_WorkLifeBalance,ST_DistanceFromHome)</f>
        <v>-0.15209430266320251</v>
      </c>
      <c r="BJ21" s="45">
        <f>_xll.StatCovariance( ST_WorkLifeBalance,ST_JobLevel)</f>
        <v>2.9574471040968955E-2</v>
      </c>
      <c r="BK21" s="45">
        <f>_xll.StatCovariance( ST_WorkLifeBalance,ST_JobSatisfaction)</f>
        <v>-1.5160945249441216E-2</v>
      </c>
      <c r="BL21" s="45">
        <f>_xll.StatCovariance( ST_WorkLifeBalance,ST_NumCompaniesWorked)</f>
        <v>-1.4763618177019018E-2</v>
      </c>
      <c r="BM21" s="45">
        <f>_xll.StatCovariance( ST_WorkLifeBalance,ST_OverTime)</f>
        <v>-8.6244981314511464E-3</v>
      </c>
      <c r="BN21" s="45">
        <f>_xll.StatCovariance( ST_WorkLifeBalance,ST_StockOptionLevel)</f>
        <v>2.4853780858840181E-3</v>
      </c>
      <c r="BO21" s="45">
        <f>_xll.StatVariance(ST_WorkLifeBalance)</f>
        <v>0.49910809797029976</v>
      </c>
      <c r="BP21" s="45">
        <f>$BO$22</f>
        <v>5.2324919075867171E-2</v>
      </c>
      <c r="BQ21" s="45">
        <f>$BO$23</f>
        <v>2.0355371556382888E-2</v>
      </c>
      <c r="BS21" s="36" t="s">
        <v>22</v>
      </c>
      <c r="BT21" s="45">
        <f>_xll.StatCovariance( ST_OverTime,ST_DistanceFromHome)</f>
        <v>9.3201446678058547E-2</v>
      </c>
      <c r="BU21" s="45">
        <f>_xll.StatCovariance( ST_OverTime,ST_JobLevel)</f>
        <v>2.7136790727180901E-4</v>
      </c>
      <c r="BV21" s="45">
        <f>_xll.StatCovariance( ST_OverTime,ST_JobSatisfaction)</f>
        <v>1.2194884761256441E-2</v>
      </c>
      <c r="BW21" s="45">
        <f>_xll.StatCovariance( ST_OverTime,ST_MaritalStatus)</f>
        <v>5.7644841462793951E-3</v>
      </c>
      <c r="BX21" s="45">
        <f>_xll.StatCovariance( ST_OverTime,ST_NumCompaniesWorked)</f>
        <v>-2.3396914926624272E-2</v>
      </c>
      <c r="BY21" s="45">
        <f>_xll.StatVariance(ST_OverTime)</f>
        <v>0.20304617422190238</v>
      </c>
      <c r="BZ21" s="45">
        <f>$BY$22</f>
        <v>-1.7226768174936384E-4</v>
      </c>
      <c r="CA21" s="45">
        <f>$BY$23</f>
        <v>-8.6244981314511464E-3</v>
      </c>
      <c r="CB21" s="45">
        <f>$BY$24</f>
        <v>-3.2264069685055789E-2</v>
      </c>
      <c r="CC21" s="45">
        <f>$BY$25</f>
        <v>-1.7771356330142506E-2</v>
      </c>
    </row>
    <row r="22" spans="1:90" ht="15" customHeight="1" thickBot="1" x14ac:dyDescent="0.3">
      <c r="A22" s="26">
        <v>20</v>
      </c>
      <c r="B22" s="27">
        <v>24</v>
      </c>
      <c r="C22" s="27">
        <v>0</v>
      </c>
      <c r="D22" s="27">
        <v>3</v>
      </c>
      <c r="E22" s="27">
        <v>673</v>
      </c>
      <c r="F22" s="27">
        <v>2</v>
      </c>
      <c r="G22" s="27">
        <v>11</v>
      </c>
      <c r="H22" s="27">
        <v>2</v>
      </c>
      <c r="I22" s="27">
        <v>6</v>
      </c>
      <c r="J22" s="27">
        <v>1</v>
      </c>
      <c r="K22" s="27">
        <v>26</v>
      </c>
      <c r="L22" s="27">
        <v>1</v>
      </c>
      <c r="M22" s="27">
        <v>0</v>
      </c>
      <c r="N22" s="27">
        <v>96</v>
      </c>
      <c r="O22" s="27">
        <v>4</v>
      </c>
      <c r="P22" s="27">
        <v>2</v>
      </c>
      <c r="Q22" s="27">
        <v>4</v>
      </c>
      <c r="R22" s="27">
        <v>3</v>
      </c>
      <c r="S22" s="27">
        <v>3</v>
      </c>
      <c r="T22" s="27">
        <v>4011</v>
      </c>
      <c r="U22" s="27">
        <v>8232</v>
      </c>
      <c r="V22" s="27">
        <v>0</v>
      </c>
      <c r="W22" s="27">
        <v>0</v>
      </c>
      <c r="X22" s="27">
        <v>18</v>
      </c>
      <c r="Y22" s="27">
        <v>3</v>
      </c>
      <c r="Z22" s="27">
        <v>4</v>
      </c>
      <c r="AA22" s="27">
        <v>80</v>
      </c>
      <c r="AB22" s="27">
        <v>1</v>
      </c>
      <c r="AC22" s="27">
        <v>5</v>
      </c>
      <c r="AD22" s="27">
        <v>5</v>
      </c>
      <c r="AE22" s="27">
        <v>2</v>
      </c>
      <c r="AF22" s="27">
        <v>4</v>
      </c>
      <c r="AG22" s="27">
        <v>2</v>
      </c>
      <c r="AH22" s="27">
        <v>1</v>
      </c>
      <c r="AI22" s="28">
        <v>3</v>
      </c>
      <c r="AK22" s="38" t="s">
        <v>323</v>
      </c>
      <c r="AL22" s="35"/>
      <c r="AM22" s="35"/>
      <c r="AN22" s="35" t="s">
        <v>341</v>
      </c>
      <c r="AY22" s="38" t="s">
        <v>324</v>
      </c>
      <c r="AZ22" s="49"/>
      <c r="BH22" s="36" t="s">
        <v>31</v>
      </c>
      <c r="BI22" s="45">
        <f>_xll.StatCovariance( ST_YearsAtCompany,ST_DistanceFromHome)</f>
        <v>0.47221905780692069</v>
      </c>
      <c r="BJ22" s="45">
        <f>_xll.StatCovariance( ST_YearsAtCompany,ST_JobLevel)</f>
        <v>3.6264347536155341</v>
      </c>
      <c r="BK22" s="45">
        <f>_xll.StatCovariance( ST_YearsAtCompany,ST_JobSatisfaction)</f>
        <v>-2.5692891179617015E-2</v>
      </c>
      <c r="BL22" s="45">
        <f>_xll.StatCovariance( ST_YearsAtCompany,ST_NumCompaniesWorked)</f>
        <v>-1.8123338103110476</v>
      </c>
      <c r="BM22" s="45">
        <f>_xll.StatCovariance( ST_YearsAtCompany,ST_OverTime)</f>
        <v>-3.2264069685055789E-2</v>
      </c>
      <c r="BN22" s="45">
        <f>_xll.StatCovariance( ST_YearsAtCompany,ST_StockOptionLevel)</f>
        <v>7.8606854586626515E-2</v>
      </c>
      <c r="BO22" s="45">
        <f>_xll.StatCovariance( ST_YearsAtCompany,ST_WorkLifeBalance)</f>
        <v>5.2324919075867171E-2</v>
      </c>
      <c r="BP22" s="45">
        <f>_xll.StatVariance(ST_YearsAtCompany)</f>
        <v>37.53431044303354</v>
      </c>
      <c r="BQ22" s="45">
        <f>$BP$23</f>
        <v>12.208813436879121</v>
      </c>
      <c r="BS22" s="36" t="s">
        <v>27</v>
      </c>
      <c r="BT22" s="45">
        <f>_xll.StatCovariance( ST_StockOptionLevel,ST_DistanceFromHome)</f>
        <v>0.30996096192050571</v>
      </c>
      <c r="BU22" s="45">
        <f>_xll.StatCovariance( ST_StockOptionLevel,ST_JobLevel)</f>
        <v>1.318959169780908E-2</v>
      </c>
      <c r="BV22" s="45">
        <f>_xll.StatCovariance( ST_StockOptionLevel,ST_JobSatisfaction)</f>
        <v>1.0045706505883392E-2</v>
      </c>
      <c r="BW22" s="45">
        <f>_xll.StatCovariance( ST_StockOptionLevel,ST_MaritalStatus)</f>
        <v>0.41220183103874736</v>
      </c>
      <c r="BX22" s="45">
        <f>_xll.StatCovariance( ST_StockOptionLevel,ST_NumCompaniesWorked)</f>
        <v>6.4015504091357492E-2</v>
      </c>
      <c r="BY22" s="45">
        <f>_xll.StatCovariance( ST_StockOptionLevel,ST_OverTime)</f>
        <v>-1.7226768174936384E-4</v>
      </c>
      <c r="BZ22" s="45">
        <f>_xll.StatVariance(ST_StockOptionLevel)</f>
        <v>0.72603464803211704</v>
      </c>
      <c r="CA22" s="45">
        <f>$BZ$23</f>
        <v>2.4853780858840181E-3</v>
      </c>
      <c r="CB22" s="45">
        <f>$BZ$24</f>
        <v>7.8606854586626515E-2</v>
      </c>
      <c r="CC22" s="45">
        <f>$BZ$25</f>
        <v>3.9407621455662199E-2</v>
      </c>
      <c r="CE22" s="37"/>
      <c r="CF22" s="41">
        <v>1</v>
      </c>
      <c r="CG22" s="41">
        <v>0</v>
      </c>
      <c r="CH22" s="34" t="s">
        <v>340</v>
      </c>
    </row>
    <row r="23" spans="1:90" ht="15" customHeight="1" thickTop="1" thickBot="1" x14ac:dyDescent="0.3">
      <c r="A23" s="26">
        <v>21</v>
      </c>
      <c r="B23" s="27">
        <v>36</v>
      </c>
      <c r="C23" s="27">
        <v>1</v>
      </c>
      <c r="D23" s="27">
        <v>1</v>
      </c>
      <c r="E23" s="27">
        <v>1218</v>
      </c>
      <c r="F23" s="27">
        <v>1</v>
      </c>
      <c r="G23" s="27">
        <v>9</v>
      </c>
      <c r="H23" s="27">
        <v>4</v>
      </c>
      <c r="I23" s="27">
        <v>1</v>
      </c>
      <c r="J23" s="27">
        <v>1</v>
      </c>
      <c r="K23" s="27">
        <v>27</v>
      </c>
      <c r="L23" s="27">
        <v>3</v>
      </c>
      <c r="M23" s="27">
        <v>1</v>
      </c>
      <c r="N23" s="27">
        <v>82</v>
      </c>
      <c r="O23" s="27">
        <v>2</v>
      </c>
      <c r="P23" s="27">
        <v>1</v>
      </c>
      <c r="Q23" s="27">
        <v>7</v>
      </c>
      <c r="R23" s="27">
        <v>1</v>
      </c>
      <c r="S23" s="27">
        <v>1</v>
      </c>
      <c r="T23" s="27">
        <v>3407</v>
      </c>
      <c r="U23" s="27">
        <v>6986</v>
      </c>
      <c r="V23" s="27">
        <v>7</v>
      </c>
      <c r="W23" s="27">
        <v>0</v>
      </c>
      <c r="X23" s="27">
        <v>23</v>
      </c>
      <c r="Y23" s="27">
        <v>4</v>
      </c>
      <c r="Z23" s="27">
        <v>2</v>
      </c>
      <c r="AA23" s="27">
        <v>80</v>
      </c>
      <c r="AB23" s="27">
        <v>0</v>
      </c>
      <c r="AC23" s="27">
        <v>10</v>
      </c>
      <c r="AD23" s="27">
        <v>4</v>
      </c>
      <c r="AE23" s="27">
        <v>3</v>
      </c>
      <c r="AF23" s="27">
        <v>5</v>
      </c>
      <c r="AG23" s="27">
        <v>3</v>
      </c>
      <c r="AH23" s="27">
        <v>0</v>
      </c>
      <c r="AI23" s="28">
        <v>3</v>
      </c>
      <c r="AK23" s="42">
        <v>1</v>
      </c>
      <c r="AL23" s="39">
        <v>47</v>
      </c>
      <c r="AM23" s="39">
        <v>190</v>
      </c>
      <c r="AN23" s="43">
        <v>0.19831223628691982</v>
      </c>
      <c r="AY23" s="36" t="s">
        <v>341</v>
      </c>
      <c r="AZ23" s="43">
        <v>0.84421768707482991</v>
      </c>
      <c r="BH23" s="36" t="s">
        <v>33</v>
      </c>
      <c r="BI23" s="45">
        <f>_xll.StatCovariance( ST_YearsSinceLastPromotion,ST_DistanceFromHome)</f>
        <v>0.26199135883080255</v>
      </c>
      <c r="BJ23" s="45">
        <f>_xll.StatCovariance( ST_YearsSinceLastPromotion,ST_JobLevel)</f>
        <v>1.2623220016393162</v>
      </c>
      <c r="BK23" s="45">
        <f>_xll.StatCovariance( ST_YearsSinceLastPromotion,ST_JobSatisfaction)</f>
        <v>-6.4728192161820533E-2</v>
      </c>
      <c r="BL23" s="45">
        <f>_xll.StatCovariance( ST_YearsSinceLastPromotion,ST_NumCompaniesWorked)</f>
        <v>-0.29633931176282696</v>
      </c>
      <c r="BM23" s="45">
        <f>_xll.StatCovariance( ST_YearsSinceLastPromotion,ST_OverTime)</f>
        <v>-1.7771356330142506E-2</v>
      </c>
      <c r="BN23" s="45">
        <f>_xll.StatCovariance( ST_YearsSinceLastPromotion,ST_StockOptionLevel)</f>
        <v>3.9407621455662199E-2</v>
      </c>
      <c r="BO23" s="45">
        <f>_xll.StatCovariance( ST_YearsSinceLastPromotion,ST_WorkLifeBalance)</f>
        <v>2.0355371556382888E-2</v>
      </c>
      <c r="BP23" s="45">
        <f>_xll.StatCovariance( ST_YearsSinceLastPromotion,ST_YearsAtCompany)</f>
        <v>12.208813436879121</v>
      </c>
      <c r="BQ23" s="45">
        <f>_xll.StatVariance(ST_YearsSinceLastPromotion)</f>
        <v>10.384056903905202</v>
      </c>
      <c r="BS23" s="36" t="s">
        <v>30</v>
      </c>
      <c r="BT23" s="45">
        <f>_xll.StatCovariance( ST_WorkLifeBalance,ST_DistanceFromHome)</f>
        <v>-0.15209430266320251</v>
      </c>
      <c r="BU23" s="45">
        <f>_xll.StatCovariance( ST_WorkLifeBalance,ST_JobLevel)</f>
        <v>2.9574471040968955E-2</v>
      </c>
      <c r="BV23" s="45">
        <f>_xll.StatCovariance( ST_WorkLifeBalance,ST_JobSatisfaction)</f>
        <v>-1.5160945249441216E-2</v>
      </c>
      <c r="BW23" s="45">
        <f>_xll.StatCovariance( ST_WorkLifeBalance,ST_MaritalStatus)</f>
        <v>-7.5867242744608121E-3</v>
      </c>
      <c r="BX23" s="45">
        <f>_xll.StatCovariance( ST_WorkLifeBalance,ST_NumCompaniesWorked)</f>
        <v>-1.4763618177019018E-2</v>
      </c>
      <c r="BY23" s="45">
        <f>_xll.StatCovariance( ST_WorkLifeBalance,ST_OverTime)</f>
        <v>-8.6244981314511464E-3</v>
      </c>
      <c r="BZ23" s="45">
        <f>_xll.StatCovariance( ST_WorkLifeBalance,ST_StockOptionLevel)</f>
        <v>2.4853780858840181E-3</v>
      </c>
      <c r="CA23" s="45">
        <f>_xll.StatVariance(ST_WorkLifeBalance)</f>
        <v>0.49910809797029976</v>
      </c>
      <c r="CB23" s="45">
        <f>$CA$24</f>
        <v>5.2324919075867171E-2</v>
      </c>
      <c r="CC23" s="45">
        <f>$CA$25</f>
        <v>2.0355371556382888E-2</v>
      </c>
      <c r="CE23" s="38" t="s">
        <v>323</v>
      </c>
      <c r="CF23" s="35"/>
      <c r="CG23" s="35"/>
      <c r="CH23" s="35" t="s">
        <v>341</v>
      </c>
    </row>
    <row r="24" spans="1:90" ht="15" customHeight="1" thickTop="1" x14ac:dyDescent="0.25">
      <c r="A24" s="26">
        <v>22</v>
      </c>
      <c r="B24" s="27">
        <v>34</v>
      </c>
      <c r="C24" s="27">
        <v>0</v>
      </c>
      <c r="D24" s="27">
        <v>1</v>
      </c>
      <c r="E24" s="27">
        <v>419</v>
      </c>
      <c r="F24" s="27">
        <v>2</v>
      </c>
      <c r="G24" s="27">
        <v>7</v>
      </c>
      <c r="H24" s="27">
        <v>4</v>
      </c>
      <c r="I24" s="27">
        <v>1</v>
      </c>
      <c r="J24" s="27">
        <v>1</v>
      </c>
      <c r="K24" s="27">
        <v>28</v>
      </c>
      <c r="L24" s="27">
        <v>1</v>
      </c>
      <c r="M24" s="27">
        <v>0</v>
      </c>
      <c r="N24" s="27">
        <v>53</v>
      </c>
      <c r="O24" s="27">
        <v>3</v>
      </c>
      <c r="P24" s="27">
        <v>3</v>
      </c>
      <c r="Q24" s="27">
        <v>8</v>
      </c>
      <c r="R24" s="27">
        <v>2</v>
      </c>
      <c r="S24" s="27">
        <v>1</v>
      </c>
      <c r="T24" s="27">
        <v>11994</v>
      </c>
      <c r="U24" s="27">
        <v>21293</v>
      </c>
      <c r="V24" s="27">
        <v>0</v>
      </c>
      <c r="W24" s="27">
        <v>0</v>
      </c>
      <c r="X24" s="27">
        <v>11</v>
      </c>
      <c r="Y24" s="27">
        <v>3</v>
      </c>
      <c r="Z24" s="27">
        <v>3</v>
      </c>
      <c r="AA24" s="27">
        <v>80</v>
      </c>
      <c r="AB24" s="27">
        <v>0</v>
      </c>
      <c r="AC24" s="27">
        <v>13</v>
      </c>
      <c r="AD24" s="27">
        <v>4</v>
      </c>
      <c r="AE24" s="27">
        <v>3</v>
      </c>
      <c r="AF24" s="27">
        <v>12</v>
      </c>
      <c r="AG24" s="27">
        <v>6</v>
      </c>
      <c r="AH24" s="27">
        <v>2</v>
      </c>
      <c r="AI24" s="28">
        <v>11</v>
      </c>
      <c r="AK24" s="42">
        <v>0</v>
      </c>
      <c r="AL24" s="39">
        <v>20</v>
      </c>
      <c r="AM24" s="39">
        <v>1213</v>
      </c>
      <c r="AN24" s="43">
        <v>0.98377939983779394</v>
      </c>
      <c r="AY24" s="36" t="s">
        <v>342</v>
      </c>
      <c r="AZ24" s="43">
        <v>0.83877551020408159</v>
      </c>
      <c r="BS24" s="36" t="s">
        <v>31</v>
      </c>
      <c r="BT24" s="45">
        <f>_xll.StatCovariance( ST_YearsAtCompany,ST_DistanceFromHome)</f>
        <v>0.47221905780692069</v>
      </c>
      <c r="BU24" s="45">
        <f>_xll.StatCovariance( ST_YearsAtCompany,ST_JobLevel)</f>
        <v>3.6264347536155341</v>
      </c>
      <c r="BV24" s="45">
        <f>_xll.StatCovariance( ST_YearsAtCompany,ST_JobSatisfaction)</f>
        <v>-2.5692891179617015E-2</v>
      </c>
      <c r="BW24" s="45">
        <f>_xll.StatCovariance( ST_YearsAtCompany,ST_MaritalStatus)</f>
        <v>0.26832358539058898</v>
      </c>
      <c r="BX24" s="45">
        <f>_xll.StatCovariance( ST_YearsAtCompany,ST_NumCompaniesWorked)</f>
        <v>-1.8123338103110476</v>
      </c>
      <c r="BY24" s="45">
        <f>_xll.StatCovariance( ST_YearsAtCompany,ST_OverTime)</f>
        <v>-3.2264069685055789E-2</v>
      </c>
      <c r="BZ24" s="45">
        <f>_xll.StatCovariance( ST_YearsAtCompany,ST_StockOptionLevel)</f>
        <v>7.8606854586626515E-2</v>
      </c>
      <c r="CA24" s="45">
        <f>_xll.StatCovariance( ST_YearsAtCompany,ST_WorkLifeBalance)</f>
        <v>5.2324919075867171E-2</v>
      </c>
      <c r="CB24" s="45">
        <f>_xll.StatVariance(ST_YearsAtCompany)</f>
        <v>37.53431044303354</v>
      </c>
      <c r="CC24" s="45">
        <f>$CB$25</f>
        <v>12.208813436879121</v>
      </c>
      <c r="CE24" s="42">
        <v>1</v>
      </c>
      <c r="CF24" s="39">
        <v>49</v>
      </c>
      <c r="CG24" s="39">
        <v>188</v>
      </c>
      <c r="CH24" s="43">
        <v>0.20675105485232068</v>
      </c>
    </row>
    <row r="25" spans="1:90" ht="15" customHeight="1" x14ac:dyDescent="0.25">
      <c r="A25" s="26">
        <v>23</v>
      </c>
      <c r="B25" s="27">
        <v>21</v>
      </c>
      <c r="C25" s="27">
        <v>0</v>
      </c>
      <c r="D25" s="27">
        <v>1</v>
      </c>
      <c r="E25" s="27">
        <v>391</v>
      </c>
      <c r="F25" s="27">
        <v>2</v>
      </c>
      <c r="G25" s="27">
        <v>15</v>
      </c>
      <c r="H25" s="27">
        <v>2</v>
      </c>
      <c r="I25" s="27">
        <v>1</v>
      </c>
      <c r="J25" s="27">
        <v>1</v>
      </c>
      <c r="K25" s="27">
        <v>30</v>
      </c>
      <c r="L25" s="27">
        <v>3</v>
      </c>
      <c r="M25" s="27">
        <v>1</v>
      </c>
      <c r="N25" s="27">
        <v>96</v>
      </c>
      <c r="O25" s="27">
        <v>3</v>
      </c>
      <c r="P25" s="27">
        <v>1</v>
      </c>
      <c r="Q25" s="27">
        <v>2</v>
      </c>
      <c r="R25" s="27">
        <v>4</v>
      </c>
      <c r="S25" s="27">
        <v>1</v>
      </c>
      <c r="T25" s="27">
        <v>1232</v>
      </c>
      <c r="U25" s="27">
        <v>19281</v>
      </c>
      <c r="V25" s="27">
        <v>1</v>
      </c>
      <c r="W25" s="27">
        <v>0</v>
      </c>
      <c r="X25" s="27">
        <v>14</v>
      </c>
      <c r="Y25" s="27">
        <v>3</v>
      </c>
      <c r="Z25" s="27">
        <v>4</v>
      </c>
      <c r="AA25" s="27">
        <v>80</v>
      </c>
      <c r="AB25" s="27">
        <v>0</v>
      </c>
      <c r="AC25" s="27">
        <v>0</v>
      </c>
      <c r="AD25" s="27">
        <v>6</v>
      </c>
      <c r="AE25" s="27">
        <v>3</v>
      </c>
      <c r="AF25" s="27">
        <v>0</v>
      </c>
      <c r="AG25" s="27">
        <v>0</v>
      </c>
      <c r="AH25" s="27">
        <v>0</v>
      </c>
      <c r="AI25" s="28">
        <v>0</v>
      </c>
      <c r="AY25" s="36" t="s">
        <v>329</v>
      </c>
      <c r="AZ25" s="43">
        <v>3.3755274261603539E-2</v>
      </c>
      <c r="BS25" s="36" t="s">
        <v>33</v>
      </c>
      <c r="BT25" s="45">
        <f>_xll.StatCovariance( ST_YearsSinceLastPromotion,ST_DistanceFromHome)</f>
        <v>0.26199135883080255</v>
      </c>
      <c r="BU25" s="45">
        <f>_xll.StatCovariance( ST_YearsSinceLastPromotion,ST_JobLevel)</f>
        <v>1.2623220016393162</v>
      </c>
      <c r="BV25" s="45">
        <f>_xll.StatCovariance( ST_YearsSinceLastPromotion,ST_JobSatisfaction)</f>
        <v>-6.4728192161820533E-2</v>
      </c>
      <c r="BW25" s="45">
        <f>_xll.StatCovariance( ST_YearsSinceLastPromotion,ST_MaritalStatus)</f>
        <v>7.273586085216957E-2</v>
      </c>
      <c r="BX25" s="45">
        <f>_xll.StatCovariance( ST_YearsSinceLastPromotion,ST_NumCompaniesWorked)</f>
        <v>-0.29633931176282696</v>
      </c>
      <c r="BY25" s="45">
        <f>_xll.StatCovariance( ST_YearsSinceLastPromotion,ST_OverTime)</f>
        <v>-1.7771356330142506E-2</v>
      </c>
      <c r="BZ25" s="45">
        <f>_xll.StatCovariance( ST_YearsSinceLastPromotion,ST_StockOptionLevel)</f>
        <v>3.9407621455662199E-2</v>
      </c>
      <c r="CA25" s="45">
        <f>_xll.StatCovariance( ST_YearsSinceLastPromotion,ST_WorkLifeBalance)</f>
        <v>2.0355371556382888E-2</v>
      </c>
      <c r="CB25" s="45">
        <f>_xll.StatCovariance( ST_YearsSinceLastPromotion,ST_YearsAtCompany)</f>
        <v>12.208813436879121</v>
      </c>
      <c r="CC25" s="45">
        <f>_xll.StatVariance(ST_YearsSinceLastPromotion)</f>
        <v>10.384056903905202</v>
      </c>
      <c r="CE25" s="42">
        <v>0</v>
      </c>
      <c r="CF25" s="39">
        <v>23</v>
      </c>
      <c r="CG25" s="39">
        <v>1210</v>
      </c>
      <c r="CH25" s="43">
        <v>0.98134630981346305</v>
      </c>
    </row>
    <row r="26" spans="1:90" ht="15" customHeight="1" x14ac:dyDescent="0.25">
      <c r="A26" s="26">
        <v>24</v>
      </c>
      <c r="B26" s="27">
        <v>34</v>
      </c>
      <c r="C26" s="27">
        <v>1</v>
      </c>
      <c r="D26" s="27">
        <v>1</v>
      </c>
      <c r="E26" s="27">
        <v>699</v>
      </c>
      <c r="F26" s="27">
        <v>2</v>
      </c>
      <c r="G26" s="27">
        <v>6</v>
      </c>
      <c r="H26" s="27">
        <v>1</v>
      </c>
      <c r="I26" s="27">
        <v>3</v>
      </c>
      <c r="J26" s="27">
        <v>1</v>
      </c>
      <c r="K26" s="27">
        <v>31</v>
      </c>
      <c r="L26" s="27">
        <v>2</v>
      </c>
      <c r="M26" s="27">
        <v>1</v>
      </c>
      <c r="N26" s="27">
        <v>83</v>
      </c>
      <c r="O26" s="27">
        <v>3</v>
      </c>
      <c r="P26" s="27">
        <v>1</v>
      </c>
      <c r="Q26" s="27">
        <v>2</v>
      </c>
      <c r="R26" s="27">
        <v>1</v>
      </c>
      <c r="S26" s="27">
        <v>1</v>
      </c>
      <c r="T26" s="27">
        <v>2960</v>
      </c>
      <c r="U26" s="27">
        <v>17102</v>
      </c>
      <c r="V26" s="27">
        <v>2</v>
      </c>
      <c r="W26" s="27">
        <v>0</v>
      </c>
      <c r="X26" s="27">
        <v>11</v>
      </c>
      <c r="Y26" s="27">
        <v>3</v>
      </c>
      <c r="Z26" s="27">
        <v>3</v>
      </c>
      <c r="AA26" s="27">
        <v>80</v>
      </c>
      <c r="AB26" s="27">
        <v>0</v>
      </c>
      <c r="AC26" s="27">
        <v>8</v>
      </c>
      <c r="AD26" s="27">
        <v>2</v>
      </c>
      <c r="AE26" s="27">
        <v>3</v>
      </c>
      <c r="AF26" s="27">
        <v>4</v>
      </c>
      <c r="AG26" s="27">
        <v>2</v>
      </c>
      <c r="AH26" s="27">
        <v>1</v>
      </c>
      <c r="AI26" s="28">
        <v>3</v>
      </c>
      <c r="AK26" s="37"/>
      <c r="AL26" s="48" t="s">
        <v>340</v>
      </c>
    </row>
    <row r="27" spans="1:90" ht="15" customHeight="1" thickBot="1" x14ac:dyDescent="0.3">
      <c r="A27" s="26">
        <v>25</v>
      </c>
      <c r="B27" s="27">
        <v>53</v>
      </c>
      <c r="C27" s="27">
        <v>0</v>
      </c>
      <c r="D27" s="27">
        <v>1</v>
      </c>
      <c r="E27" s="27">
        <v>1282</v>
      </c>
      <c r="F27" s="27">
        <v>2</v>
      </c>
      <c r="G27" s="27">
        <v>5</v>
      </c>
      <c r="H27" s="27">
        <v>3</v>
      </c>
      <c r="I27" s="27">
        <v>6</v>
      </c>
      <c r="J27" s="27">
        <v>1</v>
      </c>
      <c r="K27" s="27">
        <v>32</v>
      </c>
      <c r="L27" s="27">
        <v>3</v>
      </c>
      <c r="M27" s="27">
        <v>0</v>
      </c>
      <c r="N27" s="27">
        <v>58</v>
      </c>
      <c r="O27" s="27">
        <v>3</v>
      </c>
      <c r="P27" s="27">
        <v>5</v>
      </c>
      <c r="Q27" s="27">
        <v>6</v>
      </c>
      <c r="R27" s="27">
        <v>3</v>
      </c>
      <c r="S27" s="27">
        <v>3</v>
      </c>
      <c r="T27" s="27">
        <v>19094</v>
      </c>
      <c r="U27" s="27">
        <v>10735</v>
      </c>
      <c r="V27" s="27">
        <v>4</v>
      </c>
      <c r="W27" s="27">
        <v>0</v>
      </c>
      <c r="X27" s="27">
        <v>11</v>
      </c>
      <c r="Y27" s="27">
        <v>3</v>
      </c>
      <c r="Z27" s="27">
        <v>4</v>
      </c>
      <c r="AA27" s="27">
        <v>80</v>
      </c>
      <c r="AB27" s="27">
        <v>1</v>
      </c>
      <c r="AC27" s="27">
        <v>26</v>
      </c>
      <c r="AD27" s="27">
        <v>3</v>
      </c>
      <c r="AE27" s="27">
        <v>2</v>
      </c>
      <c r="AF27" s="27">
        <v>14</v>
      </c>
      <c r="AG27" s="27">
        <v>13</v>
      </c>
      <c r="AH27" s="27">
        <v>4</v>
      </c>
      <c r="AI27" s="28">
        <v>8</v>
      </c>
      <c r="AK27" s="38" t="s">
        <v>324</v>
      </c>
      <c r="AL27" s="49"/>
      <c r="AY27" s="37"/>
      <c r="AZ27" s="34" t="s">
        <v>326</v>
      </c>
      <c r="BA27" s="34" t="s">
        <v>326</v>
      </c>
      <c r="BB27" s="34" t="s">
        <v>326</v>
      </c>
      <c r="BC27" s="34" t="s">
        <v>326</v>
      </c>
      <c r="BD27" s="34"/>
      <c r="BE27" s="34" t="s">
        <v>344</v>
      </c>
      <c r="BF27" s="34" t="s">
        <v>346</v>
      </c>
      <c r="CE27" s="37"/>
      <c r="CF27" s="48" t="s">
        <v>340</v>
      </c>
    </row>
    <row r="28" spans="1:90" ht="15" customHeight="1" thickTop="1" thickBot="1" x14ac:dyDescent="0.3">
      <c r="A28" s="26">
        <v>26</v>
      </c>
      <c r="B28" s="27">
        <v>32</v>
      </c>
      <c r="C28" s="27">
        <v>1</v>
      </c>
      <c r="D28" s="27">
        <v>2</v>
      </c>
      <c r="E28" s="27">
        <v>1125</v>
      </c>
      <c r="F28" s="27">
        <v>2</v>
      </c>
      <c r="G28" s="27">
        <v>16</v>
      </c>
      <c r="H28" s="27">
        <v>1</v>
      </c>
      <c r="I28" s="27">
        <v>1</v>
      </c>
      <c r="J28" s="27">
        <v>1</v>
      </c>
      <c r="K28" s="27">
        <v>33</v>
      </c>
      <c r="L28" s="27">
        <v>2</v>
      </c>
      <c r="M28" s="27">
        <v>0</v>
      </c>
      <c r="N28" s="27">
        <v>72</v>
      </c>
      <c r="O28" s="27">
        <v>1</v>
      </c>
      <c r="P28" s="27">
        <v>1</v>
      </c>
      <c r="Q28" s="27">
        <v>2</v>
      </c>
      <c r="R28" s="27">
        <v>1</v>
      </c>
      <c r="S28" s="27">
        <v>1</v>
      </c>
      <c r="T28" s="27">
        <v>3919</v>
      </c>
      <c r="U28" s="27">
        <v>4681</v>
      </c>
      <c r="V28" s="27">
        <v>1</v>
      </c>
      <c r="W28" s="27">
        <v>1</v>
      </c>
      <c r="X28" s="27">
        <v>22</v>
      </c>
      <c r="Y28" s="27">
        <v>4</v>
      </c>
      <c r="Z28" s="27">
        <v>2</v>
      </c>
      <c r="AA28" s="27">
        <v>80</v>
      </c>
      <c r="AB28" s="27">
        <v>0</v>
      </c>
      <c r="AC28" s="27">
        <v>10</v>
      </c>
      <c r="AD28" s="27">
        <v>5</v>
      </c>
      <c r="AE28" s="27">
        <v>3</v>
      </c>
      <c r="AF28" s="27">
        <v>10</v>
      </c>
      <c r="AG28" s="27">
        <v>2</v>
      </c>
      <c r="AH28" s="27">
        <v>6</v>
      </c>
      <c r="AI28" s="28">
        <v>7</v>
      </c>
      <c r="AK28" s="36" t="s">
        <v>341</v>
      </c>
      <c r="AL28" s="43">
        <v>0.8571428571428571</v>
      </c>
      <c r="AY28" s="38" t="s">
        <v>325</v>
      </c>
      <c r="AZ28" s="35" t="s">
        <v>14</v>
      </c>
      <c r="BA28" s="35" t="s">
        <v>16</v>
      </c>
      <c r="BB28" s="35" t="s">
        <v>22</v>
      </c>
      <c r="BC28" s="35" t="s">
        <v>27</v>
      </c>
      <c r="BD28" s="35" t="s">
        <v>343</v>
      </c>
      <c r="BE28" s="35" t="s">
        <v>345</v>
      </c>
      <c r="BF28" s="35" t="s">
        <v>345</v>
      </c>
      <c r="CE28" s="38" t="s">
        <v>324</v>
      </c>
      <c r="CF28" s="49"/>
    </row>
    <row r="29" spans="1:90" ht="15" customHeight="1" thickTop="1" x14ac:dyDescent="0.25">
      <c r="A29" s="26">
        <v>27</v>
      </c>
      <c r="B29" s="27">
        <v>42</v>
      </c>
      <c r="C29" s="27">
        <v>0</v>
      </c>
      <c r="D29" s="27">
        <v>1</v>
      </c>
      <c r="E29" s="27">
        <v>691</v>
      </c>
      <c r="F29" s="27">
        <v>1</v>
      </c>
      <c r="G29" s="27">
        <v>8</v>
      </c>
      <c r="H29" s="27">
        <v>4</v>
      </c>
      <c r="I29" s="27">
        <v>4</v>
      </c>
      <c r="J29" s="27">
        <v>1</v>
      </c>
      <c r="K29" s="27">
        <v>35</v>
      </c>
      <c r="L29" s="27">
        <v>3</v>
      </c>
      <c r="M29" s="27">
        <v>1</v>
      </c>
      <c r="N29" s="27">
        <v>48</v>
      </c>
      <c r="O29" s="27">
        <v>3</v>
      </c>
      <c r="P29" s="27">
        <v>2</v>
      </c>
      <c r="Q29" s="27">
        <v>1</v>
      </c>
      <c r="R29" s="27">
        <v>2</v>
      </c>
      <c r="S29" s="27">
        <v>2</v>
      </c>
      <c r="T29" s="27">
        <v>6825</v>
      </c>
      <c r="U29" s="27">
        <v>21173</v>
      </c>
      <c r="V29" s="27">
        <v>0</v>
      </c>
      <c r="W29" s="27">
        <v>0</v>
      </c>
      <c r="X29" s="27">
        <v>11</v>
      </c>
      <c r="Y29" s="27">
        <v>3</v>
      </c>
      <c r="Z29" s="27">
        <v>4</v>
      </c>
      <c r="AA29" s="27">
        <v>80</v>
      </c>
      <c r="AB29" s="27">
        <v>1</v>
      </c>
      <c r="AC29" s="27">
        <v>10</v>
      </c>
      <c r="AD29" s="27">
        <v>2</v>
      </c>
      <c r="AE29" s="27">
        <v>3</v>
      </c>
      <c r="AF29" s="27">
        <v>9</v>
      </c>
      <c r="AG29" s="27">
        <v>7</v>
      </c>
      <c r="AH29" s="27">
        <v>4</v>
      </c>
      <c r="AI29" s="28">
        <v>2</v>
      </c>
      <c r="AK29" s="36" t="s">
        <v>342</v>
      </c>
      <c r="AL29" s="43">
        <v>0.83877551020408159</v>
      </c>
      <c r="AY29" s="36">
        <v>1</v>
      </c>
      <c r="AZ29" s="33">
        <v>2</v>
      </c>
      <c r="BA29" s="33">
        <v>4</v>
      </c>
      <c r="BB29" s="33">
        <v>1</v>
      </c>
      <c r="BC29" s="33">
        <v>0</v>
      </c>
      <c r="BD29" s="43">
        <v>0.29698480921718856</v>
      </c>
      <c r="BE29" s="33">
        <v>0</v>
      </c>
      <c r="BF29" s="33">
        <v>1</v>
      </c>
      <c r="CE29" s="36" t="s">
        <v>341</v>
      </c>
      <c r="CF29" s="43">
        <v>0.85646258503401362</v>
      </c>
    </row>
    <row r="30" spans="1:90" ht="15" customHeight="1" x14ac:dyDescent="0.25">
      <c r="A30" s="26">
        <v>28</v>
      </c>
      <c r="B30" s="27">
        <v>44</v>
      </c>
      <c r="C30" s="27">
        <v>0</v>
      </c>
      <c r="D30" s="27">
        <v>1</v>
      </c>
      <c r="E30" s="27">
        <v>477</v>
      </c>
      <c r="F30" s="27">
        <v>2</v>
      </c>
      <c r="G30" s="27">
        <v>7</v>
      </c>
      <c r="H30" s="27">
        <v>4</v>
      </c>
      <c r="I30" s="27">
        <v>3</v>
      </c>
      <c r="J30" s="27">
        <v>1</v>
      </c>
      <c r="K30" s="27">
        <v>36</v>
      </c>
      <c r="L30" s="27">
        <v>1</v>
      </c>
      <c r="M30" s="27">
        <v>0</v>
      </c>
      <c r="N30" s="27">
        <v>42</v>
      </c>
      <c r="O30" s="27">
        <v>2</v>
      </c>
      <c r="P30" s="27">
        <v>3</v>
      </c>
      <c r="Q30" s="27">
        <v>5</v>
      </c>
      <c r="R30" s="27">
        <v>4</v>
      </c>
      <c r="S30" s="27">
        <v>2</v>
      </c>
      <c r="T30" s="27">
        <v>10248</v>
      </c>
      <c r="U30" s="27">
        <v>2094</v>
      </c>
      <c r="V30" s="27">
        <v>3</v>
      </c>
      <c r="W30" s="27">
        <v>0</v>
      </c>
      <c r="X30" s="27">
        <v>14</v>
      </c>
      <c r="Y30" s="27">
        <v>3</v>
      </c>
      <c r="Z30" s="27">
        <v>4</v>
      </c>
      <c r="AA30" s="27">
        <v>80</v>
      </c>
      <c r="AB30" s="27">
        <v>1</v>
      </c>
      <c r="AC30" s="27">
        <v>24</v>
      </c>
      <c r="AD30" s="27">
        <v>4</v>
      </c>
      <c r="AE30" s="27">
        <v>3</v>
      </c>
      <c r="AF30" s="27">
        <v>22</v>
      </c>
      <c r="AG30" s="27">
        <v>6</v>
      </c>
      <c r="AH30" s="27">
        <v>5</v>
      </c>
      <c r="AI30" s="28">
        <v>17</v>
      </c>
      <c r="AK30" s="36" t="s">
        <v>329</v>
      </c>
      <c r="AL30" s="43">
        <v>0.11392405063291135</v>
      </c>
      <c r="AY30" s="36">
        <v>2</v>
      </c>
      <c r="AZ30" s="33">
        <v>2</v>
      </c>
      <c r="BA30" s="33">
        <v>2</v>
      </c>
      <c r="BB30" s="33">
        <v>0</v>
      </c>
      <c r="BC30" s="33">
        <v>1</v>
      </c>
      <c r="BD30" s="43">
        <v>9.4721355311452843E-2</v>
      </c>
      <c r="BE30" s="33">
        <v>0</v>
      </c>
      <c r="BF30" s="33">
        <v>0</v>
      </c>
      <c r="CE30" s="36" t="s">
        <v>342</v>
      </c>
      <c r="CF30" s="43">
        <v>0.83877551020408159</v>
      </c>
    </row>
    <row r="31" spans="1:90" ht="15" customHeight="1" x14ac:dyDescent="0.25">
      <c r="A31" s="26">
        <v>29</v>
      </c>
      <c r="B31" s="27">
        <v>46</v>
      </c>
      <c r="C31" s="27">
        <v>0</v>
      </c>
      <c r="D31" s="27">
        <v>1</v>
      </c>
      <c r="E31" s="27">
        <v>705</v>
      </c>
      <c r="F31" s="27">
        <v>1</v>
      </c>
      <c r="G31" s="27">
        <v>2</v>
      </c>
      <c r="H31" s="27">
        <v>4</v>
      </c>
      <c r="I31" s="27">
        <v>4</v>
      </c>
      <c r="J31" s="27">
        <v>1</v>
      </c>
      <c r="K31" s="27">
        <v>38</v>
      </c>
      <c r="L31" s="27">
        <v>2</v>
      </c>
      <c r="M31" s="27">
        <v>0</v>
      </c>
      <c r="N31" s="27">
        <v>83</v>
      </c>
      <c r="O31" s="27">
        <v>3</v>
      </c>
      <c r="P31" s="27">
        <v>5</v>
      </c>
      <c r="Q31" s="27">
        <v>6</v>
      </c>
      <c r="R31" s="27">
        <v>1</v>
      </c>
      <c r="S31" s="27">
        <v>1</v>
      </c>
      <c r="T31" s="27">
        <v>18947</v>
      </c>
      <c r="U31" s="27">
        <v>22822</v>
      </c>
      <c r="V31" s="27">
        <v>3</v>
      </c>
      <c r="W31" s="27">
        <v>0</v>
      </c>
      <c r="X31" s="27">
        <v>12</v>
      </c>
      <c r="Y31" s="27">
        <v>3</v>
      </c>
      <c r="Z31" s="27">
        <v>4</v>
      </c>
      <c r="AA31" s="27">
        <v>80</v>
      </c>
      <c r="AB31" s="27">
        <v>0</v>
      </c>
      <c r="AC31" s="27">
        <v>22</v>
      </c>
      <c r="AD31" s="27">
        <v>2</v>
      </c>
      <c r="AE31" s="27">
        <v>2</v>
      </c>
      <c r="AF31" s="27">
        <v>2</v>
      </c>
      <c r="AG31" s="27">
        <v>2</v>
      </c>
      <c r="AH31" s="27">
        <v>2</v>
      </c>
      <c r="AI31" s="28">
        <v>1</v>
      </c>
      <c r="AY31" s="36">
        <v>3</v>
      </c>
      <c r="AZ31" s="33">
        <v>1</v>
      </c>
      <c r="BA31" s="33">
        <v>3</v>
      </c>
      <c r="BB31" s="33">
        <v>1</v>
      </c>
      <c r="BC31" s="33">
        <v>0</v>
      </c>
      <c r="BD31" s="43">
        <v>0.49727340882350407</v>
      </c>
      <c r="BE31" s="33">
        <v>0</v>
      </c>
      <c r="BF31" s="33">
        <v>1</v>
      </c>
      <c r="CE31" s="36" t="s">
        <v>329</v>
      </c>
      <c r="CF31" s="43">
        <v>0.10970464135021134</v>
      </c>
    </row>
    <row r="32" spans="1:90" ht="15" customHeight="1" x14ac:dyDescent="0.25">
      <c r="A32" s="26">
        <v>30</v>
      </c>
      <c r="B32" s="27">
        <v>33</v>
      </c>
      <c r="C32" s="27">
        <v>0</v>
      </c>
      <c r="D32" s="27">
        <v>1</v>
      </c>
      <c r="E32" s="27">
        <v>924</v>
      </c>
      <c r="F32" s="27">
        <v>2</v>
      </c>
      <c r="G32" s="27">
        <v>2</v>
      </c>
      <c r="H32" s="27">
        <v>3</v>
      </c>
      <c r="I32" s="27">
        <v>3</v>
      </c>
      <c r="J32" s="27">
        <v>1</v>
      </c>
      <c r="K32" s="27">
        <v>39</v>
      </c>
      <c r="L32" s="27">
        <v>3</v>
      </c>
      <c r="M32" s="27">
        <v>1</v>
      </c>
      <c r="N32" s="27">
        <v>78</v>
      </c>
      <c r="O32" s="27">
        <v>3</v>
      </c>
      <c r="P32" s="27">
        <v>1</v>
      </c>
      <c r="Q32" s="27">
        <v>3</v>
      </c>
      <c r="R32" s="27">
        <v>4</v>
      </c>
      <c r="S32" s="27">
        <v>1</v>
      </c>
      <c r="T32" s="27">
        <v>2496</v>
      </c>
      <c r="U32" s="27">
        <v>6670</v>
      </c>
      <c r="V32" s="27">
        <v>4</v>
      </c>
      <c r="W32" s="27">
        <v>0</v>
      </c>
      <c r="X32" s="27">
        <v>11</v>
      </c>
      <c r="Y32" s="27">
        <v>3</v>
      </c>
      <c r="Z32" s="27">
        <v>4</v>
      </c>
      <c r="AA32" s="27">
        <v>80</v>
      </c>
      <c r="AB32" s="27">
        <v>0</v>
      </c>
      <c r="AC32" s="27">
        <v>7</v>
      </c>
      <c r="AD32" s="27">
        <v>3</v>
      </c>
      <c r="AE32" s="27">
        <v>3</v>
      </c>
      <c r="AF32" s="27">
        <v>1</v>
      </c>
      <c r="AG32" s="27">
        <v>1</v>
      </c>
      <c r="AH32" s="27">
        <v>0</v>
      </c>
      <c r="AI32" s="28">
        <v>0</v>
      </c>
      <c r="AK32" s="37"/>
      <c r="AL32" s="34" t="s">
        <v>326</v>
      </c>
      <c r="AM32" s="34" t="s">
        <v>326</v>
      </c>
      <c r="AN32" s="34" t="s">
        <v>326</v>
      </c>
      <c r="AO32" s="34" t="s">
        <v>326</v>
      </c>
      <c r="AP32" s="34" t="s">
        <v>326</v>
      </c>
      <c r="AQ32" s="34" t="s">
        <v>326</v>
      </c>
      <c r="AR32" s="34" t="s">
        <v>326</v>
      </c>
      <c r="AS32" s="34" t="s">
        <v>326</v>
      </c>
      <c r="AT32" s="34" t="s">
        <v>326</v>
      </c>
      <c r="AU32" s="34"/>
      <c r="AV32" s="34" t="s">
        <v>344</v>
      </c>
      <c r="AW32" s="34" t="s">
        <v>346</v>
      </c>
      <c r="AY32" s="36">
        <v>4</v>
      </c>
      <c r="AZ32" s="33">
        <v>1</v>
      </c>
      <c r="BA32" s="33">
        <v>3</v>
      </c>
      <c r="BB32" s="33">
        <v>1</v>
      </c>
      <c r="BC32" s="33">
        <v>0</v>
      </c>
      <c r="BD32" s="43">
        <v>0.49727340882350407</v>
      </c>
      <c r="BE32" s="33">
        <v>0</v>
      </c>
      <c r="BF32" s="33">
        <v>0</v>
      </c>
    </row>
    <row r="33" spans="1:96" ht="15" customHeight="1" thickBot="1" x14ac:dyDescent="0.3">
      <c r="A33" s="26">
        <v>31</v>
      </c>
      <c r="B33" s="27">
        <v>44</v>
      </c>
      <c r="C33" s="27">
        <v>0</v>
      </c>
      <c r="D33" s="27">
        <v>1</v>
      </c>
      <c r="E33" s="27">
        <v>1459</v>
      </c>
      <c r="F33" s="27">
        <v>2</v>
      </c>
      <c r="G33" s="27">
        <v>10</v>
      </c>
      <c r="H33" s="27">
        <v>4</v>
      </c>
      <c r="I33" s="27">
        <v>6</v>
      </c>
      <c r="J33" s="27">
        <v>1</v>
      </c>
      <c r="K33" s="27">
        <v>40</v>
      </c>
      <c r="L33" s="27">
        <v>4</v>
      </c>
      <c r="M33" s="27">
        <v>1</v>
      </c>
      <c r="N33" s="27">
        <v>41</v>
      </c>
      <c r="O33" s="27">
        <v>3</v>
      </c>
      <c r="P33" s="27">
        <v>2</v>
      </c>
      <c r="Q33" s="27">
        <v>5</v>
      </c>
      <c r="R33" s="27">
        <v>4</v>
      </c>
      <c r="S33" s="27">
        <v>2</v>
      </c>
      <c r="T33" s="27">
        <v>6465</v>
      </c>
      <c r="U33" s="27">
        <v>19121</v>
      </c>
      <c r="V33" s="27">
        <v>2</v>
      </c>
      <c r="W33" s="27">
        <v>1</v>
      </c>
      <c r="X33" s="27">
        <v>13</v>
      </c>
      <c r="Y33" s="27">
        <v>3</v>
      </c>
      <c r="Z33" s="27">
        <v>4</v>
      </c>
      <c r="AA33" s="27">
        <v>80</v>
      </c>
      <c r="AB33" s="27">
        <v>0</v>
      </c>
      <c r="AC33" s="27">
        <v>9</v>
      </c>
      <c r="AD33" s="27">
        <v>5</v>
      </c>
      <c r="AE33" s="27">
        <v>4</v>
      </c>
      <c r="AF33" s="27">
        <v>4</v>
      </c>
      <c r="AG33" s="27">
        <v>2</v>
      </c>
      <c r="AH33" s="27">
        <v>1</v>
      </c>
      <c r="AI33" s="28">
        <v>3</v>
      </c>
      <c r="AK33" s="38" t="s">
        <v>325</v>
      </c>
      <c r="AL33" s="35" t="s">
        <v>5</v>
      </c>
      <c r="AM33" s="35" t="s">
        <v>14</v>
      </c>
      <c r="AN33" s="35" t="s">
        <v>16</v>
      </c>
      <c r="AO33" s="35" t="s">
        <v>20</v>
      </c>
      <c r="AP33" s="35" t="s">
        <v>22</v>
      </c>
      <c r="AQ33" s="35" t="s">
        <v>27</v>
      </c>
      <c r="AR33" s="35" t="s">
        <v>30</v>
      </c>
      <c r="AS33" s="35" t="s">
        <v>31</v>
      </c>
      <c r="AT33" s="35" t="s">
        <v>33</v>
      </c>
      <c r="AU33" s="35" t="s">
        <v>343</v>
      </c>
      <c r="AV33" s="35" t="s">
        <v>345</v>
      </c>
      <c r="AW33" s="35" t="s">
        <v>345</v>
      </c>
      <c r="AY33" s="36">
        <v>5</v>
      </c>
      <c r="AZ33" s="33">
        <v>1</v>
      </c>
      <c r="BA33" s="33">
        <v>2</v>
      </c>
      <c r="BB33" s="33">
        <v>0</v>
      </c>
      <c r="BC33" s="33">
        <v>1</v>
      </c>
      <c r="BD33" s="43">
        <v>0.15461023487664</v>
      </c>
      <c r="BE33" s="33">
        <v>0</v>
      </c>
      <c r="BF33" s="33">
        <v>0</v>
      </c>
      <c r="CE33" s="37"/>
      <c r="CF33" s="34" t="s">
        <v>326</v>
      </c>
      <c r="CG33" s="34" t="s">
        <v>326</v>
      </c>
      <c r="CH33" s="34" t="s">
        <v>326</v>
      </c>
      <c r="CI33" s="34" t="s">
        <v>326</v>
      </c>
      <c r="CJ33" s="34" t="s">
        <v>326</v>
      </c>
      <c r="CK33" s="34" t="s">
        <v>326</v>
      </c>
      <c r="CL33" s="34" t="s">
        <v>326</v>
      </c>
      <c r="CM33" s="34" t="s">
        <v>326</v>
      </c>
      <c r="CN33" s="34" t="s">
        <v>326</v>
      </c>
      <c r="CO33" s="34" t="s">
        <v>326</v>
      </c>
      <c r="CP33" s="34"/>
      <c r="CQ33" s="34" t="s">
        <v>344</v>
      </c>
      <c r="CR33" s="34" t="s">
        <v>346</v>
      </c>
    </row>
    <row r="34" spans="1:96" ht="15" customHeight="1" thickTop="1" thickBot="1" x14ac:dyDescent="0.3">
      <c r="A34" s="26">
        <v>32</v>
      </c>
      <c r="B34" s="27">
        <v>30</v>
      </c>
      <c r="C34" s="27">
        <v>0</v>
      </c>
      <c r="D34" s="27">
        <v>1</v>
      </c>
      <c r="E34" s="27">
        <v>125</v>
      </c>
      <c r="F34" s="27">
        <v>2</v>
      </c>
      <c r="G34" s="27">
        <v>9</v>
      </c>
      <c r="H34" s="27">
        <v>2</v>
      </c>
      <c r="I34" s="27">
        <v>3</v>
      </c>
      <c r="J34" s="27">
        <v>1</v>
      </c>
      <c r="K34" s="27">
        <v>41</v>
      </c>
      <c r="L34" s="27">
        <v>4</v>
      </c>
      <c r="M34" s="27">
        <v>1</v>
      </c>
      <c r="N34" s="27">
        <v>83</v>
      </c>
      <c r="O34" s="27">
        <v>2</v>
      </c>
      <c r="P34" s="27">
        <v>1</v>
      </c>
      <c r="Q34" s="27">
        <v>3</v>
      </c>
      <c r="R34" s="27">
        <v>3</v>
      </c>
      <c r="S34" s="27">
        <v>1</v>
      </c>
      <c r="T34" s="27">
        <v>2206</v>
      </c>
      <c r="U34" s="27">
        <v>16117</v>
      </c>
      <c r="V34" s="27">
        <v>1</v>
      </c>
      <c r="W34" s="27">
        <v>0</v>
      </c>
      <c r="X34" s="27">
        <v>13</v>
      </c>
      <c r="Y34" s="27">
        <v>3</v>
      </c>
      <c r="Z34" s="27">
        <v>1</v>
      </c>
      <c r="AA34" s="27">
        <v>80</v>
      </c>
      <c r="AB34" s="27">
        <v>0</v>
      </c>
      <c r="AC34" s="27">
        <v>10</v>
      </c>
      <c r="AD34" s="27">
        <v>5</v>
      </c>
      <c r="AE34" s="27">
        <v>3</v>
      </c>
      <c r="AF34" s="27">
        <v>10</v>
      </c>
      <c r="AG34" s="27">
        <v>0</v>
      </c>
      <c r="AH34" s="27">
        <v>1</v>
      </c>
      <c r="AI34" s="28">
        <v>8</v>
      </c>
      <c r="AK34" s="36">
        <v>1</v>
      </c>
      <c r="AL34" s="33">
        <v>1</v>
      </c>
      <c r="AM34" s="33">
        <v>2</v>
      </c>
      <c r="AN34" s="33">
        <v>4</v>
      </c>
      <c r="AO34" s="33">
        <v>8</v>
      </c>
      <c r="AP34" s="33">
        <v>1</v>
      </c>
      <c r="AQ34" s="33">
        <v>0</v>
      </c>
      <c r="AR34" s="33">
        <v>1</v>
      </c>
      <c r="AS34" s="33">
        <v>6</v>
      </c>
      <c r="AT34" s="33">
        <v>0</v>
      </c>
      <c r="AU34" s="43">
        <v>0.37436691127131838</v>
      </c>
      <c r="AV34" s="33">
        <v>0</v>
      </c>
      <c r="AW34" s="33">
        <v>1</v>
      </c>
      <c r="AY34" s="36">
        <v>6</v>
      </c>
      <c r="AZ34" s="33">
        <v>1</v>
      </c>
      <c r="BA34" s="33">
        <v>4</v>
      </c>
      <c r="BB34" s="33">
        <v>0</v>
      </c>
      <c r="BC34" s="33">
        <v>0</v>
      </c>
      <c r="BD34" s="43">
        <v>0.1472907617042678</v>
      </c>
      <c r="BE34" s="33">
        <v>0</v>
      </c>
      <c r="BF34" s="33">
        <v>0</v>
      </c>
      <c r="CE34" s="38" t="s">
        <v>325</v>
      </c>
      <c r="CF34" s="35" t="s">
        <v>5</v>
      </c>
      <c r="CG34" s="35" t="s">
        <v>14</v>
      </c>
      <c r="CH34" s="35" t="s">
        <v>16</v>
      </c>
      <c r="CI34" s="35" t="s">
        <v>17</v>
      </c>
      <c r="CJ34" s="35" t="s">
        <v>20</v>
      </c>
      <c r="CK34" s="35" t="s">
        <v>22</v>
      </c>
      <c r="CL34" s="35" t="s">
        <v>27</v>
      </c>
      <c r="CM34" s="35" t="s">
        <v>30</v>
      </c>
      <c r="CN34" s="35" t="s">
        <v>31</v>
      </c>
      <c r="CO34" s="35" t="s">
        <v>33</v>
      </c>
      <c r="CP34" s="35" t="s">
        <v>343</v>
      </c>
      <c r="CQ34" s="35" t="s">
        <v>345</v>
      </c>
      <c r="CR34" s="35" t="s">
        <v>345</v>
      </c>
    </row>
    <row r="35" spans="1:96" ht="15" customHeight="1" thickTop="1" x14ac:dyDescent="0.25">
      <c r="A35" s="26">
        <v>33</v>
      </c>
      <c r="B35" s="27">
        <v>39</v>
      </c>
      <c r="C35" s="27">
        <v>1</v>
      </c>
      <c r="D35" s="27">
        <v>1</v>
      </c>
      <c r="E35" s="27">
        <v>895</v>
      </c>
      <c r="F35" s="27">
        <v>1</v>
      </c>
      <c r="G35" s="27">
        <v>5</v>
      </c>
      <c r="H35" s="27">
        <v>3</v>
      </c>
      <c r="I35" s="27">
        <v>5</v>
      </c>
      <c r="J35" s="27">
        <v>1</v>
      </c>
      <c r="K35" s="27">
        <v>42</v>
      </c>
      <c r="L35" s="27">
        <v>4</v>
      </c>
      <c r="M35" s="27">
        <v>1</v>
      </c>
      <c r="N35" s="27">
        <v>56</v>
      </c>
      <c r="O35" s="27">
        <v>3</v>
      </c>
      <c r="P35" s="27">
        <v>2</v>
      </c>
      <c r="Q35" s="27">
        <v>7</v>
      </c>
      <c r="R35" s="27">
        <v>4</v>
      </c>
      <c r="S35" s="27">
        <v>2</v>
      </c>
      <c r="T35" s="27">
        <v>2086</v>
      </c>
      <c r="U35" s="27">
        <v>3335</v>
      </c>
      <c r="V35" s="27">
        <v>3</v>
      </c>
      <c r="W35" s="27">
        <v>0</v>
      </c>
      <c r="X35" s="27">
        <v>14</v>
      </c>
      <c r="Y35" s="27">
        <v>3</v>
      </c>
      <c r="Z35" s="27">
        <v>3</v>
      </c>
      <c r="AA35" s="27">
        <v>80</v>
      </c>
      <c r="AB35" s="27">
        <v>1</v>
      </c>
      <c r="AC35" s="27">
        <v>19</v>
      </c>
      <c r="AD35" s="27">
        <v>6</v>
      </c>
      <c r="AE35" s="27">
        <v>4</v>
      </c>
      <c r="AF35" s="27">
        <v>1</v>
      </c>
      <c r="AG35" s="27">
        <v>0</v>
      </c>
      <c r="AH35" s="27">
        <v>0</v>
      </c>
      <c r="AI35" s="28">
        <v>0</v>
      </c>
      <c r="AK35" s="36">
        <v>2</v>
      </c>
      <c r="AL35" s="33">
        <v>8</v>
      </c>
      <c r="AM35" s="33">
        <v>2</v>
      </c>
      <c r="AN35" s="33">
        <v>2</v>
      </c>
      <c r="AO35" s="33">
        <v>1</v>
      </c>
      <c r="AP35" s="33">
        <v>0</v>
      </c>
      <c r="AQ35" s="33">
        <v>1</v>
      </c>
      <c r="AR35" s="33">
        <v>3</v>
      </c>
      <c r="AS35" s="33">
        <v>10</v>
      </c>
      <c r="AT35" s="33">
        <v>1</v>
      </c>
      <c r="AU35" s="43">
        <v>4.9056469146580094E-2</v>
      </c>
      <c r="AV35" s="33">
        <v>0</v>
      </c>
      <c r="AW35" s="33">
        <v>0</v>
      </c>
      <c r="AY35" s="36">
        <v>7</v>
      </c>
      <c r="AZ35" s="33">
        <v>1</v>
      </c>
      <c r="BA35" s="33">
        <v>1</v>
      </c>
      <c r="BB35" s="33">
        <v>1</v>
      </c>
      <c r="BC35" s="33">
        <v>3</v>
      </c>
      <c r="BD35" s="43">
        <v>0.26716376341055892</v>
      </c>
      <c r="BE35" s="33">
        <v>0</v>
      </c>
      <c r="BF35" s="33">
        <v>0</v>
      </c>
      <c r="CE35" s="36">
        <v>1</v>
      </c>
      <c r="CF35" s="33">
        <v>1</v>
      </c>
      <c r="CG35" s="33">
        <v>2</v>
      </c>
      <c r="CH35" s="33">
        <v>4</v>
      </c>
      <c r="CI35" s="33">
        <v>1</v>
      </c>
      <c r="CJ35" s="33">
        <v>8</v>
      </c>
      <c r="CK35" s="33">
        <v>1</v>
      </c>
      <c r="CL35" s="33">
        <v>0</v>
      </c>
      <c r="CM35" s="33">
        <v>1</v>
      </c>
      <c r="CN35" s="33">
        <v>6</v>
      </c>
      <c r="CO35" s="33">
        <v>0</v>
      </c>
      <c r="CP35" s="43">
        <v>0.4309476681580523</v>
      </c>
      <c r="CQ35" s="33">
        <v>0</v>
      </c>
      <c r="CR35" s="33">
        <v>1</v>
      </c>
    </row>
    <row r="36" spans="1:96" ht="15" customHeight="1" x14ac:dyDescent="0.25">
      <c r="A36" s="26">
        <v>34</v>
      </c>
      <c r="B36" s="27">
        <v>24</v>
      </c>
      <c r="C36" s="27">
        <v>1</v>
      </c>
      <c r="D36" s="27">
        <v>1</v>
      </c>
      <c r="E36" s="27">
        <v>813</v>
      </c>
      <c r="F36" s="27">
        <v>2</v>
      </c>
      <c r="G36" s="27">
        <v>1</v>
      </c>
      <c r="H36" s="27">
        <v>3</v>
      </c>
      <c r="I36" s="27">
        <v>3</v>
      </c>
      <c r="J36" s="27">
        <v>1</v>
      </c>
      <c r="K36" s="27">
        <v>45</v>
      </c>
      <c r="L36" s="27">
        <v>2</v>
      </c>
      <c r="M36" s="27">
        <v>1</v>
      </c>
      <c r="N36" s="27">
        <v>61</v>
      </c>
      <c r="O36" s="27">
        <v>3</v>
      </c>
      <c r="P36" s="27">
        <v>1</v>
      </c>
      <c r="Q36" s="27">
        <v>2</v>
      </c>
      <c r="R36" s="27">
        <v>4</v>
      </c>
      <c r="S36" s="27">
        <v>2</v>
      </c>
      <c r="T36" s="27">
        <v>2293</v>
      </c>
      <c r="U36" s="27">
        <v>3020</v>
      </c>
      <c r="V36" s="27">
        <v>2</v>
      </c>
      <c r="W36" s="27">
        <v>1</v>
      </c>
      <c r="X36" s="27">
        <v>16</v>
      </c>
      <c r="Y36" s="27">
        <v>3</v>
      </c>
      <c r="Z36" s="27">
        <v>1</v>
      </c>
      <c r="AA36" s="27">
        <v>80</v>
      </c>
      <c r="AB36" s="27">
        <v>1</v>
      </c>
      <c r="AC36" s="27">
        <v>6</v>
      </c>
      <c r="AD36" s="27">
        <v>2</v>
      </c>
      <c r="AE36" s="27">
        <v>2</v>
      </c>
      <c r="AF36" s="27">
        <v>2</v>
      </c>
      <c r="AG36" s="27">
        <v>0</v>
      </c>
      <c r="AH36" s="27">
        <v>2</v>
      </c>
      <c r="AI36" s="28">
        <v>0</v>
      </c>
      <c r="AK36" s="36">
        <v>3</v>
      </c>
      <c r="AL36" s="33">
        <v>2</v>
      </c>
      <c r="AM36" s="33">
        <v>1</v>
      </c>
      <c r="AN36" s="33">
        <v>3</v>
      </c>
      <c r="AO36" s="33">
        <v>6</v>
      </c>
      <c r="AP36" s="33">
        <v>1</v>
      </c>
      <c r="AQ36" s="33">
        <v>0</v>
      </c>
      <c r="AR36" s="33">
        <v>3</v>
      </c>
      <c r="AS36" s="33">
        <v>0</v>
      </c>
      <c r="AT36" s="33">
        <v>0</v>
      </c>
      <c r="AU36" s="43">
        <v>0.54073498309324952</v>
      </c>
      <c r="AV36" s="33">
        <v>1</v>
      </c>
      <c r="AW36" s="33">
        <v>1</v>
      </c>
      <c r="AY36" s="36">
        <v>8</v>
      </c>
      <c r="AZ36" s="33">
        <v>1</v>
      </c>
      <c r="BA36" s="33">
        <v>3</v>
      </c>
      <c r="BB36" s="33">
        <v>0</v>
      </c>
      <c r="BC36" s="33">
        <v>1</v>
      </c>
      <c r="BD36" s="43">
        <v>0.12012271365792118</v>
      </c>
      <c r="BE36" s="33">
        <v>0</v>
      </c>
      <c r="BF36" s="33">
        <v>0</v>
      </c>
      <c r="CE36" s="36">
        <v>2</v>
      </c>
      <c r="CF36" s="33">
        <v>8</v>
      </c>
      <c r="CG36" s="33">
        <v>2</v>
      </c>
      <c r="CH36" s="33">
        <v>2</v>
      </c>
      <c r="CI36" s="33">
        <v>2</v>
      </c>
      <c r="CJ36" s="33">
        <v>1</v>
      </c>
      <c r="CK36" s="33">
        <v>0</v>
      </c>
      <c r="CL36" s="33">
        <v>1</v>
      </c>
      <c r="CM36" s="33">
        <v>3</v>
      </c>
      <c r="CN36" s="33">
        <v>10</v>
      </c>
      <c r="CO36" s="33">
        <v>1</v>
      </c>
      <c r="CP36" s="43">
        <v>4.8004049813265566E-2</v>
      </c>
      <c r="CQ36" s="33">
        <v>0</v>
      </c>
      <c r="CR36" s="33">
        <v>0</v>
      </c>
    </row>
    <row r="37" spans="1:96" ht="15" customHeight="1" x14ac:dyDescent="0.25">
      <c r="A37" s="26">
        <v>35</v>
      </c>
      <c r="B37" s="27">
        <v>43</v>
      </c>
      <c r="C37" s="27">
        <v>0</v>
      </c>
      <c r="D37" s="27">
        <v>1</v>
      </c>
      <c r="E37" s="27">
        <v>1273</v>
      </c>
      <c r="F37" s="27">
        <v>2</v>
      </c>
      <c r="G37" s="27">
        <v>2</v>
      </c>
      <c r="H37" s="27">
        <v>2</v>
      </c>
      <c r="I37" s="27">
        <v>3</v>
      </c>
      <c r="J37" s="27">
        <v>1</v>
      </c>
      <c r="K37" s="27">
        <v>46</v>
      </c>
      <c r="L37" s="27">
        <v>4</v>
      </c>
      <c r="M37" s="27">
        <v>0</v>
      </c>
      <c r="N37" s="27">
        <v>72</v>
      </c>
      <c r="O37" s="27">
        <v>4</v>
      </c>
      <c r="P37" s="27">
        <v>1</v>
      </c>
      <c r="Q37" s="27">
        <v>2</v>
      </c>
      <c r="R37" s="27">
        <v>3</v>
      </c>
      <c r="S37" s="27">
        <v>3</v>
      </c>
      <c r="T37" s="27">
        <v>2645</v>
      </c>
      <c r="U37" s="27">
        <v>21923</v>
      </c>
      <c r="V37" s="27">
        <v>1</v>
      </c>
      <c r="W37" s="27">
        <v>0</v>
      </c>
      <c r="X37" s="27">
        <v>12</v>
      </c>
      <c r="Y37" s="27">
        <v>3</v>
      </c>
      <c r="Z37" s="27">
        <v>4</v>
      </c>
      <c r="AA37" s="27">
        <v>80</v>
      </c>
      <c r="AB37" s="27">
        <v>2</v>
      </c>
      <c r="AC37" s="27">
        <v>6</v>
      </c>
      <c r="AD37" s="27">
        <v>3</v>
      </c>
      <c r="AE37" s="27">
        <v>2</v>
      </c>
      <c r="AF37" s="27">
        <v>5</v>
      </c>
      <c r="AG37" s="27">
        <v>3</v>
      </c>
      <c r="AH37" s="27">
        <v>1</v>
      </c>
      <c r="AI37" s="28">
        <v>4</v>
      </c>
      <c r="AK37" s="36">
        <v>4</v>
      </c>
      <c r="AL37" s="33">
        <v>3</v>
      </c>
      <c r="AM37" s="33">
        <v>1</v>
      </c>
      <c r="AN37" s="33">
        <v>3</v>
      </c>
      <c r="AO37" s="33">
        <v>1</v>
      </c>
      <c r="AP37" s="33">
        <v>1</v>
      </c>
      <c r="AQ37" s="33">
        <v>0</v>
      </c>
      <c r="AR37" s="33">
        <v>3</v>
      </c>
      <c r="AS37" s="33">
        <v>8</v>
      </c>
      <c r="AT37" s="33">
        <v>3</v>
      </c>
      <c r="AU37" s="43">
        <v>0.38703550938015319</v>
      </c>
      <c r="AV37" s="33">
        <v>0</v>
      </c>
      <c r="AW37" s="33">
        <v>0</v>
      </c>
      <c r="AY37" s="36">
        <v>9</v>
      </c>
      <c r="AZ37" s="33">
        <v>3</v>
      </c>
      <c r="BA37" s="33">
        <v>3</v>
      </c>
      <c r="BB37" s="33">
        <v>0</v>
      </c>
      <c r="BC37" s="33">
        <v>0</v>
      </c>
      <c r="BD37" s="43">
        <v>7.0406776741937793E-2</v>
      </c>
      <c r="BE37" s="33">
        <v>0</v>
      </c>
      <c r="BF37" s="33">
        <v>0</v>
      </c>
      <c r="CE37" s="36">
        <v>3</v>
      </c>
      <c r="CF37" s="33">
        <v>2</v>
      </c>
      <c r="CG37" s="33">
        <v>1</v>
      </c>
      <c r="CH37" s="33">
        <v>3</v>
      </c>
      <c r="CI37" s="33">
        <v>1</v>
      </c>
      <c r="CJ37" s="33">
        <v>6</v>
      </c>
      <c r="CK37" s="33">
        <v>1</v>
      </c>
      <c r="CL37" s="33">
        <v>0</v>
      </c>
      <c r="CM37" s="33">
        <v>3</v>
      </c>
      <c r="CN37" s="33">
        <v>0</v>
      </c>
      <c r="CO37" s="33">
        <v>0</v>
      </c>
      <c r="CP37" s="43">
        <v>0.59219222111742065</v>
      </c>
      <c r="CQ37" s="33">
        <v>1</v>
      </c>
      <c r="CR37" s="33">
        <v>1</v>
      </c>
    </row>
    <row r="38" spans="1:96" ht="15" customHeight="1" x14ac:dyDescent="0.25">
      <c r="A38" s="26">
        <v>36</v>
      </c>
      <c r="B38" s="27">
        <v>50</v>
      </c>
      <c r="C38" s="27">
        <v>1</v>
      </c>
      <c r="D38" s="27">
        <v>1</v>
      </c>
      <c r="E38" s="27">
        <v>869</v>
      </c>
      <c r="F38" s="27">
        <v>1</v>
      </c>
      <c r="G38" s="27">
        <v>3</v>
      </c>
      <c r="H38" s="27">
        <v>2</v>
      </c>
      <c r="I38" s="27">
        <v>4</v>
      </c>
      <c r="J38" s="27">
        <v>1</v>
      </c>
      <c r="K38" s="27">
        <v>47</v>
      </c>
      <c r="L38" s="27">
        <v>1</v>
      </c>
      <c r="M38" s="27">
        <v>1</v>
      </c>
      <c r="N38" s="27">
        <v>86</v>
      </c>
      <c r="O38" s="27">
        <v>2</v>
      </c>
      <c r="P38" s="27">
        <v>1</v>
      </c>
      <c r="Q38" s="27">
        <v>7</v>
      </c>
      <c r="R38" s="27">
        <v>3</v>
      </c>
      <c r="S38" s="27">
        <v>2</v>
      </c>
      <c r="T38" s="27">
        <v>2683</v>
      </c>
      <c r="U38" s="27">
        <v>3810</v>
      </c>
      <c r="V38" s="27">
        <v>1</v>
      </c>
      <c r="W38" s="27">
        <v>1</v>
      </c>
      <c r="X38" s="27">
        <v>14</v>
      </c>
      <c r="Y38" s="27">
        <v>3</v>
      </c>
      <c r="Z38" s="27">
        <v>3</v>
      </c>
      <c r="AA38" s="27">
        <v>80</v>
      </c>
      <c r="AB38" s="27">
        <v>0</v>
      </c>
      <c r="AC38" s="27">
        <v>3</v>
      </c>
      <c r="AD38" s="27">
        <v>2</v>
      </c>
      <c r="AE38" s="27">
        <v>3</v>
      </c>
      <c r="AF38" s="27">
        <v>3</v>
      </c>
      <c r="AG38" s="27">
        <v>2</v>
      </c>
      <c r="AH38" s="27">
        <v>0</v>
      </c>
      <c r="AI38" s="28">
        <v>2</v>
      </c>
      <c r="AK38" s="36">
        <v>5</v>
      </c>
      <c r="AL38" s="33">
        <v>2</v>
      </c>
      <c r="AM38" s="33">
        <v>1</v>
      </c>
      <c r="AN38" s="33">
        <v>2</v>
      </c>
      <c r="AO38" s="33">
        <v>9</v>
      </c>
      <c r="AP38" s="33">
        <v>0</v>
      </c>
      <c r="AQ38" s="33">
        <v>1</v>
      </c>
      <c r="AR38" s="33">
        <v>3</v>
      </c>
      <c r="AS38" s="33">
        <v>2</v>
      </c>
      <c r="AT38" s="33">
        <v>2</v>
      </c>
      <c r="AU38" s="43">
        <v>0.22224503346564575</v>
      </c>
      <c r="AV38" s="33">
        <v>0</v>
      </c>
      <c r="AW38" s="33">
        <v>0</v>
      </c>
      <c r="AY38" s="36">
        <v>10</v>
      </c>
      <c r="AZ38" s="33">
        <v>2</v>
      </c>
      <c r="BA38" s="33">
        <v>3</v>
      </c>
      <c r="BB38" s="33">
        <v>0</v>
      </c>
      <c r="BC38" s="33">
        <v>2</v>
      </c>
      <c r="BD38" s="43">
        <v>4.4052611042036123E-2</v>
      </c>
      <c r="BE38" s="33">
        <v>0</v>
      </c>
      <c r="BF38" s="33">
        <v>0</v>
      </c>
      <c r="CE38" s="36">
        <v>4</v>
      </c>
      <c r="CF38" s="33">
        <v>3</v>
      </c>
      <c r="CG38" s="33">
        <v>1</v>
      </c>
      <c r="CH38" s="33">
        <v>3</v>
      </c>
      <c r="CI38" s="33">
        <v>2</v>
      </c>
      <c r="CJ38" s="33">
        <v>1</v>
      </c>
      <c r="CK38" s="33">
        <v>1</v>
      </c>
      <c r="CL38" s="33">
        <v>0</v>
      </c>
      <c r="CM38" s="33">
        <v>3</v>
      </c>
      <c r="CN38" s="33">
        <v>8</v>
      </c>
      <c r="CO38" s="33">
        <v>3</v>
      </c>
      <c r="CP38" s="43">
        <v>0.30846832813970704</v>
      </c>
      <c r="CQ38" s="33">
        <v>0</v>
      </c>
      <c r="CR38" s="33">
        <v>0</v>
      </c>
    </row>
    <row r="39" spans="1:96" ht="15" customHeight="1" x14ac:dyDescent="0.25">
      <c r="A39" s="26">
        <v>37</v>
      </c>
      <c r="B39" s="27">
        <v>35</v>
      </c>
      <c r="C39" s="27">
        <v>0</v>
      </c>
      <c r="D39" s="27">
        <v>1</v>
      </c>
      <c r="E39" s="27">
        <v>890</v>
      </c>
      <c r="F39" s="27">
        <v>1</v>
      </c>
      <c r="G39" s="27">
        <v>2</v>
      </c>
      <c r="H39" s="27">
        <v>3</v>
      </c>
      <c r="I39" s="27">
        <v>4</v>
      </c>
      <c r="J39" s="27">
        <v>1</v>
      </c>
      <c r="K39" s="27">
        <v>49</v>
      </c>
      <c r="L39" s="27">
        <v>4</v>
      </c>
      <c r="M39" s="27">
        <v>0</v>
      </c>
      <c r="N39" s="27">
        <v>97</v>
      </c>
      <c r="O39" s="27">
        <v>3</v>
      </c>
      <c r="P39" s="27">
        <v>1</v>
      </c>
      <c r="Q39" s="27">
        <v>7</v>
      </c>
      <c r="R39" s="27">
        <v>4</v>
      </c>
      <c r="S39" s="27">
        <v>2</v>
      </c>
      <c r="T39" s="27">
        <v>2014</v>
      </c>
      <c r="U39" s="27">
        <v>9687</v>
      </c>
      <c r="V39" s="27">
        <v>1</v>
      </c>
      <c r="W39" s="27">
        <v>0</v>
      </c>
      <c r="X39" s="27">
        <v>13</v>
      </c>
      <c r="Y39" s="27">
        <v>3</v>
      </c>
      <c r="Z39" s="27">
        <v>1</v>
      </c>
      <c r="AA39" s="27">
        <v>80</v>
      </c>
      <c r="AB39" s="27">
        <v>0</v>
      </c>
      <c r="AC39" s="27">
        <v>2</v>
      </c>
      <c r="AD39" s="27">
        <v>3</v>
      </c>
      <c r="AE39" s="27">
        <v>3</v>
      </c>
      <c r="AF39" s="27">
        <v>2</v>
      </c>
      <c r="AG39" s="27">
        <v>2</v>
      </c>
      <c r="AH39" s="27">
        <v>2</v>
      </c>
      <c r="AI39" s="28">
        <v>2</v>
      </c>
      <c r="AK39" s="36">
        <v>6</v>
      </c>
      <c r="AL39" s="33">
        <v>2</v>
      </c>
      <c r="AM39" s="33">
        <v>1</v>
      </c>
      <c r="AN39" s="33">
        <v>4</v>
      </c>
      <c r="AO39" s="33">
        <v>0</v>
      </c>
      <c r="AP39" s="33">
        <v>0</v>
      </c>
      <c r="AQ39" s="33">
        <v>0</v>
      </c>
      <c r="AR39" s="33">
        <v>2</v>
      </c>
      <c r="AS39" s="33">
        <v>7</v>
      </c>
      <c r="AT39" s="33">
        <v>3</v>
      </c>
      <c r="AU39" s="43">
        <v>0.11505836602311698</v>
      </c>
      <c r="AV39" s="33">
        <v>0</v>
      </c>
      <c r="AW39" s="33">
        <v>0</v>
      </c>
      <c r="AY39" s="36">
        <v>11</v>
      </c>
      <c r="AZ39" s="33">
        <v>1</v>
      </c>
      <c r="BA39" s="33">
        <v>2</v>
      </c>
      <c r="BB39" s="33">
        <v>0</v>
      </c>
      <c r="BC39" s="33">
        <v>1</v>
      </c>
      <c r="BD39" s="43">
        <v>0.15461023487664</v>
      </c>
      <c r="BE39" s="33">
        <v>0</v>
      </c>
      <c r="BF39" s="33">
        <v>0</v>
      </c>
      <c r="CE39" s="36">
        <v>5</v>
      </c>
      <c r="CF39" s="33">
        <v>2</v>
      </c>
      <c r="CG39" s="33">
        <v>1</v>
      </c>
      <c r="CH39" s="33">
        <v>2</v>
      </c>
      <c r="CI39" s="33">
        <v>2</v>
      </c>
      <c r="CJ39" s="33">
        <v>9</v>
      </c>
      <c r="CK39" s="33">
        <v>0</v>
      </c>
      <c r="CL39" s="33">
        <v>1</v>
      </c>
      <c r="CM39" s="33">
        <v>3</v>
      </c>
      <c r="CN39" s="33">
        <v>2</v>
      </c>
      <c r="CO39" s="33">
        <v>2</v>
      </c>
      <c r="CP39" s="43">
        <v>0.22002044811196544</v>
      </c>
      <c r="CQ39" s="33">
        <v>0</v>
      </c>
      <c r="CR39" s="33">
        <v>0</v>
      </c>
    </row>
    <row r="40" spans="1:96" ht="15" customHeight="1" x14ac:dyDescent="0.25">
      <c r="A40" s="26">
        <v>38</v>
      </c>
      <c r="B40" s="27">
        <v>36</v>
      </c>
      <c r="C40" s="27">
        <v>0</v>
      </c>
      <c r="D40" s="27">
        <v>1</v>
      </c>
      <c r="E40" s="27">
        <v>852</v>
      </c>
      <c r="F40" s="27">
        <v>2</v>
      </c>
      <c r="G40" s="27">
        <v>5</v>
      </c>
      <c r="H40" s="27">
        <v>4</v>
      </c>
      <c r="I40" s="27">
        <v>1</v>
      </c>
      <c r="J40" s="27">
        <v>1</v>
      </c>
      <c r="K40" s="27">
        <v>51</v>
      </c>
      <c r="L40" s="27">
        <v>2</v>
      </c>
      <c r="M40" s="27">
        <v>0</v>
      </c>
      <c r="N40" s="27">
        <v>82</v>
      </c>
      <c r="O40" s="27">
        <v>2</v>
      </c>
      <c r="P40" s="27">
        <v>1</v>
      </c>
      <c r="Q40" s="27">
        <v>2</v>
      </c>
      <c r="R40" s="27">
        <v>1</v>
      </c>
      <c r="S40" s="27">
        <v>2</v>
      </c>
      <c r="T40" s="27">
        <v>3419</v>
      </c>
      <c r="U40" s="27">
        <v>13072</v>
      </c>
      <c r="V40" s="27">
        <v>9</v>
      </c>
      <c r="W40" s="27">
        <v>1</v>
      </c>
      <c r="X40" s="27">
        <v>14</v>
      </c>
      <c r="Y40" s="27">
        <v>3</v>
      </c>
      <c r="Z40" s="27">
        <v>4</v>
      </c>
      <c r="AA40" s="27">
        <v>80</v>
      </c>
      <c r="AB40" s="27">
        <v>1</v>
      </c>
      <c r="AC40" s="27">
        <v>6</v>
      </c>
      <c r="AD40" s="27">
        <v>3</v>
      </c>
      <c r="AE40" s="27">
        <v>4</v>
      </c>
      <c r="AF40" s="27">
        <v>1</v>
      </c>
      <c r="AG40" s="27">
        <v>1</v>
      </c>
      <c r="AH40" s="27">
        <v>0</v>
      </c>
      <c r="AI40" s="28">
        <v>0</v>
      </c>
      <c r="AK40" s="36">
        <v>7</v>
      </c>
      <c r="AL40" s="33">
        <v>3</v>
      </c>
      <c r="AM40" s="33">
        <v>1</v>
      </c>
      <c r="AN40" s="33">
        <v>1</v>
      </c>
      <c r="AO40" s="33">
        <v>4</v>
      </c>
      <c r="AP40" s="33">
        <v>1</v>
      </c>
      <c r="AQ40" s="33">
        <v>3</v>
      </c>
      <c r="AR40" s="33">
        <v>2</v>
      </c>
      <c r="AS40" s="33">
        <v>1</v>
      </c>
      <c r="AT40" s="33">
        <v>0</v>
      </c>
      <c r="AU40" s="43">
        <v>0.28334675263679715</v>
      </c>
      <c r="AV40" s="33">
        <v>0</v>
      </c>
      <c r="AW40" s="33">
        <v>0</v>
      </c>
      <c r="AY40" s="36">
        <v>12</v>
      </c>
      <c r="AZ40" s="33">
        <v>2</v>
      </c>
      <c r="BA40" s="33">
        <v>3</v>
      </c>
      <c r="BB40" s="33">
        <v>1</v>
      </c>
      <c r="BC40" s="33">
        <v>0</v>
      </c>
      <c r="BD40" s="43">
        <v>0.36139389867144694</v>
      </c>
      <c r="BE40" s="33">
        <v>0</v>
      </c>
      <c r="BF40" s="33">
        <v>0</v>
      </c>
      <c r="CE40" s="36">
        <v>6</v>
      </c>
      <c r="CF40" s="33">
        <v>2</v>
      </c>
      <c r="CG40" s="33">
        <v>1</v>
      </c>
      <c r="CH40" s="33">
        <v>4</v>
      </c>
      <c r="CI40" s="33">
        <v>1</v>
      </c>
      <c r="CJ40" s="33">
        <v>0</v>
      </c>
      <c r="CK40" s="33">
        <v>0</v>
      </c>
      <c r="CL40" s="33">
        <v>0</v>
      </c>
      <c r="CM40" s="33">
        <v>2</v>
      </c>
      <c r="CN40" s="33">
        <v>7</v>
      </c>
      <c r="CO40" s="33">
        <v>3</v>
      </c>
      <c r="CP40" s="43">
        <v>0.13280041798269099</v>
      </c>
      <c r="CQ40" s="33">
        <v>0</v>
      </c>
      <c r="CR40" s="33">
        <v>0</v>
      </c>
    </row>
    <row r="41" spans="1:96" ht="15" customHeight="1" x14ac:dyDescent="0.25">
      <c r="A41" s="26">
        <v>39</v>
      </c>
      <c r="B41" s="27">
        <v>33</v>
      </c>
      <c r="C41" s="27">
        <v>0</v>
      </c>
      <c r="D41" s="27">
        <v>2</v>
      </c>
      <c r="E41" s="27">
        <v>1141</v>
      </c>
      <c r="F41" s="27">
        <v>1</v>
      </c>
      <c r="G41" s="27">
        <v>1</v>
      </c>
      <c r="H41" s="27">
        <v>3</v>
      </c>
      <c r="I41" s="27">
        <v>1</v>
      </c>
      <c r="J41" s="27">
        <v>1</v>
      </c>
      <c r="K41" s="27">
        <v>52</v>
      </c>
      <c r="L41" s="27">
        <v>3</v>
      </c>
      <c r="M41" s="27">
        <v>0</v>
      </c>
      <c r="N41" s="27">
        <v>42</v>
      </c>
      <c r="O41" s="27">
        <v>4</v>
      </c>
      <c r="P41" s="27">
        <v>2</v>
      </c>
      <c r="Q41" s="27">
        <v>1</v>
      </c>
      <c r="R41" s="27">
        <v>1</v>
      </c>
      <c r="S41" s="27">
        <v>2</v>
      </c>
      <c r="T41" s="27">
        <v>5376</v>
      </c>
      <c r="U41" s="27">
        <v>3193</v>
      </c>
      <c r="V41" s="27">
        <v>2</v>
      </c>
      <c r="W41" s="27">
        <v>0</v>
      </c>
      <c r="X41" s="27">
        <v>19</v>
      </c>
      <c r="Y41" s="27">
        <v>3</v>
      </c>
      <c r="Z41" s="27">
        <v>1</v>
      </c>
      <c r="AA41" s="27">
        <v>80</v>
      </c>
      <c r="AB41" s="27">
        <v>2</v>
      </c>
      <c r="AC41" s="27">
        <v>10</v>
      </c>
      <c r="AD41" s="27">
        <v>3</v>
      </c>
      <c r="AE41" s="27">
        <v>3</v>
      </c>
      <c r="AF41" s="27">
        <v>5</v>
      </c>
      <c r="AG41" s="27">
        <v>3</v>
      </c>
      <c r="AH41" s="27">
        <v>1</v>
      </c>
      <c r="AI41" s="28">
        <v>3</v>
      </c>
      <c r="AK41" s="36">
        <v>8</v>
      </c>
      <c r="AL41" s="33">
        <v>24</v>
      </c>
      <c r="AM41" s="33">
        <v>1</v>
      </c>
      <c r="AN41" s="33">
        <v>3</v>
      </c>
      <c r="AO41" s="33">
        <v>1</v>
      </c>
      <c r="AP41" s="33">
        <v>0</v>
      </c>
      <c r="AQ41" s="33">
        <v>1</v>
      </c>
      <c r="AR41" s="33">
        <v>3</v>
      </c>
      <c r="AS41" s="33">
        <v>1</v>
      </c>
      <c r="AT41" s="33">
        <v>0</v>
      </c>
      <c r="AU41" s="43">
        <v>0.16367310956521</v>
      </c>
      <c r="AV41" s="33">
        <v>0</v>
      </c>
      <c r="AW41" s="33">
        <v>0</v>
      </c>
      <c r="AY41" s="36">
        <v>13</v>
      </c>
      <c r="AZ41" s="33">
        <v>1</v>
      </c>
      <c r="BA41" s="33">
        <v>3</v>
      </c>
      <c r="BB41" s="33">
        <v>0</v>
      </c>
      <c r="BC41" s="33">
        <v>1</v>
      </c>
      <c r="BD41" s="43">
        <v>0.12012271365792118</v>
      </c>
      <c r="BE41" s="33">
        <v>0</v>
      </c>
      <c r="BF41" s="33">
        <v>0</v>
      </c>
      <c r="CE41" s="36">
        <v>7</v>
      </c>
      <c r="CF41" s="33">
        <v>3</v>
      </c>
      <c r="CG41" s="33">
        <v>1</v>
      </c>
      <c r="CH41" s="33">
        <v>1</v>
      </c>
      <c r="CI41" s="33">
        <v>2</v>
      </c>
      <c r="CJ41" s="33">
        <v>4</v>
      </c>
      <c r="CK41" s="33">
        <v>1</v>
      </c>
      <c r="CL41" s="33">
        <v>3</v>
      </c>
      <c r="CM41" s="33">
        <v>2</v>
      </c>
      <c r="CN41" s="33">
        <v>1</v>
      </c>
      <c r="CO41" s="33">
        <v>0</v>
      </c>
      <c r="CP41" s="43">
        <v>0.45227816727920206</v>
      </c>
      <c r="CQ41" s="33">
        <v>0</v>
      </c>
      <c r="CR41" s="33">
        <v>0</v>
      </c>
    </row>
    <row r="42" spans="1:96" ht="15" customHeight="1" x14ac:dyDescent="0.25">
      <c r="A42" s="26">
        <v>40</v>
      </c>
      <c r="B42" s="27">
        <v>35</v>
      </c>
      <c r="C42" s="27">
        <v>0</v>
      </c>
      <c r="D42" s="27">
        <v>1</v>
      </c>
      <c r="E42" s="27">
        <v>464</v>
      </c>
      <c r="F42" s="27">
        <v>2</v>
      </c>
      <c r="G42" s="27">
        <v>4</v>
      </c>
      <c r="H42" s="27">
        <v>2</v>
      </c>
      <c r="I42" s="27">
        <v>6</v>
      </c>
      <c r="J42" s="27">
        <v>1</v>
      </c>
      <c r="K42" s="27">
        <v>53</v>
      </c>
      <c r="L42" s="27">
        <v>3</v>
      </c>
      <c r="M42" s="27">
        <v>1</v>
      </c>
      <c r="N42" s="27">
        <v>75</v>
      </c>
      <c r="O42" s="27">
        <v>3</v>
      </c>
      <c r="P42" s="27">
        <v>1</v>
      </c>
      <c r="Q42" s="27">
        <v>3</v>
      </c>
      <c r="R42" s="27">
        <v>4</v>
      </c>
      <c r="S42" s="27">
        <v>3</v>
      </c>
      <c r="T42" s="27">
        <v>1951</v>
      </c>
      <c r="U42" s="27">
        <v>10910</v>
      </c>
      <c r="V42" s="27">
        <v>1</v>
      </c>
      <c r="W42" s="27">
        <v>0</v>
      </c>
      <c r="X42" s="27">
        <v>12</v>
      </c>
      <c r="Y42" s="27">
        <v>3</v>
      </c>
      <c r="Z42" s="27">
        <v>3</v>
      </c>
      <c r="AA42" s="27">
        <v>80</v>
      </c>
      <c r="AB42" s="27">
        <v>1</v>
      </c>
      <c r="AC42" s="27">
        <v>1</v>
      </c>
      <c r="AD42" s="27">
        <v>3</v>
      </c>
      <c r="AE42" s="27">
        <v>3</v>
      </c>
      <c r="AF42" s="27">
        <v>1</v>
      </c>
      <c r="AG42" s="27">
        <v>0</v>
      </c>
      <c r="AH42" s="27">
        <v>0</v>
      </c>
      <c r="AI42" s="28">
        <v>0</v>
      </c>
      <c r="AK42" s="36">
        <v>9</v>
      </c>
      <c r="AL42" s="33">
        <v>23</v>
      </c>
      <c r="AM42" s="33">
        <v>3</v>
      </c>
      <c r="AN42" s="33">
        <v>3</v>
      </c>
      <c r="AO42" s="33">
        <v>0</v>
      </c>
      <c r="AP42" s="33">
        <v>0</v>
      </c>
      <c r="AQ42" s="33">
        <v>0</v>
      </c>
      <c r="AR42" s="33">
        <v>3</v>
      </c>
      <c r="AS42" s="33">
        <v>9</v>
      </c>
      <c r="AT42" s="33">
        <v>1</v>
      </c>
      <c r="AU42" s="43">
        <v>6.0182413158934953E-2</v>
      </c>
      <c r="AV42" s="33">
        <v>0</v>
      </c>
      <c r="AW42" s="33">
        <v>0</v>
      </c>
      <c r="AY42" s="36">
        <v>14</v>
      </c>
      <c r="AZ42" s="33">
        <v>1</v>
      </c>
      <c r="BA42" s="33">
        <v>4</v>
      </c>
      <c r="BB42" s="33">
        <v>0</v>
      </c>
      <c r="BC42" s="33">
        <v>1</v>
      </c>
      <c r="BD42" s="43">
        <v>9.2486413274924434E-2</v>
      </c>
      <c r="BE42" s="33">
        <v>0</v>
      </c>
      <c r="BF42" s="33">
        <v>0</v>
      </c>
      <c r="CE42" s="36">
        <v>8</v>
      </c>
      <c r="CF42" s="33">
        <v>24</v>
      </c>
      <c r="CG42" s="33">
        <v>1</v>
      </c>
      <c r="CH42" s="33">
        <v>3</v>
      </c>
      <c r="CI42" s="33">
        <v>3</v>
      </c>
      <c r="CJ42" s="33">
        <v>1</v>
      </c>
      <c r="CK42" s="33">
        <v>0</v>
      </c>
      <c r="CL42" s="33">
        <v>1</v>
      </c>
      <c r="CM42" s="33">
        <v>3</v>
      </c>
      <c r="CN42" s="33">
        <v>1</v>
      </c>
      <c r="CO42" s="33">
        <v>0</v>
      </c>
      <c r="CP42" s="43">
        <v>9.6114604694967021E-2</v>
      </c>
      <c r="CQ42" s="33">
        <v>0</v>
      </c>
      <c r="CR42" s="33">
        <v>0</v>
      </c>
    </row>
    <row r="43" spans="1:96" ht="15" customHeight="1" x14ac:dyDescent="0.25">
      <c r="A43" s="26">
        <v>41</v>
      </c>
      <c r="B43" s="27">
        <v>27</v>
      </c>
      <c r="C43" s="27">
        <v>0</v>
      </c>
      <c r="D43" s="27">
        <v>1</v>
      </c>
      <c r="E43" s="27">
        <v>1240</v>
      </c>
      <c r="F43" s="27">
        <v>2</v>
      </c>
      <c r="G43" s="27">
        <v>2</v>
      </c>
      <c r="H43" s="27">
        <v>4</v>
      </c>
      <c r="I43" s="27">
        <v>1</v>
      </c>
      <c r="J43" s="27">
        <v>1</v>
      </c>
      <c r="K43" s="27">
        <v>54</v>
      </c>
      <c r="L43" s="27">
        <v>4</v>
      </c>
      <c r="M43" s="27">
        <v>0</v>
      </c>
      <c r="N43" s="27">
        <v>33</v>
      </c>
      <c r="O43" s="27">
        <v>3</v>
      </c>
      <c r="P43" s="27">
        <v>1</v>
      </c>
      <c r="Q43" s="27">
        <v>3</v>
      </c>
      <c r="R43" s="27">
        <v>1</v>
      </c>
      <c r="S43" s="27">
        <v>3</v>
      </c>
      <c r="T43" s="27">
        <v>2341</v>
      </c>
      <c r="U43" s="27">
        <v>19715</v>
      </c>
      <c r="V43" s="27">
        <v>1</v>
      </c>
      <c r="W43" s="27">
        <v>0</v>
      </c>
      <c r="X43" s="27">
        <v>13</v>
      </c>
      <c r="Y43" s="27">
        <v>3</v>
      </c>
      <c r="Z43" s="27">
        <v>4</v>
      </c>
      <c r="AA43" s="27">
        <v>80</v>
      </c>
      <c r="AB43" s="27">
        <v>1</v>
      </c>
      <c r="AC43" s="27">
        <v>1</v>
      </c>
      <c r="AD43" s="27">
        <v>6</v>
      </c>
      <c r="AE43" s="27">
        <v>3</v>
      </c>
      <c r="AF43" s="27">
        <v>1</v>
      </c>
      <c r="AG43" s="27">
        <v>0</v>
      </c>
      <c r="AH43" s="27">
        <v>0</v>
      </c>
      <c r="AI43" s="28">
        <v>0</v>
      </c>
      <c r="AK43" s="36">
        <v>10</v>
      </c>
      <c r="AL43" s="33">
        <v>27</v>
      </c>
      <c r="AM43" s="33">
        <v>2</v>
      </c>
      <c r="AN43" s="33">
        <v>3</v>
      </c>
      <c r="AO43" s="33">
        <v>6</v>
      </c>
      <c r="AP43" s="33">
        <v>0</v>
      </c>
      <c r="AQ43" s="33">
        <v>2</v>
      </c>
      <c r="AR43" s="33">
        <v>2</v>
      </c>
      <c r="AS43" s="33">
        <v>7</v>
      </c>
      <c r="AT43" s="33">
        <v>7</v>
      </c>
      <c r="AU43" s="43">
        <v>0.16305655315322518</v>
      </c>
      <c r="AV43" s="33">
        <v>0</v>
      </c>
      <c r="AW43" s="33">
        <v>0</v>
      </c>
      <c r="AY43" s="36">
        <v>15</v>
      </c>
      <c r="AZ43" s="33">
        <v>1</v>
      </c>
      <c r="BA43" s="33">
        <v>3</v>
      </c>
      <c r="BB43" s="33">
        <v>1</v>
      </c>
      <c r="BC43" s="33">
        <v>0</v>
      </c>
      <c r="BD43" s="43">
        <v>0.49727340882350407</v>
      </c>
      <c r="BE43" s="33">
        <v>0</v>
      </c>
      <c r="BF43" s="33">
        <v>1</v>
      </c>
      <c r="CE43" s="36">
        <v>9</v>
      </c>
      <c r="CF43" s="33">
        <v>23</v>
      </c>
      <c r="CG43" s="33">
        <v>3</v>
      </c>
      <c r="CH43" s="33">
        <v>3</v>
      </c>
      <c r="CI43" s="33">
        <v>1</v>
      </c>
      <c r="CJ43" s="33">
        <v>0</v>
      </c>
      <c r="CK43" s="33">
        <v>0</v>
      </c>
      <c r="CL43" s="33">
        <v>0</v>
      </c>
      <c r="CM43" s="33">
        <v>3</v>
      </c>
      <c r="CN43" s="33">
        <v>9</v>
      </c>
      <c r="CO43" s="33">
        <v>1</v>
      </c>
      <c r="CP43" s="43">
        <v>7.086056002689084E-2</v>
      </c>
      <c r="CQ43" s="33">
        <v>0</v>
      </c>
      <c r="CR43" s="33">
        <v>0</v>
      </c>
    </row>
    <row r="44" spans="1:96" ht="15" customHeight="1" x14ac:dyDescent="0.25">
      <c r="A44" s="26">
        <v>42</v>
      </c>
      <c r="B44" s="27">
        <v>26</v>
      </c>
      <c r="C44" s="27">
        <v>1</v>
      </c>
      <c r="D44" s="27">
        <v>1</v>
      </c>
      <c r="E44" s="27">
        <v>1357</v>
      </c>
      <c r="F44" s="27">
        <v>2</v>
      </c>
      <c r="G44" s="27">
        <v>25</v>
      </c>
      <c r="H44" s="27">
        <v>3</v>
      </c>
      <c r="I44" s="27">
        <v>1</v>
      </c>
      <c r="J44" s="27">
        <v>1</v>
      </c>
      <c r="K44" s="27">
        <v>55</v>
      </c>
      <c r="L44" s="27">
        <v>1</v>
      </c>
      <c r="M44" s="27">
        <v>1</v>
      </c>
      <c r="N44" s="27">
        <v>48</v>
      </c>
      <c r="O44" s="27">
        <v>1</v>
      </c>
      <c r="P44" s="27">
        <v>1</v>
      </c>
      <c r="Q44" s="27">
        <v>3</v>
      </c>
      <c r="R44" s="27">
        <v>3</v>
      </c>
      <c r="S44" s="27">
        <v>1</v>
      </c>
      <c r="T44" s="27">
        <v>2293</v>
      </c>
      <c r="U44" s="27">
        <v>10558</v>
      </c>
      <c r="V44" s="27">
        <v>1</v>
      </c>
      <c r="W44" s="27">
        <v>0</v>
      </c>
      <c r="X44" s="27">
        <v>12</v>
      </c>
      <c r="Y44" s="27">
        <v>3</v>
      </c>
      <c r="Z44" s="27">
        <v>3</v>
      </c>
      <c r="AA44" s="27">
        <v>80</v>
      </c>
      <c r="AB44" s="27">
        <v>0</v>
      </c>
      <c r="AC44" s="27">
        <v>1</v>
      </c>
      <c r="AD44" s="27">
        <v>2</v>
      </c>
      <c r="AE44" s="27">
        <v>2</v>
      </c>
      <c r="AF44" s="27">
        <v>1</v>
      </c>
      <c r="AG44" s="27">
        <v>0</v>
      </c>
      <c r="AH44" s="27">
        <v>0</v>
      </c>
      <c r="AI44" s="28">
        <v>1</v>
      </c>
      <c r="AK44" s="36">
        <v>11</v>
      </c>
      <c r="AL44" s="33">
        <v>16</v>
      </c>
      <c r="AM44" s="33">
        <v>1</v>
      </c>
      <c r="AN44" s="33">
        <v>2</v>
      </c>
      <c r="AO44" s="33">
        <v>0</v>
      </c>
      <c r="AP44" s="33">
        <v>0</v>
      </c>
      <c r="AQ44" s="33">
        <v>1</v>
      </c>
      <c r="AR44" s="33">
        <v>3</v>
      </c>
      <c r="AS44" s="33">
        <v>5</v>
      </c>
      <c r="AT44" s="33">
        <v>0</v>
      </c>
      <c r="AU44" s="43">
        <v>0.12125272167741331</v>
      </c>
      <c r="AV44" s="33">
        <v>0</v>
      </c>
      <c r="AW44" s="33">
        <v>0</v>
      </c>
      <c r="AY44" s="36">
        <v>16</v>
      </c>
      <c r="AZ44" s="33">
        <v>3</v>
      </c>
      <c r="BA44" s="33">
        <v>1</v>
      </c>
      <c r="BB44" s="33">
        <v>0</v>
      </c>
      <c r="BC44" s="33">
        <v>1</v>
      </c>
      <c r="BD44" s="43">
        <v>7.4238208059117641E-2</v>
      </c>
      <c r="BE44" s="33">
        <v>0</v>
      </c>
      <c r="BF44" s="33">
        <v>0</v>
      </c>
      <c r="CE44" s="36">
        <v>10</v>
      </c>
      <c r="CF44" s="33">
        <v>27</v>
      </c>
      <c r="CG44" s="33">
        <v>2</v>
      </c>
      <c r="CH44" s="33">
        <v>3</v>
      </c>
      <c r="CI44" s="33">
        <v>2</v>
      </c>
      <c r="CJ44" s="33">
        <v>6</v>
      </c>
      <c r="CK44" s="33">
        <v>0</v>
      </c>
      <c r="CL44" s="33">
        <v>2</v>
      </c>
      <c r="CM44" s="33">
        <v>2</v>
      </c>
      <c r="CN44" s="33">
        <v>7</v>
      </c>
      <c r="CO44" s="33">
        <v>7</v>
      </c>
      <c r="CP44" s="43">
        <v>0.21496208337291534</v>
      </c>
      <c r="CQ44" s="33">
        <v>0</v>
      </c>
      <c r="CR44" s="33">
        <v>0</v>
      </c>
    </row>
    <row r="45" spans="1:96" ht="15" customHeight="1" x14ac:dyDescent="0.25">
      <c r="A45" s="26">
        <v>43</v>
      </c>
      <c r="B45" s="27">
        <v>27</v>
      </c>
      <c r="C45" s="27">
        <v>0</v>
      </c>
      <c r="D45" s="27">
        <v>2</v>
      </c>
      <c r="E45" s="27">
        <v>994</v>
      </c>
      <c r="F45" s="27">
        <v>1</v>
      </c>
      <c r="G45" s="27">
        <v>8</v>
      </c>
      <c r="H45" s="27">
        <v>3</v>
      </c>
      <c r="I45" s="27">
        <v>1</v>
      </c>
      <c r="J45" s="27">
        <v>1</v>
      </c>
      <c r="K45" s="27">
        <v>56</v>
      </c>
      <c r="L45" s="27">
        <v>4</v>
      </c>
      <c r="M45" s="27">
        <v>1</v>
      </c>
      <c r="N45" s="27">
        <v>37</v>
      </c>
      <c r="O45" s="27">
        <v>3</v>
      </c>
      <c r="P45" s="27">
        <v>3</v>
      </c>
      <c r="Q45" s="27">
        <v>1</v>
      </c>
      <c r="R45" s="27">
        <v>3</v>
      </c>
      <c r="S45" s="27">
        <v>1</v>
      </c>
      <c r="T45" s="27">
        <v>8726</v>
      </c>
      <c r="U45" s="27">
        <v>2975</v>
      </c>
      <c r="V45" s="27">
        <v>1</v>
      </c>
      <c r="W45" s="27">
        <v>0</v>
      </c>
      <c r="X45" s="27">
        <v>15</v>
      </c>
      <c r="Y45" s="27">
        <v>3</v>
      </c>
      <c r="Z45" s="27">
        <v>4</v>
      </c>
      <c r="AA45" s="27">
        <v>80</v>
      </c>
      <c r="AB45" s="27">
        <v>0</v>
      </c>
      <c r="AC45" s="27">
        <v>9</v>
      </c>
      <c r="AD45" s="27">
        <v>0</v>
      </c>
      <c r="AE45" s="27">
        <v>3</v>
      </c>
      <c r="AF45" s="27">
        <v>9</v>
      </c>
      <c r="AG45" s="27">
        <v>8</v>
      </c>
      <c r="AH45" s="27">
        <v>1</v>
      </c>
      <c r="AI45" s="28">
        <v>7</v>
      </c>
      <c r="AK45" s="36">
        <v>12</v>
      </c>
      <c r="AL45" s="33">
        <v>15</v>
      </c>
      <c r="AM45" s="33">
        <v>2</v>
      </c>
      <c r="AN45" s="33">
        <v>3</v>
      </c>
      <c r="AO45" s="33">
        <v>0</v>
      </c>
      <c r="AP45" s="33">
        <v>1</v>
      </c>
      <c r="AQ45" s="33">
        <v>0</v>
      </c>
      <c r="AR45" s="33">
        <v>3</v>
      </c>
      <c r="AS45" s="33">
        <v>9</v>
      </c>
      <c r="AT45" s="33">
        <v>0</v>
      </c>
      <c r="AU45" s="43">
        <v>0.249013870854046</v>
      </c>
      <c r="AV45" s="33">
        <v>0</v>
      </c>
      <c r="AW45" s="33">
        <v>0</v>
      </c>
      <c r="AY45" s="36">
        <v>17</v>
      </c>
      <c r="AZ45" s="33">
        <v>1</v>
      </c>
      <c r="BA45" s="33">
        <v>2</v>
      </c>
      <c r="BB45" s="33">
        <v>1</v>
      </c>
      <c r="BC45" s="33">
        <v>2</v>
      </c>
      <c r="BD45" s="43">
        <v>0.31565726530479221</v>
      </c>
      <c r="BE45" s="33">
        <v>0</v>
      </c>
      <c r="BF45" s="33">
        <v>0</v>
      </c>
      <c r="CE45" s="36">
        <v>11</v>
      </c>
      <c r="CF45" s="33">
        <v>16</v>
      </c>
      <c r="CG45" s="33">
        <v>1</v>
      </c>
      <c r="CH45" s="33">
        <v>2</v>
      </c>
      <c r="CI45" s="33">
        <v>2</v>
      </c>
      <c r="CJ45" s="33">
        <v>0</v>
      </c>
      <c r="CK45" s="33">
        <v>0</v>
      </c>
      <c r="CL45" s="33">
        <v>1</v>
      </c>
      <c r="CM45" s="33">
        <v>3</v>
      </c>
      <c r="CN45" s="33">
        <v>5</v>
      </c>
      <c r="CO45" s="33">
        <v>0</v>
      </c>
      <c r="CP45" s="43">
        <v>0.11719990142618306</v>
      </c>
      <c r="CQ45" s="33">
        <v>0</v>
      </c>
      <c r="CR45" s="33">
        <v>0</v>
      </c>
    </row>
    <row r="46" spans="1:96" ht="15" customHeight="1" x14ac:dyDescent="0.25">
      <c r="A46" s="26">
        <v>44</v>
      </c>
      <c r="B46" s="27">
        <v>30</v>
      </c>
      <c r="C46" s="27">
        <v>0</v>
      </c>
      <c r="D46" s="27">
        <v>2</v>
      </c>
      <c r="E46" s="27">
        <v>721</v>
      </c>
      <c r="F46" s="27">
        <v>2</v>
      </c>
      <c r="G46" s="27">
        <v>1</v>
      </c>
      <c r="H46" s="27">
        <v>2</v>
      </c>
      <c r="I46" s="27">
        <v>3</v>
      </c>
      <c r="J46" s="27">
        <v>1</v>
      </c>
      <c r="K46" s="27">
        <v>57</v>
      </c>
      <c r="L46" s="27">
        <v>3</v>
      </c>
      <c r="M46" s="27">
        <v>0</v>
      </c>
      <c r="N46" s="27">
        <v>58</v>
      </c>
      <c r="O46" s="27">
        <v>3</v>
      </c>
      <c r="P46" s="27">
        <v>2</v>
      </c>
      <c r="Q46" s="27">
        <v>3</v>
      </c>
      <c r="R46" s="27">
        <v>4</v>
      </c>
      <c r="S46" s="27">
        <v>1</v>
      </c>
      <c r="T46" s="27">
        <v>4011</v>
      </c>
      <c r="U46" s="27">
        <v>10781</v>
      </c>
      <c r="V46" s="27">
        <v>1</v>
      </c>
      <c r="W46" s="27">
        <v>0</v>
      </c>
      <c r="X46" s="27">
        <v>23</v>
      </c>
      <c r="Y46" s="27">
        <v>4</v>
      </c>
      <c r="Z46" s="27">
        <v>4</v>
      </c>
      <c r="AA46" s="27">
        <v>80</v>
      </c>
      <c r="AB46" s="27">
        <v>0</v>
      </c>
      <c r="AC46" s="27">
        <v>12</v>
      </c>
      <c r="AD46" s="27">
        <v>2</v>
      </c>
      <c r="AE46" s="27">
        <v>3</v>
      </c>
      <c r="AF46" s="27">
        <v>12</v>
      </c>
      <c r="AG46" s="27">
        <v>8</v>
      </c>
      <c r="AH46" s="27">
        <v>3</v>
      </c>
      <c r="AI46" s="28">
        <v>7</v>
      </c>
      <c r="AK46" s="36">
        <v>13</v>
      </c>
      <c r="AL46" s="33">
        <v>26</v>
      </c>
      <c r="AM46" s="33">
        <v>1</v>
      </c>
      <c r="AN46" s="33">
        <v>3</v>
      </c>
      <c r="AO46" s="33">
        <v>1</v>
      </c>
      <c r="AP46" s="33">
        <v>0</v>
      </c>
      <c r="AQ46" s="33">
        <v>1</v>
      </c>
      <c r="AR46" s="33">
        <v>2</v>
      </c>
      <c r="AS46" s="33">
        <v>5</v>
      </c>
      <c r="AT46" s="33">
        <v>4</v>
      </c>
      <c r="AU46" s="43">
        <v>0.2375130891729238</v>
      </c>
      <c r="AV46" s="33">
        <v>0</v>
      </c>
      <c r="AW46" s="33">
        <v>0</v>
      </c>
      <c r="AY46" s="36">
        <v>18</v>
      </c>
      <c r="AZ46" s="33">
        <v>1</v>
      </c>
      <c r="BA46" s="33">
        <v>4</v>
      </c>
      <c r="BB46" s="33">
        <v>1</v>
      </c>
      <c r="BC46" s="33">
        <v>2</v>
      </c>
      <c r="BD46" s="43">
        <v>0.20447473461892657</v>
      </c>
      <c r="BE46" s="33">
        <v>0</v>
      </c>
      <c r="BF46" s="33">
        <v>0</v>
      </c>
      <c r="CE46" s="36">
        <v>12</v>
      </c>
      <c r="CF46" s="33">
        <v>15</v>
      </c>
      <c r="CG46" s="33">
        <v>2</v>
      </c>
      <c r="CH46" s="33">
        <v>3</v>
      </c>
      <c r="CI46" s="33">
        <v>1</v>
      </c>
      <c r="CJ46" s="33">
        <v>0</v>
      </c>
      <c r="CK46" s="33">
        <v>1</v>
      </c>
      <c r="CL46" s="33">
        <v>0</v>
      </c>
      <c r="CM46" s="33">
        <v>3</v>
      </c>
      <c r="CN46" s="33">
        <v>9</v>
      </c>
      <c r="CO46" s="33">
        <v>0</v>
      </c>
      <c r="CP46" s="43">
        <v>0.28890905666461436</v>
      </c>
      <c r="CQ46" s="33">
        <v>0</v>
      </c>
      <c r="CR46" s="33">
        <v>0</v>
      </c>
    </row>
    <row r="47" spans="1:96" ht="15" customHeight="1" x14ac:dyDescent="0.25">
      <c r="A47" s="26">
        <v>45</v>
      </c>
      <c r="B47" s="27">
        <v>41</v>
      </c>
      <c r="C47" s="27">
        <v>1</v>
      </c>
      <c r="D47" s="27">
        <v>1</v>
      </c>
      <c r="E47" s="27">
        <v>1360</v>
      </c>
      <c r="F47" s="27">
        <v>2</v>
      </c>
      <c r="G47" s="27">
        <v>12</v>
      </c>
      <c r="H47" s="27">
        <v>3</v>
      </c>
      <c r="I47" s="27">
        <v>5</v>
      </c>
      <c r="J47" s="27">
        <v>1</v>
      </c>
      <c r="K47" s="27">
        <v>58</v>
      </c>
      <c r="L47" s="27">
        <v>2</v>
      </c>
      <c r="M47" s="27">
        <v>0</v>
      </c>
      <c r="N47" s="27">
        <v>49</v>
      </c>
      <c r="O47" s="27">
        <v>3</v>
      </c>
      <c r="P47" s="27">
        <v>5</v>
      </c>
      <c r="Q47" s="27">
        <v>8</v>
      </c>
      <c r="R47" s="27">
        <v>3</v>
      </c>
      <c r="S47" s="27">
        <v>2</v>
      </c>
      <c r="T47" s="27">
        <v>19545</v>
      </c>
      <c r="U47" s="27">
        <v>16280</v>
      </c>
      <c r="V47" s="27">
        <v>1</v>
      </c>
      <c r="W47" s="27">
        <v>0</v>
      </c>
      <c r="X47" s="27">
        <v>12</v>
      </c>
      <c r="Y47" s="27">
        <v>3</v>
      </c>
      <c r="Z47" s="27">
        <v>4</v>
      </c>
      <c r="AA47" s="27">
        <v>80</v>
      </c>
      <c r="AB47" s="27">
        <v>0</v>
      </c>
      <c r="AC47" s="27">
        <v>23</v>
      </c>
      <c r="AD47" s="27">
        <v>0</v>
      </c>
      <c r="AE47" s="27">
        <v>3</v>
      </c>
      <c r="AF47" s="27">
        <v>22</v>
      </c>
      <c r="AG47" s="27">
        <v>15</v>
      </c>
      <c r="AH47" s="27">
        <v>15</v>
      </c>
      <c r="AI47" s="28">
        <v>8</v>
      </c>
      <c r="AK47" s="36">
        <v>14</v>
      </c>
      <c r="AL47" s="33">
        <v>19</v>
      </c>
      <c r="AM47" s="33">
        <v>1</v>
      </c>
      <c r="AN47" s="33">
        <v>4</v>
      </c>
      <c r="AO47" s="33">
        <v>0</v>
      </c>
      <c r="AP47" s="33">
        <v>0</v>
      </c>
      <c r="AQ47" s="33">
        <v>1</v>
      </c>
      <c r="AR47" s="33">
        <v>3</v>
      </c>
      <c r="AS47" s="33">
        <v>2</v>
      </c>
      <c r="AT47" s="33">
        <v>1</v>
      </c>
      <c r="AU47" s="43">
        <v>0.10582655634403068</v>
      </c>
      <c r="AV47" s="33">
        <v>0</v>
      </c>
      <c r="AW47" s="33">
        <v>0</v>
      </c>
      <c r="AY47" s="36">
        <v>19</v>
      </c>
      <c r="AZ47" s="33">
        <v>4</v>
      </c>
      <c r="BA47" s="33">
        <v>4</v>
      </c>
      <c r="BB47" s="33">
        <v>0</v>
      </c>
      <c r="BC47" s="33">
        <v>0</v>
      </c>
      <c r="BD47" s="43">
        <v>3.1333013053779842E-2</v>
      </c>
      <c r="BE47" s="33">
        <v>0</v>
      </c>
      <c r="BF47" s="33">
        <v>0</v>
      </c>
      <c r="CE47" s="36">
        <v>13</v>
      </c>
      <c r="CF47" s="33">
        <v>26</v>
      </c>
      <c r="CG47" s="33">
        <v>1</v>
      </c>
      <c r="CH47" s="33">
        <v>3</v>
      </c>
      <c r="CI47" s="33">
        <v>3</v>
      </c>
      <c r="CJ47" s="33">
        <v>1</v>
      </c>
      <c r="CK47" s="33">
        <v>0</v>
      </c>
      <c r="CL47" s="33">
        <v>1</v>
      </c>
      <c r="CM47" s="33">
        <v>2</v>
      </c>
      <c r="CN47" s="33">
        <v>5</v>
      </c>
      <c r="CO47" s="33">
        <v>4</v>
      </c>
      <c r="CP47" s="43">
        <v>0.14795086938085472</v>
      </c>
      <c r="CQ47" s="33">
        <v>0</v>
      </c>
      <c r="CR47" s="33">
        <v>0</v>
      </c>
    </row>
    <row r="48" spans="1:96" ht="15" customHeight="1" x14ac:dyDescent="0.25">
      <c r="A48" s="26">
        <v>46</v>
      </c>
      <c r="B48" s="27">
        <v>34</v>
      </c>
      <c r="C48" s="27">
        <v>0</v>
      </c>
      <c r="D48" s="27">
        <v>3</v>
      </c>
      <c r="E48" s="27">
        <v>1065</v>
      </c>
      <c r="F48" s="27">
        <v>1</v>
      </c>
      <c r="G48" s="27">
        <v>23</v>
      </c>
      <c r="H48" s="27">
        <v>4</v>
      </c>
      <c r="I48" s="27">
        <v>4</v>
      </c>
      <c r="J48" s="27">
        <v>1</v>
      </c>
      <c r="K48" s="27">
        <v>60</v>
      </c>
      <c r="L48" s="27">
        <v>2</v>
      </c>
      <c r="M48" s="27">
        <v>1</v>
      </c>
      <c r="N48" s="27">
        <v>72</v>
      </c>
      <c r="O48" s="27">
        <v>3</v>
      </c>
      <c r="P48" s="27">
        <v>2</v>
      </c>
      <c r="Q48" s="27">
        <v>1</v>
      </c>
      <c r="R48" s="27">
        <v>3</v>
      </c>
      <c r="S48" s="27">
        <v>1</v>
      </c>
      <c r="T48" s="27">
        <v>4568</v>
      </c>
      <c r="U48" s="27">
        <v>10034</v>
      </c>
      <c r="V48" s="27">
        <v>0</v>
      </c>
      <c r="W48" s="27">
        <v>0</v>
      </c>
      <c r="X48" s="27">
        <v>20</v>
      </c>
      <c r="Y48" s="27">
        <v>4</v>
      </c>
      <c r="Z48" s="27">
        <v>3</v>
      </c>
      <c r="AA48" s="27">
        <v>80</v>
      </c>
      <c r="AB48" s="27">
        <v>0</v>
      </c>
      <c r="AC48" s="27">
        <v>10</v>
      </c>
      <c r="AD48" s="27">
        <v>2</v>
      </c>
      <c r="AE48" s="27">
        <v>3</v>
      </c>
      <c r="AF48" s="27">
        <v>9</v>
      </c>
      <c r="AG48" s="27">
        <v>5</v>
      </c>
      <c r="AH48" s="27">
        <v>8</v>
      </c>
      <c r="AI48" s="28">
        <v>7</v>
      </c>
      <c r="AK48" s="36">
        <v>15</v>
      </c>
      <c r="AL48" s="33">
        <v>24</v>
      </c>
      <c r="AM48" s="33">
        <v>1</v>
      </c>
      <c r="AN48" s="33">
        <v>3</v>
      </c>
      <c r="AO48" s="33">
        <v>5</v>
      </c>
      <c r="AP48" s="33">
        <v>1</v>
      </c>
      <c r="AQ48" s="33">
        <v>0</v>
      </c>
      <c r="AR48" s="33">
        <v>3</v>
      </c>
      <c r="AS48" s="33">
        <v>4</v>
      </c>
      <c r="AT48" s="33">
        <v>0</v>
      </c>
      <c r="AU48" s="43">
        <v>0.6296906826092975</v>
      </c>
      <c r="AV48" s="33">
        <v>1</v>
      </c>
      <c r="AW48" s="33">
        <v>1</v>
      </c>
      <c r="AY48" s="36">
        <v>20</v>
      </c>
      <c r="AZ48" s="33">
        <v>1</v>
      </c>
      <c r="BA48" s="33">
        <v>4</v>
      </c>
      <c r="BB48" s="33">
        <v>1</v>
      </c>
      <c r="BC48" s="33">
        <v>0</v>
      </c>
      <c r="BD48" s="43">
        <v>0.42475472169672474</v>
      </c>
      <c r="BE48" s="33">
        <v>0</v>
      </c>
      <c r="BF48" s="33">
        <v>0</v>
      </c>
      <c r="CE48" s="36">
        <v>14</v>
      </c>
      <c r="CF48" s="33">
        <v>19</v>
      </c>
      <c r="CG48" s="33">
        <v>1</v>
      </c>
      <c r="CH48" s="33">
        <v>4</v>
      </c>
      <c r="CI48" s="33">
        <v>3</v>
      </c>
      <c r="CJ48" s="33">
        <v>0</v>
      </c>
      <c r="CK48" s="33">
        <v>0</v>
      </c>
      <c r="CL48" s="33">
        <v>1</v>
      </c>
      <c r="CM48" s="33">
        <v>3</v>
      </c>
      <c r="CN48" s="33">
        <v>2</v>
      </c>
      <c r="CO48" s="33">
        <v>1</v>
      </c>
      <c r="CP48" s="43">
        <v>5.953058691536664E-2</v>
      </c>
      <c r="CQ48" s="33">
        <v>0</v>
      </c>
      <c r="CR48" s="33">
        <v>0</v>
      </c>
    </row>
    <row r="49" spans="1:96" ht="15" customHeight="1" x14ac:dyDescent="0.25">
      <c r="A49" s="26">
        <v>47</v>
      </c>
      <c r="B49" s="27">
        <v>37</v>
      </c>
      <c r="C49" s="27">
        <v>0</v>
      </c>
      <c r="D49" s="27">
        <v>1</v>
      </c>
      <c r="E49" s="27">
        <v>408</v>
      </c>
      <c r="F49" s="27">
        <v>2</v>
      </c>
      <c r="G49" s="27">
        <v>19</v>
      </c>
      <c r="H49" s="27">
        <v>2</v>
      </c>
      <c r="I49" s="27">
        <v>1</v>
      </c>
      <c r="J49" s="27">
        <v>1</v>
      </c>
      <c r="K49" s="27">
        <v>61</v>
      </c>
      <c r="L49" s="27">
        <v>2</v>
      </c>
      <c r="M49" s="27">
        <v>1</v>
      </c>
      <c r="N49" s="27">
        <v>73</v>
      </c>
      <c r="O49" s="27">
        <v>3</v>
      </c>
      <c r="P49" s="27">
        <v>1</v>
      </c>
      <c r="Q49" s="27">
        <v>2</v>
      </c>
      <c r="R49" s="27">
        <v>2</v>
      </c>
      <c r="S49" s="27">
        <v>2</v>
      </c>
      <c r="T49" s="27">
        <v>3022</v>
      </c>
      <c r="U49" s="27">
        <v>10227</v>
      </c>
      <c r="V49" s="27">
        <v>4</v>
      </c>
      <c r="W49" s="27">
        <v>0</v>
      </c>
      <c r="X49" s="27">
        <v>21</v>
      </c>
      <c r="Y49" s="27">
        <v>4</v>
      </c>
      <c r="Z49" s="27">
        <v>1</v>
      </c>
      <c r="AA49" s="27">
        <v>80</v>
      </c>
      <c r="AB49" s="27">
        <v>0</v>
      </c>
      <c r="AC49" s="27">
        <v>8</v>
      </c>
      <c r="AD49" s="27">
        <v>1</v>
      </c>
      <c r="AE49" s="27">
        <v>3</v>
      </c>
      <c r="AF49" s="27">
        <v>1</v>
      </c>
      <c r="AG49" s="27">
        <v>0</v>
      </c>
      <c r="AH49" s="27">
        <v>0</v>
      </c>
      <c r="AI49" s="28">
        <v>0</v>
      </c>
      <c r="AK49" s="36">
        <v>16</v>
      </c>
      <c r="AL49" s="33">
        <v>21</v>
      </c>
      <c r="AM49" s="33">
        <v>3</v>
      </c>
      <c r="AN49" s="33">
        <v>1</v>
      </c>
      <c r="AO49" s="33">
        <v>1</v>
      </c>
      <c r="AP49" s="33">
        <v>0</v>
      </c>
      <c r="AQ49" s="33">
        <v>1</v>
      </c>
      <c r="AR49" s="33">
        <v>3</v>
      </c>
      <c r="AS49" s="33">
        <v>10</v>
      </c>
      <c r="AT49" s="33">
        <v>8</v>
      </c>
      <c r="AU49" s="43">
        <v>0.11990602744905522</v>
      </c>
      <c r="AV49" s="33">
        <v>0</v>
      </c>
      <c r="AW49" s="33">
        <v>0</v>
      </c>
      <c r="AY49" s="36">
        <v>21</v>
      </c>
      <c r="AZ49" s="33">
        <v>2</v>
      </c>
      <c r="BA49" s="33">
        <v>3</v>
      </c>
      <c r="BB49" s="33">
        <v>0</v>
      </c>
      <c r="BC49" s="33">
        <v>1</v>
      </c>
      <c r="BD49" s="43">
        <v>7.244788656931947E-2</v>
      </c>
      <c r="BE49" s="33">
        <v>0</v>
      </c>
      <c r="BF49" s="33">
        <v>0</v>
      </c>
      <c r="CE49" s="36">
        <v>15</v>
      </c>
      <c r="CF49" s="33">
        <v>24</v>
      </c>
      <c r="CG49" s="33">
        <v>1</v>
      </c>
      <c r="CH49" s="33">
        <v>3</v>
      </c>
      <c r="CI49" s="33">
        <v>1</v>
      </c>
      <c r="CJ49" s="33">
        <v>5</v>
      </c>
      <c r="CK49" s="33">
        <v>1</v>
      </c>
      <c r="CL49" s="33">
        <v>0</v>
      </c>
      <c r="CM49" s="33">
        <v>3</v>
      </c>
      <c r="CN49" s="33">
        <v>4</v>
      </c>
      <c r="CO49" s="33">
        <v>0</v>
      </c>
      <c r="CP49" s="43">
        <v>0.67482725532749532</v>
      </c>
      <c r="CQ49" s="33">
        <v>1</v>
      </c>
      <c r="CR49" s="33">
        <v>1</v>
      </c>
    </row>
    <row r="50" spans="1:96" ht="15" customHeight="1" x14ac:dyDescent="0.25">
      <c r="A50" s="26">
        <v>48</v>
      </c>
      <c r="B50" s="27">
        <v>46</v>
      </c>
      <c r="C50" s="27">
        <v>0</v>
      </c>
      <c r="D50" s="27">
        <v>2</v>
      </c>
      <c r="E50" s="27">
        <v>1211</v>
      </c>
      <c r="F50" s="27">
        <v>1</v>
      </c>
      <c r="G50" s="27">
        <v>5</v>
      </c>
      <c r="H50" s="27">
        <v>4</v>
      </c>
      <c r="I50" s="27">
        <v>4</v>
      </c>
      <c r="J50" s="27">
        <v>1</v>
      </c>
      <c r="K50" s="27">
        <v>62</v>
      </c>
      <c r="L50" s="27">
        <v>1</v>
      </c>
      <c r="M50" s="27">
        <v>1</v>
      </c>
      <c r="N50" s="27">
        <v>98</v>
      </c>
      <c r="O50" s="27">
        <v>3</v>
      </c>
      <c r="P50" s="27">
        <v>2</v>
      </c>
      <c r="Q50" s="27">
        <v>1</v>
      </c>
      <c r="R50" s="27">
        <v>4</v>
      </c>
      <c r="S50" s="27">
        <v>1</v>
      </c>
      <c r="T50" s="27">
        <v>5772</v>
      </c>
      <c r="U50" s="27">
        <v>20445</v>
      </c>
      <c r="V50" s="27">
        <v>4</v>
      </c>
      <c r="W50" s="27">
        <v>1</v>
      </c>
      <c r="X50" s="27">
        <v>21</v>
      </c>
      <c r="Y50" s="27">
        <v>4</v>
      </c>
      <c r="Z50" s="27">
        <v>3</v>
      </c>
      <c r="AA50" s="27">
        <v>80</v>
      </c>
      <c r="AB50" s="27">
        <v>0</v>
      </c>
      <c r="AC50" s="27">
        <v>14</v>
      </c>
      <c r="AD50" s="27">
        <v>4</v>
      </c>
      <c r="AE50" s="27">
        <v>3</v>
      </c>
      <c r="AF50" s="27">
        <v>9</v>
      </c>
      <c r="AG50" s="27">
        <v>6</v>
      </c>
      <c r="AH50" s="27">
        <v>0</v>
      </c>
      <c r="AI50" s="28">
        <v>8</v>
      </c>
      <c r="AK50" s="36">
        <v>17</v>
      </c>
      <c r="AL50" s="33">
        <v>5</v>
      </c>
      <c r="AM50" s="33">
        <v>1</v>
      </c>
      <c r="AN50" s="33">
        <v>2</v>
      </c>
      <c r="AO50" s="33">
        <v>0</v>
      </c>
      <c r="AP50" s="33">
        <v>1</v>
      </c>
      <c r="AQ50" s="33">
        <v>2</v>
      </c>
      <c r="AR50" s="33">
        <v>2</v>
      </c>
      <c r="AS50" s="33">
        <v>6</v>
      </c>
      <c r="AT50" s="33">
        <v>0</v>
      </c>
      <c r="AU50" s="43">
        <v>0.21720559746786428</v>
      </c>
      <c r="AV50" s="33">
        <v>0</v>
      </c>
      <c r="AW50" s="33">
        <v>0</v>
      </c>
      <c r="AY50" s="36">
        <v>22</v>
      </c>
      <c r="AZ50" s="33">
        <v>1</v>
      </c>
      <c r="BA50" s="33">
        <v>1</v>
      </c>
      <c r="BB50" s="33">
        <v>0</v>
      </c>
      <c r="BC50" s="33">
        <v>0</v>
      </c>
      <c r="BD50" s="43">
        <v>0.29341085656570393</v>
      </c>
      <c r="BE50" s="33">
        <v>0</v>
      </c>
      <c r="BF50" s="33">
        <v>1</v>
      </c>
      <c r="CE50" s="36">
        <v>16</v>
      </c>
      <c r="CF50" s="33">
        <v>21</v>
      </c>
      <c r="CG50" s="33">
        <v>3</v>
      </c>
      <c r="CH50" s="33">
        <v>1</v>
      </c>
      <c r="CI50" s="33">
        <v>3</v>
      </c>
      <c r="CJ50" s="33">
        <v>1</v>
      </c>
      <c r="CK50" s="33">
        <v>0</v>
      </c>
      <c r="CL50" s="33">
        <v>1</v>
      </c>
      <c r="CM50" s="33">
        <v>3</v>
      </c>
      <c r="CN50" s="33">
        <v>10</v>
      </c>
      <c r="CO50" s="33">
        <v>8</v>
      </c>
      <c r="CP50" s="43">
        <v>7.4219807528047438E-2</v>
      </c>
      <c r="CQ50" s="33">
        <v>0</v>
      </c>
      <c r="CR50" s="33">
        <v>0</v>
      </c>
    </row>
    <row r="51" spans="1:96" ht="15" customHeight="1" x14ac:dyDescent="0.25">
      <c r="A51" s="26">
        <v>49</v>
      </c>
      <c r="B51" s="27">
        <v>35</v>
      </c>
      <c r="C51" s="27">
        <v>0</v>
      </c>
      <c r="D51" s="27">
        <v>1</v>
      </c>
      <c r="E51" s="27">
        <v>1229</v>
      </c>
      <c r="F51" s="27">
        <v>2</v>
      </c>
      <c r="G51" s="27">
        <v>8</v>
      </c>
      <c r="H51" s="27">
        <v>1</v>
      </c>
      <c r="I51" s="27">
        <v>1</v>
      </c>
      <c r="J51" s="27">
        <v>1</v>
      </c>
      <c r="K51" s="27">
        <v>63</v>
      </c>
      <c r="L51" s="27">
        <v>4</v>
      </c>
      <c r="M51" s="27">
        <v>1</v>
      </c>
      <c r="N51" s="27">
        <v>36</v>
      </c>
      <c r="O51" s="27">
        <v>4</v>
      </c>
      <c r="P51" s="27">
        <v>1</v>
      </c>
      <c r="Q51" s="27">
        <v>3</v>
      </c>
      <c r="R51" s="27">
        <v>4</v>
      </c>
      <c r="S51" s="27">
        <v>2</v>
      </c>
      <c r="T51" s="27">
        <v>2269</v>
      </c>
      <c r="U51" s="27">
        <v>4892</v>
      </c>
      <c r="V51" s="27">
        <v>1</v>
      </c>
      <c r="W51" s="27">
        <v>0</v>
      </c>
      <c r="X51" s="27">
        <v>19</v>
      </c>
      <c r="Y51" s="27">
        <v>3</v>
      </c>
      <c r="Z51" s="27">
        <v>4</v>
      </c>
      <c r="AA51" s="27">
        <v>80</v>
      </c>
      <c r="AB51" s="27">
        <v>0</v>
      </c>
      <c r="AC51" s="27">
        <v>1</v>
      </c>
      <c r="AD51" s="27">
        <v>2</v>
      </c>
      <c r="AE51" s="27">
        <v>3</v>
      </c>
      <c r="AF51" s="27">
        <v>1</v>
      </c>
      <c r="AG51" s="27">
        <v>0</v>
      </c>
      <c r="AH51" s="27">
        <v>0</v>
      </c>
      <c r="AI51" s="28">
        <v>1</v>
      </c>
      <c r="AK51" s="36">
        <v>18</v>
      </c>
      <c r="AL51" s="33">
        <v>16</v>
      </c>
      <c r="AM51" s="33">
        <v>1</v>
      </c>
      <c r="AN51" s="33">
        <v>4</v>
      </c>
      <c r="AO51" s="33">
        <v>1</v>
      </c>
      <c r="AP51" s="33">
        <v>1</v>
      </c>
      <c r="AQ51" s="33">
        <v>2</v>
      </c>
      <c r="AR51" s="33">
        <v>2</v>
      </c>
      <c r="AS51" s="33">
        <v>1</v>
      </c>
      <c r="AT51" s="33">
        <v>0</v>
      </c>
      <c r="AU51" s="43">
        <v>0.25892453062520165</v>
      </c>
      <c r="AV51" s="33">
        <v>0</v>
      </c>
      <c r="AW51" s="33">
        <v>0</v>
      </c>
      <c r="AY51" s="36">
        <v>23</v>
      </c>
      <c r="AZ51" s="33">
        <v>3</v>
      </c>
      <c r="BA51" s="33">
        <v>2</v>
      </c>
      <c r="BB51" s="33">
        <v>0</v>
      </c>
      <c r="BC51" s="33">
        <v>0</v>
      </c>
      <c r="BD51" s="43">
        <v>9.2115043168566224E-2</v>
      </c>
      <c r="BE51" s="33">
        <v>0</v>
      </c>
      <c r="BF51" s="33">
        <v>0</v>
      </c>
      <c r="CE51" s="36">
        <v>17</v>
      </c>
      <c r="CF51" s="33">
        <v>5</v>
      </c>
      <c r="CG51" s="33">
        <v>1</v>
      </c>
      <c r="CH51" s="33">
        <v>2</v>
      </c>
      <c r="CI51" s="33">
        <v>3</v>
      </c>
      <c r="CJ51" s="33">
        <v>0</v>
      </c>
      <c r="CK51" s="33">
        <v>1</v>
      </c>
      <c r="CL51" s="33">
        <v>2</v>
      </c>
      <c r="CM51" s="33">
        <v>2</v>
      </c>
      <c r="CN51" s="33">
        <v>6</v>
      </c>
      <c r="CO51" s="33">
        <v>0</v>
      </c>
      <c r="CP51" s="43">
        <v>0.18673660719677065</v>
      </c>
      <c r="CQ51" s="33">
        <v>0</v>
      </c>
      <c r="CR51" s="33">
        <v>0</v>
      </c>
    </row>
    <row r="52" spans="1:96" ht="15" customHeight="1" x14ac:dyDescent="0.25">
      <c r="A52" s="26">
        <v>50</v>
      </c>
      <c r="B52" s="27">
        <v>48</v>
      </c>
      <c r="C52" s="27">
        <v>1</v>
      </c>
      <c r="D52" s="27">
        <v>1</v>
      </c>
      <c r="E52" s="27">
        <v>626</v>
      </c>
      <c r="F52" s="27">
        <v>2</v>
      </c>
      <c r="G52" s="27">
        <v>1</v>
      </c>
      <c r="H52" s="27">
        <v>2</v>
      </c>
      <c r="I52" s="27">
        <v>1</v>
      </c>
      <c r="J52" s="27">
        <v>1</v>
      </c>
      <c r="K52" s="27">
        <v>64</v>
      </c>
      <c r="L52" s="27">
        <v>1</v>
      </c>
      <c r="M52" s="27">
        <v>1</v>
      </c>
      <c r="N52" s="27">
        <v>98</v>
      </c>
      <c r="O52" s="27">
        <v>2</v>
      </c>
      <c r="P52" s="27">
        <v>3</v>
      </c>
      <c r="Q52" s="27">
        <v>3</v>
      </c>
      <c r="R52" s="27">
        <v>3</v>
      </c>
      <c r="S52" s="27">
        <v>1</v>
      </c>
      <c r="T52" s="27">
        <v>5381</v>
      </c>
      <c r="U52" s="27">
        <v>19294</v>
      </c>
      <c r="V52" s="27">
        <v>9</v>
      </c>
      <c r="W52" s="27">
        <v>1</v>
      </c>
      <c r="X52" s="27">
        <v>13</v>
      </c>
      <c r="Y52" s="27">
        <v>3</v>
      </c>
      <c r="Z52" s="27">
        <v>4</v>
      </c>
      <c r="AA52" s="27">
        <v>80</v>
      </c>
      <c r="AB52" s="27">
        <v>0</v>
      </c>
      <c r="AC52" s="27">
        <v>23</v>
      </c>
      <c r="AD52" s="27">
        <v>2</v>
      </c>
      <c r="AE52" s="27">
        <v>3</v>
      </c>
      <c r="AF52" s="27">
        <v>1</v>
      </c>
      <c r="AG52" s="27">
        <v>0</v>
      </c>
      <c r="AH52" s="27">
        <v>0</v>
      </c>
      <c r="AI52" s="28">
        <v>0</v>
      </c>
      <c r="AK52" s="36">
        <v>19</v>
      </c>
      <c r="AL52" s="33">
        <v>2</v>
      </c>
      <c r="AM52" s="33">
        <v>4</v>
      </c>
      <c r="AN52" s="33">
        <v>4</v>
      </c>
      <c r="AO52" s="33">
        <v>2</v>
      </c>
      <c r="AP52" s="33">
        <v>0</v>
      </c>
      <c r="AQ52" s="33">
        <v>0</v>
      </c>
      <c r="AR52" s="33">
        <v>3</v>
      </c>
      <c r="AS52" s="33">
        <v>25</v>
      </c>
      <c r="AT52" s="33">
        <v>3</v>
      </c>
      <c r="AU52" s="43">
        <v>6.3225607887066786E-3</v>
      </c>
      <c r="AV52" s="33">
        <v>0</v>
      </c>
      <c r="AW52" s="33">
        <v>0</v>
      </c>
      <c r="AY52" s="36">
        <v>24</v>
      </c>
      <c r="AZ52" s="33">
        <v>1</v>
      </c>
      <c r="BA52" s="33">
        <v>4</v>
      </c>
      <c r="BB52" s="33">
        <v>0</v>
      </c>
      <c r="BC52" s="33">
        <v>0</v>
      </c>
      <c r="BD52" s="43">
        <v>0.1472907617042678</v>
      </c>
      <c r="BE52" s="33">
        <v>0</v>
      </c>
      <c r="BF52" s="33">
        <v>0</v>
      </c>
      <c r="CE52" s="36">
        <v>18</v>
      </c>
      <c r="CF52" s="33">
        <v>16</v>
      </c>
      <c r="CG52" s="33">
        <v>1</v>
      </c>
      <c r="CH52" s="33">
        <v>4</v>
      </c>
      <c r="CI52" s="33">
        <v>3</v>
      </c>
      <c r="CJ52" s="33">
        <v>1</v>
      </c>
      <c r="CK52" s="33">
        <v>1</v>
      </c>
      <c r="CL52" s="33">
        <v>2</v>
      </c>
      <c r="CM52" s="33">
        <v>2</v>
      </c>
      <c r="CN52" s="33">
        <v>1</v>
      </c>
      <c r="CO52" s="33">
        <v>0</v>
      </c>
      <c r="CP52" s="43">
        <v>0.21808349458323253</v>
      </c>
      <c r="CQ52" s="33">
        <v>0</v>
      </c>
      <c r="CR52" s="33">
        <v>0</v>
      </c>
    </row>
    <row r="53" spans="1:96" ht="15" customHeight="1" x14ac:dyDescent="0.25">
      <c r="A53" s="26">
        <v>51</v>
      </c>
      <c r="B53" s="27">
        <v>28</v>
      </c>
      <c r="C53" s="27">
        <v>1</v>
      </c>
      <c r="D53" s="27">
        <v>1</v>
      </c>
      <c r="E53" s="27">
        <v>1434</v>
      </c>
      <c r="F53" s="27">
        <v>2</v>
      </c>
      <c r="G53" s="27">
        <v>5</v>
      </c>
      <c r="H53" s="27">
        <v>4</v>
      </c>
      <c r="I53" s="27">
        <v>5</v>
      </c>
      <c r="J53" s="27">
        <v>1</v>
      </c>
      <c r="K53" s="27">
        <v>65</v>
      </c>
      <c r="L53" s="27">
        <v>3</v>
      </c>
      <c r="M53" s="27">
        <v>1</v>
      </c>
      <c r="N53" s="27">
        <v>50</v>
      </c>
      <c r="O53" s="27">
        <v>3</v>
      </c>
      <c r="P53" s="27">
        <v>1</v>
      </c>
      <c r="Q53" s="27">
        <v>3</v>
      </c>
      <c r="R53" s="27">
        <v>3</v>
      </c>
      <c r="S53" s="27">
        <v>1</v>
      </c>
      <c r="T53" s="27">
        <v>3441</v>
      </c>
      <c r="U53" s="27">
        <v>11179</v>
      </c>
      <c r="V53" s="27">
        <v>1</v>
      </c>
      <c r="W53" s="27">
        <v>1</v>
      </c>
      <c r="X53" s="27">
        <v>13</v>
      </c>
      <c r="Y53" s="27">
        <v>3</v>
      </c>
      <c r="Z53" s="27">
        <v>3</v>
      </c>
      <c r="AA53" s="27">
        <v>80</v>
      </c>
      <c r="AB53" s="27">
        <v>0</v>
      </c>
      <c r="AC53" s="27">
        <v>2</v>
      </c>
      <c r="AD53" s="27">
        <v>3</v>
      </c>
      <c r="AE53" s="27">
        <v>2</v>
      </c>
      <c r="AF53" s="27">
        <v>2</v>
      </c>
      <c r="AG53" s="27">
        <v>2</v>
      </c>
      <c r="AH53" s="27">
        <v>2</v>
      </c>
      <c r="AI53" s="28">
        <v>2</v>
      </c>
      <c r="AK53" s="36">
        <v>20</v>
      </c>
      <c r="AL53" s="33">
        <v>2</v>
      </c>
      <c r="AM53" s="33">
        <v>1</v>
      </c>
      <c r="AN53" s="33">
        <v>4</v>
      </c>
      <c r="AO53" s="33">
        <v>5</v>
      </c>
      <c r="AP53" s="33">
        <v>1</v>
      </c>
      <c r="AQ53" s="33">
        <v>0</v>
      </c>
      <c r="AR53" s="33">
        <v>3</v>
      </c>
      <c r="AS53" s="33">
        <v>3</v>
      </c>
      <c r="AT53" s="33">
        <v>1</v>
      </c>
      <c r="AU53" s="43">
        <v>0.42172944814601243</v>
      </c>
      <c r="AV53" s="33">
        <v>0</v>
      </c>
      <c r="AW53" s="33">
        <v>0</v>
      </c>
      <c r="AY53" s="36">
        <v>25</v>
      </c>
      <c r="AZ53" s="33">
        <v>1</v>
      </c>
      <c r="BA53" s="33">
        <v>1</v>
      </c>
      <c r="BB53" s="33">
        <v>0</v>
      </c>
      <c r="BC53" s="33">
        <v>0</v>
      </c>
      <c r="BD53" s="43">
        <v>0.29341085656570393</v>
      </c>
      <c r="BE53" s="33">
        <v>0</v>
      </c>
      <c r="BF53" s="33">
        <v>1</v>
      </c>
      <c r="CE53" s="36">
        <v>19</v>
      </c>
      <c r="CF53" s="33">
        <v>2</v>
      </c>
      <c r="CG53" s="33">
        <v>4</v>
      </c>
      <c r="CH53" s="33">
        <v>4</v>
      </c>
      <c r="CI53" s="33">
        <v>2</v>
      </c>
      <c r="CJ53" s="33">
        <v>2</v>
      </c>
      <c r="CK53" s="33">
        <v>0</v>
      </c>
      <c r="CL53" s="33">
        <v>0</v>
      </c>
      <c r="CM53" s="33">
        <v>3</v>
      </c>
      <c r="CN53" s="33">
        <v>25</v>
      </c>
      <c r="CO53" s="33">
        <v>3</v>
      </c>
      <c r="CP53" s="43">
        <v>4.3364993120716226E-3</v>
      </c>
      <c r="CQ53" s="33">
        <v>0</v>
      </c>
      <c r="CR53" s="33">
        <v>0</v>
      </c>
    </row>
    <row r="54" spans="1:96" ht="15" customHeight="1" x14ac:dyDescent="0.25">
      <c r="A54" s="26">
        <v>52</v>
      </c>
      <c r="B54" s="27">
        <v>44</v>
      </c>
      <c r="C54" s="27">
        <v>0</v>
      </c>
      <c r="D54" s="27">
        <v>1</v>
      </c>
      <c r="E54" s="27">
        <v>1488</v>
      </c>
      <c r="F54" s="27">
        <v>1</v>
      </c>
      <c r="G54" s="27">
        <v>1</v>
      </c>
      <c r="H54" s="27">
        <v>5</v>
      </c>
      <c r="I54" s="27">
        <v>4</v>
      </c>
      <c r="J54" s="27">
        <v>1</v>
      </c>
      <c r="K54" s="27">
        <v>68</v>
      </c>
      <c r="L54" s="27">
        <v>2</v>
      </c>
      <c r="M54" s="27">
        <v>0</v>
      </c>
      <c r="N54" s="27">
        <v>75</v>
      </c>
      <c r="O54" s="27">
        <v>3</v>
      </c>
      <c r="P54" s="27">
        <v>2</v>
      </c>
      <c r="Q54" s="27">
        <v>1</v>
      </c>
      <c r="R54" s="27">
        <v>1</v>
      </c>
      <c r="S54" s="27">
        <v>3</v>
      </c>
      <c r="T54" s="27">
        <v>5454</v>
      </c>
      <c r="U54" s="27">
        <v>4009</v>
      </c>
      <c r="V54" s="27">
        <v>5</v>
      </c>
      <c r="W54" s="27">
        <v>1</v>
      </c>
      <c r="X54" s="27">
        <v>21</v>
      </c>
      <c r="Y54" s="27">
        <v>4</v>
      </c>
      <c r="Z54" s="27">
        <v>3</v>
      </c>
      <c r="AA54" s="27">
        <v>80</v>
      </c>
      <c r="AB54" s="27">
        <v>1</v>
      </c>
      <c r="AC54" s="27">
        <v>9</v>
      </c>
      <c r="AD54" s="27">
        <v>2</v>
      </c>
      <c r="AE54" s="27">
        <v>2</v>
      </c>
      <c r="AF54" s="27">
        <v>4</v>
      </c>
      <c r="AG54" s="27">
        <v>3</v>
      </c>
      <c r="AH54" s="27">
        <v>1</v>
      </c>
      <c r="AI54" s="28">
        <v>3</v>
      </c>
      <c r="AK54" s="36">
        <v>21</v>
      </c>
      <c r="AL54" s="33">
        <v>11</v>
      </c>
      <c r="AM54" s="33">
        <v>2</v>
      </c>
      <c r="AN54" s="33">
        <v>3</v>
      </c>
      <c r="AO54" s="33">
        <v>0</v>
      </c>
      <c r="AP54" s="33">
        <v>0</v>
      </c>
      <c r="AQ54" s="33">
        <v>1</v>
      </c>
      <c r="AR54" s="33">
        <v>2</v>
      </c>
      <c r="AS54" s="33">
        <v>4</v>
      </c>
      <c r="AT54" s="33">
        <v>1</v>
      </c>
      <c r="AU54" s="43">
        <v>7.0803122493215839E-2</v>
      </c>
      <c r="AV54" s="33">
        <v>0</v>
      </c>
      <c r="AW54" s="33">
        <v>0</v>
      </c>
      <c r="AY54" s="36">
        <v>26</v>
      </c>
      <c r="AZ54" s="33">
        <v>5</v>
      </c>
      <c r="BA54" s="33">
        <v>3</v>
      </c>
      <c r="BB54" s="33">
        <v>0</v>
      </c>
      <c r="BC54" s="33">
        <v>1</v>
      </c>
      <c r="BD54" s="43">
        <v>1.4415653001325196E-2</v>
      </c>
      <c r="BE54" s="33">
        <v>0</v>
      </c>
      <c r="BF54" s="33">
        <v>0</v>
      </c>
      <c r="CE54" s="36">
        <v>20</v>
      </c>
      <c r="CF54" s="33">
        <v>2</v>
      </c>
      <c r="CG54" s="33">
        <v>1</v>
      </c>
      <c r="CH54" s="33">
        <v>4</v>
      </c>
      <c r="CI54" s="33">
        <v>1</v>
      </c>
      <c r="CJ54" s="33">
        <v>5</v>
      </c>
      <c r="CK54" s="33">
        <v>1</v>
      </c>
      <c r="CL54" s="33">
        <v>0</v>
      </c>
      <c r="CM54" s="33">
        <v>3</v>
      </c>
      <c r="CN54" s="33">
        <v>3</v>
      </c>
      <c r="CO54" s="33">
        <v>1</v>
      </c>
      <c r="CP54" s="43">
        <v>0.46895578489073531</v>
      </c>
      <c r="CQ54" s="33">
        <v>0</v>
      </c>
      <c r="CR54" s="33">
        <v>0</v>
      </c>
    </row>
    <row r="55" spans="1:96" ht="15" customHeight="1" x14ac:dyDescent="0.25">
      <c r="A55" s="26">
        <v>53</v>
      </c>
      <c r="B55" s="27">
        <v>35</v>
      </c>
      <c r="C55" s="27">
        <v>0</v>
      </c>
      <c r="D55" s="27">
        <v>3</v>
      </c>
      <c r="E55" s="27">
        <v>1097</v>
      </c>
      <c r="F55" s="27">
        <v>2</v>
      </c>
      <c r="G55" s="27">
        <v>11</v>
      </c>
      <c r="H55" s="27">
        <v>2</v>
      </c>
      <c r="I55" s="27">
        <v>3</v>
      </c>
      <c r="J55" s="27">
        <v>1</v>
      </c>
      <c r="K55" s="27">
        <v>70</v>
      </c>
      <c r="L55" s="27">
        <v>3</v>
      </c>
      <c r="M55" s="27">
        <v>1</v>
      </c>
      <c r="N55" s="27">
        <v>79</v>
      </c>
      <c r="O55" s="27">
        <v>2</v>
      </c>
      <c r="P55" s="27">
        <v>3</v>
      </c>
      <c r="Q55" s="27">
        <v>5</v>
      </c>
      <c r="R55" s="27">
        <v>1</v>
      </c>
      <c r="S55" s="27">
        <v>2</v>
      </c>
      <c r="T55" s="27">
        <v>9884</v>
      </c>
      <c r="U55" s="27">
        <v>8302</v>
      </c>
      <c r="V55" s="27">
        <v>2</v>
      </c>
      <c r="W55" s="27">
        <v>1</v>
      </c>
      <c r="X55" s="27">
        <v>13</v>
      </c>
      <c r="Y55" s="27">
        <v>3</v>
      </c>
      <c r="Z55" s="27">
        <v>3</v>
      </c>
      <c r="AA55" s="27">
        <v>80</v>
      </c>
      <c r="AB55" s="27">
        <v>1</v>
      </c>
      <c r="AC55" s="27">
        <v>10</v>
      </c>
      <c r="AD55" s="27">
        <v>3</v>
      </c>
      <c r="AE55" s="27">
        <v>3</v>
      </c>
      <c r="AF55" s="27">
        <v>4</v>
      </c>
      <c r="AG55" s="27">
        <v>0</v>
      </c>
      <c r="AH55" s="27">
        <v>2</v>
      </c>
      <c r="AI55" s="28">
        <v>3</v>
      </c>
      <c r="AK55" s="36">
        <v>22</v>
      </c>
      <c r="AL55" s="33">
        <v>9</v>
      </c>
      <c r="AM55" s="33">
        <v>1</v>
      </c>
      <c r="AN55" s="33">
        <v>1</v>
      </c>
      <c r="AO55" s="33">
        <v>7</v>
      </c>
      <c r="AP55" s="33">
        <v>0</v>
      </c>
      <c r="AQ55" s="33">
        <v>0</v>
      </c>
      <c r="AR55" s="33">
        <v>3</v>
      </c>
      <c r="AS55" s="33">
        <v>5</v>
      </c>
      <c r="AT55" s="33">
        <v>0</v>
      </c>
      <c r="AU55" s="43">
        <v>0.31669173076536755</v>
      </c>
      <c r="AV55" s="33">
        <v>0</v>
      </c>
      <c r="AW55" s="33">
        <v>1</v>
      </c>
      <c r="AY55" s="36">
        <v>27</v>
      </c>
      <c r="AZ55" s="33">
        <v>1</v>
      </c>
      <c r="BA55" s="33">
        <v>1</v>
      </c>
      <c r="BB55" s="33">
        <v>1</v>
      </c>
      <c r="BC55" s="33">
        <v>0</v>
      </c>
      <c r="BD55" s="43">
        <v>0.63965103699986936</v>
      </c>
      <c r="BE55" s="33">
        <v>1</v>
      </c>
      <c r="BF55" s="33">
        <v>1</v>
      </c>
      <c r="CE55" s="36">
        <v>21</v>
      </c>
      <c r="CF55" s="33">
        <v>11</v>
      </c>
      <c r="CG55" s="33">
        <v>2</v>
      </c>
      <c r="CH55" s="33">
        <v>3</v>
      </c>
      <c r="CI55" s="33">
        <v>3</v>
      </c>
      <c r="CJ55" s="33">
        <v>0</v>
      </c>
      <c r="CK55" s="33">
        <v>0</v>
      </c>
      <c r="CL55" s="33">
        <v>1</v>
      </c>
      <c r="CM55" s="33">
        <v>2</v>
      </c>
      <c r="CN55" s="33">
        <v>4</v>
      </c>
      <c r="CO55" s="33">
        <v>1</v>
      </c>
      <c r="CP55" s="43">
        <v>4.0981780111758549E-2</v>
      </c>
      <c r="CQ55" s="33">
        <v>0</v>
      </c>
      <c r="CR55" s="33">
        <v>0</v>
      </c>
    </row>
    <row r="56" spans="1:96" ht="15" customHeight="1" x14ac:dyDescent="0.25">
      <c r="A56" s="26">
        <v>54</v>
      </c>
      <c r="B56" s="27">
        <v>26</v>
      </c>
      <c r="C56" s="27">
        <v>0</v>
      </c>
      <c r="D56" s="27">
        <v>1</v>
      </c>
      <c r="E56" s="27">
        <v>1443</v>
      </c>
      <c r="F56" s="27">
        <v>1</v>
      </c>
      <c r="G56" s="27">
        <v>23</v>
      </c>
      <c r="H56" s="27">
        <v>3</v>
      </c>
      <c r="I56" s="27">
        <v>4</v>
      </c>
      <c r="J56" s="27">
        <v>1</v>
      </c>
      <c r="K56" s="27">
        <v>72</v>
      </c>
      <c r="L56" s="27">
        <v>3</v>
      </c>
      <c r="M56" s="27">
        <v>0</v>
      </c>
      <c r="N56" s="27">
        <v>47</v>
      </c>
      <c r="O56" s="27">
        <v>2</v>
      </c>
      <c r="P56" s="27">
        <v>2</v>
      </c>
      <c r="Q56" s="27">
        <v>1</v>
      </c>
      <c r="R56" s="27">
        <v>4</v>
      </c>
      <c r="S56" s="27">
        <v>2</v>
      </c>
      <c r="T56" s="27">
        <v>4157</v>
      </c>
      <c r="U56" s="27">
        <v>21436</v>
      </c>
      <c r="V56" s="27">
        <v>7</v>
      </c>
      <c r="W56" s="27">
        <v>1</v>
      </c>
      <c r="X56" s="27">
        <v>19</v>
      </c>
      <c r="Y56" s="27">
        <v>3</v>
      </c>
      <c r="Z56" s="27">
        <v>3</v>
      </c>
      <c r="AA56" s="27">
        <v>80</v>
      </c>
      <c r="AB56" s="27">
        <v>1</v>
      </c>
      <c r="AC56" s="27">
        <v>5</v>
      </c>
      <c r="AD56" s="27">
        <v>2</v>
      </c>
      <c r="AE56" s="27">
        <v>2</v>
      </c>
      <c r="AF56" s="27">
        <v>2</v>
      </c>
      <c r="AG56" s="27">
        <v>2</v>
      </c>
      <c r="AH56" s="27">
        <v>0</v>
      </c>
      <c r="AI56" s="28">
        <v>0</v>
      </c>
      <c r="AK56" s="36">
        <v>23</v>
      </c>
      <c r="AL56" s="33">
        <v>7</v>
      </c>
      <c r="AM56" s="33">
        <v>3</v>
      </c>
      <c r="AN56" s="33">
        <v>2</v>
      </c>
      <c r="AO56" s="33">
        <v>0</v>
      </c>
      <c r="AP56" s="33">
        <v>0</v>
      </c>
      <c r="AQ56" s="33">
        <v>0</v>
      </c>
      <c r="AR56" s="33">
        <v>3</v>
      </c>
      <c r="AS56" s="33">
        <v>12</v>
      </c>
      <c r="AT56" s="33">
        <v>2</v>
      </c>
      <c r="AU56" s="43">
        <v>4.3213571713149629E-2</v>
      </c>
      <c r="AV56" s="33">
        <v>0</v>
      </c>
      <c r="AW56" s="33">
        <v>0</v>
      </c>
      <c r="AY56" s="36">
        <v>28</v>
      </c>
      <c r="AZ56" s="33">
        <v>2</v>
      </c>
      <c r="BA56" s="33">
        <v>2</v>
      </c>
      <c r="BB56" s="33">
        <v>0</v>
      </c>
      <c r="BC56" s="33">
        <v>1</v>
      </c>
      <c r="BD56" s="43">
        <v>9.4721355311452843E-2</v>
      </c>
      <c r="BE56" s="33">
        <v>0</v>
      </c>
      <c r="BF56" s="33">
        <v>0</v>
      </c>
      <c r="CE56" s="36">
        <v>22</v>
      </c>
      <c r="CF56" s="33">
        <v>9</v>
      </c>
      <c r="CG56" s="33">
        <v>1</v>
      </c>
      <c r="CH56" s="33">
        <v>1</v>
      </c>
      <c r="CI56" s="33">
        <v>1</v>
      </c>
      <c r="CJ56" s="33">
        <v>7</v>
      </c>
      <c r="CK56" s="33">
        <v>0</v>
      </c>
      <c r="CL56" s="33">
        <v>0</v>
      </c>
      <c r="CM56" s="33">
        <v>3</v>
      </c>
      <c r="CN56" s="33">
        <v>5</v>
      </c>
      <c r="CO56" s="33">
        <v>0</v>
      </c>
      <c r="CP56" s="43">
        <v>0.36211022531505838</v>
      </c>
      <c r="CQ56" s="33">
        <v>0</v>
      </c>
      <c r="CR56" s="33">
        <v>1</v>
      </c>
    </row>
    <row r="57" spans="1:96" ht="15" customHeight="1" x14ac:dyDescent="0.25">
      <c r="A57" s="26">
        <v>55</v>
      </c>
      <c r="B57" s="27">
        <v>33</v>
      </c>
      <c r="C57" s="27">
        <v>0</v>
      </c>
      <c r="D57" s="27">
        <v>2</v>
      </c>
      <c r="E57" s="27">
        <v>515</v>
      </c>
      <c r="F57" s="27">
        <v>2</v>
      </c>
      <c r="G57" s="27">
        <v>1</v>
      </c>
      <c r="H57" s="27">
        <v>2</v>
      </c>
      <c r="I57" s="27">
        <v>1</v>
      </c>
      <c r="J57" s="27">
        <v>1</v>
      </c>
      <c r="K57" s="27">
        <v>73</v>
      </c>
      <c r="L57" s="27">
        <v>1</v>
      </c>
      <c r="M57" s="27">
        <v>0</v>
      </c>
      <c r="N57" s="27">
        <v>98</v>
      </c>
      <c r="O57" s="27">
        <v>3</v>
      </c>
      <c r="P57" s="27">
        <v>3</v>
      </c>
      <c r="Q57" s="27">
        <v>8</v>
      </c>
      <c r="R57" s="27">
        <v>4</v>
      </c>
      <c r="S57" s="27">
        <v>1</v>
      </c>
      <c r="T57" s="27">
        <v>13458</v>
      </c>
      <c r="U57" s="27">
        <v>15146</v>
      </c>
      <c r="V57" s="27">
        <v>1</v>
      </c>
      <c r="W57" s="27">
        <v>1</v>
      </c>
      <c r="X57" s="27">
        <v>12</v>
      </c>
      <c r="Y57" s="27">
        <v>3</v>
      </c>
      <c r="Z57" s="27">
        <v>3</v>
      </c>
      <c r="AA57" s="27">
        <v>80</v>
      </c>
      <c r="AB57" s="27">
        <v>0</v>
      </c>
      <c r="AC57" s="27">
        <v>15</v>
      </c>
      <c r="AD57" s="27">
        <v>1</v>
      </c>
      <c r="AE57" s="27">
        <v>3</v>
      </c>
      <c r="AF57" s="27">
        <v>15</v>
      </c>
      <c r="AG57" s="27">
        <v>14</v>
      </c>
      <c r="AH57" s="27">
        <v>8</v>
      </c>
      <c r="AI57" s="28">
        <v>12</v>
      </c>
      <c r="AK57" s="36">
        <v>24</v>
      </c>
      <c r="AL57" s="33">
        <v>15</v>
      </c>
      <c r="AM57" s="33">
        <v>1</v>
      </c>
      <c r="AN57" s="33">
        <v>4</v>
      </c>
      <c r="AO57" s="33">
        <v>1</v>
      </c>
      <c r="AP57" s="33">
        <v>0</v>
      </c>
      <c r="AQ57" s="33">
        <v>0</v>
      </c>
      <c r="AR57" s="33">
        <v>3</v>
      </c>
      <c r="AS57" s="33">
        <v>0</v>
      </c>
      <c r="AT57" s="33">
        <v>0</v>
      </c>
      <c r="AU57" s="43">
        <v>0.16985263191451974</v>
      </c>
      <c r="AV57" s="33">
        <v>0</v>
      </c>
      <c r="AW57" s="33">
        <v>0</v>
      </c>
      <c r="AY57" s="36">
        <v>29</v>
      </c>
      <c r="AZ57" s="33">
        <v>3</v>
      </c>
      <c r="BA57" s="33">
        <v>4</v>
      </c>
      <c r="BB57" s="33">
        <v>0</v>
      </c>
      <c r="BC57" s="33">
        <v>1</v>
      </c>
      <c r="BD57" s="43">
        <v>3.2280700557178299E-2</v>
      </c>
      <c r="BE57" s="33">
        <v>0</v>
      </c>
      <c r="BF57" s="33">
        <v>0</v>
      </c>
      <c r="CE57" s="36">
        <v>23</v>
      </c>
      <c r="CF57" s="33">
        <v>7</v>
      </c>
      <c r="CG57" s="33">
        <v>3</v>
      </c>
      <c r="CH57" s="33">
        <v>2</v>
      </c>
      <c r="CI57" s="33">
        <v>1</v>
      </c>
      <c r="CJ57" s="33">
        <v>0</v>
      </c>
      <c r="CK57" s="33">
        <v>0</v>
      </c>
      <c r="CL57" s="33">
        <v>0</v>
      </c>
      <c r="CM57" s="33">
        <v>3</v>
      </c>
      <c r="CN57" s="33">
        <v>12</v>
      </c>
      <c r="CO57" s="33">
        <v>2</v>
      </c>
      <c r="CP57" s="43">
        <v>5.2259312994938877E-2</v>
      </c>
      <c r="CQ57" s="33">
        <v>0</v>
      </c>
      <c r="CR57" s="33">
        <v>0</v>
      </c>
    </row>
    <row r="58" spans="1:96" ht="15" customHeight="1" x14ac:dyDescent="0.25">
      <c r="A58" s="26">
        <v>56</v>
      </c>
      <c r="B58" s="27">
        <v>35</v>
      </c>
      <c r="C58" s="27">
        <v>0</v>
      </c>
      <c r="D58" s="27">
        <v>2</v>
      </c>
      <c r="E58" s="27">
        <v>853</v>
      </c>
      <c r="F58" s="27">
        <v>1</v>
      </c>
      <c r="G58" s="27">
        <v>18</v>
      </c>
      <c r="H58" s="27">
        <v>5</v>
      </c>
      <c r="I58" s="27">
        <v>1</v>
      </c>
      <c r="J58" s="27">
        <v>1</v>
      </c>
      <c r="K58" s="27">
        <v>74</v>
      </c>
      <c r="L58" s="27">
        <v>2</v>
      </c>
      <c r="M58" s="27">
        <v>1</v>
      </c>
      <c r="N58" s="27">
        <v>71</v>
      </c>
      <c r="O58" s="27">
        <v>3</v>
      </c>
      <c r="P58" s="27">
        <v>3</v>
      </c>
      <c r="Q58" s="27">
        <v>1</v>
      </c>
      <c r="R58" s="27">
        <v>1</v>
      </c>
      <c r="S58" s="27">
        <v>2</v>
      </c>
      <c r="T58" s="27">
        <v>9069</v>
      </c>
      <c r="U58" s="27">
        <v>11031</v>
      </c>
      <c r="V58" s="27">
        <v>1</v>
      </c>
      <c r="W58" s="27">
        <v>0</v>
      </c>
      <c r="X58" s="27">
        <v>22</v>
      </c>
      <c r="Y58" s="27">
        <v>4</v>
      </c>
      <c r="Z58" s="27">
        <v>4</v>
      </c>
      <c r="AA58" s="27">
        <v>80</v>
      </c>
      <c r="AB58" s="27">
        <v>1</v>
      </c>
      <c r="AC58" s="27">
        <v>9</v>
      </c>
      <c r="AD58" s="27">
        <v>3</v>
      </c>
      <c r="AE58" s="27">
        <v>2</v>
      </c>
      <c r="AF58" s="27">
        <v>9</v>
      </c>
      <c r="AG58" s="27">
        <v>8</v>
      </c>
      <c r="AH58" s="27">
        <v>1</v>
      </c>
      <c r="AI58" s="28">
        <v>8</v>
      </c>
      <c r="AK58" s="36">
        <v>25</v>
      </c>
      <c r="AL58" s="33">
        <v>6</v>
      </c>
      <c r="AM58" s="33">
        <v>1</v>
      </c>
      <c r="AN58" s="33">
        <v>1</v>
      </c>
      <c r="AO58" s="33">
        <v>2</v>
      </c>
      <c r="AP58" s="33">
        <v>0</v>
      </c>
      <c r="AQ58" s="33">
        <v>0</v>
      </c>
      <c r="AR58" s="33">
        <v>3</v>
      </c>
      <c r="AS58" s="33">
        <v>4</v>
      </c>
      <c r="AT58" s="33">
        <v>1</v>
      </c>
      <c r="AU58" s="43">
        <v>0.24891548572459118</v>
      </c>
      <c r="AV58" s="33">
        <v>0</v>
      </c>
      <c r="AW58" s="33">
        <v>1</v>
      </c>
      <c r="AY58" s="36">
        <v>30</v>
      </c>
      <c r="AZ58" s="33">
        <v>5</v>
      </c>
      <c r="BA58" s="33">
        <v>1</v>
      </c>
      <c r="BB58" s="33">
        <v>0</v>
      </c>
      <c r="BC58" s="33">
        <v>0</v>
      </c>
      <c r="BD58" s="43">
        <v>4.2593477146653583E-2</v>
      </c>
      <c r="BE58" s="33">
        <v>0</v>
      </c>
      <c r="BF58" s="33">
        <v>0</v>
      </c>
      <c r="CE58" s="36">
        <v>24</v>
      </c>
      <c r="CF58" s="33">
        <v>15</v>
      </c>
      <c r="CG58" s="33">
        <v>1</v>
      </c>
      <c r="CH58" s="33">
        <v>4</v>
      </c>
      <c r="CI58" s="33">
        <v>1</v>
      </c>
      <c r="CJ58" s="33">
        <v>1</v>
      </c>
      <c r="CK58" s="33">
        <v>0</v>
      </c>
      <c r="CL58" s="33">
        <v>0</v>
      </c>
      <c r="CM58" s="33">
        <v>3</v>
      </c>
      <c r="CN58" s="33">
        <v>0</v>
      </c>
      <c r="CO58" s="33">
        <v>0</v>
      </c>
      <c r="CP58" s="43">
        <v>0.19042657276442085</v>
      </c>
      <c r="CQ58" s="33">
        <v>0</v>
      </c>
      <c r="CR58" s="33">
        <v>0</v>
      </c>
    </row>
    <row r="59" spans="1:96" ht="15" customHeight="1" x14ac:dyDescent="0.25">
      <c r="A59" s="26">
        <v>57</v>
      </c>
      <c r="B59" s="27">
        <v>35</v>
      </c>
      <c r="C59" s="27">
        <v>0</v>
      </c>
      <c r="D59" s="27">
        <v>1</v>
      </c>
      <c r="E59" s="27">
        <v>1142</v>
      </c>
      <c r="F59" s="27">
        <v>2</v>
      </c>
      <c r="G59" s="27">
        <v>23</v>
      </c>
      <c r="H59" s="27">
        <v>4</v>
      </c>
      <c r="I59" s="27">
        <v>3</v>
      </c>
      <c r="J59" s="27">
        <v>1</v>
      </c>
      <c r="K59" s="27">
        <v>75</v>
      </c>
      <c r="L59" s="27">
        <v>3</v>
      </c>
      <c r="M59" s="27">
        <v>0</v>
      </c>
      <c r="N59" s="27">
        <v>30</v>
      </c>
      <c r="O59" s="27">
        <v>3</v>
      </c>
      <c r="P59" s="27">
        <v>1</v>
      </c>
      <c r="Q59" s="27">
        <v>3</v>
      </c>
      <c r="R59" s="27">
        <v>1</v>
      </c>
      <c r="S59" s="27">
        <v>2</v>
      </c>
      <c r="T59" s="27">
        <v>4014</v>
      </c>
      <c r="U59" s="27">
        <v>16002</v>
      </c>
      <c r="V59" s="27">
        <v>3</v>
      </c>
      <c r="W59" s="27">
        <v>1</v>
      </c>
      <c r="X59" s="27">
        <v>15</v>
      </c>
      <c r="Y59" s="27">
        <v>3</v>
      </c>
      <c r="Z59" s="27">
        <v>3</v>
      </c>
      <c r="AA59" s="27">
        <v>80</v>
      </c>
      <c r="AB59" s="27">
        <v>1</v>
      </c>
      <c r="AC59" s="27">
        <v>4</v>
      </c>
      <c r="AD59" s="27">
        <v>3</v>
      </c>
      <c r="AE59" s="27">
        <v>3</v>
      </c>
      <c r="AF59" s="27">
        <v>2</v>
      </c>
      <c r="AG59" s="27">
        <v>2</v>
      </c>
      <c r="AH59" s="27">
        <v>2</v>
      </c>
      <c r="AI59" s="28">
        <v>2</v>
      </c>
      <c r="AK59" s="36">
        <v>26</v>
      </c>
      <c r="AL59" s="33">
        <v>5</v>
      </c>
      <c r="AM59" s="33">
        <v>5</v>
      </c>
      <c r="AN59" s="33">
        <v>3</v>
      </c>
      <c r="AO59" s="33">
        <v>4</v>
      </c>
      <c r="AP59" s="33">
        <v>0</v>
      </c>
      <c r="AQ59" s="33">
        <v>1</v>
      </c>
      <c r="AR59" s="33">
        <v>2</v>
      </c>
      <c r="AS59" s="33">
        <v>14</v>
      </c>
      <c r="AT59" s="33">
        <v>4</v>
      </c>
      <c r="AU59" s="43">
        <v>1.1250388443170634E-2</v>
      </c>
      <c r="AV59" s="33">
        <v>0</v>
      </c>
      <c r="AW59" s="33">
        <v>0</v>
      </c>
      <c r="AY59" s="36">
        <v>31</v>
      </c>
      <c r="AZ59" s="33">
        <v>1</v>
      </c>
      <c r="BA59" s="33">
        <v>4</v>
      </c>
      <c r="BB59" s="33">
        <v>0</v>
      </c>
      <c r="BC59" s="33">
        <v>0</v>
      </c>
      <c r="BD59" s="43">
        <v>0.1472907617042678</v>
      </c>
      <c r="BE59" s="33">
        <v>0</v>
      </c>
      <c r="BF59" s="33">
        <v>0</v>
      </c>
      <c r="CE59" s="36">
        <v>25</v>
      </c>
      <c r="CF59" s="33">
        <v>6</v>
      </c>
      <c r="CG59" s="33">
        <v>1</v>
      </c>
      <c r="CH59" s="33">
        <v>1</v>
      </c>
      <c r="CI59" s="33">
        <v>1</v>
      </c>
      <c r="CJ59" s="33">
        <v>2</v>
      </c>
      <c r="CK59" s="33">
        <v>0</v>
      </c>
      <c r="CL59" s="33">
        <v>0</v>
      </c>
      <c r="CM59" s="33">
        <v>3</v>
      </c>
      <c r="CN59" s="33">
        <v>4</v>
      </c>
      <c r="CO59" s="33">
        <v>1</v>
      </c>
      <c r="CP59" s="43">
        <v>0.28807943505623257</v>
      </c>
      <c r="CQ59" s="33">
        <v>0</v>
      </c>
      <c r="CR59" s="33">
        <v>1</v>
      </c>
    </row>
    <row r="60" spans="1:96" ht="15" customHeight="1" x14ac:dyDescent="0.25">
      <c r="A60" s="26">
        <v>58</v>
      </c>
      <c r="B60" s="27">
        <v>31</v>
      </c>
      <c r="C60" s="27">
        <v>0</v>
      </c>
      <c r="D60" s="27">
        <v>1</v>
      </c>
      <c r="E60" s="27">
        <v>655</v>
      </c>
      <c r="F60" s="27">
        <v>2</v>
      </c>
      <c r="G60" s="27">
        <v>7</v>
      </c>
      <c r="H60" s="27">
        <v>4</v>
      </c>
      <c r="I60" s="27">
        <v>1</v>
      </c>
      <c r="J60" s="27">
        <v>1</v>
      </c>
      <c r="K60" s="27">
        <v>76</v>
      </c>
      <c r="L60" s="27">
        <v>4</v>
      </c>
      <c r="M60" s="27">
        <v>1</v>
      </c>
      <c r="N60" s="27">
        <v>48</v>
      </c>
      <c r="O60" s="27">
        <v>3</v>
      </c>
      <c r="P60" s="27">
        <v>2</v>
      </c>
      <c r="Q60" s="27">
        <v>3</v>
      </c>
      <c r="R60" s="27">
        <v>4</v>
      </c>
      <c r="S60" s="27">
        <v>3</v>
      </c>
      <c r="T60" s="27">
        <v>5915</v>
      </c>
      <c r="U60" s="27">
        <v>9528</v>
      </c>
      <c r="V60" s="27">
        <v>3</v>
      </c>
      <c r="W60" s="27">
        <v>0</v>
      </c>
      <c r="X60" s="27">
        <v>22</v>
      </c>
      <c r="Y60" s="27">
        <v>4</v>
      </c>
      <c r="Z60" s="27">
        <v>4</v>
      </c>
      <c r="AA60" s="27">
        <v>80</v>
      </c>
      <c r="AB60" s="27">
        <v>1</v>
      </c>
      <c r="AC60" s="27">
        <v>10</v>
      </c>
      <c r="AD60" s="27">
        <v>3</v>
      </c>
      <c r="AE60" s="27">
        <v>2</v>
      </c>
      <c r="AF60" s="27">
        <v>7</v>
      </c>
      <c r="AG60" s="27">
        <v>7</v>
      </c>
      <c r="AH60" s="27">
        <v>1</v>
      </c>
      <c r="AI60" s="28">
        <v>7</v>
      </c>
      <c r="AK60" s="36">
        <v>27</v>
      </c>
      <c r="AL60" s="33">
        <v>16</v>
      </c>
      <c r="AM60" s="33">
        <v>1</v>
      </c>
      <c r="AN60" s="33">
        <v>1</v>
      </c>
      <c r="AO60" s="33">
        <v>1</v>
      </c>
      <c r="AP60" s="33">
        <v>1</v>
      </c>
      <c r="AQ60" s="33">
        <v>0</v>
      </c>
      <c r="AR60" s="33">
        <v>3</v>
      </c>
      <c r="AS60" s="33">
        <v>10</v>
      </c>
      <c r="AT60" s="33">
        <v>6</v>
      </c>
      <c r="AU60" s="43">
        <v>0.68078256054518338</v>
      </c>
      <c r="AV60" s="33">
        <v>1</v>
      </c>
      <c r="AW60" s="33">
        <v>1</v>
      </c>
      <c r="AY60" s="36">
        <v>32</v>
      </c>
      <c r="AZ60" s="33">
        <v>2</v>
      </c>
      <c r="BA60" s="33">
        <v>4</v>
      </c>
      <c r="BB60" s="33">
        <v>1</v>
      </c>
      <c r="BC60" s="33">
        <v>0</v>
      </c>
      <c r="BD60" s="43">
        <v>0.29698480921718856</v>
      </c>
      <c r="BE60" s="33">
        <v>0</v>
      </c>
      <c r="BF60" s="33">
        <v>0</v>
      </c>
      <c r="CE60" s="36">
        <v>26</v>
      </c>
      <c r="CF60" s="33">
        <v>5</v>
      </c>
      <c r="CG60" s="33">
        <v>5</v>
      </c>
      <c r="CH60" s="33">
        <v>3</v>
      </c>
      <c r="CI60" s="33">
        <v>3</v>
      </c>
      <c r="CJ60" s="33">
        <v>4</v>
      </c>
      <c r="CK60" s="33">
        <v>0</v>
      </c>
      <c r="CL60" s="33">
        <v>1</v>
      </c>
      <c r="CM60" s="33">
        <v>2</v>
      </c>
      <c r="CN60" s="33">
        <v>14</v>
      </c>
      <c r="CO60" s="33">
        <v>4</v>
      </c>
      <c r="CP60" s="43">
        <v>6.6364362066236252E-3</v>
      </c>
      <c r="CQ60" s="33">
        <v>0</v>
      </c>
      <c r="CR60" s="33">
        <v>0</v>
      </c>
    </row>
    <row r="61" spans="1:96" ht="15" customHeight="1" x14ac:dyDescent="0.25">
      <c r="A61" s="26">
        <v>59</v>
      </c>
      <c r="B61" s="27">
        <v>37</v>
      </c>
      <c r="C61" s="27">
        <v>0</v>
      </c>
      <c r="D61" s="27">
        <v>1</v>
      </c>
      <c r="E61" s="27">
        <v>1115</v>
      </c>
      <c r="F61" s="27">
        <v>2</v>
      </c>
      <c r="G61" s="27">
        <v>1</v>
      </c>
      <c r="H61" s="27">
        <v>4</v>
      </c>
      <c r="I61" s="27">
        <v>1</v>
      </c>
      <c r="J61" s="27">
        <v>1</v>
      </c>
      <c r="K61" s="27">
        <v>77</v>
      </c>
      <c r="L61" s="27">
        <v>1</v>
      </c>
      <c r="M61" s="27">
        <v>1</v>
      </c>
      <c r="N61" s="27">
        <v>51</v>
      </c>
      <c r="O61" s="27">
        <v>2</v>
      </c>
      <c r="P61" s="27">
        <v>2</v>
      </c>
      <c r="Q61" s="27">
        <v>4</v>
      </c>
      <c r="R61" s="27">
        <v>3</v>
      </c>
      <c r="S61" s="27">
        <v>3</v>
      </c>
      <c r="T61" s="27">
        <v>5993</v>
      </c>
      <c r="U61" s="27">
        <v>2689</v>
      </c>
      <c r="V61" s="27">
        <v>1</v>
      </c>
      <c r="W61" s="27">
        <v>0</v>
      </c>
      <c r="X61" s="27">
        <v>18</v>
      </c>
      <c r="Y61" s="27">
        <v>3</v>
      </c>
      <c r="Z61" s="27">
        <v>3</v>
      </c>
      <c r="AA61" s="27">
        <v>80</v>
      </c>
      <c r="AB61" s="27">
        <v>1</v>
      </c>
      <c r="AC61" s="27">
        <v>7</v>
      </c>
      <c r="AD61" s="27">
        <v>2</v>
      </c>
      <c r="AE61" s="27">
        <v>4</v>
      </c>
      <c r="AF61" s="27">
        <v>7</v>
      </c>
      <c r="AG61" s="27">
        <v>5</v>
      </c>
      <c r="AH61" s="27">
        <v>0</v>
      </c>
      <c r="AI61" s="28">
        <v>7</v>
      </c>
      <c r="AK61" s="36">
        <v>28</v>
      </c>
      <c r="AL61" s="33">
        <v>8</v>
      </c>
      <c r="AM61" s="33">
        <v>2</v>
      </c>
      <c r="AN61" s="33">
        <v>2</v>
      </c>
      <c r="AO61" s="33">
        <v>0</v>
      </c>
      <c r="AP61" s="33">
        <v>0</v>
      </c>
      <c r="AQ61" s="33">
        <v>1</v>
      </c>
      <c r="AR61" s="33">
        <v>3</v>
      </c>
      <c r="AS61" s="33">
        <v>9</v>
      </c>
      <c r="AT61" s="33">
        <v>4</v>
      </c>
      <c r="AU61" s="43">
        <v>6.6837487401779833E-2</v>
      </c>
      <c r="AV61" s="33">
        <v>0</v>
      </c>
      <c r="AW61" s="33">
        <v>0</v>
      </c>
      <c r="AY61" s="36">
        <v>33</v>
      </c>
      <c r="AZ61" s="33">
        <v>1</v>
      </c>
      <c r="BA61" s="33">
        <v>3</v>
      </c>
      <c r="BB61" s="33">
        <v>0</v>
      </c>
      <c r="BC61" s="33">
        <v>0</v>
      </c>
      <c r="BD61" s="43">
        <v>0.18791247240909698</v>
      </c>
      <c r="BE61" s="33">
        <v>0</v>
      </c>
      <c r="BF61" s="33">
        <v>0</v>
      </c>
      <c r="CE61" s="36">
        <v>27</v>
      </c>
      <c r="CF61" s="33">
        <v>16</v>
      </c>
      <c r="CG61" s="33">
        <v>1</v>
      </c>
      <c r="CH61" s="33">
        <v>1</v>
      </c>
      <c r="CI61" s="33">
        <v>1</v>
      </c>
      <c r="CJ61" s="33">
        <v>1</v>
      </c>
      <c r="CK61" s="33">
        <v>1</v>
      </c>
      <c r="CL61" s="33">
        <v>0</v>
      </c>
      <c r="CM61" s="33">
        <v>3</v>
      </c>
      <c r="CN61" s="33">
        <v>10</v>
      </c>
      <c r="CO61" s="33">
        <v>6</v>
      </c>
      <c r="CP61" s="43">
        <v>0.73196411702289765</v>
      </c>
      <c r="CQ61" s="33">
        <v>1</v>
      </c>
      <c r="CR61" s="33">
        <v>1</v>
      </c>
    </row>
    <row r="62" spans="1:96" ht="15" customHeight="1" x14ac:dyDescent="0.25">
      <c r="A62" s="26">
        <v>60</v>
      </c>
      <c r="B62" s="27">
        <v>32</v>
      </c>
      <c r="C62" s="27">
        <v>0</v>
      </c>
      <c r="D62" s="27">
        <v>1</v>
      </c>
      <c r="E62" s="27">
        <v>427</v>
      </c>
      <c r="F62" s="27">
        <v>2</v>
      </c>
      <c r="G62" s="27">
        <v>1</v>
      </c>
      <c r="H62" s="27">
        <v>3</v>
      </c>
      <c r="I62" s="27">
        <v>3</v>
      </c>
      <c r="J62" s="27">
        <v>1</v>
      </c>
      <c r="K62" s="27">
        <v>78</v>
      </c>
      <c r="L62" s="27">
        <v>1</v>
      </c>
      <c r="M62" s="27">
        <v>1</v>
      </c>
      <c r="N62" s="27">
        <v>33</v>
      </c>
      <c r="O62" s="27">
        <v>3</v>
      </c>
      <c r="P62" s="27">
        <v>2</v>
      </c>
      <c r="Q62" s="27">
        <v>4</v>
      </c>
      <c r="R62" s="27">
        <v>4</v>
      </c>
      <c r="S62" s="27">
        <v>2</v>
      </c>
      <c r="T62" s="27">
        <v>6162</v>
      </c>
      <c r="U62" s="27">
        <v>10877</v>
      </c>
      <c r="V62" s="27">
        <v>1</v>
      </c>
      <c r="W62" s="27">
        <v>1</v>
      </c>
      <c r="X62" s="27">
        <v>22</v>
      </c>
      <c r="Y62" s="27">
        <v>4</v>
      </c>
      <c r="Z62" s="27">
        <v>2</v>
      </c>
      <c r="AA62" s="27">
        <v>80</v>
      </c>
      <c r="AB62" s="27">
        <v>1</v>
      </c>
      <c r="AC62" s="27">
        <v>9</v>
      </c>
      <c r="AD62" s="27">
        <v>3</v>
      </c>
      <c r="AE62" s="27">
        <v>3</v>
      </c>
      <c r="AF62" s="27">
        <v>9</v>
      </c>
      <c r="AG62" s="27">
        <v>8</v>
      </c>
      <c r="AH62" s="27">
        <v>7</v>
      </c>
      <c r="AI62" s="28">
        <v>8</v>
      </c>
      <c r="AK62" s="36">
        <v>29</v>
      </c>
      <c r="AL62" s="33">
        <v>7</v>
      </c>
      <c r="AM62" s="33">
        <v>3</v>
      </c>
      <c r="AN62" s="33">
        <v>4</v>
      </c>
      <c r="AO62" s="33">
        <v>3</v>
      </c>
      <c r="AP62" s="33">
        <v>0</v>
      </c>
      <c r="AQ62" s="33">
        <v>1</v>
      </c>
      <c r="AR62" s="33">
        <v>3</v>
      </c>
      <c r="AS62" s="33">
        <v>22</v>
      </c>
      <c r="AT62" s="33">
        <v>5</v>
      </c>
      <c r="AU62" s="43">
        <v>1.2399202997216056E-2</v>
      </c>
      <c r="AV62" s="33">
        <v>0</v>
      </c>
      <c r="AW62" s="33">
        <v>0</v>
      </c>
      <c r="AY62" s="36">
        <v>34</v>
      </c>
      <c r="AZ62" s="33">
        <v>2</v>
      </c>
      <c r="BA62" s="33">
        <v>4</v>
      </c>
      <c r="BB62" s="33">
        <v>0</v>
      </c>
      <c r="BC62" s="33">
        <v>1</v>
      </c>
      <c r="BD62" s="43">
        <v>5.5093218126976727E-2</v>
      </c>
      <c r="BE62" s="33">
        <v>0</v>
      </c>
      <c r="BF62" s="33">
        <v>1</v>
      </c>
      <c r="CE62" s="36">
        <v>28</v>
      </c>
      <c r="CF62" s="33">
        <v>8</v>
      </c>
      <c r="CG62" s="33">
        <v>2</v>
      </c>
      <c r="CH62" s="33">
        <v>2</v>
      </c>
      <c r="CI62" s="33">
        <v>2</v>
      </c>
      <c r="CJ62" s="33">
        <v>0</v>
      </c>
      <c r="CK62" s="33">
        <v>0</v>
      </c>
      <c r="CL62" s="33">
        <v>1</v>
      </c>
      <c r="CM62" s="33">
        <v>3</v>
      </c>
      <c r="CN62" s="33">
        <v>9</v>
      </c>
      <c r="CO62" s="33">
        <v>4</v>
      </c>
      <c r="CP62" s="43">
        <v>6.5923341986735343E-2</v>
      </c>
      <c r="CQ62" s="33">
        <v>0</v>
      </c>
      <c r="CR62" s="33">
        <v>0</v>
      </c>
    </row>
    <row r="63" spans="1:96" ht="15" customHeight="1" x14ac:dyDescent="0.25">
      <c r="A63" s="26">
        <v>61</v>
      </c>
      <c r="B63" s="27">
        <v>38</v>
      </c>
      <c r="C63" s="27">
        <v>0</v>
      </c>
      <c r="D63" s="27">
        <v>2</v>
      </c>
      <c r="E63" s="27">
        <v>653</v>
      </c>
      <c r="F63" s="27">
        <v>2</v>
      </c>
      <c r="G63" s="27">
        <v>29</v>
      </c>
      <c r="H63" s="27">
        <v>5</v>
      </c>
      <c r="I63" s="27">
        <v>1</v>
      </c>
      <c r="J63" s="27">
        <v>1</v>
      </c>
      <c r="K63" s="27">
        <v>79</v>
      </c>
      <c r="L63" s="27">
        <v>4</v>
      </c>
      <c r="M63" s="27">
        <v>0</v>
      </c>
      <c r="N63" s="27">
        <v>50</v>
      </c>
      <c r="O63" s="27">
        <v>3</v>
      </c>
      <c r="P63" s="27">
        <v>2</v>
      </c>
      <c r="Q63" s="27">
        <v>3</v>
      </c>
      <c r="R63" s="27">
        <v>4</v>
      </c>
      <c r="S63" s="27">
        <v>1</v>
      </c>
      <c r="T63" s="27">
        <v>2406</v>
      </c>
      <c r="U63" s="27">
        <v>5456</v>
      </c>
      <c r="V63" s="27">
        <v>1</v>
      </c>
      <c r="W63" s="27">
        <v>0</v>
      </c>
      <c r="X63" s="27">
        <v>11</v>
      </c>
      <c r="Y63" s="27">
        <v>3</v>
      </c>
      <c r="Z63" s="27">
        <v>4</v>
      </c>
      <c r="AA63" s="27">
        <v>80</v>
      </c>
      <c r="AB63" s="27">
        <v>0</v>
      </c>
      <c r="AC63" s="27">
        <v>10</v>
      </c>
      <c r="AD63" s="27">
        <v>2</v>
      </c>
      <c r="AE63" s="27">
        <v>3</v>
      </c>
      <c r="AF63" s="27">
        <v>10</v>
      </c>
      <c r="AG63" s="27">
        <v>3</v>
      </c>
      <c r="AH63" s="27">
        <v>9</v>
      </c>
      <c r="AI63" s="28">
        <v>9</v>
      </c>
      <c r="AK63" s="36">
        <v>30</v>
      </c>
      <c r="AL63" s="33">
        <v>2</v>
      </c>
      <c r="AM63" s="33">
        <v>5</v>
      </c>
      <c r="AN63" s="33">
        <v>1</v>
      </c>
      <c r="AO63" s="33">
        <v>3</v>
      </c>
      <c r="AP63" s="33">
        <v>0</v>
      </c>
      <c r="AQ63" s="33">
        <v>0</v>
      </c>
      <c r="AR63" s="33">
        <v>2</v>
      </c>
      <c r="AS63" s="33">
        <v>2</v>
      </c>
      <c r="AT63" s="33">
        <v>2</v>
      </c>
      <c r="AU63" s="43">
        <v>5.3596139097191187E-2</v>
      </c>
      <c r="AV63" s="33">
        <v>0</v>
      </c>
      <c r="AW63" s="33">
        <v>0</v>
      </c>
      <c r="AY63" s="36">
        <v>35</v>
      </c>
      <c r="AZ63" s="33">
        <v>1</v>
      </c>
      <c r="BA63" s="33">
        <v>4</v>
      </c>
      <c r="BB63" s="33">
        <v>1</v>
      </c>
      <c r="BC63" s="33">
        <v>1</v>
      </c>
      <c r="BD63" s="43">
        <v>0.30345027699196836</v>
      </c>
      <c r="BE63" s="33">
        <v>0</v>
      </c>
      <c r="BF63" s="33">
        <v>1</v>
      </c>
      <c r="CE63" s="36">
        <v>29</v>
      </c>
      <c r="CF63" s="33">
        <v>7</v>
      </c>
      <c r="CG63" s="33">
        <v>3</v>
      </c>
      <c r="CH63" s="33">
        <v>4</v>
      </c>
      <c r="CI63" s="33">
        <v>2</v>
      </c>
      <c r="CJ63" s="33">
        <v>3</v>
      </c>
      <c r="CK63" s="33">
        <v>0</v>
      </c>
      <c r="CL63" s="33">
        <v>1</v>
      </c>
      <c r="CM63" s="33">
        <v>3</v>
      </c>
      <c r="CN63" s="33">
        <v>22</v>
      </c>
      <c r="CO63" s="33">
        <v>5</v>
      </c>
      <c r="CP63" s="43">
        <v>1.1931556584022694E-2</v>
      </c>
      <c r="CQ63" s="33">
        <v>0</v>
      </c>
      <c r="CR63" s="33">
        <v>0</v>
      </c>
    </row>
    <row r="64" spans="1:96" ht="15" customHeight="1" x14ac:dyDescent="0.25">
      <c r="A64" s="26">
        <v>62</v>
      </c>
      <c r="B64" s="27">
        <v>50</v>
      </c>
      <c r="C64" s="27">
        <v>0</v>
      </c>
      <c r="D64" s="27">
        <v>1</v>
      </c>
      <c r="E64" s="27">
        <v>989</v>
      </c>
      <c r="F64" s="27">
        <v>2</v>
      </c>
      <c r="G64" s="27">
        <v>7</v>
      </c>
      <c r="H64" s="27">
        <v>2</v>
      </c>
      <c r="I64" s="27">
        <v>3</v>
      </c>
      <c r="J64" s="27">
        <v>1</v>
      </c>
      <c r="K64" s="27">
        <v>80</v>
      </c>
      <c r="L64" s="27">
        <v>2</v>
      </c>
      <c r="M64" s="27">
        <v>0</v>
      </c>
      <c r="N64" s="27">
        <v>43</v>
      </c>
      <c r="O64" s="27">
        <v>2</v>
      </c>
      <c r="P64" s="27">
        <v>5</v>
      </c>
      <c r="Q64" s="27">
        <v>8</v>
      </c>
      <c r="R64" s="27">
        <v>3</v>
      </c>
      <c r="S64" s="27">
        <v>3</v>
      </c>
      <c r="T64" s="27">
        <v>18740</v>
      </c>
      <c r="U64" s="27">
        <v>16701</v>
      </c>
      <c r="V64" s="27">
        <v>5</v>
      </c>
      <c r="W64" s="27">
        <v>1</v>
      </c>
      <c r="X64" s="27">
        <v>12</v>
      </c>
      <c r="Y64" s="27">
        <v>3</v>
      </c>
      <c r="Z64" s="27">
        <v>4</v>
      </c>
      <c r="AA64" s="27">
        <v>80</v>
      </c>
      <c r="AB64" s="27">
        <v>1</v>
      </c>
      <c r="AC64" s="27">
        <v>29</v>
      </c>
      <c r="AD64" s="27">
        <v>2</v>
      </c>
      <c r="AE64" s="27">
        <v>2</v>
      </c>
      <c r="AF64" s="27">
        <v>27</v>
      </c>
      <c r="AG64" s="27">
        <v>3</v>
      </c>
      <c r="AH64" s="27">
        <v>13</v>
      </c>
      <c r="AI64" s="28">
        <v>8</v>
      </c>
      <c r="AK64" s="36">
        <v>31</v>
      </c>
      <c r="AL64" s="33">
        <v>2</v>
      </c>
      <c r="AM64" s="33">
        <v>1</v>
      </c>
      <c r="AN64" s="33">
        <v>4</v>
      </c>
      <c r="AO64" s="33">
        <v>4</v>
      </c>
      <c r="AP64" s="33">
        <v>0</v>
      </c>
      <c r="AQ64" s="33">
        <v>0</v>
      </c>
      <c r="AR64" s="33">
        <v>3</v>
      </c>
      <c r="AS64" s="33">
        <v>1</v>
      </c>
      <c r="AT64" s="33">
        <v>0</v>
      </c>
      <c r="AU64" s="43">
        <v>0.13656853423824422</v>
      </c>
      <c r="AV64" s="33">
        <v>0</v>
      </c>
      <c r="AW64" s="33">
        <v>0</v>
      </c>
      <c r="AY64" s="36">
        <v>36</v>
      </c>
      <c r="AZ64" s="33">
        <v>1</v>
      </c>
      <c r="BA64" s="33">
        <v>3</v>
      </c>
      <c r="BB64" s="33">
        <v>0</v>
      </c>
      <c r="BC64" s="33">
        <v>2</v>
      </c>
      <c r="BD64" s="43">
        <v>7.4543423691031577E-2</v>
      </c>
      <c r="BE64" s="33">
        <v>0</v>
      </c>
      <c r="BF64" s="33">
        <v>0</v>
      </c>
      <c r="CE64" s="36">
        <v>30</v>
      </c>
      <c r="CF64" s="33">
        <v>2</v>
      </c>
      <c r="CG64" s="33">
        <v>5</v>
      </c>
      <c r="CH64" s="33">
        <v>1</v>
      </c>
      <c r="CI64" s="33">
        <v>1</v>
      </c>
      <c r="CJ64" s="33">
        <v>3</v>
      </c>
      <c r="CK64" s="33">
        <v>0</v>
      </c>
      <c r="CL64" s="33">
        <v>0</v>
      </c>
      <c r="CM64" s="33">
        <v>2</v>
      </c>
      <c r="CN64" s="33">
        <v>2</v>
      </c>
      <c r="CO64" s="33">
        <v>2</v>
      </c>
      <c r="CP64" s="43">
        <v>6.894768967029509E-2</v>
      </c>
      <c r="CQ64" s="33">
        <v>0</v>
      </c>
      <c r="CR64" s="33">
        <v>0</v>
      </c>
    </row>
    <row r="65" spans="1:96" ht="15" customHeight="1" x14ac:dyDescent="0.25">
      <c r="A65" s="26">
        <v>63</v>
      </c>
      <c r="B65" s="27">
        <v>59</v>
      </c>
      <c r="C65" s="27">
        <v>0</v>
      </c>
      <c r="D65" s="27">
        <v>1</v>
      </c>
      <c r="E65" s="27">
        <v>1435</v>
      </c>
      <c r="F65" s="27">
        <v>1</v>
      </c>
      <c r="G65" s="27">
        <v>25</v>
      </c>
      <c r="H65" s="27">
        <v>3</v>
      </c>
      <c r="I65" s="27">
        <v>1</v>
      </c>
      <c r="J65" s="27">
        <v>1</v>
      </c>
      <c r="K65" s="27">
        <v>81</v>
      </c>
      <c r="L65" s="27">
        <v>1</v>
      </c>
      <c r="M65" s="27">
        <v>0</v>
      </c>
      <c r="N65" s="27">
        <v>99</v>
      </c>
      <c r="O65" s="27">
        <v>3</v>
      </c>
      <c r="P65" s="27">
        <v>3</v>
      </c>
      <c r="Q65" s="27">
        <v>1</v>
      </c>
      <c r="R65" s="27">
        <v>1</v>
      </c>
      <c r="S65" s="27">
        <v>1</v>
      </c>
      <c r="T65" s="27">
        <v>7637</v>
      </c>
      <c r="U65" s="27">
        <v>2354</v>
      </c>
      <c r="V65" s="27">
        <v>7</v>
      </c>
      <c r="W65" s="27">
        <v>0</v>
      </c>
      <c r="X65" s="27">
        <v>11</v>
      </c>
      <c r="Y65" s="27">
        <v>3</v>
      </c>
      <c r="Z65" s="27">
        <v>4</v>
      </c>
      <c r="AA65" s="27">
        <v>80</v>
      </c>
      <c r="AB65" s="27">
        <v>0</v>
      </c>
      <c r="AC65" s="27">
        <v>28</v>
      </c>
      <c r="AD65" s="27">
        <v>3</v>
      </c>
      <c r="AE65" s="27">
        <v>2</v>
      </c>
      <c r="AF65" s="27">
        <v>21</v>
      </c>
      <c r="AG65" s="27">
        <v>16</v>
      </c>
      <c r="AH65" s="27">
        <v>7</v>
      </c>
      <c r="AI65" s="28">
        <v>9</v>
      </c>
      <c r="AK65" s="36">
        <v>32</v>
      </c>
      <c r="AL65" s="33">
        <v>10</v>
      </c>
      <c r="AM65" s="33">
        <v>2</v>
      </c>
      <c r="AN65" s="33">
        <v>4</v>
      </c>
      <c r="AO65" s="33">
        <v>2</v>
      </c>
      <c r="AP65" s="33">
        <v>1</v>
      </c>
      <c r="AQ65" s="33">
        <v>0</v>
      </c>
      <c r="AR65" s="33">
        <v>4</v>
      </c>
      <c r="AS65" s="33">
        <v>4</v>
      </c>
      <c r="AT65" s="33">
        <v>1</v>
      </c>
      <c r="AU65" s="43">
        <v>0.239618469533175</v>
      </c>
      <c r="AV65" s="33">
        <v>0</v>
      </c>
      <c r="AW65" s="33">
        <v>0</v>
      </c>
      <c r="AY65" s="36">
        <v>37</v>
      </c>
      <c r="AZ65" s="33">
        <v>1</v>
      </c>
      <c r="BA65" s="33">
        <v>3</v>
      </c>
      <c r="BB65" s="33">
        <v>1</v>
      </c>
      <c r="BC65" s="33">
        <v>0</v>
      </c>
      <c r="BD65" s="43">
        <v>0.49727340882350407</v>
      </c>
      <c r="BE65" s="33">
        <v>0</v>
      </c>
      <c r="BF65" s="33">
        <v>1</v>
      </c>
      <c r="CE65" s="36">
        <v>31</v>
      </c>
      <c r="CF65" s="33">
        <v>2</v>
      </c>
      <c r="CG65" s="33">
        <v>1</v>
      </c>
      <c r="CH65" s="33">
        <v>4</v>
      </c>
      <c r="CI65" s="33">
        <v>1</v>
      </c>
      <c r="CJ65" s="33">
        <v>4</v>
      </c>
      <c r="CK65" s="33">
        <v>0</v>
      </c>
      <c r="CL65" s="33">
        <v>0</v>
      </c>
      <c r="CM65" s="33">
        <v>3</v>
      </c>
      <c r="CN65" s="33">
        <v>1</v>
      </c>
      <c r="CO65" s="33">
        <v>0</v>
      </c>
      <c r="CP65" s="43">
        <v>0.15491925872477549</v>
      </c>
      <c r="CQ65" s="33">
        <v>0</v>
      </c>
      <c r="CR65" s="33">
        <v>0</v>
      </c>
    </row>
    <row r="66" spans="1:96" ht="15" customHeight="1" x14ac:dyDescent="0.25">
      <c r="A66" s="26">
        <v>64</v>
      </c>
      <c r="B66" s="27">
        <v>36</v>
      </c>
      <c r="C66" s="27">
        <v>0</v>
      </c>
      <c r="D66" s="27">
        <v>1</v>
      </c>
      <c r="E66" s="27">
        <v>1223</v>
      </c>
      <c r="F66" s="27">
        <v>2</v>
      </c>
      <c r="G66" s="27">
        <v>8</v>
      </c>
      <c r="H66" s="27">
        <v>3</v>
      </c>
      <c r="I66" s="27">
        <v>5</v>
      </c>
      <c r="J66" s="27">
        <v>1</v>
      </c>
      <c r="K66" s="27">
        <v>83</v>
      </c>
      <c r="L66" s="27">
        <v>3</v>
      </c>
      <c r="M66" s="27">
        <v>0</v>
      </c>
      <c r="N66" s="27">
        <v>59</v>
      </c>
      <c r="O66" s="27">
        <v>3</v>
      </c>
      <c r="P66" s="27">
        <v>3</v>
      </c>
      <c r="Q66" s="27">
        <v>5</v>
      </c>
      <c r="R66" s="27">
        <v>3</v>
      </c>
      <c r="S66" s="27">
        <v>3</v>
      </c>
      <c r="T66" s="27">
        <v>10096</v>
      </c>
      <c r="U66" s="27">
        <v>8202</v>
      </c>
      <c r="V66" s="27">
        <v>1</v>
      </c>
      <c r="W66" s="27">
        <v>0</v>
      </c>
      <c r="X66" s="27">
        <v>13</v>
      </c>
      <c r="Y66" s="27">
        <v>3</v>
      </c>
      <c r="Z66" s="27">
        <v>2</v>
      </c>
      <c r="AA66" s="27">
        <v>80</v>
      </c>
      <c r="AB66" s="27">
        <v>3</v>
      </c>
      <c r="AC66" s="27">
        <v>17</v>
      </c>
      <c r="AD66" s="27">
        <v>2</v>
      </c>
      <c r="AE66" s="27">
        <v>3</v>
      </c>
      <c r="AF66" s="27">
        <v>17</v>
      </c>
      <c r="AG66" s="27">
        <v>14</v>
      </c>
      <c r="AH66" s="27">
        <v>12</v>
      </c>
      <c r="AI66" s="28">
        <v>8</v>
      </c>
      <c r="AK66" s="36">
        <v>33</v>
      </c>
      <c r="AL66" s="33">
        <v>9</v>
      </c>
      <c r="AM66" s="33">
        <v>1</v>
      </c>
      <c r="AN66" s="33">
        <v>3</v>
      </c>
      <c r="AO66" s="33">
        <v>1</v>
      </c>
      <c r="AP66" s="33">
        <v>0</v>
      </c>
      <c r="AQ66" s="33">
        <v>0</v>
      </c>
      <c r="AR66" s="33">
        <v>3</v>
      </c>
      <c r="AS66" s="33">
        <v>10</v>
      </c>
      <c r="AT66" s="33">
        <v>1</v>
      </c>
      <c r="AU66" s="43">
        <v>0.10869238102660149</v>
      </c>
      <c r="AV66" s="33">
        <v>0</v>
      </c>
      <c r="AW66" s="33">
        <v>0</v>
      </c>
      <c r="AY66" s="36">
        <v>38</v>
      </c>
      <c r="AZ66" s="33">
        <v>1</v>
      </c>
      <c r="BA66" s="33">
        <v>4</v>
      </c>
      <c r="BB66" s="33">
        <v>0</v>
      </c>
      <c r="BC66" s="33">
        <v>0</v>
      </c>
      <c r="BD66" s="43">
        <v>0.1472907617042678</v>
      </c>
      <c r="BE66" s="33">
        <v>0</v>
      </c>
      <c r="BF66" s="33">
        <v>0</v>
      </c>
      <c r="CE66" s="36">
        <v>32</v>
      </c>
      <c r="CF66" s="33">
        <v>10</v>
      </c>
      <c r="CG66" s="33">
        <v>2</v>
      </c>
      <c r="CH66" s="33">
        <v>4</v>
      </c>
      <c r="CI66" s="33">
        <v>2</v>
      </c>
      <c r="CJ66" s="33">
        <v>2</v>
      </c>
      <c r="CK66" s="33">
        <v>1</v>
      </c>
      <c r="CL66" s="33">
        <v>0</v>
      </c>
      <c r="CM66" s="33">
        <v>4</v>
      </c>
      <c r="CN66" s="33">
        <v>4</v>
      </c>
      <c r="CO66" s="33">
        <v>1</v>
      </c>
      <c r="CP66" s="43">
        <v>0.17797545866011649</v>
      </c>
      <c r="CQ66" s="33">
        <v>0</v>
      </c>
      <c r="CR66" s="33">
        <v>0</v>
      </c>
    </row>
    <row r="67" spans="1:96" ht="15" customHeight="1" x14ac:dyDescent="0.25">
      <c r="A67" s="26">
        <v>65</v>
      </c>
      <c r="B67" s="27">
        <v>55</v>
      </c>
      <c r="C67" s="27">
        <v>0</v>
      </c>
      <c r="D67" s="27">
        <v>1</v>
      </c>
      <c r="E67" s="27">
        <v>836</v>
      </c>
      <c r="F67" s="27">
        <v>2</v>
      </c>
      <c r="G67" s="27">
        <v>8</v>
      </c>
      <c r="H67" s="27">
        <v>3</v>
      </c>
      <c r="I67" s="27">
        <v>3</v>
      </c>
      <c r="J67" s="27">
        <v>1</v>
      </c>
      <c r="K67" s="27">
        <v>84</v>
      </c>
      <c r="L67" s="27">
        <v>4</v>
      </c>
      <c r="M67" s="27">
        <v>0</v>
      </c>
      <c r="N67" s="27">
        <v>33</v>
      </c>
      <c r="O67" s="27">
        <v>3</v>
      </c>
      <c r="P67" s="27">
        <v>4</v>
      </c>
      <c r="Q67" s="27">
        <v>6</v>
      </c>
      <c r="R67" s="27">
        <v>3</v>
      </c>
      <c r="S67" s="27">
        <v>3</v>
      </c>
      <c r="T67" s="27">
        <v>14756</v>
      </c>
      <c r="U67" s="27">
        <v>19730</v>
      </c>
      <c r="V67" s="27">
        <v>2</v>
      </c>
      <c r="W67" s="27">
        <v>1</v>
      </c>
      <c r="X67" s="27">
        <v>14</v>
      </c>
      <c r="Y67" s="27">
        <v>3</v>
      </c>
      <c r="Z67" s="27">
        <v>3</v>
      </c>
      <c r="AA67" s="27">
        <v>80</v>
      </c>
      <c r="AB67" s="27">
        <v>3</v>
      </c>
      <c r="AC67" s="27">
        <v>21</v>
      </c>
      <c r="AD67" s="27">
        <v>2</v>
      </c>
      <c r="AE67" s="27">
        <v>3</v>
      </c>
      <c r="AF67" s="27">
        <v>5</v>
      </c>
      <c r="AG67" s="27">
        <v>0</v>
      </c>
      <c r="AH67" s="27">
        <v>0</v>
      </c>
      <c r="AI67" s="28">
        <v>2</v>
      </c>
      <c r="AK67" s="36">
        <v>34</v>
      </c>
      <c r="AL67" s="33">
        <v>5</v>
      </c>
      <c r="AM67" s="33">
        <v>2</v>
      </c>
      <c r="AN67" s="33">
        <v>4</v>
      </c>
      <c r="AO67" s="33">
        <v>3</v>
      </c>
      <c r="AP67" s="33">
        <v>0</v>
      </c>
      <c r="AQ67" s="33">
        <v>1</v>
      </c>
      <c r="AR67" s="33">
        <v>4</v>
      </c>
      <c r="AS67" s="33">
        <v>1</v>
      </c>
      <c r="AT67" s="33">
        <v>0</v>
      </c>
      <c r="AU67" s="43">
        <v>3.9986418460996542E-2</v>
      </c>
      <c r="AV67" s="33">
        <v>0</v>
      </c>
      <c r="AW67" s="33">
        <v>1</v>
      </c>
      <c r="AY67" s="36">
        <v>39</v>
      </c>
      <c r="AZ67" s="33">
        <v>1</v>
      </c>
      <c r="BA67" s="33">
        <v>1</v>
      </c>
      <c r="BB67" s="33">
        <v>1</v>
      </c>
      <c r="BC67" s="33">
        <v>1</v>
      </c>
      <c r="BD67" s="43">
        <v>0.51155121875600029</v>
      </c>
      <c r="BE67" s="33">
        <v>1</v>
      </c>
      <c r="BF67" s="33">
        <v>0</v>
      </c>
      <c r="CE67" s="36">
        <v>33</v>
      </c>
      <c r="CF67" s="33">
        <v>9</v>
      </c>
      <c r="CG67" s="33">
        <v>1</v>
      </c>
      <c r="CH67" s="33">
        <v>3</v>
      </c>
      <c r="CI67" s="33">
        <v>1</v>
      </c>
      <c r="CJ67" s="33">
        <v>1</v>
      </c>
      <c r="CK67" s="33">
        <v>0</v>
      </c>
      <c r="CL67" s="33">
        <v>0</v>
      </c>
      <c r="CM67" s="33">
        <v>3</v>
      </c>
      <c r="CN67" s="33">
        <v>10</v>
      </c>
      <c r="CO67" s="33">
        <v>1</v>
      </c>
      <c r="CP67" s="43">
        <v>0.1249105487881053</v>
      </c>
      <c r="CQ67" s="33">
        <v>0</v>
      </c>
      <c r="CR67" s="33">
        <v>0</v>
      </c>
    </row>
    <row r="68" spans="1:96" ht="15" customHeight="1" x14ac:dyDescent="0.25">
      <c r="A68" s="26">
        <v>66</v>
      </c>
      <c r="B68" s="27">
        <v>36</v>
      </c>
      <c r="C68" s="27">
        <v>0</v>
      </c>
      <c r="D68" s="27">
        <v>2</v>
      </c>
      <c r="E68" s="27">
        <v>1195</v>
      </c>
      <c r="F68" s="27">
        <v>2</v>
      </c>
      <c r="G68" s="27">
        <v>11</v>
      </c>
      <c r="H68" s="27">
        <v>3</v>
      </c>
      <c r="I68" s="27">
        <v>1</v>
      </c>
      <c r="J68" s="27">
        <v>1</v>
      </c>
      <c r="K68" s="27">
        <v>85</v>
      </c>
      <c r="L68" s="27">
        <v>2</v>
      </c>
      <c r="M68" s="27">
        <v>1</v>
      </c>
      <c r="N68" s="27">
        <v>95</v>
      </c>
      <c r="O68" s="27">
        <v>2</v>
      </c>
      <c r="P68" s="27">
        <v>2</v>
      </c>
      <c r="Q68" s="27">
        <v>4</v>
      </c>
      <c r="R68" s="27">
        <v>2</v>
      </c>
      <c r="S68" s="27">
        <v>1</v>
      </c>
      <c r="T68" s="27">
        <v>6499</v>
      </c>
      <c r="U68" s="27">
        <v>22656</v>
      </c>
      <c r="V68" s="27">
        <v>1</v>
      </c>
      <c r="W68" s="27">
        <v>0</v>
      </c>
      <c r="X68" s="27">
        <v>13</v>
      </c>
      <c r="Y68" s="27">
        <v>3</v>
      </c>
      <c r="Z68" s="27">
        <v>3</v>
      </c>
      <c r="AA68" s="27">
        <v>80</v>
      </c>
      <c r="AB68" s="27">
        <v>0</v>
      </c>
      <c r="AC68" s="27">
        <v>6</v>
      </c>
      <c r="AD68" s="27">
        <v>3</v>
      </c>
      <c r="AE68" s="27">
        <v>3</v>
      </c>
      <c r="AF68" s="27">
        <v>6</v>
      </c>
      <c r="AG68" s="27">
        <v>5</v>
      </c>
      <c r="AH68" s="27">
        <v>0</v>
      </c>
      <c r="AI68" s="28">
        <v>3</v>
      </c>
      <c r="AK68" s="36">
        <v>35</v>
      </c>
      <c r="AL68" s="33">
        <v>1</v>
      </c>
      <c r="AM68" s="33">
        <v>1</v>
      </c>
      <c r="AN68" s="33">
        <v>4</v>
      </c>
      <c r="AO68" s="33">
        <v>2</v>
      </c>
      <c r="AP68" s="33">
        <v>1</v>
      </c>
      <c r="AQ68" s="33">
        <v>1</v>
      </c>
      <c r="AR68" s="33">
        <v>2</v>
      </c>
      <c r="AS68" s="33">
        <v>2</v>
      </c>
      <c r="AT68" s="33">
        <v>2</v>
      </c>
      <c r="AU68" s="43">
        <v>0.32073293291053873</v>
      </c>
      <c r="AV68" s="33">
        <v>0</v>
      </c>
      <c r="AW68" s="33">
        <v>1</v>
      </c>
      <c r="AY68" s="36">
        <v>40</v>
      </c>
      <c r="AZ68" s="33">
        <v>2</v>
      </c>
      <c r="BA68" s="33">
        <v>1</v>
      </c>
      <c r="BB68" s="33">
        <v>0</v>
      </c>
      <c r="BC68" s="33">
        <v>2</v>
      </c>
      <c r="BD68" s="43">
        <v>7.638126547101505E-2</v>
      </c>
      <c r="BE68" s="33">
        <v>0</v>
      </c>
      <c r="BF68" s="33">
        <v>0</v>
      </c>
      <c r="CE68" s="36">
        <v>34</v>
      </c>
      <c r="CF68" s="33">
        <v>5</v>
      </c>
      <c r="CG68" s="33">
        <v>2</v>
      </c>
      <c r="CH68" s="33">
        <v>4</v>
      </c>
      <c r="CI68" s="33">
        <v>2</v>
      </c>
      <c r="CJ68" s="33">
        <v>3</v>
      </c>
      <c r="CK68" s="33">
        <v>0</v>
      </c>
      <c r="CL68" s="33">
        <v>1</v>
      </c>
      <c r="CM68" s="33">
        <v>4</v>
      </c>
      <c r="CN68" s="33">
        <v>1</v>
      </c>
      <c r="CO68" s="33">
        <v>0</v>
      </c>
      <c r="CP68" s="43">
        <v>3.7382608008600354E-2</v>
      </c>
      <c r="CQ68" s="33">
        <v>0</v>
      </c>
      <c r="CR68" s="33">
        <v>1</v>
      </c>
    </row>
    <row r="69" spans="1:96" ht="15" customHeight="1" x14ac:dyDescent="0.25">
      <c r="A69" s="26">
        <v>67</v>
      </c>
      <c r="B69" s="27">
        <v>45</v>
      </c>
      <c r="C69" s="27">
        <v>0</v>
      </c>
      <c r="D69" s="27">
        <v>1</v>
      </c>
      <c r="E69" s="27">
        <v>1339</v>
      </c>
      <c r="F69" s="27">
        <v>2</v>
      </c>
      <c r="G69" s="27">
        <v>7</v>
      </c>
      <c r="H69" s="27">
        <v>3</v>
      </c>
      <c r="I69" s="27">
        <v>1</v>
      </c>
      <c r="J69" s="27">
        <v>1</v>
      </c>
      <c r="K69" s="27">
        <v>86</v>
      </c>
      <c r="L69" s="27">
        <v>2</v>
      </c>
      <c r="M69" s="27">
        <v>1</v>
      </c>
      <c r="N69" s="27">
        <v>59</v>
      </c>
      <c r="O69" s="27">
        <v>3</v>
      </c>
      <c r="P69" s="27">
        <v>3</v>
      </c>
      <c r="Q69" s="27">
        <v>2</v>
      </c>
      <c r="R69" s="27">
        <v>1</v>
      </c>
      <c r="S69" s="27">
        <v>3</v>
      </c>
      <c r="T69" s="27">
        <v>9724</v>
      </c>
      <c r="U69" s="27">
        <v>18787</v>
      </c>
      <c r="V69" s="27">
        <v>2</v>
      </c>
      <c r="W69" s="27">
        <v>0</v>
      </c>
      <c r="X69" s="27">
        <v>17</v>
      </c>
      <c r="Y69" s="27">
        <v>3</v>
      </c>
      <c r="Z69" s="27">
        <v>3</v>
      </c>
      <c r="AA69" s="27">
        <v>80</v>
      </c>
      <c r="AB69" s="27">
        <v>1</v>
      </c>
      <c r="AC69" s="27">
        <v>25</v>
      </c>
      <c r="AD69" s="27">
        <v>2</v>
      </c>
      <c r="AE69" s="27">
        <v>3</v>
      </c>
      <c r="AF69" s="27">
        <v>1</v>
      </c>
      <c r="AG69" s="27">
        <v>0</v>
      </c>
      <c r="AH69" s="27">
        <v>0</v>
      </c>
      <c r="AI69" s="28">
        <v>0</v>
      </c>
      <c r="AK69" s="36">
        <v>36</v>
      </c>
      <c r="AL69" s="33">
        <v>2</v>
      </c>
      <c r="AM69" s="33">
        <v>1</v>
      </c>
      <c r="AN69" s="33">
        <v>3</v>
      </c>
      <c r="AO69" s="33">
        <v>1</v>
      </c>
      <c r="AP69" s="33">
        <v>0</v>
      </c>
      <c r="AQ69" s="33">
        <v>2</v>
      </c>
      <c r="AR69" s="33">
        <v>2</v>
      </c>
      <c r="AS69" s="33">
        <v>5</v>
      </c>
      <c r="AT69" s="33">
        <v>1</v>
      </c>
      <c r="AU69" s="43">
        <v>5.3110716573364677E-2</v>
      </c>
      <c r="AV69" s="33">
        <v>0</v>
      </c>
      <c r="AW69" s="33">
        <v>0</v>
      </c>
      <c r="AY69" s="36">
        <v>41</v>
      </c>
      <c r="AZ69" s="33">
        <v>1</v>
      </c>
      <c r="BA69" s="33">
        <v>4</v>
      </c>
      <c r="BB69" s="33">
        <v>0</v>
      </c>
      <c r="BC69" s="33">
        <v>1</v>
      </c>
      <c r="BD69" s="43">
        <v>9.2486413274924434E-2</v>
      </c>
      <c r="BE69" s="33">
        <v>0</v>
      </c>
      <c r="BF69" s="33">
        <v>0</v>
      </c>
      <c r="CE69" s="36">
        <v>35</v>
      </c>
      <c r="CF69" s="33">
        <v>1</v>
      </c>
      <c r="CG69" s="33">
        <v>1</v>
      </c>
      <c r="CH69" s="33">
        <v>4</v>
      </c>
      <c r="CI69" s="33">
        <v>2</v>
      </c>
      <c r="CJ69" s="33">
        <v>2</v>
      </c>
      <c r="CK69" s="33">
        <v>1</v>
      </c>
      <c r="CL69" s="33">
        <v>1</v>
      </c>
      <c r="CM69" s="33">
        <v>2</v>
      </c>
      <c r="CN69" s="33">
        <v>2</v>
      </c>
      <c r="CO69" s="33">
        <v>2</v>
      </c>
      <c r="CP69" s="43">
        <v>0.32000764743062082</v>
      </c>
      <c r="CQ69" s="33">
        <v>0</v>
      </c>
      <c r="CR69" s="33">
        <v>1</v>
      </c>
    </row>
    <row r="70" spans="1:96" ht="15" customHeight="1" x14ac:dyDescent="0.25">
      <c r="A70" s="26">
        <v>68</v>
      </c>
      <c r="B70" s="27">
        <v>35</v>
      </c>
      <c r="C70" s="27">
        <v>0</v>
      </c>
      <c r="D70" s="27">
        <v>2</v>
      </c>
      <c r="E70" s="27">
        <v>664</v>
      </c>
      <c r="F70" s="27">
        <v>2</v>
      </c>
      <c r="G70" s="27">
        <v>1</v>
      </c>
      <c r="H70" s="27">
        <v>3</v>
      </c>
      <c r="I70" s="27">
        <v>3</v>
      </c>
      <c r="J70" s="27">
        <v>1</v>
      </c>
      <c r="K70" s="27">
        <v>88</v>
      </c>
      <c r="L70" s="27">
        <v>2</v>
      </c>
      <c r="M70" s="27">
        <v>1</v>
      </c>
      <c r="N70" s="27">
        <v>79</v>
      </c>
      <c r="O70" s="27">
        <v>3</v>
      </c>
      <c r="P70" s="27">
        <v>1</v>
      </c>
      <c r="Q70" s="27">
        <v>2</v>
      </c>
      <c r="R70" s="27">
        <v>1</v>
      </c>
      <c r="S70" s="27">
        <v>2</v>
      </c>
      <c r="T70" s="27">
        <v>2194</v>
      </c>
      <c r="U70" s="27">
        <v>5868</v>
      </c>
      <c r="V70" s="27">
        <v>4</v>
      </c>
      <c r="W70" s="27">
        <v>0</v>
      </c>
      <c r="X70" s="27">
        <v>13</v>
      </c>
      <c r="Y70" s="27">
        <v>3</v>
      </c>
      <c r="Z70" s="27">
        <v>4</v>
      </c>
      <c r="AA70" s="27">
        <v>80</v>
      </c>
      <c r="AB70" s="27">
        <v>1</v>
      </c>
      <c r="AC70" s="27">
        <v>5</v>
      </c>
      <c r="AD70" s="27">
        <v>2</v>
      </c>
      <c r="AE70" s="27">
        <v>2</v>
      </c>
      <c r="AF70" s="27">
        <v>3</v>
      </c>
      <c r="AG70" s="27">
        <v>2</v>
      </c>
      <c r="AH70" s="27">
        <v>1</v>
      </c>
      <c r="AI70" s="28">
        <v>2</v>
      </c>
      <c r="AK70" s="36">
        <v>37</v>
      </c>
      <c r="AL70" s="33">
        <v>3</v>
      </c>
      <c r="AM70" s="33">
        <v>1</v>
      </c>
      <c r="AN70" s="33">
        <v>3</v>
      </c>
      <c r="AO70" s="33">
        <v>1</v>
      </c>
      <c r="AP70" s="33">
        <v>1</v>
      </c>
      <c r="AQ70" s="33">
        <v>0</v>
      </c>
      <c r="AR70" s="33">
        <v>3</v>
      </c>
      <c r="AS70" s="33">
        <v>3</v>
      </c>
      <c r="AT70" s="33">
        <v>0</v>
      </c>
      <c r="AU70" s="43">
        <v>0.39190489989194677</v>
      </c>
      <c r="AV70" s="33">
        <v>0</v>
      </c>
      <c r="AW70" s="33">
        <v>1</v>
      </c>
      <c r="AY70" s="36">
        <v>42</v>
      </c>
      <c r="AZ70" s="33">
        <v>1</v>
      </c>
      <c r="BA70" s="33">
        <v>1</v>
      </c>
      <c r="BB70" s="33">
        <v>0</v>
      </c>
      <c r="BC70" s="33">
        <v>1</v>
      </c>
      <c r="BD70" s="43">
        <v>0.19678474515944386</v>
      </c>
      <c r="BE70" s="33">
        <v>0</v>
      </c>
      <c r="BF70" s="33">
        <v>0</v>
      </c>
      <c r="CE70" s="36">
        <v>36</v>
      </c>
      <c r="CF70" s="33">
        <v>2</v>
      </c>
      <c r="CG70" s="33">
        <v>1</v>
      </c>
      <c r="CH70" s="33">
        <v>3</v>
      </c>
      <c r="CI70" s="33">
        <v>3</v>
      </c>
      <c r="CJ70" s="33">
        <v>1</v>
      </c>
      <c r="CK70" s="33">
        <v>0</v>
      </c>
      <c r="CL70" s="33">
        <v>2</v>
      </c>
      <c r="CM70" s="33">
        <v>2</v>
      </c>
      <c r="CN70" s="33">
        <v>5</v>
      </c>
      <c r="CO70" s="33">
        <v>1</v>
      </c>
      <c r="CP70" s="43">
        <v>4.2178737143970198E-2</v>
      </c>
      <c r="CQ70" s="33">
        <v>0</v>
      </c>
      <c r="CR70" s="33">
        <v>0</v>
      </c>
    </row>
    <row r="71" spans="1:96" ht="15" customHeight="1" x14ac:dyDescent="0.25">
      <c r="A71" s="26">
        <v>69</v>
      </c>
      <c r="B71" s="27">
        <v>36</v>
      </c>
      <c r="C71" s="27">
        <v>1</v>
      </c>
      <c r="D71" s="27">
        <v>1</v>
      </c>
      <c r="E71" s="27">
        <v>318</v>
      </c>
      <c r="F71" s="27">
        <v>2</v>
      </c>
      <c r="G71" s="27">
        <v>9</v>
      </c>
      <c r="H71" s="27">
        <v>3</v>
      </c>
      <c r="I71" s="27">
        <v>3</v>
      </c>
      <c r="J71" s="27">
        <v>1</v>
      </c>
      <c r="K71" s="27">
        <v>90</v>
      </c>
      <c r="L71" s="27">
        <v>4</v>
      </c>
      <c r="M71" s="27">
        <v>1</v>
      </c>
      <c r="N71" s="27">
        <v>79</v>
      </c>
      <c r="O71" s="27">
        <v>2</v>
      </c>
      <c r="P71" s="27">
        <v>1</v>
      </c>
      <c r="Q71" s="27">
        <v>2</v>
      </c>
      <c r="R71" s="27">
        <v>3</v>
      </c>
      <c r="S71" s="27">
        <v>2</v>
      </c>
      <c r="T71" s="27">
        <v>3388</v>
      </c>
      <c r="U71" s="27">
        <v>21777</v>
      </c>
      <c r="V71" s="27">
        <v>0</v>
      </c>
      <c r="W71" s="27">
        <v>1</v>
      </c>
      <c r="X71" s="27">
        <v>17</v>
      </c>
      <c r="Y71" s="27">
        <v>3</v>
      </c>
      <c r="Z71" s="27">
        <v>1</v>
      </c>
      <c r="AA71" s="27">
        <v>80</v>
      </c>
      <c r="AB71" s="27">
        <v>1</v>
      </c>
      <c r="AC71" s="27">
        <v>2</v>
      </c>
      <c r="AD71" s="27">
        <v>0</v>
      </c>
      <c r="AE71" s="27">
        <v>2</v>
      </c>
      <c r="AF71" s="27">
        <v>1</v>
      </c>
      <c r="AG71" s="27">
        <v>0</v>
      </c>
      <c r="AH71" s="27">
        <v>0</v>
      </c>
      <c r="AI71" s="28">
        <v>0</v>
      </c>
      <c r="AK71" s="36">
        <v>38</v>
      </c>
      <c r="AL71" s="33">
        <v>2</v>
      </c>
      <c r="AM71" s="33">
        <v>1</v>
      </c>
      <c r="AN71" s="33">
        <v>4</v>
      </c>
      <c r="AO71" s="33">
        <v>1</v>
      </c>
      <c r="AP71" s="33">
        <v>0</v>
      </c>
      <c r="AQ71" s="33">
        <v>0</v>
      </c>
      <c r="AR71" s="33">
        <v>3</v>
      </c>
      <c r="AS71" s="33">
        <v>2</v>
      </c>
      <c r="AT71" s="33">
        <v>2</v>
      </c>
      <c r="AU71" s="43">
        <v>0.12548814324909</v>
      </c>
      <c r="AV71" s="33">
        <v>0</v>
      </c>
      <c r="AW71" s="33">
        <v>0</v>
      </c>
      <c r="AY71" s="36">
        <v>43</v>
      </c>
      <c r="AZ71" s="33">
        <v>1</v>
      </c>
      <c r="BA71" s="33">
        <v>3</v>
      </c>
      <c r="BB71" s="33">
        <v>0</v>
      </c>
      <c r="BC71" s="33">
        <v>0</v>
      </c>
      <c r="BD71" s="43">
        <v>0.18791247240909698</v>
      </c>
      <c r="BE71" s="33">
        <v>0</v>
      </c>
      <c r="BF71" s="33">
        <v>1</v>
      </c>
      <c r="CE71" s="36">
        <v>37</v>
      </c>
      <c r="CF71" s="33">
        <v>3</v>
      </c>
      <c r="CG71" s="33">
        <v>1</v>
      </c>
      <c r="CH71" s="33">
        <v>3</v>
      </c>
      <c r="CI71" s="33">
        <v>2</v>
      </c>
      <c r="CJ71" s="33">
        <v>1</v>
      </c>
      <c r="CK71" s="33">
        <v>1</v>
      </c>
      <c r="CL71" s="33">
        <v>0</v>
      </c>
      <c r="CM71" s="33">
        <v>3</v>
      </c>
      <c r="CN71" s="33">
        <v>3</v>
      </c>
      <c r="CO71" s="33">
        <v>0</v>
      </c>
      <c r="CP71" s="43">
        <v>0.31147206871269745</v>
      </c>
      <c r="CQ71" s="33">
        <v>0</v>
      </c>
      <c r="CR71" s="33">
        <v>1</v>
      </c>
    </row>
    <row r="72" spans="1:96" ht="15" customHeight="1" x14ac:dyDescent="0.25">
      <c r="A72" s="26">
        <v>70</v>
      </c>
      <c r="B72" s="27">
        <v>59</v>
      </c>
      <c r="C72" s="27">
        <v>0</v>
      </c>
      <c r="D72" s="27">
        <v>2</v>
      </c>
      <c r="E72" s="27">
        <v>1225</v>
      </c>
      <c r="F72" s="27">
        <v>1</v>
      </c>
      <c r="G72" s="27">
        <v>1</v>
      </c>
      <c r="H72" s="27">
        <v>1</v>
      </c>
      <c r="I72" s="27">
        <v>1</v>
      </c>
      <c r="J72" s="27">
        <v>1</v>
      </c>
      <c r="K72" s="27">
        <v>91</v>
      </c>
      <c r="L72" s="27">
        <v>1</v>
      </c>
      <c r="M72" s="27">
        <v>0</v>
      </c>
      <c r="N72" s="27">
        <v>57</v>
      </c>
      <c r="O72" s="27">
        <v>2</v>
      </c>
      <c r="P72" s="27">
        <v>2</v>
      </c>
      <c r="Q72" s="27">
        <v>1</v>
      </c>
      <c r="R72" s="27">
        <v>3</v>
      </c>
      <c r="S72" s="27">
        <v>1</v>
      </c>
      <c r="T72" s="27">
        <v>5473</v>
      </c>
      <c r="U72" s="27">
        <v>24668</v>
      </c>
      <c r="V72" s="27">
        <v>7</v>
      </c>
      <c r="W72" s="27">
        <v>0</v>
      </c>
      <c r="X72" s="27">
        <v>11</v>
      </c>
      <c r="Y72" s="27">
        <v>3</v>
      </c>
      <c r="Z72" s="27">
        <v>4</v>
      </c>
      <c r="AA72" s="27">
        <v>80</v>
      </c>
      <c r="AB72" s="27">
        <v>0</v>
      </c>
      <c r="AC72" s="27">
        <v>20</v>
      </c>
      <c r="AD72" s="27">
        <v>2</v>
      </c>
      <c r="AE72" s="27">
        <v>2</v>
      </c>
      <c r="AF72" s="27">
        <v>4</v>
      </c>
      <c r="AG72" s="27">
        <v>3</v>
      </c>
      <c r="AH72" s="27">
        <v>1</v>
      </c>
      <c r="AI72" s="28">
        <v>3</v>
      </c>
      <c r="AK72" s="36">
        <v>39</v>
      </c>
      <c r="AL72" s="33">
        <v>5</v>
      </c>
      <c r="AM72" s="33">
        <v>1</v>
      </c>
      <c r="AN72" s="33">
        <v>1</v>
      </c>
      <c r="AO72" s="33">
        <v>9</v>
      </c>
      <c r="AP72" s="33">
        <v>1</v>
      </c>
      <c r="AQ72" s="33">
        <v>1</v>
      </c>
      <c r="AR72" s="33">
        <v>4</v>
      </c>
      <c r="AS72" s="33">
        <v>1</v>
      </c>
      <c r="AT72" s="33">
        <v>0</v>
      </c>
      <c r="AU72" s="43">
        <v>0.55686737620014459</v>
      </c>
      <c r="AV72" s="33">
        <v>1</v>
      </c>
      <c r="AW72" s="33">
        <v>0</v>
      </c>
      <c r="AY72" s="36">
        <v>44</v>
      </c>
      <c r="AZ72" s="33">
        <v>3</v>
      </c>
      <c r="BA72" s="33">
        <v>3</v>
      </c>
      <c r="BB72" s="33">
        <v>0</v>
      </c>
      <c r="BC72" s="33">
        <v>0</v>
      </c>
      <c r="BD72" s="43">
        <v>7.0406776741937793E-2</v>
      </c>
      <c r="BE72" s="33">
        <v>0</v>
      </c>
      <c r="BF72" s="33">
        <v>0</v>
      </c>
      <c r="CE72" s="36">
        <v>38</v>
      </c>
      <c r="CF72" s="33">
        <v>2</v>
      </c>
      <c r="CG72" s="33">
        <v>1</v>
      </c>
      <c r="CH72" s="33">
        <v>4</v>
      </c>
      <c r="CI72" s="33">
        <v>2</v>
      </c>
      <c r="CJ72" s="33">
        <v>1</v>
      </c>
      <c r="CK72" s="33">
        <v>0</v>
      </c>
      <c r="CL72" s="33">
        <v>0</v>
      </c>
      <c r="CM72" s="33">
        <v>3</v>
      </c>
      <c r="CN72" s="33">
        <v>2</v>
      </c>
      <c r="CO72" s="33">
        <v>2</v>
      </c>
      <c r="CP72" s="43">
        <v>8.7293701874653254E-2</v>
      </c>
      <c r="CQ72" s="33">
        <v>0</v>
      </c>
      <c r="CR72" s="33">
        <v>0</v>
      </c>
    </row>
    <row r="73" spans="1:96" ht="15" customHeight="1" x14ac:dyDescent="0.25">
      <c r="A73" s="26">
        <v>71</v>
      </c>
      <c r="B73" s="27">
        <v>29</v>
      </c>
      <c r="C73" s="27">
        <v>0</v>
      </c>
      <c r="D73" s="27">
        <v>1</v>
      </c>
      <c r="E73" s="27">
        <v>1328</v>
      </c>
      <c r="F73" s="27">
        <v>2</v>
      </c>
      <c r="G73" s="27">
        <v>2</v>
      </c>
      <c r="H73" s="27">
        <v>3</v>
      </c>
      <c r="I73" s="27">
        <v>1</v>
      </c>
      <c r="J73" s="27">
        <v>1</v>
      </c>
      <c r="K73" s="27">
        <v>94</v>
      </c>
      <c r="L73" s="27">
        <v>3</v>
      </c>
      <c r="M73" s="27">
        <v>1</v>
      </c>
      <c r="N73" s="27">
        <v>76</v>
      </c>
      <c r="O73" s="27">
        <v>3</v>
      </c>
      <c r="P73" s="27">
        <v>1</v>
      </c>
      <c r="Q73" s="27">
        <v>2</v>
      </c>
      <c r="R73" s="27">
        <v>2</v>
      </c>
      <c r="S73" s="27">
        <v>2</v>
      </c>
      <c r="T73" s="27">
        <v>2703</v>
      </c>
      <c r="U73" s="27">
        <v>4956</v>
      </c>
      <c r="V73" s="27">
        <v>0</v>
      </c>
      <c r="W73" s="27">
        <v>0</v>
      </c>
      <c r="X73" s="27">
        <v>23</v>
      </c>
      <c r="Y73" s="27">
        <v>4</v>
      </c>
      <c r="Z73" s="27">
        <v>4</v>
      </c>
      <c r="AA73" s="27">
        <v>80</v>
      </c>
      <c r="AB73" s="27">
        <v>1</v>
      </c>
      <c r="AC73" s="27">
        <v>6</v>
      </c>
      <c r="AD73" s="27">
        <v>3</v>
      </c>
      <c r="AE73" s="27">
        <v>3</v>
      </c>
      <c r="AF73" s="27">
        <v>5</v>
      </c>
      <c r="AG73" s="27">
        <v>4</v>
      </c>
      <c r="AH73" s="27">
        <v>0</v>
      </c>
      <c r="AI73" s="28">
        <v>4</v>
      </c>
      <c r="AK73" s="36">
        <v>40</v>
      </c>
      <c r="AL73" s="33">
        <v>1</v>
      </c>
      <c r="AM73" s="33">
        <v>2</v>
      </c>
      <c r="AN73" s="33">
        <v>1</v>
      </c>
      <c r="AO73" s="33">
        <v>2</v>
      </c>
      <c r="AP73" s="33">
        <v>0</v>
      </c>
      <c r="AQ73" s="33">
        <v>2</v>
      </c>
      <c r="AR73" s="33">
        <v>3</v>
      </c>
      <c r="AS73" s="33">
        <v>5</v>
      </c>
      <c r="AT73" s="33">
        <v>1</v>
      </c>
      <c r="AU73" s="43">
        <v>4.6066016560895921E-2</v>
      </c>
      <c r="AV73" s="33">
        <v>0</v>
      </c>
      <c r="AW73" s="33">
        <v>0</v>
      </c>
      <c r="AY73" s="36">
        <v>45</v>
      </c>
      <c r="AZ73" s="33">
        <v>2</v>
      </c>
      <c r="BA73" s="33">
        <v>4</v>
      </c>
      <c r="BB73" s="33">
        <v>0</v>
      </c>
      <c r="BC73" s="33">
        <v>0</v>
      </c>
      <c r="BD73" s="43">
        <v>8.9935487507215722E-2</v>
      </c>
      <c r="BE73" s="33">
        <v>0</v>
      </c>
      <c r="BF73" s="33">
        <v>0</v>
      </c>
      <c r="CE73" s="36">
        <v>39</v>
      </c>
      <c r="CF73" s="33">
        <v>5</v>
      </c>
      <c r="CG73" s="33">
        <v>1</v>
      </c>
      <c r="CH73" s="33">
        <v>1</v>
      </c>
      <c r="CI73" s="33">
        <v>2</v>
      </c>
      <c r="CJ73" s="33">
        <v>9</v>
      </c>
      <c r="CK73" s="33">
        <v>1</v>
      </c>
      <c r="CL73" s="33">
        <v>1</v>
      </c>
      <c r="CM73" s="33">
        <v>4</v>
      </c>
      <c r="CN73" s="33">
        <v>1</v>
      </c>
      <c r="CO73" s="33">
        <v>0</v>
      </c>
      <c r="CP73" s="43">
        <v>0.56252903532942311</v>
      </c>
      <c r="CQ73" s="33">
        <v>1</v>
      </c>
      <c r="CR73" s="33">
        <v>0</v>
      </c>
    </row>
    <row r="74" spans="1:96" ht="15" customHeight="1" x14ac:dyDescent="0.25">
      <c r="A74" s="26">
        <v>72</v>
      </c>
      <c r="B74" s="27">
        <v>31</v>
      </c>
      <c r="C74" s="27">
        <v>0</v>
      </c>
      <c r="D74" s="27">
        <v>1</v>
      </c>
      <c r="E74" s="27">
        <v>1082</v>
      </c>
      <c r="F74" s="27">
        <v>2</v>
      </c>
      <c r="G74" s="27">
        <v>1</v>
      </c>
      <c r="H74" s="27">
        <v>4</v>
      </c>
      <c r="I74" s="27">
        <v>3</v>
      </c>
      <c r="J74" s="27">
        <v>1</v>
      </c>
      <c r="K74" s="27">
        <v>95</v>
      </c>
      <c r="L74" s="27">
        <v>3</v>
      </c>
      <c r="M74" s="27">
        <v>1</v>
      </c>
      <c r="N74" s="27">
        <v>87</v>
      </c>
      <c r="O74" s="27">
        <v>3</v>
      </c>
      <c r="P74" s="27">
        <v>1</v>
      </c>
      <c r="Q74" s="27">
        <v>2</v>
      </c>
      <c r="R74" s="27">
        <v>2</v>
      </c>
      <c r="S74" s="27">
        <v>1</v>
      </c>
      <c r="T74" s="27">
        <v>2501</v>
      </c>
      <c r="U74" s="27">
        <v>18775</v>
      </c>
      <c r="V74" s="27">
        <v>1</v>
      </c>
      <c r="W74" s="27">
        <v>0</v>
      </c>
      <c r="X74" s="27">
        <v>17</v>
      </c>
      <c r="Y74" s="27">
        <v>3</v>
      </c>
      <c r="Z74" s="27">
        <v>2</v>
      </c>
      <c r="AA74" s="27">
        <v>80</v>
      </c>
      <c r="AB74" s="27">
        <v>0</v>
      </c>
      <c r="AC74" s="27">
        <v>1</v>
      </c>
      <c r="AD74" s="27">
        <v>4</v>
      </c>
      <c r="AE74" s="27">
        <v>3</v>
      </c>
      <c r="AF74" s="27">
        <v>1</v>
      </c>
      <c r="AG74" s="27">
        <v>1</v>
      </c>
      <c r="AH74" s="27">
        <v>1</v>
      </c>
      <c r="AI74" s="28">
        <v>0</v>
      </c>
      <c r="AK74" s="36">
        <v>41</v>
      </c>
      <c r="AL74" s="33">
        <v>4</v>
      </c>
      <c r="AM74" s="33">
        <v>1</v>
      </c>
      <c r="AN74" s="33">
        <v>4</v>
      </c>
      <c r="AO74" s="33">
        <v>1</v>
      </c>
      <c r="AP74" s="33">
        <v>0</v>
      </c>
      <c r="AQ74" s="33">
        <v>1</v>
      </c>
      <c r="AR74" s="33">
        <v>3</v>
      </c>
      <c r="AS74" s="33">
        <v>1</v>
      </c>
      <c r="AT74" s="33">
        <v>0</v>
      </c>
      <c r="AU74" s="43">
        <v>6.9402830683274866E-2</v>
      </c>
      <c r="AV74" s="33">
        <v>0</v>
      </c>
      <c r="AW74" s="33">
        <v>0</v>
      </c>
      <c r="AY74" s="36">
        <v>46</v>
      </c>
      <c r="AZ74" s="33">
        <v>5</v>
      </c>
      <c r="BA74" s="33">
        <v>3</v>
      </c>
      <c r="BB74" s="33">
        <v>0</v>
      </c>
      <c r="BC74" s="33">
        <v>0</v>
      </c>
      <c r="BD74" s="43">
        <v>2.4191068412310078E-2</v>
      </c>
      <c r="BE74" s="33">
        <v>0</v>
      </c>
      <c r="BF74" s="33">
        <v>1</v>
      </c>
      <c r="CE74" s="36">
        <v>40</v>
      </c>
      <c r="CF74" s="33">
        <v>1</v>
      </c>
      <c r="CG74" s="33">
        <v>2</v>
      </c>
      <c r="CH74" s="33">
        <v>1</v>
      </c>
      <c r="CI74" s="33">
        <v>2</v>
      </c>
      <c r="CJ74" s="33">
        <v>2</v>
      </c>
      <c r="CK74" s="33">
        <v>0</v>
      </c>
      <c r="CL74" s="33">
        <v>2</v>
      </c>
      <c r="CM74" s="33">
        <v>3</v>
      </c>
      <c r="CN74" s="33">
        <v>5</v>
      </c>
      <c r="CO74" s="33">
        <v>1</v>
      </c>
      <c r="CP74" s="43">
        <v>6.3881849139856506E-2</v>
      </c>
      <c r="CQ74" s="33">
        <v>0</v>
      </c>
      <c r="CR74" s="33">
        <v>0</v>
      </c>
    </row>
    <row r="75" spans="1:96" ht="15" customHeight="1" x14ac:dyDescent="0.25">
      <c r="A75" s="26">
        <v>73</v>
      </c>
      <c r="B75" s="27">
        <v>32</v>
      </c>
      <c r="C75" s="27">
        <v>0</v>
      </c>
      <c r="D75" s="27">
        <v>1</v>
      </c>
      <c r="E75" s="27">
        <v>548</v>
      </c>
      <c r="F75" s="27">
        <v>2</v>
      </c>
      <c r="G75" s="27">
        <v>1</v>
      </c>
      <c r="H75" s="27">
        <v>3</v>
      </c>
      <c r="I75" s="27">
        <v>1</v>
      </c>
      <c r="J75" s="27">
        <v>1</v>
      </c>
      <c r="K75" s="27">
        <v>96</v>
      </c>
      <c r="L75" s="27">
        <v>2</v>
      </c>
      <c r="M75" s="27">
        <v>1</v>
      </c>
      <c r="N75" s="27">
        <v>66</v>
      </c>
      <c r="O75" s="27">
        <v>3</v>
      </c>
      <c r="P75" s="27">
        <v>2</v>
      </c>
      <c r="Q75" s="27">
        <v>2</v>
      </c>
      <c r="R75" s="27">
        <v>2</v>
      </c>
      <c r="S75" s="27">
        <v>2</v>
      </c>
      <c r="T75" s="27">
        <v>6220</v>
      </c>
      <c r="U75" s="27">
        <v>7346</v>
      </c>
      <c r="V75" s="27">
        <v>1</v>
      </c>
      <c r="W75" s="27">
        <v>0</v>
      </c>
      <c r="X75" s="27">
        <v>17</v>
      </c>
      <c r="Y75" s="27">
        <v>3</v>
      </c>
      <c r="Z75" s="27">
        <v>2</v>
      </c>
      <c r="AA75" s="27">
        <v>80</v>
      </c>
      <c r="AB75" s="27">
        <v>2</v>
      </c>
      <c r="AC75" s="27">
        <v>10</v>
      </c>
      <c r="AD75" s="27">
        <v>3</v>
      </c>
      <c r="AE75" s="27">
        <v>3</v>
      </c>
      <c r="AF75" s="27">
        <v>10</v>
      </c>
      <c r="AG75" s="27">
        <v>4</v>
      </c>
      <c r="AH75" s="27">
        <v>0</v>
      </c>
      <c r="AI75" s="28">
        <v>9</v>
      </c>
      <c r="AK75" s="36">
        <v>42</v>
      </c>
      <c r="AL75" s="33">
        <v>2</v>
      </c>
      <c r="AM75" s="33">
        <v>1</v>
      </c>
      <c r="AN75" s="33">
        <v>1</v>
      </c>
      <c r="AO75" s="33">
        <v>1</v>
      </c>
      <c r="AP75" s="33">
        <v>0</v>
      </c>
      <c r="AQ75" s="33">
        <v>1</v>
      </c>
      <c r="AR75" s="33">
        <v>3</v>
      </c>
      <c r="AS75" s="33">
        <v>1</v>
      </c>
      <c r="AT75" s="33">
        <v>0</v>
      </c>
      <c r="AU75" s="43">
        <v>0.14342954375528011</v>
      </c>
      <c r="AV75" s="33">
        <v>0</v>
      </c>
      <c r="AW75" s="33">
        <v>0</v>
      </c>
      <c r="AY75" s="36">
        <v>47</v>
      </c>
      <c r="AZ75" s="33">
        <v>2</v>
      </c>
      <c r="BA75" s="33">
        <v>3</v>
      </c>
      <c r="BB75" s="33">
        <v>0</v>
      </c>
      <c r="BC75" s="33">
        <v>0</v>
      </c>
      <c r="BD75" s="43">
        <v>0.11690772887050198</v>
      </c>
      <c r="BE75" s="33">
        <v>0</v>
      </c>
      <c r="BF75" s="33">
        <v>0</v>
      </c>
      <c r="CE75" s="36">
        <v>41</v>
      </c>
      <c r="CF75" s="33">
        <v>4</v>
      </c>
      <c r="CG75" s="33">
        <v>1</v>
      </c>
      <c r="CH75" s="33">
        <v>4</v>
      </c>
      <c r="CI75" s="33">
        <v>3</v>
      </c>
      <c r="CJ75" s="33">
        <v>1</v>
      </c>
      <c r="CK75" s="33">
        <v>0</v>
      </c>
      <c r="CL75" s="33">
        <v>1</v>
      </c>
      <c r="CM75" s="33">
        <v>3</v>
      </c>
      <c r="CN75" s="33">
        <v>1</v>
      </c>
      <c r="CO75" s="33">
        <v>0</v>
      </c>
      <c r="CP75" s="43">
        <v>3.8495981347459046E-2</v>
      </c>
      <c r="CQ75" s="33">
        <v>0</v>
      </c>
      <c r="CR75" s="33">
        <v>0</v>
      </c>
    </row>
    <row r="76" spans="1:96" ht="15" customHeight="1" x14ac:dyDescent="0.25">
      <c r="A76" s="26">
        <v>74</v>
      </c>
      <c r="B76" s="27">
        <v>36</v>
      </c>
      <c r="C76" s="27">
        <v>0</v>
      </c>
      <c r="D76" s="27">
        <v>1</v>
      </c>
      <c r="E76" s="27">
        <v>132</v>
      </c>
      <c r="F76" s="27">
        <v>2</v>
      </c>
      <c r="G76" s="27">
        <v>6</v>
      </c>
      <c r="H76" s="27">
        <v>3</v>
      </c>
      <c r="I76" s="27">
        <v>1</v>
      </c>
      <c r="J76" s="27">
        <v>1</v>
      </c>
      <c r="K76" s="27">
        <v>97</v>
      </c>
      <c r="L76" s="27">
        <v>2</v>
      </c>
      <c r="M76" s="27">
        <v>0</v>
      </c>
      <c r="N76" s="27">
        <v>55</v>
      </c>
      <c r="O76" s="27">
        <v>4</v>
      </c>
      <c r="P76" s="27">
        <v>1</v>
      </c>
      <c r="Q76" s="27">
        <v>3</v>
      </c>
      <c r="R76" s="27">
        <v>4</v>
      </c>
      <c r="S76" s="27">
        <v>2</v>
      </c>
      <c r="T76" s="27">
        <v>3038</v>
      </c>
      <c r="U76" s="27">
        <v>22002</v>
      </c>
      <c r="V76" s="27">
        <v>3</v>
      </c>
      <c r="W76" s="27">
        <v>0</v>
      </c>
      <c r="X76" s="27">
        <v>12</v>
      </c>
      <c r="Y76" s="27">
        <v>3</v>
      </c>
      <c r="Z76" s="27">
        <v>2</v>
      </c>
      <c r="AA76" s="27">
        <v>80</v>
      </c>
      <c r="AB76" s="27">
        <v>0</v>
      </c>
      <c r="AC76" s="27">
        <v>5</v>
      </c>
      <c r="AD76" s="27">
        <v>3</v>
      </c>
      <c r="AE76" s="27">
        <v>3</v>
      </c>
      <c r="AF76" s="27">
        <v>1</v>
      </c>
      <c r="AG76" s="27">
        <v>0</v>
      </c>
      <c r="AH76" s="27">
        <v>0</v>
      </c>
      <c r="AI76" s="28">
        <v>0</v>
      </c>
      <c r="AK76" s="36">
        <v>43</v>
      </c>
      <c r="AL76" s="33">
        <v>25</v>
      </c>
      <c r="AM76" s="33">
        <v>1</v>
      </c>
      <c r="AN76" s="33">
        <v>3</v>
      </c>
      <c r="AO76" s="33">
        <v>1</v>
      </c>
      <c r="AP76" s="33">
        <v>0</v>
      </c>
      <c r="AQ76" s="33">
        <v>0</v>
      </c>
      <c r="AR76" s="33">
        <v>2</v>
      </c>
      <c r="AS76" s="33">
        <v>1</v>
      </c>
      <c r="AT76" s="33">
        <v>0</v>
      </c>
      <c r="AU76" s="43">
        <v>0.31048511301596776</v>
      </c>
      <c r="AV76" s="33">
        <v>0</v>
      </c>
      <c r="AW76" s="33">
        <v>1</v>
      </c>
      <c r="AY76" s="36">
        <v>48</v>
      </c>
      <c r="AZ76" s="33">
        <v>1</v>
      </c>
      <c r="BA76" s="33">
        <v>2</v>
      </c>
      <c r="BB76" s="33">
        <v>0</v>
      </c>
      <c r="BC76" s="33">
        <v>0</v>
      </c>
      <c r="BD76" s="43">
        <v>0.23662845161334917</v>
      </c>
      <c r="BE76" s="33">
        <v>0</v>
      </c>
      <c r="BF76" s="33">
        <v>0</v>
      </c>
      <c r="CE76" s="36">
        <v>42</v>
      </c>
      <c r="CF76" s="33">
        <v>2</v>
      </c>
      <c r="CG76" s="33">
        <v>1</v>
      </c>
      <c r="CH76" s="33">
        <v>1</v>
      </c>
      <c r="CI76" s="33">
        <v>3</v>
      </c>
      <c r="CJ76" s="33">
        <v>1</v>
      </c>
      <c r="CK76" s="33">
        <v>0</v>
      </c>
      <c r="CL76" s="33">
        <v>1</v>
      </c>
      <c r="CM76" s="33">
        <v>3</v>
      </c>
      <c r="CN76" s="33">
        <v>1</v>
      </c>
      <c r="CO76" s="33">
        <v>0</v>
      </c>
      <c r="CP76" s="43">
        <v>8.6784366239368887E-2</v>
      </c>
      <c r="CQ76" s="33">
        <v>0</v>
      </c>
      <c r="CR76" s="33">
        <v>0</v>
      </c>
    </row>
    <row r="77" spans="1:96" ht="15" customHeight="1" x14ac:dyDescent="0.25">
      <c r="A77" s="26">
        <v>75</v>
      </c>
      <c r="B77" s="27">
        <v>31</v>
      </c>
      <c r="C77" s="27">
        <v>0</v>
      </c>
      <c r="D77" s="27">
        <v>1</v>
      </c>
      <c r="E77" s="27">
        <v>746</v>
      </c>
      <c r="F77" s="27">
        <v>2</v>
      </c>
      <c r="G77" s="27">
        <v>8</v>
      </c>
      <c r="H77" s="27">
        <v>4</v>
      </c>
      <c r="I77" s="27">
        <v>1</v>
      </c>
      <c r="J77" s="27">
        <v>1</v>
      </c>
      <c r="K77" s="27">
        <v>98</v>
      </c>
      <c r="L77" s="27">
        <v>3</v>
      </c>
      <c r="M77" s="27">
        <v>0</v>
      </c>
      <c r="N77" s="27">
        <v>61</v>
      </c>
      <c r="O77" s="27">
        <v>3</v>
      </c>
      <c r="P77" s="27">
        <v>2</v>
      </c>
      <c r="Q77" s="27">
        <v>4</v>
      </c>
      <c r="R77" s="27">
        <v>4</v>
      </c>
      <c r="S77" s="27">
        <v>1</v>
      </c>
      <c r="T77" s="27">
        <v>4424</v>
      </c>
      <c r="U77" s="27">
        <v>20682</v>
      </c>
      <c r="V77" s="27">
        <v>1</v>
      </c>
      <c r="W77" s="27">
        <v>0</v>
      </c>
      <c r="X77" s="27">
        <v>23</v>
      </c>
      <c r="Y77" s="27">
        <v>4</v>
      </c>
      <c r="Z77" s="27">
        <v>4</v>
      </c>
      <c r="AA77" s="27">
        <v>80</v>
      </c>
      <c r="AB77" s="27">
        <v>0</v>
      </c>
      <c r="AC77" s="27">
        <v>11</v>
      </c>
      <c r="AD77" s="27">
        <v>2</v>
      </c>
      <c r="AE77" s="27">
        <v>3</v>
      </c>
      <c r="AF77" s="27">
        <v>11</v>
      </c>
      <c r="AG77" s="27">
        <v>7</v>
      </c>
      <c r="AH77" s="27">
        <v>1</v>
      </c>
      <c r="AI77" s="28">
        <v>8</v>
      </c>
      <c r="AK77" s="36">
        <v>44</v>
      </c>
      <c r="AL77" s="33">
        <v>8</v>
      </c>
      <c r="AM77" s="33">
        <v>3</v>
      </c>
      <c r="AN77" s="33">
        <v>3</v>
      </c>
      <c r="AO77" s="33">
        <v>1</v>
      </c>
      <c r="AP77" s="33">
        <v>0</v>
      </c>
      <c r="AQ77" s="33">
        <v>0</v>
      </c>
      <c r="AR77" s="33">
        <v>3</v>
      </c>
      <c r="AS77" s="33">
        <v>9</v>
      </c>
      <c r="AT77" s="33">
        <v>1</v>
      </c>
      <c r="AU77" s="43">
        <v>4.0354459714907948E-2</v>
      </c>
      <c r="AV77" s="33">
        <v>0</v>
      </c>
      <c r="AW77" s="33">
        <v>0</v>
      </c>
      <c r="AY77" s="36">
        <v>49</v>
      </c>
      <c r="AZ77" s="33">
        <v>2</v>
      </c>
      <c r="BA77" s="33">
        <v>4</v>
      </c>
      <c r="BB77" s="33">
        <v>1</v>
      </c>
      <c r="BC77" s="33">
        <v>0</v>
      </c>
      <c r="BD77" s="43">
        <v>0.29698480921718856</v>
      </c>
      <c r="BE77" s="33">
        <v>0</v>
      </c>
      <c r="BF77" s="33">
        <v>0</v>
      </c>
      <c r="CE77" s="36">
        <v>43</v>
      </c>
      <c r="CF77" s="33">
        <v>25</v>
      </c>
      <c r="CG77" s="33">
        <v>1</v>
      </c>
      <c r="CH77" s="33">
        <v>3</v>
      </c>
      <c r="CI77" s="33">
        <v>1</v>
      </c>
      <c r="CJ77" s="33">
        <v>1</v>
      </c>
      <c r="CK77" s="33">
        <v>0</v>
      </c>
      <c r="CL77" s="33">
        <v>0</v>
      </c>
      <c r="CM77" s="33">
        <v>2</v>
      </c>
      <c r="CN77" s="33">
        <v>1</v>
      </c>
      <c r="CO77" s="33">
        <v>0</v>
      </c>
      <c r="CP77" s="43">
        <v>0.34807879243203471</v>
      </c>
      <c r="CQ77" s="33">
        <v>0</v>
      </c>
      <c r="CR77" s="33">
        <v>1</v>
      </c>
    </row>
    <row r="78" spans="1:96" ht="15" customHeight="1" x14ac:dyDescent="0.25">
      <c r="A78" s="26">
        <v>76</v>
      </c>
      <c r="B78" s="27">
        <v>35</v>
      </c>
      <c r="C78" s="27">
        <v>0</v>
      </c>
      <c r="D78" s="27">
        <v>1</v>
      </c>
      <c r="E78" s="27">
        <v>776</v>
      </c>
      <c r="F78" s="27">
        <v>1</v>
      </c>
      <c r="G78" s="27">
        <v>1</v>
      </c>
      <c r="H78" s="27">
        <v>4</v>
      </c>
      <c r="I78" s="27">
        <v>4</v>
      </c>
      <c r="J78" s="27">
        <v>1</v>
      </c>
      <c r="K78" s="27">
        <v>100</v>
      </c>
      <c r="L78" s="27">
        <v>3</v>
      </c>
      <c r="M78" s="27">
        <v>1</v>
      </c>
      <c r="N78" s="27">
        <v>32</v>
      </c>
      <c r="O78" s="27">
        <v>2</v>
      </c>
      <c r="P78" s="27">
        <v>2</v>
      </c>
      <c r="Q78" s="27">
        <v>1</v>
      </c>
      <c r="R78" s="27">
        <v>1</v>
      </c>
      <c r="S78" s="27">
        <v>1</v>
      </c>
      <c r="T78" s="27">
        <v>4312</v>
      </c>
      <c r="U78" s="27">
        <v>23016</v>
      </c>
      <c r="V78" s="27">
        <v>0</v>
      </c>
      <c r="W78" s="27">
        <v>0</v>
      </c>
      <c r="X78" s="27">
        <v>14</v>
      </c>
      <c r="Y78" s="27">
        <v>3</v>
      </c>
      <c r="Z78" s="27">
        <v>2</v>
      </c>
      <c r="AA78" s="27">
        <v>80</v>
      </c>
      <c r="AB78" s="27">
        <v>0</v>
      </c>
      <c r="AC78" s="27">
        <v>16</v>
      </c>
      <c r="AD78" s="27">
        <v>2</v>
      </c>
      <c r="AE78" s="27">
        <v>3</v>
      </c>
      <c r="AF78" s="27">
        <v>15</v>
      </c>
      <c r="AG78" s="27">
        <v>13</v>
      </c>
      <c r="AH78" s="27">
        <v>2</v>
      </c>
      <c r="AI78" s="28">
        <v>8</v>
      </c>
      <c r="AK78" s="36">
        <v>45</v>
      </c>
      <c r="AL78" s="33">
        <v>1</v>
      </c>
      <c r="AM78" s="33">
        <v>2</v>
      </c>
      <c r="AN78" s="33">
        <v>4</v>
      </c>
      <c r="AO78" s="33">
        <v>1</v>
      </c>
      <c r="AP78" s="33">
        <v>0</v>
      </c>
      <c r="AQ78" s="33">
        <v>0</v>
      </c>
      <c r="AR78" s="33">
        <v>3</v>
      </c>
      <c r="AS78" s="33">
        <v>12</v>
      </c>
      <c r="AT78" s="33">
        <v>3</v>
      </c>
      <c r="AU78" s="43">
        <v>4.1711289671518041E-2</v>
      </c>
      <c r="AV78" s="33">
        <v>0</v>
      </c>
      <c r="AW78" s="33">
        <v>0</v>
      </c>
      <c r="AY78" s="36">
        <v>50</v>
      </c>
      <c r="AZ78" s="33">
        <v>1</v>
      </c>
      <c r="BA78" s="33">
        <v>4</v>
      </c>
      <c r="BB78" s="33">
        <v>0</v>
      </c>
      <c r="BC78" s="33">
        <v>0</v>
      </c>
      <c r="BD78" s="43">
        <v>0.1472907617042678</v>
      </c>
      <c r="BE78" s="33">
        <v>0</v>
      </c>
      <c r="BF78" s="33">
        <v>0</v>
      </c>
      <c r="CE78" s="36">
        <v>44</v>
      </c>
      <c r="CF78" s="33">
        <v>8</v>
      </c>
      <c r="CG78" s="33">
        <v>3</v>
      </c>
      <c r="CH78" s="33">
        <v>3</v>
      </c>
      <c r="CI78" s="33">
        <v>1</v>
      </c>
      <c r="CJ78" s="33">
        <v>1</v>
      </c>
      <c r="CK78" s="33">
        <v>0</v>
      </c>
      <c r="CL78" s="33">
        <v>0</v>
      </c>
      <c r="CM78" s="33">
        <v>3</v>
      </c>
      <c r="CN78" s="33">
        <v>9</v>
      </c>
      <c r="CO78" s="33">
        <v>1</v>
      </c>
      <c r="CP78" s="43">
        <v>4.7977150577002026E-2</v>
      </c>
      <c r="CQ78" s="33">
        <v>0</v>
      </c>
      <c r="CR78" s="33">
        <v>0</v>
      </c>
    </row>
    <row r="79" spans="1:96" ht="15" customHeight="1" x14ac:dyDescent="0.25">
      <c r="A79" s="26">
        <v>77</v>
      </c>
      <c r="B79" s="27">
        <v>45</v>
      </c>
      <c r="C79" s="27">
        <v>0</v>
      </c>
      <c r="D79" s="27">
        <v>1</v>
      </c>
      <c r="E79" s="27">
        <v>193</v>
      </c>
      <c r="F79" s="27">
        <v>2</v>
      </c>
      <c r="G79" s="27">
        <v>6</v>
      </c>
      <c r="H79" s="27">
        <v>4</v>
      </c>
      <c r="I79" s="27">
        <v>6</v>
      </c>
      <c r="J79" s="27">
        <v>1</v>
      </c>
      <c r="K79" s="27">
        <v>101</v>
      </c>
      <c r="L79" s="27">
        <v>4</v>
      </c>
      <c r="M79" s="27">
        <v>1</v>
      </c>
      <c r="N79" s="27">
        <v>52</v>
      </c>
      <c r="O79" s="27">
        <v>3</v>
      </c>
      <c r="P79" s="27">
        <v>3</v>
      </c>
      <c r="Q79" s="27">
        <v>8</v>
      </c>
      <c r="R79" s="27">
        <v>1</v>
      </c>
      <c r="S79" s="27">
        <v>2</v>
      </c>
      <c r="T79" s="27">
        <v>13245</v>
      </c>
      <c r="U79" s="27">
        <v>15067</v>
      </c>
      <c r="V79" s="27">
        <v>4</v>
      </c>
      <c r="W79" s="27">
        <v>1</v>
      </c>
      <c r="X79" s="27">
        <v>14</v>
      </c>
      <c r="Y79" s="27">
        <v>3</v>
      </c>
      <c r="Z79" s="27">
        <v>2</v>
      </c>
      <c r="AA79" s="27">
        <v>80</v>
      </c>
      <c r="AB79" s="27">
        <v>0</v>
      </c>
      <c r="AC79" s="27">
        <v>17</v>
      </c>
      <c r="AD79" s="27">
        <v>3</v>
      </c>
      <c r="AE79" s="27">
        <v>4</v>
      </c>
      <c r="AF79" s="27">
        <v>0</v>
      </c>
      <c r="AG79" s="27">
        <v>0</v>
      </c>
      <c r="AH79" s="27">
        <v>0</v>
      </c>
      <c r="AI79" s="28">
        <v>0</v>
      </c>
      <c r="AK79" s="36">
        <v>46</v>
      </c>
      <c r="AL79" s="33">
        <v>12</v>
      </c>
      <c r="AM79" s="33">
        <v>5</v>
      </c>
      <c r="AN79" s="33">
        <v>3</v>
      </c>
      <c r="AO79" s="33">
        <v>1</v>
      </c>
      <c r="AP79" s="33">
        <v>0</v>
      </c>
      <c r="AQ79" s="33">
        <v>0</v>
      </c>
      <c r="AR79" s="33">
        <v>3</v>
      </c>
      <c r="AS79" s="33">
        <v>22</v>
      </c>
      <c r="AT79" s="33">
        <v>15</v>
      </c>
      <c r="AU79" s="43">
        <v>2.9656829537970102E-2</v>
      </c>
      <c r="AV79" s="33">
        <v>0</v>
      </c>
      <c r="AW79" s="33">
        <v>1</v>
      </c>
      <c r="AY79" s="36">
        <v>51</v>
      </c>
      <c r="AZ79" s="33">
        <v>3</v>
      </c>
      <c r="BA79" s="33">
        <v>3</v>
      </c>
      <c r="BB79" s="33">
        <v>1</v>
      </c>
      <c r="BC79" s="33">
        <v>0</v>
      </c>
      <c r="BD79" s="43">
        <v>0.24457985721149755</v>
      </c>
      <c r="BE79" s="33">
        <v>0</v>
      </c>
      <c r="BF79" s="33">
        <v>1</v>
      </c>
      <c r="CE79" s="36">
        <v>45</v>
      </c>
      <c r="CF79" s="33">
        <v>1</v>
      </c>
      <c r="CG79" s="33">
        <v>2</v>
      </c>
      <c r="CH79" s="33">
        <v>4</v>
      </c>
      <c r="CI79" s="33">
        <v>1</v>
      </c>
      <c r="CJ79" s="33">
        <v>1</v>
      </c>
      <c r="CK79" s="33">
        <v>0</v>
      </c>
      <c r="CL79" s="33">
        <v>0</v>
      </c>
      <c r="CM79" s="33">
        <v>3</v>
      </c>
      <c r="CN79" s="33">
        <v>12</v>
      </c>
      <c r="CO79" s="33">
        <v>3</v>
      </c>
      <c r="CP79" s="43">
        <v>4.8503622624964229E-2</v>
      </c>
      <c r="CQ79" s="33">
        <v>0</v>
      </c>
      <c r="CR79" s="33">
        <v>0</v>
      </c>
    </row>
    <row r="80" spans="1:96" ht="15" customHeight="1" x14ac:dyDescent="0.25">
      <c r="A80" s="26">
        <v>78</v>
      </c>
      <c r="B80" s="27">
        <v>37</v>
      </c>
      <c r="C80" s="27">
        <v>0</v>
      </c>
      <c r="D80" s="27">
        <v>1</v>
      </c>
      <c r="E80" s="27">
        <v>397</v>
      </c>
      <c r="F80" s="27">
        <v>2</v>
      </c>
      <c r="G80" s="27">
        <v>7</v>
      </c>
      <c r="H80" s="27">
        <v>4</v>
      </c>
      <c r="I80" s="27">
        <v>3</v>
      </c>
      <c r="J80" s="27">
        <v>1</v>
      </c>
      <c r="K80" s="27">
        <v>102</v>
      </c>
      <c r="L80" s="27">
        <v>1</v>
      </c>
      <c r="M80" s="27">
        <v>1</v>
      </c>
      <c r="N80" s="27">
        <v>30</v>
      </c>
      <c r="O80" s="27">
        <v>3</v>
      </c>
      <c r="P80" s="27">
        <v>3</v>
      </c>
      <c r="Q80" s="27">
        <v>8</v>
      </c>
      <c r="R80" s="27">
        <v>3</v>
      </c>
      <c r="S80" s="27">
        <v>1</v>
      </c>
      <c r="T80" s="27">
        <v>13664</v>
      </c>
      <c r="U80" s="27">
        <v>25258</v>
      </c>
      <c r="V80" s="27">
        <v>4</v>
      </c>
      <c r="W80" s="27">
        <v>0</v>
      </c>
      <c r="X80" s="27">
        <v>13</v>
      </c>
      <c r="Y80" s="27">
        <v>3</v>
      </c>
      <c r="Z80" s="27">
        <v>1</v>
      </c>
      <c r="AA80" s="27">
        <v>80</v>
      </c>
      <c r="AB80" s="27">
        <v>0</v>
      </c>
      <c r="AC80" s="27">
        <v>16</v>
      </c>
      <c r="AD80" s="27">
        <v>3</v>
      </c>
      <c r="AE80" s="27">
        <v>4</v>
      </c>
      <c r="AF80" s="27">
        <v>5</v>
      </c>
      <c r="AG80" s="27">
        <v>2</v>
      </c>
      <c r="AH80" s="27">
        <v>0</v>
      </c>
      <c r="AI80" s="28">
        <v>2</v>
      </c>
      <c r="AK80" s="36">
        <v>47</v>
      </c>
      <c r="AL80" s="33">
        <v>23</v>
      </c>
      <c r="AM80" s="33">
        <v>2</v>
      </c>
      <c r="AN80" s="33">
        <v>3</v>
      </c>
      <c r="AO80" s="33">
        <v>0</v>
      </c>
      <c r="AP80" s="33">
        <v>0</v>
      </c>
      <c r="AQ80" s="33">
        <v>0</v>
      </c>
      <c r="AR80" s="33">
        <v>3</v>
      </c>
      <c r="AS80" s="33">
        <v>9</v>
      </c>
      <c r="AT80" s="33">
        <v>8</v>
      </c>
      <c r="AU80" s="43">
        <v>0.19729661748604491</v>
      </c>
      <c r="AV80" s="33">
        <v>0</v>
      </c>
      <c r="AW80" s="33">
        <v>0</v>
      </c>
      <c r="AY80" s="36">
        <v>52</v>
      </c>
      <c r="AZ80" s="33">
        <v>1</v>
      </c>
      <c r="BA80" s="33">
        <v>3</v>
      </c>
      <c r="BB80" s="33">
        <v>1</v>
      </c>
      <c r="BC80" s="33">
        <v>0</v>
      </c>
      <c r="BD80" s="43">
        <v>0.49727340882350407</v>
      </c>
      <c r="BE80" s="33">
        <v>0</v>
      </c>
      <c r="BF80" s="33">
        <v>1</v>
      </c>
      <c r="CE80" s="36">
        <v>46</v>
      </c>
      <c r="CF80" s="33">
        <v>12</v>
      </c>
      <c r="CG80" s="33">
        <v>5</v>
      </c>
      <c r="CH80" s="33">
        <v>3</v>
      </c>
      <c r="CI80" s="33">
        <v>2</v>
      </c>
      <c r="CJ80" s="33">
        <v>1</v>
      </c>
      <c r="CK80" s="33">
        <v>0</v>
      </c>
      <c r="CL80" s="33">
        <v>0</v>
      </c>
      <c r="CM80" s="33">
        <v>3</v>
      </c>
      <c r="CN80" s="33">
        <v>22</v>
      </c>
      <c r="CO80" s="33">
        <v>15</v>
      </c>
      <c r="CP80" s="43">
        <v>2.1790221832296883E-2</v>
      </c>
      <c r="CQ80" s="33">
        <v>0</v>
      </c>
      <c r="CR80" s="33">
        <v>1</v>
      </c>
    </row>
    <row r="81" spans="1:96" ht="15" customHeight="1" x14ac:dyDescent="0.25">
      <c r="A81" s="26">
        <v>79</v>
      </c>
      <c r="B81" s="27">
        <v>46</v>
      </c>
      <c r="C81" s="27">
        <v>0</v>
      </c>
      <c r="D81" s="27">
        <v>1</v>
      </c>
      <c r="E81" s="27">
        <v>945</v>
      </c>
      <c r="F81" s="27">
        <v>3</v>
      </c>
      <c r="G81" s="27">
        <v>5</v>
      </c>
      <c r="H81" s="27">
        <v>2</v>
      </c>
      <c r="I81" s="27">
        <v>3</v>
      </c>
      <c r="J81" s="27">
        <v>1</v>
      </c>
      <c r="K81" s="27">
        <v>103</v>
      </c>
      <c r="L81" s="27">
        <v>2</v>
      </c>
      <c r="M81" s="27">
        <v>1</v>
      </c>
      <c r="N81" s="27">
        <v>80</v>
      </c>
      <c r="O81" s="27">
        <v>3</v>
      </c>
      <c r="P81" s="27">
        <v>2</v>
      </c>
      <c r="Q81" s="27">
        <v>9</v>
      </c>
      <c r="R81" s="27">
        <v>2</v>
      </c>
      <c r="S81" s="27">
        <v>3</v>
      </c>
      <c r="T81" s="27">
        <v>5021</v>
      </c>
      <c r="U81" s="27">
        <v>10425</v>
      </c>
      <c r="V81" s="27">
        <v>8</v>
      </c>
      <c r="W81" s="27">
        <v>1</v>
      </c>
      <c r="X81" s="27">
        <v>22</v>
      </c>
      <c r="Y81" s="27">
        <v>4</v>
      </c>
      <c r="Z81" s="27">
        <v>4</v>
      </c>
      <c r="AA81" s="27">
        <v>80</v>
      </c>
      <c r="AB81" s="27">
        <v>1</v>
      </c>
      <c r="AC81" s="27">
        <v>16</v>
      </c>
      <c r="AD81" s="27">
        <v>2</v>
      </c>
      <c r="AE81" s="27">
        <v>3</v>
      </c>
      <c r="AF81" s="27">
        <v>4</v>
      </c>
      <c r="AG81" s="27">
        <v>2</v>
      </c>
      <c r="AH81" s="27">
        <v>0</v>
      </c>
      <c r="AI81" s="28">
        <v>2</v>
      </c>
      <c r="AK81" s="36">
        <v>48</v>
      </c>
      <c r="AL81" s="33">
        <v>19</v>
      </c>
      <c r="AM81" s="33">
        <v>1</v>
      </c>
      <c r="AN81" s="33">
        <v>2</v>
      </c>
      <c r="AO81" s="33">
        <v>4</v>
      </c>
      <c r="AP81" s="33">
        <v>0</v>
      </c>
      <c r="AQ81" s="33">
        <v>0</v>
      </c>
      <c r="AR81" s="33">
        <v>3</v>
      </c>
      <c r="AS81" s="33">
        <v>1</v>
      </c>
      <c r="AT81" s="33">
        <v>0</v>
      </c>
      <c r="AU81" s="43">
        <v>0.33442918319849924</v>
      </c>
      <c r="AV81" s="33">
        <v>0</v>
      </c>
      <c r="AW81" s="33">
        <v>0</v>
      </c>
      <c r="AY81" s="36">
        <v>53</v>
      </c>
      <c r="AZ81" s="33">
        <v>2</v>
      </c>
      <c r="BA81" s="33">
        <v>1</v>
      </c>
      <c r="BB81" s="33">
        <v>1</v>
      </c>
      <c r="BC81" s="33">
        <v>1</v>
      </c>
      <c r="BD81" s="43">
        <v>0.37467799024663817</v>
      </c>
      <c r="BE81" s="33">
        <v>0</v>
      </c>
      <c r="BF81" s="33">
        <v>0</v>
      </c>
      <c r="CE81" s="36">
        <v>47</v>
      </c>
      <c r="CF81" s="33">
        <v>23</v>
      </c>
      <c r="CG81" s="33">
        <v>2</v>
      </c>
      <c r="CH81" s="33">
        <v>3</v>
      </c>
      <c r="CI81" s="33">
        <v>1</v>
      </c>
      <c r="CJ81" s="33">
        <v>0</v>
      </c>
      <c r="CK81" s="33">
        <v>0</v>
      </c>
      <c r="CL81" s="33">
        <v>0</v>
      </c>
      <c r="CM81" s="33">
        <v>3</v>
      </c>
      <c r="CN81" s="33">
        <v>9</v>
      </c>
      <c r="CO81" s="33">
        <v>8</v>
      </c>
      <c r="CP81" s="43">
        <v>0.22815116466396118</v>
      </c>
      <c r="CQ81" s="33">
        <v>0</v>
      </c>
      <c r="CR81" s="33">
        <v>0</v>
      </c>
    </row>
    <row r="82" spans="1:96" ht="15" customHeight="1" x14ac:dyDescent="0.25">
      <c r="A82" s="26">
        <v>80</v>
      </c>
      <c r="B82" s="27">
        <v>30</v>
      </c>
      <c r="C82" s="27">
        <v>0</v>
      </c>
      <c r="D82" s="27">
        <v>1</v>
      </c>
      <c r="E82" s="27">
        <v>852</v>
      </c>
      <c r="F82" s="27">
        <v>2</v>
      </c>
      <c r="G82" s="27">
        <v>1</v>
      </c>
      <c r="H82" s="27">
        <v>1</v>
      </c>
      <c r="I82" s="27">
        <v>1</v>
      </c>
      <c r="J82" s="27">
        <v>1</v>
      </c>
      <c r="K82" s="27">
        <v>104</v>
      </c>
      <c r="L82" s="27">
        <v>4</v>
      </c>
      <c r="M82" s="27">
        <v>1</v>
      </c>
      <c r="N82" s="27">
        <v>55</v>
      </c>
      <c r="O82" s="27">
        <v>2</v>
      </c>
      <c r="P82" s="27">
        <v>2</v>
      </c>
      <c r="Q82" s="27">
        <v>3</v>
      </c>
      <c r="R82" s="27">
        <v>4</v>
      </c>
      <c r="S82" s="27">
        <v>2</v>
      </c>
      <c r="T82" s="27">
        <v>5126</v>
      </c>
      <c r="U82" s="27">
        <v>15998</v>
      </c>
      <c r="V82" s="27">
        <v>1</v>
      </c>
      <c r="W82" s="27">
        <v>1</v>
      </c>
      <c r="X82" s="27">
        <v>12</v>
      </c>
      <c r="Y82" s="27">
        <v>3</v>
      </c>
      <c r="Z82" s="27">
        <v>3</v>
      </c>
      <c r="AA82" s="27">
        <v>80</v>
      </c>
      <c r="AB82" s="27">
        <v>2</v>
      </c>
      <c r="AC82" s="27">
        <v>10</v>
      </c>
      <c r="AD82" s="27">
        <v>1</v>
      </c>
      <c r="AE82" s="27">
        <v>2</v>
      </c>
      <c r="AF82" s="27">
        <v>10</v>
      </c>
      <c r="AG82" s="27">
        <v>8</v>
      </c>
      <c r="AH82" s="27">
        <v>3</v>
      </c>
      <c r="AI82" s="28">
        <v>0</v>
      </c>
      <c r="AK82" s="36">
        <v>49</v>
      </c>
      <c r="AL82" s="33">
        <v>5</v>
      </c>
      <c r="AM82" s="33">
        <v>2</v>
      </c>
      <c r="AN82" s="33">
        <v>4</v>
      </c>
      <c r="AO82" s="33">
        <v>4</v>
      </c>
      <c r="AP82" s="33">
        <v>1</v>
      </c>
      <c r="AQ82" s="33">
        <v>0</v>
      </c>
      <c r="AR82" s="33">
        <v>3</v>
      </c>
      <c r="AS82" s="33">
        <v>9</v>
      </c>
      <c r="AT82" s="33">
        <v>0</v>
      </c>
      <c r="AU82" s="43">
        <v>0.19840074539583272</v>
      </c>
      <c r="AV82" s="33">
        <v>0</v>
      </c>
      <c r="AW82" s="33">
        <v>0</v>
      </c>
      <c r="AY82" s="36">
        <v>54</v>
      </c>
      <c r="AZ82" s="33">
        <v>3</v>
      </c>
      <c r="BA82" s="33">
        <v>1</v>
      </c>
      <c r="BB82" s="33">
        <v>1</v>
      </c>
      <c r="BC82" s="33">
        <v>1</v>
      </c>
      <c r="BD82" s="43">
        <v>0.25528659551539534</v>
      </c>
      <c r="BE82" s="33">
        <v>0</v>
      </c>
      <c r="BF82" s="33">
        <v>0</v>
      </c>
      <c r="CE82" s="36">
        <v>48</v>
      </c>
      <c r="CF82" s="33">
        <v>19</v>
      </c>
      <c r="CG82" s="33">
        <v>1</v>
      </c>
      <c r="CH82" s="33">
        <v>2</v>
      </c>
      <c r="CI82" s="33">
        <v>2</v>
      </c>
      <c r="CJ82" s="33">
        <v>4</v>
      </c>
      <c r="CK82" s="33">
        <v>0</v>
      </c>
      <c r="CL82" s="33">
        <v>0</v>
      </c>
      <c r="CM82" s="33">
        <v>3</v>
      </c>
      <c r="CN82" s="33">
        <v>1</v>
      </c>
      <c r="CO82" s="33">
        <v>0</v>
      </c>
      <c r="CP82" s="43">
        <v>0.25663215549304019</v>
      </c>
      <c r="CQ82" s="33">
        <v>0</v>
      </c>
      <c r="CR82" s="33">
        <v>0</v>
      </c>
    </row>
    <row r="83" spans="1:96" ht="15" customHeight="1" x14ac:dyDescent="0.25">
      <c r="A83" s="26">
        <v>81</v>
      </c>
      <c r="B83" s="27">
        <v>35</v>
      </c>
      <c r="C83" s="27">
        <v>0</v>
      </c>
      <c r="D83" s="27">
        <v>1</v>
      </c>
      <c r="E83" s="27">
        <v>1214</v>
      </c>
      <c r="F83" s="27">
        <v>2</v>
      </c>
      <c r="G83" s="27">
        <v>1</v>
      </c>
      <c r="H83" s="27">
        <v>3</v>
      </c>
      <c r="I83" s="27">
        <v>3</v>
      </c>
      <c r="J83" s="27">
        <v>1</v>
      </c>
      <c r="K83" s="27">
        <v>105</v>
      </c>
      <c r="L83" s="27">
        <v>2</v>
      </c>
      <c r="M83" s="27">
        <v>1</v>
      </c>
      <c r="N83" s="27">
        <v>30</v>
      </c>
      <c r="O83" s="27">
        <v>2</v>
      </c>
      <c r="P83" s="27">
        <v>1</v>
      </c>
      <c r="Q83" s="27">
        <v>2</v>
      </c>
      <c r="R83" s="27">
        <v>3</v>
      </c>
      <c r="S83" s="27">
        <v>1</v>
      </c>
      <c r="T83" s="27">
        <v>2859</v>
      </c>
      <c r="U83" s="27">
        <v>26278</v>
      </c>
      <c r="V83" s="27">
        <v>1</v>
      </c>
      <c r="W83" s="27">
        <v>0</v>
      </c>
      <c r="X83" s="27">
        <v>18</v>
      </c>
      <c r="Y83" s="27">
        <v>3</v>
      </c>
      <c r="Z83" s="27">
        <v>1</v>
      </c>
      <c r="AA83" s="27">
        <v>80</v>
      </c>
      <c r="AB83" s="27">
        <v>0</v>
      </c>
      <c r="AC83" s="27">
        <v>6</v>
      </c>
      <c r="AD83" s="27">
        <v>3</v>
      </c>
      <c r="AE83" s="27">
        <v>3</v>
      </c>
      <c r="AF83" s="27">
        <v>6</v>
      </c>
      <c r="AG83" s="27">
        <v>4</v>
      </c>
      <c r="AH83" s="27">
        <v>0</v>
      </c>
      <c r="AI83" s="28">
        <v>4</v>
      </c>
      <c r="AK83" s="36">
        <v>50</v>
      </c>
      <c r="AL83" s="33">
        <v>8</v>
      </c>
      <c r="AM83" s="33">
        <v>1</v>
      </c>
      <c r="AN83" s="33">
        <v>4</v>
      </c>
      <c r="AO83" s="33">
        <v>1</v>
      </c>
      <c r="AP83" s="33">
        <v>0</v>
      </c>
      <c r="AQ83" s="33">
        <v>0</v>
      </c>
      <c r="AR83" s="33">
        <v>3</v>
      </c>
      <c r="AS83" s="33">
        <v>1</v>
      </c>
      <c r="AT83" s="33">
        <v>0</v>
      </c>
      <c r="AU83" s="43">
        <v>0.13076280772630119</v>
      </c>
      <c r="AV83" s="33">
        <v>0</v>
      </c>
      <c r="AW83" s="33">
        <v>0</v>
      </c>
      <c r="AY83" s="36">
        <v>55</v>
      </c>
      <c r="AZ83" s="33">
        <v>2</v>
      </c>
      <c r="BA83" s="33">
        <v>4</v>
      </c>
      <c r="BB83" s="33">
        <v>1</v>
      </c>
      <c r="BC83" s="33">
        <v>1</v>
      </c>
      <c r="BD83" s="43">
        <v>0.19951405628110813</v>
      </c>
      <c r="BE83" s="33">
        <v>0</v>
      </c>
      <c r="BF83" s="33">
        <v>0</v>
      </c>
      <c r="CE83" s="36">
        <v>49</v>
      </c>
      <c r="CF83" s="33">
        <v>5</v>
      </c>
      <c r="CG83" s="33">
        <v>2</v>
      </c>
      <c r="CH83" s="33">
        <v>4</v>
      </c>
      <c r="CI83" s="33">
        <v>1</v>
      </c>
      <c r="CJ83" s="33">
        <v>4</v>
      </c>
      <c r="CK83" s="33">
        <v>1</v>
      </c>
      <c r="CL83" s="33">
        <v>0</v>
      </c>
      <c r="CM83" s="33">
        <v>3</v>
      </c>
      <c r="CN83" s="33">
        <v>9</v>
      </c>
      <c r="CO83" s="33">
        <v>0</v>
      </c>
      <c r="CP83" s="43">
        <v>0.23107989545390681</v>
      </c>
      <c r="CQ83" s="33">
        <v>0</v>
      </c>
      <c r="CR83" s="33">
        <v>0</v>
      </c>
    </row>
    <row r="84" spans="1:96" ht="15" customHeight="1" x14ac:dyDescent="0.25">
      <c r="A84" s="26">
        <v>82</v>
      </c>
      <c r="B84" s="27">
        <v>55</v>
      </c>
      <c r="C84" s="27">
        <v>0</v>
      </c>
      <c r="D84" s="27">
        <v>1</v>
      </c>
      <c r="E84" s="27">
        <v>111</v>
      </c>
      <c r="F84" s="27">
        <v>1</v>
      </c>
      <c r="G84" s="27">
        <v>1</v>
      </c>
      <c r="H84" s="27">
        <v>2</v>
      </c>
      <c r="I84" s="27">
        <v>1</v>
      </c>
      <c r="J84" s="27">
        <v>1</v>
      </c>
      <c r="K84" s="27">
        <v>106</v>
      </c>
      <c r="L84" s="27">
        <v>1</v>
      </c>
      <c r="M84" s="27">
        <v>1</v>
      </c>
      <c r="N84" s="27">
        <v>70</v>
      </c>
      <c r="O84" s="27">
        <v>3</v>
      </c>
      <c r="P84" s="27">
        <v>3</v>
      </c>
      <c r="Q84" s="27">
        <v>1</v>
      </c>
      <c r="R84" s="27">
        <v>4</v>
      </c>
      <c r="S84" s="27">
        <v>2</v>
      </c>
      <c r="T84" s="27">
        <v>10239</v>
      </c>
      <c r="U84" s="27">
        <v>18092</v>
      </c>
      <c r="V84" s="27">
        <v>3</v>
      </c>
      <c r="W84" s="27">
        <v>0</v>
      </c>
      <c r="X84" s="27">
        <v>14</v>
      </c>
      <c r="Y84" s="27">
        <v>3</v>
      </c>
      <c r="Z84" s="27">
        <v>4</v>
      </c>
      <c r="AA84" s="27">
        <v>80</v>
      </c>
      <c r="AB84" s="27">
        <v>1</v>
      </c>
      <c r="AC84" s="27">
        <v>24</v>
      </c>
      <c r="AD84" s="27">
        <v>4</v>
      </c>
      <c r="AE84" s="27">
        <v>3</v>
      </c>
      <c r="AF84" s="27">
        <v>1</v>
      </c>
      <c r="AG84" s="27">
        <v>0</v>
      </c>
      <c r="AH84" s="27">
        <v>1</v>
      </c>
      <c r="AI84" s="28">
        <v>0</v>
      </c>
      <c r="AK84" s="36">
        <v>51</v>
      </c>
      <c r="AL84" s="33">
        <v>1</v>
      </c>
      <c r="AM84" s="33">
        <v>3</v>
      </c>
      <c r="AN84" s="33">
        <v>3</v>
      </c>
      <c r="AO84" s="33">
        <v>9</v>
      </c>
      <c r="AP84" s="33">
        <v>1</v>
      </c>
      <c r="AQ84" s="33">
        <v>0</v>
      </c>
      <c r="AR84" s="33">
        <v>3</v>
      </c>
      <c r="AS84" s="33">
        <v>1</v>
      </c>
      <c r="AT84" s="33">
        <v>0</v>
      </c>
      <c r="AU84" s="43">
        <v>0.31138701634266913</v>
      </c>
      <c r="AV84" s="33">
        <v>0</v>
      </c>
      <c r="AW84" s="33">
        <v>1</v>
      </c>
      <c r="AY84" s="36">
        <v>56</v>
      </c>
      <c r="AZ84" s="33">
        <v>3</v>
      </c>
      <c r="BA84" s="33">
        <v>4</v>
      </c>
      <c r="BB84" s="33">
        <v>1</v>
      </c>
      <c r="BC84" s="33">
        <v>0</v>
      </c>
      <c r="BD84" s="43">
        <v>0.19464428068138595</v>
      </c>
      <c r="BE84" s="33">
        <v>0</v>
      </c>
      <c r="BF84" s="33">
        <v>0</v>
      </c>
      <c r="CE84" s="36">
        <v>50</v>
      </c>
      <c r="CF84" s="33">
        <v>8</v>
      </c>
      <c r="CG84" s="33">
        <v>1</v>
      </c>
      <c r="CH84" s="33">
        <v>4</v>
      </c>
      <c r="CI84" s="33">
        <v>2</v>
      </c>
      <c r="CJ84" s="33">
        <v>1</v>
      </c>
      <c r="CK84" s="33">
        <v>0</v>
      </c>
      <c r="CL84" s="33">
        <v>0</v>
      </c>
      <c r="CM84" s="33">
        <v>3</v>
      </c>
      <c r="CN84" s="33">
        <v>1</v>
      </c>
      <c r="CO84" s="33">
        <v>0</v>
      </c>
      <c r="CP84" s="43">
        <v>9.0519756842505544E-2</v>
      </c>
      <c r="CQ84" s="33">
        <v>0</v>
      </c>
      <c r="CR84" s="33">
        <v>0</v>
      </c>
    </row>
    <row r="85" spans="1:96" ht="15" customHeight="1" x14ac:dyDescent="0.25">
      <c r="A85" s="26">
        <v>83</v>
      </c>
      <c r="B85" s="27">
        <v>38</v>
      </c>
      <c r="C85" s="27">
        <v>0</v>
      </c>
      <c r="D85" s="27">
        <v>3</v>
      </c>
      <c r="E85" s="27">
        <v>573</v>
      </c>
      <c r="F85" s="27">
        <v>2</v>
      </c>
      <c r="G85" s="27">
        <v>6</v>
      </c>
      <c r="H85" s="27">
        <v>3</v>
      </c>
      <c r="I85" s="27">
        <v>3</v>
      </c>
      <c r="J85" s="27">
        <v>1</v>
      </c>
      <c r="K85" s="27">
        <v>107</v>
      </c>
      <c r="L85" s="27">
        <v>2</v>
      </c>
      <c r="M85" s="27">
        <v>0</v>
      </c>
      <c r="N85" s="27">
        <v>79</v>
      </c>
      <c r="O85" s="27">
        <v>1</v>
      </c>
      <c r="P85" s="27">
        <v>2</v>
      </c>
      <c r="Q85" s="27">
        <v>2</v>
      </c>
      <c r="R85" s="27">
        <v>4</v>
      </c>
      <c r="S85" s="27">
        <v>3</v>
      </c>
      <c r="T85" s="27">
        <v>5329</v>
      </c>
      <c r="U85" s="27">
        <v>15717</v>
      </c>
      <c r="V85" s="27">
        <v>7</v>
      </c>
      <c r="W85" s="27">
        <v>1</v>
      </c>
      <c r="X85" s="27">
        <v>12</v>
      </c>
      <c r="Y85" s="27">
        <v>3</v>
      </c>
      <c r="Z85" s="27">
        <v>4</v>
      </c>
      <c r="AA85" s="27">
        <v>80</v>
      </c>
      <c r="AB85" s="27">
        <v>3</v>
      </c>
      <c r="AC85" s="27">
        <v>17</v>
      </c>
      <c r="AD85" s="27">
        <v>3</v>
      </c>
      <c r="AE85" s="27">
        <v>3</v>
      </c>
      <c r="AF85" s="27">
        <v>13</v>
      </c>
      <c r="AG85" s="27">
        <v>11</v>
      </c>
      <c r="AH85" s="27">
        <v>1</v>
      </c>
      <c r="AI85" s="28">
        <v>9</v>
      </c>
      <c r="AK85" s="36">
        <v>52</v>
      </c>
      <c r="AL85" s="33">
        <v>5</v>
      </c>
      <c r="AM85" s="33">
        <v>1</v>
      </c>
      <c r="AN85" s="33">
        <v>3</v>
      </c>
      <c r="AO85" s="33">
        <v>1</v>
      </c>
      <c r="AP85" s="33">
        <v>1</v>
      </c>
      <c r="AQ85" s="33">
        <v>0</v>
      </c>
      <c r="AR85" s="33">
        <v>2</v>
      </c>
      <c r="AS85" s="33">
        <v>2</v>
      </c>
      <c r="AT85" s="33">
        <v>2</v>
      </c>
      <c r="AU85" s="43">
        <v>0.53974142131438907</v>
      </c>
      <c r="AV85" s="33">
        <v>1</v>
      </c>
      <c r="AW85" s="33">
        <v>1</v>
      </c>
      <c r="AY85" s="36">
        <v>57</v>
      </c>
      <c r="AZ85" s="33">
        <v>3</v>
      </c>
      <c r="BA85" s="33">
        <v>1</v>
      </c>
      <c r="BB85" s="33">
        <v>0</v>
      </c>
      <c r="BC85" s="33">
        <v>1</v>
      </c>
      <c r="BD85" s="43">
        <v>7.4238208059117641E-2</v>
      </c>
      <c r="BE85" s="33">
        <v>0</v>
      </c>
      <c r="BF85" s="33">
        <v>0</v>
      </c>
      <c r="CE85" s="36">
        <v>51</v>
      </c>
      <c r="CF85" s="33">
        <v>1</v>
      </c>
      <c r="CG85" s="33">
        <v>3</v>
      </c>
      <c r="CH85" s="33">
        <v>3</v>
      </c>
      <c r="CI85" s="33">
        <v>1</v>
      </c>
      <c r="CJ85" s="33">
        <v>9</v>
      </c>
      <c r="CK85" s="33">
        <v>1</v>
      </c>
      <c r="CL85" s="33">
        <v>0</v>
      </c>
      <c r="CM85" s="33">
        <v>3</v>
      </c>
      <c r="CN85" s="33">
        <v>1</v>
      </c>
      <c r="CO85" s="33">
        <v>0</v>
      </c>
      <c r="CP85" s="43">
        <v>0.36428095294697621</v>
      </c>
      <c r="CQ85" s="33">
        <v>0</v>
      </c>
      <c r="CR85" s="33">
        <v>1</v>
      </c>
    </row>
    <row r="86" spans="1:96" ht="15" customHeight="1" x14ac:dyDescent="0.25">
      <c r="A86" s="26">
        <v>84</v>
      </c>
      <c r="B86" s="27">
        <v>34</v>
      </c>
      <c r="C86" s="27">
        <v>0</v>
      </c>
      <c r="D86" s="27">
        <v>1</v>
      </c>
      <c r="E86" s="27">
        <v>1153</v>
      </c>
      <c r="F86" s="27">
        <v>2</v>
      </c>
      <c r="G86" s="27">
        <v>1</v>
      </c>
      <c r="H86" s="27">
        <v>2</v>
      </c>
      <c r="I86" s="27">
        <v>3</v>
      </c>
      <c r="J86" s="27">
        <v>1</v>
      </c>
      <c r="K86" s="27">
        <v>110</v>
      </c>
      <c r="L86" s="27">
        <v>1</v>
      </c>
      <c r="M86" s="27">
        <v>1</v>
      </c>
      <c r="N86" s="27">
        <v>94</v>
      </c>
      <c r="O86" s="27">
        <v>3</v>
      </c>
      <c r="P86" s="27">
        <v>2</v>
      </c>
      <c r="Q86" s="27">
        <v>4</v>
      </c>
      <c r="R86" s="27">
        <v>2</v>
      </c>
      <c r="S86" s="27">
        <v>2</v>
      </c>
      <c r="T86" s="27">
        <v>4325</v>
      </c>
      <c r="U86" s="27">
        <v>17736</v>
      </c>
      <c r="V86" s="27">
        <v>1</v>
      </c>
      <c r="W86" s="27">
        <v>0</v>
      </c>
      <c r="X86" s="27">
        <v>15</v>
      </c>
      <c r="Y86" s="27">
        <v>3</v>
      </c>
      <c r="Z86" s="27">
        <v>3</v>
      </c>
      <c r="AA86" s="27">
        <v>80</v>
      </c>
      <c r="AB86" s="27">
        <v>0</v>
      </c>
      <c r="AC86" s="27">
        <v>5</v>
      </c>
      <c r="AD86" s="27">
        <v>2</v>
      </c>
      <c r="AE86" s="27">
        <v>3</v>
      </c>
      <c r="AF86" s="27">
        <v>5</v>
      </c>
      <c r="AG86" s="27">
        <v>2</v>
      </c>
      <c r="AH86" s="27">
        <v>1</v>
      </c>
      <c r="AI86" s="28">
        <v>3</v>
      </c>
      <c r="AK86" s="36">
        <v>53</v>
      </c>
      <c r="AL86" s="33">
        <v>1</v>
      </c>
      <c r="AM86" s="33">
        <v>2</v>
      </c>
      <c r="AN86" s="33">
        <v>1</v>
      </c>
      <c r="AO86" s="33">
        <v>5</v>
      </c>
      <c r="AP86" s="33">
        <v>1</v>
      </c>
      <c r="AQ86" s="33">
        <v>1</v>
      </c>
      <c r="AR86" s="33">
        <v>2</v>
      </c>
      <c r="AS86" s="33">
        <v>4</v>
      </c>
      <c r="AT86" s="33">
        <v>1</v>
      </c>
      <c r="AU86" s="43">
        <v>0.39376610940438117</v>
      </c>
      <c r="AV86" s="33">
        <v>0</v>
      </c>
      <c r="AW86" s="33">
        <v>0</v>
      </c>
      <c r="AY86" s="36">
        <v>58</v>
      </c>
      <c r="AZ86" s="33">
        <v>1</v>
      </c>
      <c r="BA86" s="33">
        <v>1</v>
      </c>
      <c r="BB86" s="33">
        <v>1</v>
      </c>
      <c r="BC86" s="33">
        <v>1</v>
      </c>
      <c r="BD86" s="43">
        <v>0.51155121875600029</v>
      </c>
      <c r="BE86" s="33">
        <v>1</v>
      </c>
      <c r="BF86" s="33">
        <v>0</v>
      </c>
      <c r="CE86" s="36">
        <v>52</v>
      </c>
      <c r="CF86" s="33">
        <v>5</v>
      </c>
      <c r="CG86" s="33">
        <v>1</v>
      </c>
      <c r="CH86" s="33">
        <v>3</v>
      </c>
      <c r="CI86" s="33">
        <v>1</v>
      </c>
      <c r="CJ86" s="33">
        <v>1</v>
      </c>
      <c r="CK86" s="33">
        <v>1</v>
      </c>
      <c r="CL86" s="33">
        <v>0</v>
      </c>
      <c r="CM86" s="33">
        <v>2</v>
      </c>
      <c r="CN86" s="33">
        <v>2</v>
      </c>
      <c r="CO86" s="33">
        <v>2</v>
      </c>
      <c r="CP86" s="43">
        <v>0.59429345515585519</v>
      </c>
      <c r="CQ86" s="33">
        <v>1</v>
      </c>
      <c r="CR86" s="33">
        <v>1</v>
      </c>
    </row>
    <row r="87" spans="1:96" ht="15" customHeight="1" x14ac:dyDescent="0.25">
      <c r="A87" s="26">
        <v>85</v>
      </c>
      <c r="B87" s="27">
        <v>56</v>
      </c>
      <c r="C87" s="27">
        <v>0</v>
      </c>
      <c r="D87" s="27">
        <v>1</v>
      </c>
      <c r="E87" s="27">
        <v>1400</v>
      </c>
      <c r="F87" s="27">
        <v>2</v>
      </c>
      <c r="G87" s="27">
        <v>7</v>
      </c>
      <c r="H87" s="27">
        <v>3</v>
      </c>
      <c r="I87" s="27">
        <v>1</v>
      </c>
      <c r="J87" s="27">
        <v>1</v>
      </c>
      <c r="K87" s="27">
        <v>112</v>
      </c>
      <c r="L87" s="27">
        <v>4</v>
      </c>
      <c r="M87" s="27">
        <v>1</v>
      </c>
      <c r="N87" s="27">
        <v>49</v>
      </c>
      <c r="O87" s="27">
        <v>1</v>
      </c>
      <c r="P87" s="27">
        <v>3</v>
      </c>
      <c r="Q87" s="27">
        <v>4</v>
      </c>
      <c r="R87" s="27">
        <v>4</v>
      </c>
      <c r="S87" s="27">
        <v>1</v>
      </c>
      <c r="T87" s="27">
        <v>7260</v>
      </c>
      <c r="U87" s="27">
        <v>21698</v>
      </c>
      <c r="V87" s="27">
        <v>4</v>
      </c>
      <c r="W87" s="27">
        <v>0</v>
      </c>
      <c r="X87" s="27">
        <v>11</v>
      </c>
      <c r="Y87" s="27">
        <v>3</v>
      </c>
      <c r="Z87" s="27">
        <v>1</v>
      </c>
      <c r="AA87" s="27">
        <v>80</v>
      </c>
      <c r="AB87" s="27">
        <v>0</v>
      </c>
      <c r="AC87" s="27">
        <v>37</v>
      </c>
      <c r="AD87" s="27">
        <v>3</v>
      </c>
      <c r="AE87" s="27">
        <v>2</v>
      </c>
      <c r="AF87" s="27">
        <v>6</v>
      </c>
      <c r="AG87" s="27">
        <v>4</v>
      </c>
      <c r="AH87" s="27">
        <v>0</v>
      </c>
      <c r="AI87" s="28">
        <v>2</v>
      </c>
      <c r="AK87" s="36">
        <v>54</v>
      </c>
      <c r="AL87" s="33">
        <v>11</v>
      </c>
      <c r="AM87" s="33">
        <v>3</v>
      </c>
      <c r="AN87" s="33">
        <v>1</v>
      </c>
      <c r="AO87" s="33">
        <v>2</v>
      </c>
      <c r="AP87" s="33">
        <v>1</v>
      </c>
      <c r="AQ87" s="33">
        <v>1</v>
      </c>
      <c r="AR87" s="33">
        <v>3</v>
      </c>
      <c r="AS87" s="33">
        <v>4</v>
      </c>
      <c r="AT87" s="33">
        <v>2</v>
      </c>
      <c r="AU87" s="43">
        <v>0.26544136376357186</v>
      </c>
      <c r="AV87" s="33">
        <v>0</v>
      </c>
      <c r="AW87" s="33">
        <v>0</v>
      </c>
      <c r="AY87" s="36">
        <v>59</v>
      </c>
      <c r="AZ87" s="33">
        <v>2</v>
      </c>
      <c r="BA87" s="33">
        <v>4</v>
      </c>
      <c r="BB87" s="33">
        <v>0</v>
      </c>
      <c r="BC87" s="33">
        <v>1</v>
      </c>
      <c r="BD87" s="43">
        <v>5.5093218126976727E-2</v>
      </c>
      <c r="BE87" s="33">
        <v>0</v>
      </c>
      <c r="BF87" s="33">
        <v>0</v>
      </c>
      <c r="CE87" s="36">
        <v>53</v>
      </c>
      <c r="CF87" s="33">
        <v>1</v>
      </c>
      <c r="CG87" s="33">
        <v>2</v>
      </c>
      <c r="CH87" s="33">
        <v>1</v>
      </c>
      <c r="CI87" s="33">
        <v>3</v>
      </c>
      <c r="CJ87" s="33">
        <v>5</v>
      </c>
      <c r="CK87" s="33">
        <v>1</v>
      </c>
      <c r="CL87" s="33">
        <v>1</v>
      </c>
      <c r="CM87" s="33">
        <v>2</v>
      </c>
      <c r="CN87" s="33">
        <v>4</v>
      </c>
      <c r="CO87" s="33">
        <v>1</v>
      </c>
      <c r="CP87" s="43">
        <v>0.28451120374925343</v>
      </c>
      <c r="CQ87" s="33">
        <v>0</v>
      </c>
      <c r="CR87" s="33">
        <v>0</v>
      </c>
    </row>
    <row r="88" spans="1:96" ht="15" customHeight="1" x14ac:dyDescent="0.25">
      <c r="A88" s="26">
        <v>86</v>
      </c>
      <c r="B88" s="27">
        <v>23</v>
      </c>
      <c r="C88" s="27">
        <v>0</v>
      </c>
      <c r="D88" s="27">
        <v>1</v>
      </c>
      <c r="E88" s="27">
        <v>541</v>
      </c>
      <c r="F88" s="27">
        <v>1</v>
      </c>
      <c r="G88" s="27">
        <v>2</v>
      </c>
      <c r="H88" s="27">
        <v>1</v>
      </c>
      <c r="I88" s="27">
        <v>5</v>
      </c>
      <c r="J88" s="27">
        <v>1</v>
      </c>
      <c r="K88" s="27">
        <v>113</v>
      </c>
      <c r="L88" s="27">
        <v>3</v>
      </c>
      <c r="M88" s="27">
        <v>1</v>
      </c>
      <c r="N88" s="27">
        <v>62</v>
      </c>
      <c r="O88" s="27">
        <v>3</v>
      </c>
      <c r="P88" s="27">
        <v>1</v>
      </c>
      <c r="Q88" s="27">
        <v>7</v>
      </c>
      <c r="R88" s="27">
        <v>1</v>
      </c>
      <c r="S88" s="27">
        <v>3</v>
      </c>
      <c r="T88" s="27">
        <v>2322</v>
      </c>
      <c r="U88" s="27">
        <v>9518</v>
      </c>
      <c r="V88" s="27">
        <v>3</v>
      </c>
      <c r="W88" s="27">
        <v>0</v>
      </c>
      <c r="X88" s="27">
        <v>13</v>
      </c>
      <c r="Y88" s="27">
        <v>3</v>
      </c>
      <c r="Z88" s="27">
        <v>3</v>
      </c>
      <c r="AA88" s="27">
        <v>80</v>
      </c>
      <c r="AB88" s="27">
        <v>1</v>
      </c>
      <c r="AC88" s="27">
        <v>3</v>
      </c>
      <c r="AD88" s="27">
        <v>3</v>
      </c>
      <c r="AE88" s="27">
        <v>3</v>
      </c>
      <c r="AF88" s="27">
        <v>0</v>
      </c>
      <c r="AG88" s="27">
        <v>0</v>
      </c>
      <c r="AH88" s="27">
        <v>0</v>
      </c>
      <c r="AI88" s="28">
        <v>0</v>
      </c>
      <c r="AK88" s="36">
        <v>55</v>
      </c>
      <c r="AL88" s="33">
        <v>23</v>
      </c>
      <c r="AM88" s="33">
        <v>2</v>
      </c>
      <c r="AN88" s="33">
        <v>4</v>
      </c>
      <c r="AO88" s="33">
        <v>7</v>
      </c>
      <c r="AP88" s="33">
        <v>1</v>
      </c>
      <c r="AQ88" s="33">
        <v>1</v>
      </c>
      <c r="AR88" s="33">
        <v>2</v>
      </c>
      <c r="AS88" s="33">
        <v>2</v>
      </c>
      <c r="AT88" s="33">
        <v>0</v>
      </c>
      <c r="AU88" s="43">
        <v>0.40884169050625774</v>
      </c>
      <c r="AV88" s="33">
        <v>0</v>
      </c>
      <c r="AW88" s="33">
        <v>0</v>
      </c>
      <c r="AY88" s="36">
        <v>60</v>
      </c>
      <c r="AZ88" s="33">
        <v>2</v>
      </c>
      <c r="BA88" s="33">
        <v>3</v>
      </c>
      <c r="BB88" s="33">
        <v>0</v>
      </c>
      <c r="BC88" s="33">
        <v>1</v>
      </c>
      <c r="BD88" s="43">
        <v>7.244788656931947E-2</v>
      </c>
      <c r="BE88" s="33">
        <v>0</v>
      </c>
      <c r="BF88" s="33">
        <v>0</v>
      </c>
      <c r="CE88" s="36">
        <v>54</v>
      </c>
      <c r="CF88" s="33">
        <v>11</v>
      </c>
      <c r="CG88" s="33">
        <v>3</v>
      </c>
      <c r="CH88" s="33">
        <v>1</v>
      </c>
      <c r="CI88" s="33">
        <v>2</v>
      </c>
      <c r="CJ88" s="33">
        <v>2</v>
      </c>
      <c r="CK88" s="33">
        <v>1</v>
      </c>
      <c r="CL88" s="33">
        <v>1</v>
      </c>
      <c r="CM88" s="33">
        <v>3</v>
      </c>
      <c r="CN88" s="33">
        <v>4</v>
      </c>
      <c r="CO88" s="33">
        <v>2</v>
      </c>
      <c r="CP88" s="43">
        <v>0.2760825771981954</v>
      </c>
      <c r="CQ88" s="33">
        <v>0</v>
      </c>
      <c r="CR88" s="33">
        <v>0</v>
      </c>
    </row>
    <row r="89" spans="1:96" ht="15" customHeight="1" x14ac:dyDescent="0.25">
      <c r="A89" s="26">
        <v>87</v>
      </c>
      <c r="B89" s="27">
        <v>51</v>
      </c>
      <c r="C89" s="27">
        <v>0</v>
      </c>
      <c r="D89" s="27">
        <v>1</v>
      </c>
      <c r="E89" s="27">
        <v>432</v>
      </c>
      <c r="F89" s="27">
        <v>2</v>
      </c>
      <c r="G89" s="27">
        <v>9</v>
      </c>
      <c r="H89" s="27">
        <v>4</v>
      </c>
      <c r="I89" s="27">
        <v>1</v>
      </c>
      <c r="J89" s="27">
        <v>1</v>
      </c>
      <c r="K89" s="27">
        <v>116</v>
      </c>
      <c r="L89" s="27">
        <v>4</v>
      </c>
      <c r="M89" s="27">
        <v>1</v>
      </c>
      <c r="N89" s="27">
        <v>96</v>
      </c>
      <c r="O89" s="27">
        <v>3</v>
      </c>
      <c r="P89" s="27">
        <v>1</v>
      </c>
      <c r="Q89" s="27">
        <v>3</v>
      </c>
      <c r="R89" s="27">
        <v>4</v>
      </c>
      <c r="S89" s="27">
        <v>2</v>
      </c>
      <c r="T89" s="27">
        <v>2075</v>
      </c>
      <c r="U89" s="27">
        <v>18725</v>
      </c>
      <c r="V89" s="27">
        <v>3</v>
      </c>
      <c r="W89" s="27">
        <v>0</v>
      </c>
      <c r="X89" s="27">
        <v>23</v>
      </c>
      <c r="Y89" s="27">
        <v>4</v>
      </c>
      <c r="Z89" s="27">
        <v>2</v>
      </c>
      <c r="AA89" s="27">
        <v>80</v>
      </c>
      <c r="AB89" s="27">
        <v>2</v>
      </c>
      <c r="AC89" s="27">
        <v>10</v>
      </c>
      <c r="AD89" s="27">
        <v>4</v>
      </c>
      <c r="AE89" s="27">
        <v>3</v>
      </c>
      <c r="AF89" s="27">
        <v>4</v>
      </c>
      <c r="AG89" s="27">
        <v>2</v>
      </c>
      <c r="AH89" s="27">
        <v>0</v>
      </c>
      <c r="AI89" s="28">
        <v>3</v>
      </c>
      <c r="AK89" s="36">
        <v>56</v>
      </c>
      <c r="AL89" s="33">
        <v>1</v>
      </c>
      <c r="AM89" s="33">
        <v>3</v>
      </c>
      <c r="AN89" s="33">
        <v>4</v>
      </c>
      <c r="AO89" s="33">
        <v>1</v>
      </c>
      <c r="AP89" s="33">
        <v>1</v>
      </c>
      <c r="AQ89" s="33">
        <v>0</v>
      </c>
      <c r="AR89" s="33">
        <v>3</v>
      </c>
      <c r="AS89" s="33">
        <v>15</v>
      </c>
      <c r="AT89" s="33">
        <v>8</v>
      </c>
      <c r="AU89" s="43">
        <v>0.13467475358232023</v>
      </c>
      <c r="AV89" s="33">
        <v>0</v>
      </c>
      <c r="AW89" s="33">
        <v>0</v>
      </c>
      <c r="AY89" s="36">
        <v>61</v>
      </c>
      <c r="AZ89" s="33">
        <v>2</v>
      </c>
      <c r="BA89" s="33">
        <v>4</v>
      </c>
      <c r="BB89" s="33">
        <v>1</v>
      </c>
      <c r="BC89" s="33">
        <v>1</v>
      </c>
      <c r="BD89" s="43">
        <v>0.19951405628110813</v>
      </c>
      <c r="BE89" s="33">
        <v>0</v>
      </c>
      <c r="BF89" s="33">
        <v>0</v>
      </c>
      <c r="CE89" s="36">
        <v>55</v>
      </c>
      <c r="CF89" s="33">
        <v>23</v>
      </c>
      <c r="CG89" s="33">
        <v>2</v>
      </c>
      <c r="CH89" s="33">
        <v>4</v>
      </c>
      <c r="CI89" s="33">
        <v>2</v>
      </c>
      <c r="CJ89" s="33">
        <v>7</v>
      </c>
      <c r="CK89" s="33">
        <v>1</v>
      </c>
      <c r="CL89" s="33">
        <v>1</v>
      </c>
      <c r="CM89" s="33">
        <v>2</v>
      </c>
      <c r="CN89" s="33">
        <v>2</v>
      </c>
      <c r="CO89" s="33">
        <v>0</v>
      </c>
      <c r="CP89" s="43">
        <v>0.40949186047024644</v>
      </c>
      <c r="CQ89" s="33">
        <v>0</v>
      </c>
      <c r="CR89" s="33">
        <v>0</v>
      </c>
    </row>
    <row r="90" spans="1:96" ht="15" customHeight="1" x14ac:dyDescent="0.25">
      <c r="A90" s="26">
        <v>88</v>
      </c>
      <c r="B90" s="27">
        <v>30</v>
      </c>
      <c r="C90" s="27">
        <v>0</v>
      </c>
      <c r="D90" s="27">
        <v>1</v>
      </c>
      <c r="E90" s="27">
        <v>288</v>
      </c>
      <c r="F90" s="27">
        <v>2</v>
      </c>
      <c r="G90" s="27">
        <v>2</v>
      </c>
      <c r="H90" s="27">
        <v>3</v>
      </c>
      <c r="I90" s="27">
        <v>1</v>
      </c>
      <c r="J90" s="27">
        <v>1</v>
      </c>
      <c r="K90" s="27">
        <v>117</v>
      </c>
      <c r="L90" s="27">
        <v>3</v>
      </c>
      <c r="M90" s="27">
        <v>1</v>
      </c>
      <c r="N90" s="27">
        <v>99</v>
      </c>
      <c r="O90" s="27">
        <v>2</v>
      </c>
      <c r="P90" s="27">
        <v>2</v>
      </c>
      <c r="Q90" s="27">
        <v>5</v>
      </c>
      <c r="R90" s="27">
        <v>4</v>
      </c>
      <c r="S90" s="27">
        <v>2</v>
      </c>
      <c r="T90" s="27">
        <v>4152</v>
      </c>
      <c r="U90" s="27">
        <v>15830</v>
      </c>
      <c r="V90" s="27">
        <v>1</v>
      </c>
      <c r="W90" s="27">
        <v>0</v>
      </c>
      <c r="X90" s="27">
        <v>19</v>
      </c>
      <c r="Y90" s="27">
        <v>3</v>
      </c>
      <c r="Z90" s="27">
        <v>1</v>
      </c>
      <c r="AA90" s="27">
        <v>80</v>
      </c>
      <c r="AB90" s="27">
        <v>3</v>
      </c>
      <c r="AC90" s="27">
        <v>11</v>
      </c>
      <c r="AD90" s="27">
        <v>3</v>
      </c>
      <c r="AE90" s="27">
        <v>3</v>
      </c>
      <c r="AF90" s="27">
        <v>11</v>
      </c>
      <c r="AG90" s="27">
        <v>10</v>
      </c>
      <c r="AH90" s="27">
        <v>10</v>
      </c>
      <c r="AI90" s="28">
        <v>8</v>
      </c>
      <c r="AK90" s="36">
        <v>57</v>
      </c>
      <c r="AL90" s="33">
        <v>18</v>
      </c>
      <c r="AM90" s="33">
        <v>3</v>
      </c>
      <c r="AN90" s="33">
        <v>1</v>
      </c>
      <c r="AO90" s="33">
        <v>1</v>
      </c>
      <c r="AP90" s="33">
        <v>0</v>
      </c>
      <c r="AQ90" s="33">
        <v>1</v>
      </c>
      <c r="AR90" s="33">
        <v>2</v>
      </c>
      <c r="AS90" s="33">
        <v>9</v>
      </c>
      <c r="AT90" s="33">
        <v>1</v>
      </c>
      <c r="AU90" s="43">
        <v>7.0238355694723004E-2</v>
      </c>
      <c r="AV90" s="33">
        <v>0</v>
      </c>
      <c r="AW90" s="33">
        <v>0</v>
      </c>
      <c r="AY90" s="36">
        <v>62</v>
      </c>
      <c r="AZ90" s="33">
        <v>2</v>
      </c>
      <c r="BA90" s="33">
        <v>4</v>
      </c>
      <c r="BB90" s="33">
        <v>0</v>
      </c>
      <c r="BC90" s="33">
        <v>0</v>
      </c>
      <c r="BD90" s="43">
        <v>8.9935487507215722E-2</v>
      </c>
      <c r="BE90" s="33">
        <v>0</v>
      </c>
      <c r="BF90" s="33">
        <v>0</v>
      </c>
      <c r="CE90" s="36">
        <v>56</v>
      </c>
      <c r="CF90" s="33">
        <v>1</v>
      </c>
      <c r="CG90" s="33">
        <v>3</v>
      </c>
      <c r="CH90" s="33">
        <v>4</v>
      </c>
      <c r="CI90" s="33">
        <v>1</v>
      </c>
      <c r="CJ90" s="33">
        <v>1</v>
      </c>
      <c r="CK90" s="33">
        <v>1</v>
      </c>
      <c r="CL90" s="33">
        <v>0</v>
      </c>
      <c r="CM90" s="33">
        <v>3</v>
      </c>
      <c r="CN90" s="33">
        <v>15</v>
      </c>
      <c r="CO90" s="33">
        <v>8</v>
      </c>
      <c r="CP90" s="43">
        <v>0.16285907459345855</v>
      </c>
      <c r="CQ90" s="33">
        <v>0</v>
      </c>
      <c r="CR90" s="33">
        <v>0</v>
      </c>
    </row>
    <row r="91" spans="1:96" ht="15" customHeight="1" x14ac:dyDescent="0.25">
      <c r="A91" s="26">
        <v>89</v>
      </c>
      <c r="B91" s="27">
        <v>46</v>
      </c>
      <c r="C91" s="27">
        <v>1</v>
      </c>
      <c r="D91" s="27">
        <v>1</v>
      </c>
      <c r="E91" s="27">
        <v>669</v>
      </c>
      <c r="F91" s="27">
        <v>1</v>
      </c>
      <c r="G91" s="27">
        <v>9</v>
      </c>
      <c r="H91" s="27">
        <v>2</v>
      </c>
      <c r="I91" s="27">
        <v>3</v>
      </c>
      <c r="J91" s="27">
        <v>1</v>
      </c>
      <c r="K91" s="27">
        <v>118</v>
      </c>
      <c r="L91" s="27">
        <v>3</v>
      </c>
      <c r="M91" s="27">
        <v>1</v>
      </c>
      <c r="N91" s="27">
        <v>64</v>
      </c>
      <c r="O91" s="27">
        <v>2</v>
      </c>
      <c r="P91" s="27">
        <v>3</v>
      </c>
      <c r="Q91" s="27">
        <v>1</v>
      </c>
      <c r="R91" s="27">
        <v>4</v>
      </c>
      <c r="S91" s="27">
        <v>1</v>
      </c>
      <c r="T91" s="27">
        <v>9619</v>
      </c>
      <c r="U91" s="27">
        <v>13596</v>
      </c>
      <c r="V91" s="27">
        <v>1</v>
      </c>
      <c r="W91" s="27">
        <v>0</v>
      </c>
      <c r="X91" s="27">
        <v>16</v>
      </c>
      <c r="Y91" s="27">
        <v>3</v>
      </c>
      <c r="Z91" s="27">
        <v>4</v>
      </c>
      <c r="AA91" s="27">
        <v>80</v>
      </c>
      <c r="AB91" s="27">
        <v>0</v>
      </c>
      <c r="AC91" s="27">
        <v>9</v>
      </c>
      <c r="AD91" s="27">
        <v>3</v>
      </c>
      <c r="AE91" s="27">
        <v>3</v>
      </c>
      <c r="AF91" s="27">
        <v>9</v>
      </c>
      <c r="AG91" s="27">
        <v>8</v>
      </c>
      <c r="AH91" s="27">
        <v>4</v>
      </c>
      <c r="AI91" s="28">
        <v>7</v>
      </c>
      <c r="AK91" s="36">
        <v>58</v>
      </c>
      <c r="AL91" s="33">
        <v>23</v>
      </c>
      <c r="AM91" s="33">
        <v>1</v>
      </c>
      <c r="AN91" s="33">
        <v>1</v>
      </c>
      <c r="AO91" s="33">
        <v>3</v>
      </c>
      <c r="AP91" s="33">
        <v>1</v>
      </c>
      <c r="AQ91" s="33">
        <v>1</v>
      </c>
      <c r="AR91" s="33">
        <v>3</v>
      </c>
      <c r="AS91" s="33">
        <v>2</v>
      </c>
      <c r="AT91" s="33">
        <v>2</v>
      </c>
      <c r="AU91" s="43">
        <v>0.67197244680216084</v>
      </c>
      <c r="AV91" s="33">
        <v>1</v>
      </c>
      <c r="AW91" s="33">
        <v>0</v>
      </c>
      <c r="AY91" s="36">
        <v>63</v>
      </c>
      <c r="AZ91" s="33">
        <v>5</v>
      </c>
      <c r="BA91" s="33">
        <v>3</v>
      </c>
      <c r="BB91" s="33">
        <v>1</v>
      </c>
      <c r="BC91" s="33">
        <v>1</v>
      </c>
      <c r="BD91" s="43">
        <v>5.8845347099450079E-2</v>
      </c>
      <c r="BE91" s="33">
        <v>0</v>
      </c>
      <c r="BF91" s="33">
        <v>0</v>
      </c>
      <c r="CE91" s="36">
        <v>57</v>
      </c>
      <c r="CF91" s="33">
        <v>18</v>
      </c>
      <c r="CG91" s="33">
        <v>3</v>
      </c>
      <c r="CH91" s="33">
        <v>1</v>
      </c>
      <c r="CI91" s="33">
        <v>2</v>
      </c>
      <c r="CJ91" s="33">
        <v>1</v>
      </c>
      <c r="CK91" s="33">
        <v>0</v>
      </c>
      <c r="CL91" s="33">
        <v>1</v>
      </c>
      <c r="CM91" s="33">
        <v>2</v>
      </c>
      <c r="CN91" s="33">
        <v>9</v>
      </c>
      <c r="CO91" s="33">
        <v>1</v>
      </c>
      <c r="CP91" s="43">
        <v>7.1591442408547937E-2</v>
      </c>
      <c r="CQ91" s="33">
        <v>0</v>
      </c>
      <c r="CR91" s="33">
        <v>0</v>
      </c>
    </row>
    <row r="92" spans="1:96" ht="15" customHeight="1" x14ac:dyDescent="0.25">
      <c r="A92" s="26">
        <v>90</v>
      </c>
      <c r="B92" s="27">
        <v>40</v>
      </c>
      <c r="C92" s="27">
        <v>0</v>
      </c>
      <c r="D92" s="27">
        <v>2</v>
      </c>
      <c r="E92" s="27">
        <v>530</v>
      </c>
      <c r="F92" s="27">
        <v>2</v>
      </c>
      <c r="G92" s="27">
        <v>1</v>
      </c>
      <c r="H92" s="27">
        <v>4</v>
      </c>
      <c r="I92" s="27">
        <v>1</v>
      </c>
      <c r="J92" s="27">
        <v>1</v>
      </c>
      <c r="K92" s="27">
        <v>119</v>
      </c>
      <c r="L92" s="27">
        <v>3</v>
      </c>
      <c r="M92" s="27">
        <v>1</v>
      </c>
      <c r="N92" s="27">
        <v>78</v>
      </c>
      <c r="O92" s="27">
        <v>2</v>
      </c>
      <c r="P92" s="27">
        <v>4</v>
      </c>
      <c r="Q92" s="27">
        <v>5</v>
      </c>
      <c r="R92" s="27">
        <v>2</v>
      </c>
      <c r="S92" s="27">
        <v>2</v>
      </c>
      <c r="T92" s="27">
        <v>13503</v>
      </c>
      <c r="U92" s="27">
        <v>14115</v>
      </c>
      <c r="V92" s="27">
        <v>1</v>
      </c>
      <c r="W92" s="27">
        <v>0</v>
      </c>
      <c r="X92" s="27">
        <v>22</v>
      </c>
      <c r="Y92" s="27">
        <v>4</v>
      </c>
      <c r="Z92" s="27">
        <v>4</v>
      </c>
      <c r="AA92" s="27">
        <v>80</v>
      </c>
      <c r="AB92" s="27">
        <v>1</v>
      </c>
      <c r="AC92" s="27">
        <v>22</v>
      </c>
      <c r="AD92" s="27">
        <v>3</v>
      </c>
      <c r="AE92" s="27">
        <v>2</v>
      </c>
      <c r="AF92" s="27">
        <v>22</v>
      </c>
      <c r="AG92" s="27">
        <v>3</v>
      </c>
      <c r="AH92" s="27">
        <v>11</v>
      </c>
      <c r="AI92" s="28">
        <v>11</v>
      </c>
      <c r="AK92" s="36">
        <v>59</v>
      </c>
      <c r="AL92" s="33">
        <v>7</v>
      </c>
      <c r="AM92" s="33">
        <v>2</v>
      </c>
      <c r="AN92" s="33">
        <v>4</v>
      </c>
      <c r="AO92" s="33">
        <v>3</v>
      </c>
      <c r="AP92" s="33">
        <v>0</v>
      </c>
      <c r="AQ92" s="33">
        <v>1</v>
      </c>
      <c r="AR92" s="33">
        <v>2</v>
      </c>
      <c r="AS92" s="33">
        <v>7</v>
      </c>
      <c r="AT92" s="33">
        <v>1</v>
      </c>
      <c r="AU92" s="43">
        <v>4.901627330600198E-2</v>
      </c>
      <c r="AV92" s="33">
        <v>0</v>
      </c>
      <c r="AW92" s="33">
        <v>0</v>
      </c>
      <c r="AY92" s="36">
        <v>64</v>
      </c>
      <c r="AZ92" s="33">
        <v>3</v>
      </c>
      <c r="BA92" s="33">
        <v>1</v>
      </c>
      <c r="BB92" s="33">
        <v>0</v>
      </c>
      <c r="BC92" s="33">
        <v>0</v>
      </c>
      <c r="BD92" s="43">
        <v>0.11965500412792122</v>
      </c>
      <c r="BE92" s="33">
        <v>0</v>
      </c>
      <c r="BF92" s="33">
        <v>0</v>
      </c>
      <c r="CE92" s="36">
        <v>58</v>
      </c>
      <c r="CF92" s="33">
        <v>23</v>
      </c>
      <c r="CG92" s="33">
        <v>1</v>
      </c>
      <c r="CH92" s="33">
        <v>1</v>
      </c>
      <c r="CI92" s="33">
        <v>2</v>
      </c>
      <c r="CJ92" s="33">
        <v>3</v>
      </c>
      <c r="CK92" s="33">
        <v>1</v>
      </c>
      <c r="CL92" s="33">
        <v>1</v>
      </c>
      <c r="CM92" s="33">
        <v>3</v>
      </c>
      <c r="CN92" s="33">
        <v>2</v>
      </c>
      <c r="CO92" s="33">
        <v>2</v>
      </c>
      <c r="CP92" s="43">
        <v>0.67854349060992736</v>
      </c>
      <c r="CQ92" s="33">
        <v>1</v>
      </c>
      <c r="CR92" s="33">
        <v>0</v>
      </c>
    </row>
    <row r="93" spans="1:96" ht="15" customHeight="1" x14ac:dyDescent="0.25">
      <c r="A93" s="26">
        <v>91</v>
      </c>
      <c r="B93" s="27">
        <v>51</v>
      </c>
      <c r="C93" s="27">
        <v>0</v>
      </c>
      <c r="D93" s="27">
        <v>1</v>
      </c>
      <c r="E93" s="27">
        <v>632</v>
      </c>
      <c r="F93" s="27">
        <v>1</v>
      </c>
      <c r="G93" s="27">
        <v>21</v>
      </c>
      <c r="H93" s="27">
        <v>4</v>
      </c>
      <c r="I93" s="27">
        <v>4</v>
      </c>
      <c r="J93" s="27">
        <v>1</v>
      </c>
      <c r="K93" s="27">
        <v>120</v>
      </c>
      <c r="L93" s="27">
        <v>3</v>
      </c>
      <c r="M93" s="27">
        <v>1</v>
      </c>
      <c r="N93" s="27">
        <v>71</v>
      </c>
      <c r="O93" s="27">
        <v>3</v>
      </c>
      <c r="P93" s="27">
        <v>2</v>
      </c>
      <c r="Q93" s="27">
        <v>1</v>
      </c>
      <c r="R93" s="27">
        <v>4</v>
      </c>
      <c r="S93" s="27">
        <v>1</v>
      </c>
      <c r="T93" s="27">
        <v>5441</v>
      </c>
      <c r="U93" s="27">
        <v>8423</v>
      </c>
      <c r="V93" s="27">
        <v>0</v>
      </c>
      <c r="W93" s="27">
        <v>1</v>
      </c>
      <c r="X93" s="27">
        <v>22</v>
      </c>
      <c r="Y93" s="27">
        <v>4</v>
      </c>
      <c r="Z93" s="27">
        <v>4</v>
      </c>
      <c r="AA93" s="27">
        <v>80</v>
      </c>
      <c r="AB93" s="27">
        <v>0</v>
      </c>
      <c r="AC93" s="27">
        <v>11</v>
      </c>
      <c r="AD93" s="27">
        <v>2</v>
      </c>
      <c r="AE93" s="27">
        <v>1</v>
      </c>
      <c r="AF93" s="27">
        <v>10</v>
      </c>
      <c r="AG93" s="27">
        <v>7</v>
      </c>
      <c r="AH93" s="27">
        <v>1</v>
      </c>
      <c r="AI93" s="28">
        <v>0</v>
      </c>
      <c r="AK93" s="36">
        <v>60</v>
      </c>
      <c r="AL93" s="33">
        <v>1</v>
      </c>
      <c r="AM93" s="33">
        <v>2</v>
      </c>
      <c r="AN93" s="33">
        <v>3</v>
      </c>
      <c r="AO93" s="33">
        <v>1</v>
      </c>
      <c r="AP93" s="33">
        <v>0</v>
      </c>
      <c r="AQ93" s="33">
        <v>1</v>
      </c>
      <c r="AR93" s="33">
        <v>4</v>
      </c>
      <c r="AS93" s="33">
        <v>7</v>
      </c>
      <c r="AT93" s="33">
        <v>0</v>
      </c>
      <c r="AU93" s="43">
        <v>2.6045175293859725E-2</v>
      </c>
      <c r="AV93" s="33">
        <v>0</v>
      </c>
      <c r="AW93" s="33">
        <v>0</v>
      </c>
      <c r="AY93" s="36">
        <v>65</v>
      </c>
      <c r="AZ93" s="33">
        <v>3</v>
      </c>
      <c r="BA93" s="33">
        <v>3</v>
      </c>
      <c r="BB93" s="33">
        <v>0</v>
      </c>
      <c r="BC93" s="33">
        <v>3</v>
      </c>
      <c r="BD93" s="43">
        <v>1.5316827273494371E-2</v>
      </c>
      <c r="BE93" s="33">
        <v>0</v>
      </c>
      <c r="BF93" s="33">
        <v>0</v>
      </c>
      <c r="CE93" s="36">
        <v>59</v>
      </c>
      <c r="CF93" s="33">
        <v>7</v>
      </c>
      <c r="CG93" s="33">
        <v>2</v>
      </c>
      <c r="CH93" s="33">
        <v>4</v>
      </c>
      <c r="CI93" s="33">
        <v>3</v>
      </c>
      <c r="CJ93" s="33">
        <v>3</v>
      </c>
      <c r="CK93" s="33">
        <v>0</v>
      </c>
      <c r="CL93" s="33">
        <v>1</v>
      </c>
      <c r="CM93" s="33">
        <v>2</v>
      </c>
      <c r="CN93" s="33">
        <v>7</v>
      </c>
      <c r="CO93" s="33">
        <v>1</v>
      </c>
      <c r="CP93" s="43">
        <v>2.7712315400171397E-2</v>
      </c>
      <c r="CQ93" s="33">
        <v>0</v>
      </c>
      <c r="CR93" s="33">
        <v>0</v>
      </c>
    </row>
    <row r="94" spans="1:96" ht="15" customHeight="1" x14ac:dyDescent="0.25">
      <c r="A94" s="26">
        <v>92</v>
      </c>
      <c r="B94" s="27">
        <v>30</v>
      </c>
      <c r="C94" s="27">
        <v>0</v>
      </c>
      <c r="D94" s="27">
        <v>1</v>
      </c>
      <c r="E94" s="27">
        <v>1334</v>
      </c>
      <c r="F94" s="27">
        <v>1</v>
      </c>
      <c r="G94" s="27">
        <v>4</v>
      </c>
      <c r="H94" s="27">
        <v>2</v>
      </c>
      <c r="I94" s="27">
        <v>3</v>
      </c>
      <c r="J94" s="27">
        <v>1</v>
      </c>
      <c r="K94" s="27">
        <v>121</v>
      </c>
      <c r="L94" s="27">
        <v>3</v>
      </c>
      <c r="M94" s="27">
        <v>0</v>
      </c>
      <c r="N94" s="27">
        <v>63</v>
      </c>
      <c r="O94" s="27">
        <v>2</v>
      </c>
      <c r="P94" s="27">
        <v>2</v>
      </c>
      <c r="Q94" s="27">
        <v>1</v>
      </c>
      <c r="R94" s="27">
        <v>2</v>
      </c>
      <c r="S94" s="27">
        <v>3</v>
      </c>
      <c r="T94" s="27">
        <v>5209</v>
      </c>
      <c r="U94" s="27">
        <v>19760</v>
      </c>
      <c r="V94" s="27">
        <v>1</v>
      </c>
      <c r="W94" s="27">
        <v>1</v>
      </c>
      <c r="X94" s="27">
        <v>12</v>
      </c>
      <c r="Y94" s="27">
        <v>3</v>
      </c>
      <c r="Z94" s="27">
        <v>2</v>
      </c>
      <c r="AA94" s="27">
        <v>80</v>
      </c>
      <c r="AB94" s="27">
        <v>3</v>
      </c>
      <c r="AC94" s="27">
        <v>11</v>
      </c>
      <c r="AD94" s="27">
        <v>4</v>
      </c>
      <c r="AE94" s="27">
        <v>2</v>
      </c>
      <c r="AF94" s="27">
        <v>11</v>
      </c>
      <c r="AG94" s="27">
        <v>8</v>
      </c>
      <c r="AH94" s="27">
        <v>2</v>
      </c>
      <c r="AI94" s="28">
        <v>7</v>
      </c>
      <c r="AK94" s="36">
        <v>61</v>
      </c>
      <c r="AL94" s="33">
        <v>1</v>
      </c>
      <c r="AM94" s="33">
        <v>2</v>
      </c>
      <c r="AN94" s="33">
        <v>4</v>
      </c>
      <c r="AO94" s="33">
        <v>1</v>
      </c>
      <c r="AP94" s="33">
        <v>1</v>
      </c>
      <c r="AQ94" s="33">
        <v>1</v>
      </c>
      <c r="AR94" s="33">
        <v>3</v>
      </c>
      <c r="AS94" s="33">
        <v>9</v>
      </c>
      <c r="AT94" s="33">
        <v>7</v>
      </c>
      <c r="AU94" s="43">
        <v>0.17414929430784801</v>
      </c>
      <c r="AV94" s="33">
        <v>0</v>
      </c>
      <c r="AW94" s="33">
        <v>0</v>
      </c>
      <c r="AY94" s="36">
        <v>66</v>
      </c>
      <c r="AZ94" s="33">
        <v>4</v>
      </c>
      <c r="BA94" s="33">
        <v>3</v>
      </c>
      <c r="BB94" s="33">
        <v>1</v>
      </c>
      <c r="BC94" s="33">
        <v>3</v>
      </c>
      <c r="BD94" s="43">
        <v>3.6648163362848506E-2</v>
      </c>
      <c r="BE94" s="33">
        <v>0</v>
      </c>
      <c r="BF94" s="33">
        <v>0</v>
      </c>
      <c r="CE94" s="36">
        <v>60</v>
      </c>
      <c r="CF94" s="33">
        <v>1</v>
      </c>
      <c r="CG94" s="33">
        <v>2</v>
      </c>
      <c r="CH94" s="33">
        <v>3</v>
      </c>
      <c r="CI94" s="33">
        <v>3</v>
      </c>
      <c r="CJ94" s="33">
        <v>1</v>
      </c>
      <c r="CK94" s="33">
        <v>0</v>
      </c>
      <c r="CL94" s="33">
        <v>1</v>
      </c>
      <c r="CM94" s="33">
        <v>4</v>
      </c>
      <c r="CN94" s="33">
        <v>7</v>
      </c>
      <c r="CO94" s="33">
        <v>0</v>
      </c>
      <c r="CP94" s="43">
        <v>1.4310457891646202E-2</v>
      </c>
      <c r="CQ94" s="33">
        <v>0</v>
      </c>
      <c r="CR94" s="33">
        <v>0</v>
      </c>
    </row>
    <row r="95" spans="1:96" ht="15" customHeight="1" x14ac:dyDescent="0.25">
      <c r="A95" s="26">
        <v>93</v>
      </c>
      <c r="B95" s="27">
        <v>46</v>
      </c>
      <c r="C95" s="27">
        <v>0</v>
      </c>
      <c r="D95" s="27">
        <v>2</v>
      </c>
      <c r="E95" s="27">
        <v>638</v>
      </c>
      <c r="F95" s="27">
        <v>2</v>
      </c>
      <c r="G95" s="27">
        <v>1</v>
      </c>
      <c r="H95" s="27">
        <v>3</v>
      </c>
      <c r="I95" s="27">
        <v>3</v>
      </c>
      <c r="J95" s="27">
        <v>1</v>
      </c>
      <c r="K95" s="27">
        <v>124</v>
      </c>
      <c r="L95" s="27">
        <v>3</v>
      </c>
      <c r="M95" s="27">
        <v>1</v>
      </c>
      <c r="N95" s="27">
        <v>40</v>
      </c>
      <c r="O95" s="27">
        <v>2</v>
      </c>
      <c r="P95" s="27">
        <v>3</v>
      </c>
      <c r="Q95" s="27">
        <v>5</v>
      </c>
      <c r="R95" s="27">
        <v>1</v>
      </c>
      <c r="S95" s="27">
        <v>2</v>
      </c>
      <c r="T95" s="27">
        <v>10673</v>
      </c>
      <c r="U95" s="27">
        <v>3142</v>
      </c>
      <c r="V95" s="27">
        <v>2</v>
      </c>
      <c r="W95" s="27">
        <v>1</v>
      </c>
      <c r="X95" s="27">
        <v>13</v>
      </c>
      <c r="Y95" s="27">
        <v>3</v>
      </c>
      <c r="Z95" s="27">
        <v>3</v>
      </c>
      <c r="AA95" s="27">
        <v>80</v>
      </c>
      <c r="AB95" s="27">
        <v>1</v>
      </c>
      <c r="AC95" s="27">
        <v>21</v>
      </c>
      <c r="AD95" s="27">
        <v>5</v>
      </c>
      <c r="AE95" s="27">
        <v>2</v>
      </c>
      <c r="AF95" s="27">
        <v>10</v>
      </c>
      <c r="AG95" s="27">
        <v>9</v>
      </c>
      <c r="AH95" s="27">
        <v>9</v>
      </c>
      <c r="AI95" s="28">
        <v>5</v>
      </c>
      <c r="AK95" s="36">
        <v>62</v>
      </c>
      <c r="AL95" s="33">
        <v>29</v>
      </c>
      <c r="AM95" s="33">
        <v>2</v>
      </c>
      <c r="AN95" s="33">
        <v>4</v>
      </c>
      <c r="AO95" s="33">
        <v>1</v>
      </c>
      <c r="AP95" s="33">
        <v>0</v>
      </c>
      <c r="AQ95" s="33">
        <v>0</v>
      </c>
      <c r="AR95" s="33">
        <v>3</v>
      </c>
      <c r="AS95" s="33">
        <v>10</v>
      </c>
      <c r="AT95" s="33">
        <v>9</v>
      </c>
      <c r="AU95" s="43">
        <v>0.20290192141454003</v>
      </c>
      <c r="AV95" s="33">
        <v>0</v>
      </c>
      <c r="AW95" s="33">
        <v>0</v>
      </c>
      <c r="AY95" s="36">
        <v>67</v>
      </c>
      <c r="AZ95" s="33">
        <v>2</v>
      </c>
      <c r="BA95" s="33">
        <v>2</v>
      </c>
      <c r="BB95" s="33">
        <v>0</v>
      </c>
      <c r="BC95" s="33">
        <v>0</v>
      </c>
      <c r="BD95" s="43">
        <v>0.15063023792355215</v>
      </c>
      <c r="BE95" s="33">
        <v>0</v>
      </c>
      <c r="BF95" s="33">
        <v>0</v>
      </c>
      <c r="CE95" s="36">
        <v>61</v>
      </c>
      <c r="CF95" s="33">
        <v>1</v>
      </c>
      <c r="CG95" s="33">
        <v>2</v>
      </c>
      <c r="CH95" s="33">
        <v>4</v>
      </c>
      <c r="CI95" s="33">
        <v>2</v>
      </c>
      <c r="CJ95" s="33">
        <v>1</v>
      </c>
      <c r="CK95" s="33">
        <v>1</v>
      </c>
      <c r="CL95" s="33">
        <v>1</v>
      </c>
      <c r="CM95" s="33">
        <v>3</v>
      </c>
      <c r="CN95" s="33">
        <v>9</v>
      </c>
      <c r="CO95" s="33">
        <v>7</v>
      </c>
      <c r="CP95" s="43">
        <v>0.17438802237064027</v>
      </c>
      <c r="CQ95" s="33">
        <v>0</v>
      </c>
      <c r="CR95" s="33">
        <v>0</v>
      </c>
    </row>
    <row r="96" spans="1:96" ht="15" customHeight="1" x14ac:dyDescent="0.25">
      <c r="A96" s="26">
        <v>94</v>
      </c>
      <c r="B96" s="27">
        <v>32</v>
      </c>
      <c r="C96" s="27">
        <v>0</v>
      </c>
      <c r="D96" s="27">
        <v>1</v>
      </c>
      <c r="E96" s="27">
        <v>1093</v>
      </c>
      <c r="F96" s="27">
        <v>1</v>
      </c>
      <c r="G96" s="27">
        <v>6</v>
      </c>
      <c r="H96" s="27">
        <v>4</v>
      </c>
      <c r="I96" s="27">
        <v>3</v>
      </c>
      <c r="J96" s="27">
        <v>1</v>
      </c>
      <c r="K96" s="27">
        <v>125</v>
      </c>
      <c r="L96" s="27">
        <v>2</v>
      </c>
      <c r="M96" s="27">
        <v>1</v>
      </c>
      <c r="N96" s="27">
        <v>87</v>
      </c>
      <c r="O96" s="27">
        <v>3</v>
      </c>
      <c r="P96" s="27">
        <v>2</v>
      </c>
      <c r="Q96" s="27">
        <v>1</v>
      </c>
      <c r="R96" s="27">
        <v>3</v>
      </c>
      <c r="S96" s="27">
        <v>1</v>
      </c>
      <c r="T96" s="27">
        <v>5010</v>
      </c>
      <c r="U96" s="27">
        <v>24301</v>
      </c>
      <c r="V96" s="27">
        <v>1</v>
      </c>
      <c r="W96" s="27">
        <v>0</v>
      </c>
      <c r="X96" s="27">
        <v>16</v>
      </c>
      <c r="Y96" s="27">
        <v>3</v>
      </c>
      <c r="Z96" s="27">
        <v>1</v>
      </c>
      <c r="AA96" s="27">
        <v>80</v>
      </c>
      <c r="AB96" s="27">
        <v>0</v>
      </c>
      <c r="AC96" s="27">
        <v>12</v>
      </c>
      <c r="AD96" s="27">
        <v>0</v>
      </c>
      <c r="AE96" s="27">
        <v>3</v>
      </c>
      <c r="AF96" s="27">
        <v>11</v>
      </c>
      <c r="AG96" s="27">
        <v>8</v>
      </c>
      <c r="AH96" s="27">
        <v>5</v>
      </c>
      <c r="AI96" s="28">
        <v>7</v>
      </c>
      <c r="AK96" s="36">
        <v>63</v>
      </c>
      <c r="AL96" s="33">
        <v>7</v>
      </c>
      <c r="AM96" s="33">
        <v>5</v>
      </c>
      <c r="AN96" s="33">
        <v>3</v>
      </c>
      <c r="AO96" s="33">
        <v>5</v>
      </c>
      <c r="AP96" s="33">
        <v>1</v>
      </c>
      <c r="AQ96" s="33">
        <v>1</v>
      </c>
      <c r="AR96" s="33">
        <v>2</v>
      </c>
      <c r="AS96" s="33">
        <v>27</v>
      </c>
      <c r="AT96" s="33">
        <v>13</v>
      </c>
      <c r="AU96" s="43">
        <v>5.9149327428182616E-2</v>
      </c>
      <c r="AV96" s="33">
        <v>0</v>
      </c>
      <c r="AW96" s="33">
        <v>0</v>
      </c>
      <c r="AY96" s="36">
        <v>68</v>
      </c>
      <c r="AZ96" s="33">
        <v>3</v>
      </c>
      <c r="BA96" s="33">
        <v>1</v>
      </c>
      <c r="BB96" s="33">
        <v>0</v>
      </c>
      <c r="BC96" s="33">
        <v>1</v>
      </c>
      <c r="BD96" s="43">
        <v>7.4238208059117641E-2</v>
      </c>
      <c r="BE96" s="33">
        <v>0</v>
      </c>
      <c r="BF96" s="33">
        <v>0</v>
      </c>
      <c r="CE96" s="36">
        <v>62</v>
      </c>
      <c r="CF96" s="33">
        <v>29</v>
      </c>
      <c r="CG96" s="33">
        <v>2</v>
      </c>
      <c r="CH96" s="33">
        <v>4</v>
      </c>
      <c r="CI96" s="33">
        <v>1</v>
      </c>
      <c r="CJ96" s="33">
        <v>1</v>
      </c>
      <c r="CK96" s="33">
        <v>0</v>
      </c>
      <c r="CL96" s="33">
        <v>0</v>
      </c>
      <c r="CM96" s="33">
        <v>3</v>
      </c>
      <c r="CN96" s="33">
        <v>10</v>
      </c>
      <c r="CO96" s="33">
        <v>9</v>
      </c>
      <c r="CP96" s="43">
        <v>0.23148359539627711</v>
      </c>
      <c r="CQ96" s="33">
        <v>0</v>
      </c>
      <c r="CR96" s="33">
        <v>0</v>
      </c>
    </row>
    <row r="97" spans="1:96" ht="15" customHeight="1" x14ac:dyDescent="0.25">
      <c r="A97" s="26">
        <v>95</v>
      </c>
      <c r="B97" s="27">
        <v>54</v>
      </c>
      <c r="C97" s="27">
        <v>0</v>
      </c>
      <c r="D97" s="27">
        <v>1</v>
      </c>
      <c r="E97" s="27">
        <v>1217</v>
      </c>
      <c r="F97" s="27">
        <v>2</v>
      </c>
      <c r="G97" s="27">
        <v>2</v>
      </c>
      <c r="H97" s="27">
        <v>4</v>
      </c>
      <c r="I97" s="27">
        <v>5</v>
      </c>
      <c r="J97" s="27">
        <v>1</v>
      </c>
      <c r="K97" s="27">
        <v>126</v>
      </c>
      <c r="L97" s="27">
        <v>1</v>
      </c>
      <c r="M97" s="27">
        <v>0</v>
      </c>
      <c r="N97" s="27">
        <v>60</v>
      </c>
      <c r="O97" s="27">
        <v>3</v>
      </c>
      <c r="P97" s="27">
        <v>3</v>
      </c>
      <c r="Q97" s="27">
        <v>8</v>
      </c>
      <c r="R97" s="27">
        <v>3</v>
      </c>
      <c r="S97" s="27">
        <v>2</v>
      </c>
      <c r="T97" s="27">
        <v>13549</v>
      </c>
      <c r="U97" s="27">
        <v>24001</v>
      </c>
      <c r="V97" s="27">
        <v>9</v>
      </c>
      <c r="W97" s="27">
        <v>0</v>
      </c>
      <c r="X97" s="27">
        <v>12</v>
      </c>
      <c r="Y97" s="27">
        <v>3</v>
      </c>
      <c r="Z97" s="27">
        <v>1</v>
      </c>
      <c r="AA97" s="27">
        <v>80</v>
      </c>
      <c r="AB97" s="27">
        <v>1</v>
      </c>
      <c r="AC97" s="27">
        <v>16</v>
      </c>
      <c r="AD97" s="27">
        <v>5</v>
      </c>
      <c r="AE97" s="27">
        <v>1</v>
      </c>
      <c r="AF97" s="27">
        <v>4</v>
      </c>
      <c r="AG97" s="27">
        <v>3</v>
      </c>
      <c r="AH97" s="27">
        <v>0</v>
      </c>
      <c r="AI97" s="28">
        <v>3</v>
      </c>
      <c r="AK97" s="36">
        <v>64</v>
      </c>
      <c r="AL97" s="33">
        <v>25</v>
      </c>
      <c r="AM97" s="33">
        <v>3</v>
      </c>
      <c r="AN97" s="33">
        <v>1</v>
      </c>
      <c r="AO97" s="33">
        <v>7</v>
      </c>
      <c r="AP97" s="33">
        <v>0</v>
      </c>
      <c r="AQ97" s="33">
        <v>0</v>
      </c>
      <c r="AR97" s="33">
        <v>2</v>
      </c>
      <c r="AS97" s="33">
        <v>21</v>
      </c>
      <c r="AT97" s="33">
        <v>7</v>
      </c>
      <c r="AU97" s="43">
        <v>0.18820677479784859</v>
      </c>
      <c r="AV97" s="33">
        <v>0</v>
      </c>
      <c r="AW97" s="33">
        <v>0</v>
      </c>
      <c r="AY97" s="36">
        <v>69</v>
      </c>
      <c r="AZ97" s="33">
        <v>1</v>
      </c>
      <c r="BA97" s="33">
        <v>1</v>
      </c>
      <c r="BB97" s="33">
        <v>0</v>
      </c>
      <c r="BC97" s="33">
        <v>1</v>
      </c>
      <c r="BD97" s="43">
        <v>0.19678474515944386</v>
      </c>
      <c r="BE97" s="33">
        <v>0</v>
      </c>
      <c r="BF97" s="33">
        <v>0</v>
      </c>
      <c r="CE97" s="36">
        <v>63</v>
      </c>
      <c r="CF97" s="33">
        <v>7</v>
      </c>
      <c r="CG97" s="33">
        <v>5</v>
      </c>
      <c r="CH97" s="33">
        <v>3</v>
      </c>
      <c r="CI97" s="33">
        <v>3</v>
      </c>
      <c r="CJ97" s="33">
        <v>5</v>
      </c>
      <c r="CK97" s="33">
        <v>1</v>
      </c>
      <c r="CL97" s="33">
        <v>1</v>
      </c>
      <c r="CM97" s="33">
        <v>2</v>
      </c>
      <c r="CN97" s="33">
        <v>27</v>
      </c>
      <c r="CO97" s="33">
        <v>13</v>
      </c>
      <c r="CP97" s="43">
        <v>3.7772349111156282E-2</v>
      </c>
      <c r="CQ97" s="33">
        <v>0</v>
      </c>
      <c r="CR97" s="33">
        <v>0</v>
      </c>
    </row>
    <row r="98" spans="1:96" ht="15" customHeight="1" x14ac:dyDescent="0.25">
      <c r="A98" s="26">
        <v>96</v>
      </c>
      <c r="B98" s="27">
        <v>24</v>
      </c>
      <c r="C98" s="27">
        <v>0</v>
      </c>
      <c r="D98" s="27">
        <v>1</v>
      </c>
      <c r="E98" s="27">
        <v>1353</v>
      </c>
      <c r="F98" s="27">
        <v>1</v>
      </c>
      <c r="G98" s="27">
        <v>3</v>
      </c>
      <c r="H98" s="27">
        <v>2</v>
      </c>
      <c r="I98" s="27">
        <v>6</v>
      </c>
      <c r="J98" s="27">
        <v>1</v>
      </c>
      <c r="K98" s="27">
        <v>128</v>
      </c>
      <c r="L98" s="27">
        <v>1</v>
      </c>
      <c r="M98" s="27">
        <v>0</v>
      </c>
      <c r="N98" s="27">
        <v>33</v>
      </c>
      <c r="O98" s="27">
        <v>3</v>
      </c>
      <c r="P98" s="27">
        <v>2</v>
      </c>
      <c r="Q98" s="27">
        <v>1</v>
      </c>
      <c r="R98" s="27">
        <v>3</v>
      </c>
      <c r="S98" s="27">
        <v>2</v>
      </c>
      <c r="T98" s="27">
        <v>4999</v>
      </c>
      <c r="U98" s="27">
        <v>17519</v>
      </c>
      <c r="V98" s="27">
        <v>0</v>
      </c>
      <c r="W98" s="27">
        <v>0</v>
      </c>
      <c r="X98" s="27">
        <v>21</v>
      </c>
      <c r="Y98" s="27">
        <v>4</v>
      </c>
      <c r="Z98" s="27">
        <v>1</v>
      </c>
      <c r="AA98" s="27">
        <v>80</v>
      </c>
      <c r="AB98" s="27">
        <v>1</v>
      </c>
      <c r="AC98" s="27">
        <v>4</v>
      </c>
      <c r="AD98" s="27">
        <v>2</v>
      </c>
      <c r="AE98" s="27">
        <v>2</v>
      </c>
      <c r="AF98" s="27">
        <v>3</v>
      </c>
      <c r="AG98" s="27">
        <v>2</v>
      </c>
      <c r="AH98" s="27">
        <v>0</v>
      </c>
      <c r="AI98" s="28">
        <v>2</v>
      </c>
      <c r="AK98" s="36">
        <v>65</v>
      </c>
      <c r="AL98" s="33">
        <v>8</v>
      </c>
      <c r="AM98" s="33">
        <v>3</v>
      </c>
      <c r="AN98" s="33">
        <v>3</v>
      </c>
      <c r="AO98" s="33">
        <v>1</v>
      </c>
      <c r="AP98" s="33">
        <v>0</v>
      </c>
      <c r="AQ98" s="33">
        <v>3</v>
      </c>
      <c r="AR98" s="33">
        <v>3</v>
      </c>
      <c r="AS98" s="33">
        <v>17</v>
      </c>
      <c r="AT98" s="33">
        <v>12</v>
      </c>
      <c r="AU98" s="43">
        <v>1.4770693540516964E-2</v>
      </c>
      <c r="AV98" s="33">
        <v>0</v>
      </c>
      <c r="AW98" s="33">
        <v>0</v>
      </c>
      <c r="AY98" s="36">
        <v>70</v>
      </c>
      <c r="AZ98" s="33">
        <v>1</v>
      </c>
      <c r="BA98" s="33">
        <v>3</v>
      </c>
      <c r="BB98" s="33">
        <v>1</v>
      </c>
      <c r="BC98" s="33">
        <v>1</v>
      </c>
      <c r="BD98" s="43">
        <v>0.36852652578740397</v>
      </c>
      <c r="BE98" s="33">
        <v>0</v>
      </c>
      <c r="BF98" s="33">
        <v>1</v>
      </c>
      <c r="CE98" s="36">
        <v>64</v>
      </c>
      <c r="CF98" s="33">
        <v>25</v>
      </c>
      <c r="CG98" s="33">
        <v>3</v>
      </c>
      <c r="CH98" s="33">
        <v>1</v>
      </c>
      <c r="CI98" s="33">
        <v>1</v>
      </c>
      <c r="CJ98" s="33">
        <v>7</v>
      </c>
      <c r="CK98" s="33">
        <v>0</v>
      </c>
      <c r="CL98" s="33">
        <v>0</v>
      </c>
      <c r="CM98" s="33">
        <v>2</v>
      </c>
      <c r="CN98" s="33">
        <v>21</v>
      </c>
      <c r="CO98" s="33">
        <v>7</v>
      </c>
      <c r="CP98" s="43">
        <v>0.22931445567776143</v>
      </c>
      <c r="CQ98" s="33">
        <v>0</v>
      </c>
      <c r="CR98" s="33">
        <v>0</v>
      </c>
    </row>
    <row r="99" spans="1:96" ht="15" customHeight="1" x14ac:dyDescent="0.25">
      <c r="A99" s="26">
        <v>97</v>
      </c>
      <c r="B99" s="27">
        <v>28</v>
      </c>
      <c r="C99" s="27">
        <v>0</v>
      </c>
      <c r="D99" s="27">
        <v>3</v>
      </c>
      <c r="E99" s="27">
        <v>120</v>
      </c>
      <c r="F99" s="27">
        <v>1</v>
      </c>
      <c r="G99" s="27">
        <v>4</v>
      </c>
      <c r="H99" s="27">
        <v>3</v>
      </c>
      <c r="I99" s="27">
        <v>3</v>
      </c>
      <c r="J99" s="27">
        <v>1</v>
      </c>
      <c r="K99" s="27">
        <v>129</v>
      </c>
      <c r="L99" s="27">
        <v>2</v>
      </c>
      <c r="M99" s="27">
        <v>1</v>
      </c>
      <c r="N99" s="27">
        <v>43</v>
      </c>
      <c r="O99" s="27">
        <v>3</v>
      </c>
      <c r="P99" s="27">
        <v>2</v>
      </c>
      <c r="Q99" s="27">
        <v>1</v>
      </c>
      <c r="R99" s="27">
        <v>3</v>
      </c>
      <c r="S99" s="27">
        <v>2</v>
      </c>
      <c r="T99" s="27">
        <v>4221</v>
      </c>
      <c r="U99" s="27">
        <v>8863</v>
      </c>
      <c r="V99" s="27">
        <v>1</v>
      </c>
      <c r="W99" s="27">
        <v>0</v>
      </c>
      <c r="X99" s="27">
        <v>15</v>
      </c>
      <c r="Y99" s="27">
        <v>3</v>
      </c>
      <c r="Z99" s="27">
        <v>2</v>
      </c>
      <c r="AA99" s="27">
        <v>80</v>
      </c>
      <c r="AB99" s="27">
        <v>0</v>
      </c>
      <c r="AC99" s="27">
        <v>5</v>
      </c>
      <c r="AD99" s="27">
        <v>3</v>
      </c>
      <c r="AE99" s="27">
        <v>4</v>
      </c>
      <c r="AF99" s="27">
        <v>5</v>
      </c>
      <c r="AG99" s="27">
        <v>4</v>
      </c>
      <c r="AH99" s="27">
        <v>0</v>
      </c>
      <c r="AI99" s="28">
        <v>4</v>
      </c>
      <c r="AK99" s="36">
        <v>66</v>
      </c>
      <c r="AL99" s="33">
        <v>8</v>
      </c>
      <c r="AM99" s="33">
        <v>4</v>
      </c>
      <c r="AN99" s="33">
        <v>3</v>
      </c>
      <c r="AO99" s="33">
        <v>2</v>
      </c>
      <c r="AP99" s="33">
        <v>1</v>
      </c>
      <c r="AQ99" s="33">
        <v>3</v>
      </c>
      <c r="AR99" s="33">
        <v>3</v>
      </c>
      <c r="AS99" s="33">
        <v>5</v>
      </c>
      <c r="AT99" s="33">
        <v>0</v>
      </c>
      <c r="AU99" s="43">
        <v>2.4423824389819521E-2</v>
      </c>
      <c r="AV99" s="33">
        <v>0</v>
      </c>
      <c r="AW99" s="33">
        <v>0</v>
      </c>
      <c r="AY99" s="36">
        <v>71</v>
      </c>
      <c r="AZ99" s="33">
        <v>2</v>
      </c>
      <c r="BA99" s="33">
        <v>3</v>
      </c>
      <c r="BB99" s="33">
        <v>0</v>
      </c>
      <c r="BC99" s="33">
        <v>0</v>
      </c>
      <c r="BD99" s="43">
        <v>0.11690772887050198</v>
      </c>
      <c r="BE99" s="33">
        <v>0</v>
      </c>
      <c r="BF99" s="33">
        <v>0</v>
      </c>
      <c r="CE99" s="36">
        <v>65</v>
      </c>
      <c r="CF99" s="33">
        <v>8</v>
      </c>
      <c r="CG99" s="33">
        <v>3</v>
      </c>
      <c r="CH99" s="33">
        <v>3</v>
      </c>
      <c r="CI99" s="33">
        <v>3</v>
      </c>
      <c r="CJ99" s="33">
        <v>1</v>
      </c>
      <c r="CK99" s="33">
        <v>0</v>
      </c>
      <c r="CL99" s="33">
        <v>3</v>
      </c>
      <c r="CM99" s="33">
        <v>3</v>
      </c>
      <c r="CN99" s="33">
        <v>17</v>
      </c>
      <c r="CO99" s="33">
        <v>12</v>
      </c>
      <c r="CP99" s="43">
        <v>1.6844331989893959E-2</v>
      </c>
      <c r="CQ99" s="33">
        <v>0</v>
      </c>
      <c r="CR99" s="33">
        <v>0</v>
      </c>
    </row>
    <row r="100" spans="1:96" ht="15" customHeight="1" x14ac:dyDescent="0.25">
      <c r="A100" s="26">
        <v>98</v>
      </c>
      <c r="B100" s="27">
        <v>58</v>
      </c>
      <c r="C100" s="27">
        <v>0</v>
      </c>
      <c r="D100" s="27">
        <v>1</v>
      </c>
      <c r="E100" s="27">
        <v>682</v>
      </c>
      <c r="F100" s="27">
        <v>1</v>
      </c>
      <c r="G100" s="27">
        <v>10</v>
      </c>
      <c r="H100" s="27">
        <v>4</v>
      </c>
      <c r="I100" s="27">
        <v>3</v>
      </c>
      <c r="J100" s="27">
        <v>1</v>
      </c>
      <c r="K100" s="27">
        <v>131</v>
      </c>
      <c r="L100" s="27">
        <v>4</v>
      </c>
      <c r="M100" s="27">
        <v>1</v>
      </c>
      <c r="N100" s="27">
        <v>37</v>
      </c>
      <c r="O100" s="27">
        <v>3</v>
      </c>
      <c r="P100" s="27">
        <v>4</v>
      </c>
      <c r="Q100" s="27">
        <v>1</v>
      </c>
      <c r="R100" s="27">
        <v>3</v>
      </c>
      <c r="S100" s="27">
        <v>1</v>
      </c>
      <c r="T100" s="27">
        <v>13872</v>
      </c>
      <c r="U100" s="27">
        <v>24409</v>
      </c>
      <c r="V100" s="27">
        <v>0</v>
      </c>
      <c r="W100" s="27">
        <v>0</v>
      </c>
      <c r="X100" s="27">
        <v>13</v>
      </c>
      <c r="Y100" s="27">
        <v>3</v>
      </c>
      <c r="Z100" s="27">
        <v>3</v>
      </c>
      <c r="AA100" s="27">
        <v>80</v>
      </c>
      <c r="AB100" s="27">
        <v>0</v>
      </c>
      <c r="AC100" s="27">
        <v>38</v>
      </c>
      <c r="AD100" s="27">
        <v>1</v>
      </c>
      <c r="AE100" s="27">
        <v>2</v>
      </c>
      <c r="AF100" s="27">
        <v>37</v>
      </c>
      <c r="AG100" s="27">
        <v>10</v>
      </c>
      <c r="AH100" s="27">
        <v>1</v>
      </c>
      <c r="AI100" s="28">
        <v>8</v>
      </c>
      <c r="AK100" s="36">
        <v>67</v>
      </c>
      <c r="AL100" s="33">
        <v>11</v>
      </c>
      <c r="AM100" s="33">
        <v>2</v>
      </c>
      <c r="AN100" s="33">
        <v>2</v>
      </c>
      <c r="AO100" s="33">
        <v>1</v>
      </c>
      <c r="AP100" s="33">
        <v>0</v>
      </c>
      <c r="AQ100" s="33">
        <v>0</v>
      </c>
      <c r="AR100" s="33">
        <v>3</v>
      </c>
      <c r="AS100" s="33">
        <v>6</v>
      </c>
      <c r="AT100" s="33">
        <v>0</v>
      </c>
      <c r="AU100" s="43">
        <v>0.10703621504514392</v>
      </c>
      <c r="AV100" s="33">
        <v>0</v>
      </c>
      <c r="AW100" s="33">
        <v>0</v>
      </c>
      <c r="AY100" s="36">
        <v>72</v>
      </c>
      <c r="AZ100" s="33">
        <v>1</v>
      </c>
      <c r="BA100" s="33">
        <v>2</v>
      </c>
      <c r="BB100" s="33">
        <v>0</v>
      </c>
      <c r="BC100" s="33">
        <v>1</v>
      </c>
      <c r="BD100" s="43">
        <v>0.15461023487664</v>
      </c>
      <c r="BE100" s="33">
        <v>0</v>
      </c>
      <c r="BF100" s="33">
        <v>0</v>
      </c>
      <c r="CE100" s="36">
        <v>66</v>
      </c>
      <c r="CF100" s="33">
        <v>8</v>
      </c>
      <c r="CG100" s="33">
        <v>4</v>
      </c>
      <c r="CH100" s="33">
        <v>3</v>
      </c>
      <c r="CI100" s="33">
        <v>3</v>
      </c>
      <c r="CJ100" s="33">
        <v>2</v>
      </c>
      <c r="CK100" s="33">
        <v>1</v>
      </c>
      <c r="CL100" s="33">
        <v>3</v>
      </c>
      <c r="CM100" s="33">
        <v>3</v>
      </c>
      <c r="CN100" s="33">
        <v>5</v>
      </c>
      <c r="CO100" s="33">
        <v>0</v>
      </c>
      <c r="CP100" s="43">
        <v>2.8450340989933601E-2</v>
      </c>
      <c r="CQ100" s="33">
        <v>0</v>
      </c>
      <c r="CR100" s="33">
        <v>0</v>
      </c>
    </row>
    <row r="101" spans="1:96" ht="15" customHeight="1" x14ac:dyDescent="0.25">
      <c r="A101" s="26">
        <v>99</v>
      </c>
      <c r="B101" s="27">
        <v>44</v>
      </c>
      <c r="C101" s="27">
        <v>0</v>
      </c>
      <c r="D101" s="27">
        <v>3</v>
      </c>
      <c r="E101" s="27">
        <v>489</v>
      </c>
      <c r="F101" s="27">
        <v>2</v>
      </c>
      <c r="G101" s="27">
        <v>23</v>
      </c>
      <c r="H101" s="27">
        <v>3</v>
      </c>
      <c r="I101" s="27">
        <v>3</v>
      </c>
      <c r="J101" s="27">
        <v>1</v>
      </c>
      <c r="K101" s="27">
        <v>132</v>
      </c>
      <c r="L101" s="27">
        <v>2</v>
      </c>
      <c r="M101" s="27">
        <v>1</v>
      </c>
      <c r="N101" s="27">
        <v>67</v>
      </c>
      <c r="O101" s="27">
        <v>3</v>
      </c>
      <c r="P101" s="27">
        <v>2</v>
      </c>
      <c r="Q101" s="27">
        <v>3</v>
      </c>
      <c r="R101" s="27">
        <v>2</v>
      </c>
      <c r="S101" s="27">
        <v>2</v>
      </c>
      <c r="T101" s="27">
        <v>2042</v>
      </c>
      <c r="U101" s="27">
        <v>25043</v>
      </c>
      <c r="V101" s="27">
        <v>4</v>
      </c>
      <c r="W101" s="27">
        <v>0</v>
      </c>
      <c r="X101" s="27">
        <v>12</v>
      </c>
      <c r="Y101" s="27">
        <v>3</v>
      </c>
      <c r="Z101" s="27">
        <v>3</v>
      </c>
      <c r="AA101" s="27">
        <v>80</v>
      </c>
      <c r="AB101" s="27">
        <v>1</v>
      </c>
      <c r="AC101" s="27">
        <v>17</v>
      </c>
      <c r="AD101" s="27">
        <v>3</v>
      </c>
      <c r="AE101" s="27">
        <v>4</v>
      </c>
      <c r="AF101" s="27">
        <v>3</v>
      </c>
      <c r="AG101" s="27">
        <v>2</v>
      </c>
      <c r="AH101" s="27">
        <v>1</v>
      </c>
      <c r="AI101" s="28">
        <v>2</v>
      </c>
      <c r="AK101" s="36">
        <v>68</v>
      </c>
      <c r="AL101" s="33">
        <v>7</v>
      </c>
      <c r="AM101" s="33">
        <v>3</v>
      </c>
      <c r="AN101" s="33">
        <v>1</v>
      </c>
      <c r="AO101" s="33">
        <v>2</v>
      </c>
      <c r="AP101" s="33">
        <v>0</v>
      </c>
      <c r="AQ101" s="33">
        <v>1</v>
      </c>
      <c r="AR101" s="33">
        <v>3</v>
      </c>
      <c r="AS101" s="33">
        <v>1</v>
      </c>
      <c r="AT101" s="33">
        <v>0</v>
      </c>
      <c r="AU101" s="43">
        <v>6.6726994746455159E-2</v>
      </c>
      <c r="AV101" s="33">
        <v>0</v>
      </c>
      <c r="AW101" s="33">
        <v>0</v>
      </c>
      <c r="AY101" s="36">
        <v>73</v>
      </c>
      <c r="AZ101" s="33">
        <v>1</v>
      </c>
      <c r="BA101" s="33">
        <v>2</v>
      </c>
      <c r="BB101" s="33">
        <v>0</v>
      </c>
      <c r="BC101" s="33">
        <v>0</v>
      </c>
      <c r="BD101" s="43">
        <v>0.23662845161334917</v>
      </c>
      <c r="BE101" s="33">
        <v>0</v>
      </c>
      <c r="BF101" s="33">
        <v>0</v>
      </c>
      <c r="CE101" s="36">
        <v>67</v>
      </c>
      <c r="CF101" s="33">
        <v>11</v>
      </c>
      <c r="CG101" s="33">
        <v>2</v>
      </c>
      <c r="CH101" s="33">
        <v>2</v>
      </c>
      <c r="CI101" s="33">
        <v>1</v>
      </c>
      <c r="CJ101" s="33">
        <v>1</v>
      </c>
      <c r="CK101" s="33">
        <v>0</v>
      </c>
      <c r="CL101" s="33">
        <v>0</v>
      </c>
      <c r="CM101" s="33">
        <v>3</v>
      </c>
      <c r="CN101" s="33">
        <v>6</v>
      </c>
      <c r="CO101" s="33">
        <v>0</v>
      </c>
      <c r="CP101" s="43">
        <v>0.12610847655218069</v>
      </c>
      <c r="CQ101" s="33">
        <v>0</v>
      </c>
      <c r="CR101" s="33">
        <v>0</v>
      </c>
    </row>
    <row r="102" spans="1:96" ht="15" customHeight="1" x14ac:dyDescent="0.25">
      <c r="A102" s="26">
        <v>100</v>
      </c>
      <c r="B102" s="27">
        <v>37</v>
      </c>
      <c r="C102" s="27">
        <v>1</v>
      </c>
      <c r="D102" s="27">
        <v>1</v>
      </c>
      <c r="E102" s="27">
        <v>807</v>
      </c>
      <c r="F102" s="27">
        <v>3</v>
      </c>
      <c r="G102" s="27">
        <v>6</v>
      </c>
      <c r="H102" s="27">
        <v>4</v>
      </c>
      <c r="I102" s="27">
        <v>2</v>
      </c>
      <c r="J102" s="27">
        <v>1</v>
      </c>
      <c r="K102" s="27">
        <v>133</v>
      </c>
      <c r="L102" s="27">
        <v>3</v>
      </c>
      <c r="M102" s="27">
        <v>1</v>
      </c>
      <c r="N102" s="27">
        <v>63</v>
      </c>
      <c r="O102" s="27">
        <v>3</v>
      </c>
      <c r="P102" s="27">
        <v>1</v>
      </c>
      <c r="Q102" s="27">
        <v>9</v>
      </c>
      <c r="R102" s="27">
        <v>1</v>
      </c>
      <c r="S102" s="27">
        <v>3</v>
      </c>
      <c r="T102" s="27">
        <v>2073</v>
      </c>
      <c r="U102" s="27">
        <v>23648</v>
      </c>
      <c r="V102" s="27">
        <v>4</v>
      </c>
      <c r="W102" s="27">
        <v>1</v>
      </c>
      <c r="X102" s="27">
        <v>22</v>
      </c>
      <c r="Y102" s="27">
        <v>4</v>
      </c>
      <c r="Z102" s="27">
        <v>4</v>
      </c>
      <c r="AA102" s="27">
        <v>80</v>
      </c>
      <c r="AB102" s="27">
        <v>0</v>
      </c>
      <c r="AC102" s="27">
        <v>7</v>
      </c>
      <c r="AD102" s="27">
        <v>3</v>
      </c>
      <c r="AE102" s="27">
        <v>3</v>
      </c>
      <c r="AF102" s="27">
        <v>3</v>
      </c>
      <c r="AG102" s="27">
        <v>2</v>
      </c>
      <c r="AH102" s="27">
        <v>0</v>
      </c>
      <c r="AI102" s="28">
        <v>2</v>
      </c>
      <c r="AK102" s="36">
        <v>69</v>
      </c>
      <c r="AL102" s="33">
        <v>1</v>
      </c>
      <c r="AM102" s="33">
        <v>1</v>
      </c>
      <c r="AN102" s="33">
        <v>1</v>
      </c>
      <c r="AO102" s="33">
        <v>4</v>
      </c>
      <c r="AP102" s="33">
        <v>0</v>
      </c>
      <c r="AQ102" s="33">
        <v>1</v>
      </c>
      <c r="AR102" s="33">
        <v>2</v>
      </c>
      <c r="AS102" s="33">
        <v>3</v>
      </c>
      <c r="AT102" s="33">
        <v>1</v>
      </c>
      <c r="AU102" s="43">
        <v>0.20308991313507765</v>
      </c>
      <c r="AV102" s="33">
        <v>0</v>
      </c>
      <c r="AW102" s="33">
        <v>0</v>
      </c>
      <c r="AY102" s="36">
        <v>74</v>
      </c>
      <c r="AZ102" s="33">
        <v>2</v>
      </c>
      <c r="BA102" s="33">
        <v>2</v>
      </c>
      <c r="BB102" s="33">
        <v>0</v>
      </c>
      <c r="BC102" s="33">
        <v>2</v>
      </c>
      <c r="BD102" s="43">
        <v>5.8143431646637607E-2</v>
      </c>
      <c r="BE102" s="33">
        <v>0</v>
      </c>
      <c r="BF102" s="33">
        <v>0</v>
      </c>
      <c r="CE102" s="36">
        <v>68</v>
      </c>
      <c r="CF102" s="33">
        <v>7</v>
      </c>
      <c r="CG102" s="33">
        <v>3</v>
      </c>
      <c r="CH102" s="33">
        <v>1</v>
      </c>
      <c r="CI102" s="33">
        <v>3</v>
      </c>
      <c r="CJ102" s="33">
        <v>2</v>
      </c>
      <c r="CK102" s="33">
        <v>0</v>
      </c>
      <c r="CL102" s="33">
        <v>1</v>
      </c>
      <c r="CM102" s="33">
        <v>3</v>
      </c>
      <c r="CN102" s="33">
        <v>1</v>
      </c>
      <c r="CO102" s="33">
        <v>0</v>
      </c>
      <c r="CP102" s="43">
        <v>3.9853721794862101E-2</v>
      </c>
      <c r="CQ102" s="33">
        <v>0</v>
      </c>
      <c r="CR102" s="33">
        <v>0</v>
      </c>
    </row>
    <row r="103" spans="1:96" ht="15" customHeight="1" x14ac:dyDescent="0.25">
      <c r="A103" s="26">
        <v>101</v>
      </c>
      <c r="B103" s="27">
        <v>32</v>
      </c>
      <c r="C103" s="27">
        <v>0</v>
      </c>
      <c r="D103" s="27">
        <v>1</v>
      </c>
      <c r="E103" s="27">
        <v>827</v>
      </c>
      <c r="F103" s="27">
        <v>2</v>
      </c>
      <c r="G103" s="27">
        <v>1</v>
      </c>
      <c r="H103" s="27">
        <v>1</v>
      </c>
      <c r="I103" s="27">
        <v>1</v>
      </c>
      <c r="J103" s="27">
        <v>1</v>
      </c>
      <c r="K103" s="27">
        <v>134</v>
      </c>
      <c r="L103" s="27">
        <v>4</v>
      </c>
      <c r="M103" s="27">
        <v>1</v>
      </c>
      <c r="N103" s="27">
        <v>71</v>
      </c>
      <c r="O103" s="27">
        <v>3</v>
      </c>
      <c r="P103" s="27">
        <v>1</v>
      </c>
      <c r="Q103" s="27">
        <v>2</v>
      </c>
      <c r="R103" s="27">
        <v>1</v>
      </c>
      <c r="S103" s="27">
        <v>1</v>
      </c>
      <c r="T103" s="27">
        <v>2956</v>
      </c>
      <c r="U103" s="27">
        <v>15178</v>
      </c>
      <c r="V103" s="27">
        <v>1</v>
      </c>
      <c r="W103" s="27">
        <v>0</v>
      </c>
      <c r="X103" s="27">
        <v>13</v>
      </c>
      <c r="Y103" s="27">
        <v>3</v>
      </c>
      <c r="Z103" s="27">
        <v>4</v>
      </c>
      <c r="AA103" s="27">
        <v>80</v>
      </c>
      <c r="AB103" s="27">
        <v>0</v>
      </c>
      <c r="AC103" s="27">
        <v>1</v>
      </c>
      <c r="AD103" s="27">
        <v>2</v>
      </c>
      <c r="AE103" s="27">
        <v>3</v>
      </c>
      <c r="AF103" s="27">
        <v>1</v>
      </c>
      <c r="AG103" s="27">
        <v>0</v>
      </c>
      <c r="AH103" s="27">
        <v>0</v>
      </c>
      <c r="AI103" s="28">
        <v>0</v>
      </c>
      <c r="AK103" s="36">
        <v>70</v>
      </c>
      <c r="AL103" s="33">
        <v>9</v>
      </c>
      <c r="AM103" s="33">
        <v>1</v>
      </c>
      <c r="AN103" s="33">
        <v>3</v>
      </c>
      <c r="AO103" s="33">
        <v>0</v>
      </c>
      <c r="AP103" s="33">
        <v>1</v>
      </c>
      <c r="AQ103" s="33">
        <v>1</v>
      </c>
      <c r="AR103" s="33">
        <v>2</v>
      </c>
      <c r="AS103" s="33">
        <v>1</v>
      </c>
      <c r="AT103" s="33">
        <v>0</v>
      </c>
      <c r="AU103" s="43">
        <v>0.37475832713505386</v>
      </c>
      <c r="AV103" s="33">
        <v>0</v>
      </c>
      <c r="AW103" s="33">
        <v>1</v>
      </c>
      <c r="AY103" s="36">
        <v>75</v>
      </c>
      <c r="AZ103" s="33">
        <v>1</v>
      </c>
      <c r="BA103" s="33">
        <v>4</v>
      </c>
      <c r="BB103" s="33">
        <v>0</v>
      </c>
      <c r="BC103" s="33">
        <v>0</v>
      </c>
      <c r="BD103" s="43">
        <v>0.1472907617042678</v>
      </c>
      <c r="BE103" s="33">
        <v>0</v>
      </c>
      <c r="BF103" s="33">
        <v>0</v>
      </c>
      <c r="CE103" s="36">
        <v>69</v>
      </c>
      <c r="CF103" s="33">
        <v>1</v>
      </c>
      <c r="CG103" s="33">
        <v>1</v>
      </c>
      <c r="CH103" s="33">
        <v>1</v>
      </c>
      <c r="CI103" s="33">
        <v>2</v>
      </c>
      <c r="CJ103" s="33">
        <v>4</v>
      </c>
      <c r="CK103" s="33">
        <v>0</v>
      </c>
      <c r="CL103" s="33">
        <v>1</v>
      </c>
      <c r="CM103" s="33">
        <v>2</v>
      </c>
      <c r="CN103" s="33">
        <v>3</v>
      </c>
      <c r="CO103" s="33">
        <v>1</v>
      </c>
      <c r="CP103" s="43">
        <v>0.20485167097720233</v>
      </c>
      <c r="CQ103" s="33">
        <v>0</v>
      </c>
      <c r="CR103" s="33">
        <v>0</v>
      </c>
    </row>
    <row r="104" spans="1:96" ht="15" customHeight="1" x14ac:dyDescent="0.25">
      <c r="A104" s="26">
        <v>102</v>
      </c>
      <c r="B104" s="27">
        <v>20</v>
      </c>
      <c r="C104" s="27">
        <v>1</v>
      </c>
      <c r="D104" s="27">
        <v>2</v>
      </c>
      <c r="E104" s="27">
        <v>871</v>
      </c>
      <c r="F104" s="27">
        <v>2</v>
      </c>
      <c r="G104" s="27">
        <v>6</v>
      </c>
      <c r="H104" s="27">
        <v>3</v>
      </c>
      <c r="I104" s="27">
        <v>1</v>
      </c>
      <c r="J104" s="27">
        <v>1</v>
      </c>
      <c r="K104" s="27">
        <v>137</v>
      </c>
      <c r="L104" s="27">
        <v>4</v>
      </c>
      <c r="M104" s="27">
        <v>0</v>
      </c>
      <c r="N104" s="27">
        <v>66</v>
      </c>
      <c r="O104" s="27">
        <v>2</v>
      </c>
      <c r="P104" s="27">
        <v>1</v>
      </c>
      <c r="Q104" s="27">
        <v>3</v>
      </c>
      <c r="R104" s="27">
        <v>4</v>
      </c>
      <c r="S104" s="27">
        <v>1</v>
      </c>
      <c r="T104" s="27">
        <v>2926</v>
      </c>
      <c r="U104" s="27">
        <v>19783</v>
      </c>
      <c r="V104" s="27">
        <v>1</v>
      </c>
      <c r="W104" s="27">
        <v>1</v>
      </c>
      <c r="X104" s="27">
        <v>18</v>
      </c>
      <c r="Y104" s="27">
        <v>3</v>
      </c>
      <c r="Z104" s="27">
        <v>2</v>
      </c>
      <c r="AA104" s="27">
        <v>80</v>
      </c>
      <c r="AB104" s="27">
        <v>0</v>
      </c>
      <c r="AC104" s="27">
        <v>1</v>
      </c>
      <c r="AD104" s="27">
        <v>5</v>
      </c>
      <c r="AE104" s="27">
        <v>3</v>
      </c>
      <c r="AF104" s="27">
        <v>1</v>
      </c>
      <c r="AG104" s="27">
        <v>0</v>
      </c>
      <c r="AH104" s="27">
        <v>1</v>
      </c>
      <c r="AI104" s="28">
        <v>0</v>
      </c>
      <c r="AK104" s="36">
        <v>71</v>
      </c>
      <c r="AL104" s="33">
        <v>1</v>
      </c>
      <c r="AM104" s="33">
        <v>2</v>
      </c>
      <c r="AN104" s="33">
        <v>3</v>
      </c>
      <c r="AO104" s="33">
        <v>7</v>
      </c>
      <c r="AP104" s="33">
        <v>0</v>
      </c>
      <c r="AQ104" s="33">
        <v>0</v>
      </c>
      <c r="AR104" s="33">
        <v>2</v>
      </c>
      <c r="AS104" s="33">
        <v>4</v>
      </c>
      <c r="AT104" s="33">
        <v>1</v>
      </c>
      <c r="AU104" s="43">
        <v>0.14732351204540328</v>
      </c>
      <c r="AV104" s="33">
        <v>0</v>
      </c>
      <c r="AW104" s="33">
        <v>0</v>
      </c>
      <c r="AY104" s="36">
        <v>76</v>
      </c>
      <c r="AZ104" s="33">
        <v>2</v>
      </c>
      <c r="BA104" s="33">
        <v>4</v>
      </c>
      <c r="BB104" s="33">
        <v>0</v>
      </c>
      <c r="BC104" s="33">
        <v>0</v>
      </c>
      <c r="BD104" s="43">
        <v>8.9935487507215722E-2</v>
      </c>
      <c r="BE104" s="33">
        <v>0</v>
      </c>
      <c r="BF104" s="33">
        <v>0</v>
      </c>
      <c r="CE104" s="36">
        <v>70</v>
      </c>
      <c r="CF104" s="33">
        <v>9</v>
      </c>
      <c r="CG104" s="33">
        <v>1</v>
      </c>
      <c r="CH104" s="33">
        <v>3</v>
      </c>
      <c r="CI104" s="33">
        <v>2</v>
      </c>
      <c r="CJ104" s="33">
        <v>0</v>
      </c>
      <c r="CK104" s="33">
        <v>1</v>
      </c>
      <c r="CL104" s="33">
        <v>1</v>
      </c>
      <c r="CM104" s="33">
        <v>2</v>
      </c>
      <c r="CN104" s="33">
        <v>1</v>
      </c>
      <c r="CO104" s="33">
        <v>0</v>
      </c>
      <c r="CP104" s="43">
        <v>0.37567891755836297</v>
      </c>
      <c r="CQ104" s="33">
        <v>0</v>
      </c>
      <c r="CR104" s="33">
        <v>1</v>
      </c>
    </row>
    <row r="105" spans="1:96" ht="15" customHeight="1" x14ac:dyDescent="0.25">
      <c r="A105" s="26">
        <v>103</v>
      </c>
      <c r="B105" s="27">
        <v>34</v>
      </c>
      <c r="C105" s="27">
        <v>0</v>
      </c>
      <c r="D105" s="27">
        <v>1</v>
      </c>
      <c r="E105" s="27">
        <v>665</v>
      </c>
      <c r="F105" s="27">
        <v>2</v>
      </c>
      <c r="G105" s="27">
        <v>6</v>
      </c>
      <c r="H105" s="27">
        <v>4</v>
      </c>
      <c r="I105" s="27">
        <v>6</v>
      </c>
      <c r="J105" s="27">
        <v>1</v>
      </c>
      <c r="K105" s="27">
        <v>138</v>
      </c>
      <c r="L105" s="27">
        <v>1</v>
      </c>
      <c r="M105" s="27">
        <v>0</v>
      </c>
      <c r="N105" s="27">
        <v>41</v>
      </c>
      <c r="O105" s="27">
        <v>3</v>
      </c>
      <c r="P105" s="27">
        <v>2</v>
      </c>
      <c r="Q105" s="27">
        <v>2</v>
      </c>
      <c r="R105" s="27">
        <v>3</v>
      </c>
      <c r="S105" s="27">
        <v>1</v>
      </c>
      <c r="T105" s="27">
        <v>4809</v>
      </c>
      <c r="U105" s="27">
        <v>12482</v>
      </c>
      <c r="V105" s="27">
        <v>1</v>
      </c>
      <c r="W105" s="27">
        <v>0</v>
      </c>
      <c r="X105" s="27">
        <v>14</v>
      </c>
      <c r="Y105" s="27">
        <v>3</v>
      </c>
      <c r="Z105" s="27">
        <v>3</v>
      </c>
      <c r="AA105" s="27">
        <v>80</v>
      </c>
      <c r="AB105" s="27">
        <v>0</v>
      </c>
      <c r="AC105" s="27">
        <v>16</v>
      </c>
      <c r="AD105" s="27">
        <v>3</v>
      </c>
      <c r="AE105" s="27">
        <v>3</v>
      </c>
      <c r="AF105" s="27">
        <v>16</v>
      </c>
      <c r="AG105" s="27">
        <v>13</v>
      </c>
      <c r="AH105" s="27">
        <v>2</v>
      </c>
      <c r="AI105" s="28">
        <v>10</v>
      </c>
      <c r="AK105" s="36">
        <v>72</v>
      </c>
      <c r="AL105" s="33">
        <v>2</v>
      </c>
      <c r="AM105" s="33">
        <v>1</v>
      </c>
      <c r="AN105" s="33">
        <v>2</v>
      </c>
      <c r="AO105" s="33">
        <v>0</v>
      </c>
      <c r="AP105" s="33">
        <v>0</v>
      </c>
      <c r="AQ105" s="33">
        <v>1</v>
      </c>
      <c r="AR105" s="33">
        <v>3</v>
      </c>
      <c r="AS105" s="33">
        <v>5</v>
      </c>
      <c r="AT105" s="33">
        <v>0</v>
      </c>
      <c r="AU105" s="43">
        <v>7.9326927390274388E-2</v>
      </c>
      <c r="AV105" s="33">
        <v>0</v>
      </c>
      <c r="AW105" s="33">
        <v>0</v>
      </c>
      <c r="AY105" s="36">
        <v>77</v>
      </c>
      <c r="AZ105" s="33">
        <v>2</v>
      </c>
      <c r="BA105" s="33">
        <v>1</v>
      </c>
      <c r="BB105" s="33">
        <v>0</v>
      </c>
      <c r="BC105" s="33">
        <v>0</v>
      </c>
      <c r="BD105" s="43">
        <v>0.19196561144667343</v>
      </c>
      <c r="BE105" s="33">
        <v>0</v>
      </c>
      <c r="BF105" s="33">
        <v>0</v>
      </c>
      <c r="CE105" s="36">
        <v>71</v>
      </c>
      <c r="CF105" s="33">
        <v>1</v>
      </c>
      <c r="CG105" s="33">
        <v>2</v>
      </c>
      <c r="CH105" s="33">
        <v>3</v>
      </c>
      <c r="CI105" s="33">
        <v>1</v>
      </c>
      <c r="CJ105" s="33">
        <v>7</v>
      </c>
      <c r="CK105" s="33">
        <v>0</v>
      </c>
      <c r="CL105" s="33">
        <v>0</v>
      </c>
      <c r="CM105" s="33">
        <v>2</v>
      </c>
      <c r="CN105" s="33">
        <v>4</v>
      </c>
      <c r="CO105" s="33">
        <v>1</v>
      </c>
      <c r="CP105" s="43">
        <v>0.17423437044208911</v>
      </c>
      <c r="CQ105" s="33">
        <v>0</v>
      </c>
      <c r="CR105" s="33">
        <v>0</v>
      </c>
    </row>
    <row r="106" spans="1:96" ht="15" customHeight="1" x14ac:dyDescent="0.25">
      <c r="A106" s="26">
        <v>104</v>
      </c>
      <c r="B106" s="27">
        <v>37</v>
      </c>
      <c r="C106" s="27">
        <v>0</v>
      </c>
      <c r="D106" s="27">
        <v>3</v>
      </c>
      <c r="E106" s="27">
        <v>1040</v>
      </c>
      <c r="F106" s="27">
        <v>2</v>
      </c>
      <c r="G106" s="27">
        <v>2</v>
      </c>
      <c r="H106" s="27">
        <v>2</v>
      </c>
      <c r="I106" s="27">
        <v>1</v>
      </c>
      <c r="J106" s="27">
        <v>1</v>
      </c>
      <c r="K106" s="27">
        <v>139</v>
      </c>
      <c r="L106" s="27">
        <v>3</v>
      </c>
      <c r="M106" s="27">
        <v>1</v>
      </c>
      <c r="N106" s="27">
        <v>100</v>
      </c>
      <c r="O106" s="27">
        <v>2</v>
      </c>
      <c r="P106" s="27">
        <v>2</v>
      </c>
      <c r="Q106" s="27">
        <v>5</v>
      </c>
      <c r="R106" s="27">
        <v>4</v>
      </c>
      <c r="S106" s="27">
        <v>3</v>
      </c>
      <c r="T106" s="27">
        <v>5163</v>
      </c>
      <c r="U106" s="27">
        <v>15850</v>
      </c>
      <c r="V106" s="27">
        <v>5</v>
      </c>
      <c r="W106" s="27">
        <v>0</v>
      </c>
      <c r="X106" s="27">
        <v>14</v>
      </c>
      <c r="Y106" s="27">
        <v>3</v>
      </c>
      <c r="Z106" s="27">
        <v>4</v>
      </c>
      <c r="AA106" s="27">
        <v>80</v>
      </c>
      <c r="AB106" s="27">
        <v>1</v>
      </c>
      <c r="AC106" s="27">
        <v>17</v>
      </c>
      <c r="AD106" s="27">
        <v>2</v>
      </c>
      <c r="AE106" s="27">
        <v>4</v>
      </c>
      <c r="AF106" s="27">
        <v>1</v>
      </c>
      <c r="AG106" s="27">
        <v>0</v>
      </c>
      <c r="AH106" s="27">
        <v>0</v>
      </c>
      <c r="AI106" s="28">
        <v>0</v>
      </c>
      <c r="AK106" s="36">
        <v>73</v>
      </c>
      <c r="AL106" s="33">
        <v>1</v>
      </c>
      <c r="AM106" s="33">
        <v>1</v>
      </c>
      <c r="AN106" s="33">
        <v>2</v>
      </c>
      <c r="AO106" s="33">
        <v>1</v>
      </c>
      <c r="AP106" s="33">
        <v>0</v>
      </c>
      <c r="AQ106" s="33">
        <v>0</v>
      </c>
      <c r="AR106" s="33">
        <v>3</v>
      </c>
      <c r="AS106" s="33">
        <v>1</v>
      </c>
      <c r="AT106" s="33">
        <v>1</v>
      </c>
      <c r="AU106" s="43">
        <v>0.19274329345781541</v>
      </c>
      <c r="AV106" s="33">
        <v>0</v>
      </c>
      <c r="AW106" s="33">
        <v>0</v>
      </c>
      <c r="AY106" s="36">
        <v>78</v>
      </c>
      <c r="AZ106" s="33">
        <v>3</v>
      </c>
      <c r="BA106" s="33">
        <v>1</v>
      </c>
      <c r="BB106" s="33">
        <v>1</v>
      </c>
      <c r="BC106" s="33">
        <v>0</v>
      </c>
      <c r="BD106" s="43">
        <v>0.36749559266393544</v>
      </c>
      <c r="BE106" s="33">
        <v>0</v>
      </c>
      <c r="BF106" s="33">
        <v>0</v>
      </c>
      <c r="CE106" s="36">
        <v>72</v>
      </c>
      <c r="CF106" s="33">
        <v>2</v>
      </c>
      <c r="CG106" s="33">
        <v>1</v>
      </c>
      <c r="CH106" s="33">
        <v>2</v>
      </c>
      <c r="CI106" s="33">
        <v>2</v>
      </c>
      <c r="CJ106" s="33">
        <v>0</v>
      </c>
      <c r="CK106" s="33">
        <v>0</v>
      </c>
      <c r="CL106" s="33">
        <v>1</v>
      </c>
      <c r="CM106" s="33">
        <v>3</v>
      </c>
      <c r="CN106" s="33">
        <v>5</v>
      </c>
      <c r="CO106" s="33">
        <v>0</v>
      </c>
      <c r="CP106" s="43">
        <v>7.686513762554105E-2</v>
      </c>
      <c r="CQ106" s="33">
        <v>0</v>
      </c>
      <c r="CR106" s="33">
        <v>0</v>
      </c>
    </row>
    <row r="107" spans="1:96" ht="15" customHeight="1" x14ac:dyDescent="0.25">
      <c r="A107" s="26">
        <v>105</v>
      </c>
      <c r="B107" s="27">
        <v>59</v>
      </c>
      <c r="C107" s="27">
        <v>0</v>
      </c>
      <c r="D107" s="27">
        <v>3</v>
      </c>
      <c r="E107" s="27">
        <v>1420</v>
      </c>
      <c r="F107" s="27">
        <v>3</v>
      </c>
      <c r="G107" s="27">
        <v>2</v>
      </c>
      <c r="H107" s="27">
        <v>4</v>
      </c>
      <c r="I107" s="27">
        <v>2</v>
      </c>
      <c r="J107" s="27">
        <v>1</v>
      </c>
      <c r="K107" s="27">
        <v>140</v>
      </c>
      <c r="L107" s="27">
        <v>3</v>
      </c>
      <c r="M107" s="27">
        <v>0</v>
      </c>
      <c r="N107" s="27">
        <v>32</v>
      </c>
      <c r="O107" s="27">
        <v>2</v>
      </c>
      <c r="P107" s="27">
        <v>5</v>
      </c>
      <c r="Q107" s="27">
        <v>6</v>
      </c>
      <c r="R107" s="27">
        <v>4</v>
      </c>
      <c r="S107" s="27">
        <v>2</v>
      </c>
      <c r="T107" s="27">
        <v>18844</v>
      </c>
      <c r="U107" s="27">
        <v>21922</v>
      </c>
      <c r="V107" s="27">
        <v>9</v>
      </c>
      <c r="W107" s="27">
        <v>0</v>
      </c>
      <c r="X107" s="27">
        <v>21</v>
      </c>
      <c r="Y107" s="27">
        <v>4</v>
      </c>
      <c r="Z107" s="27">
        <v>4</v>
      </c>
      <c r="AA107" s="27">
        <v>80</v>
      </c>
      <c r="AB107" s="27">
        <v>1</v>
      </c>
      <c r="AC107" s="27">
        <v>30</v>
      </c>
      <c r="AD107" s="27">
        <v>3</v>
      </c>
      <c r="AE107" s="27">
        <v>3</v>
      </c>
      <c r="AF107" s="27">
        <v>3</v>
      </c>
      <c r="AG107" s="27">
        <v>2</v>
      </c>
      <c r="AH107" s="27">
        <v>2</v>
      </c>
      <c r="AI107" s="28">
        <v>2</v>
      </c>
      <c r="AK107" s="36">
        <v>74</v>
      </c>
      <c r="AL107" s="33">
        <v>1</v>
      </c>
      <c r="AM107" s="33">
        <v>2</v>
      </c>
      <c r="AN107" s="33">
        <v>2</v>
      </c>
      <c r="AO107" s="33">
        <v>1</v>
      </c>
      <c r="AP107" s="33">
        <v>0</v>
      </c>
      <c r="AQ107" s="33">
        <v>2</v>
      </c>
      <c r="AR107" s="33">
        <v>3</v>
      </c>
      <c r="AS107" s="33">
        <v>10</v>
      </c>
      <c r="AT107" s="33">
        <v>0</v>
      </c>
      <c r="AU107" s="43">
        <v>2.0224897092557995E-2</v>
      </c>
      <c r="AV107" s="33">
        <v>0</v>
      </c>
      <c r="AW107" s="33">
        <v>0</v>
      </c>
      <c r="AY107" s="36">
        <v>79</v>
      </c>
      <c r="AZ107" s="33">
        <v>3</v>
      </c>
      <c r="BA107" s="33">
        <v>3</v>
      </c>
      <c r="BB107" s="33">
        <v>0</v>
      </c>
      <c r="BC107" s="33">
        <v>0</v>
      </c>
      <c r="BD107" s="43">
        <v>7.0406776741937793E-2</v>
      </c>
      <c r="BE107" s="33">
        <v>0</v>
      </c>
      <c r="BF107" s="33">
        <v>0</v>
      </c>
      <c r="CE107" s="36">
        <v>73</v>
      </c>
      <c r="CF107" s="33">
        <v>1</v>
      </c>
      <c r="CG107" s="33">
        <v>1</v>
      </c>
      <c r="CH107" s="33">
        <v>2</v>
      </c>
      <c r="CI107" s="33">
        <v>1</v>
      </c>
      <c r="CJ107" s="33">
        <v>1</v>
      </c>
      <c r="CK107" s="33">
        <v>0</v>
      </c>
      <c r="CL107" s="33">
        <v>0</v>
      </c>
      <c r="CM107" s="33">
        <v>3</v>
      </c>
      <c r="CN107" s="33">
        <v>1</v>
      </c>
      <c r="CO107" s="33">
        <v>1</v>
      </c>
      <c r="CP107" s="43">
        <v>0.22281891084026756</v>
      </c>
      <c r="CQ107" s="33">
        <v>0</v>
      </c>
      <c r="CR107" s="33">
        <v>0</v>
      </c>
    </row>
    <row r="108" spans="1:96" ht="15" customHeight="1" x14ac:dyDescent="0.25">
      <c r="A108" s="26">
        <v>106</v>
      </c>
      <c r="B108" s="27">
        <v>50</v>
      </c>
      <c r="C108" s="27">
        <v>0</v>
      </c>
      <c r="D108" s="27">
        <v>2</v>
      </c>
      <c r="E108" s="27">
        <v>1115</v>
      </c>
      <c r="F108" s="27">
        <v>2</v>
      </c>
      <c r="G108" s="27">
        <v>1</v>
      </c>
      <c r="H108" s="27">
        <v>3</v>
      </c>
      <c r="I108" s="27">
        <v>1</v>
      </c>
      <c r="J108" s="27">
        <v>1</v>
      </c>
      <c r="K108" s="27">
        <v>141</v>
      </c>
      <c r="L108" s="27">
        <v>1</v>
      </c>
      <c r="M108" s="27">
        <v>0</v>
      </c>
      <c r="N108" s="27">
        <v>73</v>
      </c>
      <c r="O108" s="27">
        <v>3</v>
      </c>
      <c r="P108" s="27">
        <v>5</v>
      </c>
      <c r="Q108" s="27">
        <v>8</v>
      </c>
      <c r="R108" s="27">
        <v>2</v>
      </c>
      <c r="S108" s="27">
        <v>2</v>
      </c>
      <c r="T108" s="27">
        <v>18172</v>
      </c>
      <c r="U108" s="27">
        <v>9755</v>
      </c>
      <c r="V108" s="27">
        <v>3</v>
      </c>
      <c r="W108" s="27">
        <v>1</v>
      </c>
      <c r="X108" s="27">
        <v>19</v>
      </c>
      <c r="Y108" s="27">
        <v>3</v>
      </c>
      <c r="Z108" s="27">
        <v>1</v>
      </c>
      <c r="AA108" s="27">
        <v>80</v>
      </c>
      <c r="AB108" s="27">
        <v>0</v>
      </c>
      <c r="AC108" s="27">
        <v>28</v>
      </c>
      <c r="AD108" s="27">
        <v>1</v>
      </c>
      <c r="AE108" s="27">
        <v>2</v>
      </c>
      <c r="AF108" s="27">
        <v>8</v>
      </c>
      <c r="AG108" s="27">
        <v>3</v>
      </c>
      <c r="AH108" s="27">
        <v>0</v>
      </c>
      <c r="AI108" s="28">
        <v>7</v>
      </c>
      <c r="AK108" s="36">
        <v>75</v>
      </c>
      <c r="AL108" s="33">
        <v>6</v>
      </c>
      <c r="AM108" s="33">
        <v>1</v>
      </c>
      <c r="AN108" s="33">
        <v>4</v>
      </c>
      <c r="AO108" s="33">
        <v>3</v>
      </c>
      <c r="AP108" s="33">
        <v>0</v>
      </c>
      <c r="AQ108" s="33">
        <v>0</v>
      </c>
      <c r="AR108" s="33">
        <v>3</v>
      </c>
      <c r="AS108" s="33">
        <v>1</v>
      </c>
      <c r="AT108" s="33">
        <v>0</v>
      </c>
      <c r="AU108" s="43">
        <v>0.14264049619974664</v>
      </c>
      <c r="AV108" s="33">
        <v>0</v>
      </c>
      <c r="AW108" s="33">
        <v>0</v>
      </c>
      <c r="AY108" s="36">
        <v>80</v>
      </c>
      <c r="AZ108" s="33">
        <v>2</v>
      </c>
      <c r="BA108" s="33">
        <v>2</v>
      </c>
      <c r="BB108" s="33">
        <v>1</v>
      </c>
      <c r="BC108" s="33">
        <v>1</v>
      </c>
      <c r="BD108" s="43">
        <v>0.30904710588370227</v>
      </c>
      <c r="BE108" s="33">
        <v>0</v>
      </c>
      <c r="BF108" s="33">
        <v>0</v>
      </c>
      <c r="CE108" s="36">
        <v>74</v>
      </c>
      <c r="CF108" s="33">
        <v>1</v>
      </c>
      <c r="CG108" s="33">
        <v>2</v>
      </c>
      <c r="CH108" s="33">
        <v>2</v>
      </c>
      <c r="CI108" s="33">
        <v>2</v>
      </c>
      <c r="CJ108" s="33">
        <v>1</v>
      </c>
      <c r="CK108" s="33">
        <v>0</v>
      </c>
      <c r="CL108" s="33">
        <v>2</v>
      </c>
      <c r="CM108" s="33">
        <v>3</v>
      </c>
      <c r="CN108" s="33">
        <v>10</v>
      </c>
      <c r="CO108" s="33">
        <v>0</v>
      </c>
      <c r="CP108" s="43">
        <v>2.7650836153871573E-2</v>
      </c>
      <c r="CQ108" s="33">
        <v>0</v>
      </c>
      <c r="CR108" s="33">
        <v>0</v>
      </c>
    </row>
    <row r="109" spans="1:96" ht="15" customHeight="1" x14ac:dyDescent="0.25">
      <c r="A109" s="26">
        <v>107</v>
      </c>
      <c r="B109" s="27">
        <v>25</v>
      </c>
      <c r="C109" s="27">
        <v>1</v>
      </c>
      <c r="D109" s="27">
        <v>1</v>
      </c>
      <c r="E109" s="27">
        <v>240</v>
      </c>
      <c r="F109" s="27">
        <v>1</v>
      </c>
      <c r="G109" s="27">
        <v>5</v>
      </c>
      <c r="H109" s="27">
        <v>3</v>
      </c>
      <c r="I109" s="27">
        <v>4</v>
      </c>
      <c r="J109" s="27">
        <v>1</v>
      </c>
      <c r="K109" s="27">
        <v>142</v>
      </c>
      <c r="L109" s="27">
        <v>3</v>
      </c>
      <c r="M109" s="27">
        <v>1</v>
      </c>
      <c r="N109" s="27">
        <v>46</v>
      </c>
      <c r="O109" s="27">
        <v>2</v>
      </c>
      <c r="P109" s="27">
        <v>2</v>
      </c>
      <c r="Q109" s="27">
        <v>1</v>
      </c>
      <c r="R109" s="27">
        <v>3</v>
      </c>
      <c r="S109" s="27">
        <v>1</v>
      </c>
      <c r="T109" s="27">
        <v>5744</v>
      </c>
      <c r="U109" s="27">
        <v>26959</v>
      </c>
      <c r="V109" s="27">
        <v>1</v>
      </c>
      <c r="W109" s="27">
        <v>1</v>
      </c>
      <c r="X109" s="27">
        <v>11</v>
      </c>
      <c r="Y109" s="27">
        <v>3</v>
      </c>
      <c r="Z109" s="27">
        <v>4</v>
      </c>
      <c r="AA109" s="27">
        <v>80</v>
      </c>
      <c r="AB109" s="27">
        <v>0</v>
      </c>
      <c r="AC109" s="27">
        <v>6</v>
      </c>
      <c r="AD109" s="27">
        <v>1</v>
      </c>
      <c r="AE109" s="27">
        <v>3</v>
      </c>
      <c r="AF109" s="27">
        <v>6</v>
      </c>
      <c r="AG109" s="27">
        <v>4</v>
      </c>
      <c r="AH109" s="27">
        <v>0</v>
      </c>
      <c r="AI109" s="28">
        <v>3</v>
      </c>
      <c r="AK109" s="36">
        <v>76</v>
      </c>
      <c r="AL109" s="33">
        <v>8</v>
      </c>
      <c r="AM109" s="33">
        <v>2</v>
      </c>
      <c r="AN109" s="33">
        <v>4</v>
      </c>
      <c r="AO109" s="33">
        <v>1</v>
      </c>
      <c r="AP109" s="33">
        <v>0</v>
      </c>
      <c r="AQ109" s="33">
        <v>0</v>
      </c>
      <c r="AR109" s="33">
        <v>3</v>
      </c>
      <c r="AS109" s="33">
        <v>11</v>
      </c>
      <c r="AT109" s="33">
        <v>1</v>
      </c>
      <c r="AU109" s="43">
        <v>4.5065857119583247E-2</v>
      </c>
      <c r="AV109" s="33">
        <v>0</v>
      </c>
      <c r="AW109" s="33">
        <v>0</v>
      </c>
      <c r="AY109" s="36">
        <v>81</v>
      </c>
      <c r="AZ109" s="33">
        <v>2</v>
      </c>
      <c r="BA109" s="33">
        <v>4</v>
      </c>
      <c r="BB109" s="33">
        <v>1</v>
      </c>
      <c r="BC109" s="33">
        <v>2</v>
      </c>
      <c r="BD109" s="43">
        <v>0.12819971414072456</v>
      </c>
      <c r="BE109" s="33">
        <v>0</v>
      </c>
      <c r="BF109" s="33">
        <v>0</v>
      </c>
      <c r="CE109" s="36">
        <v>75</v>
      </c>
      <c r="CF109" s="33">
        <v>6</v>
      </c>
      <c r="CG109" s="33">
        <v>1</v>
      </c>
      <c r="CH109" s="33">
        <v>4</v>
      </c>
      <c r="CI109" s="33">
        <v>2</v>
      </c>
      <c r="CJ109" s="33">
        <v>3</v>
      </c>
      <c r="CK109" s="33">
        <v>0</v>
      </c>
      <c r="CL109" s="33">
        <v>0</v>
      </c>
      <c r="CM109" s="33">
        <v>3</v>
      </c>
      <c r="CN109" s="33">
        <v>1</v>
      </c>
      <c r="CO109" s="33">
        <v>0</v>
      </c>
      <c r="CP109" s="43">
        <v>9.9487367816977174E-2</v>
      </c>
      <c r="CQ109" s="33">
        <v>0</v>
      </c>
      <c r="CR109" s="33">
        <v>0</v>
      </c>
    </row>
    <row r="110" spans="1:96" ht="15" customHeight="1" x14ac:dyDescent="0.25">
      <c r="A110" s="26">
        <v>108</v>
      </c>
      <c r="B110" s="27">
        <v>25</v>
      </c>
      <c r="C110" s="27">
        <v>0</v>
      </c>
      <c r="D110" s="27">
        <v>1</v>
      </c>
      <c r="E110" s="27">
        <v>1280</v>
      </c>
      <c r="F110" s="27">
        <v>2</v>
      </c>
      <c r="G110" s="27">
        <v>7</v>
      </c>
      <c r="H110" s="27">
        <v>1</v>
      </c>
      <c r="I110" s="27">
        <v>3</v>
      </c>
      <c r="J110" s="27">
        <v>1</v>
      </c>
      <c r="K110" s="27">
        <v>143</v>
      </c>
      <c r="L110" s="27">
        <v>4</v>
      </c>
      <c r="M110" s="27">
        <v>1</v>
      </c>
      <c r="N110" s="27">
        <v>64</v>
      </c>
      <c r="O110" s="27">
        <v>2</v>
      </c>
      <c r="P110" s="27">
        <v>1</v>
      </c>
      <c r="Q110" s="27">
        <v>2</v>
      </c>
      <c r="R110" s="27">
        <v>4</v>
      </c>
      <c r="S110" s="27">
        <v>2</v>
      </c>
      <c r="T110" s="27">
        <v>2889</v>
      </c>
      <c r="U110" s="27">
        <v>26897</v>
      </c>
      <c r="V110" s="27">
        <v>1</v>
      </c>
      <c r="W110" s="27">
        <v>0</v>
      </c>
      <c r="X110" s="27">
        <v>11</v>
      </c>
      <c r="Y110" s="27">
        <v>3</v>
      </c>
      <c r="Z110" s="27">
        <v>3</v>
      </c>
      <c r="AA110" s="27">
        <v>80</v>
      </c>
      <c r="AB110" s="27">
        <v>2</v>
      </c>
      <c r="AC110" s="27">
        <v>2</v>
      </c>
      <c r="AD110" s="27">
        <v>2</v>
      </c>
      <c r="AE110" s="27">
        <v>3</v>
      </c>
      <c r="AF110" s="27">
        <v>2</v>
      </c>
      <c r="AG110" s="27">
        <v>2</v>
      </c>
      <c r="AH110" s="27">
        <v>2</v>
      </c>
      <c r="AI110" s="28">
        <v>1</v>
      </c>
      <c r="AK110" s="36">
        <v>77</v>
      </c>
      <c r="AL110" s="33">
        <v>1</v>
      </c>
      <c r="AM110" s="33">
        <v>2</v>
      </c>
      <c r="AN110" s="33">
        <v>1</v>
      </c>
      <c r="AO110" s="33">
        <v>0</v>
      </c>
      <c r="AP110" s="33">
        <v>0</v>
      </c>
      <c r="AQ110" s="33">
        <v>0</v>
      </c>
      <c r="AR110" s="33">
        <v>3</v>
      </c>
      <c r="AS110" s="33">
        <v>15</v>
      </c>
      <c r="AT110" s="33">
        <v>2</v>
      </c>
      <c r="AU110" s="43">
        <v>6.4648875021479299E-2</v>
      </c>
      <c r="AV110" s="33">
        <v>0</v>
      </c>
      <c r="AW110" s="33">
        <v>0</v>
      </c>
      <c r="AY110" s="36">
        <v>82</v>
      </c>
      <c r="AZ110" s="33">
        <v>1</v>
      </c>
      <c r="BA110" s="33">
        <v>3</v>
      </c>
      <c r="BB110" s="33">
        <v>0</v>
      </c>
      <c r="BC110" s="33">
        <v>0</v>
      </c>
      <c r="BD110" s="43">
        <v>0.18791247240909698</v>
      </c>
      <c r="BE110" s="33">
        <v>0</v>
      </c>
      <c r="BF110" s="33">
        <v>0</v>
      </c>
      <c r="CE110" s="36">
        <v>76</v>
      </c>
      <c r="CF110" s="33">
        <v>8</v>
      </c>
      <c r="CG110" s="33">
        <v>2</v>
      </c>
      <c r="CH110" s="33">
        <v>4</v>
      </c>
      <c r="CI110" s="33">
        <v>1</v>
      </c>
      <c r="CJ110" s="33">
        <v>1</v>
      </c>
      <c r="CK110" s="33">
        <v>0</v>
      </c>
      <c r="CL110" s="33">
        <v>0</v>
      </c>
      <c r="CM110" s="33">
        <v>3</v>
      </c>
      <c r="CN110" s="33">
        <v>11</v>
      </c>
      <c r="CO110" s="33">
        <v>1</v>
      </c>
      <c r="CP110" s="43">
        <v>5.1993388455893755E-2</v>
      </c>
      <c r="CQ110" s="33">
        <v>0</v>
      </c>
      <c r="CR110" s="33">
        <v>0</v>
      </c>
    </row>
    <row r="111" spans="1:96" ht="15" customHeight="1" x14ac:dyDescent="0.25">
      <c r="A111" s="26">
        <v>109</v>
      </c>
      <c r="B111" s="27">
        <v>22</v>
      </c>
      <c r="C111" s="27">
        <v>0</v>
      </c>
      <c r="D111" s="27">
        <v>1</v>
      </c>
      <c r="E111" s="27">
        <v>534</v>
      </c>
      <c r="F111" s="27">
        <v>2</v>
      </c>
      <c r="G111" s="27">
        <v>15</v>
      </c>
      <c r="H111" s="27">
        <v>3</v>
      </c>
      <c r="I111" s="27">
        <v>3</v>
      </c>
      <c r="J111" s="27">
        <v>1</v>
      </c>
      <c r="K111" s="27">
        <v>144</v>
      </c>
      <c r="L111" s="27">
        <v>2</v>
      </c>
      <c r="M111" s="27">
        <v>0</v>
      </c>
      <c r="N111" s="27">
        <v>59</v>
      </c>
      <c r="O111" s="27">
        <v>3</v>
      </c>
      <c r="P111" s="27">
        <v>1</v>
      </c>
      <c r="Q111" s="27">
        <v>3</v>
      </c>
      <c r="R111" s="27">
        <v>4</v>
      </c>
      <c r="S111" s="27">
        <v>1</v>
      </c>
      <c r="T111" s="27">
        <v>2871</v>
      </c>
      <c r="U111" s="27">
        <v>23785</v>
      </c>
      <c r="V111" s="27">
        <v>1</v>
      </c>
      <c r="W111" s="27">
        <v>0</v>
      </c>
      <c r="X111" s="27">
        <v>15</v>
      </c>
      <c r="Y111" s="27">
        <v>3</v>
      </c>
      <c r="Z111" s="27">
        <v>3</v>
      </c>
      <c r="AA111" s="27">
        <v>80</v>
      </c>
      <c r="AB111" s="27">
        <v>0</v>
      </c>
      <c r="AC111" s="27">
        <v>1</v>
      </c>
      <c r="AD111" s="27">
        <v>5</v>
      </c>
      <c r="AE111" s="27">
        <v>3</v>
      </c>
      <c r="AF111" s="27">
        <v>0</v>
      </c>
      <c r="AG111" s="27">
        <v>0</v>
      </c>
      <c r="AH111" s="27">
        <v>0</v>
      </c>
      <c r="AI111" s="28">
        <v>0</v>
      </c>
      <c r="AK111" s="36">
        <v>78</v>
      </c>
      <c r="AL111" s="33">
        <v>6</v>
      </c>
      <c r="AM111" s="33">
        <v>3</v>
      </c>
      <c r="AN111" s="33">
        <v>1</v>
      </c>
      <c r="AO111" s="33">
        <v>4</v>
      </c>
      <c r="AP111" s="33">
        <v>1</v>
      </c>
      <c r="AQ111" s="33">
        <v>0</v>
      </c>
      <c r="AR111" s="33">
        <v>4</v>
      </c>
      <c r="AS111" s="33">
        <v>0</v>
      </c>
      <c r="AT111" s="33">
        <v>0</v>
      </c>
      <c r="AU111" s="43">
        <v>0.34937796093003054</v>
      </c>
      <c r="AV111" s="33">
        <v>0</v>
      </c>
      <c r="AW111" s="33">
        <v>0</v>
      </c>
      <c r="AY111" s="36">
        <v>83</v>
      </c>
      <c r="AZ111" s="33">
        <v>3</v>
      </c>
      <c r="BA111" s="33">
        <v>4</v>
      </c>
      <c r="BB111" s="33">
        <v>0</v>
      </c>
      <c r="BC111" s="33">
        <v>1</v>
      </c>
      <c r="BD111" s="43">
        <v>3.2280700557178299E-2</v>
      </c>
      <c r="BE111" s="33">
        <v>0</v>
      </c>
      <c r="BF111" s="33">
        <v>0</v>
      </c>
      <c r="CE111" s="36">
        <v>77</v>
      </c>
      <c r="CF111" s="33">
        <v>1</v>
      </c>
      <c r="CG111" s="33">
        <v>2</v>
      </c>
      <c r="CH111" s="33">
        <v>1</v>
      </c>
      <c r="CI111" s="33">
        <v>1</v>
      </c>
      <c r="CJ111" s="33">
        <v>0</v>
      </c>
      <c r="CK111" s="33">
        <v>0</v>
      </c>
      <c r="CL111" s="33">
        <v>0</v>
      </c>
      <c r="CM111" s="33">
        <v>3</v>
      </c>
      <c r="CN111" s="33">
        <v>15</v>
      </c>
      <c r="CO111" s="33">
        <v>2</v>
      </c>
      <c r="CP111" s="43">
        <v>7.8340884122032162E-2</v>
      </c>
      <c r="CQ111" s="33">
        <v>0</v>
      </c>
      <c r="CR111" s="33">
        <v>0</v>
      </c>
    </row>
    <row r="112" spans="1:96" ht="15" customHeight="1" x14ac:dyDescent="0.25">
      <c r="A112" s="26">
        <v>110</v>
      </c>
      <c r="B112" s="27">
        <v>51</v>
      </c>
      <c r="C112" s="27">
        <v>0</v>
      </c>
      <c r="D112" s="27">
        <v>2</v>
      </c>
      <c r="E112" s="27">
        <v>1456</v>
      </c>
      <c r="F112" s="27">
        <v>2</v>
      </c>
      <c r="G112" s="27">
        <v>1</v>
      </c>
      <c r="H112" s="27">
        <v>4</v>
      </c>
      <c r="I112" s="27">
        <v>3</v>
      </c>
      <c r="J112" s="27">
        <v>1</v>
      </c>
      <c r="K112" s="27">
        <v>145</v>
      </c>
      <c r="L112" s="27">
        <v>1</v>
      </c>
      <c r="M112" s="27">
        <v>0</v>
      </c>
      <c r="N112" s="27">
        <v>30</v>
      </c>
      <c r="O112" s="27">
        <v>2</v>
      </c>
      <c r="P112" s="27">
        <v>3</v>
      </c>
      <c r="Q112" s="27">
        <v>5</v>
      </c>
      <c r="R112" s="27">
        <v>1</v>
      </c>
      <c r="S112" s="27">
        <v>1</v>
      </c>
      <c r="T112" s="27">
        <v>7484</v>
      </c>
      <c r="U112" s="27">
        <v>25796</v>
      </c>
      <c r="V112" s="27">
        <v>3</v>
      </c>
      <c r="W112" s="27">
        <v>0</v>
      </c>
      <c r="X112" s="27">
        <v>20</v>
      </c>
      <c r="Y112" s="27">
        <v>4</v>
      </c>
      <c r="Z112" s="27">
        <v>3</v>
      </c>
      <c r="AA112" s="27">
        <v>80</v>
      </c>
      <c r="AB112" s="27">
        <v>0</v>
      </c>
      <c r="AC112" s="27">
        <v>23</v>
      </c>
      <c r="AD112" s="27">
        <v>1</v>
      </c>
      <c r="AE112" s="27">
        <v>2</v>
      </c>
      <c r="AF112" s="27">
        <v>13</v>
      </c>
      <c r="AG112" s="27">
        <v>12</v>
      </c>
      <c r="AH112" s="27">
        <v>12</v>
      </c>
      <c r="AI112" s="28">
        <v>8</v>
      </c>
      <c r="AK112" s="36">
        <v>79</v>
      </c>
      <c r="AL112" s="33">
        <v>7</v>
      </c>
      <c r="AM112" s="33">
        <v>3</v>
      </c>
      <c r="AN112" s="33">
        <v>3</v>
      </c>
      <c r="AO112" s="33">
        <v>4</v>
      </c>
      <c r="AP112" s="33">
        <v>0</v>
      </c>
      <c r="AQ112" s="33">
        <v>0</v>
      </c>
      <c r="AR112" s="33">
        <v>4</v>
      </c>
      <c r="AS112" s="33">
        <v>5</v>
      </c>
      <c r="AT112" s="33">
        <v>0</v>
      </c>
      <c r="AU112" s="43">
        <v>4.7065649275221944E-2</v>
      </c>
      <c r="AV112" s="33">
        <v>0</v>
      </c>
      <c r="AW112" s="33">
        <v>0</v>
      </c>
      <c r="AY112" s="36">
        <v>84</v>
      </c>
      <c r="AZ112" s="33">
        <v>2</v>
      </c>
      <c r="BA112" s="33">
        <v>4</v>
      </c>
      <c r="BB112" s="33">
        <v>1</v>
      </c>
      <c r="BC112" s="33">
        <v>3</v>
      </c>
      <c r="BD112" s="43">
        <v>7.9833763836812441E-2</v>
      </c>
      <c r="BE112" s="33">
        <v>0</v>
      </c>
      <c r="BF112" s="33">
        <v>0</v>
      </c>
      <c r="CE112" s="36">
        <v>78</v>
      </c>
      <c r="CF112" s="33">
        <v>6</v>
      </c>
      <c r="CG112" s="33">
        <v>3</v>
      </c>
      <c r="CH112" s="33">
        <v>1</v>
      </c>
      <c r="CI112" s="33">
        <v>2</v>
      </c>
      <c r="CJ112" s="33">
        <v>4</v>
      </c>
      <c r="CK112" s="33">
        <v>1</v>
      </c>
      <c r="CL112" s="33">
        <v>0</v>
      </c>
      <c r="CM112" s="33">
        <v>4</v>
      </c>
      <c r="CN112" s="33">
        <v>0</v>
      </c>
      <c r="CO112" s="33">
        <v>0</v>
      </c>
      <c r="CP112" s="43">
        <v>0.28344632128683156</v>
      </c>
      <c r="CQ112" s="33">
        <v>0</v>
      </c>
      <c r="CR112" s="33">
        <v>0</v>
      </c>
    </row>
    <row r="113" spans="1:96" ht="15" customHeight="1" x14ac:dyDescent="0.25">
      <c r="A113" s="26">
        <v>111</v>
      </c>
      <c r="B113" s="27">
        <v>34</v>
      </c>
      <c r="C113" s="27">
        <v>1</v>
      </c>
      <c r="D113" s="27">
        <v>2</v>
      </c>
      <c r="E113" s="27">
        <v>658</v>
      </c>
      <c r="F113" s="27">
        <v>2</v>
      </c>
      <c r="G113" s="27">
        <v>7</v>
      </c>
      <c r="H113" s="27">
        <v>3</v>
      </c>
      <c r="I113" s="27">
        <v>1</v>
      </c>
      <c r="J113" s="27">
        <v>1</v>
      </c>
      <c r="K113" s="27">
        <v>147</v>
      </c>
      <c r="L113" s="27">
        <v>1</v>
      </c>
      <c r="M113" s="27">
        <v>1</v>
      </c>
      <c r="N113" s="27">
        <v>66</v>
      </c>
      <c r="O113" s="27">
        <v>1</v>
      </c>
      <c r="P113" s="27">
        <v>2</v>
      </c>
      <c r="Q113" s="27">
        <v>3</v>
      </c>
      <c r="R113" s="27">
        <v>3</v>
      </c>
      <c r="S113" s="27">
        <v>1</v>
      </c>
      <c r="T113" s="27">
        <v>6074</v>
      </c>
      <c r="U113" s="27">
        <v>22887</v>
      </c>
      <c r="V113" s="27">
        <v>1</v>
      </c>
      <c r="W113" s="27">
        <v>1</v>
      </c>
      <c r="X113" s="27">
        <v>24</v>
      </c>
      <c r="Y113" s="27">
        <v>4</v>
      </c>
      <c r="Z113" s="27">
        <v>4</v>
      </c>
      <c r="AA113" s="27">
        <v>80</v>
      </c>
      <c r="AB113" s="27">
        <v>0</v>
      </c>
      <c r="AC113" s="27">
        <v>9</v>
      </c>
      <c r="AD113" s="27">
        <v>3</v>
      </c>
      <c r="AE113" s="27">
        <v>3</v>
      </c>
      <c r="AF113" s="27">
        <v>9</v>
      </c>
      <c r="AG113" s="27">
        <v>7</v>
      </c>
      <c r="AH113" s="27">
        <v>0</v>
      </c>
      <c r="AI113" s="28">
        <v>6</v>
      </c>
      <c r="AK113" s="36">
        <v>80</v>
      </c>
      <c r="AL113" s="33">
        <v>5</v>
      </c>
      <c r="AM113" s="33">
        <v>2</v>
      </c>
      <c r="AN113" s="33">
        <v>2</v>
      </c>
      <c r="AO113" s="33">
        <v>8</v>
      </c>
      <c r="AP113" s="33">
        <v>1</v>
      </c>
      <c r="AQ113" s="33">
        <v>1</v>
      </c>
      <c r="AR113" s="33">
        <v>3</v>
      </c>
      <c r="AS113" s="33">
        <v>4</v>
      </c>
      <c r="AT113" s="33">
        <v>0</v>
      </c>
      <c r="AU113" s="43">
        <v>0.33561075458826251</v>
      </c>
      <c r="AV113" s="33">
        <v>0</v>
      </c>
      <c r="AW113" s="33">
        <v>0</v>
      </c>
      <c r="AY113" s="36">
        <v>85</v>
      </c>
      <c r="AZ113" s="33">
        <v>2</v>
      </c>
      <c r="BA113" s="33">
        <v>2</v>
      </c>
      <c r="BB113" s="33">
        <v>0</v>
      </c>
      <c r="BC113" s="33">
        <v>0</v>
      </c>
      <c r="BD113" s="43">
        <v>0.15063023792355215</v>
      </c>
      <c r="BE113" s="33">
        <v>0</v>
      </c>
      <c r="BF113" s="33">
        <v>0</v>
      </c>
      <c r="CE113" s="36">
        <v>79</v>
      </c>
      <c r="CF113" s="33">
        <v>7</v>
      </c>
      <c r="CG113" s="33">
        <v>3</v>
      </c>
      <c r="CH113" s="33">
        <v>3</v>
      </c>
      <c r="CI113" s="33">
        <v>1</v>
      </c>
      <c r="CJ113" s="33">
        <v>4</v>
      </c>
      <c r="CK113" s="33">
        <v>0</v>
      </c>
      <c r="CL113" s="33">
        <v>0</v>
      </c>
      <c r="CM113" s="33">
        <v>4</v>
      </c>
      <c r="CN113" s="33">
        <v>5</v>
      </c>
      <c r="CO113" s="33">
        <v>0</v>
      </c>
      <c r="CP113" s="43">
        <v>5.5235668911072865E-2</v>
      </c>
      <c r="CQ113" s="33">
        <v>0</v>
      </c>
      <c r="CR113" s="33">
        <v>0</v>
      </c>
    </row>
    <row r="114" spans="1:96" ht="15" customHeight="1" x14ac:dyDescent="0.25">
      <c r="A114" s="26">
        <v>112</v>
      </c>
      <c r="B114" s="27">
        <v>54</v>
      </c>
      <c r="C114" s="27">
        <v>0</v>
      </c>
      <c r="D114" s="27">
        <v>3</v>
      </c>
      <c r="E114" s="27">
        <v>142</v>
      </c>
      <c r="F114" s="27">
        <v>3</v>
      </c>
      <c r="G114" s="27">
        <v>26</v>
      </c>
      <c r="H114" s="27">
        <v>3</v>
      </c>
      <c r="I114" s="27">
        <v>2</v>
      </c>
      <c r="J114" s="27">
        <v>1</v>
      </c>
      <c r="K114" s="27">
        <v>148</v>
      </c>
      <c r="L114" s="27">
        <v>4</v>
      </c>
      <c r="M114" s="27">
        <v>0</v>
      </c>
      <c r="N114" s="27">
        <v>30</v>
      </c>
      <c r="O114" s="27">
        <v>4</v>
      </c>
      <c r="P114" s="27">
        <v>4</v>
      </c>
      <c r="Q114" s="27">
        <v>6</v>
      </c>
      <c r="R114" s="27">
        <v>4</v>
      </c>
      <c r="S114" s="27">
        <v>1</v>
      </c>
      <c r="T114" s="27">
        <v>17328</v>
      </c>
      <c r="U114" s="27">
        <v>13871</v>
      </c>
      <c r="V114" s="27">
        <v>2</v>
      </c>
      <c r="W114" s="27">
        <v>1</v>
      </c>
      <c r="X114" s="27">
        <v>12</v>
      </c>
      <c r="Y114" s="27">
        <v>3</v>
      </c>
      <c r="Z114" s="27">
        <v>3</v>
      </c>
      <c r="AA114" s="27">
        <v>80</v>
      </c>
      <c r="AB114" s="27">
        <v>0</v>
      </c>
      <c r="AC114" s="27">
        <v>23</v>
      </c>
      <c r="AD114" s="27">
        <v>3</v>
      </c>
      <c r="AE114" s="27">
        <v>3</v>
      </c>
      <c r="AF114" s="27">
        <v>5</v>
      </c>
      <c r="AG114" s="27">
        <v>3</v>
      </c>
      <c r="AH114" s="27">
        <v>4</v>
      </c>
      <c r="AI114" s="28">
        <v>4</v>
      </c>
      <c r="AK114" s="36">
        <v>81</v>
      </c>
      <c r="AL114" s="33">
        <v>1</v>
      </c>
      <c r="AM114" s="33">
        <v>2</v>
      </c>
      <c r="AN114" s="33">
        <v>4</v>
      </c>
      <c r="AO114" s="33">
        <v>1</v>
      </c>
      <c r="AP114" s="33">
        <v>1</v>
      </c>
      <c r="AQ114" s="33">
        <v>2</v>
      </c>
      <c r="AR114" s="33">
        <v>2</v>
      </c>
      <c r="AS114" s="33">
        <v>10</v>
      </c>
      <c r="AT114" s="33">
        <v>3</v>
      </c>
      <c r="AU114" s="43">
        <v>8.1916269954671134E-2</v>
      </c>
      <c r="AV114" s="33">
        <v>0</v>
      </c>
      <c r="AW114" s="33">
        <v>0</v>
      </c>
      <c r="AY114" s="36">
        <v>86</v>
      </c>
      <c r="AZ114" s="33">
        <v>3</v>
      </c>
      <c r="BA114" s="33">
        <v>4</v>
      </c>
      <c r="BB114" s="33">
        <v>0</v>
      </c>
      <c r="BC114" s="33">
        <v>0</v>
      </c>
      <c r="BD114" s="43">
        <v>5.3512841598087578E-2</v>
      </c>
      <c r="BE114" s="33">
        <v>0</v>
      </c>
      <c r="BF114" s="33">
        <v>0</v>
      </c>
      <c r="CE114" s="36">
        <v>80</v>
      </c>
      <c r="CF114" s="33">
        <v>5</v>
      </c>
      <c r="CG114" s="33">
        <v>2</v>
      </c>
      <c r="CH114" s="33">
        <v>2</v>
      </c>
      <c r="CI114" s="33">
        <v>3</v>
      </c>
      <c r="CJ114" s="33">
        <v>8</v>
      </c>
      <c r="CK114" s="33">
        <v>1</v>
      </c>
      <c r="CL114" s="33">
        <v>1</v>
      </c>
      <c r="CM114" s="33">
        <v>3</v>
      </c>
      <c r="CN114" s="33">
        <v>4</v>
      </c>
      <c r="CO114" s="33">
        <v>0</v>
      </c>
      <c r="CP114" s="43">
        <v>0.23007256912389479</v>
      </c>
      <c r="CQ114" s="33">
        <v>0</v>
      </c>
      <c r="CR114" s="33">
        <v>0</v>
      </c>
    </row>
    <row r="115" spans="1:96" ht="15" customHeight="1" x14ac:dyDescent="0.25">
      <c r="A115" s="26">
        <v>113</v>
      </c>
      <c r="B115" s="27">
        <v>24</v>
      </c>
      <c r="C115" s="27">
        <v>0</v>
      </c>
      <c r="D115" s="27">
        <v>1</v>
      </c>
      <c r="E115" s="27">
        <v>1127</v>
      </c>
      <c r="F115" s="27">
        <v>2</v>
      </c>
      <c r="G115" s="27">
        <v>18</v>
      </c>
      <c r="H115" s="27">
        <v>1</v>
      </c>
      <c r="I115" s="27">
        <v>1</v>
      </c>
      <c r="J115" s="27">
        <v>1</v>
      </c>
      <c r="K115" s="27">
        <v>150</v>
      </c>
      <c r="L115" s="27">
        <v>2</v>
      </c>
      <c r="M115" s="27">
        <v>1</v>
      </c>
      <c r="N115" s="27">
        <v>52</v>
      </c>
      <c r="O115" s="27">
        <v>3</v>
      </c>
      <c r="P115" s="27">
        <v>1</v>
      </c>
      <c r="Q115" s="27">
        <v>3</v>
      </c>
      <c r="R115" s="27">
        <v>3</v>
      </c>
      <c r="S115" s="27">
        <v>2</v>
      </c>
      <c r="T115" s="27">
        <v>2774</v>
      </c>
      <c r="U115" s="27">
        <v>13257</v>
      </c>
      <c r="V115" s="27">
        <v>0</v>
      </c>
      <c r="W115" s="27">
        <v>0</v>
      </c>
      <c r="X115" s="27">
        <v>12</v>
      </c>
      <c r="Y115" s="27">
        <v>3</v>
      </c>
      <c r="Z115" s="27">
        <v>3</v>
      </c>
      <c r="AA115" s="27">
        <v>80</v>
      </c>
      <c r="AB115" s="27">
        <v>1</v>
      </c>
      <c r="AC115" s="27">
        <v>6</v>
      </c>
      <c r="AD115" s="27">
        <v>2</v>
      </c>
      <c r="AE115" s="27">
        <v>3</v>
      </c>
      <c r="AF115" s="27">
        <v>5</v>
      </c>
      <c r="AG115" s="27">
        <v>3</v>
      </c>
      <c r="AH115" s="27">
        <v>1</v>
      </c>
      <c r="AI115" s="28">
        <v>2</v>
      </c>
      <c r="AK115" s="36">
        <v>82</v>
      </c>
      <c r="AL115" s="33">
        <v>1</v>
      </c>
      <c r="AM115" s="33">
        <v>1</v>
      </c>
      <c r="AN115" s="33">
        <v>3</v>
      </c>
      <c r="AO115" s="33">
        <v>1</v>
      </c>
      <c r="AP115" s="33">
        <v>0</v>
      </c>
      <c r="AQ115" s="33">
        <v>0</v>
      </c>
      <c r="AR115" s="33">
        <v>3</v>
      </c>
      <c r="AS115" s="33">
        <v>6</v>
      </c>
      <c r="AT115" s="33">
        <v>0</v>
      </c>
      <c r="AU115" s="43">
        <v>9.9913554374900501E-2</v>
      </c>
      <c r="AV115" s="33">
        <v>0</v>
      </c>
      <c r="AW115" s="33">
        <v>0</v>
      </c>
      <c r="AY115" s="36">
        <v>87</v>
      </c>
      <c r="AZ115" s="33">
        <v>1</v>
      </c>
      <c r="BA115" s="33">
        <v>1</v>
      </c>
      <c r="BB115" s="33">
        <v>0</v>
      </c>
      <c r="BC115" s="33">
        <v>1</v>
      </c>
      <c r="BD115" s="43">
        <v>0.19678474515944386</v>
      </c>
      <c r="BE115" s="33">
        <v>0</v>
      </c>
      <c r="BF115" s="33">
        <v>0</v>
      </c>
      <c r="CE115" s="36">
        <v>81</v>
      </c>
      <c r="CF115" s="33">
        <v>1</v>
      </c>
      <c r="CG115" s="33">
        <v>2</v>
      </c>
      <c r="CH115" s="33">
        <v>4</v>
      </c>
      <c r="CI115" s="33">
        <v>2</v>
      </c>
      <c r="CJ115" s="33">
        <v>1</v>
      </c>
      <c r="CK115" s="33">
        <v>1</v>
      </c>
      <c r="CL115" s="33">
        <v>2</v>
      </c>
      <c r="CM115" s="33">
        <v>2</v>
      </c>
      <c r="CN115" s="33">
        <v>10</v>
      </c>
      <c r="CO115" s="33">
        <v>3</v>
      </c>
      <c r="CP115" s="43">
        <v>0.11231763959215735</v>
      </c>
      <c r="CQ115" s="33">
        <v>0</v>
      </c>
      <c r="CR115" s="33">
        <v>0</v>
      </c>
    </row>
    <row r="116" spans="1:96" ht="15" customHeight="1" x14ac:dyDescent="0.25">
      <c r="A116" s="26">
        <v>114</v>
      </c>
      <c r="B116" s="27">
        <v>34</v>
      </c>
      <c r="C116" s="27">
        <v>0</v>
      </c>
      <c r="D116" s="27">
        <v>1</v>
      </c>
      <c r="E116" s="27">
        <v>1031</v>
      </c>
      <c r="F116" s="27">
        <v>2</v>
      </c>
      <c r="G116" s="27">
        <v>6</v>
      </c>
      <c r="H116" s="27">
        <v>4</v>
      </c>
      <c r="I116" s="27">
        <v>1</v>
      </c>
      <c r="J116" s="27">
        <v>1</v>
      </c>
      <c r="K116" s="27">
        <v>151</v>
      </c>
      <c r="L116" s="27">
        <v>3</v>
      </c>
      <c r="M116" s="27">
        <v>0</v>
      </c>
      <c r="N116" s="27">
        <v>45</v>
      </c>
      <c r="O116" s="27">
        <v>2</v>
      </c>
      <c r="P116" s="27">
        <v>2</v>
      </c>
      <c r="Q116" s="27">
        <v>2</v>
      </c>
      <c r="R116" s="27">
        <v>2</v>
      </c>
      <c r="S116" s="27">
        <v>3</v>
      </c>
      <c r="T116" s="27">
        <v>4505</v>
      </c>
      <c r="U116" s="27">
        <v>15000</v>
      </c>
      <c r="V116" s="27">
        <v>6</v>
      </c>
      <c r="W116" s="27">
        <v>0</v>
      </c>
      <c r="X116" s="27">
        <v>15</v>
      </c>
      <c r="Y116" s="27">
        <v>3</v>
      </c>
      <c r="Z116" s="27">
        <v>3</v>
      </c>
      <c r="AA116" s="27">
        <v>80</v>
      </c>
      <c r="AB116" s="27">
        <v>1</v>
      </c>
      <c r="AC116" s="27">
        <v>12</v>
      </c>
      <c r="AD116" s="27">
        <v>3</v>
      </c>
      <c r="AE116" s="27">
        <v>3</v>
      </c>
      <c r="AF116" s="27">
        <v>1</v>
      </c>
      <c r="AG116" s="27">
        <v>0</v>
      </c>
      <c r="AH116" s="27">
        <v>0</v>
      </c>
      <c r="AI116" s="28">
        <v>0</v>
      </c>
      <c r="AK116" s="36">
        <v>83</v>
      </c>
      <c r="AL116" s="33">
        <v>1</v>
      </c>
      <c r="AM116" s="33">
        <v>3</v>
      </c>
      <c r="AN116" s="33">
        <v>4</v>
      </c>
      <c r="AO116" s="33">
        <v>3</v>
      </c>
      <c r="AP116" s="33">
        <v>0</v>
      </c>
      <c r="AQ116" s="33">
        <v>1</v>
      </c>
      <c r="AR116" s="33">
        <v>3</v>
      </c>
      <c r="AS116" s="33">
        <v>1</v>
      </c>
      <c r="AT116" s="33">
        <v>1</v>
      </c>
      <c r="AU116" s="43">
        <v>2.8786277409877527E-2</v>
      </c>
      <c r="AV116" s="33">
        <v>0</v>
      </c>
      <c r="AW116" s="33">
        <v>0</v>
      </c>
      <c r="AY116" s="36">
        <v>88</v>
      </c>
      <c r="AZ116" s="33">
        <v>1</v>
      </c>
      <c r="BA116" s="33">
        <v>4</v>
      </c>
      <c r="BB116" s="33">
        <v>0</v>
      </c>
      <c r="BC116" s="33">
        <v>2</v>
      </c>
      <c r="BD116" s="43">
        <v>5.6717470552978752E-2</v>
      </c>
      <c r="BE116" s="33">
        <v>0</v>
      </c>
      <c r="BF116" s="33">
        <v>0</v>
      </c>
      <c r="CE116" s="36">
        <v>82</v>
      </c>
      <c r="CF116" s="33">
        <v>1</v>
      </c>
      <c r="CG116" s="33">
        <v>1</v>
      </c>
      <c r="CH116" s="33">
        <v>3</v>
      </c>
      <c r="CI116" s="33">
        <v>1</v>
      </c>
      <c r="CJ116" s="33">
        <v>1</v>
      </c>
      <c r="CK116" s="33">
        <v>0</v>
      </c>
      <c r="CL116" s="33">
        <v>0</v>
      </c>
      <c r="CM116" s="33">
        <v>3</v>
      </c>
      <c r="CN116" s="33">
        <v>6</v>
      </c>
      <c r="CO116" s="33">
        <v>0</v>
      </c>
      <c r="CP116" s="43">
        <v>0.11515240007893097</v>
      </c>
      <c r="CQ116" s="33">
        <v>0</v>
      </c>
      <c r="CR116" s="33">
        <v>0</v>
      </c>
    </row>
    <row r="117" spans="1:96" ht="15" customHeight="1" x14ac:dyDescent="0.25">
      <c r="A117" s="26">
        <v>115</v>
      </c>
      <c r="B117" s="27">
        <v>37</v>
      </c>
      <c r="C117" s="27">
        <v>0</v>
      </c>
      <c r="D117" s="27">
        <v>1</v>
      </c>
      <c r="E117" s="27">
        <v>1189</v>
      </c>
      <c r="F117" s="27">
        <v>1</v>
      </c>
      <c r="G117" s="27">
        <v>3</v>
      </c>
      <c r="H117" s="27">
        <v>3</v>
      </c>
      <c r="I117" s="27">
        <v>1</v>
      </c>
      <c r="J117" s="27">
        <v>1</v>
      </c>
      <c r="K117" s="27">
        <v>152</v>
      </c>
      <c r="L117" s="27">
        <v>3</v>
      </c>
      <c r="M117" s="27">
        <v>1</v>
      </c>
      <c r="N117" s="27">
        <v>87</v>
      </c>
      <c r="O117" s="27">
        <v>3</v>
      </c>
      <c r="P117" s="27">
        <v>3</v>
      </c>
      <c r="Q117" s="27">
        <v>1</v>
      </c>
      <c r="R117" s="27">
        <v>4</v>
      </c>
      <c r="S117" s="27">
        <v>1</v>
      </c>
      <c r="T117" s="27">
        <v>7428</v>
      </c>
      <c r="U117" s="27">
        <v>14506</v>
      </c>
      <c r="V117" s="27">
        <v>2</v>
      </c>
      <c r="W117" s="27">
        <v>0</v>
      </c>
      <c r="X117" s="27">
        <v>12</v>
      </c>
      <c r="Y117" s="27">
        <v>3</v>
      </c>
      <c r="Z117" s="27">
        <v>1</v>
      </c>
      <c r="AA117" s="27">
        <v>80</v>
      </c>
      <c r="AB117" s="27">
        <v>0</v>
      </c>
      <c r="AC117" s="27">
        <v>12</v>
      </c>
      <c r="AD117" s="27">
        <v>3</v>
      </c>
      <c r="AE117" s="27">
        <v>3</v>
      </c>
      <c r="AF117" s="27">
        <v>5</v>
      </c>
      <c r="AG117" s="27">
        <v>3</v>
      </c>
      <c r="AH117" s="27">
        <v>1</v>
      </c>
      <c r="AI117" s="28">
        <v>3</v>
      </c>
      <c r="AK117" s="36">
        <v>84</v>
      </c>
      <c r="AL117" s="33">
        <v>6</v>
      </c>
      <c r="AM117" s="33">
        <v>2</v>
      </c>
      <c r="AN117" s="33">
        <v>4</v>
      </c>
      <c r="AO117" s="33">
        <v>7</v>
      </c>
      <c r="AP117" s="33">
        <v>1</v>
      </c>
      <c r="AQ117" s="33">
        <v>3</v>
      </c>
      <c r="AR117" s="33">
        <v>3</v>
      </c>
      <c r="AS117" s="33">
        <v>13</v>
      </c>
      <c r="AT117" s="33">
        <v>1</v>
      </c>
      <c r="AU117" s="43">
        <v>4.8009117709509143E-2</v>
      </c>
      <c r="AV117" s="33">
        <v>0</v>
      </c>
      <c r="AW117" s="33">
        <v>0</v>
      </c>
      <c r="AY117" s="36">
        <v>89</v>
      </c>
      <c r="AZ117" s="33">
        <v>2</v>
      </c>
      <c r="BA117" s="33">
        <v>4</v>
      </c>
      <c r="BB117" s="33">
        <v>0</v>
      </c>
      <c r="BC117" s="33">
        <v>3</v>
      </c>
      <c r="BD117" s="43">
        <v>1.9892232637238622E-2</v>
      </c>
      <c r="BE117" s="33">
        <v>0</v>
      </c>
      <c r="BF117" s="33">
        <v>0</v>
      </c>
      <c r="CE117" s="36">
        <v>83</v>
      </c>
      <c r="CF117" s="33">
        <v>1</v>
      </c>
      <c r="CG117" s="33">
        <v>3</v>
      </c>
      <c r="CH117" s="33">
        <v>4</v>
      </c>
      <c r="CI117" s="33">
        <v>2</v>
      </c>
      <c r="CJ117" s="33">
        <v>3</v>
      </c>
      <c r="CK117" s="33">
        <v>0</v>
      </c>
      <c r="CL117" s="33">
        <v>1</v>
      </c>
      <c r="CM117" s="33">
        <v>3</v>
      </c>
      <c r="CN117" s="33">
        <v>1</v>
      </c>
      <c r="CO117" s="33">
        <v>1</v>
      </c>
      <c r="CP117" s="43">
        <v>2.7738929347316178E-2</v>
      </c>
      <c r="CQ117" s="33">
        <v>0</v>
      </c>
      <c r="CR117" s="33">
        <v>0</v>
      </c>
    </row>
    <row r="118" spans="1:96" ht="15" customHeight="1" x14ac:dyDescent="0.25">
      <c r="A118" s="26">
        <v>116</v>
      </c>
      <c r="B118" s="27">
        <v>34</v>
      </c>
      <c r="C118" s="27">
        <v>0</v>
      </c>
      <c r="D118" s="27">
        <v>1</v>
      </c>
      <c r="E118" s="27">
        <v>1354</v>
      </c>
      <c r="F118" s="27">
        <v>2</v>
      </c>
      <c r="G118" s="27">
        <v>5</v>
      </c>
      <c r="H118" s="27">
        <v>3</v>
      </c>
      <c r="I118" s="27">
        <v>3</v>
      </c>
      <c r="J118" s="27">
        <v>1</v>
      </c>
      <c r="K118" s="27">
        <v>153</v>
      </c>
      <c r="L118" s="27">
        <v>3</v>
      </c>
      <c r="M118" s="27">
        <v>0</v>
      </c>
      <c r="N118" s="27">
        <v>45</v>
      </c>
      <c r="O118" s="27">
        <v>2</v>
      </c>
      <c r="P118" s="27">
        <v>3</v>
      </c>
      <c r="Q118" s="27">
        <v>6</v>
      </c>
      <c r="R118" s="27">
        <v>1</v>
      </c>
      <c r="S118" s="27">
        <v>1</v>
      </c>
      <c r="T118" s="27">
        <v>11631</v>
      </c>
      <c r="U118" s="27">
        <v>5615</v>
      </c>
      <c r="V118" s="27">
        <v>2</v>
      </c>
      <c r="W118" s="27">
        <v>0</v>
      </c>
      <c r="X118" s="27">
        <v>12</v>
      </c>
      <c r="Y118" s="27">
        <v>3</v>
      </c>
      <c r="Z118" s="27">
        <v>4</v>
      </c>
      <c r="AA118" s="27">
        <v>80</v>
      </c>
      <c r="AB118" s="27">
        <v>0</v>
      </c>
      <c r="AC118" s="27">
        <v>14</v>
      </c>
      <c r="AD118" s="27">
        <v>6</v>
      </c>
      <c r="AE118" s="27">
        <v>3</v>
      </c>
      <c r="AF118" s="27">
        <v>11</v>
      </c>
      <c r="AG118" s="27">
        <v>10</v>
      </c>
      <c r="AH118" s="27">
        <v>5</v>
      </c>
      <c r="AI118" s="28">
        <v>8</v>
      </c>
      <c r="AK118" s="36">
        <v>85</v>
      </c>
      <c r="AL118" s="33">
        <v>1</v>
      </c>
      <c r="AM118" s="33">
        <v>2</v>
      </c>
      <c r="AN118" s="33">
        <v>2</v>
      </c>
      <c r="AO118" s="33">
        <v>1</v>
      </c>
      <c r="AP118" s="33">
        <v>0</v>
      </c>
      <c r="AQ118" s="33">
        <v>0</v>
      </c>
      <c r="AR118" s="33">
        <v>3</v>
      </c>
      <c r="AS118" s="33">
        <v>5</v>
      </c>
      <c r="AT118" s="33">
        <v>1</v>
      </c>
      <c r="AU118" s="43">
        <v>9.3444385128144403E-2</v>
      </c>
      <c r="AV118" s="33">
        <v>0</v>
      </c>
      <c r="AW118" s="33">
        <v>0</v>
      </c>
      <c r="AY118" s="36">
        <v>90</v>
      </c>
      <c r="AZ118" s="33">
        <v>3</v>
      </c>
      <c r="BA118" s="33">
        <v>4</v>
      </c>
      <c r="BB118" s="33">
        <v>0</v>
      </c>
      <c r="BC118" s="33">
        <v>0</v>
      </c>
      <c r="BD118" s="43">
        <v>5.3512841598087578E-2</v>
      </c>
      <c r="BE118" s="33">
        <v>0</v>
      </c>
      <c r="BF118" s="33">
        <v>1</v>
      </c>
      <c r="CE118" s="36">
        <v>84</v>
      </c>
      <c r="CF118" s="33">
        <v>6</v>
      </c>
      <c r="CG118" s="33">
        <v>2</v>
      </c>
      <c r="CH118" s="33">
        <v>4</v>
      </c>
      <c r="CI118" s="33">
        <v>3</v>
      </c>
      <c r="CJ118" s="33">
        <v>7</v>
      </c>
      <c r="CK118" s="33">
        <v>1</v>
      </c>
      <c r="CL118" s="33">
        <v>3</v>
      </c>
      <c r="CM118" s="33">
        <v>3</v>
      </c>
      <c r="CN118" s="33">
        <v>13</v>
      </c>
      <c r="CO118" s="33">
        <v>1</v>
      </c>
      <c r="CP118" s="43">
        <v>5.3941959574030987E-2</v>
      </c>
      <c r="CQ118" s="33">
        <v>0</v>
      </c>
      <c r="CR118" s="33">
        <v>0</v>
      </c>
    </row>
    <row r="119" spans="1:96" ht="15" customHeight="1" x14ac:dyDescent="0.25">
      <c r="A119" s="26">
        <v>117</v>
      </c>
      <c r="B119" s="27">
        <v>36</v>
      </c>
      <c r="C119" s="27">
        <v>0</v>
      </c>
      <c r="D119" s="27">
        <v>2</v>
      </c>
      <c r="E119" s="27">
        <v>1467</v>
      </c>
      <c r="F119" s="27">
        <v>1</v>
      </c>
      <c r="G119" s="27">
        <v>11</v>
      </c>
      <c r="H119" s="27">
        <v>2</v>
      </c>
      <c r="I119" s="27">
        <v>5</v>
      </c>
      <c r="J119" s="27">
        <v>1</v>
      </c>
      <c r="K119" s="27">
        <v>154</v>
      </c>
      <c r="L119" s="27">
        <v>2</v>
      </c>
      <c r="M119" s="27">
        <v>0</v>
      </c>
      <c r="N119" s="27">
        <v>92</v>
      </c>
      <c r="O119" s="27">
        <v>3</v>
      </c>
      <c r="P119" s="27">
        <v>3</v>
      </c>
      <c r="Q119" s="27">
        <v>1</v>
      </c>
      <c r="R119" s="27">
        <v>4</v>
      </c>
      <c r="S119" s="27">
        <v>2</v>
      </c>
      <c r="T119" s="27">
        <v>9738</v>
      </c>
      <c r="U119" s="27">
        <v>22952</v>
      </c>
      <c r="V119" s="27">
        <v>0</v>
      </c>
      <c r="W119" s="27">
        <v>0</v>
      </c>
      <c r="X119" s="27">
        <v>14</v>
      </c>
      <c r="Y119" s="27">
        <v>3</v>
      </c>
      <c r="Z119" s="27">
        <v>3</v>
      </c>
      <c r="AA119" s="27">
        <v>80</v>
      </c>
      <c r="AB119" s="27">
        <v>1</v>
      </c>
      <c r="AC119" s="27">
        <v>10</v>
      </c>
      <c r="AD119" s="27">
        <v>6</v>
      </c>
      <c r="AE119" s="27">
        <v>3</v>
      </c>
      <c r="AF119" s="27">
        <v>9</v>
      </c>
      <c r="AG119" s="27">
        <v>7</v>
      </c>
      <c r="AH119" s="27">
        <v>2</v>
      </c>
      <c r="AI119" s="28">
        <v>8</v>
      </c>
      <c r="AK119" s="36">
        <v>86</v>
      </c>
      <c r="AL119" s="33">
        <v>7</v>
      </c>
      <c r="AM119" s="33">
        <v>3</v>
      </c>
      <c r="AN119" s="33">
        <v>4</v>
      </c>
      <c r="AO119" s="33">
        <v>4</v>
      </c>
      <c r="AP119" s="33">
        <v>0</v>
      </c>
      <c r="AQ119" s="33">
        <v>0</v>
      </c>
      <c r="AR119" s="33">
        <v>2</v>
      </c>
      <c r="AS119" s="33">
        <v>6</v>
      </c>
      <c r="AT119" s="33">
        <v>0</v>
      </c>
      <c r="AU119" s="43">
        <v>5.1805632009076966E-2</v>
      </c>
      <c r="AV119" s="33">
        <v>0</v>
      </c>
      <c r="AW119" s="33">
        <v>0</v>
      </c>
      <c r="AY119" s="36">
        <v>91</v>
      </c>
      <c r="AZ119" s="33">
        <v>4</v>
      </c>
      <c r="BA119" s="33">
        <v>2</v>
      </c>
      <c r="BB119" s="33">
        <v>0</v>
      </c>
      <c r="BC119" s="33">
        <v>1</v>
      </c>
      <c r="BD119" s="43">
        <v>3.3113852747679105E-2</v>
      </c>
      <c r="BE119" s="33">
        <v>0</v>
      </c>
      <c r="BF119" s="33">
        <v>0</v>
      </c>
      <c r="CE119" s="36">
        <v>85</v>
      </c>
      <c r="CF119" s="33">
        <v>1</v>
      </c>
      <c r="CG119" s="33">
        <v>2</v>
      </c>
      <c r="CH119" s="33">
        <v>2</v>
      </c>
      <c r="CI119" s="33">
        <v>2</v>
      </c>
      <c r="CJ119" s="33">
        <v>1</v>
      </c>
      <c r="CK119" s="33">
        <v>0</v>
      </c>
      <c r="CL119" s="33">
        <v>0</v>
      </c>
      <c r="CM119" s="33">
        <v>3</v>
      </c>
      <c r="CN119" s="33">
        <v>5</v>
      </c>
      <c r="CO119" s="33">
        <v>1</v>
      </c>
      <c r="CP119" s="43">
        <v>6.6967879241465425E-2</v>
      </c>
      <c r="CQ119" s="33">
        <v>0</v>
      </c>
      <c r="CR119" s="33">
        <v>0</v>
      </c>
    </row>
    <row r="120" spans="1:96" ht="15" customHeight="1" x14ac:dyDescent="0.25">
      <c r="A120" s="26">
        <v>118</v>
      </c>
      <c r="B120" s="27">
        <v>36</v>
      </c>
      <c r="C120" s="27">
        <v>0</v>
      </c>
      <c r="D120" s="27">
        <v>1</v>
      </c>
      <c r="E120" s="27">
        <v>922</v>
      </c>
      <c r="F120" s="27">
        <v>2</v>
      </c>
      <c r="G120" s="27">
        <v>3</v>
      </c>
      <c r="H120" s="27">
        <v>2</v>
      </c>
      <c r="I120" s="27">
        <v>1</v>
      </c>
      <c r="J120" s="27">
        <v>1</v>
      </c>
      <c r="K120" s="27">
        <v>155</v>
      </c>
      <c r="L120" s="27">
        <v>1</v>
      </c>
      <c r="M120" s="27">
        <v>0</v>
      </c>
      <c r="N120" s="27">
        <v>39</v>
      </c>
      <c r="O120" s="27">
        <v>3</v>
      </c>
      <c r="P120" s="27">
        <v>1</v>
      </c>
      <c r="Q120" s="27">
        <v>3</v>
      </c>
      <c r="R120" s="27">
        <v>4</v>
      </c>
      <c r="S120" s="27">
        <v>3</v>
      </c>
      <c r="T120" s="27">
        <v>2835</v>
      </c>
      <c r="U120" s="27">
        <v>2561</v>
      </c>
      <c r="V120" s="27">
        <v>5</v>
      </c>
      <c r="W120" s="27">
        <v>0</v>
      </c>
      <c r="X120" s="27">
        <v>22</v>
      </c>
      <c r="Y120" s="27">
        <v>4</v>
      </c>
      <c r="Z120" s="27">
        <v>1</v>
      </c>
      <c r="AA120" s="27">
        <v>80</v>
      </c>
      <c r="AB120" s="27">
        <v>1</v>
      </c>
      <c r="AC120" s="27">
        <v>7</v>
      </c>
      <c r="AD120" s="27">
        <v>2</v>
      </c>
      <c r="AE120" s="27">
        <v>3</v>
      </c>
      <c r="AF120" s="27">
        <v>1</v>
      </c>
      <c r="AG120" s="27">
        <v>0</v>
      </c>
      <c r="AH120" s="27">
        <v>0</v>
      </c>
      <c r="AI120" s="28">
        <v>0</v>
      </c>
      <c r="AK120" s="36">
        <v>87</v>
      </c>
      <c r="AL120" s="33">
        <v>2</v>
      </c>
      <c r="AM120" s="33">
        <v>1</v>
      </c>
      <c r="AN120" s="33">
        <v>1</v>
      </c>
      <c r="AO120" s="33">
        <v>3</v>
      </c>
      <c r="AP120" s="33">
        <v>0</v>
      </c>
      <c r="AQ120" s="33">
        <v>1</v>
      </c>
      <c r="AR120" s="33">
        <v>3</v>
      </c>
      <c r="AS120" s="33">
        <v>0</v>
      </c>
      <c r="AT120" s="33">
        <v>0</v>
      </c>
      <c r="AU120" s="43">
        <v>0.17551800601600628</v>
      </c>
      <c r="AV120" s="33">
        <v>0</v>
      </c>
      <c r="AW120" s="33">
        <v>0</v>
      </c>
      <c r="AY120" s="36">
        <v>92</v>
      </c>
      <c r="AZ120" s="33">
        <v>2</v>
      </c>
      <c r="BA120" s="33">
        <v>4</v>
      </c>
      <c r="BB120" s="33">
        <v>1</v>
      </c>
      <c r="BC120" s="33">
        <v>0</v>
      </c>
      <c r="BD120" s="43">
        <v>0.29698480921718856</v>
      </c>
      <c r="BE120" s="33">
        <v>0</v>
      </c>
      <c r="BF120" s="33">
        <v>0</v>
      </c>
      <c r="CE120" s="36">
        <v>86</v>
      </c>
      <c r="CF120" s="33">
        <v>7</v>
      </c>
      <c r="CG120" s="33">
        <v>3</v>
      </c>
      <c r="CH120" s="33">
        <v>4</v>
      </c>
      <c r="CI120" s="33">
        <v>1</v>
      </c>
      <c r="CJ120" s="33">
        <v>4</v>
      </c>
      <c r="CK120" s="33">
        <v>0</v>
      </c>
      <c r="CL120" s="33">
        <v>0</v>
      </c>
      <c r="CM120" s="33">
        <v>2</v>
      </c>
      <c r="CN120" s="33">
        <v>6</v>
      </c>
      <c r="CO120" s="33">
        <v>0</v>
      </c>
      <c r="CP120" s="43">
        <v>6.1532266574883504E-2</v>
      </c>
      <c r="CQ120" s="33">
        <v>0</v>
      </c>
      <c r="CR120" s="33">
        <v>0</v>
      </c>
    </row>
    <row r="121" spans="1:96" ht="15" customHeight="1" x14ac:dyDescent="0.25">
      <c r="A121" s="26">
        <v>119</v>
      </c>
      <c r="B121" s="27">
        <v>43</v>
      </c>
      <c r="C121" s="27">
        <v>0</v>
      </c>
      <c r="D121" s="27">
        <v>2</v>
      </c>
      <c r="E121" s="27">
        <v>394</v>
      </c>
      <c r="F121" s="27">
        <v>1</v>
      </c>
      <c r="G121" s="27">
        <v>26</v>
      </c>
      <c r="H121" s="27">
        <v>2</v>
      </c>
      <c r="I121" s="27">
        <v>1</v>
      </c>
      <c r="J121" s="27">
        <v>1</v>
      </c>
      <c r="K121" s="27">
        <v>158</v>
      </c>
      <c r="L121" s="27">
        <v>3</v>
      </c>
      <c r="M121" s="27">
        <v>1</v>
      </c>
      <c r="N121" s="27">
        <v>92</v>
      </c>
      <c r="O121" s="27">
        <v>3</v>
      </c>
      <c r="P121" s="27">
        <v>4</v>
      </c>
      <c r="Q121" s="27">
        <v>6</v>
      </c>
      <c r="R121" s="27">
        <v>4</v>
      </c>
      <c r="S121" s="27">
        <v>2</v>
      </c>
      <c r="T121" s="27">
        <v>16959</v>
      </c>
      <c r="U121" s="27">
        <v>19494</v>
      </c>
      <c r="V121" s="27">
        <v>1</v>
      </c>
      <c r="W121" s="27">
        <v>1</v>
      </c>
      <c r="X121" s="27">
        <v>12</v>
      </c>
      <c r="Y121" s="27">
        <v>3</v>
      </c>
      <c r="Z121" s="27">
        <v>4</v>
      </c>
      <c r="AA121" s="27">
        <v>80</v>
      </c>
      <c r="AB121" s="27">
        <v>2</v>
      </c>
      <c r="AC121" s="27">
        <v>25</v>
      </c>
      <c r="AD121" s="27">
        <v>3</v>
      </c>
      <c r="AE121" s="27">
        <v>4</v>
      </c>
      <c r="AF121" s="27">
        <v>25</v>
      </c>
      <c r="AG121" s="27">
        <v>12</v>
      </c>
      <c r="AH121" s="27">
        <v>4</v>
      </c>
      <c r="AI121" s="28">
        <v>12</v>
      </c>
      <c r="AK121" s="36">
        <v>88</v>
      </c>
      <c r="AL121" s="33">
        <v>9</v>
      </c>
      <c r="AM121" s="33">
        <v>1</v>
      </c>
      <c r="AN121" s="33">
        <v>4</v>
      </c>
      <c r="AO121" s="33">
        <v>3</v>
      </c>
      <c r="AP121" s="33">
        <v>0</v>
      </c>
      <c r="AQ121" s="33">
        <v>2</v>
      </c>
      <c r="AR121" s="33">
        <v>3</v>
      </c>
      <c r="AS121" s="33">
        <v>4</v>
      </c>
      <c r="AT121" s="33">
        <v>0</v>
      </c>
      <c r="AU121" s="43">
        <v>4.5512673404551965E-2</v>
      </c>
      <c r="AV121" s="33">
        <v>0</v>
      </c>
      <c r="AW121" s="33">
        <v>0</v>
      </c>
      <c r="AY121" s="36">
        <v>93</v>
      </c>
      <c r="AZ121" s="33">
        <v>2</v>
      </c>
      <c r="BA121" s="33">
        <v>2</v>
      </c>
      <c r="BB121" s="33">
        <v>1</v>
      </c>
      <c r="BC121" s="33">
        <v>3</v>
      </c>
      <c r="BD121" s="43">
        <v>0.13472036383362182</v>
      </c>
      <c r="BE121" s="33">
        <v>0</v>
      </c>
      <c r="BF121" s="33">
        <v>0</v>
      </c>
      <c r="CE121" s="36">
        <v>87</v>
      </c>
      <c r="CF121" s="33">
        <v>2</v>
      </c>
      <c r="CG121" s="33">
        <v>1</v>
      </c>
      <c r="CH121" s="33">
        <v>1</v>
      </c>
      <c r="CI121" s="33">
        <v>3</v>
      </c>
      <c r="CJ121" s="33">
        <v>3</v>
      </c>
      <c r="CK121" s="33">
        <v>0</v>
      </c>
      <c r="CL121" s="33">
        <v>1</v>
      </c>
      <c r="CM121" s="33">
        <v>3</v>
      </c>
      <c r="CN121" s="33">
        <v>0</v>
      </c>
      <c r="CO121" s="33">
        <v>0</v>
      </c>
      <c r="CP121" s="43">
        <v>0.10813796888820469</v>
      </c>
      <c r="CQ121" s="33">
        <v>0</v>
      </c>
      <c r="CR121" s="33">
        <v>0</v>
      </c>
    </row>
    <row r="122" spans="1:96" ht="15" customHeight="1" x14ac:dyDescent="0.25">
      <c r="A122" s="26">
        <v>120</v>
      </c>
      <c r="B122" s="27">
        <v>30</v>
      </c>
      <c r="C122" s="27">
        <v>0</v>
      </c>
      <c r="D122" s="27">
        <v>2</v>
      </c>
      <c r="E122" s="27">
        <v>1312</v>
      </c>
      <c r="F122" s="27">
        <v>2</v>
      </c>
      <c r="G122" s="27">
        <v>23</v>
      </c>
      <c r="H122" s="27">
        <v>3</v>
      </c>
      <c r="I122" s="27">
        <v>1</v>
      </c>
      <c r="J122" s="27">
        <v>1</v>
      </c>
      <c r="K122" s="27">
        <v>159</v>
      </c>
      <c r="L122" s="27">
        <v>1</v>
      </c>
      <c r="M122" s="27">
        <v>1</v>
      </c>
      <c r="N122" s="27">
        <v>96</v>
      </c>
      <c r="O122" s="27">
        <v>1</v>
      </c>
      <c r="P122" s="27">
        <v>1</v>
      </c>
      <c r="Q122" s="27">
        <v>2</v>
      </c>
      <c r="R122" s="27">
        <v>3</v>
      </c>
      <c r="S122" s="27">
        <v>3</v>
      </c>
      <c r="T122" s="27">
        <v>2613</v>
      </c>
      <c r="U122" s="27">
        <v>22310</v>
      </c>
      <c r="V122" s="27">
        <v>1</v>
      </c>
      <c r="W122" s="27">
        <v>0</v>
      </c>
      <c r="X122" s="27">
        <v>25</v>
      </c>
      <c r="Y122" s="27">
        <v>4</v>
      </c>
      <c r="Z122" s="27">
        <v>3</v>
      </c>
      <c r="AA122" s="27">
        <v>80</v>
      </c>
      <c r="AB122" s="27">
        <v>3</v>
      </c>
      <c r="AC122" s="27">
        <v>10</v>
      </c>
      <c r="AD122" s="27">
        <v>2</v>
      </c>
      <c r="AE122" s="27">
        <v>2</v>
      </c>
      <c r="AF122" s="27">
        <v>10</v>
      </c>
      <c r="AG122" s="27">
        <v>7</v>
      </c>
      <c r="AH122" s="27">
        <v>0</v>
      </c>
      <c r="AI122" s="28">
        <v>9</v>
      </c>
      <c r="AK122" s="36">
        <v>89</v>
      </c>
      <c r="AL122" s="33">
        <v>2</v>
      </c>
      <c r="AM122" s="33">
        <v>2</v>
      </c>
      <c r="AN122" s="33">
        <v>4</v>
      </c>
      <c r="AO122" s="33">
        <v>1</v>
      </c>
      <c r="AP122" s="33">
        <v>0</v>
      </c>
      <c r="AQ122" s="33">
        <v>3</v>
      </c>
      <c r="AR122" s="33">
        <v>3</v>
      </c>
      <c r="AS122" s="33">
        <v>11</v>
      </c>
      <c r="AT122" s="33">
        <v>10</v>
      </c>
      <c r="AU122" s="43">
        <v>1.9141721083137421E-2</v>
      </c>
      <c r="AV122" s="33">
        <v>0</v>
      </c>
      <c r="AW122" s="33">
        <v>0</v>
      </c>
      <c r="AY122" s="36">
        <v>94</v>
      </c>
      <c r="AZ122" s="33">
        <v>3</v>
      </c>
      <c r="BA122" s="33">
        <v>1</v>
      </c>
      <c r="BB122" s="33">
        <v>1</v>
      </c>
      <c r="BC122" s="33">
        <v>1</v>
      </c>
      <c r="BD122" s="43">
        <v>0.25528659551539534</v>
      </c>
      <c r="BE122" s="33">
        <v>0</v>
      </c>
      <c r="BF122" s="33">
        <v>0</v>
      </c>
      <c r="CE122" s="36">
        <v>88</v>
      </c>
      <c r="CF122" s="33">
        <v>9</v>
      </c>
      <c r="CG122" s="33">
        <v>1</v>
      </c>
      <c r="CH122" s="33">
        <v>4</v>
      </c>
      <c r="CI122" s="33">
        <v>2</v>
      </c>
      <c r="CJ122" s="33">
        <v>3</v>
      </c>
      <c r="CK122" s="33">
        <v>0</v>
      </c>
      <c r="CL122" s="33">
        <v>2</v>
      </c>
      <c r="CM122" s="33">
        <v>3</v>
      </c>
      <c r="CN122" s="33">
        <v>4</v>
      </c>
      <c r="CO122" s="33">
        <v>0</v>
      </c>
      <c r="CP122" s="43">
        <v>5.9123489901073883E-2</v>
      </c>
      <c r="CQ122" s="33">
        <v>0</v>
      </c>
      <c r="CR122" s="33">
        <v>0</v>
      </c>
    </row>
    <row r="123" spans="1:96" ht="15" customHeight="1" x14ac:dyDescent="0.25">
      <c r="A123" s="26">
        <v>121</v>
      </c>
      <c r="B123" s="27">
        <v>33</v>
      </c>
      <c r="C123" s="27">
        <v>0</v>
      </c>
      <c r="D123" s="27">
        <v>3</v>
      </c>
      <c r="E123" s="27">
        <v>750</v>
      </c>
      <c r="F123" s="27">
        <v>1</v>
      </c>
      <c r="G123" s="27">
        <v>22</v>
      </c>
      <c r="H123" s="27">
        <v>2</v>
      </c>
      <c r="I123" s="27">
        <v>4</v>
      </c>
      <c r="J123" s="27">
        <v>1</v>
      </c>
      <c r="K123" s="27">
        <v>160</v>
      </c>
      <c r="L123" s="27">
        <v>3</v>
      </c>
      <c r="M123" s="27">
        <v>1</v>
      </c>
      <c r="N123" s="27">
        <v>95</v>
      </c>
      <c r="O123" s="27">
        <v>3</v>
      </c>
      <c r="P123" s="27">
        <v>2</v>
      </c>
      <c r="Q123" s="27">
        <v>1</v>
      </c>
      <c r="R123" s="27">
        <v>2</v>
      </c>
      <c r="S123" s="27">
        <v>2</v>
      </c>
      <c r="T123" s="27">
        <v>6146</v>
      </c>
      <c r="U123" s="27">
        <v>15480</v>
      </c>
      <c r="V123" s="27">
        <v>0</v>
      </c>
      <c r="W123" s="27">
        <v>0</v>
      </c>
      <c r="X123" s="27">
        <v>13</v>
      </c>
      <c r="Y123" s="27">
        <v>3</v>
      </c>
      <c r="Z123" s="27">
        <v>1</v>
      </c>
      <c r="AA123" s="27">
        <v>80</v>
      </c>
      <c r="AB123" s="27">
        <v>1</v>
      </c>
      <c r="AC123" s="27">
        <v>8</v>
      </c>
      <c r="AD123" s="27">
        <v>2</v>
      </c>
      <c r="AE123" s="27">
        <v>4</v>
      </c>
      <c r="AF123" s="27">
        <v>7</v>
      </c>
      <c r="AG123" s="27">
        <v>7</v>
      </c>
      <c r="AH123" s="27">
        <v>0</v>
      </c>
      <c r="AI123" s="28">
        <v>7</v>
      </c>
      <c r="AK123" s="36">
        <v>90</v>
      </c>
      <c r="AL123" s="33">
        <v>9</v>
      </c>
      <c r="AM123" s="33">
        <v>3</v>
      </c>
      <c r="AN123" s="33">
        <v>4</v>
      </c>
      <c r="AO123" s="33">
        <v>1</v>
      </c>
      <c r="AP123" s="33">
        <v>0</v>
      </c>
      <c r="AQ123" s="33">
        <v>0</v>
      </c>
      <c r="AR123" s="33">
        <v>3</v>
      </c>
      <c r="AS123" s="33">
        <v>9</v>
      </c>
      <c r="AT123" s="33">
        <v>4</v>
      </c>
      <c r="AU123" s="43">
        <v>4.3638200250321654E-2</v>
      </c>
      <c r="AV123" s="33">
        <v>0</v>
      </c>
      <c r="AW123" s="33">
        <v>1</v>
      </c>
      <c r="AY123" s="36">
        <v>95</v>
      </c>
      <c r="AZ123" s="33">
        <v>2</v>
      </c>
      <c r="BA123" s="33">
        <v>3</v>
      </c>
      <c r="BB123" s="33">
        <v>0</v>
      </c>
      <c r="BC123" s="33">
        <v>0</v>
      </c>
      <c r="BD123" s="43">
        <v>0.11690772887050198</v>
      </c>
      <c r="BE123" s="33">
        <v>0</v>
      </c>
      <c r="BF123" s="33">
        <v>0</v>
      </c>
      <c r="CE123" s="36">
        <v>89</v>
      </c>
      <c r="CF123" s="33">
        <v>2</v>
      </c>
      <c r="CG123" s="33">
        <v>2</v>
      </c>
      <c r="CH123" s="33">
        <v>4</v>
      </c>
      <c r="CI123" s="33">
        <v>2</v>
      </c>
      <c r="CJ123" s="33">
        <v>1</v>
      </c>
      <c r="CK123" s="33">
        <v>0</v>
      </c>
      <c r="CL123" s="33">
        <v>3</v>
      </c>
      <c r="CM123" s="33">
        <v>3</v>
      </c>
      <c r="CN123" s="33">
        <v>11</v>
      </c>
      <c r="CO123" s="33">
        <v>10</v>
      </c>
      <c r="CP123" s="43">
        <v>3.6277961714567326E-2</v>
      </c>
      <c r="CQ123" s="33">
        <v>0</v>
      </c>
      <c r="CR123" s="33">
        <v>0</v>
      </c>
    </row>
    <row r="124" spans="1:96" ht="15" customHeight="1" x14ac:dyDescent="0.25">
      <c r="A124" s="26">
        <v>122</v>
      </c>
      <c r="B124" s="27">
        <v>56</v>
      </c>
      <c r="C124" s="27">
        <v>1</v>
      </c>
      <c r="D124" s="27">
        <v>1</v>
      </c>
      <c r="E124" s="27">
        <v>441</v>
      </c>
      <c r="F124" s="27">
        <v>2</v>
      </c>
      <c r="G124" s="27">
        <v>14</v>
      </c>
      <c r="H124" s="27">
        <v>4</v>
      </c>
      <c r="I124" s="27">
        <v>1</v>
      </c>
      <c r="J124" s="27">
        <v>1</v>
      </c>
      <c r="K124" s="27">
        <v>161</v>
      </c>
      <c r="L124" s="27">
        <v>2</v>
      </c>
      <c r="M124" s="27">
        <v>0</v>
      </c>
      <c r="N124" s="27">
        <v>72</v>
      </c>
      <c r="O124" s="27">
        <v>3</v>
      </c>
      <c r="P124" s="27">
        <v>1</v>
      </c>
      <c r="Q124" s="27">
        <v>2</v>
      </c>
      <c r="R124" s="27">
        <v>2</v>
      </c>
      <c r="S124" s="27">
        <v>2</v>
      </c>
      <c r="T124" s="27">
        <v>4963</v>
      </c>
      <c r="U124" s="27">
        <v>4510</v>
      </c>
      <c r="V124" s="27">
        <v>9</v>
      </c>
      <c r="W124" s="27">
        <v>1</v>
      </c>
      <c r="X124" s="27">
        <v>18</v>
      </c>
      <c r="Y124" s="27">
        <v>3</v>
      </c>
      <c r="Z124" s="27">
        <v>1</v>
      </c>
      <c r="AA124" s="27">
        <v>80</v>
      </c>
      <c r="AB124" s="27">
        <v>3</v>
      </c>
      <c r="AC124" s="27">
        <v>7</v>
      </c>
      <c r="AD124" s="27">
        <v>2</v>
      </c>
      <c r="AE124" s="27">
        <v>3</v>
      </c>
      <c r="AF124" s="27">
        <v>5</v>
      </c>
      <c r="AG124" s="27">
        <v>4</v>
      </c>
      <c r="AH124" s="27">
        <v>4</v>
      </c>
      <c r="AI124" s="28">
        <v>3</v>
      </c>
      <c r="AK124" s="36">
        <v>91</v>
      </c>
      <c r="AL124" s="33">
        <v>1</v>
      </c>
      <c r="AM124" s="33">
        <v>4</v>
      </c>
      <c r="AN124" s="33">
        <v>2</v>
      </c>
      <c r="AO124" s="33">
        <v>1</v>
      </c>
      <c r="AP124" s="33">
        <v>0</v>
      </c>
      <c r="AQ124" s="33">
        <v>1</v>
      </c>
      <c r="AR124" s="33">
        <v>2</v>
      </c>
      <c r="AS124" s="33">
        <v>22</v>
      </c>
      <c r="AT124" s="33">
        <v>11</v>
      </c>
      <c r="AU124" s="43">
        <v>2.1831410013446854E-2</v>
      </c>
      <c r="AV124" s="33">
        <v>0</v>
      </c>
      <c r="AW124" s="33">
        <v>0</v>
      </c>
      <c r="AY124" s="36">
        <v>96</v>
      </c>
      <c r="AZ124" s="33">
        <v>3</v>
      </c>
      <c r="BA124" s="33">
        <v>3</v>
      </c>
      <c r="BB124" s="33">
        <v>0</v>
      </c>
      <c r="BC124" s="33">
        <v>1</v>
      </c>
      <c r="BD124" s="43">
        <v>4.2774603045834733E-2</v>
      </c>
      <c r="BE124" s="33">
        <v>0</v>
      </c>
      <c r="BF124" s="33">
        <v>0</v>
      </c>
      <c r="CE124" s="36">
        <v>90</v>
      </c>
      <c r="CF124" s="33">
        <v>9</v>
      </c>
      <c r="CG124" s="33">
        <v>3</v>
      </c>
      <c r="CH124" s="33">
        <v>4</v>
      </c>
      <c r="CI124" s="33">
        <v>1</v>
      </c>
      <c r="CJ124" s="33">
        <v>1</v>
      </c>
      <c r="CK124" s="33">
        <v>0</v>
      </c>
      <c r="CL124" s="33">
        <v>0</v>
      </c>
      <c r="CM124" s="33">
        <v>3</v>
      </c>
      <c r="CN124" s="33">
        <v>9</v>
      </c>
      <c r="CO124" s="33">
        <v>4</v>
      </c>
      <c r="CP124" s="43">
        <v>5.1378030842350562E-2</v>
      </c>
      <c r="CQ124" s="33">
        <v>0</v>
      </c>
      <c r="CR124" s="33">
        <v>1</v>
      </c>
    </row>
    <row r="125" spans="1:96" ht="15" customHeight="1" x14ac:dyDescent="0.25">
      <c r="A125" s="26">
        <v>123</v>
      </c>
      <c r="B125" s="27">
        <v>51</v>
      </c>
      <c r="C125" s="27">
        <v>0</v>
      </c>
      <c r="D125" s="27">
        <v>1</v>
      </c>
      <c r="E125" s="27">
        <v>684</v>
      </c>
      <c r="F125" s="27">
        <v>2</v>
      </c>
      <c r="G125" s="27">
        <v>6</v>
      </c>
      <c r="H125" s="27">
        <v>3</v>
      </c>
      <c r="I125" s="27">
        <v>1</v>
      </c>
      <c r="J125" s="27">
        <v>1</v>
      </c>
      <c r="K125" s="27">
        <v>162</v>
      </c>
      <c r="L125" s="27">
        <v>1</v>
      </c>
      <c r="M125" s="27">
        <v>1</v>
      </c>
      <c r="N125" s="27">
        <v>51</v>
      </c>
      <c r="O125" s="27">
        <v>3</v>
      </c>
      <c r="P125" s="27">
        <v>5</v>
      </c>
      <c r="Q125" s="27">
        <v>8</v>
      </c>
      <c r="R125" s="27">
        <v>3</v>
      </c>
      <c r="S125" s="27">
        <v>1</v>
      </c>
      <c r="T125" s="27">
        <v>19537</v>
      </c>
      <c r="U125" s="27">
        <v>6462</v>
      </c>
      <c r="V125" s="27">
        <v>7</v>
      </c>
      <c r="W125" s="27">
        <v>0</v>
      </c>
      <c r="X125" s="27">
        <v>13</v>
      </c>
      <c r="Y125" s="27">
        <v>3</v>
      </c>
      <c r="Z125" s="27">
        <v>3</v>
      </c>
      <c r="AA125" s="27">
        <v>80</v>
      </c>
      <c r="AB125" s="27">
        <v>0</v>
      </c>
      <c r="AC125" s="27">
        <v>23</v>
      </c>
      <c r="AD125" s="27">
        <v>5</v>
      </c>
      <c r="AE125" s="27">
        <v>3</v>
      </c>
      <c r="AF125" s="27">
        <v>20</v>
      </c>
      <c r="AG125" s="27">
        <v>18</v>
      </c>
      <c r="AH125" s="27">
        <v>15</v>
      </c>
      <c r="AI125" s="28">
        <v>15</v>
      </c>
      <c r="AK125" s="36">
        <v>92</v>
      </c>
      <c r="AL125" s="33">
        <v>21</v>
      </c>
      <c r="AM125" s="33">
        <v>2</v>
      </c>
      <c r="AN125" s="33">
        <v>4</v>
      </c>
      <c r="AO125" s="33">
        <v>0</v>
      </c>
      <c r="AP125" s="33">
        <v>1</v>
      </c>
      <c r="AQ125" s="33">
        <v>0</v>
      </c>
      <c r="AR125" s="33">
        <v>1</v>
      </c>
      <c r="AS125" s="33">
        <v>10</v>
      </c>
      <c r="AT125" s="33">
        <v>1</v>
      </c>
      <c r="AU125" s="43">
        <v>0.33452938077103728</v>
      </c>
      <c r="AV125" s="33">
        <v>0</v>
      </c>
      <c r="AW125" s="33">
        <v>0</v>
      </c>
      <c r="AY125" s="36">
        <v>97</v>
      </c>
      <c r="AZ125" s="33">
        <v>2</v>
      </c>
      <c r="BA125" s="33">
        <v>3</v>
      </c>
      <c r="BB125" s="33">
        <v>0</v>
      </c>
      <c r="BC125" s="33">
        <v>1</v>
      </c>
      <c r="BD125" s="43">
        <v>7.244788656931947E-2</v>
      </c>
      <c r="BE125" s="33">
        <v>0</v>
      </c>
      <c r="BF125" s="33">
        <v>0</v>
      </c>
      <c r="CE125" s="36">
        <v>91</v>
      </c>
      <c r="CF125" s="33">
        <v>1</v>
      </c>
      <c r="CG125" s="33">
        <v>4</v>
      </c>
      <c r="CH125" s="33">
        <v>2</v>
      </c>
      <c r="CI125" s="33">
        <v>2</v>
      </c>
      <c r="CJ125" s="33">
        <v>1</v>
      </c>
      <c r="CK125" s="33">
        <v>0</v>
      </c>
      <c r="CL125" s="33">
        <v>1</v>
      </c>
      <c r="CM125" s="33">
        <v>2</v>
      </c>
      <c r="CN125" s="33">
        <v>22</v>
      </c>
      <c r="CO125" s="33">
        <v>11</v>
      </c>
      <c r="CP125" s="43">
        <v>2.2752860839168484E-2</v>
      </c>
      <c r="CQ125" s="33">
        <v>0</v>
      </c>
      <c r="CR125" s="33">
        <v>0</v>
      </c>
    </row>
    <row r="126" spans="1:96" ht="15" customHeight="1" x14ac:dyDescent="0.25">
      <c r="A126" s="26">
        <v>124</v>
      </c>
      <c r="B126" s="27">
        <v>31</v>
      </c>
      <c r="C126" s="27">
        <v>1</v>
      </c>
      <c r="D126" s="27">
        <v>1</v>
      </c>
      <c r="E126" s="27">
        <v>249</v>
      </c>
      <c r="F126" s="27">
        <v>1</v>
      </c>
      <c r="G126" s="27">
        <v>6</v>
      </c>
      <c r="H126" s="27">
        <v>4</v>
      </c>
      <c r="I126" s="27">
        <v>1</v>
      </c>
      <c r="J126" s="27">
        <v>1</v>
      </c>
      <c r="K126" s="27">
        <v>163</v>
      </c>
      <c r="L126" s="27">
        <v>2</v>
      </c>
      <c r="M126" s="27">
        <v>1</v>
      </c>
      <c r="N126" s="27">
        <v>76</v>
      </c>
      <c r="O126" s="27">
        <v>1</v>
      </c>
      <c r="P126" s="27">
        <v>2</v>
      </c>
      <c r="Q126" s="27">
        <v>1</v>
      </c>
      <c r="R126" s="27">
        <v>3</v>
      </c>
      <c r="S126" s="27">
        <v>2</v>
      </c>
      <c r="T126" s="27">
        <v>6172</v>
      </c>
      <c r="U126" s="27">
        <v>20739</v>
      </c>
      <c r="V126" s="27">
        <v>4</v>
      </c>
      <c r="W126" s="27">
        <v>1</v>
      </c>
      <c r="X126" s="27">
        <v>18</v>
      </c>
      <c r="Y126" s="27">
        <v>3</v>
      </c>
      <c r="Z126" s="27">
        <v>2</v>
      </c>
      <c r="AA126" s="27">
        <v>80</v>
      </c>
      <c r="AB126" s="27">
        <v>0</v>
      </c>
      <c r="AC126" s="27">
        <v>12</v>
      </c>
      <c r="AD126" s="27">
        <v>3</v>
      </c>
      <c r="AE126" s="27">
        <v>2</v>
      </c>
      <c r="AF126" s="27">
        <v>7</v>
      </c>
      <c r="AG126" s="27">
        <v>7</v>
      </c>
      <c r="AH126" s="27">
        <v>7</v>
      </c>
      <c r="AI126" s="28">
        <v>7</v>
      </c>
      <c r="AK126" s="36">
        <v>93</v>
      </c>
      <c r="AL126" s="33">
        <v>4</v>
      </c>
      <c r="AM126" s="33">
        <v>2</v>
      </c>
      <c r="AN126" s="33">
        <v>2</v>
      </c>
      <c r="AO126" s="33">
        <v>1</v>
      </c>
      <c r="AP126" s="33">
        <v>1</v>
      </c>
      <c r="AQ126" s="33">
        <v>3</v>
      </c>
      <c r="AR126" s="33">
        <v>2</v>
      </c>
      <c r="AS126" s="33">
        <v>11</v>
      </c>
      <c r="AT126" s="33">
        <v>2</v>
      </c>
      <c r="AU126" s="43">
        <v>7.6972706115709819E-2</v>
      </c>
      <c r="AV126" s="33">
        <v>0</v>
      </c>
      <c r="AW126" s="33">
        <v>0</v>
      </c>
      <c r="AY126" s="36">
        <v>98</v>
      </c>
      <c r="AZ126" s="33">
        <v>2</v>
      </c>
      <c r="BA126" s="33">
        <v>3</v>
      </c>
      <c r="BB126" s="33">
        <v>0</v>
      </c>
      <c r="BC126" s="33">
        <v>0</v>
      </c>
      <c r="BD126" s="43">
        <v>0.11690772887050198</v>
      </c>
      <c r="BE126" s="33">
        <v>0</v>
      </c>
      <c r="BF126" s="33">
        <v>0</v>
      </c>
      <c r="CE126" s="36">
        <v>92</v>
      </c>
      <c r="CF126" s="33">
        <v>21</v>
      </c>
      <c r="CG126" s="33">
        <v>2</v>
      </c>
      <c r="CH126" s="33">
        <v>4</v>
      </c>
      <c r="CI126" s="33">
        <v>1</v>
      </c>
      <c r="CJ126" s="33">
        <v>0</v>
      </c>
      <c r="CK126" s="33">
        <v>1</v>
      </c>
      <c r="CL126" s="33">
        <v>0</v>
      </c>
      <c r="CM126" s="33">
        <v>1</v>
      </c>
      <c r="CN126" s="33">
        <v>10</v>
      </c>
      <c r="CO126" s="33">
        <v>1</v>
      </c>
      <c r="CP126" s="43">
        <v>0.38467438930250752</v>
      </c>
      <c r="CQ126" s="33">
        <v>0</v>
      </c>
      <c r="CR126" s="33">
        <v>0</v>
      </c>
    </row>
    <row r="127" spans="1:96" ht="15" customHeight="1" x14ac:dyDescent="0.25">
      <c r="A127" s="26">
        <v>125</v>
      </c>
      <c r="B127" s="27">
        <v>26</v>
      </c>
      <c r="C127" s="27">
        <v>0</v>
      </c>
      <c r="D127" s="27">
        <v>1</v>
      </c>
      <c r="E127" s="27">
        <v>841</v>
      </c>
      <c r="F127" s="27">
        <v>2</v>
      </c>
      <c r="G127" s="27">
        <v>6</v>
      </c>
      <c r="H127" s="27">
        <v>3</v>
      </c>
      <c r="I127" s="27">
        <v>6</v>
      </c>
      <c r="J127" s="27">
        <v>1</v>
      </c>
      <c r="K127" s="27">
        <v>164</v>
      </c>
      <c r="L127" s="27">
        <v>3</v>
      </c>
      <c r="M127" s="27">
        <v>0</v>
      </c>
      <c r="N127" s="27">
        <v>46</v>
      </c>
      <c r="O127" s="27">
        <v>2</v>
      </c>
      <c r="P127" s="27">
        <v>1</v>
      </c>
      <c r="Q127" s="27">
        <v>2</v>
      </c>
      <c r="R127" s="27">
        <v>2</v>
      </c>
      <c r="S127" s="27">
        <v>2</v>
      </c>
      <c r="T127" s="27">
        <v>2368</v>
      </c>
      <c r="U127" s="27">
        <v>23300</v>
      </c>
      <c r="V127" s="27">
        <v>1</v>
      </c>
      <c r="W127" s="27">
        <v>0</v>
      </c>
      <c r="X127" s="27">
        <v>19</v>
      </c>
      <c r="Y127" s="27">
        <v>3</v>
      </c>
      <c r="Z127" s="27">
        <v>3</v>
      </c>
      <c r="AA127" s="27">
        <v>80</v>
      </c>
      <c r="AB127" s="27">
        <v>0</v>
      </c>
      <c r="AC127" s="27">
        <v>5</v>
      </c>
      <c r="AD127" s="27">
        <v>3</v>
      </c>
      <c r="AE127" s="27">
        <v>2</v>
      </c>
      <c r="AF127" s="27">
        <v>5</v>
      </c>
      <c r="AG127" s="27">
        <v>4</v>
      </c>
      <c r="AH127" s="27">
        <v>4</v>
      </c>
      <c r="AI127" s="28">
        <v>3</v>
      </c>
      <c r="AK127" s="36">
        <v>94</v>
      </c>
      <c r="AL127" s="33">
        <v>1</v>
      </c>
      <c r="AM127" s="33">
        <v>3</v>
      </c>
      <c r="AN127" s="33">
        <v>1</v>
      </c>
      <c r="AO127" s="33">
        <v>2</v>
      </c>
      <c r="AP127" s="33">
        <v>1</v>
      </c>
      <c r="AQ127" s="33">
        <v>1</v>
      </c>
      <c r="AR127" s="33">
        <v>2</v>
      </c>
      <c r="AS127" s="33">
        <v>10</v>
      </c>
      <c r="AT127" s="33">
        <v>9</v>
      </c>
      <c r="AU127" s="43">
        <v>0.31845374876719174</v>
      </c>
      <c r="AV127" s="33">
        <v>0</v>
      </c>
      <c r="AW127" s="33">
        <v>0</v>
      </c>
      <c r="AY127" s="36">
        <v>99</v>
      </c>
      <c r="AZ127" s="33">
        <v>4</v>
      </c>
      <c r="BA127" s="33">
        <v>3</v>
      </c>
      <c r="BB127" s="33">
        <v>0</v>
      </c>
      <c r="BC127" s="33">
        <v>0</v>
      </c>
      <c r="BD127" s="43">
        <v>4.1532060460370328E-2</v>
      </c>
      <c r="BE127" s="33">
        <v>0</v>
      </c>
      <c r="BF127" s="33">
        <v>0</v>
      </c>
      <c r="CE127" s="36">
        <v>93</v>
      </c>
      <c r="CF127" s="33">
        <v>4</v>
      </c>
      <c r="CG127" s="33">
        <v>2</v>
      </c>
      <c r="CH127" s="33">
        <v>2</v>
      </c>
      <c r="CI127" s="33">
        <v>3</v>
      </c>
      <c r="CJ127" s="33">
        <v>1</v>
      </c>
      <c r="CK127" s="33">
        <v>1</v>
      </c>
      <c r="CL127" s="33">
        <v>3</v>
      </c>
      <c r="CM127" s="33">
        <v>2</v>
      </c>
      <c r="CN127" s="33">
        <v>11</v>
      </c>
      <c r="CO127" s="33">
        <v>2</v>
      </c>
      <c r="CP127" s="43">
        <v>9.0054871060432598E-2</v>
      </c>
      <c r="CQ127" s="33">
        <v>0</v>
      </c>
      <c r="CR127" s="33">
        <v>0</v>
      </c>
    </row>
    <row r="128" spans="1:96" ht="15" customHeight="1" x14ac:dyDescent="0.25">
      <c r="A128" s="26">
        <v>126</v>
      </c>
      <c r="B128" s="27">
        <v>58</v>
      </c>
      <c r="C128" s="27">
        <v>1</v>
      </c>
      <c r="D128" s="27">
        <v>1</v>
      </c>
      <c r="E128" s="27">
        <v>147</v>
      </c>
      <c r="F128" s="27">
        <v>2</v>
      </c>
      <c r="G128" s="27">
        <v>23</v>
      </c>
      <c r="H128" s="27">
        <v>4</v>
      </c>
      <c r="I128" s="27">
        <v>3</v>
      </c>
      <c r="J128" s="27">
        <v>1</v>
      </c>
      <c r="K128" s="27">
        <v>165</v>
      </c>
      <c r="L128" s="27">
        <v>4</v>
      </c>
      <c r="M128" s="27">
        <v>0</v>
      </c>
      <c r="N128" s="27">
        <v>94</v>
      </c>
      <c r="O128" s="27">
        <v>3</v>
      </c>
      <c r="P128" s="27">
        <v>3</v>
      </c>
      <c r="Q128" s="27">
        <v>5</v>
      </c>
      <c r="R128" s="27">
        <v>4</v>
      </c>
      <c r="S128" s="27">
        <v>2</v>
      </c>
      <c r="T128" s="27">
        <v>10312</v>
      </c>
      <c r="U128" s="27">
        <v>3465</v>
      </c>
      <c r="V128" s="27">
        <v>1</v>
      </c>
      <c r="W128" s="27">
        <v>0</v>
      </c>
      <c r="X128" s="27">
        <v>12</v>
      </c>
      <c r="Y128" s="27">
        <v>3</v>
      </c>
      <c r="Z128" s="27">
        <v>4</v>
      </c>
      <c r="AA128" s="27">
        <v>80</v>
      </c>
      <c r="AB128" s="27">
        <v>1</v>
      </c>
      <c r="AC128" s="27">
        <v>40</v>
      </c>
      <c r="AD128" s="27">
        <v>3</v>
      </c>
      <c r="AE128" s="27">
        <v>2</v>
      </c>
      <c r="AF128" s="27">
        <v>40</v>
      </c>
      <c r="AG128" s="27">
        <v>10</v>
      </c>
      <c r="AH128" s="27">
        <v>15</v>
      </c>
      <c r="AI128" s="28">
        <v>6</v>
      </c>
      <c r="AK128" s="36">
        <v>95</v>
      </c>
      <c r="AL128" s="33">
        <v>6</v>
      </c>
      <c r="AM128" s="33">
        <v>2</v>
      </c>
      <c r="AN128" s="33">
        <v>3</v>
      </c>
      <c r="AO128" s="33">
        <v>1</v>
      </c>
      <c r="AP128" s="33">
        <v>0</v>
      </c>
      <c r="AQ128" s="33">
        <v>0</v>
      </c>
      <c r="AR128" s="33">
        <v>3</v>
      </c>
      <c r="AS128" s="33">
        <v>11</v>
      </c>
      <c r="AT128" s="33">
        <v>5</v>
      </c>
      <c r="AU128" s="43">
        <v>8.5070598178143789E-2</v>
      </c>
      <c r="AV128" s="33">
        <v>0</v>
      </c>
      <c r="AW128" s="33">
        <v>0</v>
      </c>
      <c r="AY128" s="36">
        <v>100</v>
      </c>
      <c r="AZ128" s="33">
        <v>2</v>
      </c>
      <c r="BA128" s="33">
        <v>2</v>
      </c>
      <c r="BB128" s="33">
        <v>0</v>
      </c>
      <c r="BC128" s="33">
        <v>1</v>
      </c>
      <c r="BD128" s="43">
        <v>9.4721355311452843E-2</v>
      </c>
      <c r="BE128" s="33">
        <v>0</v>
      </c>
      <c r="BF128" s="33">
        <v>0</v>
      </c>
      <c r="CE128" s="36">
        <v>94</v>
      </c>
      <c r="CF128" s="33">
        <v>1</v>
      </c>
      <c r="CG128" s="33">
        <v>3</v>
      </c>
      <c r="CH128" s="33">
        <v>1</v>
      </c>
      <c r="CI128" s="33">
        <v>2</v>
      </c>
      <c r="CJ128" s="33">
        <v>2</v>
      </c>
      <c r="CK128" s="33">
        <v>1</v>
      </c>
      <c r="CL128" s="33">
        <v>1</v>
      </c>
      <c r="CM128" s="33">
        <v>2</v>
      </c>
      <c r="CN128" s="33">
        <v>10</v>
      </c>
      <c r="CO128" s="33">
        <v>9</v>
      </c>
      <c r="CP128" s="43">
        <v>0.33858534856575723</v>
      </c>
      <c r="CQ128" s="33">
        <v>0</v>
      </c>
      <c r="CR128" s="33">
        <v>0</v>
      </c>
    </row>
    <row r="129" spans="1:96" ht="15" customHeight="1" x14ac:dyDescent="0.25">
      <c r="A129" s="26">
        <v>127</v>
      </c>
      <c r="B129" s="27">
        <v>19</v>
      </c>
      <c r="C129" s="27">
        <v>1</v>
      </c>
      <c r="D129" s="27">
        <v>1</v>
      </c>
      <c r="E129" s="27">
        <v>528</v>
      </c>
      <c r="F129" s="27">
        <v>1</v>
      </c>
      <c r="G129" s="27">
        <v>22</v>
      </c>
      <c r="H129" s="27">
        <v>1</v>
      </c>
      <c r="I129" s="27">
        <v>4</v>
      </c>
      <c r="J129" s="27">
        <v>1</v>
      </c>
      <c r="K129" s="27">
        <v>167</v>
      </c>
      <c r="L129" s="27">
        <v>4</v>
      </c>
      <c r="M129" s="27">
        <v>1</v>
      </c>
      <c r="N129" s="27">
        <v>50</v>
      </c>
      <c r="O129" s="27">
        <v>3</v>
      </c>
      <c r="P129" s="27">
        <v>1</v>
      </c>
      <c r="Q129" s="27">
        <v>7</v>
      </c>
      <c r="R129" s="27">
        <v>3</v>
      </c>
      <c r="S129" s="27">
        <v>1</v>
      </c>
      <c r="T129" s="27">
        <v>1675</v>
      </c>
      <c r="U129" s="27">
        <v>26820</v>
      </c>
      <c r="V129" s="27">
        <v>1</v>
      </c>
      <c r="W129" s="27">
        <v>1</v>
      </c>
      <c r="X129" s="27">
        <v>19</v>
      </c>
      <c r="Y129" s="27">
        <v>3</v>
      </c>
      <c r="Z129" s="27">
        <v>4</v>
      </c>
      <c r="AA129" s="27">
        <v>80</v>
      </c>
      <c r="AB129" s="27">
        <v>0</v>
      </c>
      <c r="AC129" s="27">
        <v>0</v>
      </c>
      <c r="AD129" s="27">
        <v>2</v>
      </c>
      <c r="AE129" s="27">
        <v>2</v>
      </c>
      <c r="AF129" s="27">
        <v>0</v>
      </c>
      <c r="AG129" s="27">
        <v>0</v>
      </c>
      <c r="AH129" s="27">
        <v>0</v>
      </c>
      <c r="AI129" s="28">
        <v>0</v>
      </c>
      <c r="AK129" s="36">
        <v>96</v>
      </c>
      <c r="AL129" s="33">
        <v>2</v>
      </c>
      <c r="AM129" s="33">
        <v>3</v>
      </c>
      <c r="AN129" s="33">
        <v>3</v>
      </c>
      <c r="AO129" s="33">
        <v>9</v>
      </c>
      <c r="AP129" s="33">
        <v>0</v>
      </c>
      <c r="AQ129" s="33">
        <v>1</v>
      </c>
      <c r="AR129" s="33">
        <v>1</v>
      </c>
      <c r="AS129" s="33">
        <v>4</v>
      </c>
      <c r="AT129" s="33">
        <v>0</v>
      </c>
      <c r="AU129" s="43">
        <v>7.2181189874030646E-2</v>
      </c>
      <c r="AV129" s="33">
        <v>0</v>
      </c>
      <c r="AW129" s="33">
        <v>0</v>
      </c>
      <c r="AY129" s="36">
        <v>101</v>
      </c>
      <c r="AZ129" s="33">
        <v>1</v>
      </c>
      <c r="BA129" s="33">
        <v>1</v>
      </c>
      <c r="BB129" s="33">
        <v>1</v>
      </c>
      <c r="BC129" s="33">
        <v>0</v>
      </c>
      <c r="BD129" s="43">
        <v>0.63965103699986936</v>
      </c>
      <c r="BE129" s="33">
        <v>1</v>
      </c>
      <c r="BF129" s="33">
        <v>1</v>
      </c>
      <c r="CE129" s="36">
        <v>95</v>
      </c>
      <c r="CF129" s="33">
        <v>6</v>
      </c>
      <c r="CG129" s="33">
        <v>2</v>
      </c>
      <c r="CH129" s="33">
        <v>3</v>
      </c>
      <c r="CI129" s="33">
        <v>1</v>
      </c>
      <c r="CJ129" s="33">
        <v>1</v>
      </c>
      <c r="CK129" s="33">
        <v>0</v>
      </c>
      <c r="CL129" s="33">
        <v>0</v>
      </c>
      <c r="CM129" s="33">
        <v>3</v>
      </c>
      <c r="CN129" s="33">
        <v>11</v>
      </c>
      <c r="CO129" s="33">
        <v>5</v>
      </c>
      <c r="CP129" s="43">
        <v>0.10028272668510559</v>
      </c>
      <c r="CQ129" s="33">
        <v>0</v>
      </c>
      <c r="CR129" s="33">
        <v>0</v>
      </c>
    </row>
    <row r="130" spans="1:96" ht="15" customHeight="1" x14ac:dyDescent="0.25">
      <c r="A130" s="26">
        <v>128</v>
      </c>
      <c r="B130" s="27">
        <v>22</v>
      </c>
      <c r="C130" s="27">
        <v>0</v>
      </c>
      <c r="D130" s="27">
        <v>1</v>
      </c>
      <c r="E130" s="27">
        <v>594</v>
      </c>
      <c r="F130" s="27">
        <v>2</v>
      </c>
      <c r="G130" s="27">
        <v>2</v>
      </c>
      <c r="H130" s="27">
        <v>1</v>
      </c>
      <c r="I130" s="27">
        <v>5</v>
      </c>
      <c r="J130" s="27">
        <v>1</v>
      </c>
      <c r="K130" s="27">
        <v>169</v>
      </c>
      <c r="L130" s="27">
        <v>3</v>
      </c>
      <c r="M130" s="27">
        <v>1</v>
      </c>
      <c r="N130" s="27">
        <v>100</v>
      </c>
      <c r="O130" s="27">
        <v>3</v>
      </c>
      <c r="P130" s="27">
        <v>1</v>
      </c>
      <c r="Q130" s="27">
        <v>3</v>
      </c>
      <c r="R130" s="27">
        <v>4</v>
      </c>
      <c r="S130" s="27">
        <v>2</v>
      </c>
      <c r="T130" s="27">
        <v>2523</v>
      </c>
      <c r="U130" s="27">
        <v>19299</v>
      </c>
      <c r="V130" s="27">
        <v>0</v>
      </c>
      <c r="W130" s="27">
        <v>0</v>
      </c>
      <c r="X130" s="27">
        <v>14</v>
      </c>
      <c r="Y130" s="27">
        <v>3</v>
      </c>
      <c r="Z130" s="27">
        <v>3</v>
      </c>
      <c r="AA130" s="27">
        <v>80</v>
      </c>
      <c r="AB130" s="27">
        <v>1</v>
      </c>
      <c r="AC130" s="27">
        <v>3</v>
      </c>
      <c r="AD130" s="27">
        <v>2</v>
      </c>
      <c r="AE130" s="27">
        <v>3</v>
      </c>
      <c r="AF130" s="27">
        <v>2</v>
      </c>
      <c r="AG130" s="27">
        <v>1</v>
      </c>
      <c r="AH130" s="27">
        <v>2</v>
      </c>
      <c r="AI130" s="28">
        <v>1</v>
      </c>
      <c r="AK130" s="36">
        <v>97</v>
      </c>
      <c r="AL130" s="33">
        <v>3</v>
      </c>
      <c r="AM130" s="33">
        <v>2</v>
      </c>
      <c r="AN130" s="33">
        <v>3</v>
      </c>
      <c r="AO130" s="33">
        <v>0</v>
      </c>
      <c r="AP130" s="33">
        <v>0</v>
      </c>
      <c r="AQ130" s="33">
        <v>1</v>
      </c>
      <c r="AR130" s="33">
        <v>2</v>
      </c>
      <c r="AS130" s="33">
        <v>3</v>
      </c>
      <c r="AT130" s="33">
        <v>0</v>
      </c>
      <c r="AU130" s="43">
        <v>5.2912525056188889E-2</v>
      </c>
      <c r="AV130" s="33">
        <v>0</v>
      </c>
      <c r="AW130" s="33">
        <v>0</v>
      </c>
      <c r="AY130" s="36">
        <v>102</v>
      </c>
      <c r="AZ130" s="33">
        <v>1</v>
      </c>
      <c r="BA130" s="33">
        <v>1</v>
      </c>
      <c r="BB130" s="33">
        <v>0</v>
      </c>
      <c r="BC130" s="33">
        <v>0</v>
      </c>
      <c r="BD130" s="43">
        <v>0.29341085656570393</v>
      </c>
      <c r="BE130" s="33">
        <v>0</v>
      </c>
      <c r="BF130" s="33">
        <v>0</v>
      </c>
      <c r="CE130" s="36">
        <v>96</v>
      </c>
      <c r="CF130" s="33">
        <v>2</v>
      </c>
      <c r="CG130" s="33">
        <v>3</v>
      </c>
      <c r="CH130" s="33">
        <v>3</v>
      </c>
      <c r="CI130" s="33">
        <v>2</v>
      </c>
      <c r="CJ130" s="33">
        <v>9</v>
      </c>
      <c r="CK130" s="33">
        <v>0</v>
      </c>
      <c r="CL130" s="33">
        <v>1</v>
      </c>
      <c r="CM130" s="33">
        <v>1</v>
      </c>
      <c r="CN130" s="33">
        <v>4</v>
      </c>
      <c r="CO130" s="33">
        <v>0</v>
      </c>
      <c r="CP130" s="43">
        <v>7.3324955143617157E-2</v>
      </c>
      <c r="CQ130" s="33">
        <v>0</v>
      </c>
      <c r="CR130" s="33">
        <v>0</v>
      </c>
    </row>
    <row r="131" spans="1:96" ht="15" customHeight="1" x14ac:dyDescent="0.25">
      <c r="A131" s="26">
        <v>129</v>
      </c>
      <c r="B131" s="27">
        <v>49</v>
      </c>
      <c r="C131" s="27">
        <v>0</v>
      </c>
      <c r="D131" s="27">
        <v>1</v>
      </c>
      <c r="E131" s="27">
        <v>470</v>
      </c>
      <c r="F131" s="27">
        <v>2</v>
      </c>
      <c r="G131" s="27">
        <v>20</v>
      </c>
      <c r="H131" s="27">
        <v>4</v>
      </c>
      <c r="I131" s="27">
        <v>3</v>
      </c>
      <c r="J131" s="27">
        <v>1</v>
      </c>
      <c r="K131" s="27">
        <v>170</v>
      </c>
      <c r="L131" s="27">
        <v>3</v>
      </c>
      <c r="M131" s="27">
        <v>0</v>
      </c>
      <c r="N131" s="27">
        <v>96</v>
      </c>
      <c r="O131" s="27">
        <v>3</v>
      </c>
      <c r="P131" s="27">
        <v>2</v>
      </c>
      <c r="Q131" s="27">
        <v>4</v>
      </c>
      <c r="R131" s="27">
        <v>1</v>
      </c>
      <c r="S131" s="27">
        <v>2</v>
      </c>
      <c r="T131" s="27">
        <v>6567</v>
      </c>
      <c r="U131" s="27">
        <v>5549</v>
      </c>
      <c r="V131" s="27">
        <v>1</v>
      </c>
      <c r="W131" s="27">
        <v>0</v>
      </c>
      <c r="X131" s="27">
        <v>14</v>
      </c>
      <c r="Y131" s="27">
        <v>3</v>
      </c>
      <c r="Z131" s="27">
        <v>3</v>
      </c>
      <c r="AA131" s="27">
        <v>80</v>
      </c>
      <c r="AB131" s="27">
        <v>0</v>
      </c>
      <c r="AC131" s="27">
        <v>16</v>
      </c>
      <c r="AD131" s="27">
        <v>2</v>
      </c>
      <c r="AE131" s="27">
        <v>2</v>
      </c>
      <c r="AF131" s="27">
        <v>15</v>
      </c>
      <c r="AG131" s="27">
        <v>11</v>
      </c>
      <c r="AH131" s="27">
        <v>5</v>
      </c>
      <c r="AI131" s="28">
        <v>11</v>
      </c>
      <c r="AK131" s="36">
        <v>98</v>
      </c>
      <c r="AL131" s="33">
        <v>4</v>
      </c>
      <c r="AM131" s="33">
        <v>2</v>
      </c>
      <c r="AN131" s="33">
        <v>3</v>
      </c>
      <c r="AO131" s="33">
        <v>1</v>
      </c>
      <c r="AP131" s="33">
        <v>0</v>
      </c>
      <c r="AQ131" s="33">
        <v>0</v>
      </c>
      <c r="AR131" s="33">
        <v>4</v>
      </c>
      <c r="AS131" s="33">
        <v>5</v>
      </c>
      <c r="AT131" s="33">
        <v>0</v>
      </c>
      <c r="AU131" s="43">
        <v>5.6824228877122858E-2</v>
      </c>
      <c r="AV131" s="33">
        <v>0</v>
      </c>
      <c r="AW131" s="33">
        <v>0</v>
      </c>
      <c r="AY131" s="36">
        <v>103</v>
      </c>
      <c r="AZ131" s="33">
        <v>1</v>
      </c>
      <c r="BA131" s="33">
        <v>4</v>
      </c>
      <c r="BB131" s="33">
        <v>1</v>
      </c>
      <c r="BC131" s="33">
        <v>0</v>
      </c>
      <c r="BD131" s="43">
        <v>0.42475472169672474</v>
      </c>
      <c r="BE131" s="33">
        <v>0</v>
      </c>
      <c r="BF131" s="33">
        <v>1</v>
      </c>
      <c r="CE131" s="36">
        <v>97</v>
      </c>
      <c r="CF131" s="33">
        <v>3</v>
      </c>
      <c r="CG131" s="33">
        <v>2</v>
      </c>
      <c r="CH131" s="33">
        <v>3</v>
      </c>
      <c r="CI131" s="33">
        <v>2</v>
      </c>
      <c r="CJ131" s="33">
        <v>0</v>
      </c>
      <c r="CK131" s="33">
        <v>0</v>
      </c>
      <c r="CL131" s="33">
        <v>1</v>
      </c>
      <c r="CM131" s="33">
        <v>2</v>
      </c>
      <c r="CN131" s="33">
        <v>3</v>
      </c>
      <c r="CO131" s="33">
        <v>0</v>
      </c>
      <c r="CP131" s="43">
        <v>5.1714934663741746E-2</v>
      </c>
      <c r="CQ131" s="33">
        <v>0</v>
      </c>
      <c r="CR131" s="33">
        <v>0</v>
      </c>
    </row>
    <row r="132" spans="1:96" ht="15" customHeight="1" x14ac:dyDescent="0.25">
      <c r="A132" s="26">
        <v>130</v>
      </c>
      <c r="B132" s="27">
        <v>43</v>
      </c>
      <c r="C132" s="27">
        <v>0</v>
      </c>
      <c r="D132" s="27">
        <v>2</v>
      </c>
      <c r="E132" s="27">
        <v>957</v>
      </c>
      <c r="F132" s="27">
        <v>2</v>
      </c>
      <c r="G132" s="27">
        <v>28</v>
      </c>
      <c r="H132" s="27">
        <v>3</v>
      </c>
      <c r="I132" s="27">
        <v>3</v>
      </c>
      <c r="J132" s="27">
        <v>1</v>
      </c>
      <c r="K132" s="27">
        <v>171</v>
      </c>
      <c r="L132" s="27">
        <v>2</v>
      </c>
      <c r="M132" s="27">
        <v>0</v>
      </c>
      <c r="N132" s="27">
        <v>72</v>
      </c>
      <c r="O132" s="27">
        <v>4</v>
      </c>
      <c r="P132" s="27">
        <v>1</v>
      </c>
      <c r="Q132" s="27">
        <v>2</v>
      </c>
      <c r="R132" s="27">
        <v>3</v>
      </c>
      <c r="S132" s="27">
        <v>1</v>
      </c>
      <c r="T132" s="27">
        <v>4739</v>
      </c>
      <c r="U132" s="27">
        <v>16090</v>
      </c>
      <c r="V132" s="27">
        <v>4</v>
      </c>
      <c r="W132" s="27">
        <v>0</v>
      </c>
      <c r="X132" s="27">
        <v>12</v>
      </c>
      <c r="Y132" s="27">
        <v>3</v>
      </c>
      <c r="Z132" s="27">
        <v>4</v>
      </c>
      <c r="AA132" s="27">
        <v>80</v>
      </c>
      <c r="AB132" s="27">
        <v>0</v>
      </c>
      <c r="AC132" s="27">
        <v>18</v>
      </c>
      <c r="AD132" s="27">
        <v>2</v>
      </c>
      <c r="AE132" s="27">
        <v>3</v>
      </c>
      <c r="AF132" s="27">
        <v>3</v>
      </c>
      <c r="AG132" s="27">
        <v>2</v>
      </c>
      <c r="AH132" s="27">
        <v>1</v>
      </c>
      <c r="AI132" s="28">
        <v>2</v>
      </c>
      <c r="AK132" s="36">
        <v>99</v>
      </c>
      <c r="AL132" s="33">
        <v>10</v>
      </c>
      <c r="AM132" s="33">
        <v>4</v>
      </c>
      <c r="AN132" s="33">
        <v>3</v>
      </c>
      <c r="AO132" s="33">
        <v>0</v>
      </c>
      <c r="AP132" s="33">
        <v>0</v>
      </c>
      <c r="AQ132" s="33">
        <v>0</v>
      </c>
      <c r="AR132" s="33">
        <v>2</v>
      </c>
      <c r="AS132" s="33">
        <v>37</v>
      </c>
      <c r="AT132" s="33">
        <v>1</v>
      </c>
      <c r="AU132" s="43">
        <v>3.9756893384503625E-3</v>
      </c>
      <c r="AV132" s="33">
        <v>0</v>
      </c>
      <c r="AW132" s="33">
        <v>0</v>
      </c>
      <c r="AY132" s="36">
        <v>104</v>
      </c>
      <c r="AZ132" s="33">
        <v>2</v>
      </c>
      <c r="BA132" s="33">
        <v>3</v>
      </c>
      <c r="BB132" s="33">
        <v>0</v>
      </c>
      <c r="BC132" s="33">
        <v>0</v>
      </c>
      <c r="BD132" s="43">
        <v>0.11690772887050198</v>
      </c>
      <c r="BE132" s="33">
        <v>0</v>
      </c>
      <c r="BF132" s="33">
        <v>0</v>
      </c>
      <c r="CE132" s="36">
        <v>98</v>
      </c>
      <c r="CF132" s="33">
        <v>4</v>
      </c>
      <c r="CG132" s="33">
        <v>2</v>
      </c>
      <c r="CH132" s="33">
        <v>3</v>
      </c>
      <c r="CI132" s="33">
        <v>2</v>
      </c>
      <c r="CJ132" s="33">
        <v>1</v>
      </c>
      <c r="CK132" s="33">
        <v>0</v>
      </c>
      <c r="CL132" s="33">
        <v>0</v>
      </c>
      <c r="CM132" s="33">
        <v>4</v>
      </c>
      <c r="CN132" s="33">
        <v>5</v>
      </c>
      <c r="CO132" s="33">
        <v>0</v>
      </c>
      <c r="CP132" s="43">
        <v>3.8799362611409323E-2</v>
      </c>
      <c r="CQ132" s="33">
        <v>0</v>
      </c>
      <c r="CR132" s="33">
        <v>0</v>
      </c>
    </row>
    <row r="133" spans="1:96" ht="15" customHeight="1" x14ac:dyDescent="0.25">
      <c r="A133" s="26">
        <v>131</v>
      </c>
      <c r="B133" s="27">
        <v>50</v>
      </c>
      <c r="C133" s="27">
        <v>0</v>
      </c>
      <c r="D133" s="27">
        <v>2</v>
      </c>
      <c r="E133" s="27">
        <v>809</v>
      </c>
      <c r="F133" s="27">
        <v>1</v>
      </c>
      <c r="G133" s="27">
        <v>12</v>
      </c>
      <c r="H133" s="27">
        <v>3</v>
      </c>
      <c r="I133" s="27">
        <v>4</v>
      </c>
      <c r="J133" s="27">
        <v>1</v>
      </c>
      <c r="K133" s="27">
        <v>174</v>
      </c>
      <c r="L133" s="27">
        <v>3</v>
      </c>
      <c r="M133" s="27">
        <v>0</v>
      </c>
      <c r="N133" s="27">
        <v>77</v>
      </c>
      <c r="O133" s="27">
        <v>3</v>
      </c>
      <c r="P133" s="27">
        <v>3</v>
      </c>
      <c r="Q133" s="27">
        <v>1</v>
      </c>
      <c r="R133" s="27">
        <v>4</v>
      </c>
      <c r="S133" s="27">
        <v>1</v>
      </c>
      <c r="T133" s="27">
        <v>9208</v>
      </c>
      <c r="U133" s="27">
        <v>6645</v>
      </c>
      <c r="V133" s="27">
        <v>4</v>
      </c>
      <c r="W133" s="27">
        <v>0</v>
      </c>
      <c r="X133" s="27">
        <v>11</v>
      </c>
      <c r="Y133" s="27">
        <v>3</v>
      </c>
      <c r="Z133" s="27">
        <v>4</v>
      </c>
      <c r="AA133" s="27">
        <v>80</v>
      </c>
      <c r="AB133" s="27">
        <v>0</v>
      </c>
      <c r="AC133" s="27">
        <v>16</v>
      </c>
      <c r="AD133" s="27">
        <v>3</v>
      </c>
      <c r="AE133" s="27">
        <v>3</v>
      </c>
      <c r="AF133" s="27">
        <v>2</v>
      </c>
      <c r="AG133" s="27">
        <v>2</v>
      </c>
      <c r="AH133" s="27">
        <v>2</v>
      </c>
      <c r="AI133" s="28">
        <v>1</v>
      </c>
      <c r="AK133" s="36">
        <v>100</v>
      </c>
      <c r="AL133" s="33">
        <v>23</v>
      </c>
      <c r="AM133" s="33">
        <v>2</v>
      </c>
      <c r="AN133" s="33">
        <v>2</v>
      </c>
      <c r="AO133" s="33">
        <v>4</v>
      </c>
      <c r="AP133" s="33">
        <v>0</v>
      </c>
      <c r="AQ133" s="33">
        <v>1</v>
      </c>
      <c r="AR133" s="33">
        <v>4</v>
      </c>
      <c r="AS133" s="33">
        <v>3</v>
      </c>
      <c r="AT133" s="33">
        <v>1</v>
      </c>
      <c r="AU133" s="43">
        <v>0.126112438997561</v>
      </c>
      <c r="AV133" s="33">
        <v>0</v>
      </c>
      <c r="AW133" s="33">
        <v>0</v>
      </c>
      <c r="AY133" s="36">
        <v>105</v>
      </c>
      <c r="AZ133" s="33">
        <v>2</v>
      </c>
      <c r="BA133" s="33">
        <v>4</v>
      </c>
      <c r="BB133" s="33">
        <v>0</v>
      </c>
      <c r="BC133" s="33">
        <v>1</v>
      </c>
      <c r="BD133" s="43">
        <v>5.5093218126976727E-2</v>
      </c>
      <c r="BE133" s="33">
        <v>0</v>
      </c>
      <c r="BF133" s="33">
        <v>0</v>
      </c>
      <c r="CE133" s="36">
        <v>99</v>
      </c>
      <c r="CF133" s="33">
        <v>10</v>
      </c>
      <c r="CG133" s="33">
        <v>4</v>
      </c>
      <c r="CH133" s="33">
        <v>3</v>
      </c>
      <c r="CI133" s="33">
        <v>1</v>
      </c>
      <c r="CJ133" s="33">
        <v>0</v>
      </c>
      <c r="CK133" s="33">
        <v>0</v>
      </c>
      <c r="CL133" s="33">
        <v>0</v>
      </c>
      <c r="CM133" s="33">
        <v>2</v>
      </c>
      <c r="CN133" s="33">
        <v>37</v>
      </c>
      <c r="CO133" s="33">
        <v>1</v>
      </c>
      <c r="CP133" s="43">
        <v>4.8126114385549671E-3</v>
      </c>
      <c r="CQ133" s="33">
        <v>0</v>
      </c>
      <c r="CR133" s="33">
        <v>0</v>
      </c>
    </row>
    <row r="134" spans="1:96" ht="15" customHeight="1" x14ac:dyDescent="0.25">
      <c r="A134" s="26">
        <v>132</v>
      </c>
      <c r="B134" s="27">
        <v>31</v>
      </c>
      <c r="C134" s="27">
        <v>1</v>
      </c>
      <c r="D134" s="27">
        <v>1</v>
      </c>
      <c r="E134" s="27">
        <v>542</v>
      </c>
      <c r="F134" s="27">
        <v>1</v>
      </c>
      <c r="G134" s="27">
        <v>20</v>
      </c>
      <c r="H134" s="27">
        <v>3</v>
      </c>
      <c r="I134" s="27">
        <v>1</v>
      </c>
      <c r="J134" s="27">
        <v>1</v>
      </c>
      <c r="K134" s="27">
        <v>175</v>
      </c>
      <c r="L134" s="27">
        <v>2</v>
      </c>
      <c r="M134" s="27">
        <v>0</v>
      </c>
      <c r="N134" s="27">
        <v>71</v>
      </c>
      <c r="O134" s="27">
        <v>1</v>
      </c>
      <c r="P134" s="27">
        <v>2</v>
      </c>
      <c r="Q134" s="27">
        <v>1</v>
      </c>
      <c r="R134" s="27">
        <v>3</v>
      </c>
      <c r="S134" s="27">
        <v>2</v>
      </c>
      <c r="T134" s="27">
        <v>4559</v>
      </c>
      <c r="U134" s="27">
        <v>24788</v>
      </c>
      <c r="V134" s="27">
        <v>3</v>
      </c>
      <c r="W134" s="27">
        <v>1</v>
      </c>
      <c r="X134" s="27">
        <v>11</v>
      </c>
      <c r="Y134" s="27">
        <v>3</v>
      </c>
      <c r="Z134" s="27">
        <v>3</v>
      </c>
      <c r="AA134" s="27">
        <v>80</v>
      </c>
      <c r="AB134" s="27">
        <v>1</v>
      </c>
      <c r="AC134" s="27">
        <v>4</v>
      </c>
      <c r="AD134" s="27">
        <v>2</v>
      </c>
      <c r="AE134" s="27">
        <v>3</v>
      </c>
      <c r="AF134" s="27">
        <v>2</v>
      </c>
      <c r="AG134" s="27">
        <v>2</v>
      </c>
      <c r="AH134" s="27">
        <v>2</v>
      </c>
      <c r="AI134" s="28">
        <v>2</v>
      </c>
      <c r="AK134" s="36">
        <v>101</v>
      </c>
      <c r="AL134" s="33">
        <v>6</v>
      </c>
      <c r="AM134" s="33">
        <v>1</v>
      </c>
      <c r="AN134" s="33">
        <v>1</v>
      </c>
      <c r="AO134" s="33">
        <v>4</v>
      </c>
      <c r="AP134" s="33">
        <v>1</v>
      </c>
      <c r="AQ134" s="33">
        <v>0</v>
      </c>
      <c r="AR134" s="33">
        <v>3</v>
      </c>
      <c r="AS134" s="33">
        <v>3</v>
      </c>
      <c r="AT134" s="33">
        <v>0</v>
      </c>
      <c r="AU134" s="43">
        <v>0.62189734275689923</v>
      </c>
      <c r="AV134" s="33">
        <v>1</v>
      </c>
      <c r="AW134" s="33">
        <v>1</v>
      </c>
      <c r="AY134" s="36">
        <v>106</v>
      </c>
      <c r="AZ134" s="33">
        <v>5</v>
      </c>
      <c r="BA134" s="33">
        <v>4</v>
      </c>
      <c r="BB134" s="33">
        <v>0</v>
      </c>
      <c r="BC134" s="33">
        <v>1</v>
      </c>
      <c r="BD134" s="43">
        <v>1.0800557147898916E-2</v>
      </c>
      <c r="BE134" s="33">
        <v>0</v>
      </c>
      <c r="BF134" s="33">
        <v>0</v>
      </c>
      <c r="CE134" s="36">
        <v>100</v>
      </c>
      <c r="CF134" s="33">
        <v>23</v>
      </c>
      <c r="CG134" s="33">
        <v>2</v>
      </c>
      <c r="CH134" s="33">
        <v>2</v>
      </c>
      <c r="CI134" s="33">
        <v>2</v>
      </c>
      <c r="CJ134" s="33">
        <v>4</v>
      </c>
      <c r="CK134" s="33">
        <v>0</v>
      </c>
      <c r="CL134" s="33">
        <v>1</v>
      </c>
      <c r="CM134" s="33">
        <v>4</v>
      </c>
      <c r="CN134" s="33">
        <v>3</v>
      </c>
      <c r="CO134" s="33">
        <v>1</v>
      </c>
      <c r="CP134" s="43">
        <v>0.12224446053206769</v>
      </c>
      <c r="CQ134" s="33">
        <v>0</v>
      </c>
      <c r="CR134" s="33">
        <v>0</v>
      </c>
    </row>
    <row r="135" spans="1:96" ht="15" customHeight="1" x14ac:dyDescent="0.25">
      <c r="A135" s="26">
        <v>133</v>
      </c>
      <c r="B135" s="27">
        <v>41</v>
      </c>
      <c r="C135" s="27">
        <v>0</v>
      </c>
      <c r="D135" s="27">
        <v>1</v>
      </c>
      <c r="E135" s="27">
        <v>802</v>
      </c>
      <c r="F135" s="27">
        <v>1</v>
      </c>
      <c r="G135" s="27">
        <v>9</v>
      </c>
      <c r="H135" s="27">
        <v>1</v>
      </c>
      <c r="I135" s="27">
        <v>1</v>
      </c>
      <c r="J135" s="27">
        <v>1</v>
      </c>
      <c r="K135" s="27">
        <v>176</v>
      </c>
      <c r="L135" s="27">
        <v>3</v>
      </c>
      <c r="M135" s="27">
        <v>1</v>
      </c>
      <c r="N135" s="27">
        <v>96</v>
      </c>
      <c r="O135" s="27">
        <v>3</v>
      </c>
      <c r="P135" s="27">
        <v>3</v>
      </c>
      <c r="Q135" s="27">
        <v>1</v>
      </c>
      <c r="R135" s="27">
        <v>3</v>
      </c>
      <c r="S135" s="27">
        <v>3</v>
      </c>
      <c r="T135" s="27">
        <v>8189</v>
      </c>
      <c r="U135" s="27">
        <v>21196</v>
      </c>
      <c r="V135" s="27">
        <v>3</v>
      </c>
      <c r="W135" s="27">
        <v>1</v>
      </c>
      <c r="X135" s="27">
        <v>13</v>
      </c>
      <c r="Y135" s="27">
        <v>3</v>
      </c>
      <c r="Z135" s="27">
        <v>3</v>
      </c>
      <c r="AA135" s="27">
        <v>80</v>
      </c>
      <c r="AB135" s="27">
        <v>1</v>
      </c>
      <c r="AC135" s="27">
        <v>12</v>
      </c>
      <c r="AD135" s="27">
        <v>2</v>
      </c>
      <c r="AE135" s="27">
        <v>3</v>
      </c>
      <c r="AF135" s="27">
        <v>9</v>
      </c>
      <c r="AG135" s="27">
        <v>7</v>
      </c>
      <c r="AH135" s="27">
        <v>0</v>
      </c>
      <c r="AI135" s="28">
        <v>7</v>
      </c>
      <c r="AK135" s="36">
        <v>102</v>
      </c>
      <c r="AL135" s="33">
        <v>1</v>
      </c>
      <c r="AM135" s="33">
        <v>1</v>
      </c>
      <c r="AN135" s="33">
        <v>1</v>
      </c>
      <c r="AO135" s="33">
        <v>1</v>
      </c>
      <c r="AP135" s="33">
        <v>0</v>
      </c>
      <c r="AQ135" s="33">
        <v>0</v>
      </c>
      <c r="AR135" s="33">
        <v>3</v>
      </c>
      <c r="AS135" s="33">
        <v>1</v>
      </c>
      <c r="AT135" s="33">
        <v>0</v>
      </c>
      <c r="AU135" s="43">
        <v>0.22207657218127416</v>
      </c>
      <c r="AV135" s="33">
        <v>0</v>
      </c>
      <c r="AW135" s="33">
        <v>0</v>
      </c>
      <c r="AY135" s="36">
        <v>107</v>
      </c>
      <c r="AZ135" s="33">
        <v>5</v>
      </c>
      <c r="BA135" s="33">
        <v>2</v>
      </c>
      <c r="BB135" s="33">
        <v>1</v>
      </c>
      <c r="BC135" s="33">
        <v>0</v>
      </c>
      <c r="BD135" s="43">
        <v>0.12431587132822597</v>
      </c>
      <c r="BE135" s="33">
        <v>0</v>
      </c>
      <c r="BF135" s="33">
        <v>0</v>
      </c>
      <c r="CE135" s="36">
        <v>101</v>
      </c>
      <c r="CF135" s="33">
        <v>6</v>
      </c>
      <c r="CG135" s="33">
        <v>1</v>
      </c>
      <c r="CH135" s="33">
        <v>1</v>
      </c>
      <c r="CI135" s="33">
        <v>3</v>
      </c>
      <c r="CJ135" s="33">
        <v>4</v>
      </c>
      <c r="CK135" s="33">
        <v>1</v>
      </c>
      <c r="CL135" s="33">
        <v>0</v>
      </c>
      <c r="CM135" s="33">
        <v>3</v>
      </c>
      <c r="CN135" s="33">
        <v>3</v>
      </c>
      <c r="CO135" s="33">
        <v>0</v>
      </c>
      <c r="CP135" s="43">
        <v>0.40848117339706808</v>
      </c>
      <c r="CQ135" s="33">
        <v>0</v>
      </c>
      <c r="CR135" s="33">
        <v>1</v>
      </c>
    </row>
    <row r="136" spans="1:96" ht="15" customHeight="1" x14ac:dyDescent="0.25">
      <c r="A136" s="26">
        <v>134</v>
      </c>
      <c r="B136" s="27">
        <v>26</v>
      </c>
      <c r="C136" s="27">
        <v>0</v>
      </c>
      <c r="D136" s="27">
        <v>1</v>
      </c>
      <c r="E136" s="27">
        <v>1355</v>
      </c>
      <c r="F136" s="27">
        <v>3</v>
      </c>
      <c r="G136" s="27">
        <v>25</v>
      </c>
      <c r="H136" s="27">
        <v>1</v>
      </c>
      <c r="I136" s="27">
        <v>1</v>
      </c>
      <c r="J136" s="27">
        <v>1</v>
      </c>
      <c r="K136" s="27">
        <v>177</v>
      </c>
      <c r="L136" s="27">
        <v>3</v>
      </c>
      <c r="M136" s="27">
        <v>0</v>
      </c>
      <c r="N136" s="27">
        <v>61</v>
      </c>
      <c r="O136" s="27">
        <v>3</v>
      </c>
      <c r="P136" s="27">
        <v>1</v>
      </c>
      <c r="Q136" s="27">
        <v>9</v>
      </c>
      <c r="R136" s="27">
        <v>3</v>
      </c>
      <c r="S136" s="27">
        <v>2</v>
      </c>
      <c r="T136" s="27">
        <v>2942</v>
      </c>
      <c r="U136" s="27">
        <v>8916</v>
      </c>
      <c r="V136" s="27">
        <v>1</v>
      </c>
      <c r="W136" s="27">
        <v>0</v>
      </c>
      <c r="X136" s="27">
        <v>23</v>
      </c>
      <c r="Y136" s="27">
        <v>4</v>
      </c>
      <c r="Z136" s="27">
        <v>4</v>
      </c>
      <c r="AA136" s="27">
        <v>80</v>
      </c>
      <c r="AB136" s="27">
        <v>1</v>
      </c>
      <c r="AC136" s="27">
        <v>8</v>
      </c>
      <c r="AD136" s="27">
        <v>3</v>
      </c>
      <c r="AE136" s="27">
        <v>3</v>
      </c>
      <c r="AF136" s="27">
        <v>8</v>
      </c>
      <c r="AG136" s="27">
        <v>7</v>
      </c>
      <c r="AH136" s="27">
        <v>5</v>
      </c>
      <c r="AI136" s="28">
        <v>7</v>
      </c>
      <c r="AK136" s="36">
        <v>103</v>
      </c>
      <c r="AL136" s="33">
        <v>6</v>
      </c>
      <c r="AM136" s="33">
        <v>1</v>
      </c>
      <c r="AN136" s="33">
        <v>4</v>
      </c>
      <c r="AO136" s="33">
        <v>1</v>
      </c>
      <c r="AP136" s="33">
        <v>1</v>
      </c>
      <c r="AQ136" s="33">
        <v>0</v>
      </c>
      <c r="AR136" s="33">
        <v>3</v>
      </c>
      <c r="AS136" s="33">
        <v>1</v>
      </c>
      <c r="AT136" s="33">
        <v>1</v>
      </c>
      <c r="AU136" s="43">
        <v>0.40784790264616677</v>
      </c>
      <c r="AV136" s="33">
        <v>0</v>
      </c>
      <c r="AW136" s="33">
        <v>1</v>
      </c>
      <c r="AY136" s="36">
        <v>108</v>
      </c>
      <c r="AZ136" s="33">
        <v>2</v>
      </c>
      <c r="BA136" s="33">
        <v>3</v>
      </c>
      <c r="BB136" s="33">
        <v>1</v>
      </c>
      <c r="BC136" s="33">
        <v>0</v>
      </c>
      <c r="BD136" s="43">
        <v>0.36139389867144694</v>
      </c>
      <c r="BE136" s="33">
        <v>0</v>
      </c>
      <c r="BF136" s="33">
        <v>1</v>
      </c>
      <c r="CE136" s="36">
        <v>102</v>
      </c>
      <c r="CF136" s="33">
        <v>1</v>
      </c>
      <c r="CG136" s="33">
        <v>1</v>
      </c>
      <c r="CH136" s="33">
        <v>1</v>
      </c>
      <c r="CI136" s="33">
        <v>1</v>
      </c>
      <c r="CJ136" s="33">
        <v>1</v>
      </c>
      <c r="CK136" s="33">
        <v>0</v>
      </c>
      <c r="CL136" s="33">
        <v>0</v>
      </c>
      <c r="CM136" s="33">
        <v>3</v>
      </c>
      <c r="CN136" s="33">
        <v>1</v>
      </c>
      <c r="CO136" s="33">
        <v>0</v>
      </c>
      <c r="CP136" s="43">
        <v>0.25820294853848752</v>
      </c>
      <c r="CQ136" s="33">
        <v>0</v>
      </c>
      <c r="CR136" s="33">
        <v>0</v>
      </c>
    </row>
    <row r="137" spans="1:96" ht="15" customHeight="1" x14ac:dyDescent="0.25">
      <c r="A137" s="26">
        <v>135</v>
      </c>
      <c r="B137" s="27">
        <v>36</v>
      </c>
      <c r="C137" s="27">
        <v>0</v>
      </c>
      <c r="D137" s="27">
        <v>1</v>
      </c>
      <c r="E137" s="27">
        <v>216</v>
      </c>
      <c r="F137" s="27">
        <v>2</v>
      </c>
      <c r="G137" s="27">
        <v>6</v>
      </c>
      <c r="H137" s="27">
        <v>2</v>
      </c>
      <c r="I137" s="27">
        <v>3</v>
      </c>
      <c r="J137" s="27">
        <v>1</v>
      </c>
      <c r="K137" s="27">
        <v>178</v>
      </c>
      <c r="L137" s="27">
        <v>2</v>
      </c>
      <c r="M137" s="27">
        <v>1</v>
      </c>
      <c r="N137" s="27">
        <v>84</v>
      </c>
      <c r="O137" s="27">
        <v>3</v>
      </c>
      <c r="P137" s="27">
        <v>2</v>
      </c>
      <c r="Q137" s="27">
        <v>4</v>
      </c>
      <c r="R137" s="27">
        <v>2</v>
      </c>
      <c r="S137" s="27">
        <v>3</v>
      </c>
      <c r="T137" s="27">
        <v>4941</v>
      </c>
      <c r="U137" s="27">
        <v>2819</v>
      </c>
      <c r="V137" s="27">
        <v>6</v>
      </c>
      <c r="W137" s="27">
        <v>0</v>
      </c>
      <c r="X137" s="27">
        <v>20</v>
      </c>
      <c r="Y137" s="27">
        <v>4</v>
      </c>
      <c r="Z137" s="27">
        <v>4</v>
      </c>
      <c r="AA137" s="27">
        <v>80</v>
      </c>
      <c r="AB137" s="27">
        <v>2</v>
      </c>
      <c r="AC137" s="27">
        <v>7</v>
      </c>
      <c r="AD137" s="27">
        <v>0</v>
      </c>
      <c r="AE137" s="27">
        <v>3</v>
      </c>
      <c r="AF137" s="27">
        <v>3</v>
      </c>
      <c r="AG137" s="27">
        <v>2</v>
      </c>
      <c r="AH137" s="27">
        <v>0</v>
      </c>
      <c r="AI137" s="28">
        <v>1</v>
      </c>
      <c r="AK137" s="36">
        <v>104</v>
      </c>
      <c r="AL137" s="33">
        <v>6</v>
      </c>
      <c r="AM137" s="33">
        <v>2</v>
      </c>
      <c r="AN137" s="33">
        <v>3</v>
      </c>
      <c r="AO137" s="33">
        <v>1</v>
      </c>
      <c r="AP137" s="33">
        <v>0</v>
      </c>
      <c r="AQ137" s="33">
        <v>0</v>
      </c>
      <c r="AR137" s="33">
        <v>3</v>
      </c>
      <c r="AS137" s="33">
        <v>16</v>
      </c>
      <c r="AT137" s="33">
        <v>2</v>
      </c>
      <c r="AU137" s="43">
        <v>4.4110633651431905E-2</v>
      </c>
      <c r="AV137" s="33">
        <v>0</v>
      </c>
      <c r="AW137" s="33">
        <v>0</v>
      </c>
      <c r="AY137" s="36">
        <v>109</v>
      </c>
      <c r="AZ137" s="33">
        <v>1</v>
      </c>
      <c r="BA137" s="33">
        <v>4</v>
      </c>
      <c r="BB137" s="33">
        <v>0</v>
      </c>
      <c r="BC137" s="33">
        <v>2</v>
      </c>
      <c r="BD137" s="43">
        <v>5.6717470552978752E-2</v>
      </c>
      <c r="BE137" s="33">
        <v>0</v>
      </c>
      <c r="BF137" s="33">
        <v>0</v>
      </c>
      <c r="CE137" s="36">
        <v>103</v>
      </c>
      <c r="CF137" s="33">
        <v>6</v>
      </c>
      <c r="CG137" s="33">
        <v>1</v>
      </c>
      <c r="CH137" s="33">
        <v>4</v>
      </c>
      <c r="CI137" s="33">
        <v>1</v>
      </c>
      <c r="CJ137" s="33">
        <v>1</v>
      </c>
      <c r="CK137" s="33">
        <v>1</v>
      </c>
      <c r="CL137" s="33">
        <v>0</v>
      </c>
      <c r="CM137" s="33">
        <v>3</v>
      </c>
      <c r="CN137" s="33">
        <v>1</v>
      </c>
      <c r="CO137" s="33">
        <v>1</v>
      </c>
      <c r="CP137" s="43">
        <v>0.45318093662973025</v>
      </c>
      <c r="CQ137" s="33">
        <v>0</v>
      </c>
      <c r="CR137" s="33">
        <v>1</v>
      </c>
    </row>
    <row r="138" spans="1:96" ht="15" customHeight="1" x14ac:dyDescent="0.25">
      <c r="A138" s="26">
        <v>136</v>
      </c>
      <c r="B138" s="27">
        <v>51</v>
      </c>
      <c r="C138" s="27">
        <v>1</v>
      </c>
      <c r="D138" s="27">
        <v>2</v>
      </c>
      <c r="E138" s="27">
        <v>1150</v>
      </c>
      <c r="F138" s="27">
        <v>2</v>
      </c>
      <c r="G138" s="27">
        <v>8</v>
      </c>
      <c r="H138" s="27">
        <v>4</v>
      </c>
      <c r="I138" s="27">
        <v>1</v>
      </c>
      <c r="J138" s="27">
        <v>1</v>
      </c>
      <c r="K138" s="27">
        <v>179</v>
      </c>
      <c r="L138" s="27">
        <v>1</v>
      </c>
      <c r="M138" s="27">
        <v>1</v>
      </c>
      <c r="N138" s="27">
        <v>53</v>
      </c>
      <c r="O138" s="27">
        <v>1</v>
      </c>
      <c r="P138" s="27">
        <v>3</v>
      </c>
      <c r="Q138" s="27">
        <v>4</v>
      </c>
      <c r="R138" s="27">
        <v>4</v>
      </c>
      <c r="S138" s="27">
        <v>1</v>
      </c>
      <c r="T138" s="27">
        <v>10650</v>
      </c>
      <c r="U138" s="27">
        <v>25150</v>
      </c>
      <c r="V138" s="27">
        <v>2</v>
      </c>
      <c r="W138" s="27">
        <v>0</v>
      </c>
      <c r="X138" s="27">
        <v>15</v>
      </c>
      <c r="Y138" s="27">
        <v>3</v>
      </c>
      <c r="Z138" s="27">
        <v>4</v>
      </c>
      <c r="AA138" s="27">
        <v>80</v>
      </c>
      <c r="AB138" s="27">
        <v>0</v>
      </c>
      <c r="AC138" s="27">
        <v>18</v>
      </c>
      <c r="AD138" s="27">
        <v>2</v>
      </c>
      <c r="AE138" s="27">
        <v>3</v>
      </c>
      <c r="AF138" s="27">
        <v>4</v>
      </c>
      <c r="AG138" s="27">
        <v>2</v>
      </c>
      <c r="AH138" s="27">
        <v>0</v>
      </c>
      <c r="AI138" s="28">
        <v>3</v>
      </c>
      <c r="AK138" s="36">
        <v>105</v>
      </c>
      <c r="AL138" s="33">
        <v>2</v>
      </c>
      <c r="AM138" s="33">
        <v>2</v>
      </c>
      <c r="AN138" s="33">
        <v>4</v>
      </c>
      <c r="AO138" s="33">
        <v>5</v>
      </c>
      <c r="AP138" s="33">
        <v>0</v>
      </c>
      <c r="AQ138" s="33">
        <v>1</v>
      </c>
      <c r="AR138" s="33">
        <v>4</v>
      </c>
      <c r="AS138" s="33">
        <v>1</v>
      </c>
      <c r="AT138" s="33">
        <v>0</v>
      </c>
      <c r="AU138" s="43">
        <v>4.2641797891454704E-2</v>
      </c>
      <c r="AV138" s="33">
        <v>0</v>
      </c>
      <c r="AW138" s="33">
        <v>0</v>
      </c>
      <c r="AY138" s="36">
        <v>110</v>
      </c>
      <c r="AZ138" s="33">
        <v>1</v>
      </c>
      <c r="BA138" s="33">
        <v>4</v>
      </c>
      <c r="BB138" s="33">
        <v>0</v>
      </c>
      <c r="BC138" s="33">
        <v>0</v>
      </c>
      <c r="BD138" s="43">
        <v>0.1472907617042678</v>
      </c>
      <c r="BE138" s="33">
        <v>0</v>
      </c>
      <c r="BF138" s="33">
        <v>0</v>
      </c>
      <c r="CE138" s="36">
        <v>104</v>
      </c>
      <c r="CF138" s="33">
        <v>6</v>
      </c>
      <c r="CG138" s="33">
        <v>2</v>
      </c>
      <c r="CH138" s="33">
        <v>3</v>
      </c>
      <c r="CI138" s="33">
        <v>1</v>
      </c>
      <c r="CJ138" s="33">
        <v>1</v>
      </c>
      <c r="CK138" s="33">
        <v>0</v>
      </c>
      <c r="CL138" s="33">
        <v>0</v>
      </c>
      <c r="CM138" s="33">
        <v>3</v>
      </c>
      <c r="CN138" s="33">
        <v>16</v>
      </c>
      <c r="CO138" s="33">
        <v>2</v>
      </c>
      <c r="CP138" s="43">
        <v>5.1842453809182204E-2</v>
      </c>
      <c r="CQ138" s="33">
        <v>0</v>
      </c>
      <c r="CR138" s="33">
        <v>0</v>
      </c>
    </row>
    <row r="139" spans="1:96" ht="15" customHeight="1" x14ac:dyDescent="0.25">
      <c r="A139" s="26">
        <v>137</v>
      </c>
      <c r="B139" s="27">
        <v>39</v>
      </c>
      <c r="C139" s="27">
        <v>0</v>
      </c>
      <c r="D139" s="27">
        <v>1</v>
      </c>
      <c r="E139" s="27">
        <v>1329</v>
      </c>
      <c r="F139" s="27">
        <v>1</v>
      </c>
      <c r="G139" s="27">
        <v>4</v>
      </c>
      <c r="H139" s="27">
        <v>4</v>
      </c>
      <c r="I139" s="27">
        <v>1</v>
      </c>
      <c r="J139" s="27">
        <v>1</v>
      </c>
      <c r="K139" s="27">
        <v>182</v>
      </c>
      <c r="L139" s="27">
        <v>4</v>
      </c>
      <c r="M139" s="27">
        <v>0</v>
      </c>
      <c r="N139" s="27">
        <v>47</v>
      </c>
      <c r="O139" s="27">
        <v>2</v>
      </c>
      <c r="P139" s="27">
        <v>2</v>
      </c>
      <c r="Q139" s="27">
        <v>1</v>
      </c>
      <c r="R139" s="27">
        <v>3</v>
      </c>
      <c r="S139" s="27">
        <v>2</v>
      </c>
      <c r="T139" s="27">
        <v>5902</v>
      </c>
      <c r="U139" s="27">
        <v>14590</v>
      </c>
      <c r="V139" s="27">
        <v>4</v>
      </c>
      <c r="W139" s="27">
        <v>0</v>
      </c>
      <c r="X139" s="27">
        <v>14</v>
      </c>
      <c r="Y139" s="27">
        <v>3</v>
      </c>
      <c r="Z139" s="27">
        <v>3</v>
      </c>
      <c r="AA139" s="27">
        <v>80</v>
      </c>
      <c r="AB139" s="27">
        <v>1</v>
      </c>
      <c r="AC139" s="27">
        <v>17</v>
      </c>
      <c r="AD139" s="27">
        <v>1</v>
      </c>
      <c r="AE139" s="27">
        <v>4</v>
      </c>
      <c r="AF139" s="27">
        <v>15</v>
      </c>
      <c r="AG139" s="27">
        <v>11</v>
      </c>
      <c r="AH139" s="27">
        <v>5</v>
      </c>
      <c r="AI139" s="28">
        <v>9</v>
      </c>
      <c r="AK139" s="36">
        <v>106</v>
      </c>
      <c r="AL139" s="33">
        <v>2</v>
      </c>
      <c r="AM139" s="33">
        <v>5</v>
      </c>
      <c r="AN139" s="33">
        <v>4</v>
      </c>
      <c r="AO139" s="33">
        <v>9</v>
      </c>
      <c r="AP139" s="33">
        <v>0</v>
      </c>
      <c r="AQ139" s="33">
        <v>1</v>
      </c>
      <c r="AR139" s="33">
        <v>3</v>
      </c>
      <c r="AS139" s="33">
        <v>3</v>
      </c>
      <c r="AT139" s="33">
        <v>2</v>
      </c>
      <c r="AU139" s="43">
        <v>1.6061858621265586E-2</v>
      </c>
      <c r="AV139" s="33">
        <v>0</v>
      </c>
      <c r="AW139" s="33">
        <v>0</v>
      </c>
      <c r="AY139" s="36">
        <v>111</v>
      </c>
      <c r="AZ139" s="33">
        <v>3</v>
      </c>
      <c r="BA139" s="33">
        <v>1</v>
      </c>
      <c r="BB139" s="33">
        <v>0</v>
      </c>
      <c r="BC139" s="33">
        <v>0</v>
      </c>
      <c r="BD139" s="43">
        <v>0.11965500412792122</v>
      </c>
      <c r="BE139" s="33">
        <v>0</v>
      </c>
      <c r="BF139" s="33">
        <v>0</v>
      </c>
      <c r="CE139" s="36">
        <v>105</v>
      </c>
      <c r="CF139" s="33">
        <v>2</v>
      </c>
      <c r="CG139" s="33">
        <v>2</v>
      </c>
      <c r="CH139" s="33">
        <v>4</v>
      </c>
      <c r="CI139" s="33">
        <v>3</v>
      </c>
      <c r="CJ139" s="33">
        <v>5</v>
      </c>
      <c r="CK139" s="33">
        <v>0</v>
      </c>
      <c r="CL139" s="33">
        <v>1</v>
      </c>
      <c r="CM139" s="33">
        <v>4</v>
      </c>
      <c r="CN139" s="33">
        <v>1</v>
      </c>
      <c r="CO139" s="33">
        <v>0</v>
      </c>
      <c r="CP139" s="43">
        <v>2.3394413664065642E-2</v>
      </c>
      <c r="CQ139" s="33">
        <v>0</v>
      </c>
      <c r="CR139" s="33">
        <v>0</v>
      </c>
    </row>
    <row r="140" spans="1:96" ht="15" customHeight="1" x14ac:dyDescent="0.25">
      <c r="A140" s="26">
        <v>138</v>
      </c>
      <c r="B140" s="27">
        <v>25</v>
      </c>
      <c r="C140" s="27">
        <v>0</v>
      </c>
      <c r="D140" s="27">
        <v>1</v>
      </c>
      <c r="E140" s="27">
        <v>959</v>
      </c>
      <c r="F140" s="27">
        <v>1</v>
      </c>
      <c r="G140" s="27">
        <v>28</v>
      </c>
      <c r="H140" s="27">
        <v>3</v>
      </c>
      <c r="I140" s="27">
        <v>1</v>
      </c>
      <c r="J140" s="27">
        <v>1</v>
      </c>
      <c r="K140" s="27">
        <v>183</v>
      </c>
      <c r="L140" s="27">
        <v>1</v>
      </c>
      <c r="M140" s="27">
        <v>1</v>
      </c>
      <c r="N140" s="27">
        <v>41</v>
      </c>
      <c r="O140" s="27">
        <v>2</v>
      </c>
      <c r="P140" s="27">
        <v>2</v>
      </c>
      <c r="Q140" s="27">
        <v>1</v>
      </c>
      <c r="R140" s="27">
        <v>3</v>
      </c>
      <c r="S140" s="27">
        <v>2</v>
      </c>
      <c r="T140" s="27">
        <v>8639</v>
      </c>
      <c r="U140" s="27">
        <v>24835</v>
      </c>
      <c r="V140" s="27">
        <v>2</v>
      </c>
      <c r="W140" s="27">
        <v>0</v>
      </c>
      <c r="X140" s="27">
        <v>18</v>
      </c>
      <c r="Y140" s="27">
        <v>3</v>
      </c>
      <c r="Z140" s="27">
        <v>4</v>
      </c>
      <c r="AA140" s="27">
        <v>80</v>
      </c>
      <c r="AB140" s="27">
        <v>0</v>
      </c>
      <c r="AC140" s="27">
        <v>6</v>
      </c>
      <c r="AD140" s="27">
        <v>3</v>
      </c>
      <c r="AE140" s="27">
        <v>3</v>
      </c>
      <c r="AF140" s="27">
        <v>2</v>
      </c>
      <c r="AG140" s="27">
        <v>2</v>
      </c>
      <c r="AH140" s="27">
        <v>2</v>
      </c>
      <c r="AI140" s="28">
        <v>2</v>
      </c>
      <c r="AK140" s="36">
        <v>107</v>
      </c>
      <c r="AL140" s="33">
        <v>1</v>
      </c>
      <c r="AM140" s="33">
        <v>5</v>
      </c>
      <c r="AN140" s="33">
        <v>2</v>
      </c>
      <c r="AO140" s="33">
        <v>3</v>
      </c>
      <c r="AP140" s="33">
        <v>1</v>
      </c>
      <c r="AQ140" s="33">
        <v>0</v>
      </c>
      <c r="AR140" s="33">
        <v>2</v>
      </c>
      <c r="AS140" s="33">
        <v>8</v>
      </c>
      <c r="AT140" s="33">
        <v>0</v>
      </c>
      <c r="AU140" s="43">
        <v>8.4640664408656405E-2</v>
      </c>
      <c r="AV140" s="33">
        <v>0</v>
      </c>
      <c r="AW140" s="33">
        <v>0</v>
      </c>
      <c r="AY140" s="36">
        <v>112</v>
      </c>
      <c r="AZ140" s="33">
        <v>2</v>
      </c>
      <c r="BA140" s="33">
        <v>3</v>
      </c>
      <c r="BB140" s="33">
        <v>1</v>
      </c>
      <c r="BC140" s="33">
        <v>0</v>
      </c>
      <c r="BD140" s="43">
        <v>0.36139389867144694</v>
      </c>
      <c r="BE140" s="33">
        <v>0</v>
      </c>
      <c r="BF140" s="33">
        <v>1</v>
      </c>
      <c r="CE140" s="36">
        <v>106</v>
      </c>
      <c r="CF140" s="33">
        <v>2</v>
      </c>
      <c r="CG140" s="33">
        <v>5</v>
      </c>
      <c r="CH140" s="33">
        <v>4</v>
      </c>
      <c r="CI140" s="33">
        <v>2</v>
      </c>
      <c r="CJ140" s="33">
        <v>9</v>
      </c>
      <c r="CK140" s="33">
        <v>0</v>
      </c>
      <c r="CL140" s="33">
        <v>1</v>
      </c>
      <c r="CM140" s="33">
        <v>3</v>
      </c>
      <c r="CN140" s="33">
        <v>3</v>
      </c>
      <c r="CO140" s="33">
        <v>2</v>
      </c>
      <c r="CP140" s="43">
        <v>1.5988763915466702E-2</v>
      </c>
      <c r="CQ140" s="33">
        <v>0</v>
      </c>
      <c r="CR140" s="33">
        <v>0</v>
      </c>
    </row>
    <row r="141" spans="1:96" ht="15" customHeight="1" x14ac:dyDescent="0.25">
      <c r="A141" s="26">
        <v>139</v>
      </c>
      <c r="B141" s="27">
        <v>30</v>
      </c>
      <c r="C141" s="27">
        <v>0</v>
      </c>
      <c r="D141" s="27">
        <v>1</v>
      </c>
      <c r="E141" s="27">
        <v>1240</v>
      </c>
      <c r="F141" s="27">
        <v>3</v>
      </c>
      <c r="G141" s="27">
        <v>9</v>
      </c>
      <c r="H141" s="27">
        <v>3</v>
      </c>
      <c r="I141" s="27">
        <v>2</v>
      </c>
      <c r="J141" s="27">
        <v>1</v>
      </c>
      <c r="K141" s="27">
        <v>184</v>
      </c>
      <c r="L141" s="27">
        <v>3</v>
      </c>
      <c r="M141" s="27">
        <v>1</v>
      </c>
      <c r="N141" s="27">
        <v>48</v>
      </c>
      <c r="O141" s="27">
        <v>3</v>
      </c>
      <c r="P141" s="27">
        <v>2</v>
      </c>
      <c r="Q141" s="27">
        <v>9</v>
      </c>
      <c r="R141" s="27">
        <v>4</v>
      </c>
      <c r="S141" s="27">
        <v>2</v>
      </c>
      <c r="T141" s="27">
        <v>6347</v>
      </c>
      <c r="U141" s="27">
        <v>13982</v>
      </c>
      <c r="V141" s="27">
        <v>0</v>
      </c>
      <c r="W141" s="27">
        <v>1</v>
      </c>
      <c r="X141" s="27">
        <v>19</v>
      </c>
      <c r="Y141" s="27">
        <v>3</v>
      </c>
      <c r="Z141" s="27">
        <v>4</v>
      </c>
      <c r="AA141" s="27">
        <v>80</v>
      </c>
      <c r="AB141" s="27">
        <v>0</v>
      </c>
      <c r="AC141" s="27">
        <v>12</v>
      </c>
      <c r="AD141" s="27">
        <v>2</v>
      </c>
      <c r="AE141" s="27">
        <v>1</v>
      </c>
      <c r="AF141" s="27">
        <v>11</v>
      </c>
      <c r="AG141" s="27">
        <v>9</v>
      </c>
      <c r="AH141" s="27">
        <v>4</v>
      </c>
      <c r="AI141" s="28">
        <v>7</v>
      </c>
      <c r="AK141" s="36">
        <v>108</v>
      </c>
      <c r="AL141" s="33">
        <v>5</v>
      </c>
      <c r="AM141" s="33">
        <v>2</v>
      </c>
      <c r="AN141" s="33">
        <v>3</v>
      </c>
      <c r="AO141" s="33">
        <v>1</v>
      </c>
      <c r="AP141" s="33">
        <v>1</v>
      </c>
      <c r="AQ141" s="33">
        <v>0</v>
      </c>
      <c r="AR141" s="33">
        <v>3</v>
      </c>
      <c r="AS141" s="33">
        <v>6</v>
      </c>
      <c r="AT141" s="33">
        <v>0</v>
      </c>
      <c r="AU141" s="43">
        <v>0.2423318098445241</v>
      </c>
      <c r="AV141" s="33">
        <v>0</v>
      </c>
      <c r="AW141" s="33">
        <v>1</v>
      </c>
      <c r="AY141" s="36">
        <v>113</v>
      </c>
      <c r="AZ141" s="33">
        <v>4</v>
      </c>
      <c r="BA141" s="33">
        <v>4</v>
      </c>
      <c r="BB141" s="33">
        <v>1</v>
      </c>
      <c r="BC141" s="33">
        <v>0</v>
      </c>
      <c r="BD141" s="43">
        <v>0.12147634917774761</v>
      </c>
      <c r="BE141" s="33">
        <v>0</v>
      </c>
      <c r="BF141" s="33">
        <v>0</v>
      </c>
      <c r="CE141" s="36">
        <v>107</v>
      </c>
      <c r="CF141" s="33">
        <v>1</v>
      </c>
      <c r="CG141" s="33">
        <v>5</v>
      </c>
      <c r="CH141" s="33">
        <v>2</v>
      </c>
      <c r="CI141" s="33">
        <v>2</v>
      </c>
      <c r="CJ141" s="33">
        <v>3</v>
      </c>
      <c r="CK141" s="33">
        <v>1</v>
      </c>
      <c r="CL141" s="33">
        <v>0</v>
      </c>
      <c r="CM141" s="33">
        <v>2</v>
      </c>
      <c r="CN141" s="33">
        <v>8</v>
      </c>
      <c r="CO141" s="33">
        <v>0</v>
      </c>
      <c r="CP141" s="43">
        <v>6.5759146447931863E-2</v>
      </c>
      <c r="CQ141" s="33">
        <v>0</v>
      </c>
      <c r="CR141" s="33">
        <v>0</v>
      </c>
    </row>
    <row r="142" spans="1:96" ht="15" customHeight="1" x14ac:dyDescent="0.25">
      <c r="A142" s="26">
        <v>140</v>
      </c>
      <c r="B142" s="27">
        <v>32</v>
      </c>
      <c r="C142" s="27">
        <v>1</v>
      </c>
      <c r="D142" s="27">
        <v>1</v>
      </c>
      <c r="E142" s="27">
        <v>1033</v>
      </c>
      <c r="F142" s="27">
        <v>2</v>
      </c>
      <c r="G142" s="27">
        <v>9</v>
      </c>
      <c r="H142" s="27">
        <v>3</v>
      </c>
      <c r="I142" s="27">
        <v>3</v>
      </c>
      <c r="J142" s="27">
        <v>1</v>
      </c>
      <c r="K142" s="27">
        <v>190</v>
      </c>
      <c r="L142" s="27">
        <v>1</v>
      </c>
      <c r="M142" s="27">
        <v>0</v>
      </c>
      <c r="N142" s="27">
        <v>41</v>
      </c>
      <c r="O142" s="27">
        <v>3</v>
      </c>
      <c r="P142" s="27">
        <v>1</v>
      </c>
      <c r="Q142" s="27">
        <v>3</v>
      </c>
      <c r="R142" s="27">
        <v>1</v>
      </c>
      <c r="S142" s="27">
        <v>1</v>
      </c>
      <c r="T142" s="27">
        <v>4200</v>
      </c>
      <c r="U142" s="27">
        <v>10224</v>
      </c>
      <c r="V142" s="27">
        <v>7</v>
      </c>
      <c r="W142" s="27">
        <v>0</v>
      </c>
      <c r="X142" s="27">
        <v>22</v>
      </c>
      <c r="Y142" s="27">
        <v>4</v>
      </c>
      <c r="Z142" s="27">
        <v>1</v>
      </c>
      <c r="AA142" s="27">
        <v>80</v>
      </c>
      <c r="AB142" s="27">
        <v>0</v>
      </c>
      <c r="AC142" s="27">
        <v>10</v>
      </c>
      <c r="AD142" s="27">
        <v>2</v>
      </c>
      <c r="AE142" s="27">
        <v>4</v>
      </c>
      <c r="AF142" s="27">
        <v>5</v>
      </c>
      <c r="AG142" s="27">
        <v>4</v>
      </c>
      <c r="AH142" s="27">
        <v>0</v>
      </c>
      <c r="AI142" s="28">
        <v>4</v>
      </c>
      <c r="AK142" s="36">
        <v>109</v>
      </c>
      <c r="AL142" s="33">
        <v>7</v>
      </c>
      <c r="AM142" s="33">
        <v>1</v>
      </c>
      <c r="AN142" s="33">
        <v>4</v>
      </c>
      <c r="AO142" s="33">
        <v>1</v>
      </c>
      <c r="AP142" s="33">
        <v>0</v>
      </c>
      <c r="AQ142" s="33">
        <v>2</v>
      </c>
      <c r="AR142" s="33">
        <v>3</v>
      </c>
      <c r="AS142" s="33">
        <v>2</v>
      </c>
      <c r="AT142" s="33">
        <v>2</v>
      </c>
      <c r="AU142" s="43">
        <v>5.1783096155879373E-2</v>
      </c>
      <c r="AV142" s="33">
        <v>0</v>
      </c>
      <c r="AW142" s="33">
        <v>0</v>
      </c>
      <c r="AY142" s="36">
        <v>114</v>
      </c>
      <c r="AZ142" s="33">
        <v>1</v>
      </c>
      <c r="BA142" s="33">
        <v>3</v>
      </c>
      <c r="BB142" s="33">
        <v>0</v>
      </c>
      <c r="BC142" s="33">
        <v>1</v>
      </c>
      <c r="BD142" s="43">
        <v>0.12012271365792118</v>
      </c>
      <c r="BE142" s="33">
        <v>0</v>
      </c>
      <c r="BF142" s="33">
        <v>0</v>
      </c>
      <c r="CE142" s="36">
        <v>108</v>
      </c>
      <c r="CF142" s="33">
        <v>5</v>
      </c>
      <c r="CG142" s="33">
        <v>2</v>
      </c>
      <c r="CH142" s="33">
        <v>3</v>
      </c>
      <c r="CI142" s="33">
        <v>1</v>
      </c>
      <c r="CJ142" s="33">
        <v>1</v>
      </c>
      <c r="CK142" s="33">
        <v>1</v>
      </c>
      <c r="CL142" s="33">
        <v>0</v>
      </c>
      <c r="CM142" s="33">
        <v>3</v>
      </c>
      <c r="CN142" s="33">
        <v>6</v>
      </c>
      <c r="CO142" s="33">
        <v>0</v>
      </c>
      <c r="CP142" s="43">
        <v>0.28281955152894828</v>
      </c>
      <c r="CQ142" s="33">
        <v>0</v>
      </c>
      <c r="CR142" s="33">
        <v>1</v>
      </c>
    </row>
    <row r="143" spans="1:96" ht="15" customHeight="1" x14ac:dyDescent="0.25">
      <c r="A143" s="26">
        <v>141</v>
      </c>
      <c r="B143" s="27">
        <v>45</v>
      </c>
      <c r="C143" s="27">
        <v>0</v>
      </c>
      <c r="D143" s="27">
        <v>1</v>
      </c>
      <c r="E143" s="27">
        <v>1316</v>
      </c>
      <c r="F143" s="27">
        <v>2</v>
      </c>
      <c r="G143" s="27">
        <v>29</v>
      </c>
      <c r="H143" s="27">
        <v>3</v>
      </c>
      <c r="I143" s="27">
        <v>3</v>
      </c>
      <c r="J143" s="27">
        <v>1</v>
      </c>
      <c r="K143" s="27">
        <v>192</v>
      </c>
      <c r="L143" s="27">
        <v>3</v>
      </c>
      <c r="M143" s="27">
        <v>1</v>
      </c>
      <c r="N143" s="27">
        <v>83</v>
      </c>
      <c r="O143" s="27">
        <v>3</v>
      </c>
      <c r="P143" s="27">
        <v>1</v>
      </c>
      <c r="Q143" s="27">
        <v>2</v>
      </c>
      <c r="R143" s="27">
        <v>4</v>
      </c>
      <c r="S143" s="27">
        <v>1</v>
      </c>
      <c r="T143" s="27">
        <v>3452</v>
      </c>
      <c r="U143" s="27">
        <v>9752</v>
      </c>
      <c r="V143" s="27">
        <v>5</v>
      </c>
      <c r="W143" s="27">
        <v>0</v>
      </c>
      <c r="X143" s="27">
        <v>13</v>
      </c>
      <c r="Y143" s="27">
        <v>3</v>
      </c>
      <c r="Z143" s="27">
        <v>2</v>
      </c>
      <c r="AA143" s="27">
        <v>80</v>
      </c>
      <c r="AB143" s="27">
        <v>0</v>
      </c>
      <c r="AC143" s="27">
        <v>9</v>
      </c>
      <c r="AD143" s="27">
        <v>2</v>
      </c>
      <c r="AE143" s="27">
        <v>2</v>
      </c>
      <c r="AF143" s="27">
        <v>6</v>
      </c>
      <c r="AG143" s="27">
        <v>5</v>
      </c>
      <c r="AH143" s="27">
        <v>0</v>
      </c>
      <c r="AI143" s="28">
        <v>3</v>
      </c>
      <c r="AK143" s="36">
        <v>110</v>
      </c>
      <c r="AL143" s="33">
        <v>15</v>
      </c>
      <c r="AM143" s="33">
        <v>1</v>
      </c>
      <c r="AN143" s="33">
        <v>4</v>
      </c>
      <c r="AO143" s="33">
        <v>1</v>
      </c>
      <c r="AP143" s="33">
        <v>0</v>
      </c>
      <c r="AQ143" s="33">
        <v>0</v>
      </c>
      <c r="AR143" s="33">
        <v>3</v>
      </c>
      <c r="AS143" s="33">
        <v>0</v>
      </c>
      <c r="AT143" s="33">
        <v>0</v>
      </c>
      <c r="AU143" s="43">
        <v>0.16985263191451974</v>
      </c>
      <c r="AV143" s="33">
        <v>0</v>
      </c>
      <c r="AW143" s="33">
        <v>0</v>
      </c>
      <c r="AY143" s="36">
        <v>115</v>
      </c>
      <c r="AZ143" s="33">
        <v>2</v>
      </c>
      <c r="BA143" s="33">
        <v>2</v>
      </c>
      <c r="BB143" s="33">
        <v>0</v>
      </c>
      <c r="BC143" s="33">
        <v>1</v>
      </c>
      <c r="BD143" s="43">
        <v>9.4721355311452843E-2</v>
      </c>
      <c r="BE143" s="33">
        <v>0</v>
      </c>
      <c r="BF143" s="33">
        <v>0</v>
      </c>
      <c r="CE143" s="36">
        <v>109</v>
      </c>
      <c r="CF143" s="33">
        <v>7</v>
      </c>
      <c r="CG143" s="33">
        <v>1</v>
      </c>
      <c r="CH143" s="33">
        <v>4</v>
      </c>
      <c r="CI143" s="33">
        <v>2</v>
      </c>
      <c r="CJ143" s="33">
        <v>1</v>
      </c>
      <c r="CK143" s="33">
        <v>0</v>
      </c>
      <c r="CL143" s="33">
        <v>2</v>
      </c>
      <c r="CM143" s="33">
        <v>3</v>
      </c>
      <c r="CN143" s="33">
        <v>2</v>
      </c>
      <c r="CO143" s="33">
        <v>2</v>
      </c>
      <c r="CP143" s="43">
        <v>6.7429509927653342E-2</v>
      </c>
      <c r="CQ143" s="33">
        <v>0</v>
      </c>
      <c r="CR143" s="33">
        <v>0</v>
      </c>
    </row>
    <row r="144" spans="1:96" ht="15" customHeight="1" x14ac:dyDescent="0.25">
      <c r="A144" s="26">
        <v>142</v>
      </c>
      <c r="B144" s="27">
        <v>38</v>
      </c>
      <c r="C144" s="27">
        <v>0</v>
      </c>
      <c r="D144" s="27">
        <v>1</v>
      </c>
      <c r="E144" s="27">
        <v>364</v>
      </c>
      <c r="F144" s="27">
        <v>2</v>
      </c>
      <c r="G144" s="27">
        <v>3</v>
      </c>
      <c r="H144" s="27">
        <v>5</v>
      </c>
      <c r="I144" s="27">
        <v>5</v>
      </c>
      <c r="J144" s="27">
        <v>1</v>
      </c>
      <c r="K144" s="27">
        <v>193</v>
      </c>
      <c r="L144" s="27">
        <v>4</v>
      </c>
      <c r="M144" s="27">
        <v>0</v>
      </c>
      <c r="N144" s="27">
        <v>32</v>
      </c>
      <c r="O144" s="27">
        <v>3</v>
      </c>
      <c r="P144" s="27">
        <v>2</v>
      </c>
      <c r="Q144" s="27">
        <v>2</v>
      </c>
      <c r="R144" s="27">
        <v>3</v>
      </c>
      <c r="S144" s="27">
        <v>1</v>
      </c>
      <c r="T144" s="27">
        <v>4317</v>
      </c>
      <c r="U144" s="27">
        <v>2302</v>
      </c>
      <c r="V144" s="27">
        <v>3</v>
      </c>
      <c r="W144" s="27">
        <v>1</v>
      </c>
      <c r="X144" s="27">
        <v>20</v>
      </c>
      <c r="Y144" s="27">
        <v>4</v>
      </c>
      <c r="Z144" s="27">
        <v>2</v>
      </c>
      <c r="AA144" s="27">
        <v>80</v>
      </c>
      <c r="AB144" s="27">
        <v>0</v>
      </c>
      <c r="AC144" s="27">
        <v>19</v>
      </c>
      <c r="AD144" s="27">
        <v>2</v>
      </c>
      <c r="AE144" s="27">
        <v>3</v>
      </c>
      <c r="AF144" s="27">
        <v>3</v>
      </c>
      <c r="AG144" s="27">
        <v>2</v>
      </c>
      <c r="AH144" s="27">
        <v>2</v>
      </c>
      <c r="AI144" s="28">
        <v>2</v>
      </c>
      <c r="AK144" s="36">
        <v>111</v>
      </c>
      <c r="AL144" s="33">
        <v>1</v>
      </c>
      <c r="AM144" s="33">
        <v>3</v>
      </c>
      <c r="AN144" s="33">
        <v>1</v>
      </c>
      <c r="AO144" s="33">
        <v>3</v>
      </c>
      <c r="AP144" s="33">
        <v>0</v>
      </c>
      <c r="AQ144" s="33">
        <v>0</v>
      </c>
      <c r="AR144" s="33">
        <v>2</v>
      </c>
      <c r="AS144" s="33">
        <v>13</v>
      </c>
      <c r="AT144" s="33">
        <v>12</v>
      </c>
      <c r="AU144" s="43">
        <v>0.18826408918583556</v>
      </c>
      <c r="AV144" s="33">
        <v>0</v>
      </c>
      <c r="AW144" s="33">
        <v>0</v>
      </c>
      <c r="AY144" s="36">
        <v>116</v>
      </c>
      <c r="AZ144" s="33">
        <v>3</v>
      </c>
      <c r="BA144" s="33">
        <v>4</v>
      </c>
      <c r="BB144" s="33">
        <v>0</v>
      </c>
      <c r="BC144" s="33">
        <v>0</v>
      </c>
      <c r="BD144" s="43">
        <v>5.3512841598087578E-2</v>
      </c>
      <c r="BE144" s="33">
        <v>0</v>
      </c>
      <c r="BF144" s="33">
        <v>0</v>
      </c>
      <c r="CE144" s="36">
        <v>110</v>
      </c>
      <c r="CF144" s="33">
        <v>15</v>
      </c>
      <c r="CG144" s="33">
        <v>1</v>
      </c>
      <c r="CH144" s="33">
        <v>4</v>
      </c>
      <c r="CI144" s="33">
        <v>1</v>
      </c>
      <c r="CJ144" s="33">
        <v>1</v>
      </c>
      <c r="CK144" s="33">
        <v>0</v>
      </c>
      <c r="CL144" s="33">
        <v>0</v>
      </c>
      <c r="CM144" s="33">
        <v>3</v>
      </c>
      <c r="CN144" s="33">
        <v>0</v>
      </c>
      <c r="CO144" s="33">
        <v>0</v>
      </c>
      <c r="CP144" s="43">
        <v>0.19042657276442085</v>
      </c>
      <c r="CQ144" s="33">
        <v>0</v>
      </c>
      <c r="CR144" s="33">
        <v>0</v>
      </c>
    </row>
    <row r="145" spans="1:96" ht="15" customHeight="1" x14ac:dyDescent="0.25">
      <c r="A145" s="26">
        <v>143</v>
      </c>
      <c r="B145" s="27">
        <v>30</v>
      </c>
      <c r="C145" s="27">
        <v>0</v>
      </c>
      <c r="D145" s="27">
        <v>1</v>
      </c>
      <c r="E145" s="27">
        <v>438</v>
      </c>
      <c r="F145" s="27">
        <v>2</v>
      </c>
      <c r="G145" s="27">
        <v>18</v>
      </c>
      <c r="H145" s="27">
        <v>3</v>
      </c>
      <c r="I145" s="27">
        <v>1</v>
      </c>
      <c r="J145" s="27">
        <v>1</v>
      </c>
      <c r="K145" s="27">
        <v>194</v>
      </c>
      <c r="L145" s="27">
        <v>1</v>
      </c>
      <c r="M145" s="27">
        <v>0</v>
      </c>
      <c r="N145" s="27">
        <v>75</v>
      </c>
      <c r="O145" s="27">
        <v>3</v>
      </c>
      <c r="P145" s="27">
        <v>1</v>
      </c>
      <c r="Q145" s="27">
        <v>2</v>
      </c>
      <c r="R145" s="27">
        <v>3</v>
      </c>
      <c r="S145" s="27">
        <v>1</v>
      </c>
      <c r="T145" s="27">
        <v>2632</v>
      </c>
      <c r="U145" s="27">
        <v>23910</v>
      </c>
      <c r="V145" s="27">
        <v>1</v>
      </c>
      <c r="W145" s="27">
        <v>0</v>
      </c>
      <c r="X145" s="27">
        <v>14</v>
      </c>
      <c r="Y145" s="27">
        <v>3</v>
      </c>
      <c r="Z145" s="27">
        <v>3</v>
      </c>
      <c r="AA145" s="27">
        <v>80</v>
      </c>
      <c r="AB145" s="27">
        <v>0</v>
      </c>
      <c r="AC145" s="27">
        <v>5</v>
      </c>
      <c r="AD145" s="27">
        <v>4</v>
      </c>
      <c r="AE145" s="27">
        <v>2</v>
      </c>
      <c r="AF145" s="27">
        <v>5</v>
      </c>
      <c r="AG145" s="27">
        <v>4</v>
      </c>
      <c r="AH145" s="27">
        <v>0</v>
      </c>
      <c r="AI145" s="28">
        <v>4</v>
      </c>
      <c r="AK145" s="36">
        <v>112</v>
      </c>
      <c r="AL145" s="33">
        <v>7</v>
      </c>
      <c r="AM145" s="33">
        <v>2</v>
      </c>
      <c r="AN145" s="33">
        <v>3</v>
      </c>
      <c r="AO145" s="33">
        <v>1</v>
      </c>
      <c r="AP145" s="33">
        <v>1</v>
      </c>
      <c r="AQ145" s="33">
        <v>0</v>
      </c>
      <c r="AR145" s="33">
        <v>3</v>
      </c>
      <c r="AS145" s="33">
        <v>9</v>
      </c>
      <c r="AT145" s="33">
        <v>0</v>
      </c>
      <c r="AU145" s="43">
        <v>0.21602524840956747</v>
      </c>
      <c r="AV145" s="33">
        <v>0</v>
      </c>
      <c r="AW145" s="33">
        <v>1</v>
      </c>
      <c r="AY145" s="36">
        <v>117</v>
      </c>
      <c r="AZ145" s="33">
        <v>3</v>
      </c>
      <c r="BA145" s="33">
        <v>1</v>
      </c>
      <c r="BB145" s="33">
        <v>0</v>
      </c>
      <c r="BC145" s="33">
        <v>0</v>
      </c>
      <c r="BD145" s="43">
        <v>0.11965500412792122</v>
      </c>
      <c r="BE145" s="33">
        <v>0</v>
      </c>
      <c r="BF145" s="33">
        <v>0</v>
      </c>
      <c r="CE145" s="36">
        <v>111</v>
      </c>
      <c r="CF145" s="33">
        <v>1</v>
      </c>
      <c r="CG145" s="33">
        <v>3</v>
      </c>
      <c r="CH145" s="33">
        <v>1</v>
      </c>
      <c r="CI145" s="33">
        <v>1</v>
      </c>
      <c r="CJ145" s="33">
        <v>3</v>
      </c>
      <c r="CK145" s="33">
        <v>0</v>
      </c>
      <c r="CL145" s="33">
        <v>0</v>
      </c>
      <c r="CM145" s="33">
        <v>2</v>
      </c>
      <c r="CN145" s="33">
        <v>13</v>
      </c>
      <c r="CO145" s="33">
        <v>12</v>
      </c>
      <c r="CP145" s="43">
        <v>0.23306075746458685</v>
      </c>
      <c r="CQ145" s="33">
        <v>0</v>
      </c>
      <c r="CR145" s="33">
        <v>0</v>
      </c>
    </row>
    <row r="146" spans="1:96" ht="15" customHeight="1" x14ac:dyDescent="0.25">
      <c r="A146" s="26">
        <v>144</v>
      </c>
      <c r="B146" s="27">
        <v>32</v>
      </c>
      <c r="C146" s="27">
        <v>0</v>
      </c>
      <c r="D146" s="27">
        <v>2</v>
      </c>
      <c r="E146" s="27">
        <v>689</v>
      </c>
      <c r="F146" s="27">
        <v>1</v>
      </c>
      <c r="G146" s="27">
        <v>9</v>
      </c>
      <c r="H146" s="27">
        <v>2</v>
      </c>
      <c r="I146" s="27">
        <v>3</v>
      </c>
      <c r="J146" s="27">
        <v>1</v>
      </c>
      <c r="K146" s="27">
        <v>195</v>
      </c>
      <c r="L146" s="27">
        <v>4</v>
      </c>
      <c r="M146" s="27">
        <v>1</v>
      </c>
      <c r="N146" s="27">
        <v>35</v>
      </c>
      <c r="O146" s="27">
        <v>1</v>
      </c>
      <c r="P146" s="27">
        <v>2</v>
      </c>
      <c r="Q146" s="27">
        <v>1</v>
      </c>
      <c r="R146" s="27">
        <v>4</v>
      </c>
      <c r="S146" s="27">
        <v>3</v>
      </c>
      <c r="T146" s="27">
        <v>4668</v>
      </c>
      <c r="U146" s="27">
        <v>22812</v>
      </c>
      <c r="V146" s="27">
        <v>0</v>
      </c>
      <c r="W146" s="27">
        <v>0</v>
      </c>
      <c r="X146" s="27">
        <v>17</v>
      </c>
      <c r="Y146" s="27">
        <v>3</v>
      </c>
      <c r="Z146" s="27">
        <v>4</v>
      </c>
      <c r="AA146" s="27">
        <v>80</v>
      </c>
      <c r="AB146" s="27">
        <v>3</v>
      </c>
      <c r="AC146" s="27">
        <v>9</v>
      </c>
      <c r="AD146" s="27">
        <v>2</v>
      </c>
      <c r="AE146" s="27">
        <v>4</v>
      </c>
      <c r="AF146" s="27">
        <v>8</v>
      </c>
      <c r="AG146" s="27">
        <v>7</v>
      </c>
      <c r="AH146" s="27">
        <v>0</v>
      </c>
      <c r="AI146" s="28">
        <v>7</v>
      </c>
      <c r="AK146" s="36">
        <v>113</v>
      </c>
      <c r="AL146" s="33">
        <v>26</v>
      </c>
      <c r="AM146" s="33">
        <v>4</v>
      </c>
      <c r="AN146" s="33">
        <v>4</v>
      </c>
      <c r="AO146" s="33">
        <v>2</v>
      </c>
      <c r="AP146" s="33">
        <v>1</v>
      </c>
      <c r="AQ146" s="33">
        <v>0</v>
      </c>
      <c r="AR146" s="33">
        <v>3</v>
      </c>
      <c r="AS146" s="33">
        <v>5</v>
      </c>
      <c r="AT146" s="33">
        <v>4</v>
      </c>
      <c r="AU146" s="43">
        <v>0.22806383971738237</v>
      </c>
      <c r="AV146" s="33">
        <v>0</v>
      </c>
      <c r="AW146" s="33">
        <v>0</v>
      </c>
      <c r="AY146" s="36">
        <v>118</v>
      </c>
      <c r="AZ146" s="33">
        <v>3</v>
      </c>
      <c r="BA146" s="33">
        <v>4</v>
      </c>
      <c r="BB146" s="33">
        <v>0</v>
      </c>
      <c r="BC146" s="33">
        <v>1</v>
      </c>
      <c r="BD146" s="43">
        <v>3.2280700557178299E-2</v>
      </c>
      <c r="BE146" s="33">
        <v>0</v>
      </c>
      <c r="BF146" s="33">
        <v>0</v>
      </c>
      <c r="CE146" s="36">
        <v>112</v>
      </c>
      <c r="CF146" s="33">
        <v>7</v>
      </c>
      <c r="CG146" s="33">
        <v>2</v>
      </c>
      <c r="CH146" s="33">
        <v>3</v>
      </c>
      <c r="CI146" s="33">
        <v>1</v>
      </c>
      <c r="CJ146" s="33">
        <v>1</v>
      </c>
      <c r="CK146" s="33">
        <v>1</v>
      </c>
      <c r="CL146" s="33">
        <v>0</v>
      </c>
      <c r="CM146" s="33">
        <v>3</v>
      </c>
      <c r="CN146" s="33">
        <v>9</v>
      </c>
      <c r="CO146" s="33">
        <v>0</v>
      </c>
      <c r="CP146" s="43">
        <v>0.25317401619843127</v>
      </c>
      <c r="CQ146" s="33">
        <v>0</v>
      </c>
      <c r="CR146" s="33">
        <v>1</v>
      </c>
    </row>
    <row r="147" spans="1:96" ht="15" customHeight="1" x14ac:dyDescent="0.25">
      <c r="A147" s="26">
        <v>145</v>
      </c>
      <c r="B147" s="27">
        <v>30</v>
      </c>
      <c r="C147" s="27">
        <v>0</v>
      </c>
      <c r="D147" s="27">
        <v>1</v>
      </c>
      <c r="E147" s="27">
        <v>201</v>
      </c>
      <c r="F147" s="27">
        <v>2</v>
      </c>
      <c r="G147" s="27">
        <v>5</v>
      </c>
      <c r="H147" s="27">
        <v>3</v>
      </c>
      <c r="I147" s="27">
        <v>5</v>
      </c>
      <c r="J147" s="27">
        <v>1</v>
      </c>
      <c r="K147" s="27">
        <v>197</v>
      </c>
      <c r="L147" s="27">
        <v>4</v>
      </c>
      <c r="M147" s="27">
        <v>0</v>
      </c>
      <c r="N147" s="27">
        <v>84</v>
      </c>
      <c r="O147" s="27">
        <v>3</v>
      </c>
      <c r="P147" s="27">
        <v>1</v>
      </c>
      <c r="Q147" s="27">
        <v>2</v>
      </c>
      <c r="R147" s="27">
        <v>1</v>
      </c>
      <c r="S147" s="27">
        <v>3</v>
      </c>
      <c r="T147" s="27">
        <v>3204</v>
      </c>
      <c r="U147" s="27">
        <v>10415</v>
      </c>
      <c r="V147" s="27">
        <v>5</v>
      </c>
      <c r="W147" s="27">
        <v>0</v>
      </c>
      <c r="X147" s="27">
        <v>14</v>
      </c>
      <c r="Y147" s="27">
        <v>3</v>
      </c>
      <c r="Z147" s="27">
        <v>4</v>
      </c>
      <c r="AA147" s="27">
        <v>80</v>
      </c>
      <c r="AB147" s="27">
        <v>1</v>
      </c>
      <c r="AC147" s="27">
        <v>8</v>
      </c>
      <c r="AD147" s="27">
        <v>3</v>
      </c>
      <c r="AE147" s="27">
        <v>3</v>
      </c>
      <c r="AF147" s="27">
        <v>3</v>
      </c>
      <c r="AG147" s="27">
        <v>2</v>
      </c>
      <c r="AH147" s="27">
        <v>2</v>
      </c>
      <c r="AI147" s="28">
        <v>2</v>
      </c>
      <c r="AK147" s="36">
        <v>114</v>
      </c>
      <c r="AL147" s="33">
        <v>18</v>
      </c>
      <c r="AM147" s="33">
        <v>1</v>
      </c>
      <c r="AN147" s="33">
        <v>3</v>
      </c>
      <c r="AO147" s="33">
        <v>0</v>
      </c>
      <c r="AP147" s="33">
        <v>0</v>
      </c>
      <c r="AQ147" s="33">
        <v>1</v>
      </c>
      <c r="AR147" s="33">
        <v>3</v>
      </c>
      <c r="AS147" s="33">
        <v>5</v>
      </c>
      <c r="AT147" s="33">
        <v>1</v>
      </c>
      <c r="AU147" s="43">
        <v>0.10987440936773547</v>
      </c>
      <c r="AV147" s="33">
        <v>0</v>
      </c>
      <c r="AW147" s="33">
        <v>0</v>
      </c>
      <c r="AY147" s="36">
        <v>119</v>
      </c>
      <c r="AZ147" s="33">
        <v>1</v>
      </c>
      <c r="BA147" s="33">
        <v>4</v>
      </c>
      <c r="BB147" s="33">
        <v>0</v>
      </c>
      <c r="BC147" s="33">
        <v>1</v>
      </c>
      <c r="BD147" s="43">
        <v>9.2486413274924434E-2</v>
      </c>
      <c r="BE147" s="33">
        <v>0</v>
      </c>
      <c r="BF147" s="33">
        <v>0</v>
      </c>
      <c r="CE147" s="36">
        <v>113</v>
      </c>
      <c r="CF147" s="33">
        <v>26</v>
      </c>
      <c r="CG147" s="33">
        <v>4</v>
      </c>
      <c r="CH147" s="33">
        <v>4</v>
      </c>
      <c r="CI147" s="33">
        <v>1</v>
      </c>
      <c r="CJ147" s="33">
        <v>2</v>
      </c>
      <c r="CK147" s="33">
        <v>1</v>
      </c>
      <c r="CL147" s="33">
        <v>0</v>
      </c>
      <c r="CM147" s="33">
        <v>3</v>
      </c>
      <c r="CN147" s="33">
        <v>5</v>
      </c>
      <c r="CO147" s="33">
        <v>4</v>
      </c>
      <c r="CP147" s="43">
        <v>0.26934248367957531</v>
      </c>
      <c r="CQ147" s="33">
        <v>0</v>
      </c>
      <c r="CR147" s="33">
        <v>0</v>
      </c>
    </row>
    <row r="148" spans="1:96" ht="15" customHeight="1" x14ac:dyDescent="0.25">
      <c r="A148" s="26">
        <v>146</v>
      </c>
      <c r="B148" s="27">
        <v>30</v>
      </c>
      <c r="C148" s="27">
        <v>0</v>
      </c>
      <c r="D148" s="27">
        <v>1</v>
      </c>
      <c r="E148" s="27">
        <v>1427</v>
      </c>
      <c r="F148" s="27">
        <v>2</v>
      </c>
      <c r="G148" s="27">
        <v>2</v>
      </c>
      <c r="H148" s="27">
        <v>1</v>
      </c>
      <c r="I148" s="27">
        <v>3</v>
      </c>
      <c r="J148" s="27">
        <v>1</v>
      </c>
      <c r="K148" s="27">
        <v>198</v>
      </c>
      <c r="L148" s="27">
        <v>2</v>
      </c>
      <c r="M148" s="27">
        <v>1</v>
      </c>
      <c r="N148" s="27">
        <v>35</v>
      </c>
      <c r="O148" s="27">
        <v>2</v>
      </c>
      <c r="P148" s="27">
        <v>1</v>
      </c>
      <c r="Q148" s="27">
        <v>3</v>
      </c>
      <c r="R148" s="27">
        <v>4</v>
      </c>
      <c r="S148" s="27">
        <v>1</v>
      </c>
      <c r="T148" s="27">
        <v>2720</v>
      </c>
      <c r="U148" s="27">
        <v>11162</v>
      </c>
      <c r="V148" s="27">
        <v>0</v>
      </c>
      <c r="W148" s="27">
        <v>0</v>
      </c>
      <c r="X148" s="27">
        <v>13</v>
      </c>
      <c r="Y148" s="27">
        <v>3</v>
      </c>
      <c r="Z148" s="27">
        <v>4</v>
      </c>
      <c r="AA148" s="27">
        <v>80</v>
      </c>
      <c r="AB148" s="27">
        <v>0</v>
      </c>
      <c r="AC148" s="27">
        <v>6</v>
      </c>
      <c r="AD148" s="27">
        <v>3</v>
      </c>
      <c r="AE148" s="27">
        <v>3</v>
      </c>
      <c r="AF148" s="27">
        <v>5</v>
      </c>
      <c r="AG148" s="27">
        <v>3</v>
      </c>
      <c r="AH148" s="27">
        <v>1</v>
      </c>
      <c r="AI148" s="28">
        <v>2</v>
      </c>
      <c r="AK148" s="36">
        <v>115</v>
      </c>
      <c r="AL148" s="33">
        <v>6</v>
      </c>
      <c r="AM148" s="33">
        <v>2</v>
      </c>
      <c r="AN148" s="33">
        <v>2</v>
      </c>
      <c r="AO148" s="33">
        <v>6</v>
      </c>
      <c r="AP148" s="33">
        <v>0</v>
      </c>
      <c r="AQ148" s="33">
        <v>1</v>
      </c>
      <c r="AR148" s="33">
        <v>3</v>
      </c>
      <c r="AS148" s="33">
        <v>1</v>
      </c>
      <c r="AT148" s="33">
        <v>0</v>
      </c>
      <c r="AU148" s="43">
        <v>0.11142950566841649</v>
      </c>
      <c r="AV148" s="33">
        <v>0</v>
      </c>
      <c r="AW148" s="33">
        <v>0</v>
      </c>
      <c r="AY148" s="36">
        <v>120</v>
      </c>
      <c r="AZ148" s="33">
        <v>4</v>
      </c>
      <c r="BA148" s="33">
        <v>4</v>
      </c>
      <c r="BB148" s="33">
        <v>1</v>
      </c>
      <c r="BC148" s="33">
        <v>2</v>
      </c>
      <c r="BD148" s="43">
        <v>4.5922190097646913E-2</v>
      </c>
      <c r="BE148" s="33">
        <v>0</v>
      </c>
      <c r="BF148" s="33">
        <v>0</v>
      </c>
      <c r="CE148" s="36">
        <v>114</v>
      </c>
      <c r="CF148" s="33">
        <v>18</v>
      </c>
      <c r="CG148" s="33">
        <v>1</v>
      </c>
      <c r="CH148" s="33">
        <v>3</v>
      </c>
      <c r="CI148" s="33">
        <v>2</v>
      </c>
      <c r="CJ148" s="33">
        <v>0</v>
      </c>
      <c r="CK148" s="33">
        <v>0</v>
      </c>
      <c r="CL148" s="33">
        <v>1</v>
      </c>
      <c r="CM148" s="33">
        <v>3</v>
      </c>
      <c r="CN148" s="33">
        <v>5</v>
      </c>
      <c r="CO148" s="33">
        <v>1</v>
      </c>
      <c r="CP148" s="43">
        <v>0.10465326902558206</v>
      </c>
      <c r="CQ148" s="33">
        <v>0</v>
      </c>
      <c r="CR148" s="33">
        <v>0</v>
      </c>
    </row>
    <row r="149" spans="1:96" ht="15" customHeight="1" x14ac:dyDescent="0.25">
      <c r="A149" s="26">
        <v>147</v>
      </c>
      <c r="B149" s="27">
        <v>41</v>
      </c>
      <c r="C149" s="27">
        <v>0</v>
      </c>
      <c r="D149" s="27">
        <v>2</v>
      </c>
      <c r="E149" s="27">
        <v>857</v>
      </c>
      <c r="F149" s="27">
        <v>2</v>
      </c>
      <c r="G149" s="27">
        <v>10</v>
      </c>
      <c r="H149" s="27">
        <v>3</v>
      </c>
      <c r="I149" s="27">
        <v>1</v>
      </c>
      <c r="J149" s="27">
        <v>1</v>
      </c>
      <c r="K149" s="27">
        <v>199</v>
      </c>
      <c r="L149" s="27">
        <v>4</v>
      </c>
      <c r="M149" s="27">
        <v>1</v>
      </c>
      <c r="N149" s="27">
        <v>91</v>
      </c>
      <c r="O149" s="27">
        <v>2</v>
      </c>
      <c r="P149" s="27">
        <v>4</v>
      </c>
      <c r="Q149" s="27">
        <v>6</v>
      </c>
      <c r="R149" s="27">
        <v>1</v>
      </c>
      <c r="S149" s="27">
        <v>3</v>
      </c>
      <c r="T149" s="27">
        <v>17181</v>
      </c>
      <c r="U149" s="27">
        <v>12888</v>
      </c>
      <c r="V149" s="27">
        <v>4</v>
      </c>
      <c r="W149" s="27">
        <v>0</v>
      </c>
      <c r="X149" s="27">
        <v>13</v>
      </c>
      <c r="Y149" s="27">
        <v>3</v>
      </c>
      <c r="Z149" s="27">
        <v>2</v>
      </c>
      <c r="AA149" s="27">
        <v>80</v>
      </c>
      <c r="AB149" s="27">
        <v>1</v>
      </c>
      <c r="AC149" s="27">
        <v>21</v>
      </c>
      <c r="AD149" s="27">
        <v>2</v>
      </c>
      <c r="AE149" s="27">
        <v>2</v>
      </c>
      <c r="AF149" s="27">
        <v>7</v>
      </c>
      <c r="AG149" s="27">
        <v>6</v>
      </c>
      <c r="AH149" s="27">
        <v>7</v>
      </c>
      <c r="AI149" s="28">
        <v>7</v>
      </c>
      <c r="AK149" s="36">
        <v>116</v>
      </c>
      <c r="AL149" s="33">
        <v>3</v>
      </c>
      <c r="AM149" s="33">
        <v>3</v>
      </c>
      <c r="AN149" s="33">
        <v>4</v>
      </c>
      <c r="AO149" s="33">
        <v>2</v>
      </c>
      <c r="AP149" s="33">
        <v>0</v>
      </c>
      <c r="AQ149" s="33">
        <v>0</v>
      </c>
      <c r="AR149" s="33">
        <v>3</v>
      </c>
      <c r="AS149" s="33">
        <v>5</v>
      </c>
      <c r="AT149" s="33">
        <v>1</v>
      </c>
      <c r="AU149" s="43">
        <v>3.7088275749264939E-2</v>
      </c>
      <c r="AV149" s="33">
        <v>0</v>
      </c>
      <c r="AW149" s="33">
        <v>0</v>
      </c>
      <c r="AY149" s="36">
        <v>121</v>
      </c>
      <c r="AZ149" s="33">
        <v>1</v>
      </c>
      <c r="BA149" s="33">
        <v>3</v>
      </c>
      <c r="BB149" s="33">
        <v>0</v>
      </c>
      <c r="BC149" s="33">
        <v>3</v>
      </c>
      <c r="BD149" s="43">
        <v>4.5366993313288043E-2</v>
      </c>
      <c r="BE149" s="33">
        <v>0</v>
      </c>
      <c r="BF149" s="33">
        <v>0</v>
      </c>
      <c r="CE149" s="36">
        <v>115</v>
      </c>
      <c r="CF149" s="33">
        <v>6</v>
      </c>
      <c r="CG149" s="33">
        <v>2</v>
      </c>
      <c r="CH149" s="33">
        <v>2</v>
      </c>
      <c r="CI149" s="33">
        <v>3</v>
      </c>
      <c r="CJ149" s="33">
        <v>6</v>
      </c>
      <c r="CK149" s="33">
        <v>0</v>
      </c>
      <c r="CL149" s="33">
        <v>1</v>
      </c>
      <c r="CM149" s="33">
        <v>3</v>
      </c>
      <c r="CN149" s="33">
        <v>1</v>
      </c>
      <c r="CO149" s="33">
        <v>0</v>
      </c>
      <c r="CP149" s="43">
        <v>6.6403882359496069E-2</v>
      </c>
      <c r="CQ149" s="33">
        <v>0</v>
      </c>
      <c r="CR149" s="33">
        <v>0</v>
      </c>
    </row>
    <row r="150" spans="1:96" ht="15" customHeight="1" x14ac:dyDescent="0.25">
      <c r="A150" s="26">
        <v>148</v>
      </c>
      <c r="B150" s="27">
        <v>41</v>
      </c>
      <c r="C150" s="27">
        <v>0</v>
      </c>
      <c r="D150" s="27">
        <v>1</v>
      </c>
      <c r="E150" s="27">
        <v>933</v>
      </c>
      <c r="F150" s="27">
        <v>2</v>
      </c>
      <c r="G150" s="27">
        <v>9</v>
      </c>
      <c r="H150" s="27">
        <v>4</v>
      </c>
      <c r="I150" s="27">
        <v>1</v>
      </c>
      <c r="J150" s="27">
        <v>1</v>
      </c>
      <c r="K150" s="27">
        <v>200</v>
      </c>
      <c r="L150" s="27">
        <v>3</v>
      </c>
      <c r="M150" s="27">
        <v>1</v>
      </c>
      <c r="N150" s="27">
        <v>94</v>
      </c>
      <c r="O150" s="27">
        <v>3</v>
      </c>
      <c r="P150" s="27">
        <v>1</v>
      </c>
      <c r="Q150" s="27">
        <v>3</v>
      </c>
      <c r="R150" s="27">
        <v>1</v>
      </c>
      <c r="S150" s="27">
        <v>2</v>
      </c>
      <c r="T150" s="27">
        <v>2238</v>
      </c>
      <c r="U150" s="27">
        <v>6961</v>
      </c>
      <c r="V150" s="27">
        <v>2</v>
      </c>
      <c r="W150" s="27">
        <v>0</v>
      </c>
      <c r="X150" s="27">
        <v>21</v>
      </c>
      <c r="Y150" s="27">
        <v>4</v>
      </c>
      <c r="Z150" s="27">
        <v>4</v>
      </c>
      <c r="AA150" s="27">
        <v>80</v>
      </c>
      <c r="AB150" s="27">
        <v>1</v>
      </c>
      <c r="AC150" s="27">
        <v>7</v>
      </c>
      <c r="AD150" s="27">
        <v>2</v>
      </c>
      <c r="AE150" s="27">
        <v>3</v>
      </c>
      <c r="AF150" s="27">
        <v>5</v>
      </c>
      <c r="AG150" s="27">
        <v>0</v>
      </c>
      <c r="AH150" s="27">
        <v>1</v>
      </c>
      <c r="AI150" s="28">
        <v>4</v>
      </c>
      <c r="AK150" s="36">
        <v>117</v>
      </c>
      <c r="AL150" s="33">
        <v>5</v>
      </c>
      <c r="AM150" s="33">
        <v>3</v>
      </c>
      <c r="AN150" s="33">
        <v>1</v>
      </c>
      <c r="AO150" s="33">
        <v>2</v>
      </c>
      <c r="AP150" s="33">
        <v>0</v>
      </c>
      <c r="AQ150" s="33">
        <v>0</v>
      </c>
      <c r="AR150" s="33">
        <v>3</v>
      </c>
      <c r="AS150" s="33">
        <v>11</v>
      </c>
      <c r="AT150" s="33">
        <v>5</v>
      </c>
      <c r="AU150" s="43">
        <v>9.1742337379284847E-2</v>
      </c>
      <c r="AV150" s="33">
        <v>0</v>
      </c>
      <c r="AW150" s="33">
        <v>0</v>
      </c>
      <c r="AY150" s="36">
        <v>122</v>
      </c>
      <c r="AZ150" s="33">
        <v>2</v>
      </c>
      <c r="BA150" s="33">
        <v>2</v>
      </c>
      <c r="BB150" s="33">
        <v>0</v>
      </c>
      <c r="BC150" s="33">
        <v>1</v>
      </c>
      <c r="BD150" s="43">
        <v>9.4721355311452843E-2</v>
      </c>
      <c r="BE150" s="33">
        <v>0</v>
      </c>
      <c r="BF150" s="33">
        <v>0</v>
      </c>
      <c r="CE150" s="36">
        <v>116</v>
      </c>
      <c r="CF150" s="33">
        <v>3</v>
      </c>
      <c r="CG150" s="33">
        <v>3</v>
      </c>
      <c r="CH150" s="33">
        <v>4</v>
      </c>
      <c r="CI150" s="33">
        <v>1</v>
      </c>
      <c r="CJ150" s="33">
        <v>2</v>
      </c>
      <c r="CK150" s="33">
        <v>0</v>
      </c>
      <c r="CL150" s="33">
        <v>0</v>
      </c>
      <c r="CM150" s="33">
        <v>3</v>
      </c>
      <c r="CN150" s="33">
        <v>5</v>
      </c>
      <c r="CO150" s="33">
        <v>1</v>
      </c>
      <c r="CP150" s="43">
        <v>4.3571361371835322E-2</v>
      </c>
      <c r="CQ150" s="33">
        <v>0</v>
      </c>
      <c r="CR150" s="33">
        <v>0</v>
      </c>
    </row>
    <row r="151" spans="1:96" ht="15" customHeight="1" x14ac:dyDescent="0.25">
      <c r="A151" s="26">
        <v>149</v>
      </c>
      <c r="B151" s="27">
        <v>19</v>
      </c>
      <c r="C151" s="27">
        <v>0</v>
      </c>
      <c r="D151" s="27">
        <v>1</v>
      </c>
      <c r="E151" s="27">
        <v>1181</v>
      </c>
      <c r="F151" s="27">
        <v>2</v>
      </c>
      <c r="G151" s="27">
        <v>3</v>
      </c>
      <c r="H151" s="27">
        <v>1</v>
      </c>
      <c r="I151" s="27">
        <v>3</v>
      </c>
      <c r="J151" s="27">
        <v>1</v>
      </c>
      <c r="K151" s="27">
        <v>201</v>
      </c>
      <c r="L151" s="27">
        <v>2</v>
      </c>
      <c r="M151" s="27">
        <v>0</v>
      </c>
      <c r="N151" s="27">
        <v>79</v>
      </c>
      <c r="O151" s="27">
        <v>3</v>
      </c>
      <c r="P151" s="27">
        <v>1</v>
      </c>
      <c r="Q151" s="27">
        <v>3</v>
      </c>
      <c r="R151" s="27">
        <v>2</v>
      </c>
      <c r="S151" s="27">
        <v>1</v>
      </c>
      <c r="T151" s="27">
        <v>1483</v>
      </c>
      <c r="U151" s="27">
        <v>16102</v>
      </c>
      <c r="V151" s="27">
        <v>1</v>
      </c>
      <c r="W151" s="27">
        <v>0</v>
      </c>
      <c r="X151" s="27">
        <v>14</v>
      </c>
      <c r="Y151" s="27">
        <v>3</v>
      </c>
      <c r="Z151" s="27">
        <v>4</v>
      </c>
      <c r="AA151" s="27">
        <v>80</v>
      </c>
      <c r="AB151" s="27">
        <v>0</v>
      </c>
      <c r="AC151" s="27">
        <v>1</v>
      </c>
      <c r="AD151" s="27">
        <v>3</v>
      </c>
      <c r="AE151" s="27">
        <v>3</v>
      </c>
      <c r="AF151" s="27">
        <v>1</v>
      </c>
      <c r="AG151" s="27">
        <v>0</v>
      </c>
      <c r="AH151" s="27">
        <v>0</v>
      </c>
      <c r="AI151" s="28">
        <v>0</v>
      </c>
      <c r="AK151" s="36">
        <v>118</v>
      </c>
      <c r="AL151" s="33">
        <v>11</v>
      </c>
      <c r="AM151" s="33">
        <v>3</v>
      </c>
      <c r="AN151" s="33">
        <v>4</v>
      </c>
      <c r="AO151" s="33">
        <v>0</v>
      </c>
      <c r="AP151" s="33">
        <v>0</v>
      </c>
      <c r="AQ151" s="33">
        <v>1</v>
      </c>
      <c r="AR151" s="33">
        <v>3</v>
      </c>
      <c r="AS151" s="33">
        <v>9</v>
      </c>
      <c r="AT151" s="33">
        <v>2</v>
      </c>
      <c r="AU151" s="43">
        <v>1.9884305872523506E-2</v>
      </c>
      <c r="AV151" s="33">
        <v>0</v>
      </c>
      <c r="AW151" s="33">
        <v>0</v>
      </c>
      <c r="AY151" s="36">
        <v>123</v>
      </c>
      <c r="AZ151" s="33">
        <v>1</v>
      </c>
      <c r="BA151" s="33">
        <v>2</v>
      </c>
      <c r="BB151" s="33">
        <v>1</v>
      </c>
      <c r="BC151" s="33">
        <v>3</v>
      </c>
      <c r="BD151" s="43">
        <v>0.2139229997628791</v>
      </c>
      <c r="BE151" s="33">
        <v>0</v>
      </c>
      <c r="BF151" s="33">
        <v>1</v>
      </c>
      <c r="CE151" s="36">
        <v>117</v>
      </c>
      <c r="CF151" s="33">
        <v>5</v>
      </c>
      <c r="CG151" s="33">
        <v>3</v>
      </c>
      <c r="CH151" s="33">
        <v>1</v>
      </c>
      <c r="CI151" s="33">
        <v>1</v>
      </c>
      <c r="CJ151" s="33">
        <v>2</v>
      </c>
      <c r="CK151" s="33">
        <v>0</v>
      </c>
      <c r="CL151" s="33">
        <v>0</v>
      </c>
      <c r="CM151" s="33">
        <v>3</v>
      </c>
      <c r="CN151" s="33">
        <v>11</v>
      </c>
      <c r="CO151" s="33">
        <v>5</v>
      </c>
      <c r="CP151" s="43">
        <v>0.11290288352874556</v>
      </c>
      <c r="CQ151" s="33">
        <v>0</v>
      </c>
      <c r="CR151" s="33">
        <v>0</v>
      </c>
    </row>
    <row r="152" spans="1:96" ht="15" customHeight="1" x14ac:dyDescent="0.25">
      <c r="A152" s="26">
        <v>150</v>
      </c>
      <c r="B152" s="27">
        <v>40</v>
      </c>
      <c r="C152" s="27">
        <v>0</v>
      </c>
      <c r="D152" s="27">
        <v>2</v>
      </c>
      <c r="E152" s="27">
        <v>1395</v>
      </c>
      <c r="F152" s="27">
        <v>2</v>
      </c>
      <c r="G152" s="27">
        <v>26</v>
      </c>
      <c r="H152" s="27">
        <v>3</v>
      </c>
      <c r="I152" s="27">
        <v>3</v>
      </c>
      <c r="J152" s="27">
        <v>1</v>
      </c>
      <c r="K152" s="27">
        <v>202</v>
      </c>
      <c r="L152" s="27">
        <v>2</v>
      </c>
      <c r="M152" s="27">
        <v>0</v>
      </c>
      <c r="N152" s="27">
        <v>54</v>
      </c>
      <c r="O152" s="27">
        <v>3</v>
      </c>
      <c r="P152" s="27">
        <v>2</v>
      </c>
      <c r="Q152" s="27">
        <v>2</v>
      </c>
      <c r="R152" s="27">
        <v>2</v>
      </c>
      <c r="S152" s="27">
        <v>3</v>
      </c>
      <c r="T152" s="27">
        <v>5605</v>
      </c>
      <c r="U152" s="27">
        <v>8504</v>
      </c>
      <c r="V152" s="27">
        <v>1</v>
      </c>
      <c r="W152" s="27">
        <v>0</v>
      </c>
      <c r="X152" s="27">
        <v>11</v>
      </c>
      <c r="Y152" s="27">
        <v>3</v>
      </c>
      <c r="Z152" s="27">
        <v>1</v>
      </c>
      <c r="AA152" s="27">
        <v>80</v>
      </c>
      <c r="AB152" s="27">
        <v>1</v>
      </c>
      <c r="AC152" s="27">
        <v>20</v>
      </c>
      <c r="AD152" s="27">
        <v>2</v>
      </c>
      <c r="AE152" s="27">
        <v>3</v>
      </c>
      <c r="AF152" s="27">
        <v>20</v>
      </c>
      <c r="AG152" s="27">
        <v>7</v>
      </c>
      <c r="AH152" s="27">
        <v>2</v>
      </c>
      <c r="AI152" s="28">
        <v>13</v>
      </c>
      <c r="AK152" s="36">
        <v>119</v>
      </c>
      <c r="AL152" s="33">
        <v>3</v>
      </c>
      <c r="AM152" s="33">
        <v>1</v>
      </c>
      <c r="AN152" s="33">
        <v>4</v>
      </c>
      <c r="AO152" s="33">
        <v>5</v>
      </c>
      <c r="AP152" s="33">
        <v>0</v>
      </c>
      <c r="AQ152" s="33">
        <v>1</v>
      </c>
      <c r="AR152" s="33">
        <v>3</v>
      </c>
      <c r="AS152" s="33">
        <v>1</v>
      </c>
      <c r="AT152" s="33">
        <v>0</v>
      </c>
      <c r="AU152" s="43">
        <v>9.1655396306509054E-2</v>
      </c>
      <c r="AV152" s="33">
        <v>0</v>
      </c>
      <c r="AW152" s="33">
        <v>0</v>
      </c>
      <c r="AY152" s="36">
        <v>124</v>
      </c>
      <c r="AZ152" s="33">
        <v>5</v>
      </c>
      <c r="BA152" s="33">
        <v>3</v>
      </c>
      <c r="BB152" s="33">
        <v>0</v>
      </c>
      <c r="BC152" s="33">
        <v>0</v>
      </c>
      <c r="BD152" s="43">
        <v>2.4191068412310078E-2</v>
      </c>
      <c r="BE152" s="33">
        <v>0</v>
      </c>
      <c r="BF152" s="33">
        <v>0</v>
      </c>
      <c r="CE152" s="36">
        <v>118</v>
      </c>
      <c r="CF152" s="33">
        <v>11</v>
      </c>
      <c r="CG152" s="33">
        <v>3</v>
      </c>
      <c r="CH152" s="33">
        <v>4</v>
      </c>
      <c r="CI152" s="33">
        <v>2</v>
      </c>
      <c r="CJ152" s="33">
        <v>0</v>
      </c>
      <c r="CK152" s="33">
        <v>0</v>
      </c>
      <c r="CL152" s="33">
        <v>1</v>
      </c>
      <c r="CM152" s="33">
        <v>3</v>
      </c>
      <c r="CN152" s="33">
        <v>9</v>
      </c>
      <c r="CO152" s="33">
        <v>2</v>
      </c>
      <c r="CP152" s="43">
        <v>1.8988639547921921E-2</v>
      </c>
      <c r="CQ152" s="33">
        <v>0</v>
      </c>
      <c r="CR152" s="33">
        <v>0</v>
      </c>
    </row>
    <row r="153" spans="1:96" ht="15" customHeight="1" x14ac:dyDescent="0.25">
      <c r="A153" s="26">
        <v>151</v>
      </c>
      <c r="B153" s="27">
        <v>35</v>
      </c>
      <c r="C153" s="27">
        <v>0</v>
      </c>
      <c r="D153" s="27">
        <v>1</v>
      </c>
      <c r="E153" s="27">
        <v>662</v>
      </c>
      <c r="F153" s="27">
        <v>1</v>
      </c>
      <c r="G153" s="27">
        <v>1</v>
      </c>
      <c r="H153" s="27">
        <v>5</v>
      </c>
      <c r="I153" s="27">
        <v>4</v>
      </c>
      <c r="J153" s="27">
        <v>1</v>
      </c>
      <c r="K153" s="27">
        <v>204</v>
      </c>
      <c r="L153" s="27">
        <v>3</v>
      </c>
      <c r="M153" s="27">
        <v>1</v>
      </c>
      <c r="N153" s="27">
        <v>94</v>
      </c>
      <c r="O153" s="27">
        <v>3</v>
      </c>
      <c r="P153" s="27">
        <v>3</v>
      </c>
      <c r="Q153" s="27">
        <v>1</v>
      </c>
      <c r="R153" s="27">
        <v>2</v>
      </c>
      <c r="S153" s="27">
        <v>2</v>
      </c>
      <c r="T153" s="27">
        <v>7295</v>
      </c>
      <c r="U153" s="27">
        <v>11439</v>
      </c>
      <c r="V153" s="27">
        <v>1</v>
      </c>
      <c r="W153" s="27">
        <v>0</v>
      </c>
      <c r="X153" s="27">
        <v>13</v>
      </c>
      <c r="Y153" s="27">
        <v>3</v>
      </c>
      <c r="Z153" s="27">
        <v>1</v>
      </c>
      <c r="AA153" s="27">
        <v>80</v>
      </c>
      <c r="AB153" s="27">
        <v>2</v>
      </c>
      <c r="AC153" s="27">
        <v>10</v>
      </c>
      <c r="AD153" s="27">
        <v>3</v>
      </c>
      <c r="AE153" s="27">
        <v>3</v>
      </c>
      <c r="AF153" s="27">
        <v>10</v>
      </c>
      <c r="AG153" s="27">
        <v>8</v>
      </c>
      <c r="AH153" s="27">
        <v>0</v>
      </c>
      <c r="AI153" s="28">
        <v>6</v>
      </c>
      <c r="AK153" s="36">
        <v>120</v>
      </c>
      <c r="AL153" s="33">
        <v>26</v>
      </c>
      <c r="AM153" s="33">
        <v>4</v>
      </c>
      <c r="AN153" s="33">
        <v>4</v>
      </c>
      <c r="AO153" s="33">
        <v>1</v>
      </c>
      <c r="AP153" s="33">
        <v>1</v>
      </c>
      <c r="AQ153" s="33">
        <v>2</v>
      </c>
      <c r="AR153" s="33">
        <v>4</v>
      </c>
      <c r="AS153" s="33">
        <v>25</v>
      </c>
      <c r="AT153" s="33">
        <v>4</v>
      </c>
      <c r="AU153" s="43">
        <v>1.6108721596247013E-2</v>
      </c>
      <c r="AV153" s="33">
        <v>0</v>
      </c>
      <c r="AW153" s="33">
        <v>0</v>
      </c>
      <c r="AY153" s="36">
        <v>125</v>
      </c>
      <c r="AZ153" s="33">
        <v>2</v>
      </c>
      <c r="BA153" s="33">
        <v>3</v>
      </c>
      <c r="BB153" s="33">
        <v>1</v>
      </c>
      <c r="BC153" s="33">
        <v>0</v>
      </c>
      <c r="BD153" s="43">
        <v>0.36139389867144694</v>
      </c>
      <c r="BE153" s="33">
        <v>0</v>
      </c>
      <c r="BF153" s="33">
        <v>1</v>
      </c>
      <c r="CE153" s="36">
        <v>119</v>
      </c>
      <c r="CF153" s="33">
        <v>3</v>
      </c>
      <c r="CG153" s="33">
        <v>1</v>
      </c>
      <c r="CH153" s="33">
        <v>4</v>
      </c>
      <c r="CI153" s="33">
        <v>3</v>
      </c>
      <c r="CJ153" s="33">
        <v>5</v>
      </c>
      <c r="CK153" s="33">
        <v>0</v>
      </c>
      <c r="CL153" s="33">
        <v>1</v>
      </c>
      <c r="CM153" s="33">
        <v>3</v>
      </c>
      <c r="CN153" s="33">
        <v>1</v>
      </c>
      <c r="CO153" s="33">
        <v>0</v>
      </c>
      <c r="CP153" s="43">
        <v>5.1698866671224065E-2</v>
      </c>
      <c r="CQ153" s="33">
        <v>0</v>
      </c>
      <c r="CR153" s="33">
        <v>0</v>
      </c>
    </row>
    <row r="154" spans="1:96" ht="15" customHeight="1" x14ac:dyDescent="0.25">
      <c r="A154" s="26">
        <v>152</v>
      </c>
      <c r="B154" s="27">
        <v>53</v>
      </c>
      <c r="C154" s="27">
        <v>0</v>
      </c>
      <c r="D154" s="27">
        <v>1</v>
      </c>
      <c r="E154" s="27">
        <v>1436</v>
      </c>
      <c r="F154" s="27">
        <v>1</v>
      </c>
      <c r="G154" s="27">
        <v>6</v>
      </c>
      <c r="H154" s="27">
        <v>2</v>
      </c>
      <c r="I154" s="27">
        <v>4</v>
      </c>
      <c r="J154" s="27">
        <v>1</v>
      </c>
      <c r="K154" s="27">
        <v>205</v>
      </c>
      <c r="L154" s="27">
        <v>2</v>
      </c>
      <c r="M154" s="27">
        <v>1</v>
      </c>
      <c r="N154" s="27">
        <v>34</v>
      </c>
      <c r="O154" s="27">
        <v>3</v>
      </c>
      <c r="P154" s="27">
        <v>2</v>
      </c>
      <c r="Q154" s="27">
        <v>7</v>
      </c>
      <c r="R154" s="27">
        <v>3</v>
      </c>
      <c r="S154" s="27">
        <v>2</v>
      </c>
      <c r="T154" s="27">
        <v>2306</v>
      </c>
      <c r="U154" s="27">
        <v>16047</v>
      </c>
      <c r="V154" s="27">
        <v>2</v>
      </c>
      <c r="W154" s="27">
        <v>1</v>
      </c>
      <c r="X154" s="27">
        <v>20</v>
      </c>
      <c r="Y154" s="27">
        <v>4</v>
      </c>
      <c r="Z154" s="27">
        <v>4</v>
      </c>
      <c r="AA154" s="27">
        <v>80</v>
      </c>
      <c r="AB154" s="27">
        <v>1</v>
      </c>
      <c r="AC154" s="27">
        <v>13</v>
      </c>
      <c r="AD154" s="27">
        <v>3</v>
      </c>
      <c r="AE154" s="27">
        <v>1</v>
      </c>
      <c r="AF154" s="27">
        <v>7</v>
      </c>
      <c r="AG154" s="27">
        <v>7</v>
      </c>
      <c r="AH154" s="27">
        <v>4</v>
      </c>
      <c r="AI154" s="28">
        <v>5</v>
      </c>
      <c r="AK154" s="36">
        <v>121</v>
      </c>
      <c r="AL154" s="33">
        <v>23</v>
      </c>
      <c r="AM154" s="33">
        <v>1</v>
      </c>
      <c r="AN154" s="33">
        <v>3</v>
      </c>
      <c r="AO154" s="33">
        <v>1</v>
      </c>
      <c r="AP154" s="33">
        <v>0</v>
      </c>
      <c r="AQ154" s="33">
        <v>3</v>
      </c>
      <c r="AR154" s="33">
        <v>2</v>
      </c>
      <c r="AS154" s="33">
        <v>10</v>
      </c>
      <c r="AT154" s="33">
        <v>0</v>
      </c>
      <c r="AU154" s="43">
        <v>3.8588704637361457E-2</v>
      </c>
      <c r="AV154" s="33">
        <v>0</v>
      </c>
      <c r="AW154" s="33">
        <v>0</v>
      </c>
      <c r="AY154" s="36">
        <v>126</v>
      </c>
      <c r="AZ154" s="33">
        <v>1</v>
      </c>
      <c r="BA154" s="33">
        <v>2</v>
      </c>
      <c r="BB154" s="33">
        <v>0</v>
      </c>
      <c r="BC154" s="33">
        <v>0</v>
      </c>
      <c r="BD154" s="43">
        <v>0.23662845161334917</v>
      </c>
      <c r="BE154" s="33">
        <v>0</v>
      </c>
      <c r="BF154" s="33">
        <v>0</v>
      </c>
      <c r="CE154" s="36">
        <v>120</v>
      </c>
      <c r="CF154" s="33">
        <v>26</v>
      </c>
      <c r="CG154" s="33">
        <v>4</v>
      </c>
      <c r="CH154" s="33">
        <v>4</v>
      </c>
      <c r="CI154" s="33">
        <v>2</v>
      </c>
      <c r="CJ154" s="33">
        <v>1</v>
      </c>
      <c r="CK154" s="33">
        <v>1</v>
      </c>
      <c r="CL154" s="33">
        <v>2</v>
      </c>
      <c r="CM154" s="33">
        <v>4</v>
      </c>
      <c r="CN154" s="33">
        <v>25</v>
      </c>
      <c r="CO154" s="33">
        <v>4</v>
      </c>
      <c r="CP154" s="43">
        <v>2.2197426194907006E-2</v>
      </c>
      <c r="CQ154" s="33">
        <v>0</v>
      </c>
      <c r="CR154" s="33">
        <v>0</v>
      </c>
    </row>
    <row r="155" spans="1:96" ht="15" customHeight="1" x14ac:dyDescent="0.25">
      <c r="A155" s="26">
        <v>153</v>
      </c>
      <c r="B155" s="27">
        <v>45</v>
      </c>
      <c r="C155" s="27">
        <v>0</v>
      </c>
      <c r="D155" s="27">
        <v>1</v>
      </c>
      <c r="E155" s="27">
        <v>194</v>
      </c>
      <c r="F155" s="27">
        <v>2</v>
      </c>
      <c r="G155" s="27">
        <v>9</v>
      </c>
      <c r="H155" s="27">
        <v>3</v>
      </c>
      <c r="I155" s="27">
        <v>1</v>
      </c>
      <c r="J155" s="27">
        <v>1</v>
      </c>
      <c r="K155" s="27">
        <v>206</v>
      </c>
      <c r="L155" s="27">
        <v>2</v>
      </c>
      <c r="M155" s="27">
        <v>1</v>
      </c>
      <c r="N155" s="27">
        <v>60</v>
      </c>
      <c r="O155" s="27">
        <v>3</v>
      </c>
      <c r="P155" s="27">
        <v>2</v>
      </c>
      <c r="Q155" s="27">
        <v>3</v>
      </c>
      <c r="R155" s="27">
        <v>2</v>
      </c>
      <c r="S155" s="27">
        <v>3</v>
      </c>
      <c r="T155" s="27">
        <v>2348</v>
      </c>
      <c r="U155" s="27">
        <v>10901</v>
      </c>
      <c r="V155" s="27">
        <v>8</v>
      </c>
      <c r="W155" s="27">
        <v>0</v>
      </c>
      <c r="X155" s="27">
        <v>18</v>
      </c>
      <c r="Y155" s="27">
        <v>3</v>
      </c>
      <c r="Z155" s="27">
        <v>3</v>
      </c>
      <c r="AA155" s="27">
        <v>80</v>
      </c>
      <c r="AB155" s="27">
        <v>1</v>
      </c>
      <c r="AC155" s="27">
        <v>20</v>
      </c>
      <c r="AD155" s="27">
        <v>2</v>
      </c>
      <c r="AE155" s="27">
        <v>1</v>
      </c>
      <c r="AF155" s="27">
        <v>17</v>
      </c>
      <c r="AG155" s="27">
        <v>9</v>
      </c>
      <c r="AH155" s="27">
        <v>0</v>
      </c>
      <c r="AI155" s="28">
        <v>15</v>
      </c>
      <c r="AK155" s="36">
        <v>122</v>
      </c>
      <c r="AL155" s="33">
        <v>22</v>
      </c>
      <c r="AM155" s="33">
        <v>2</v>
      </c>
      <c r="AN155" s="33">
        <v>2</v>
      </c>
      <c r="AO155" s="33">
        <v>0</v>
      </c>
      <c r="AP155" s="33">
        <v>0</v>
      </c>
      <c r="AQ155" s="33">
        <v>1</v>
      </c>
      <c r="AR155" s="33">
        <v>4</v>
      </c>
      <c r="AS155" s="33">
        <v>7</v>
      </c>
      <c r="AT155" s="33">
        <v>0</v>
      </c>
      <c r="AU155" s="43">
        <v>6.2553796489287647E-2</v>
      </c>
      <c r="AV155" s="33">
        <v>0</v>
      </c>
      <c r="AW155" s="33">
        <v>0</v>
      </c>
      <c r="AY155" s="36">
        <v>127</v>
      </c>
      <c r="AZ155" s="33">
        <v>3</v>
      </c>
      <c r="BA155" s="33">
        <v>4</v>
      </c>
      <c r="BB155" s="33">
        <v>0</v>
      </c>
      <c r="BC155" s="33">
        <v>1</v>
      </c>
      <c r="BD155" s="43">
        <v>3.2280700557178299E-2</v>
      </c>
      <c r="BE155" s="33">
        <v>0</v>
      </c>
      <c r="BF155" s="33">
        <v>1</v>
      </c>
      <c r="CE155" s="36">
        <v>121</v>
      </c>
      <c r="CF155" s="33">
        <v>23</v>
      </c>
      <c r="CG155" s="33">
        <v>1</v>
      </c>
      <c r="CH155" s="33">
        <v>3</v>
      </c>
      <c r="CI155" s="33">
        <v>3</v>
      </c>
      <c r="CJ155" s="33">
        <v>1</v>
      </c>
      <c r="CK155" s="33">
        <v>0</v>
      </c>
      <c r="CL155" s="33">
        <v>3</v>
      </c>
      <c r="CM155" s="33">
        <v>2</v>
      </c>
      <c r="CN155" s="33">
        <v>10</v>
      </c>
      <c r="CO155" s="33">
        <v>0</v>
      </c>
      <c r="CP155" s="43">
        <v>4.2061445705359315E-2</v>
      </c>
      <c r="CQ155" s="33">
        <v>0</v>
      </c>
      <c r="CR155" s="33">
        <v>0</v>
      </c>
    </row>
    <row r="156" spans="1:96" ht="15" customHeight="1" x14ac:dyDescent="0.25">
      <c r="A156" s="26">
        <v>154</v>
      </c>
      <c r="B156" s="27">
        <v>32</v>
      </c>
      <c r="C156" s="27">
        <v>0</v>
      </c>
      <c r="D156" s="27">
        <v>2</v>
      </c>
      <c r="E156" s="27">
        <v>967</v>
      </c>
      <c r="F156" s="27">
        <v>1</v>
      </c>
      <c r="G156" s="27">
        <v>8</v>
      </c>
      <c r="H156" s="27">
        <v>3</v>
      </c>
      <c r="I156" s="27">
        <v>4</v>
      </c>
      <c r="J156" s="27">
        <v>1</v>
      </c>
      <c r="K156" s="27">
        <v>207</v>
      </c>
      <c r="L156" s="27">
        <v>2</v>
      </c>
      <c r="M156" s="27">
        <v>0</v>
      </c>
      <c r="N156" s="27">
        <v>43</v>
      </c>
      <c r="O156" s="27">
        <v>3</v>
      </c>
      <c r="P156" s="27">
        <v>3</v>
      </c>
      <c r="Q156" s="27">
        <v>1</v>
      </c>
      <c r="R156" s="27">
        <v>4</v>
      </c>
      <c r="S156" s="27">
        <v>1</v>
      </c>
      <c r="T156" s="27">
        <v>8998</v>
      </c>
      <c r="U156" s="27">
        <v>15589</v>
      </c>
      <c r="V156" s="27">
        <v>1</v>
      </c>
      <c r="W156" s="27">
        <v>0</v>
      </c>
      <c r="X156" s="27">
        <v>14</v>
      </c>
      <c r="Y156" s="27">
        <v>3</v>
      </c>
      <c r="Z156" s="27">
        <v>4</v>
      </c>
      <c r="AA156" s="27">
        <v>80</v>
      </c>
      <c r="AB156" s="27">
        <v>0</v>
      </c>
      <c r="AC156" s="27">
        <v>9</v>
      </c>
      <c r="AD156" s="27">
        <v>2</v>
      </c>
      <c r="AE156" s="27">
        <v>3</v>
      </c>
      <c r="AF156" s="27">
        <v>9</v>
      </c>
      <c r="AG156" s="27">
        <v>8</v>
      </c>
      <c r="AH156" s="27">
        <v>3</v>
      </c>
      <c r="AI156" s="28">
        <v>7</v>
      </c>
      <c r="AK156" s="36">
        <v>123</v>
      </c>
      <c r="AL156" s="33">
        <v>14</v>
      </c>
      <c r="AM156" s="33">
        <v>1</v>
      </c>
      <c r="AN156" s="33">
        <v>2</v>
      </c>
      <c r="AO156" s="33">
        <v>9</v>
      </c>
      <c r="AP156" s="33">
        <v>1</v>
      </c>
      <c r="AQ156" s="33">
        <v>3</v>
      </c>
      <c r="AR156" s="33">
        <v>3</v>
      </c>
      <c r="AS156" s="33">
        <v>5</v>
      </c>
      <c r="AT156" s="33">
        <v>4</v>
      </c>
      <c r="AU156" s="43">
        <v>0.37811072915789495</v>
      </c>
      <c r="AV156" s="33">
        <v>0</v>
      </c>
      <c r="AW156" s="33">
        <v>1</v>
      </c>
      <c r="AY156" s="36">
        <v>128</v>
      </c>
      <c r="AZ156" s="33">
        <v>1</v>
      </c>
      <c r="BA156" s="33">
        <v>3</v>
      </c>
      <c r="BB156" s="33">
        <v>1</v>
      </c>
      <c r="BC156" s="33">
        <v>0</v>
      </c>
      <c r="BD156" s="43">
        <v>0.49727340882350407</v>
      </c>
      <c r="BE156" s="33">
        <v>0</v>
      </c>
      <c r="BF156" s="33">
        <v>1</v>
      </c>
      <c r="CE156" s="36">
        <v>122</v>
      </c>
      <c r="CF156" s="33">
        <v>22</v>
      </c>
      <c r="CG156" s="33">
        <v>2</v>
      </c>
      <c r="CH156" s="33">
        <v>2</v>
      </c>
      <c r="CI156" s="33">
        <v>2</v>
      </c>
      <c r="CJ156" s="33">
        <v>0</v>
      </c>
      <c r="CK156" s="33">
        <v>0</v>
      </c>
      <c r="CL156" s="33">
        <v>1</v>
      </c>
      <c r="CM156" s="33">
        <v>4</v>
      </c>
      <c r="CN156" s="33">
        <v>7</v>
      </c>
      <c r="CO156" s="33">
        <v>0</v>
      </c>
      <c r="CP156" s="43">
        <v>5.9885454133173803E-2</v>
      </c>
      <c r="CQ156" s="33">
        <v>0</v>
      </c>
      <c r="CR156" s="33">
        <v>0</v>
      </c>
    </row>
    <row r="157" spans="1:96" ht="15" customHeight="1" x14ac:dyDescent="0.25">
      <c r="A157" s="26">
        <v>155</v>
      </c>
      <c r="B157" s="27">
        <v>29</v>
      </c>
      <c r="C157" s="27">
        <v>0</v>
      </c>
      <c r="D157" s="27">
        <v>3</v>
      </c>
      <c r="E157" s="27">
        <v>1496</v>
      </c>
      <c r="F157" s="27">
        <v>2</v>
      </c>
      <c r="G157" s="27">
        <v>1</v>
      </c>
      <c r="H157" s="27">
        <v>1</v>
      </c>
      <c r="I157" s="27">
        <v>5</v>
      </c>
      <c r="J157" s="27">
        <v>1</v>
      </c>
      <c r="K157" s="27">
        <v>208</v>
      </c>
      <c r="L157" s="27">
        <v>4</v>
      </c>
      <c r="M157" s="27">
        <v>1</v>
      </c>
      <c r="N157" s="27">
        <v>41</v>
      </c>
      <c r="O157" s="27">
        <v>3</v>
      </c>
      <c r="P157" s="27">
        <v>2</v>
      </c>
      <c r="Q157" s="27">
        <v>4</v>
      </c>
      <c r="R157" s="27">
        <v>3</v>
      </c>
      <c r="S157" s="27">
        <v>2</v>
      </c>
      <c r="T157" s="27">
        <v>4319</v>
      </c>
      <c r="U157" s="27">
        <v>26283</v>
      </c>
      <c r="V157" s="27">
        <v>1</v>
      </c>
      <c r="W157" s="27">
        <v>0</v>
      </c>
      <c r="X157" s="27">
        <v>13</v>
      </c>
      <c r="Y157" s="27">
        <v>3</v>
      </c>
      <c r="Z157" s="27">
        <v>1</v>
      </c>
      <c r="AA157" s="27">
        <v>80</v>
      </c>
      <c r="AB157" s="27">
        <v>1</v>
      </c>
      <c r="AC157" s="27">
        <v>10</v>
      </c>
      <c r="AD157" s="27">
        <v>1</v>
      </c>
      <c r="AE157" s="27">
        <v>3</v>
      </c>
      <c r="AF157" s="27">
        <v>10</v>
      </c>
      <c r="AG157" s="27">
        <v>7</v>
      </c>
      <c r="AH157" s="27">
        <v>0</v>
      </c>
      <c r="AI157" s="28">
        <v>9</v>
      </c>
      <c r="AK157" s="36">
        <v>124</v>
      </c>
      <c r="AL157" s="33">
        <v>6</v>
      </c>
      <c r="AM157" s="33">
        <v>5</v>
      </c>
      <c r="AN157" s="33">
        <v>3</v>
      </c>
      <c r="AO157" s="33">
        <v>7</v>
      </c>
      <c r="AP157" s="33">
        <v>0</v>
      </c>
      <c r="AQ157" s="33">
        <v>0</v>
      </c>
      <c r="AR157" s="33">
        <v>3</v>
      </c>
      <c r="AS157" s="33">
        <v>20</v>
      </c>
      <c r="AT157" s="33">
        <v>15</v>
      </c>
      <c r="AU157" s="43">
        <v>4.5579637123120353E-2</v>
      </c>
      <c r="AV157" s="33">
        <v>0</v>
      </c>
      <c r="AW157" s="33">
        <v>0</v>
      </c>
      <c r="AY157" s="36">
        <v>129</v>
      </c>
      <c r="AZ157" s="33">
        <v>1</v>
      </c>
      <c r="BA157" s="33">
        <v>4</v>
      </c>
      <c r="BB157" s="33">
        <v>0</v>
      </c>
      <c r="BC157" s="33">
        <v>1</v>
      </c>
      <c r="BD157" s="43">
        <v>9.2486413274924434E-2</v>
      </c>
      <c r="BE157" s="33">
        <v>0</v>
      </c>
      <c r="BF157" s="33">
        <v>0</v>
      </c>
      <c r="CE157" s="36">
        <v>123</v>
      </c>
      <c r="CF157" s="33">
        <v>14</v>
      </c>
      <c r="CG157" s="33">
        <v>1</v>
      </c>
      <c r="CH157" s="33">
        <v>2</v>
      </c>
      <c r="CI157" s="33">
        <v>2</v>
      </c>
      <c r="CJ157" s="33">
        <v>9</v>
      </c>
      <c r="CK157" s="33">
        <v>1</v>
      </c>
      <c r="CL157" s="33">
        <v>3</v>
      </c>
      <c r="CM157" s="33">
        <v>3</v>
      </c>
      <c r="CN157" s="33">
        <v>5</v>
      </c>
      <c r="CO157" s="33">
        <v>4</v>
      </c>
      <c r="CP157" s="43">
        <v>0.55438389342288197</v>
      </c>
      <c r="CQ157" s="33">
        <v>1</v>
      </c>
      <c r="CR157" s="33">
        <v>1</v>
      </c>
    </row>
    <row r="158" spans="1:96" ht="15" customHeight="1" x14ac:dyDescent="0.25">
      <c r="A158" s="26">
        <v>156</v>
      </c>
      <c r="B158" s="27">
        <v>51</v>
      </c>
      <c r="C158" s="27">
        <v>0</v>
      </c>
      <c r="D158" s="27">
        <v>1</v>
      </c>
      <c r="E158" s="27">
        <v>1169</v>
      </c>
      <c r="F158" s="27">
        <v>2</v>
      </c>
      <c r="G158" s="27">
        <v>7</v>
      </c>
      <c r="H158" s="27">
        <v>4</v>
      </c>
      <c r="I158" s="27">
        <v>3</v>
      </c>
      <c r="J158" s="27">
        <v>1</v>
      </c>
      <c r="K158" s="27">
        <v>211</v>
      </c>
      <c r="L158" s="27">
        <v>2</v>
      </c>
      <c r="M158" s="27">
        <v>1</v>
      </c>
      <c r="N158" s="27">
        <v>34</v>
      </c>
      <c r="O158" s="27">
        <v>2</v>
      </c>
      <c r="P158" s="27">
        <v>2</v>
      </c>
      <c r="Q158" s="27">
        <v>4</v>
      </c>
      <c r="R158" s="27">
        <v>3</v>
      </c>
      <c r="S158" s="27">
        <v>2</v>
      </c>
      <c r="T158" s="27">
        <v>6132</v>
      </c>
      <c r="U158" s="27">
        <v>13983</v>
      </c>
      <c r="V158" s="27">
        <v>2</v>
      </c>
      <c r="W158" s="27">
        <v>0</v>
      </c>
      <c r="X158" s="27">
        <v>17</v>
      </c>
      <c r="Y158" s="27">
        <v>3</v>
      </c>
      <c r="Z158" s="27">
        <v>3</v>
      </c>
      <c r="AA158" s="27">
        <v>80</v>
      </c>
      <c r="AB158" s="27">
        <v>0</v>
      </c>
      <c r="AC158" s="27">
        <v>10</v>
      </c>
      <c r="AD158" s="27">
        <v>2</v>
      </c>
      <c r="AE158" s="27">
        <v>3</v>
      </c>
      <c r="AF158" s="27">
        <v>1</v>
      </c>
      <c r="AG158" s="27">
        <v>0</v>
      </c>
      <c r="AH158" s="27">
        <v>0</v>
      </c>
      <c r="AI158" s="28">
        <v>0</v>
      </c>
      <c r="AK158" s="36">
        <v>125</v>
      </c>
      <c r="AL158" s="33">
        <v>6</v>
      </c>
      <c r="AM158" s="33">
        <v>2</v>
      </c>
      <c r="AN158" s="33">
        <v>3</v>
      </c>
      <c r="AO158" s="33">
        <v>4</v>
      </c>
      <c r="AP158" s="33">
        <v>1</v>
      </c>
      <c r="AQ158" s="33">
        <v>0</v>
      </c>
      <c r="AR158" s="33">
        <v>2</v>
      </c>
      <c r="AS158" s="33">
        <v>7</v>
      </c>
      <c r="AT158" s="33">
        <v>7</v>
      </c>
      <c r="AU158" s="43">
        <v>0.52486377444026433</v>
      </c>
      <c r="AV158" s="33">
        <v>1</v>
      </c>
      <c r="AW158" s="33">
        <v>1</v>
      </c>
      <c r="AY158" s="36">
        <v>130</v>
      </c>
      <c r="AZ158" s="33">
        <v>2</v>
      </c>
      <c r="BA158" s="33">
        <v>1</v>
      </c>
      <c r="BB158" s="33">
        <v>0</v>
      </c>
      <c r="BC158" s="33">
        <v>0</v>
      </c>
      <c r="BD158" s="43">
        <v>0.19196561144667343</v>
      </c>
      <c r="BE158" s="33">
        <v>0</v>
      </c>
      <c r="BF158" s="33">
        <v>0</v>
      </c>
      <c r="CE158" s="36">
        <v>124</v>
      </c>
      <c r="CF158" s="33">
        <v>6</v>
      </c>
      <c r="CG158" s="33">
        <v>5</v>
      </c>
      <c r="CH158" s="33">
        <v>3</v>
      </c>
      <c r="CI158" s="33">
        <v>1</v>
      </c>
      <c r="CJ158" s="33">
        <v>7</v>
      </c>
      <c r="CK158" s="33">
        <v>0</v>
      </c>
      <c r="CL158" s="33">
        <v>0</v>
      </c>
      <c r="CM158" s="33">
        <v>3</v>
      </c>
      <c r="CN158" s="33">
        <v>20</v>
      </c>
      <c r="CO158" s="33">
        <v>15</v>
      </c>
      <c r="CP158" s="43">
        <v>5.7773832064154026E-2</v>
      </c>
      <c r="CQ158" s="33">
        <v>0</v>
      </c>
      <c r="CR158" s="33">
        <v>0</v>
      </c>
    </row>
    <row r="159" spans="1:96" ht="15" customHeight="1" x14ac:dyDescent="0.25">
      <c r="A159" s="26">
        <v>157</v>
      </c>
      <c r="B159" s="27">
        <v>58</v>
      </c>
      <c r="C159" s="27">
        <v>0</v>
      </c>
      <c r="D159" s="27">
        <v>1</v>
      </c>
      <c r="E159" s="27">
        <v>1145</v>
      </c>
      <c r="F159" s="27">
        <v>2</v>
      </c>
      <c r="G159" s="27">
        <v>9</v>
      </c>
      <c r="H159" s="27">
        <v>3</v>
      </c>
      <c r="I159" s="27">
        <v>3</v>
      </c>
      <c r="J159" s="27">
        <v>1</v>
      </c>
      <c r="K159" s="27">
        <v>214</v>
      </c>
      <c r="L159" s="27">
        <v>2</v>
      </c>
      <c r="M159" s="27">
        <v>0</v>
      </c>
      <c r="N159" s="27">
        <v>75</v>
      </c>
      <c r="O159" s="27">
        <v>2</v>
      </c>
      <c r="P159" s="27">
        <v>1</v>
      </c>
      <c r="Q159" s="27">
        <v>2</v>
      </c>
      <c r="R159" s="27">
        <v>2</v>
      </c>
      <c r="S159" s="27">
        <v>2</v>
      </c>
      <c r="T159" s="27">
        <v>3346</v>
      </c>
      <c r="U159" s="27">
        <v>11873</v>
      </c>
      <c r="V159" s="27">
        <v>4</v>
      </c>
      <c r="W159" s="27">
        <v>1</v>
      </c>
      <c r="X159" s="27">
        <v>20</v>
      </c>
      <c r="Y159" s="27">
        <v>4</v>
      </c>
      <c r="Z159" s="27">
        <v>2</v>
      </c>
      <c r="AA159" s="27">
        <v>80</v>
      </c>
      <c r="AB159" s="27">
        <v>1</v>
      </c>
      <c r="AC159" s="27">
        <v>9</v>
      </c>
      <c r="AD159" s="27">
        <v>3</v>
      </c>
      <c r="AE159" s="27">
        <v>2</v>
      </c>
      <c r="AF159" s="27">
        <v>1</v>
      </c>
      <c r="AG159" s="27">
        <v>0</v>
      </c>
      <c r="AH159" s="27">
        <v>0</v>
      </c>
      <c r="AI159" s="28">
        <v>0</v>
      </c>
      <c r="AK159" s="36">
        <v>126</v>
      </c>
      <c r="AL159" s="33">
        <v>6</v>
      </c>
      <c r="AM159" s="33">
        <v>1</v>
      </c>
      <c r="AN159" s="33">
        <v>2</v>
      </c>
      <c r="AO159" s="33">
        <v>1</v>
      </c>
      <c r="AP159" s="33">
        <v>0</v>
      </c>
      <c r="AQ159" s="33">
        <v>0</v>
      </c>
      <c r="AR159" s="33">
        <v>2</v>
      </c>
      <c r="AS159" s="33">
        <v>5</v>
      </c>
      <c r="AT159" s="33">
        <v>4</v>
      </c>
      <c r="AU159" s="43">
        <v>0.27290414949033115</v>
      </c>
      <c r="AV159" s="33">
        <v>0</v>
      </c>
      <c r="AW159" s="33">
        <v>0</v>
      </c>
      <c r="AY159" s="36">
        <v>131</v>
      </c>
      <c r="AZ159" s="33">
        <v>1</v>
      </c>
      <c r="BA159" s="33">
        <v>3</v>
      </c>
      <c r="BB159" s="33">
        <v>0</v>
      </c>
      <c r="BC159" s="33">
        <v>0</v>
      </c>
      <c r="BD159" s="43">
        <v>0.18791247240909698</v>
      </c>
      <c r="BE159" s="33">
        <v>0</v>
      </c>
      <c r="BF159" s="33">
        <v>0</v>
      </c>
      <c r="CE159" s="36">
        <v>125</v>
      </c>
      <c r="CF159" s="33">
        <v>6</v>
      </c>
      <c r="CG159" s="33">
        <v>2</v>
      </c>
      <c r="CH159" s="33">
        <v>3</v>
      </c>
      <c r="CI159" s="33">
        <v>2</v>
      </c>
      <c r="CJ159" s="33">
        <v>4</v>
      </c>
      <c r="CK159" s="33">
        <v>1</v>
      </c>
      <c r="CL159" s="33">
        <v>0</v>
      </c>
      <c r="CM159" s="33">
        <v>2</v>
      </c>
      <c r="CN159" s="33">
        <v>7</v>
      </c>
      <c r="CO159" s="33">
        <v>7</v>
      </c>
      <c r="CP159" s="43">
        <v>0.44914289070721064</v>
      </c>
      <c r="CQ159" s="33">
        <v>0</v>
      </c>
      <c r="CR159" s="33">
        <v>1</v>
      </c>
    </row>
    <row r="160" spans="1:96" ht="15" customHeight="1" x14ac:dyDescent="0.25">
      <c r="A160" s="26">
        <v>158</v>
      </c>
      <c r="B160" s="27">
        <v>40</v>
      </c>
      <c r="C160" s="27">
        <v>0</v>
      </c>
      <c r="D160" s="27">
        <v>1</v>
      </c>
      <c r="E160" s="27">
        <v>630</v>
      </c>
      <c r="F160" s="27">
        <v>1</v>
      </c>
      <c r="G160" s="27">
        <v>4</v>
      </c>
      <c r="H160" s="27">
        <v>4</v>
      </c>
      <c r="I160" s="27">
        <v>4</v>
      </c>
      <c r="J160" s="27">
        <v>1</v>
      </c>
      <c r="K160" s="27">
        <v>215</v>
      </c>
      <c r="L160" s="27">
        <v>3</v>
      </c>
      <c r="M160" s="27">
        <v>1</v>
      </c>
      <c r="N160" s="27">
        <v>67</v>
      </c>
      <c r="O160" s="27">
        <v>2</v>
      </c>
      <c r="P160" s="27">
        <v>3</v>
      </c>
      <c r="Q160" s="27">
        <v>1</v>
      </c>
      <c r="R160" s="27">
        <v>4</v>
      </c>
      <c r="S160" s="27">
        <v>2</v>
      </c>
      <c r="T160" s="27">
        <v>10855</v>
      </c>
      <c r="U160" s="27">
        <v>8552</v>
      </c>
      <c r="V160" s="27">
        <v>7</v>
      </c>
      <c r="W160" s="27">
        <v>0</v>
      </c>
      <c r="X160" s="27">
        <v>11</v>
      </c>
      <c r="Y160" s="27">
        <v>3</v>
      </c>
      <c r="Z160" s="27">
        <v>1</v>
      </c>
      <c r="AA160" s="27">
        <v>80</v>
      </c>
      <c r="AB160" s="27">
        <v>1</v>
      </c>
      <c r="AC160" s="27">
        <v>15</v>
      </c>
      <c r="AD160" s="27">
        <v>2</v>
      </c>
      <c r="AE160" s="27">
        <v>2</v>
      </c>
      <c r="AF160" s="27">
        <v>12</v>
      </c>
      <c r="AG160" s="27">
        <v>11</v>
      </c>
      <c r="AH160" s="27">
        <v>2</v>
      </c>
      <c r="AI160" s="28">
        <v>11</v>
      </c>
      <c r="AK160" s="36">
        <v>127</v>
      </c>
      <c r="AL160" s="33">
        <v>23</v>
      </c>
      <c r="AM160" s="33">
        <v>3</v>
      </c>
      <c r="AN160" s="33">
        <v>4</v>
      </c>
      <c r="AO160" s="33">
        <v>1</v>
      </c>
      <c r="AP160" s="33">
        <v>0</v>
      </c>
      <c r="AQ160" s="33">
        <v>1</v>
      </c>
      <c r="AR160" s="33">
        <v>2</v>
      </c>
      <c r="AS160" s="33">
        <v>40</v>
      </c>
      <c r="AT160" s="33">
        <v>15</v>
      </c>
      <c r="AU160" s="43">
        <v>1.9090190783303946E-2</v>
      </c>
      <c r="AV160" s="33">
        <v>0</v>
      </c>
      <c r="AW160" s="33">
        <v>1</v>
      </c>
      <c r="AY160" s="36">
        <v>132</v>
      </c>
      <c r="AZ160" s="33">
        <v>3</v>
      </c>
      <c r="BA160" s="33">
        <v>4</v>
      </c>
      <c r="BB160" s="33">
        <v>0</v>
      </c>
      <c r="BC160" s="33">
        <v>0</v>
      </c>
      <c r="BD160" s="43">
        <v>5.3512841598087578E-2</v>
      </c>
      <c r="BE160" s="33">
        <v>0</v>
      </c>
      <c r="BF160" s="33">
        <v>0</v>
      </c>
      <c r="CE160" s="36">
        <v>126</v>
      </c>
      <c r="CF160" s="33">
        <v>6</v>
      </c>
      <c r="CG160" s="33">
        <v>1</v>
      </c>
      <c r="CH160" s="33">
        <v>2</v>
      </c>
      <c r="CI160" s="33">
        <v>2</v>
      </c>
      <c r="CJ160" s="33">
        <v>1</v>
      </c>
      <c r="CK160" s="33">
        <v>0</v>
      </c>
      <c r="CL160" s="33">
        <v>0</v>
      </c>
      <c r="CM160" s="33">
        <v>2</v>
      </c>
      <c r="CN160" s="33">
        <v>5</v>
      </c>
      <c r="CO160" s="33">
        <v>4</v>
      </c>
      <c r="CP160" s="43">
        <v>0.20924213763033331</v>
      </c>
      <c r="CQ160" s="33">
        <v>0</v>
      </c>
      <c r="CR160" s="33">
        <v>0</v>
      </c>
    </row>
    <row r="161" spans="1:96" ht="15" customHeight="1" x14ac:dyDescent="0.25">
      <c r="A161" s="26">
        <v>159</v>
      </c>
      <c r="B161" s="27">
        <v>34</v>
      </c>
      <c r="C161" s="27">
        <v>0</v>
      </c>
      <c r="D161" s="27">
        <v>2</v>
      </c>
      <c r="E161" s="27">
        <v>303</v>
      </c>
      <c r="F161" s="27">
        <v>1</v>
      </c>
      <c r="G161" s="27">
        <v>2</v>
      </c>
      <c r="H161" s="27">
        <v>4</v>
      </c>
      <c r="I161" s="27">
        <v>4</v>
      </c>
      <c r="J161" s="27">
        <v>1</v>
      </c>
      <c r="K161" s="27">
        <v>216</v>
      </c>
      <c r="L161" s="27">
        <v>3</v>
      </c>
      <c r="M161" s="27">
        <v>0</v>
      </c>
      <c r="N161" s="27">
        <v>75</v>
      </c>
      <c r="O161" s="27">
        <v>3</v>
      </c>
      <c r="P161" s="27">
        <v>1</v>
      </c>
      <c r="Q161" s="27">
        <v>7</v>
      </c>
      <c r="R161" s="27">
        <v>3</v>
      </c>
      <c r="S161" s="27">
        <v>2</v>
      </c>
      <c r="T161" s="27">
        <v>2231</v>
      </c>
      <c r="U161" s="27">
        <v>11314</v>
      </c>
      <c r="V161" s="27">
        <v>6</v>
      </c>
      <c r="W161" s="27">
        <v>0</v>
      </c>
      <c r="X161" s="27">
        <v>18</v>
      </c>
      <c r="Y161" s="27">
        <v>3</v>
      </c>
      <c r="Z161" s="27">
        <v>4</v>
      </c>
      <c r="AA161" s="27">
        <v>80</v>
      </c>
      <c r="AB161" s="27">
        <v>1</v>
      </c>
      <c r="AC161" s="27">
        <v>6</v>
      </c>
      <c r="AD161" s="27">
        <v>3</v>
      </c>
      <c r="AE161" s="27">
        <v>3</v>
      </c>
      <c r="AF161" s="27">
        <v>4</v>
      </c>
      <c r="AG161" s="27">
        <v>3</v>
      </c>
      <c r="AH161" s="27">
        <v>1</v>
      </c>
      <c r="AI161" s="28">
        <v>2</v>
      </c>
      <c r="AK161" s="36">
        <v>128</v>
      </c>
      <c r="AL161" s="33">
        <v>22</v>
      </c>
      <c r="AM161" s="33">
        <v>1</v>
      </c>
      <c r="AN161" s="33">
        <v>3</v>
      </c>
      <c r="AO161" s="33">
        <v>1</v>
      </c>
      <c r="AP161" s="33">
        <v>1</v>
      </c>
      <c r="AQ161" s="33">
        <v>0</v>
      </c>
      <c r="AR161" s="33">
        <v>2</v>
      </c>
      <c r="AS161" s="33">
        <v>0</v>
      </c>
      <c r="AT161" s="33">
        <v>0</v>
      </c>
      <c r="AU161" s="43">
        <v>0.65670146725003864</v>
      </c>
      <c r="AV161" s="33">
        <v>1</v>
      </c>
      <c r="AW161" s="33">
        <v>1</v>
      </c>
      <c r="AY161" s="36">
        <v>133</v>
      </c>
      <c r="AZ161" s="33">
        <v>2</v>
      </c>
      <c r="BA161" s="33">
        <v>3</v>
      </c>
      <c r="BB161" s="33">
        <v>1</v>
      </c>
      <c r="BC161" s="33">
        <v>1</v>
      </c>
      <c r="BD161" s="43">
        <v>0.25031066197755131</v>
      </c>
      <c r="BE161" s="33">
        <v>0</v>
      </c>
      <c r="BF161" s="33">
        <v>1</v>
      </c>
      <c r="CE161" s="36">
        <v>127</v>
      </c>
      <c r="CF161" s="33">
        <v>23</v>
      </c>
      <c r="CG161" s="33">
        <v>3</v>
      </c>
      <c r="CH161" s="33">
        <v>4</v>
      </c>
      <c r="CI161" s="33">
        <v>2</v>
      </c>
      <c r="CJ161" s="33">
        <v>1</v>
      </c>
      <c r="CK161" s="33">
        <v>0</v>
      </c>
      <c r="CL161" s="33">
        <v>1</v>
      </c>
      <c r="CM161" s="33">
        <v>2</v>
      </c>
      <c r="CN161" s="33">
        <v>40</v>
      </c>
      <c r="CO161" s="33">
        <v>15</v>
      </c>
      <c r="CP161" s="43">
        <v>1.8904456169257747E-2</v>
      </c>
      <c r="CQ161" s="33">
        <v>0</v>
      </c>
      <c r="CR161" s="33">
        <v>1</v>
      </c>
    </row>
    <row r="162" spans="1:96" ht="15" customHeight="1" x14ac:dyDescent="0.25">
      <c r="A162" s="26">
        <v>160</v>
      </c>
      <c r="B162" s="27">
        <v>22</v>
      </c>
      <c r="C162" s="27">
        <v>0</v>
      </c>
      <c r="D162" s="27">
        <v>1</v>
      </c>
      <c r="E162" s="27">
        <v>1256</v>
      </c>
      <c r="F162" s="27">
        <v>2</v>
      </c>
      <c r="G162" s="27">
        <v>19</v>
      </c>
      <c r="H162" s="27">
        <v>1</v>
      </c>
      <c r="I162" s="27">
        <v>3</v>
      </c>
      <c r="J162" s="27">
        <v>1</v>
      </c>
      <c r="K162" s="27">
        <v>217</v>
      </c>
      <c r="L162" s="27">
        <v>3</v>
      </c>
      <c r="M162" s="27">
        <v>1</v>
      </c>
      <c r="N162" s="27">
        <v>80</v>
      </c>
      <c r="O162" s="27">
        <v>3</v>
      </c>
      <c r="P162" s="27">
        <v>1</v>
      </c>
      <c r="Q162" s="27">
        <v>2</v>
      </c>
      <c r="R162" s="27">
        <v>4</v>
      </c>
      <c r="S162" s="27">
        <v>2</v>
      </c>
      <c r="T162" s="27">
        <v>2323</v>
      </c>
      <c r="U162" s="27">
        <v>11992</v>
      </c>
      <c r="V162" s="27">
        <v>1</v>
      </c>
      <c r="W162" s="27">
        <v>0</v>
      </c>
      <c r="X162" s="27">
        <v>24</v>
      </c>
      <c r="Y162" s="27">
        <v>4</v>
      </c>
      <c r="Z162" s="27">
        <v>1</v>
      </c>
      <c r="AA162" s="27">
        <v>80</v>
      </c>
      <c r="AB162" s="27">
        <v>2</v>
      </c>
      <c r="AC162" s="27">
        <v>2</v>
      </c>
      <c r="AD162" s="27">
        <v>6</v>
      </c>
      <c r="AE162" s="27">
        <v>3</v>
      </c>
      <c r="AF162" s="27">
        <v>2</v>
      </c>
      <c r="AG162" s="27">
        <v>2</v>
      </c>
      <c r="AH162" s="27">
        <v>2</v>
      </c>
      <c r="AI162" s="28">
        <v>2</v>
      </c>
      <c r="AK162" s="36">
        <v>129</v>
      </c>
      <c r="AL162" s="33">
        <v>2</v>
      </c>
      <c r="AM162" s="33">
        <v>1</v>
      </c>
      <c r="AN162" s="33">
        <v>4</v>
      </c>
      <c r="AO162" s="33">
        <v>0</v>
      </c>
      <c r="AP162" s="33">
        <v>0</v>
      </c>
      <c r="AQ162" s="33">
        <v>1</v>
      </c>
      <c r="AR162" s="33">
        <v>3</v>
      </c>
      <c r="AS162" s="33">
        <v>2</v>
      </c>
      <c r="AT162" s="33">
        <v>2</v>
      </c>
      <c r="AU162" s="43">
        <v>6.9618502037135072E-2</v>
      </c>
      <c r="AV162" s="33">
        <v>0</v>
      </c>
      <c r="AW162" s="33">
        <v>0</v>
      </c>
      <c r="AY162" s="36">
        <v>134</v>
      </c>
      <c r="AZ162" s="33">
        <v>3</v>
      </c>
      <c r="BA162" s="33">
        <v>3</v>
      </c>
      <c r="BB162" s="33">
        <v>1</v>
      </c>
      <c r="BC162" s="33">
        <v>1</v>
      </c>
      <c r="BD162" s="43">
        <v>0.16038463669030681</v>
      </c>
      <c r="BE162" s="33">
        <v>0</v>
      </c>
      <c r="BF162" s="33">
        <v>0</v>
      </c>
      <c r="CE162" s="36">
        <v>128</v>
      </c>
      <c r="CF162" s="33">
        <v>22</v>
      </c>
      <c r="CG162" s="33">
        <v>1</v>
      </c>
      <c r="CH162" s="33">
        <v>3</v>
      </c>
      <c r="CI162" s="33">
        <v>1</v>
      </c>
      <c r="CJ162" s="33">
        <v>1</v>
      </c>
      <c r="CK162" s="33">
        <v>1</v>
      </c>
      <c r="CL162" s="33">
        <v>0</v>
      </c>
      <c r="CM162" s="33">
        <v>2</v>
      </c>
      <c r="CN162" s="33">
        <v>0</v>
      </c>
      <c r="CO162" s="33">
        <v>0</v>
      </c>
      <c r="CP162" s="43">
        <v>0.70281531206523906</v>
      </c>
      <c r="CQ162" s="33">
        <v>1</v>
      </c>
      <c r="CR162" s="33">
        <v>1</v>
      </c>
    </row>
    <row r="163" spans="1:96" ht="15" customHeight="1" x14ac:dyDescent="0.25">
      <c r="A163" s="26">
        <v>161</v>
      </c>
      <c r="B163" s="27">
        <v>27</v>
      </c>
      <c r="C163" s="27">
        <v>0</v>
      </c>
      <c r="D163" s="27">
        <v>3</v>
      </c>
      <c r="E163" s="27">
        <v>691</v>
      </c>
      <c r="F163" s="27">
        <v>2</v>
      </c>
      <c r="G163" s="27">
        <v>9</v>
      </c>
      <c r="H163" s="27">
        <v>3</v>
      </c>
      <c r="I163" s="27">
        <v>3</v>
      </c>
      <c r="J163" s="27">
        <v>1</v>
      </c>
      <c r="K163" s="27">
        <v>218</v>
      </c>
      <c r="L163" s="27">
        <v>4</v>
      </c>
      <c r="M163" s="27">
        <v>1</v>
      </c>
      <c r="N163" s="27">
        <v>57</v>
      </c>
      <c r="O163" s="27">
        <v>3</v>
      </c>
      <c r="P163" s="27">
        <v>1</v>
      </c>
      <c r="Q163" s="27">
        <v>2</v>
      </c>
      <c r="R163" s="27">
        <v>2</v>
      </c>
      <c r="S163" s="27">
        <v>3</v>
      </c>
      <c r="T163" s="27">
        <v>2024</v>
      </c>
      <c r="U163" s="27">
        <v>5970</v>
      </c>
      <c r="V163" s="27">
        <v>6</v>
      </c>
      <c r="W163" s="27">
        <v>0</v>
      </c>
      <c r="X163" s="27">
        <v>18</v>
      </c>
      <c r="Y163" s="27">
        <v>3</v>
      </c>
      <c r="Z163" s="27">
        <v>4</v>
      </c>
      <c r="AA163" s="27">
        <v>80</v>
      </c>
      <c r="AB163" s="27">
        <v>1</v>
      </c>
      <c r="AC163" s="27">
        <v>6</v>
      </c>
      <c r="AD163" s="27">
        <v>1</v>
      </c>
      <c r="AE163" s="27">
        <v>1</v>
      </c>
      <c r="AF163" s="27">
        <v>2</v>
      </c>
      <c r="AG163" s="27">
        <v>2</v>
      </c>
      <c r="AH163" s="27">
        <v>2</v>
      </c>
      <c r="AI163" s="28">
        <v>2</v>
      </c>
      <c r="AK163" s="36">
        <v>130</v>
      </c>
      <c r="AL163" s="33">
        <v>20</v>
      </c>
      <c r="AM163" s="33">
        <v>2</v>
      </c>
      <c r="AN163" s="33">
        <v>1</v>
      </c>
      <c r="AO163" s="33">
        <v>1</v>
      </c>
      <c r="AP163" s="33">
        <v>0</v>
      </c>
      <c r="AQ163" s="33">
        <v>0</v>
      </c>
      <c r="AR163" s="33">
        <v>2</v>
      </c>
      <c r="AS163" s="33">
        <v>15</v>
      </c>
      <c r="AT163" s="33">
        <v>5</v>
      </c>
      <c r="AU163" s="43">
        <v>0.2016053491747179</v>
      </c>
      <c r="AV163" s="33">
        <v>0</v>
      </c>
      <c r="AW163" s="33">
        <v>0</v>
      </c>
      <c r="AY163" s="36">
        <v>135</v>
      </c>
      <c r="AZ163" s="33">
        <v>1</v>
      </c>
      <c r="BA163" s="33">
        <v>3</v>
      </c>
      <c r="BB163" s="33">
        <v>0</v>
      </c>
      <c r="BC163" s="33">
        <v>1</v>
      </c>
      <c r="BD163" s="43">
        <v>0.12012271365792118</v>
      </c>
      <c r="BE163" s="33">
        <v>0</v>
      </c>
      <c r="BF163" s="33">
        <v>0</v>
      </c>
      <c r="CE163" s="36">
        <v>129</v>
      </c>
      <c r="CF163" s="33">
        <v>2</v>
      </c>
      <c r="CG163" s="33">
        <v>1</v>
      </c>
      <c r="CH163" s="33">
        <v>4</v>
      </c>
      <c r="CI163" s="33">
        <v>2</v>
      </c>
      <c r="CJ163" s="33">
        <v>0</v>
      </c>
      <c r="CK163" s="33">
        <v>0</v>
      </c>
      <c r="CL163" s="33">
        <v>1</v>
      </c>
      <c r="CM163" s="33">
        <v>3</v>
      </c>
      <c r="CN163" s="33">
        <v>2</v>
      </c>
      <c r="CO163" s="33">
        <v>2</v>
      </c>
      <c r="CP163" s="43">
        <v>6.5631753135801843E-2</v>
      </c>
      <c r="CQ163" s="33">
        <v>0</v>
      </c>
      <c r="CR163" s="33">
        <v>0</v>
      </c>
    </row>
    <row r="164" spans="1:96" ht="15" customHeight="1" x14ac:dyDescent="0.25">
      <c r="A164" s="26">
        <v>162</v>
      </c>
      <c r="B164" s="27">
        <v>28</v>
      </c>
      <c r="C164" s="27">
        <v>0</v>
      </c>
      <c r="D164" s="27">
        <v>1</v>
      </c>
      <c r="E164" s="27">
        <v>440</v>
      </c>
      <c r="F164" s="27">
        <v>2</v>
      </c>
      <c r="G164" s="27">
        <v>21</v>
      </c>
      <c r="H164" s="27">
        <v>3</v>
      </c>
      <c r="I164" s="27">
        <v>3</v>
      </c>
      <c r="J164" s="27">
        <v>1</v>
      </c>
      <c r="K164" s="27">
        <v>221</v>
      </c>
      <c r="L164" s="27">
        <v>3</v>
      </c>
      <c r="M164" s="27">
        <v>1</v>
      </c>
      <c r="N164" s="27">
        <v>42</v>
      </c>
      <c r="O164" s="27">
        <v>3</v>
      </c>
      <c r="P164" s="27">
        <v>1</v>
      </c>
      <c r="Q164" s="27">
        <v>2</v>
      </c>
      <c r="R164" s="27">
        <v>4</v>
      </c>
      <c r="S164" s="27">
        <v>2</v>
      </c>
      <c r="T164" s="27">
        <v>2713</v>
      </c>
      <c r="U164" s="27">
        <v>6672</v>
      </c>
      <c r="V164" s="27">
        <v>1</v>
      </c>
      <c r="W164" s="27">
        <v>0</v>
      </c>
      <c r="X164" s="27">
        <v>11</v>
      </c>
      <c r="Y164" s="27">
        <v>3</v>
      </c>
      <c r="Z164" s="27">
        <v>3</v>
      </c>
      <c r="AA164" s="27">
        <v>80</v>
      </c>
      <c r="AB164" s="27">
        <v>1</v>
      </c>
      <c r="AC164" s="27">
        <v>5</v>
      </c>
      <c r="AD164" s="27">
        <v>2</v>
      </c>
      <c r="AE164" s="27">
        <v>1</v>
      </c>
      <c r="AF164" s="27">
        <v>5</v>
      </c>
      <c r="AG164" s="27">
        <v>2</v>
      </c>
      <c r="AH164" s="27">
        <v>0</v>
      </c>
      <c r="AI164" s="28">
        <v>2</v>
      </c>
      <c r="AK164" s="36">
        <v>131</v>
      </c>
      <c r="AL164" s="33">
        <v>28</v>
      </c>
      <c r="AM164" s="33">
        <v>1</v>
      </c>
      <c r="AN164" s="33">
        <v>3</v>
      </c>
      <c r="AO164" s="33">
        <v>4</v>
      </c>
      <c r="AP164" s="33">
        <v>0</v>
      </c>
      <c r="AQ164" s="33">
        <v>0</v>
      </c>
      <c r="AR164" s="33">
        <v>3</v>
      </c>
      <c r="AS164" s="33">
        <v>3</v>
      </c>
      <c r="AT164" s="33">
        <v>1</v>
      </c>
      <c r="AU164" s="43">
        <v>0.32995657159064279</v>
      </c>
      <c r="AV164" s="33">
        <v>0</v>
      </c>
      <c r="AW164" s="33">
        <v>0</v>
      </c>
      <c r="AY164" s="36">
        <v>136</v>
      </c>
      <c r="AZ164" s="33">
        <v>2</v>
      </c>
      <c r="BA164" s="33">
        <v>2</v>
      </c>
      <c r="BB164" s="33">
        <v>0</v>
      </c>
      <c r="BC164" s="33">
        <v>2</v>
      </c>
      <c r="BD164" s="43">
        <v>5.8143431646637607E-2</v>
      </c>
      <c r="BE164" s="33">
        <v>0</v>
      </c>
      <c r="BF164" s="33">
        <v>0</v>
      </c>
      <c r="CE164" s="36">
        <v>130</v>
      </c>
      <c r="CF164" s="33">
        <v>20</v>
      </c>
      <c r="CG164" s="33">
        <v>2</v>
      </c>
      <c r="CH164" s="33">
        <v>1</v>
      </c>
      <c r="CI164" s="33">
        <v>2</v>
      </c>
      <c r="CJ164" s="33">
        <v>1</v>
      </c>
      <c r="CK164" s="33">
        <v>0</v>
      </c>
      <c r="CL164" s="33">
        <v>0</v>
      </c>
      <c r="CM164" s="33">
        <v>2</v>
      </c>
      <c r="CN164" s="33">
        <v>15</v>
      </c>
      <c r="CO164" s="33">
        <v>5</v>
      </c>
      <c r="CP164" s="43">
        <v>0.1541036222420453</v>
      </c>
      <c r="CQ164" s="33">
        <v>0</v>
      </c>
      <c r="CR164" s="33">
        <v>0</v>
      </c>
    </row>
    <row r="165" spans="1:96" ht="15" customHeight="1" x14ac:dyDescent="0.25">
      <c r="A165" s="26">
        <v>163</v>
      </c>
      <c r="B165" s="27">
        <v>57</v>
      </c>
      <c r="C165" s="27">
        <v>0</v>
      </c>
      <c r="D165" s="27">
        <v>1</v>
      </c>
      <c r="E165" s="27">
        <v>334</v>
      </c>
      <c r="F165" s="27">
        <v>2</v>
      </c>
      <c r="G165" s="27">
        <v>24</v>
      </c>
      <c r="H165" s="27">
        <v>2</v>
      </c>
      <c r="I165" s="27">
        <v>1</v>
      </c>
      <c r="J165" s="27">
        <v>1</v>
      </c>
      <c r="K165" s="27">
        <v>223</v>
      </c>
      <c r="L165" s="27">
        <v>3</v>
      </c>
      <c r="M165" s="27">
        <v>1</v>
      </c>
      <c r="N165" s="27">
        <v>83</v>
      </c>
      <c r="O165" s="27">
        <v>4</v>
      </c>
      <c r="P165" s="27">
        <v>3</v>
      </c>
      <c r="Q165" s="27">
        <v>5</v>
      </c>
      <c r="R165" s="27">
        <v>4</v>
      </c>
      <c r="S165" s="27">
        <v>3</v>
      </c>
      <c r="T165" s="27">
        <v>9439</v>
      </c>
      <c r="U165" s="27">
        <v>23402</v>
      </c>
      <c r="V165" s="27">
        <v>3</v>
      </c>
      <c r="W165" s="27">
        <v>1</v>
      </c>
      <c r="X165" s="27">
        <v>16</v>
      </c>
      <c r="Y165" s="27">
        <v>3</v>
      </c>
      <c r="Z165" s="27">
        <v>2</v>
      </c>
      <c r="AA165" s="27">
        <v>80</v>
      </c>
      <c r="AB165" s="27">
        <v>1</v>
      </c>
      <c r="AC165" s="27">
        <v>12</v>
      </c>
      <c r="AD165" s="27">
        <v>2</v>
      </c>
      <c r="AE165" s="27">
        <v>1</v>
      </c>
      <c r="AF165" s="27">
        <v>5</v>
      </c>
      <c r="AG165" s="27">
        <v>3</v>
      </c>
      <c r="AH165" s="27">
        <v>1</v>
      </c>
      <c r="AI165" s="28">
        <v>4</v>
      </c>
      <c r="AK165" s="36">
        <v>132</v>
      </c>
      <c r="AL165" s="33">
        <v>12</v>
      </c>
      <c r="AM165" s="33">
        <v>3</v>
      </c>
      <c r="AN165" s="33">
        <v>4</v>
      </c>
      <c r="AO165" s="33">
        <v>4</v>
      </c>
      <c r="AP165" s="33">
        <v>0</v>
      </c>
      <c r="AQ165" s="33">
        <v>0</v>
      </c>
      <c r="AR165" s="33">
        <v>3</v>
      </c>
      <c r="AS165" s="33">
        <v>2</v>
      </c>
      <c r="AT165" s="33">
        <v>2</v>
      </c>
      <c r="AU165" s="43">
        <v>7.8979388976211262E-2</v>
      </c>
      <c r="AV165" s="33">
        <v>0</v>
      </c>
      <c r="AW165" s="33">
        <v>0</v>
      </c>
      <c r="AY165" s="36">
        <v>137</v>
      </c>
      <c r="AZ165" s="33">
        <v>3</v>
      </c>
      <c r="BA165" s="33">
        <v>4</v>
      </c>
      <c r="BB165" s="33">
        <v>0</v>
      </c>
      <c r="BC165" s="33">
        <v>0</v>
      </c>
      <c r="BD165" s="43">
        <v>5.3512841598087578E-2</v>
      </c>
      <c r="BE165" s="33">
        <v>0</v>
      </c>
      <c r="BF165" s="33">
        <v>1</v>
      </c>
      <c r="CE165" s="36">
        <v>131</v>
      </c>
      <c r="CF165" s="33">
        <v>28</v>
      </c>
      <c r="CG165" s="33">
        <v>1</v>
      </c>
      <c r="CH165" s="33">
        <v>3</v>
      </c>
      <c r="CI165" s="33">
        <v>1</v>
      </c>
      <c r="CJ165" s="33">
        <v>4</v>
      </c>
      <c r="CK165" s="33">
        <v>0</v>
      </c>
      <c r="CL165" s="33">
        <v>0</v>
      </c>
      <c r="CM165" s="33">
        <v>3</v>
      </c>
      <c r="CN165" s="33">
        <v>3</v>
      </c>
      <c r="CO165" s="33">
        <v>1</v>
      </c>
      <c r="CP165" s="43">
        <v>0.36616517965975204</v>
      </c>
      <c r="CQ165" s="33">
        <v>0</v>
      </c>
      <c r="CR165" s="33">
        <v>0</v>
      </c>
    </row>
    <row r="166" spans="1:96" ht="15" customHeight="1" x14ac:dyDescent="0.25">
      <c r="A166" s="26">
        <v>164</v>
      </c>
      <c r="B166" s="27">
        <v>27</v>
      </c>
      <c r="C166" s="27">
        <v>0</v>
      </c>
      <c r="D166" s="27">
        <v>3</v>
      </c>
      <c r="E166" s="27">
        <v>1450</v>
      </c>
      <c r="F166" s="27">
        <v>2</v>
      </c>
      <c r="G166" s="27">
        <v>3</v>
      </c>
      <c r="H166" s="27">
        <v>3</v>
      </c>
      <c r="I166" s="27">
        <v>3</v>
      </c>
      <c r="J166" s="27">
        <v>1</v>
      </c>
      <c r="K166" s="27">
        <v>224</v>
      </c>
      <c r="L166" s="27">
        <v>3</v>
      </c>
      <c r="M166" s="27">
        <v>1</v>
      </c>
      <c r="N166" s="27">
        <v>79</v>
      </c>
      <c r="O166" s="27">
        <v>2</v>
      </c>
      <c r="P166" s="27">
        <v>1</v>
      </c>
      <c r="Q166" s="27">
        <v>2</v>
      </c>
      <c r="R166" s="27">
        <v>3</v>
      </c>
      <c r="S166" s="27">
        <v>3</v>
      </c>
      <c r="T166" s="27">
        <v>2566</v>
      </c>
      <c r="U166" s="27">
        <v>25326</v>
      </c>
      <c r="V166" s="27">
        <v>1</v>
      </c>
      <c r="W166" s="27">
        <v>1</v>
      </c>
      <c r="X166" s="27">
        <v>15</v>
      </c>
      <c r="Y166" s="27">
        <v>3</v>
      </c>
      <c r="Z166" s="27">
        <v>4</v>
      </c>
      <c r="AA166" s="27">
        <v>80</v>
      </c>
      <c r="AB166" s="27">
        <v>1</v>
      </c>
      <c r="AC166" s="27">
        <v>1</v>
      </c>
      <c r="AD166" s="27">
        <v>2</v>
      </c>
      <c r="AE166" s="27">
        <v>2</v>
      </c>
      <c r="AF166" s="27">
        <v>1</v>
      </c>
      <c r="AG166" s="27">
        <v>1</v>
      </c>
      <c r="AH166" s="27">
        <v>0</v>
      </c>
      <c r="AI166" s="28">
        <v>1</v>
      </c>
      <c r="AK166" s="36">
        <v>133</v>
      </c>
      <c r="AL166" s="33">
        <v>20</v>
      </c>
      <c r="AM166" s="33">
        <v>2</v>
      </c>
      <c r="AN166" s="33">
        <v>3</v>
      </c>
      <c r="AO166" s="33">
        <v>3</v>
      </c>
      <c r="AP166" s="33">
        <v>1</v>
      </c>
      <c r="AQ166" s="33">
        <v>1</v>
      </c>
      <c r="AR166" s="33">
        <v>3</v>
      </c>
      <c r="AS166" s="33">
        <v>2</v>
      </c>
      <c r="AT166" s="33">
        <v>2</v>
      </c>
      <c r="AU166" s="43">
        <v>0.37298716106335256</v>
      </c>
      <c r="AV166" s="33">
        <v>0</v>
      </c>
      <c r="AW166" s="33">
        <v>1</v>
      </c>
      <c r="AY166" s="36">
        <v>138</v>
      </c>
      <c r="AZ166" s="33">
        <v>2</v>
      </c>
      <c r="BA166" s="33">
        <v>3</v>
      </c>
      <c r="BB166" s="33">
        <v>0</v>
      </c>
      <c r="BC166" s="33">
        <v>1</v>
      </c>
      <c r="BD166" s="43">
        <v>7.244788656931947E-2</v>
      </c>
      <c r="BE166" s="33">
        <v>0</v>
      </c>
      <c r="BF166" s="33">
        <v>0</v>
      </c>
      <c r="CE166" s="36">
        <v>132</v>
      </c>
      <c r="CF166" s="33">
        <v>12</v>
      </c>
      <c r="CG166" s="33">
        <v>3</v>
      </c>
      <c r="CH166" s="33">
        <v>4</v>
      </c>
      <c r="CI166" s="33">
        <v>1</v>
      </c>
      <c r="CJ166" s="33">
        <v>4</v>
      </c>
      <c r="CK166" s="33">
        <v>0</v>
      </c>
      <c r="CL166" s="33">
        <v>0</v>
      </c>
      <c r="CM166" s="33">
        <v>3</v>
      </c>
      <c r="CN166" s="33">
        <v>2</v>
      </c>
      <c r="CO166" s="33">
        <v>2</v>
      </c>
      <c r="CP166" s="43">
        <v>9.2486064850413288E-2</v>
      </c>
      <c r="CQ166" s="33">
        <v>0</v>
      </c>
      <c r="CR166" s="33">
        <v>0</v>
      </c>
    </row>
    <row r="167" spans="1:96" ht="15" customHeight="1" x14ac:dyDescent="0.25">
      <c r="A167" s="26">
        <v>165</v>
      </c>
      <c r="B167" s="27">
        <v>50</v>
      </c>
      <c r="C167" s="27">
        <v>0</v>
      </c>
      <c r="D167" s="27">
        <v>1</v>
      </c>
      <c r="E167" s="27">
        <v>1452</v>
      </c>
      <c r="F167" s="27">
        <v>2</v>
      </c>
      <c r="G167" s="27">
        <v>11</v>
      </c>
      <c r="H167" s="27">
        <v>3</v>
      </c>
      <c r="I167" s="27">
        <v>1</v>
      </c>
      <c r="J167" s="27">
        <v>1</v>
      </c>
      <c r="K167" s="27">
        <v>226</v>
      </c>
      <c r="L167" s="27">
        <v>3</v>
      </c>
      <c r="M167" s="27">
        <v>0</v>
      </c>
      <c r="N167" s="27">
        <v>53</v>
      </c>
      <c r="O167" s="27">
        <v>3</v>
      </c>
      <c r="P167" s="27">
        <v>5</v>
      </c>
      <c r="Q167" s="27">
        <v>6</v>
      </c>
      <c r="R167" s="27">
        <v>2</v>
      </c>
      <c r="S167" s="27">
        <v>1</v>
      </c>
      <c r="T167" s="27">
        <v>19926</v>
      </c>
      <c r="U167" s="27">
        <v>17053</v>
      </c>
      <c r="V167" s="27">
        <v>3</v>
      </c>
      <c r="W167" s="27">
        <v>0</v>
      </c>
      <c r="X167" s="27">
        <v>15</v>
      </c>
      <c r="Y167" s="27">
        <v>3</v>
      </c>
      <c r="Z167" s="27">
        <v>2</v>
      </c>
      <c r="AA167" s="27">
        <v>80</v>
      </c>
      <c r="AB167" s="27">
        <v>0</v>
      </c>
      <c r="AC167" s="27">
        <v>21</v>
      </c>
      <c r="AD167" s="27">
        <v>5</v>
      </c>
      <c r="AE167" s="27">
        <v>3</v>
      </c>
      <c r="AF167" s="27">
        <v>5</v>
      </c>
      <c r="AG167" s="27">
        <v>4</v>
      </c>
      <c r="AH167" s="27">
        <v>4</v>
      </c>
      <c r="AI167" s="28">
        <v>4</v>
      </c>
      <c r="AK167" s="36">
        <v>134</v>
      </c>
      <c r="AL167" s="33">
        <v>9</v>
      </c>
      <c r="AM167" s="33">
        <v>3</v>
      </c>
      <c r="AN167" s="33">
        <v>3</v>
      </c>
      <c r="AO167" s="33">
        <v>3</v>
      </c>
      <c r="AP167" s="33">
        <v>1</v>
      </c>
      <c r="AQ167" s="33">
        <v>1</v>
      </c>
      <c r="AR167" s="33">
        <v>3</v>
      </c>
      <c r="AS167" s="33">
        <v>9</v>
      </c>
      <c r="AT167" s="33">
        <v>0</v>
      </c>
      <c r="AU167" s="43">
        <v>0.10225280834741715</v>
      </c>
      <c r="AV167" s="33">
        <v>0</v>
      </c>
      <c r="AW167" s="33">
        <v>0</v>
      </c>
      <c r="AY167" s="36">
        <v>139</v>
      </c>
      <c r="AZ167" s="33">
        <v>2</v>
      </c>
      <c r="BA167" s="33">
        <v>3</v>
      </c>
      <c r="BB167" s="33">
        <v>0</v>
      </c>
      <c r="BC167" s="33">
        <v>0</v>
      </c>
      <c r="BD167" s="43">
        <v>0.11690772887050198</v>
      </c>
      <c r="BE167" s="33">
        <v>0</v>
      </c>
      <c r="BF167" s="33">
        <v>0</v>
      </c>
      <c r="CE167" s="36">
        <v>133</v>
      </c>
      <c r="CF167" s="33">
        <v>20</v>
      </c>
      <c r="CG167" s="33">
        <v>2</v>
      </c>
      <c r="CH167" s="33">
        <v>3</v>
      </c>
      <c r="CI167" s="33">
        <v>2</v>
      </c>
      <c r="CJ167" s="33">
        <v>3</v>
      </c>
      <c r="CK167" s="33">
        <v>1</v>
      </c>
      <c r="CL167" s="33">
        <v>1</v>
      </c>
      <c r="CM167" s="33">
        <v>3</v>
      </c>
      <c r="CN167" s="33">
        <v>2</v>
      </c>
      <c r="CO167" s="33">
        <v>2</v>
      </c>
      <c r="CP167" s="43">
        <v>0.37430435237152326</v>
      </c>
      <c r="CQ167" s="33">
        <v>0</v>
      </c>
      <c r="CR167" s="33">
        <v>1</v>
      </c>
    </row>
    <row r="168" spans="1:96" ht="15" customHeight="1" x14ac:dyDescent="0.25">
      <c r="A168" s="26">
        <v>166</v>
      </c>
      <c r="B168" s="27">
        <v>41</v>
      </c>
      <c r="C168" s="27">
        <v>0</v>
      </c>
      <c r="D168" s="27">
        <v>1</v>
      </c>
      <c r="E168" s="27">
        <v>465</v>
      </c>
      <c r="F168" s="27">
        <v>2</v>
      </c>
      <c r="G168" s="27">
        <v>14</v>
      </c>
      <c r="H168" s="27">
        <v>3</v>
      </c>
      <c r="I168" s="27">
        <v>1</v>
      </c>
      <c r="J168" s="27">
        <v>1</v>
      </c>
      <c r="K168" s="27">
        <v>227</v>
      </c>
      <c r="L168" s="27">
        <v>1</v>
      </c>
      <c r="M168" s="27">
        <v>1</v>
      </c>
      <c r="N168" s="27">
        <v>56</v>
      </c>
      <c r="O168" s="27">
        <v>3</v>
      </c>
      <c r="P168" s="27">
        <v>1</v>
      </c>
      <c r="Q168" s="27">
        <v>2</v>
      </c>
      <c r="R168" s="27">
        <v>3</v>
      </c>
      <c r="S168" s="27">
        <v>3</v>
      </c>
      <c r="T168" s="27">
        <v>2451</v>
      </c>
      <c r="U168" s="27">
        <v>4609</v>
      </c>
      <c r="V168" s="27">
        <v>4</v>
      </c>
      <c r="W168" s="27">
        <v>0</v>
      </c>
      <c r="X168" s="27">
        <v>12</v>
      </c>
      <c r="Y168" s="27">
        <v>3</v>
      </c>
      <c r="Z168" s="27">
        <v>1</v>
      </c>
      <c r="AA168" s="27">
        <v>80</v>
      </c>
      <c r="AB168" s="27">
        <v>1</v>
      </c>
      <c r="AC168" s="27">
        <v>13</v>
      </c>
      <c r="AD168" s="27">
        <v>2</v>
      </c>
      <c r="AE168" s="27">
        <v>3</v>
      </c>
      <c r="AF168" s="27">
        <v>9</v>
      </c>
      <c r="AG168" s="27">
        <v>8</v>
      </c>
      <c r="AH168" s="27">
        <v>1</v>
      </c>
      <c r="AI168" s="28">
        <v>8</v>
      </c>
      <c r="AK168" s="36">
        <v>135</v>
      </c>
      <c r="AL168" s="33">
        <v>25</v>
      </c>
      <c r="AM168" s="33">
        <v>1</v>
      </c>
      <c r="AN168" s="33">
        <v>3</v>
      </c>
      <c r="AO168" s="33">
        <v>1</v>
      </c>
      <c r="AP168" s="33">
        <v>0</v>
      </c>
      <c r="AQ168" s="33">
        <v>1</v>
      </c>
      <c r="AR168" s="33">
        <v>3</v>
      </c>
      <c r="AS168" s="33">
        <v>8</v>
      </c>
      <c r="AT168" s="33">
        <v>5</v>
      </c>
      <c r="AU168" s="43">
        <v>0.17719005009101171</v>
      </c>
      <c r="AV168" s="33">
        <v>0</v>
      </c>
      <c r="AW168" s="33">
        <v>0</v>
      </c>
      <c r="AY168" s="36">
        <v>140</v>
      </c>
      <c r="AZ168" s="33">
        <v>2</v>
      </c>
      <c r="BA168" s="33">
        <v>4</v>
      </c>
      <c r="BB168" s="33">
        <v>1</v>
      </c>
      <c r="BC168" s="33">
        <v>0</v>
      </c>
      <c r="BD168" s="43">
        <v>0.29698480921718856</v>
      </c>
      <c r="BE168" s="33">
        <v>0</v>
      </c>
      <c r="BF168" s="33">
        <v>0</v>
      </c>
      <c r="CE168" s="36">
        <v>134</v>
      </c>
      <c r="CF168" s="33">
        <v>9</v>
      </c>
      <c r="CG168" s="33">
        <v>3</v>
      </c>
      <c r="CH168" s="33">
        <v>3</v>
      </c>
      <c r="CI168" s="33">
        <v>3</v>
      </c>
      <c r="CJ168" s="33">
        <v>3</v>
      </c>
      <c r="CK168" s="33">
        <v>1</v>
      </c>
      <c r="CL168" s="33">
        <v>1</v>
      </c>
      <c r="CM168" s="33">
        <v>3</v>
      </c>
      <c r="CN168" s="33">
        <v>9</v>
      </c>
      <c r="CO168" s="33">
        <v>0</v>
      </c>
      <c r="CP168" s="43">
        <v>6.2044285433922271E-2</v>
      </c>
      <c r="CQ168" s="33">
        <v>0</v>
      </c>
      <c r="CR168" s="33">
        <v>0</v>
      </c>
    </row>
    <row r="169" spans="1:96" ht="15" customHeight="1" x14ac:dyDescent="0.25">
      <c r="A169" s="26">
        <v>167</v>
      </c>
      <c r="B169" s="27">
        <v>30</v>
      </c>
      <c r="C169" s="27">
        <v>0</v>
      </c>
      <c r="D169" s="27">
        <v>1</v>
      </c>
      <c r="E169" s="27">
        <v>1339</v>
      </c>
      <c r="F169" s="27">
        <v>1</v>
      </c>
      <c r="G169" s="27">
        <v>5</v>
      </c>
      <c r="H169" s="27">
        <v>3</v>
      </c>
      <c r="I169" s="27">
        <v>1</v>
      </c>
      <c r="J169" s="27">
        <v>1</v>
      </c>
      <c r="K169" s="27">
        <v>228</v>
      </c>
      <c r="L169" s="27">
        <v>2</v>
      </c>
      <c r="M169" s="27">
        <v>0</v>
      </c>
      <c r="N169" s="27">
        <v>41</v>
      </c>
      <c r="O169" s="27">
        <v>3</v>
      </c>
      <c r="P169" s="27">
        <v>3</v>
      </c>
      <c r="Q169" s="27">
        <v>1</v>
      </c>
      <c r="R169" s="27">
        <v>4</v>
      </c>
      <c r="S169" s="27">
        <v>2</v>
      </c>
      <c r="T169" s="27">
        <v>9419</v>
      </c>
      <c r="U169" s="27">
        <v>8053</v>
      </c>
      <c r="V169" s="27">
        <v>2</v>
      </c>
      <c r="W169" s="27">
        <v>0</v>
      </c>
      <c r="X169" s="27">
        <v>12</v>
      </c>
      <c r="Y169" s="27">
        <v>3</v>
      </c>
      <c r="Z169" s="27">
        <v>3</v>
      </c>
      <c r="AA169" s="27">
        <v>80</v>
      </c>
      <c r="AB169" s="27">
        <v>1</v>
      </c>
      <c r="AC169" s="27">
        <v>12</v>
      </c>
      <c r="AD169" s="27">
        <v>2</v>
      </c>
      <c r="AE169" s="27">
        <v>3</v>
      </c>
      <c r="AF169" s="27">
        <v>10</v>
      </c>
      <c r="AG169" s="27">
        <v>9</v>
      </c>
      <c r="AH169" s="27">
        <v>7</v>
      </c>
      <c r="AI169" s="28">
        <v>4</v>
      </c>
      <c r="AK169" s="36">
        <v>136</v>
      </c>
      <c r="AL169" s="33">
        <v>6</v>
      </c>
      <c r="AM169" s="33">
        <v>2</v>
      </c>
      <c r="AN169" s="33">
        <v>2</v>
      </c>
      <c r="AO169" s="33">
        <v>6</v>
      </c>
      <c r="AP169" s="33">
        <v>0</v>
      </c>
      <c r="AQ169" s="33">
        <v>2</v>
      </c>
      <c r="AR169" s="33">
        <v>3</v>
      </c>
      <c r="AS169" s="33">
        <v>3</v>
      </c>
      <c r="AT169" s="33">
        <v>0</v>
      </c>
      <c r="AU169" s="43">
        <v>5.8000358297429375E-2</v>
      </c>
      <c r="AV169" s="33">
        <v>0</v>
      </c>
      <c r="AW169" s="33">
        <v>0</v>
      </c>
      <c r="AY169" s="36">
        <v>141</v>
      </c>
      <c r="AZ169" s="33">
        <v>1</v>
      </c>
      <c r="BA169" s="33">
        <v>1</v>
      </c>
      <c r="BB169" s="33">
        <v>0</v>
      </c>
      <c r="BC169" s="33">
        <v>0</v>
      </c>
      <c r="BD169" s="43">
        <v>0.29341085656570393</v>
      </c>
      <c r="BE169" s="33">
        <v>0</v>
      </c>
      <c r="BF169" s="33">
        <v>1</v>
      </c>
      <c r="CE169" s="36">
        <v>135</v>
      </c>
      <c r="CF169" s="33">
        <v>25</v>
      </c>
      <c r="CG169" s="33">
        <v>1</v>
      </c>
      <c r="CH169" s="33">
        <v>3</v>
      </c>
      <c r="CI169" s="33">
        <v>2</v>
      </c>
      <c r="CJ169" s="33">
        <v>1</v>
      </c>
      <c r="CK169" s="33">
        <v>0</v>
      </c>
      <c r="CL169" s="33">
        <v>1</v>
      </c>
      <c r="CM169" s="33">
        <v>3</v>
      </c>
      <c r="CN169" s="33">
        <v>8</v>
      </c>
      <c r="CO169" s="33">
        <v>5</v>
      </c>
      <c r="CP169" s="43">
        <v>0.17076365442449493</v>
      </c>
      <c r="CQ169" s="33">
        <v>0</v>
      </c>
      <c r="CR169" s="33">
        <v>0</v>
      </c>
    </row>
    <row r="170" spans="1:96" ht="15" customHeight="1" x14ac:dyDescent="0.25">
      <c r="A170" s="26">
        <v>168</v>
      </c>
      <c r="B170" s="27">
        <v>38</v>
      </c>
      <c r="C170" s="27">
        <v>0</v>
      </c>
      <c r="D170" s="27">
        <v>1</v>
      </c>
      <c r="E170" s="27">
        <v>702</v>
      </c>
      <c r="F170" s="27">
        <v>1</v>
      </c>
      <c r="G170" s="27">
        <v>1</v>
      </c>
      <c r="H170" s="27">
        <v>4</v>
      </c>
      <c r="I170" s="27">
        <v>1</v>
      </c>
      <c r="J170" s="27">
        <v>1</v>
      </c>
      <c r="K170" s="27">
        <v>230</v>
      </c>
      <c r="L170" s="27">
        <v>1</v>
      </c>
      <c r="M170" s="27">
        <v>0</v>
      </c>
      <c r="N170" s="27">
        <v>59</v>
      </c>
      <c r="O170" s="27">
        <v>2</v>
      </c>
      <c r="P170" s="27">
        <v>2</v>
      </c>
      <c r="Q170" s="27">
        <v>1</v>
      </c>
      <c r="R170" s="27">
        <v>4</v>
      </c>
      <c r="S170" s="27">
        <v>1</v>
      </c>
      <c r="T170" s="27">
        <v>8686</v>
      </c>
      <c r="U170" s="27">
        <v>12930</v>
      </c>
      <c r="V170" s="27">
        <v>4</v>
      </c>
      <c r="W170" s="27">
        <v>0</v>
      </c>
      <c r="X170" s="27">
        <v>22</v>
      </c>
      <c r="Y170" s="27">
        <v>4</v>
      </c>
      <c r="Z170" s="27">
        <v>3</v>
      </c>
      <c r="AA170" s="27">
        <v>80</v>
      </c>
      <c r="AB170" s="27">
        <v>0</v>
      </c>
      <c r="AC170" s="27">
        <v>12</v>
      </c>
      <c r="AD170" s="27">
        <v>2</v>
      </c>
      <c r="AE170" s="27">
        <v>4</v>
      </c>
      <c r="AF170" s="27">
        <v>8</v>
      </c>
      <c r="AG170" s="27">
        <v>3</v>
      </c>
      <c r="AH170" s="27">
        <v>0</v>
      </c>
      <c r="AI170" s="28">
        <v>7</v>
      </c>
      <c r="AK170" s="36">
        <v>137</v>
      </c>
      <c r="AL170" s="33">
        <v>8</v>
      </c>
      <c r="AM170" s="33">
        <v>3</v>
      </c>
      <c r="AN170" s="33">
        <v>4</v>
      </c>
      <c r="AO170" s="33">
        <v>2</v>
      </c>
      <c r="AP170" s="33">
        <v>0</v>
      </c>
      <c r="AQ170" s="33">
        <v>0</v>
      </c>
      <c r="AR170" s="33">
        <v>3</v>
      </c>
      <c r="AS170" s="33">
        <v>4</v>
      </c>
      <c r="AT170" s="33">
        <v>0</v>
      </c>
      <c r="AU170" s="43">
        <v>4.1897689118817368E-2</v>
      </c>
      <c r="AV170" s="33">
        <v>0</v>
      </c>
      <c r="AW170" s="33">
        <v>1</v>
      </c>
      <c r="AY170" s="36">
        <v>142</v>
      </c>
      <c r="AZ170" s="33">
        <v>1</v>
      </c>
      <c r="BA170" s="33">
        <v>4</v>
      </c>
      <c r="BB170" s="33">
        <v>0</v>
      </c>
      <c r="BC170" s="33">
        <v>0</v>
      </c>
      <c r="BD170" s="43">
        <v>0.1472907617042678</v>
      </c>
      <c r="BE170" s="33">
        <v>0</v>
      </c>
      <c r="BF170" s="33">
        <v>0</v>
      </c>
      <c r="CE170" s="36">
        <v>136</v>
      </c>
      <c r="CF170" s="33">
        <v>6</v>
      </c>
      <c r="CG170" s="33">
        <v>2</v>
      </c>
      <c r="CH170" s="33">
        <v>2</v>
      </c>
      <c r="CI170" s="33">
        <v>3</v>
      </c>
      <c r="CJ170" s="33">
        <v>6</v>
      </c>
      <c r="CK170" s="33">
        <v>0</v>
      </c>
      <c r="CL170" s="33">
        <v>2</v>
      </c>
      <c r="CM170" s="33">
        <v>3</v>
      </c>
      <c r="CN170" s="33">
        <v>3</v>
      </c>
      <c r="CO170" s="33">
        <v>0</v>
      </c>
      <c r="CP170" s="43">
        <v>4.6899670713876872E-2</v>
      </c>
      <c r="CQ170" s="33">
        <v>0</v>
      </c>
      <c r="CR170" s="33">
        <v>0</v>
      </c>
    </row>
    <row r="171" spans="1:96" ht="15" customHeight="1" x14ac:dyDescent="0.25">
      <c r="A171" s="26">
        <v>169</v>
      </c>
      <c r="B171" s="27">
        <v>32</v>
      </c>
      <c r="C171" s="27">
        <v>0</v>
      </c>
      <c r="D171" s="27">
        <v>1</v>
      </c>
      <c r="E171" s="27">
        <v>120</v>
      </c>
      <c r="F171" s="27">
        <v>2</v>
      </c>
      <c r="G171" s="27">
        <v>6</v>
      </c>
      <c r="H171" s="27">
        <v>5</v>
      </c>
      <c r="I171" s="27">
        <v>1</v>
      </c>
      <c r="J171" s="27">
        <v>1</v>
      </c>
      <c r="K171" s="27">
        <v>231</v>
      </c>
      <c r="L171" s="27">
        <v>3</v>
      </c>
      <c r="M171" s="27">
        <v>1</v>
      </c>
      <c r="N171" s="27">
        <v>43</v>
      </c>
      <c r="O171" s="27">
        <v>3</v>
      </c>
      <c r="P171" s="27">
        <v>1</v>
      </c>
      <c r="Q171" s="27">
        <v>2</v>
      </c>
      <c r="R171" s="27">
        <v>3</v>
      </c>
      <c r="S171" s="27">
        <v>1</v>
      </c>
      <c r="T171" s="27">
        <v>3038</v>
      </c>
      <c r="U171" s="27">
        <v>12430</v>
      </c>
      <c r="V171" s="27">
        <v>3</v>
      </c>
      <c r="W171" s="27">
        <v>0</v>
      </c>
      <c r="X171" s="27">
        <v>20</v>
      </c>
      <c r="Y171" s="27">
        <v>4</v>
      </c>
      <c r="Z171" s="27">
        <v>1</v>
      </c>
      <c r="AA171" s="27">
        <v>80</v>
      </c>
      <c r="AB171" s="27">
        <v>0</v>
      </c>
      <c r="AC171" s="27">
        <v>8</v>
      </c>
      <c r="AD171" s="27">
        <v>2</v>
      </c>
      <c r="AE171" s="27">
        <v>3</v>
      </c>
      <c r="AF171" s="27">
        <v>5</v>
      </c>
      <c r="AG171" s="27">
        <v>4</v>
      </c>
      <c r="AH171" s="27">
        <v>1</v>
      </c>
      <c r="AI171" s="28">
        <v>4</v>
      </c>
      <c r="AK171" s="36">
        <v>138</v>
      </c>
      <c r="AL171" s="33">
        <v>4</v>
      </c>
      <c r="AM171" s="33">
        <v>2</v>
      </c>
      <c r="AN171" s="33">
        <v>3</v>
      </c>
      <c r="AO171" s="33">
        <v>4</v>
      </c>
      <c r="AP171" s="33">
        <v>0</v>
      </c>
      <c r="AQ171" s="33">
        <v>1</v>
      </c>
      <c r="AR171" s="33">
        <v>4</v>
      </c>
      <c r="AS171" s="33">
        <v>15</v>
      </c>
      <c r="AT171" s="33">
        <v>5</v>
      </c>
      <c r="AU171" s="43">
        <v>3.6307109481490143E-2</v>
      </c>
      <c r="AV171" s="33">
        <v>0</v>
      </c>
      <c r="AW171" s="33">
        <v>0</v>
      </c>
      <c r="AY171" s="36">
        <v>143</v>
      </c>
      <c r="AZ171" s="33">
        <v>2</v>
      </c>
      <c r="BA171" s="33">
        <v>3</v>
      </c>
      <c r="BB171" s="33">
        <v>1</v>
      </c>
      <c r="BC171" s="33">
        <v>0</v>
      </c>
      <c r="BD171" s="43">
        <v>0.36139389867144694</v>
      </c>
      <c r="BE171" s="33">
        <v>0</v>
      </c>
      <c r="BF171" s="33">
        <v>0</v>
      </c>
      <c r="CE171" s="36">
        <v>137</v>
      </c>
      <c r="CF171" s="33">
        <v>8</v>
      </c>
      <c r="CG171" s="33">
        <v>3</v>
      </c>
      <c r="CH171" s="33">
        <v>4</v>
      </c>
      <c r="CI171" s="33">
        <v>1</v>
      </c>
      <c r="CJ171" s="33">
        <v>2</v>
      </c>
      <c r="CK171" s="33">
        <v>0</v>
      </c>
      <c r="CL171" s="33">
        <v>0</v>
      </c>
      <c r="CM171" s="33">
        <v>3</v>
      </c>
      <c r="CN171" s="33">
        <v>4</v>
      </c>
      <c r="CO171" s="33">
        <v>0</v>
      </c>
      <c r="CP171" s="43">
        <v>4.8988817130237332E-2</v>
      </c>
      <c r="CQ171" s="33">
        <v>0</v>
      </c>
      <c r="CR171" s="33">
        <v>1</v>
      </c>
    </row>
    <row r="172" spans="1:96" ht="15" customHeight="1" x14ac:dyDescent="0.25">
      <c r="A172" s="26">
        <v>170</v>
      </c>
      <c r="B172" s="27">
        <v>27</v>
      </c>
      <c r="C172" s="27">
        <v>0</v>
      </c>
      <c r="D172" s="27">
        <v>1</v>
      </c>
      <c r="E172" s="27">
        <v>1157</v>
      </c>
      <c r="F172" s="27">
        <v>2</v>
      </c>
      <c r="G172" s="27">
        <v>17</v>
      </c>
      <c r="H172" s="27">
        <v>3</v>
      </c>
      <c r="I172" s="27">
        <v>5</v>
      </c>
      <c r="J172" s="27">
        <v>1</v>
      </c>
      <c r="K172" s="27">
        <v>233</v>
      </c>
      <c r="L172" s="27">
        <v>3</v>
      </c>
      <c r="M172" s="27">
        <v>1</v>
      </c>
      <c r="N172" s="27">
        <v>51</v>
      </c>
      <c r="O172" s="27">
        <v>3</v>
      </c>
      <c r="P172" s="27">
        <v>1</v>
      </c>
      <c r="Q172" s="27">
        <v>2</v>
      </c>
      <c r="R172" s="27">
        <v>2</v>
      </c>
      <c r="S172" s="27">
        <v>2</v>
      </c>
      <c r="T172" s="27">
        <v>3058</v>
      </c>
      <c r="U172" s="27">
        <v>13364</v>
      </c>
      <c r="V172" s="27">
        <v>0</v>
      </c>
      <c r="W172" s="27">
        <v>1</v>
      </c>
      <c r="X172" s="27">
        <v>16</v>
      </c>
      <c r="Y172" s="27">
        <v>3</v>
      </c>
      <c r="Z172" s="27">
        <v>4</v>
      </c>
      <c r="AA172" s="27">
        <v>80</v>
      </c>
      <c r="AB172" s="27">
        <v>1</v>
      </c>
      <c r="AC172" s="27">
        <v>6</v>
      </c>
      <c r="AD172" s="27">
        <v>3</v>
      </c>
      <c r="AE172" s="27">
        <v>2</v>
      </c>
      <c r="AF172" s="27">
        <v>5</v>
      </c>
      <c r="AG172" s="27">
        <v>2</v>
      </c>
      <c r="AH172" s="27">
        <v>1</v>
      </c>
      <c r="AI172" s="28">
        <v>1</v>
      </c>
      <c r="AK172" s="36">
        <v>139</v>
      </c>
      <c r="AL172" s="33">
        <v>28</v>
      </c>
      <c r="AM172" s="33">
        <v>2</v>
      </c>
      <c r="AN172" s="33">
        <v>3</v>
      </c>
      <c r="AO172" s="33">
        <v>2</v>
      </c>
      <c r="AP172" s="33">
        <v>0</v>
      </c>
      <c r="AQ172" s="33">
        <v>0</v>
      </c>
      <c r="AR172" s="33">
        <v>3</v>
      </c>
      <c r="AS172" s="33">
        <v>2</v>
      </c>
      <c r="AT172" s="33">
        <v>2</v>
      </c>
      <c r="AU172" s="43">
        <v>0.22400430311738403</v>
      </c>
      <c r="AV172" s="33">
        <v>0</v>
      </c>
      <c r="AW172" s="33">
        <v>0</v>
      </c>
      <c r="AY172" s="36">
        <v>144</v>
      </c>
      <c r="AZ172" s="33">
        <v>1</v>
      </c>
      <c r="BA172" s="33">
        <v>3</v>
      </c>
      <c r="BB172" s="33">
        <v>0</v>
      </c>
      <c r="BC172" s="33">
        <v>0</v>
      </c>
      <c r="BD172" s="43">
        <v>0.18791247240909698</v>
      </c>
      <c r="BE172" s="33">
        <v>0</v>
      </c>
      <c r="BF172" s="33">
        <v>0</v>
      </c>
      <c r="CE172" s="36">
        <v>138</v>
      </c>
      <c r="CF172" s="33">
        <v>4</v>
      </c>
      <c r="CG172" s="33">
        <v>2</v>
      </c>
      <c r="CH172" s="33">
        <v>3</v>
      </c>
      <c r="CI172" s="33">
        <v>2</v>
      </c>
      <c r="CJ172" s="33">
        <v>4</v>
      </c>
      <c r="CK172" s="33">
        <v>0</v>
      </c>
      <c r="CL172" s="33">
        <v>1</v>
      </c>
      <c r="CM172" s="33">
        <v>4</v>
      </c>
      <c r="CN172" s="33">
        <v>15</v>
      </c>
      <c r="CO172" s="33">
        <v>5</v>
      </c>
      <c r="CP172" s="43">
        <v>3.4861967705822915E-2</v>
      </c>
      <c r="CQ172" s="33">
        <v>0</v>
      </c>
      <c r="CR172" s="33">
        <v>0</v>
      </c>
    </row>
    <row r="173" spans="1:96" ht="15" customHeight="1" x14ac:dyDescent="0.25">
      <c r="A173" s="26">
        <v>171</v>
      </c>
      <c r="B173" s="27">
        <v>19</v>
      </c>
      <c r="C173" s="27">
        <v>1</v>
      </c>
      <c r="D173" s="27">
        <v>2</v>
      </c>
      <c r="E173" s="27">
        <v>602</v>
      </c>
      <c r="F173" s="27">
        <v>1</v>
      </c>
      <c r="G173" s="27">
        <v>1</v>
      </c>
      <c r="H173" s="27">
        <v>1</v>
      </c>
      <c r="I173" s="27">
        <v>5</v>
      </c>
      <c r="J173" s="27">
        <v>1</v>
      </c>
      <c r="K173" s="27">
        <v>235</v>
      </c>
      <c r="L173" s="27">
        <v>3</v>
      </c>
      <c r="M173" s="27">
        <v>0</v>
      </c>
      <c r="N173" s="27">
        <v>100</v>
      </c>
      <c r="O173" s="27">
        <v>1</v>
      </c>
      <c r="P173" s="27">
        <v>1</v>
      </c>
      <c r="Q173" s="27">
        <v>7</v>
      </c>
      <c r="R173" s="27">
        <v>1</v>
      </c>
      <c r="S173" s="27">
        <v>1</v>
      </c>
      <c r="T173" s="27">
        <v>2325</v>
      </c>
      <c r="U173" s="27">
        <v>20989</v>
      </c>
      <c r="V173" s="27">
        <v>0</v>
      </c>
      <c r="W173" s="27">
        <v>0</v>
      </c>
      <c r="X173" s="27">
        <v>21</v>
      </c>
      <c r="Y173" s="27">
        <v>4</v>
      </c>
      <c r="Z173" s="27">
        <v>1</v>
      </c>
      <c r="AA173" s="27">
        <v>80</v>
      </c>
      <c r="AB173" s="27">
        <v>0</v>
      </c>
      <c r="AC173" s="27">
        <v>1</v>
      </c>
      <c r="AD173" s="27">
        <v>5</v>
      </c>
      <c r="AE173" s="27">
        <v>4</v>
      </c>
      <c r="AF173" s="27">
        <v>0</v>
      </c>
      <c r="AG173" s="27">
        <v>0</v>
      </c>
      <c r="AH173" s="27">
        <v>0</v>
      </c>
      <c r="AI173" s="28">
        <v>0</v>
      </c>
      <c r="AK173" s="36">
        <v>140</v>
      </c>
      <c r="AL173" s="33">
        <v>9</v>
      </c>
      <c r="AM173" s="33">
        <v>2</v>
      </c>
      <c r="AN173" s="33">
        <v>4</v>
      </c>
      <c r="AO173" s="33">
        <v>0</v>
      </c>
      <c r="AP173" s="33">
        <v>1</v>
      </c>
      <c r="AQ173" s="33">
        <v>0</v>
      </c>
      <c r="AR173" s="33">
        <v>1</v>
      </c>
      <c r="AS173" s="33">
        <v>11</v>
      </c>
      <c r="AT173" s="33">
        <v>4</v>
      </c>
      <c r="AU173" s="43">
        <v>0.30502946072304571</v>
      </c>
      <c r="AV173" s="33">
        <v>0</v>
      </c>
      <c r="AW173" s="33">
        <v>0</v>
      </c>
      <c r="AY173" s="36">
        <v>145</v>
      </c>
      <c r="AZ173" s="33">
        <v>2</v>
      </c>
      <c r="BA173" s="33">
        <v>4</v>
      </c>
      <c r="BB173" s="33">
        <v>0</v>
      </c>
      <c r="BC173" s="33">
        <v>3</v>
      </c>
      <c r="BD173" s="43">
        <v>1.9892232637238622E-2</v>
      </c>
      <c r="BE173" s="33">
        <v>0</v>
      </c>
      <c r="BF173" s="33">
        <v>0</v>
      </c>
      <c r="CE173" s="36">
        <v>139</v>
      </c>
      <c r="CF173" s="33">
        <v>28</v>
      </c>
      <c r="CG173" s="33">
        <v>2</v>
      </c>
      <c r="CH173" s="33">
        <v>3</v>
      </c>
      <c r="CI173" s="33">
        <v>2</v>
      </c>
      <c r="CJ173" s="33">
        <v>2</v>
      </c>
      <c r="CK173" s="33">
        <v>0</v>
      </c>
      <c r="CL173" s="33">
        <v>0</v>
      </c>
      <c r="CM173" s="33">
        <v>3</v>
      </c>
      <c r="CN173" s="33">
        <v>2</v>
      </c>
      <c r="CO173" s="33">
        <v>2</v>
      </c>
      <c r="CP173" s="43">
        <v>0.16449800522087946</v>
      </c>
      <c r="CQ173" s="33">
        <v>0</v>
      </c>
      <c r="CR173" s="33">
        <v>0</v>
      </c>
    </row>
    <row r="174" spans="1:96" ht="15" customHeight="1" x14ac:dyDescent="0.25">
      <c r="A174" s="26">
        <v>172</v>
      </c>
      <c r="B174" s="27">
        <v>36</v>
      </c>
      <c r="C174" s="27">
        <v>0</v>
      </c>
      <c r="D174" s="27">
        <v>2</v>
      </c>
      <c r="E174" s="27">
        <v>1480</v>
      </c>
      <c r="F174" s="27">
        <v>2</v>
      </c>
      <c r="G174" s="27">
        <v>3</v>
      </c>
      <c r="H174" s="27">
        <v>2</v>
      </c>
      <c r="I174" s="27">
        <v>3</v>
      </c>
      <c r="J174" s="27">
        <v>1</v>
      </c>
      <c r="K174" s="27">
        <v>238</v>
      </c>
      <c r="L174" s="27">
        <v>4</v>
      </c>
      <c r="M174" s="27">
        <v>1</v>
      </c>
      <c r="N174" s="27">
        <v>30</v>
      </c>
      <c r="O174" s="27">
        <v>3</v>
      </c>
      <c r="P174" s="27">
        <v>1</v>
      </c>
      <c r="Q174" s="27">
        <v>3</v>
      </c>
      <c r="R174" s="27">
        <v>2</v>
      </c>
      <c r="S174" s="27">
        <v>1</v>
      </c>
      <c r="T174" s="27">
        <v>2088</v>
      </c>
      <c r="U174" s="27">
        <v>15062</v>
      </c>
      <c r="V174" s="27">
        <v>4</v>
      </c>
      <c r="W174" s="27">
        <v>0</v>
      </c>
      <c r="X174" s="27">
        <v>12</v>
      </c>
      <c r="Y174" s="27">
        <v>3</v>
      </c>
      <c r="Z174" s="27">
        <v>3</v>
      </c>
      <c r="AA174" s="27">
        <v>80</v>
      </c>
      <c r="AB174" s="27">
        <v>0</v>
      </c>
      <c r="AC174" s="27">
        <v>13</v>
      </c>
      <c r="AD174" s="27">
        <v>3</v>
      </c>
      <c r="AE174" s="27">
        <v>2</v>
      </c>
      <c r="AF174" s="27">
        <v>8</v>
      </c>
      <c r="AG174" s="27">
        <v>7</v>
      </c>
      <c r="AH174" s="27">
        <v>7</v>
      </c>
      <c r="AI174" s="28">
        <v>2</v>
      </c>
      <c r="AK174" s="36">
        <v>141</v>
      </c>
      <c r="AL174" s="33">
        <v>9</v>
      </c>
      <c r="AM174" s="33">
        <v>1</v>
      </c>
      <c r="AN174" s="33">
        <v>1</v>
      </c>
      <c r="AO174" s="33">
        <v>7</v>
      </c>
      <c r="AP174" s="33">
        <v>0</v>
      </c>
      <c r="AQ174" s="33">
        <v>0</v>
      </c>
      <c r="AR174" s="33">
        <v>4</v>
      </c>
      <c r="AS174" s="33">
        <v>5</v>
      </c>
      <c r="AT174" s="33">
        <v>0</v>
      </c>
      <c r="AU174" s="43">
        <v>0.26863598438313302</v>
      </c>
      <c r="AV174" s="33">
        <v>0</v>
      </c>
      <c r="AW174" s="33">
        <v>1</v>
      </c>
      <c r="AY174" s="36">
        <v>146</v>
      </c>
      <c r="AZ174" s="33">
        <v>1</v>
      </c>
      <c r="BA174" s="33">
        <v>1</v>
      </c>
      <c r="BB174" s="33">
        <v>0</v>
      </c>
      <c r="BC174" s="33">
        <v>1</v>
      </c>
      <c r="BD174" s="43">
        <v>0.19678474515944386</v>
      </c>
      <c r="BE174" s="33">
        <v>0</v>
      </c>
      <c r="BF174" s="33">
        <v>0</v>
      </c>
      <c r="CE174" s="36">
        <v>140</v>
      </c>
      <c r="CF174" s="33">
        <v>9</v>
      </c>
      <c r="CG174" s="33">
        <v>2</v>
      </c>
      <c r="CH174" s="33">
        <v>4</v>
      </c>
      <c r="CI174" s="33">
        <v>2</v>
      </c>
      <c r="CJ174" s="33">
        <v>0</v>
      </c>
      <c r="CK174" s="33">
        <v>1</v>
      </c>
      <c r="CL174" s="33">
        <v>0</v>
      </c>
      <c r="CM174" s="33">
        <v>1</v>
      </c>
      <c r="CN174" s="33">
        <v>11</v>
      </c>
      <c r="CO174" s="33">
        <v>4</v>
      </c>
      <c r="CP174" s="43">
        <v>0.24097576182745994</v>
      </c>
      <c r="CQ174" s="33">
        <v>0</v>
      </c>
      <c r="CR174" s="33">
        <v>0</v>
      </c>
    </row>
    <row r="175" spans="1:96" ht="15" customHeight="1" x14ac:dyDescent="0.25">
      <c r="A175" s="26">
        <v>173</v>
      </c>
      <c r="B175" s="27">
        <v>30</v>
      </c>
      <c r="C175" s="27">
        <v>0</v>
      </c>
      <c r="D175" s="27">
        <v>3</v>
      </c>
      <c r="E175" s="27">
        <v>111</v>
      </c>
      <c r="F175" s="27">
        <v>2</v>
      </c>
      <c r="G175" s="27">
        <v>9</v>
      </c>
      <c r="H175" s="27">
        <v>3</v>
      </c>
      <c r="I175" s="27">
        <v>3</v>
      </c>
      <c r="J175" s="27">
        <v>1</v>
      </c>
      <c r="K175" s="27">
        <v>239</v>
      </c>
      <c r="L175" s="27">
        <v>3</v>
      </c>
      <c r="M175" s="27">
        <v>1</v>
      </c>
      <c r="N175" s="27">
        <v>66</v>
      </c>
      <c r="O175" s="27">
        <v>3</v>
      </c>
      <c r="P175" s="27">
        <v>2</v>
      </c>
      <c r="Q175" s="27">
        <v>3</v>
      </c>
      <c r="R175" s="27">
        <v>1</v>
      </c>
      <c r="S175" s="27">
        <v>3</v>
      </c>
      <c r="T175" s="27">
        <v>3072</v>
      </c>
      <c r="U175" s="27">
        <v>11012</v>
      </c>
      <c r="V175" s="27">
        <v>1</v>
      </c>
      <c r="W175" s="27">
        <v>0</v>
      </c>
      <c r="X175" s="27">
        <v>11</v>
      </c>
      <c r="Y175" s="27">
        <v>3</v>
      </c>
      <c r="Z175" s="27">
        <v>3</v>
      </c>
      <c r="AA175" s="27">
        <v>80</v>
      </c>
      <c r="AB175" s="27">
        <v>2</v>
      </c>
      <c r="AC175" s="27">
        <v>12</v>
      </c>
      <c r="AD175" s="27">
        <v>4</v>
      </c>
      <c r="AE175" s="27">
        <v>3</v>
      </c>
      <c r="AF175" s="27">
        <v>12</v>
      </c>
      <c r="AG175" s="27">
        <v>9</v>
      </c>
      <c r="AH175" s="27">
        <v>6</v>
      </c>
      <c r="AI175" s="28">
        <v>10</v>
      </c>
      <c r="AK175" s="36">
        <v>142</v>
      </c>
      <c r="AL175" s="33">
        <v>29</v>
      </c>
      <c r="AM175" s="33">
        <v>1</v>
      </c>
      <c r="AN175" s="33">
        <v>4</v>
      </c>
      <c r="AO175" s="33">
        <v>5</v>
      </c>
      <c r="AP175" s="33">
        <v>0</v>
      </c>
      <c r="AQ175" s="33">
        <v>0</v>
      </c>
      <c r="AR175" s="33">
        <v>2</v>
      </c>
      <c r="AS175" s="33">
        <v>6</v>
      </c>
      <c r="AT175" s="33">
        <v>0</v>
      </c>
      <c r="AU175" s="43">
        <v>0.27290889150841252</v>
      </c>
      <c r="AV175" s="33">
        <v>0</v>
      </c>
      <c r="AW175" s="33">
        <v>0</v>
      </c>
      <c r="AY175" s="36">
        <v>147</v>
      </c>
      <c r="AZ175" s="33">
        <v>1</v>
      </c>
      <c r="BA175" s="33">
        <v>4</v>
      </c>
      <c r="BB175" s="33">
        <v>0</v>
      </c>
      <c r="BC175" s="33">
        <v>0</v>
      </c>
      <c r="BD175" s="43">
        <v>0.1472907617042678</v>
      </c>
      <c r="BE175" s="33">
        <v>0</v>
      </c>
      <c r="BF175" s="33">
        <v>0</v>
      </c>
      <c r="CE175" s="36">
        <v>141</v>
      </c>
      <c r="CF175" s="33">
        <v>9</v>
      </c>
      <c r="CG175" s="33">
        <v>1</v>
      </c>
      <c r="CH175" s="33">
        <v>1</v>
      </c>
      <c r="CI175" s="33">
        <v>1</v>
      </c>
      <c r="CJ175" s="33">
        <v>7</v>
      </c>
      <c r="CK175" s="33">
        <v>0</v>
      </c>
      <c r="CL175" s="33">
        <v>0</v>
      </c>
      <c r="CM175" s="33">
        <v>4</v>
      </c>
      <c r="CN175" s="33">
        <v>5</v>
      </c>
      <c r="CO175" s="33">
        <v>0</v>
      </c>
      <c r="CP175" s="43">
        <v>0.30682095402766801</v>
      </c>
      <c r="CQ175" s="33">
        <v>0</v>
      </c>
      <c r="CR175" s="33">
        <v>1</v>
      </c>
    </row>
    <row r="176" spans="1:96" ht="15" customHeight="1" x14ac:dyDescent="0.25">
      <c r="A176" s="26">
        <v>174</v>
      </c>
      <c r="B176" s="27">
        <v>45</v>
      </c>
      <c r="C176" s="27">
        <v>0</v>
      </c>
      <c r="D176" s="27">
        <v>1</v>
      </c>
      <c r="E176" s="27">
        <v>1268</v>
      </c>
      <c r="F176" s="27">
        <v>1</v>
      </c>
      <c r="G176" s="27">
        <v>4</v>
      </c>
      <c r="H176" s="27">
        <v>2</v>
      </c>
      <c r="I176" s="27">
        <v>1</v>
      </c>
      <c r="J176" s="27">
        <v>1</v>
      </c>
      <c r="K176" s="27">
        <v>240</v>
      </c>
      <c r="L176" s="27">
        <v>3</v>
      </c>
      <c r="M176" s="27">
        <v>0</v>
      </c>
      <c r="N176" s="27">
        <v>30</v>
      </c>
      <c r="O176" s="27">
        <v>3</v>
      </c>
      <c r="P176" s="27">
        <v>2</v>
      </c>
      <c r="Q176" s="27">
        <v>1</v>
      </c>
      <c r="R176" s="27">
        <v>1</v>
      </c>
      <c r="S176" s="27">
        <v>3</v>
      </c>
      <c r="T176" s="27">
        <v>5006</v>
      </c>
      <c r="U176" s="27">
        <v>6319</v>
      </c>
      <c r="V176" s="27">
        <v>4</v>
      </c>
      <c r="W176" s="27">
        <v>1</v>
      </c>
      <c r="X176" s="27">
        <v>11</v>
      </c>
      <c r="Y176" s="27">
        <v>3</v>
      </c>
      <c r="Z176" s="27">
        <v>1</v>
      </c>
      <c r="AA176" s="27">
        <v>80</v>
      </c>
      <c r="AB176" s="27">
        <v>1</v>
      </c>
      <c r="AC176" s="27">
        <v>9</v>
      </c>
      <c r="AD176" s="27">
        <v>3</v>
      </c>
      <c r="AE176" s="27">
        <v>4</v>
      </c>
      <c r="AF176" s="27">
        <v>5</v>
      </c>
      <c r="AG176" s="27">
        <v>4</v>
      </c>
      <c r="AH176" s="27">
        <v>0</v>
      </c>
      <c r="AI176" s="28">
        <v>3</v>
      </c>
      <c r="AK176" s="36">
        <v>143</v>
      </c>
      <c r="AL176" s="33">
        <v>3</v>
      </c>
      <c r="AM176" s="33">
        <v>2</v>
      </c>
      <c r="AN176" s="33">
        <v>3</v>
      </c>
      <c r="AO176" s="33">
        <v>3</v>
      </c>
      <c r="AP176" s="33">
        <v>1</v>
      </c>
      <c r="AQ176" s="33">
        <v>0</v>
      </c>
      <c r="AR176" s="33">
        <v>3</v>
      </c>
      <c r="AS176" s="33">
        <v>3</v>
      </c>
      <c r="AT176" s="33">
        <v>2</v>
      </c>
      <c r="AU176" s="43">
        <v>0.35520872319237351</v>
      </c>
      <c r="AV176" s="33">
        <v>0</v>
      </c>
      <c r="AW176" s="33">
        <v>0</v>
      </c>
      <c r="AY176" s="36">
        <v>148</v>
      </c>
      <c r="AZ176" s="33">
        <v>4</v>
      </c>
      <c r="BA176" s="33">
        <v>1</v>
      </c>
      <c r="BB176" s="33">
        <v>0</v>
      </c>
      <c r="BC176" s="33">
        <v>1</v>
      </c>
      <c r="BD176" s="43">
        <v>4.3866321508597754E-2</v>
      </c>
      <c r="BE176" s="33">
        <v>0</v>
      </c>
      <c r="BF176" s="33">
        <v>0</v>
      </c>
      <c r="CE176" s="36">
        <v>142</v>
      </c>
      <c r="CF176" s="33">
        <v>29</v>
      </c>
      <c r="CG176" s="33">
        <v>1</v>
      </c>
      <c r="CH176" s="33">
        <v>4</v>
      </c>
      <c r="CI176" s="33">
        <v>1</v>
      </c>
      <c r="CJ176" s="33">
        <v>5</v>
      </c>
      <c r="CK176" s="33">
        <v>0</v>
      </c>
      <c r="CL176" s="33">
        <v>0</v>
      </c>
      <c r="CM176" s="33">
        <v>2</v>
      </c>
      <c r="CN176" s="33">
        <v>6</v>
      </c>
      <c r="CO176" s="33">
        <v>0</v>
      </c>
      <c r="CP176" s="43">
        <v>0.3045637918756221</v>
      </c>
      <c r="CQ176" s="33">
        <v>0</v>
      </c>
      <c r="CR176" s="33">
        <v>0</v>
      </c>
    </row>
    <row r="177" spans="1:96" ht="15" customHeight="1" x14ac:dyDescent="0.25">
      <c r="A177" s="26">
        <v>175</v>
      </c>
      <c r="B177" s="27">
        <v>56</v>
      </c>
      <c r="C177" s="27">
        <v>0</v>
      </c>
      <c r="D177" s="27">
        <v>1</v>
      </c>
      <c r="E177" s="27">
        <v>713</v>
      </c>
      <c r="F177" s="27">
        <v>2</v>
      </c>
      <c r="G177" s="27">
        <v>8</v>
      </c>
      <c r="H177" s="27">
        <v>3</v>
      </c>
      <c r="I177" s="27">
        <v>1</v>
      </c>
      <c r="J177" s="27">
        <v>1</v>
      </c>
      <c r="K177" s="27">
        <v>241</v>
      </c>
      <c r="L177" s="27">
        <v>3</v>
      </c>
      <c r="M177" s="27">
        <v>0</v>
      </c>
      <c r="N177" s="27">
        <v>67</v>
      </c>
      <c r="O177" s="27">
        <v>3</v>
      </c>
      <c r="P177" s="27">
        <v>1</v>
      </c>
      <c r="Q177" s="27">
        <v>2</v>
      </c>
      <c r="R177" s="27">
        <v>1</v>
      </c>
      <c r="S177" s="27">
        <v>3</v>
      </c>
      <c r="T177" s="27">
        <v>4257</v>
      </c>
      <c r="U177" s="27">
        <v>13939</v>
      </c>
      <c r="V177" s="27">
        <v>4</v>
      </c>
      <c r="W177" s="27">
        <v>1</v>
      </c>
      <c r="X177" s="27">
        <v>18</v>
      </c>
      <c r="Y177" s="27">
        <v>3</v>
      </c>
      <c r="Z177" s="27">
        <v>3</v>
      </c>
      <c r="AA177" s="27">
        <v>80</v>
      </c>
      <c r="AB177" s="27">
        <v>1</v>
      </c>
      <c r="AC177" s="27">
        <v>19</v>
      </c>
      <c r="AD177" s="27">
        <v>3</v>
      </c>
      <c r="AE177" s="27">
        <v>3</v>
      </c>
      <c r="AF177" s="27">
        <v>2</v>
      </c>
      <c r="AG177" s="27">
        <v>2</v>
      </c>
      <c r="AH177" s="27">
        <v>2</v>
      </c>
      <c r="AI177" s="28">
        <v>2</v>
      </c>
      <c r="AK177" s="36">
        <v>144</v>
      </c>
      <c r="AL177" s="33">
        <v>18</v>
      </c>
      <c r="AM177" s="33">
        <v>1</v>
      </c>
      <c r="AN177" s="33">
        <v>3</v>
      </c>
      <c r="AO177" s="33">
        <v>1</v>
      </c>
      <c r="AP177" s="33">
        <v>0</v>
      </c>
      <c r="AQ177" s="33">
        <v>0</v>
      </c>
      <c r="AR177" s="33">
        <v>2</v>
      </c>
      <c r="AS177" s="33">
        <v>5</v>
      </c>
      <c r="AT177" s="33">
        <v>0</v>
      </c>
      <c r="AU177" s="43">
        <v>0.21053101331301599</v>
      </c>
      <c r="AV177" s="33">
        <v>0</v>
      </c>
      <c r="AW177" s="33">
        <v>0</v>
      </c>
      <c r="AY177" s="36">
        <v>149</v>
      </c>
      <c r="AZ177" s="33">
        <v>1</v>
      </c>
      <c r="BA177" s="33">
        <v>1</v>
      </c>
      <c r="BB177" s="33">
        <v>0</v>
      </c>
      <c r="BC177" s="33">
        <v>1</v>
      </c>
      <c r="BD177" s="43">
        <v>0.19678474515944386</v>
      </c>
      <c r="BE177" s="33">
        <v>0</v>
      </c>
      <c r="BF177" s="33">
        <v>0</v>
      </c>
      <c r="CE177" s="36">
        <v>143</v>
      </c>
      <c r="CF177" s="33">
        <v>3</v>
      </c>
      <c r="CG177" s="33">
        <v>2</v>
      </c>
      <c r="CH177" s="33">
        <v>3</v>
      </c>
      <c r="CI177" s="33">
        <v>1</v>
      </c>
      <c r="CJ177" s="33">
        <v>3</v>
      </c>
      <c r="CK177" s="33">
        <v>1</v>
      </c>
      <c r="CL177" s="33">
        <v>0</v>
      </c>
      <c r="CM177" s="33">
        <v>3</v>
      </c>
      <c r="CN177" s="33">
        <v>3</v>
      </c>
      <c r="CO177" s="33">
        <v>2</v>
      </c>
      <c r="CP177" s="43">
        <v>0.4072031427110645</v>
      </c>
      <c r="CQ177" s="33">
        <v>0</v>
      </c>
      <c r="CR177" s="33">
        <v>0</v>
      </c>
    </row>
    <row r="178" spans="1:96" ht="15" customHeight="1" x14ac:dyDescent="0.25">
      <c r="A178" s="26">
        <v>176</v>
      </c>
      <c r="B178" s="27">
        <v>33</v>
      </c>
      <c r="C178" s="27">
        <v>0</v>
      </c>
      <c r="D178" s="27">
        <v>1</v>
      </c>
      <c r="E178" s="27">
        <v>134</v>
      </c>
      <c r="F178" s="27">
        <v>2</v>
      </c>
      <c r="G178" s="27">
        <v>2</v>
      </c>
      <c r="H178" s="27">
        <v>3</v>
      </c>
      <c r="I178" s="27">
        <v>1</v>
      </c>
      <c r="J178" s="27">
        <v>1</v>
      </c>
      <c r="K178" s="27">
        <v>242</v>
      </c>
      <c r="L178" s="27">
        <v>3</v>
      </c>
      <c r="M178" s="27">
        <v>1</v>
      </c>
      <c r="N178" s="27">
        <v>90</v>
      </c>
      <c r="O178" s="27">
        <v>3</v>
      </c>
      <c r="P178" s="27">
        <v>1</v>
      </c>
      <c r="Q178" s="27">
        <v>2</v>
      </c>
      <c r="R178" s="27">
        <v>4</v>
      </c>
      <c r="S178" s="27">
        <v>1</v>
      </c>
      <c r="T178" s="27">
        <v>2500</v>
      </c>
      <c r="U178" s="27">
        <v>10515</v>
      </c>
      <c r="V178" s="27">
        <v>0</v>
      </c>
      <c r="W178" s="27">
        <v>0</v>
      </c>
      <c r="X178" s="27">
        <v>14</v>
      </c>
      <c r="Y178" s="27">
        <v>3</v>
      </c>
      <c r="Z178" s="27">
        <v>1</v>
      </c>
      <c r="AA178" s="27">
        <v>80</v>
      </c>
      <c r="AB178" s="27">
        <v>0</v>
      </c>
      <c r="AC178" s="27">
        <v>4</v>
      </c>
      <c r="AD178" s="27">
        <v>2</v>
      </c>
      <c r="AE178" s="27">
        <v>4</v>
      </c>
      <c r="AF178" s="27">
        <v>3</v>
      </c>
      <c r="AG178" s="27">
        <v>1</v>
      </c>
      <c r="AH178" s="27">
        <v>0</v>
      </c>
      <c r="AI178" s="28">
        <v>2</v>
      </c>
      <c r="AK178" s="36">
        <v>145</v>
      </c>
      <c r="AL178" s="33">
        <v>9</v>
      </c>
      <c r="AM178" s="33">
        <v>2</v>
      </c>
      <c r="AN178" s="33">
        <v>4</v>
      </c>
      <c r="AO178" s="33">
        <v>0</v>
      </c>
      <c r="AP178" s="33">
        <v>0</v>
      </c>
      <c r="AQ178" s="33">
        <v>3</v>
      </c>
      <c r="AR178" s="33">
        <v>4</v>
      </c>
      <c r="AS178" s="33">
        <v>8</v>
      </c>
      <c r="AT178" s="33">
        <v>0</v>
      </c>
      <c r="AU178" s="43">
        <v>7.1404948449526814E-3</v>
      </c>
      <c r="AV178" s="33">
        <v>0</v>
      </c>
      <c r="AW178" s="33">
        <v>0</v>
      </c>
      <c r="AY178" s="36">
        <v>150</v>
      </c>
      <c r="AZ178" s="33">
        <v>1</v>
      </c>
      <c r="BA178" s="33">
        <v>2</v>
      </c>
      <c r="BB178" s="33">
        <v>0</v>
      </c>
      <c r="BC178" s="33">
        <v>0</v>
      </c>
      <c r="BD178" s="43">
        <v>0.23662845161334917</v>
      </c>
      <c r="BE178" s="33">
        <v>0</v>
      </c>
      <c r="BF178" s="33">
        <v>0</v>
      </c>
      <c r="CE178" s="36">
        <v>144</v>
      </c>
      <c r="CF178" s="33">
        <v>18</v>
      </c>
      <c r="CG178" s="33">
        <v>1</v>
      </c>
      <c r="CH178" s="33">
        <v>3</v>
      </c>
      <c r="CI178" s="33">
        <v>1</v>
      </c>
      <c r="CJ178" s="33">
        <v>1</v>
      </c>
      <c r="CK178" s="33">
        <v>0</v>
      </c>
      <c r="CL178" s="33">
        <v>0</v>
      </c>
      <c r="CM178" s="33">
        <v>2</v>
      </c>
      <c r="CN178" s="33">
        <v>5</v>
      </c>
      <c r="CO178" s="33">
        <v>0</v>
      </c>
      <c r="CP178" s="43">
        <v>0.24026001545329928</v>
      </c>
      <c r="CQ178" s="33">
        <v>0</v>
      </c>
      <c r="CR178" s="33">
        <v>0</v>
      </c>
    </row>
    <row r="179" spans="1:96" ht="15" customHeight="1" x14ac:dyDescent="0.25">
      <c r="A179" s="26">
        <v>177</v>
      </c>
      <c r="B179" s="27">
        <v>19</v>
      </c>
      <c r="C179" s="27">
        <v>1</v>
      </c>
      <c r="D179" s="27">
        <v>1</v>
      </c>
      <c r="E179" s="27">
        <v>303</v>
      </c>
      <c r="F179" s="27">
        <v>2</v>
      </c>
      <c r="G179" s="27">
        <v>2</v>
      </c>
      <c r="H179" s="27">
        <v>3</v>
      </c>
      <c r="I179" s="27">
        <v>1</v>
      </c>
      <c r="J179" s="27">
        <v>1</v>
      </c>
      <c r="K179" s="27">
        <v>243</v>
      </c>
      <c r="L179" s="27">
        <v>2</v>
      </c>
      <c r="M179" s="27">
        <v>1</v>
      </c>
      <c r="N179" s="27">
        <v>47</v>
      </c>
      <c r="O179" s="27">
        <v>2</v>
      </c>
      <c r="P179" s="27">
        <v>1</v>
      </c>
      <c r="Q179" s="27">
        <v>3</v>
      </c>
      <c r="R179" s="27">
        <v>4</v>
      </c>
      <c r="S179" s="27">
        <v>1</v>
      </c>
      <c r="T179" s="27">
        <v>1102</v>
      </c>
      <c r="U179" s="27">
        <v>9241</v>
      </c>
      <c r="V179" s="27">
        <v>1</v>
      </c>
      <c r="W179" s="27">
        <v>0</v>
      </c>
      <c r="X179" s="27">
        <v>22</v>
      </c>
      <c r="Y179" s="27">
        <v>4</v>
      </c>
      <c r="Z179" s="27">
        <v>3</v>
      </c>
      <c r="AA179" s="27">
        <v>80</v>
      </c>
      <c r="AB179" s="27">
        <v>0</v>
      </c>
      <c r="AC179" s="27">
        <v>1</v>
      </c>
      <c r="AD179" s="27">
        <v>3</v>
      </c>
      <c r="AE179" s="27">
        <v>2</v>
      </c>
      <c r="AF179" s="27">
        <v>1</v>
      </c>
      <c r="AG179" s="27">
        <v>0</v>
      </c>
      <c r="AH179" s="27">
        <v>1</v>
      </c>
      <c r="AI179" s="28">
        <v>0</v>
      </c>
      <c r="AK179" s="36">
        <v>146</v>
      </c>
      <c r="AL179" s="33">
        <v>5</v>
      </c>
      <c r="AM179" s="33">
        <v>1</v>
      </c>
      <c r="AN179" s="33">
        <v>1</v>
      </c>
      <c r="AO179" s="33">
        <v>5</v>
      </c>
      <c r="AP179" s="33">
        <v>0</v>
      </c>
      <c r="AQ179" s="33">
        <v>1</v>
      </c>
      <c r="AR179" s="33">
        <v>3</v>
      </c>
      <c r="AS179" s="33">
        <v>3</v>
      </c>
      <c r="AT179" s="33">
        <v>2</v>
      </c>
      <c r="AU179" s="43">
        <v>0.21964288766344067</v>
      </c>
      <c r="AV179" s="33">
        <v>0</v>
      </c>
      <c r="AW179" s="33">
        <v>0</v>
      </c>
      <c r="AY179" s="36">
        <v>151</v>
      </c>
      <c r="AZ179" s="33">
        <v>2</v>
      </c>
      <c r="BA179" s="33">
        <v>2</v>
      </c>
      <c r="BB179" s="33">
        <v>0</v>
      </c>
      <c r="BC179" s="33">
        <v>1</v>
      </c>
      <c r="BD179" s="43">
        <v>9.4721355311452843E-2</v>
      </c>
      <c r="BE179" s="33">
        <v>0</v>
      </c>
      <c r="BF179" s="33">
        <v>0</v>
      </c>
      <c r="CE179" s="36">
        <v>145</v>
      </c>
      <c r="CF179" s="33">
        <v>9</v>
      </c>
      <c r="CG179" s="33">
        <v>2</v>
      </c>
      <c r="CH179" s="33">
        <v>4</v>
      </c>
      <c r="CI179" s="33">
        <v>3</v>
      </c>
      <c r="CJ179" s="33">
        <v>0</v>
      </c>
      <c r="CK179" s="33">
        <v>0</v>
      </c>
      <c r="CL179" s="33">
        <v>3</v>
      </c>
      <c r="CM179" s="33">
        <v>4</v>
      </c>
      <c r="CN179" s="33">
        <v>8</v>
      </c>
      <c r="CO179" s="33">
        <v>0</v>
      </c>
      <c r="CP179" s="43">
        <v>7.5352936260217902E-3</v>
      </c>
      <c r="CQ179" s="33">
        <v>0</v>
      </c>
      <c r="CR179" s="33">
        <v>0</v>
      </c>
    </row>
    <row r="180" spans="1:96" ht="15" customHeight="1" x14ac:dyDescent="0.25">
      <c r="A180" s="26">
        <v>178</v>
      </c>
      <c r="B180" s="27">
        <v>46</v>
      </c>
      <c r="C180" s="27">
        <v>0</v>
      </c>
      <c r="D180" s="27">
        <v>1</v>
      </c>
      <c r="E180" s="27">
        <v>526</v>
      </c>
      <c r="F180" s="27">
        <v>1</v>
      </c>
      <c r="G180" s="27">
        <v>1</v>
      </c>
      <c r="H180" s="27">
        <v>2</v>
      </c>
      <c r="I180" s="27">
        <v>4</v>
      </c>
      <c r="J180" s="27">
        <v>1</v>
      </c>
      <c r="K180" s="27">
        <v>244</v>
      </c>
      <c r="L180" s="27">
        <v>2</v>
      </c>
      <c r="M180" s="27">
        <v>0</v>
      </c>
      <c r="N180" s="27">
        <v>92</v>
      </c>
      <c r="O180" s="27">
        <v>3</v>
      </c>
      <c r="P180" s="27">
        <v>3</v>
      </c>
      <c r="Q180" s="27">
        <v>1</v>
      </c>
      <c r="R180" s="27">
        <v>1</v>
      </c>
      <c r="S180" s="27">
        <v>3</v>
      </c>
      <c r="T180" s="27">
        <v>10453</v>
      </c>
      <c r="U180" s="27">
        <v>2137</v>
      </c>
      <c r="V180" s="27">
        <v>1</v>
      </c>
      <c r="W180" s="27">
        <v>0</v>
      </c>
      <c r="X180" s="27">
        <v>25</v>
      </c>
      <c r="Y180" s="27">
        <v>4</v>
      </c>
      <c r="Z180" s="27">
        <v>3</v>
      </c>
      <c r="AA180" s="27">
        <v>80</v>
      </c>
      <c r="AB180" s="27">
        <v>3</v>
      </c>
      <c r="AC180" s="27">
        <v>24</v>
      </c>
      <c r="AD180" s="27">
        <v>2</v>
      </c>
      <c r="AE180" s="27">
        <v>3</v>
      </c>
      <c r="AF180" s="27">
        <v>24</v>
      </c>
      <c r="AG180" s="27">
        <v>13</v>
      </c>
      <c r="AH180" s="27">
        <v>15</v>
      </c>
      <c r="AI180" s="28">
        <v>7</v>
      </c>
      <c r="AK180" s="36">
        <v>147</v>
      </c>
      <c r="AL180" s="33">
        <v>2</v>
      </c>
      <c r="AM180" s="33">
        <v>1</v>
      </c>
      <c r="AN180" s="33">
        <v>4</v>
      </c>
      <c r="AO180" s="33">
        <v>0</v>
      </c>
      <c r="AP180" s="33">
        <v>0</v>
      </c>
      <c r="AQ180" s="33">
        <v>0</v>
      </c>
      <c r="AR180" s="33">
        <v>3</v>
      </c>
      <c r="AS180" s="33">
        <v>5</v>
      </c>
      <c r="AT180" s="33">
        <v>1</v>
      </c>
      <c r="AU180" s="43">
        <v>8.6660678740388949E-2</v>
      </c>
      <c r="AV180" s="33">
        <v>0</v>
      </c>
      <c r="AW180" s="33">
        <v>0</v>
      </c>
      <c r="AY180" s="36">
        <v>152</v>
      </c>
      <c r="AZ180" s="33">
        <v>3</v>
      </c>
      <c r="BA180" s="33">
        <v>2</v>
      </c>
      <c r="BB180" s="33">
        <v>0</v>
      </c>
      <c r="BC180" s="33">
        <v>2</v>
      </c>
      <c r="BD180" s="43">
        <v>3.4113506034874549E-2</v>
      </c>
      <c r="BE180" s="33">
        <v>0</v>
      </c>
      <c r="BF180" s="33">
        <v>0</v>
      </c>
      <c r="CE180" s="36">
        <v>146</v>
      </c>
      <c r="CF180" s="33">
        <v>5</v>
      </c>
      <c r="CG180" s="33">
        <v>1</v>
      </c>
      <c r="CH180" s="33">
        <v>1</v>
      </c>
      <c r="CI180" s="33">
        <v>3</v>
      </c>
      <c r="CJ180" s="33">
        <v>5</v>
      </c>
      <c r="CK180" s="33">
        <v>0</v>
      </c>
      <c r="CL180" s="33">
        <v>1</v>
      </c>
      <c r="CM180" s="33">
        <v>3</v>
      </c>
      <c r="CN180" s="33">
        <v>3</v>
      </c>
      <c r="CO180" s="33">
        <v>2</v>
      </c>
      <c r="CP180" s="43">
        <v>0.13894545820355381</v>
      </c>
      <c r="CQ180" s="33">
        <v>0</v>
      </c>
      <c r="CR180" s="33">
        <v>0</v>
      </c>
    </row>
    <row r="181" spans="1:96" ht="15" customHeight="1" x14ac:dyDescent="0.25">
      <c r="A181" s="26">
        <v>179</v>
      </c>
      <c r="B181" s="27">
        <v>38</v>
      </c>
      <c r="C181" s="27">
        <v>0</v>
      </c>
      <c r="D181" s="27">
        <v>1</v>
      </c>
      <c r="E181" s="27">
        <v>1380</v>
      </c>
      <c r="F181" s="27">
        <v>2</v>
      </c>
      <c r="G181" s="27">
        <v>9</v>
      </c>
      <c r="H181" s="27">
        <v>2</v>
      </c>
      <c r="I181" s="27">
        <v>1</v>
      </c>
      <c r="J181" s="27">
        <v>1</v>
      </c>
      <c r="K181" s="27">
        <v>245</v>
      </c>
      <c r="L181" s="27">
        <v>3</v>
      </c>
      <c r="M181" s="27">
        <v>0</v>
      </c>
      <c r="N181" s="27">
        <v>75</v>
      </c>
      <c r="O181" s="27">
        <v>3</v>
      </c>
      <c r="P181" s="27">
        <v>1</v>
      </c>
      <c r="Q181" s="27">
        <v>3</v>
      </c>
      <c r="R181" s="27">
        <v>4</v>
      </c>
      <c r="S181" s="27">
        <v>1</v>
      </c>
      <c r="T181" s="27">
        <v>2288</v>
      </c>
      <c r="U181" s="27">
        <v>6319</v>
      </c>
      <c r="V181" s="27">
        <v>1</v>
      </c>
      <c r="W181" s="27">
        <v>0</v>
      </c>
      <c r="X181" s="27">
        <v>12</v>
      </c>
      <c r="Y181" s="27">
        <v>3</v>
      </c>
      <c r="Z181" s="27">
        <v>3</v>
      </c>
      <c r="AA181" s="27">
        <v>80</v>
      </c>
      <c r="AB181" s="27">
        <v>0</v>
      </c>
      <c r="AC181" s="27">
        <v>2</v>
      </c>
      <c r="AD181" s="27">
        <v>3</v>
      </c>
      <c r="AE181" s="27">
        <v>3</v>
      </c>
      <c r="AF181" s="27">
        <v>2</v>
      </c>
      <c r="AG181" s="27">
        <v>2</v>
      </c>
      <c r="AH181" s="27">
        <v>2</v>
      </c>
      <c r="AI181" s="28">
        <v>1</v>
      </c>
      <c r="AK181" s="36">
        <v>148</v>
      </c>
      <c r="AL181" s="33">
        <v>10</v>
      </c>
      <c r="AM181" s="33">
        <v>4</v>
      </c>
      <c r="AN181" s="33">
        <v>1</v>
      </c>
      <c r="AO181" s="33">
        <v>4</v>
      </c>
      <c r="AP181" s="33">
        <v>0</v>
      </c>
      <c r="AQ181" s="33">
        <v>1</v>
      </c>
      <c r="AR181" s="33">
        <v>2</v>
      </c>
      <c r="AS181" s="33">
        <v>7</v>
      </c>
      <c r="AT181" s="33">
        <v>7</v>
      </c>
      <c r="AU181" s="43">
        <v>8.8876025553135105E-2</v>
      </c>
      <c r="AV181" s="33">
        <v>0</v>
      </c>
      <c r="AW181" s="33">
        <v>0</v>
      </c>
      <c r="AY181" s="36">
        <v>153</v>
      </c>
      <c r="AZ181" s="33">
        <v>2</v>
      </c>
      <c r="BA181" s="33">
        <v>3</v>
      </c>
      <c r="BB181" s="33">
        <v>1</v>
      </c>
      <c r="BC181" s="33">
        <v>1</v>
      </c>
      <c r="BD181" s="43">
        <v>0.25031066197755131</v>
      </c>
      <c r="BE181" s="33">
        <v>0</v>
      </c>
      <c r="BF181" s="33">
        <v>0</v>
      </c>
      <c r="CE181" s="36">
        <v>147</v>
      </c>
      <c r="CF181" s="33">
        <v>2</v>
      </c>
      <c r="CG181" s="33">
        <v>1</v>
      </c>
      <c r="CH181" s="33">
        <v>4</v>
      </c>
      <c r="CI181" s="33">
        <v>1</v>
      </c>
      <c r="CJ181" s="33">
        <v>0</v>
      </c>
      <c r="CK181" s="33">
        <v>0</v>
      </c>
      <c r="CL181" s="33">
        <v>0</v>
      </c>
      <c r="CM181" s="33">
        <v>3</v>
      </c>
      <c r="CN181" s="33">
        <v>5</v>
      </c>
      <c r="CO181" s="33">
        <v>1</v>
      </c>
      <c r="CP181" s="43">
        <v>9.8615611732261244E-2</v>
      </c>
      <c r="CQ181" s="33">
        <v>0</v>
      </c>
      <c r="CR181" s="33">
        <v>0</v>
      </c>
    </row>
    <row r="182" spans="1:96" ht="15" customHeight="1" x14ac:dyDescent="0.25">
      <c r="A182" s="26">
        <v>180</v>
      </c>
      <c r="B182" s="27">
        <v>31</v>
      </c>
      <c r="C182" s="27">
        <v>0</v>
      </c>
      <c r="D182" s="27">
        <v>1</v>
      </c>
      <c r="E182" s="27">
        <v>140</v>
      </c>
      <c r="F182" s="27">
        <v>2</v>
      </c>
      <c r="G182" s="27">
        <v>12</v>
      </c>
      <c r="H182" s="27">
        <v>1</v>
      </c>
      <c r="I182" s="27">
        <v>3</v>
      </c>
      <c r="J182" s="27">
        <v>1</v>
      </c>
      <c r="K182" s="27">
        <v>246</v>
      </c>
      <c r="L182" s="27">
        <v>3</v>
      </c>
      <c r="M182" s="27">
        <v>0</v>
      </c>
      <c r="N182" s="27">
        <v>95</v>
      </c>
      <c r="O182" s="27">
        <v>3</v>
      </c>
      <c r="P182" s="27">
        <v>1</v>
      </c>
      <c r="Q182" s="27">
        <v>2</v>
      </c>
      <c r="R182" s="27">
        <v>4</v>
      </c>
      <c r="S182" s="27">
        <v>2</v>
      </c>
      <c r="T182" s="27">
        <v>3929</v>
      </c>
      <c r="U182" s="27">
        <v>6984</v>
      </c>
      <c r="V182" s="27">
        <v>8</v>
      </c>
      <c r="W182" s="27">
        <v>1</v>
      </c>
      <c r="X182" s="27">
        <v>23</v>
      </c>
      <c r="Y182" s="27">
        <v>4</v>
      </c>
      <c r="Z182" s="27">
        <v>3</v>
      </c>
      <c r="AA182" s="27">
        <v>80</v>
      </c>
      <c r="AB182" s="27">
        <v>1</v>
      </c>
      <c r="AC182" s="27">
        <v>7</v>
      </c>
      <c r="AD182" s="27">
        <v>0</v>
      </c>
      <c r="AE182" s="27">
        <v>3</v>
      </c>
      <c r="AF182" s="27">
        <v>4</v>
      </c>
      <c r="AG182" s="27">
        <v>2</v>
      </c>
      <c r="AH182" s="27">
        <v>0</v>
      </c>
      <c r="AI182" s="28">
        <v>2</v>
      </c>
      <c r="AK182" s="36">
        <v>149</v>
      </c>
      <c r="AL182" s="33">
        <v>9</v>
      </c>
      <c r="AM182" s="33">
        <v>1</v>
      </c>
      <c r="AN182" s="33">
        <v>1</v>
      </c>
      <c r="AO182" s="33">
        <v>2</v>
      </c>
      <c r="AP182" s="33">
        <v>0</v>
      </c>
      <c r="AQ182" s="33">
        <v>1</v>
      </c>
      <c r="AR182" s="33">
        <v>3</v>
      </c>
      <c r="AS182" s="33">
        <v>5</v>
      </c>
      <c r="AT182" s="33">
        <v>1</v>
      </c>
      <c r="AU182" s="43">
        <v>0.16209467292729329</v>
      </c>
      <c r="AV182" s="33">
        <v>0</v>
      </c>
      <c r="AW182" s="33">
        <v>0</v>
      </c>
      <c r="AY182" s="36">
        <v>154</v>
      </c>
      <c r="AZ182" s="33">
        <v>2</v>
      </c>
      <c r="BA182" s="33">
        <v>2</v>
      </c>
      <c r="BB182" s="33">
        <v>0</v>
      </c>
      <c r="BC182" s="33">
        <v>1</v>
      </c>
      <c r="BD182" s="43">
        <v>9.4721355311452843E-2</v>
      </c>
      <c r="BE182" s="33">
        <v>0</v>
      </c>
      <c r="BF182" s="33">
        <v>0</v>
      </c>
      <c r="CE182" s="36">
        <v>148</v>
      </c>
      <c r="CF182" s="33">
        <v>10</v>
      </c>
      <c r="CG182" s="33">
        <v>4</v>
      </c>
      <c r="CH182" s="33">
        <v>1</v>
      </c>
      <c r="CI182" s="33">
        <v>3</v>
      </c>
      <c r="CJ182" s="33">
        <v>4</v>
      </c>
      <c r="CK182" s="33">
        <v>0</v>
      </c>
      <c r="CL182" s="33">
        <v>1</v>
      </c>
      <c r="CM182" s="33">
        <v>2</v>
      </c>
      <c r="CN182" s="33">
        <v>7</v>
      </c>
      <c r="CO182" s="33">
        <v>7</v>
      </c>
      <c r="CP182" s="43">
        <v>5.6066398148576634E-2</v>
      </c>
      <c r="CQ182" s="33">
        <v>0</v>
      </c>
      <c r="CR182" s="33">
        <v>0</v>
      </c>
    </row>
    <row r="183" spans="1:96" ht="15" customHeight="1" x14ac:dyDescent="0.25">
      <c r="A183" s="26">
        <v>181</v>
      </c>
      <c r="B183" s="27">
        <v>34</v>
      </c>
      <c r="C183" s="27">
        <v>0</v>
      </c>
      <c r="D183" s="27">
        <v>1</v>
      </c>
      <c r="E183" s="27">
        <v>629</v>
      </c>
      <c r="F183" s="27">
        <v>2</v>
      </c>
      <c r="G183" s="27">
        <v>27</v>
      </c>
      <c r="H183" s="27">
        <v>2</v>
      </c>
      <c r="I183" s="27">
        <v>3</v>
      </c>
      <c r="J183" s="27">
        <v>1</v>
      </c>
      <c r="K183" s="27">
        <v>247</v>
      </c>
      <c r="L183" s="27">
        <v>4</v>
      </c>
      <c r="M183" s="27">
        <v>0</v>
      </c>
      <c r="N183" s="27">
        <v>95</v>
      </c>
      <c r="O183" s="27">
        <v>3</v>
      </c>
      <c r="P183" s="27">
        <v>1</v>
      </c>
      <c r="Q183" s="27">
        <v>2</v>
      </c>
      <c r="R183" s="27">
        <v>2</v>
      </c>
      <c r="S183" s="27">
        <v>1</v>
      </c>
      <c r="T183" s="27">
        <v>2311</v>
      </c>
      <c r="U183" s="27">
        <v>5711</v>
      </c>
      <c r="V183" s="27">
        <v>2</v>
      </c>
      <c r="W183" s="27">
        <v>0</v>
      </c>
      <c r="X183" s="27">
        <v>15</v>
      </c>
      <c r="Y183" s="27">
        <v>3</v>
      </c>
      <c r="Z183" s="27">
        <v>4</v>
      </c>
      <c r="AA183" s="27">
        <v>80</v>
      </c>
      <c r="AB183" s="27">
        <v>0</v>
      </c>
      <c r="AC183" s="27">
        <v>9</v>
      </c>
      <c r="AD183" s="27">
        <v>3</v>
      </c>
      <c r="AE183" s="27">
        <v>3</v>
      </c>
      <c r="AF183" s="27">
        <v>3</v>
      </c>
      <c r="AG183" s="27">
        <v>2</v>
      </c>
      <c r="AH183" s="27">
        <v>1</v>
      </c>
      <c r="AI183" s="28">
        <v>2</v>
      </c>
      <c r="AK183" s="36">
        <v>150</v>
      </c>
      <c r="AL183" s="33">
        <v>3</v>
      </c>
      <c r="AM183" s="33">
        <v>1</v>
      </c>
      <c r="AN183" s="33">
        <v>2</v>
      </c>
      <c r="AO183" s="33">
        <v>1</v>
      </c>
      <c r="AP183" s="33">
        <v>0</v>
      </c>
      <c r="AQ183" s="33">
        <v>0</v>
      </c>
      <c r="AR183" s="33">
        <v>3</v>
      </c>
      <c r="AS183" s="33">
        <v>1</v>
      </c>
      <c r="AT183" s="33">
        <v>0</v>
      </c>
      <c r="AU183" s="43">
        <v>0.18567531446837948</v>
      </c>
      <c r="AV183" s="33">
        <v>0</v>
      </c>
      <c r="AW183" s="33">
        <v>0</v>
      </c>
      <c r="AY183" s="36">
        <v>155</v>
      </c>
      <c r="AZ183" s="33">
        <v>3</v>
      </c>
      <c r="BA183" s="33">
        <v>4</v>
      </c>
      <c r="BB183" s="33">
        <v>0</v>
      </c>
      <c r="BC183" s="33">
        <v>0</v>
      </c>
      <c r="BD183" s="43">
        <v>5.3512841598087578E-2</v>
      </c>
      <c r="BE183" s="33">
        <v>0</v>
      </c>
      <c r="BF183" s="33">
        <v>0</v>
      </c>
      <c r="CE183" s="36">
        <v>149</v>
      </c>
      <c r="CF183" s="33">
        <v>9</v>
      </c>
      <c r="CG183" s="33">
        <v>1</v>
      </c>
      <c r="CH183" s="33">
        <v>1</v>
      </c>
      <c r="CI183" s="33">
        <v>2</v>
      </c>
      <c r="CJ183" s="33">
        <v>2</v>
      </c>
      <c r="CK183" s="33">
        <v>0</v>
      </c>
      <c r="CL183" s="33">
        <v>1</v>
      </c>
      <c r="CM183" s="33">
        <v>3</v>
      </c>
      <c r="CN183" s="33">
        <v>5</v>
      </c>
      <c r="CO183" s="33">
        <v>1</v>
      </c>
      <c r="CP183" s="43">
        <v>0.16046881157313808</v>
      </c>
      <c r="CQ183" s="33">
        <v>0</v>
      </c>
      <c r="CR183" s="33">
        <v>0</v>
      </c>
    </row>
    <row r="184" spans="1:96" ht="15" customHeight="1" x14ac:dyDescent="0.25">
      <c r="A184" s="26">
        <v>182</v>
      </c>
      <c r="B184" s="27">
        <v>41</v>
      </c>
      <c r="C184" s="27">
        <v>1</v>
      </c>
      <c r="D184" s="27">
        <v>1</v>
      </c>
      <c r="E184" s="27">
        <v>1356</v>
      </c>
      <c r="F184" s="27">
        <v>1</v>
      </c>
      <c r="G184" s="27">
        <v>20</v>
      </c>
      <c r="H184" s="27">
        <v>2</v>
      </c>
      <c r="I184" s="27">
        <v>4</v>
      </c>
      <c r="J184" s="27">
        <v>1</v>
      </c>
      <c r="K184" s="27">
        <v>248</v>
      </c>
      <c r="L184" s="27">
        <v>2</v>
      </c>
      <c r="M184" s="27">
        <v>0</v>
      </c>
      <c r="N184" s="27">
        <v>70</v>
      </c>
      <c r="O184" s="27">
        <v>3</v>
      </c>
      <c r="P184" s="27">
        <v>1</v>
      </c>
      <c r="Q184" s="27">
        <v>7</v>
      </c>
      <c r="R184" s="27">
        <v>2</v>
      </c>
      <c r="S184" s="27">
        <v>1</v>
      </c>
      <c r="T184" s="27">
        <v>3140</v>
      </c>
      <c r="U184" s="27">
        <v>21728</v>
      </c>
      <c r="V184" s="27">
        <v>1</v>
      </c>
      <c r="W184" s="27">
        <v>1</v>
      </c>
      <c r="X184" s="27">
        <v>22</v>
      </c>
      <c r="Y184" s="27">
        <v>4</v>
      </c>
      <c r="Z184" s="27">
        <v>4</v>
      </c>
      <c r="AA184" s="27">
        <v>80</v>
      </c>
      <c r="AB184" s="27">
        <v>0</v>
      </c>
      <c r="AC184" s="27">
        <v>4</v>
      </c>
      <c r="AD184" s="27">
        <v>5</v>
      </c>
      <c r="AE184" s="27">
        <v>2</v>
      </c>
      <c r="AF184" s="27">
        <v>4</v>
      </c>
      <c r="AG184" s="27">
        <v>3</v>
      </c>
      <c r="AH184" s="27">
        <v>0</v>
      </c>
      <c r="AI184" s="28">
        <v>2</v>
      </c>
      <c r="AK184" s="36">
        <v>151</v>
      </c>
      <c r="AL184" s="33">
        <v>26</v>
      </c>
      <c r="AM184" s="33">
        <v>2</v>
      </c>
      <c r="AN184" s="33">
        <v>2</v>
      </c>
      <c r="AO184" s="33">
        <v>1</v>
      </c>
      <c r="AP184" s="33">
        <v>0</v>
      </c>
      <c r="AQ184" s="33">
        <v>1</v>
      </c>
      <c r="AR184" s="33">
        <v>3</v>
      </c>
      <c r="AS184" s="33">
        <v>20</v>
      </c>
      <c r="AT184" s="33">
        <v>2</v>
      </c>
      <c r="AU184" s="43">
        <v>4.8951476362965422E-2</v>
      </c>
      <c r="AV184" s="33">
        <v>0</v>
      </c>
      <c r="AW184" s="33">
        <v>0</v>
      </c>
      <c r="AY184" s="36">
        <v>156</v>
      </c>
      <c r="AZ184" s="33">
        <v>2</v>
      </c>
      <c r="BA184" s="33">
        <v>3</v>
      </c>
      <c r="BB184" s="33">
        <v>0</v>
      </c>
      <c r="BC184" s="33">
        <v>1</v>
      </c>
      <c r="BD184" s="43">
        <v>7.244788656931947E-2</v>
      </c>
      <c r="BE184" s="33">
        <v>0</v>
      </c>
      <c r="BF184" s="33">
        <v>0</v>
      </c>
      <c r="CE184" s="36">
        <v>150</v>
      </c>
      <c r="CF184" s="33">
        <v>3</v>
      </c>
      <c r="CG184" s="33">
        <v>1</v>
      </c>
      <c r="CH184" s="33">
        <v>2</v>
      </c>
      <c r="CI184" s="33">
        <v>1</v>
      </c>
      <c r="CJ184" s="33">
        <v>1</v>
      </c>
      <c r="CK184" s="33">
        <v>0</v>
      </c>
      <c r="CL184" s="33">
        <v>0</v>
      </c>
      <c r="CM184" s="33">
        <v>3</v>
      </c>
      <c r="CN184" s="33">
        <v>1</v>
      </c>
      <c r="CO184" s="33">
        <v>0</v>
      </c>
      <c r="CP184" s="43">
        <v>0.21432766409546372</v>
      </c>
      <c r="CQ184" s="33">
        <v>0</v>
      </c>
      <c r="CR184" s="33">
        <v>0</v>
      </c>
    </row>
    <row r="185" spans="1:96" ht="15" customHeight="1" x14ac:dyDescent="0.25">
      <c r="A185" s="26">
        <v>183</v>
      </c>
      <c r="B185" s="27">
        <v>50</v>
      </c>
      <c r="C185" s="27">
        <v>0</v>
      </c>
      <c r="D185" s="27">
        <v>1</v>
      </c>
      <c r="E185" s="27">
        <v>328</v>
      </c>
      <c r="F185" s="27">
        <v>2</v>
      </c>
      <c r="G185" s="27">
        <v>1</v>
      </c>
      <c r="H185" s="27">
        <v>3</v>
      </c>
      <c r="I185" s="27">
        <v>3</v>
      </c>
      <c r="J185" s="27">
        <v>1</v>
      </c>
      <c r="K185" s="27">
        <v>249</v>
      </c>
      <c r="L185" s="27">
        <v>3</v>
      </c>
      <c r="M185" s="27">
        <v>1</v>
      </c>
      <c r="N185" s="27">
        <v>86</v>
      </c>
      <c r="O185" s="27">
        <v>2</v>
      </c>
      <c r="P185" s="27">
        <v>1</v>
      </c>
      <c r="Q185" s="27">
        <v>3</v>
      </c>
      <c r="R185" s="27">
        <v>3</v>
      </c>
      <c r="S185" s="27">
        <v>2</v>
      </c>
      <c r="T185" s="27">
        <v>3690</v>
      </c>
      <c r="U185" s="27">
        <v>3425</v>
      </c>
      <c r="V185" s="27">
        <v>2</v>
      </c>
      <c r="W185" s="27">
        <v>0</v>
      </c>
      <c r="X185" s="27">
        <v>15</v>
      </c>
      <c r="Y185" s="27">
        <v>3</v>
      </c>
      <c r="Z185" s="27">
        <v>4</v>
      </c>
      <c r="AA185" s="27">
        <v>80</v>
      </c>
      <c r="AB185" s="27">
        <v>1</v>
      </c>
      <c r="AC185" s="27">
        <v>5</v>
      </c>
      <c r="AD185" s="27">
        <v>2</v>
      </c>
      <c r="AE185" s="27">
        <v>2</v>
      </c>
      <c r="AF185" s="27">
        <v>3</v>
      </c>
      <c r="AG185" s="27">
        <v>2</v>
      </c>
      <c r="AH185" s="27">
        <v>0</v>
      </c>
      <c r="AI185" s="28">
        <v>2</v>
      </c>
      <c r="AK185" s="36">
        <v>152</v>
      </c>
      <c r="AL185" s="33">
        <v>1</v>
      </c>
      <c r="AM185" s="33">
        <v>3</v>
      </c>
      <c r="AN185" s="33">
        <v>2</v>
      </c>
      <c r="AO185" s="33">
        <v>1</v>
      </c>
      <c r="AP185" s="33">
        <v>0</v>
      </c>
      <c r="AQ185" s="33">
        <v>2</v>
      </c>
      <c r="AR185" s="33">
        <v>3</v>
      </c>
      <c r="AS185" s="33">
        <v>10</v>
      </c>
      <c r="AT185" s="33">
        <v>0</v>
      </c>
      <c r="AU185" s="43">
        <v>1.1751069392842954E-2</v>
      </c>
      <c r="AV185" s="33">
        <v>0</v>
      </c>
      <c r="AW185" s="33">
        <v>0</v>
      </c>
      <c r="AY185" s="36">
        <v>157</v>
      </c>
      <c r="AZ185" s="33">
        <v>2</v>
      </c>
      <c r="BA185" s="33">
        <v>3</v>
      </c>
      <c r="BB185" s="33">
        <v>0</v>
      </c>
      <c r="BC185" s="33">
        <v>0</v>
      </c>
      <c r="BD185" s="43">
        <v>0.11690772887050198</v>
      </c>
      <c r="BE185" s="33">
        <v>0</v>
      </c>
      <c r="BF185" s="33">
        <v>0</v>
      </c>
      <c r="CE185" s="36">
        <v>151</v>
      </c>
      <c r="CF185" s="33">
        <v>26</v>
      </c>
      <c r="CG185" s="33">
        <v>2</v>
      </c>
      <c r="CH185" s="33">
        <v>2</v>
      </c>
      <c r="CI185" s="33">
        <v>3</v>
      </c>
      <c r="CJ185" s="33">
        <v>1</v>
      </c>
      <c r="CK185" s="33">
        <v>0</v>
      </c>
      <c r="CL185" s="33">
        <v>1</v>
      </c>
      <c r="CM185" s="33">
        <v>3</v>
      </c>
      <c r="CN185" s="33">
        <v>20</v>
      </c>
      <c r="CO185" s="33">
        <v>2</v>
      </c>
      <c r="CP185" s="43">
        <v>2.7879927486323171E-2</v>
      </c>
      <c r="CQ185" s="33">
        <v>0</v>
      </c>
      <c r="CR185" s="33">
        <v>0</v>
      </c>
    </row>
    <row r="186" spans="1:96" ht="15" customHeight="1" x14ac:dyDescent="0.25">
      <c r="A186" s="26">
        <v>184</v>
      </c>
      <c r="B186" s="27">
        <v>53</v>
      </c>
      <c r="C186" s="27">
        <v>0</v>
      </c>
      <c r="D186" s="27">
        <v>1</v>
      </c>
      <c r="E186" s="27">
        <v>1084</v>
      </c>
      <c r="F186" s="27">
        <v>2</v>
      </c>
      <c r="G186" s="27">
        <v>13</v>
      </c>
      <c r="H186" s="27">
        <v>2</v>
      </c>
      <c r="I186" s="27">
        <v>3</v>
      </c>
      <c r="J186" s="27">
        <v>1</v>
      </c>
      <c r="K186" s="27">
        <v>250</v>
      </c>
      <c r="L186" s="27">
        <v>4</v>
      </c>
      <c r="M186" s="27">
        <v>0</v>
      </c>
      <c r="N186" s="27">
        <v>57</v>
      </c>
      <c r="O186" s="27">
        <v>4</v>
      </c>
      <c r="P186" s="27">
        <v>2</v>
      </c>
      <c r="Q186" s="27">
        <v>4</v>
      </c>
      <c r="R186" s="27">
        <v>1</v>
      </c>
      <c r="S186" s="27">
        <v>3</v>
      </c>
      <c r="T186" s="27">
        <v>4450</v>
      </c>
      <c r="U186" s="27">
        <v>26250</v>
      </c>
      <c r="V186" s="27">
        <v>1</v>
      </c>
      <c r="W186" s="27">
        <v>0</v>
      </c>
      <c r="X186" s="27">
        <v>11</v>
      </c>
      <c r="Y186" s="27">
        <v>3</v>
      </c>
      <c r="Z186" s="27">
        <v>3</v>
      </c>
      <c r="AA186" s="27">
        <v>80</v>
      </c>
      <c r="AB186" s="27">
        <v>2</v>
      </c>
      <c r="AC186" s="27">
        <v>5</v>
      </c>
      <c r="AD186" s="27">
        <v>3</v>
      </c>
      <c r="AE186" s="27">
        <v>3</v>
      </c>
      <c r="AF186" s="27">
        <v>4</v>
      </c>
      <c r="AG186" s="27">
        <v>2</v>
      </c>
      <c r="AH186" s="27">
        <v>1</v>
      </c>
      <c r="AI186" s="28">
        <v>3</v>
      </c>
      <c r="AK186" s="36">
        <v>153</v>
      </c>
      <c r="AL186" s="33">
        <v>6</v>
      </c>
      <c r="AM186" s="33">
        <v>2</v>
      </c>
      <c r="AN186" s="33">
        <v>3</v>
      </c>
      <c r="AO186" s="33">
        <v>2</v>
      </c>
      <c r="AP186" s="33">
        <v>1</v>
      </c>
      <c r="AQ186" s="33">
        <v>1</v>
      </c>
      <c r="AR186" s="33">
        <v>1</v>
      </c>
      <c r="AS186" s="33">
        <v>7</v>
      </c>
      <c r="AT186" s="33">
        <v>4</v>
      </c>
      <c r="AU186" s="43">
        <v>0.32233291308119966</v>
      </c>
      <c r="AV186" s="33">
        <v>0</v>
      </c>
      <c r="AW186" s="33">
        <v>0</v>
      </c>
      <c r="AY186" s="36">
        <v>158</v>
      </c>
      <c r="AZ186" s="33">
        <v>1</v>
      </c>
      <c r="BA186" s="33">
        <v>2</v>
      </c>
      <c r="BB186" s="33">
        <v>1</v>
      </c>
      <c r="BC186" s="33">
        <v>1</v>
      </c>
      <c r="BD186" s="43">
        <v>0.43876762926038776</v>
      </c>
      <c r="BE186" s="33">
        <v>0</v>
      </c>
      <c r="BF186" s="33">
        <v>0</v>
      </c>
      <c r="CE186" s="36">
        <v>152</v>
      </c>
      <c r="CF186" s="33">
        <v>1</v>
      </c>
      <c r="CG186" s="33">
        <v>3</v>
      </c>
      <c r="CH186" s="33">
        <v>2</v>
      </c>
      <c r="CI186" s="33">
        <v>2</v>
      </c>
      <c r="CJ186" s="33">
        <v>1</v>
      </c>
      <c r="CK186" s="33">
        <v>0</v>
      </c>
      <c r="CL186" s="33">
        <v>2</v>
      </c>
      <c r="CM186" s="33">
        <v>3</v>
      </c>
      <c r="CN186" s="33">
        <v>10</v>
      </c>
      <c r="CO186" s="33">
        <v>0</v>
      </c>
      <c r="CP186" s="43">
        <v>1.629801856901112E-2</v>
      </c>
      <c r="CQ186" s="33">
        <v>0</v>
      </c>
      <c r="CR186" s="33">
        <v>0</v>
      </c>
    </row>
    <row r="187" spans="1:96" ht="15" customHeight="1" x14ac:dyDescent="0.25">
      <c r="A187" s="26">
        <v>185</v>
      </c>
      <c r="B187" s="27">
        <v>33</v>
      </c>
      <c r="C187" s="27">
        <v>0</v>
      </c>
      <c r="D187" s="27">
        <v>1</v>
      </c>
      <c r="E187" s="27">
        <v>931</v>
      </c>
      <c r="F187" s="27">
        <v>2</v>
      </c>
      <c r="G187" s="27">
        <v>14</v>
      </c>
      <c r="H187" s="27">
        <v>3</v>
      </c>
      <c r="I187" s="27">
        <v>3</v>
      </c>
      <c r="J187" s="27">
        <v>1</v>
      </c>
      <c r="K187" s="27">
        <v>252</v>
      </c>
      <c r="L187" s="27">
        <v>4</v>
      </c>
      <c r="M187" s="27">
        <v>0</v>
      </c>
      <c r="N187" s="27">
        <v>72</v>
      </c>
      <c r="O187" s="27">
        <v>3</v>
      </c>
      <c r="P187" s="27">
        <v>1</v>
      </c>
      <c r="Q187" s="27">
        <v>2</v>
      </c>
      <c r="R187" s="27">
        <v>2</v>
      </c>
      <c r="S187" s="27">
        <v>2</v>
      </c>
      <c r="T187" s="27">
        <v>2756</v>
      </c>
      <c r="U187" s="27">
        <v>4673</v>
      </c>
      <c r="V187" s="27">
        <v>1</v>
      </c>
      <c r="W187" s="27">
        <v>0</v>
      </c>
      <c r="X187" s="27">
        <v>13</v>
      </c>
      <c r="Y187" s="27">
        <v>3</v>
      </c>
      <c r="Z187" s="27">
        <v>4</v>
      </c>
      <c r="AA187" s="27">
        <v>80</v>
      </c>
      <c r="AB187" s="27">
        <v>1</v>
      </c>
      <c r="AC187" s="27">
        <v>8</v>
      </c>
      <c r="AD187" s="27">
        <v>5</v>
      </c>
      <c r="AE187" s="27">
        <v>3</v>
      </c>
      <c r="AF187" s="27">
        <v>8</v>
      </c>
      <c r="AG187" s="27">
        <v>7</v>
      </c>
      <c r="AH187" s="27">
        <v>1</v>
      </c>
      <c r="AI187" s="28">
        <v>6</v>
      </c>
      <c r="AK187" s="36">
        <v>154</v>
      </c>
      <c r="AL187" s="33">
        <v>9</v>
      </c>
      <c r="AM187" s="33">
        <v>2</v>
      </c>
      <c r="AN187" s="33">
        <v>2</v>
      </c>
      <c r="AO187" s="33">
        <v>8</v>
      </c>
      <c r="AP187" s="33">
        <v>0</v>
      </c>
      <c r="AQ187" s="33">
        <v>1</v>
      </c>
      <c r="AR187" s="33">
        <v>1</v>
      </c>
      <c r="AS187" s="33">
        <v>17</v>
      </c>
      <c r="AT187" s="33">
        <v>0</v>
      </c>
      <c r="AU187" s="43">
        <v>7.6142375406894933E-2</v>
      </c>
      <c r="AV187" s="33">
        <v>0</v>
      </c>
      <c r="AW187" s="33">
        <v>0</v>
      </c>
      <c r="AY187" s="36">
        <v>159</v>
      </c>
      <c r="AZ187" s="33">
        <v>3</v>
      </c>
      <c r="BA187" s="33">
        <v>4</v>
      </c>
      <c r="BB187" s="33">
        <v>0</v>
      </c>
      <c r="BC187" s="33">
        <v>1</v>
      </c>
      <c r="BD187" s="43">
        <v>3.2280700557178299E-2</v>
      </c>
      <c r="BE187" s="33">
        <v>0</v>
      </c>
      <c r="BF187" s="33">
        <v>0</v>
      </c>
      <c r="CE187" s="36">
        <v>153</v>
      </c>
      <c r="CF187" s="33">
        <v>6</v>
      </c>
      <c r="CG187" s="33">
        <v>2</v>
      </c>
      <c r="CH187" s="33">
        <v>3</v>
      </c>
      <c r="CI187" s="33">
        <v>2</v>
      </c>
      <c r="CJ187" s="33">
        <v>2</v>
      </c>
      <c r="CK187" s="33">
        <v>1</v>
      </c>
      <c r="CL187" s="33">
        <v>1</v>
      </c>
      <c r="CM187" s="33">
        <v>1</v>
      </c>
      <c r="CN187" s="33">
        <v>7</v>
      </c>
      <c r="CO187" s="33">
        <v>4</v>
      </c>
      <c r="CP187" s="43">
        <v>0.33212261983516317</v>
      </c>
      <c r="CQ187" s="33">
        <v>0</v>
      </c>
      <c r="CR187" s="33">
        <v>0</v>
      </c>
    </row>
    <row r="188" spans="1:96" ht="15" customHeight="1" x14ac:dyDescent="0.25">
      <c r="A188" s="26">
        <v>186</v>
      </c>
      <c r="B188" s="27">
        <v>40</v>
      </c>
      <c r="C188" s="27">
        <v>0</v>
      </c>
      <c r="D188" s="27">
        <v>1</v>
      </c>
      <c r="E188" s="27">
        <v>989</v>
      </c>
      <c r="F188" s="27">
        <v>2</v>
      </c>
      <c r="G188" s="27">
        <v>4</v>
      </c>
      <c r="H188" s="27">
        <v>1</v>
      </c>
      <c r="I188" s="27">
        <v>3</v>
      </c>
      <c r="J188" s="27">
        <v>1</v>
      </c>
      <c r="K188" s="27">
        <v>253</v>
      </c>
      <c r="L188" s="27">
        <v>4</v>
      </c>
      <c r="M188" s="27">
        <v>0</v>
      </c>
      <c r="N188" s="27">
        <v>46</v>
      </c>
      <c r="O188" s="27">
        <v>3</v>
      </c>
      <c r="P188" s="27">
        <v>5</v>
      </c>
      <c r="Q188" s="27">
        <v>6</v>
      </c>
      <c r="R188" s="27">
        <v>3</v>
      </c>
      <c r="S188" s="27">
        <v>2</v>
      </c>
      <c r="T188" s="27">
        <v>19033</v>
      </c>
      <c r="U188" s="27">
        <v>6499</v>
      </c>
      <c r="V188" s="27">
        <v>1</v>
      </c>
      <c r="W188" s="27">
        <v>0</v>
      </c>
      <c r="X188" s="27">
        <v>14</v>
      </c>
      <c r="Y188" s="27">
        <v>3</v>
      </c>
      <c r="Z188" s="27">
        <v>2</v>
      </c>
      <c r="AA188" s="27">
        <v>80</v>
      </c>
      <c r="AB188" s="27">
        <v>1</v>
      </c>
      <c r="AC188" s="27">
        <v>21</v>
      </c>
      <c r="AD188" s="27">
        <v>2</v>
      </c>
      <c r="AE188" s="27">
        <v>3</v>
      </c>
      <c r="AF188" s="27">
        <v>20</v>
      </c>
      <c r="AG188" s="27">
        <v>8</v>
      </c>
      <c r="AH188" s="27">
        <v>9</v>
      </c>
      <c r="AI188" s="28">
        <v>9</v>
      </c>
      <c r="AK188" s="36">
        <v>155</v>
      </c>
      <c r="AL188" s="33">
        <v>8</v>
      </c>
      <c r="AM188" s="33">
        <v>3</v>
      </c>
      <c r="AN188" s="33">
        <v>4</v>
      </c>
      <c r="AO188" s="33">
        <v>1</v>
      </c>
      <c r="AP188" s="33">
        <v>0</v>
      </c>
      <c r="AQ188" s="33">
        <v>0</v>
      </c>
      <c r="AR188" s="33">
        <v>3</v>
      </c>
      <c r="AS188" s="33">
        <v>9</v>
      </c>
      <c r="AT188" s="33">
        <v>3</v>
      </c>
      <c r="AU188" s="43">
        <v>3.7899202571925299E-2</v>
      </c>
      <c r="AV188" s="33">
        <v>0</v>
      </c>
      <c r="AW188" s="33">
        <v>0</v>
      </c>
      <c r="AY188" s="36">
        <v>160</v>
      </c>
      <c r="AZ188" s="33">
        <v>1</v>
      </c>
      <c r="BA188" s="33">
        <v>3</v>
      </c>
      <c r="BB188" s="33">
        <v>0</v>
      </c>
      <c r="BC188" s="33">
        <v>1</v>
      </c>
      <c r="BD188" s="43">
        <v>0.12012271365792118</v>
      </c>
      <c r="BE188" s="33">
        <v>0</v>
      </c>
      <c r="BF188" s="33">
        <v>0</v>
      </c>
      <c r="CE188" s="36">
        <v>154</v>
      </c>
      <c r="CF188" s="33">
        <v>9</v>
      </c>
      <c r="CG188" s="33">
        <v>2</v>
      </c>
      <c r="CH188" s="33">
        <v>2</v>
      </c>
      <c r="CI188" s="33">
        <v>3</v>
      </c>
      <c r="CJ188" s="33">
        <v>8</v>
      </c>
      <c r="CK188" s="33">
        <v>0</v>
      </c>
      <c r="CL188" s="33">
        <v>1</v>
      </c>
      <c r="CM188" s="33">
        <v>1</v>
      </c>
      <c r="CN188" s="33">
        <v>17</v>
      </c>
      <c r="CO188" s="33">
        <v>0</v>
      </c>
      <c r="CP188" s="43">
        <v>4.5794199571325238E-2</v>
      </c>
      <c r="CQ188" s="33">
        <v>0</v>
      </c>
      <c r="CR188" s="33">
        <v>0</v>
      </c>
    </row>
    <row r="189" spans="1:96" ht="15" customHeight="1" x14ac:dyDescent="0.25">
      <c r="A189" s="26">
        <v>187</v>
      </c>
      <c r="B189" s="27">
        <v>55</v>
      </c>
      <c r="C189" s="27">
        <v>0</v>
      </c>
      <c r="D189" s="27">
        <v>1</v>
      </c>
      <c r="E189" s="27">
        <v>692</v>
      </c>
      <c r="F189" s="27">
        <v>2</v>
      </c>
      <c r="G189" s="27">
        <v>14</v>
      </c>
      <c r="H189" s="27">
        <v>4</v>
      </c>
      <c r="I189" s="27">
        <v>3</v>
      </c>
      <c r="J189" s="27">
        <v>1</v>
      </c>
      <c r="K189" s="27">
        <v>254</v>
      </c>
      <c r="L189" s="27">
        <v>3</v>
      </c>
      <c r="M189" s="27">
        <v>1</v>
      </c>
      <c r="N189" s="27">
        <v>61</v>
      </c>
      <c r="O189" s="27">
        <v>4</v>
      </c>
      <c r="P189" s="27">
        <v>5</v>
      </c>
      <c r="Q189" s="27">
        <v>8</v>
      </c>
      <c r="R189" s="27">
        <v>2</v>
      </c>
      <c r="S189" s="27">
        <v>1</v>
      </c>
      <c r="T189" s="27">
        <v>18722</v>
      </c>
      <c r="U189" s="27">
        <v>13339</v>
      </c>
      <c r="V189" s="27">
        <v>8</v>
      </c>
      <c r="W189" s="27">
        <v>0</v>
      </c>
      <c r="X189" s="27">
        <v>11</v>
      </c>
      <c r="Y189" s="27">
        <v>3</v>
      </c>
      <c r="Z189" s="27">
        <v>4</v>
      </c>
      <c r="AA189" s="27">
        <v>80</v>
      </c>
      <c r="AB189" s="27">
        <v>0</v>
      </c>
      <c r="AC189" s="27">
        <v>36</v>
      </c>
      <c r="AD189" s="27">
        <v>3</v>
      </c>
      <c r="AE189" s="27">
        <v>3</v>
      </c>
      <c r="AF189" s="27">
        <v>24</v>
      </c>
      <c r="AG189" s="27">
        <v>15</v>
      </c>
      <c r="AH189" s="27">
        <v>2</v>
      </c>
      <c r="AI189" s="28">
        <v>15</v>
      </c>
      <c r="AK189" s="36">
        <v>156</v>
      </c>
      <c r="AL189" s="33">
        <v>1</v>
      </c>
      <c r="AM189" s="33">
        <v>2</v>
      </c>
      <c r="AN189" s="33">
        <v>3</v>
      </c>
      <c r="AO189" s="33">
        <v>1</v>
      </c>
      <c r="AP189" s="33">
        <v>0</v>
      </c>
      <c r="AQ189" s="33">
        <v>1</v>
      </c>
      <c r="AR189" s="33">
        <v>3</v>
      </c>
      <c r="AS189" s="33">
        <v>10</v>
      </c>
      <c r="AT189" s="33">
        <v>0</v>
      </c>
      <c r="AU189" s="43">
        <v>2.6459816205374256E-2</v>
      </c>
      <c r="AV189" s="33">
        <v>0</v>
      </c>
      <c r="AW189" s="33">
        <v>0</v>
      </c>
      <c r="AY189" s="36">
        <v>161</v>
      </c>
      <c r="AZ189" s="33">
        <v>1</v>
      </c>
      <c r="BA189" s="33">
        <v>4</v>
      </c>
      <c r="BB189" s="33">
        <v>0</v>
      </c>
      <c r="BC189" s="33">
        <v>2</v>
      </c>
      <c r="BD189" s="43">
        <v>5.6717470552978752E-2</v>
      </c>
      <c r="BE189" s="33">
        <v>0</v>
      </c>
      <c r="BF189" s="33">
        <v>0</v>
      </c>
      <c r="CE189" s="36">
        <v>155</v>
      </c>
      <c r="CF189" s="33">
        <v>8</v>
      </c>
      <c r="CG189" s="33">
        <v>3</v>
      </c>
      <c r="CH189" s="33">
        <v>4</v>
      </c>
      <c r="CI189" s="33">
        <v>1</v>
      </c>
      <c r="CJ189" s="33">
        <v>1</v>
      </c>
      <c r="CK189" s="33">
        <v>0</v>
      </c>
      <c r="CL189" s="33">
        <v>0</v>
      </c>
      <c r="CM189" s="33">
        <v>3</v>
      </c>
      <c r="CN189" s="33">
        <v>9</v>
      </c>
      <c r="CO189" s="33">
        <v>3</v>
      </c>
      <c r="CP189" s="43">
        <v>4.4553632595120345E-2</v>
      </c>
      <c r="CQ189" s="33">
        <v>0</v>
      </c>
      <c r="CR189" s="33">
        <v>0</v>
      </c>
    </row>
    <row r="190" spans="1:96" ht="15" customHeight="1" x14ac:dyDescent="0.25">
      <c r="A190" s="26">
        <v>188</v>
      </c>
      <c r="B190" s="27">
        <v>34</v>
      </c>
      <c r="C190" s="27">
        <v>0</v>
      </c>
      <c r="D190" s="27">
        <v>2</v>
      </c>
      <c r="E190" s="27">
        <v>1069</v>
      </c>
      <c r="F190" s="27">
        <v>2</v>
      </c>
      <c r="G190" s="27">
        <v>2</v>
      </c>
      <c r="H190" s="27">
        <v>1</v>
      </c>
      <c r="I190" s="27">
        <v>1</v>
      </c>
      <c r="J190" s="27">
        <v>1</v>
      </c>
      <c r="K190" s="27">
        <v>256</v>
      </c>
      <c r="L190" s="27">
        <v>4</v>
      </c>
      <c r="M190" s="27">
        <v>1</v>
      </c>
      <c r="N190" s="27">
        <v>45</v>
      </c>
      <c r="O190" s="27">
        <v>2</v>
      </c>
      <c r="P190" s="27">
        <v>2</v>
      </c>
      <c r="Q190" s="27">
        <v>4</v>
      </c>
      <c r="R190" s="27">
        <v>3</v>
      </c>
      <c r="S190" s="27">
        <v>2</v>
      </c>
      <c r="T190" s="27">
        <v>9547</v>
      </c>
      <c r="U190" s="27">
        <v>14074</v>
      </c>
      <c r="V190" s="27">
        <v>1</v>
      </c>
      <c r="W190" s="27">
        <v>0</v>
      </c>
      <c r="X190" s="27">
        <v>17</v>
      </c>
      <c r="Y190" s="27">
        <v>3</v>
      </c>
      <c r="Z190" s="27">
        <v>3</v>
      </c>
      <c r="AA190" s="27">
        <v>80</v>
      </c>
      <c r="AB190" s="27">
        <v>0</v>
      </c>
      <c r="AC190" s="27">
        <v>10</v>
      </c>
      <c r="AD190" s="27">
        <v>2</v>
      </c>
      <c r="AE190" s="27">
        <v>2</v>
      </c>
      <c r="AF190" s="27">
        <v>10</v>
      </c>
      <c r="AG190" s="27">
        <v>9</v>
      </c>
      <c r="AH190" s="27">
        <v>1</v>
      </c>
      <c r="AI190" s="28">
        <v>9</v>
      </c>
      <c r="AK190" s="36">
        <v>157</v>
      </c>
      <c r="AL190" s="33">
        <v>7</v>
      </c>
      <c r="AM190" s="33">
        <v>2</v>
      </c>
      <c r="AN190" s="33">
        <v>3</v>
      </c>
      <c r="AO190" s="33">
        <v>2</v>
      </c>
      <c r="AP190" s="33">
        <v>0</v>
      </c>
      <c r="AQ190" s="33">
        <v>0</v>
      </c>
      <c r="AR190" s="33">
        <v>3</v>
      </c>
      <c r="AS190" s="33">
        <v>1</v>
      </c>
      <c r="AT190" s="33">
        <v>0</v>
      </c>
      <c r="AU190" s="43">
        <v>0.10876331769822015</v>
      </c>
      <c r="AV190" s="33">
        <v>0</v>
      </c>
      <c r="AW190" s="33">
        <v>0</v>
      </c>
      <c r="AY190" s="36">
        <v>162</v>
      </c>
      <c r="AZ190" s="33">
        <v>1</v>
      </c>
      <c r="BA190" s="33">
        <v>2</v>
      </c>
      <c r="BB190" s="33">
        <v>0</v>
      </c>
      <c r="BC190" s="33">
        <v>1</v>
      </c>
      <c r="BD190" s="43">
        <v>0.15461023487664</v>
      </c>
      <c r="BE190" s="33">
        <v>0</v>
      </c>
      <c r="BF190" s="33">
        <v>0</v>
      </c>
      <c r="CE190" s="36">
        <v>156</v>
      </c>
      <c r="CF190" s="33">
        <v>1</v>
      </c>
      <c r="CG190" s="33">
        <v>2</v>
      </c>
      <c r="CH190" s="33">
        <v>3</v>
      </c>
      <c r="CI190" s="33">
        <v>2</v>
      </c>
      <c r="CJ190" s="33">
        <v>1</v>
      </c>
      <c r="CK190" s="33">
        <v>0</v>
      </c>
      <c r="CL190" s="33">
        <v>1</v>
      </c>
      <c r="CM190" s="33">
        <v>3</v>
      </c>
      <c r="CN190" s="33">
        <v>10</v>
      </c>
      <c r="CO190" s="33">
        <v>0</v>
      </c>
      <c r="CP190" s="43">
        <v>2.5400962721067257E-2</v>
      </c>
      <c r="CQ190" s="33">
        <v>0</v>
      </c>
      <c r="CR190" s="33">
        <v>0</v>
      </c>
    </row>
    <row r="191" spans="1:96" ht="15" customHeight="1" x14ac:dyDescent="0.25">
      <c r="A191" s="26">
        <v>189</v>
      </c>
      <c r="B191" s="27">
        <v>51</v>
      </c>
      <c r="C191" s="27">
        <v>0</v>
      </c>
      <c r="D191" s="27">
        <v>1</v>
      </c>
      <c r="E191" s="27">
        <v>313</v>
      </c>
      <c r="F191" s="27">
        <v>2</v>
      </c>
      <c r="G191" s="27">
        <v>3</v>
      </c>
      <c r="H191" s="27">
        <v>3</v>
      </c>
      <c r="I191" s="27">
        <v>3</v>
      </c>
      <c r="J191" s="27">
        <v>1</v>
      </c>
      <c r="K191" s="27">
        <v>258</v>
      </c>
      <c r="L191" s="27">
        <v>4</v>
      </c>
      <c r="M191" s="27">
        <v>0</v>
      </c>
      <c r="N191" s="27">
        <v>98</v>
      </c>
      <c r="O191" s="27">
        <v>3</v>
      </c>
      <c r="P191" s="27">
        <v>4</v>
      </c>
      <c r="Q191" s="27">
        <v>5</v>
      </c>
      <c r="R191" s="27">
        <v>2</v>
      </c>
      <c r="S191" s="27">
        <v>1</v>
      </c>
      <c r="T191" s="27">
        <v>13734</v>
      </c>
      <c r="U191" s="27">
        <v>7192</v>
      </c>
      <c r="V191" s="27">
        <v>3</v>
      </c>
      <c r="W191" s="27">
        <v>0</v>
      </c>
      <c r="X191" s="27">
        <v>18</v>
      </c>
      <c r="Y191" s="27">
        <v>3</v>
      </c>
      <c r="Z191" s="27">
        <v>3</v>
      </c>
      <c r="AA191" s="27">
        <v>80</v>
      </c>
      <c r="AB191" s="27">
        <v>0</v>
      </c>
      <c r="AC191" s="27">
        <v>21</v>
      </c>
      <c r="AD191" s="27">
        <v>6</v>
      </c>
      <c r="AE191" s="27">
        <v>3</v>
      </c>
      <c r="AF191" s="27">
        <v>7</v>
      </c>
      <c r="AG191" s="27">
        <v>7</v>
      </c>
      <c r="AH191" s="27">
        <v>1</v>
      </c>
      <c r="AI191" s="28">
        <v>0</v>
      </c>
      <c r="AK191" s="36">
        <v>158</v>
      </c>
      <c r="AL191" s="33">
        <v>9</v>
      </c>
      <c r="AM191" s="33">
        <v>1</v>
      </c>
      <c r="AN191" s="33">
        <v>2</v>
      </c>
      <c r="AO191" s="33">
        <v>4</v>
      </c>
      <c r="AP191" s="33">
        <v>1</v>
      </c>
      <c r="AQ191" s="33">
        <v>1</v>
      </c>
      <c r="AR191" s="33">
        <v>2</v>
      </c>
      <c r="AS191" s="33">
        <v>1</v>
      </c>
      <c r="AT191" s="33">
        <v>0</v>
      </c>
      <c r="AU191" s="43">
        <v>0.52899652670522512</v>
      </c>
      <c r="AV191" s="33">
        <v>1</v>
      </c>
      <c r="AW191" s="33">
        <v>0</v>
      </c>
      <c r="AY191" s="36">
        <v>163</v>
      </c>
      <c r="AZ191" s="33">
        <v>1</v>
      </c>
      <c r="BA191" s="33">
        <v>4</v>
      </c>
      <c r="BB191" s="33">
        <v>0</v>
      </c>
      <c r="BC191" s="33">
        <v>1</v>
      </c>
      <c r="BD191" s="43">
        <v>9.2486413274924434E-2</v>
      </c>
      <c r="BE191" s="33">
        <v>0</v>
      </c>
      <c r="BF191" s="33">
        <v>0</v>
      </c>
      <c r="CE191" s="36">
        <v>157</v>
      </c>
      <c r="CF191" s="33">
        <v>7</v>
      </c>
      <c r="CG191" s="33">
        <v>2</v>
      </c>
      <c r="CH191" s="33">
        <v>3</v>
      </c>
      <c r="CI191" s="33">
        <v>2</v>
      </c>
      <c r="CJ191" s="33">
        <v>2</v>
      </c>
      <c r="CK191" s="33">
        <v>0</v>
      </c>
      <c r="CL191" s="33">
        <v>0</v>
      </c>
      <c r="CM191" s="33">
        <v>3</v>
      </c>
      <c r="CN191" s="33">
        <v>1</v>
      </c>
      <c r="CO191" s="33">
        <v>0</v>
      </c>
      <c r="CP191" s="43">
        <v>7.6917007403885407E-2</v>
      </c>
      <c r="CQ191" s="33">
        <v>0</v>
      </c>
      <c r="CR191" s="33">
        <v>0</v>
      </c>
    </row>
    <row r="192" spans="1:96" ht="15" customHeight="1" x14ac:dyDescent="0.25">
      <c r="A192" s="26">
        <v>190</v>
      </c>
      <c r="B192" s="27">
        <v>52</v>
      </c>
      <c r="C192" s="27">
        <v>0</v>
      </c>
      <c r="D192" s="27">
        <v>1</v>
      </c>
      <c r="E192" s="27">
        <v>699</v>
      </c>
      <c r="F192" s="27">
        <v>2</v>
      </c>
      <c r="G192" s="27">
        <v>1</v>
      </c>
      <c r="H192" s="27">
        <v>4</v>
      </c>
      <c r="I192" s="27">
        <v>1</v>
      </c>
      <c r="J192" s="27">
        <v>1</v>
      </c>
      <c r="K192" s="27">
        <v>259</v>
      </c>
      <c r="L192" s="27">
        <v>3</v>
      </c>
      <c r="M192" s="27">
        <v>1</v>
      </c>
      <c r="N192" s="27">
        <v>65</v>
      </c>
      <c r="O192" s="27">
        <v>2</v>
      </c>
      <c r="P192" s="27">
        <v>5</v>
      </c>
      <c r="Q192" s="27">
        <v>6</v>
      </c>
      <c r="R192" s="27">
        <v>3</v>
      </c>
      <c r="S192" s="27">
        <v>2</v>
      </c>
      <c r="T192" s="27">
        <v>19999</v>
      </c>
      <c r="U192" s="27">
        <v>5678</v>
      </c>
      <c r="V192" s="27">
        <v>0</v>
      </c>
      <c r="W192" s="27">
        <v>0</v>
      </c>
      <c r="X192" s="27">
        <v>14</v>
      </c>
      <c r="Y192" s="27">
        <v>3</v>
      </c>
      <c r="Z192" s="27">
        <v>1</v>
      </c>
      <c r="AA192" s="27">
        <v>80</v>
      </c>
      <c r="AB192" s="27">
        <v>1</v>
      </c>
      <c r="AC192" s="27">
        <v>34</v>
      </c>
      <c r="AD192" s="27">
        <v>5</v>
      </c>
      <c r="AE192" s="27">
        <v>3</v>
      </c>
      <c r="AF192" s="27">
        <v>33</v>
      </c>
      <c r="AG192" s="27">
        <v>18</v>
      </c>
      <c r="AH192" s="27">
        <v>11</v>
      </c>
      <c r="AI192" s="28">
        <v>9</v>
      </c>
      <c r="AK192" s="36">
        <v>159</v>
      </c>
      <c r="AL192" s="33">
        <v>4</v>
      </c>
      <c r="AM192" s="33">
        <v>3</v>
      </c>
      <c r="AN192" s="33">
        <v>4</v>
      </c>
      <c r="AO192" s="33">
        <v>7</v>
      </c>
      <c r="AP192" s="33">
        <v>0</v>
      </c>
      <c r="AQ192" s="33">
        <v>1</v>
      </c>
      <c r="AR192" s="33">
        <v>2</v>
      </c>
      <c r="AS192" s="33">
        <v>12</v>
      </c>
      <c r="AT192" s="33">
        <v>2</v>
      </c>
      <c r="AU192" s="43">
        <v>2.8496448410100378E-2</v>
      </c>
      <c r="AV192" s="33">
        <v>0</v>
      </c>
      <c r="AW192" s="33">
        <v>0</v>
      </c>
      <c r="AY192" s="36">
        <v>164</v>
      </c>
      <c r="AZ192" s="33">
        <v>3</v>
      </c>
      <c r="BA192" s="33">
        <v>4</v>
      </c>
      <c r="BB192" s="33">
        <v>1</v>
      </c>
      <c r="BC192" s="33">
        <v>1</v>
      </c>
      <c r="BD192" s="43">
        <v>0.12479921665315721</v>
      </c>
      <c r="BE192" s="33">
        <v>0</v>
      </c>
      <c r="BF192" s="33">
        <v>0</v>
      </c>
      <c r="CE192" s="36">
        <v>158</v>
      </c>
      <c r="CF192" s="33">
        <v>9</v>
      </c>
      <c r="CG192" s="33">
        <v>1</v>
      </c>
      <c r="CH192" s="33">
        <v>2</v>
      </c>
      <c r="CI192" s="33">
        <v>2</v>
      </c>
      <c r="CJ192" s="33">
        <v>4</v>
      </c>
      <c r="CK192" s="33">
        <v>1</v>
      </c>
      <c r="CL192" s="33">
        <v>1</v>
      </c>
      <c r="CM192" s="33">
        <v>2</v>
      </c>
      <c r="CN192" s="33">
        <v>1</v>
      </c>
      <c r="CO192" s="33">
        <v>0</v>
      </c>
      <c r="CP192" s="43">
        <v>0.53604937405145947</v>
      </c>
      <c r="CQ192" s="33">
        <v>1</v>
      </c>
      <c r="CR192" s="33">
        <v>0</v>
      </c>
    </row>
    <row r="193" spans="1:96" ht="15" customHeight="1" x14ac:dyDescent="0.25">
      <c r="A193" s="26">
        <v>191</v>
      </c>
      <c r="B193" s="27">
        <v>27</v>
      </c>
      <c r="C193" s="27">
        <v>0</v>
      </c>
      <c r="D193" s="27">
        <v>1</v>
      </c>
      <c r="E193" s="27">
        <v>894</v>
      </c>
      <c r="F193" s="27">
        <v>2</v>
      </c>
      <c r="G193" s="27">
        <v>9</v>
      </c>
      <c r="H193" s="27">
        <v>3</v>
      </c>
      <c r="I193" s="27">
        <v>3</v>
      </c>
      <c r="J193" s="27">
        <v>1</v>
      </c>
      <c r="K193" s="27">
        <v>260</v>
      </c>
      <c r="L193" s="27">
        <v>4</v>
      </c>
      <c r="M193" s="27">
        <v>0</v>
      </c>
      <c r="N193" s="27">
        <v>99</v>
      </c>
      <c r="O193" s="27">
        <v>3</v>
      </c>
      <c r="P193" s="27">
        <v>1</v>
      </c>
      <c r="Q193" s="27">
        <v>2</v>
      </c>
      <c r="R193" s="27">
        <v>2</v>
      </c>
      <c r="S193" s="27">
        <v>1</v>
      </c>
      <c r="T193" s="27">
        <v>2279</v>
      </c>
      <c r="U193" s="27">
        <v>11781</v>
      </c>
      <c r="V193" s="27">
        <v>1</v>
      </c>
      <c r="W193" s="27">
        <v>0</v>
      </c>
      <c r="X193" s="27">
        <v>16</v>
      </c>
      <c r="Y193" s="27">
        <v>3</v>
      </c>
      <c r="Z193" s="27">
        <v>4</v>
      </c>
      <c r="AA193" s="27">
        <v>80</v>
      </c>
      <c r="AB193" s="27">
        <v>0</v>
      </c>
      <c r="AC193" s="27">
        <v>7</v>
      </c>
      <c r="AD193" s="27">
        <v>2</v>
      </c>
      <c r="AE193" s="27">
        <v>2</v>
      </c>
      <c r="AF193" s="27">
        <v>7</v>
      </c>
      <c r="AG193" s="27">
        <v>7</v>
      </c>
      <c r="AH193" s="27">
        <v>0</v>
      </c>
      <c r="AI193" s="28">
        <v>3</v>
      </c>
      <c r="AK193" s="36">
        <v>160</v>
      </c>
      <c r="AL193" s="33">
        <v>2</v>
      </c>
      <c r="AM193" s="33">
        <v>1</v>
      </c>
      <c r="AN193" s="33">
        <v>3</v>
      </c>
      <c r="AO193" s="33">
        <v>6</v>
      </c>
      <c r="AP193" s="33">
        <v>0</v>
      </c>
      <c r="AQ193" s="33">
        <v>1</v>
      </c>
      <c r="AR193" s="33">
        <v>3</v>
      </c>
      <c r="AS193" s="33">
        <v>4</v>
      </c>
      <c r="AT193" s="33">
        <v>1</v>
      </c>
      <c r="AU193" s="43">
        <v>0.11363090270467255</v>
      </c>
      <c r="AV193" s="33">
        <v>0</v>
      </c>
      <c r="AW193" s="33">
        <v>0</v>
      </c>
      <c r="AY193" s="36">
        <v>165</v>
      </c>
      <c r="AZ193" s="33">
        <v>1</v>
      </c>
      <c r="BA193" s="33">
        <v>3</v>
      </c>
      <c r="BB193" s="33">
        <v>1</v>
      </c>
      <c r="BC193" s="33">
        <v>1</v>
      </c>
      <c r="BD193" s="43">
        <v>0.36852652578740397</v>
      </c>
      <c r="BE193" s="33">
        <v>0</v>
      </c>
      <c r="BF193" s="33">
        <v>0</v>
      </c>
      <c r="CE193" s="36">
        <v>159</v>
      </c>
      <c r="CF193" s="33">
        <v>4</v>
      </c>
      <c r="CG193" s="33">
        <v>3</v>
      </c>
      <c r="CH193" s="33">
        <v>4</v>
      </c>
      <c r="CI193" s="33">
        <v>2</v>
      </c>
      <c r="CJ193" s="33">
        <v>7</v>
      </c>
      <c r="CK193" s="33">
        <v>0</v>
      </c>
      <c r="CL193" s="33">
        <v>1</v>
      </c>
      <c r="CM193" s="33">
        <v>2</v>
      </c>
      <c r="CN193" s="33">
        <v>12</v>
      </c>
      <c r="CO193" s="33">
        <v>2</v>
      </c>
      <c r="CP193" s="43">
        <v>2.7962891137541929E-2</v>
      </c>
      <c r="CQ193" s="33">
        <v>0</v>
      </c>
      <c r="CR193" s="33">
        <v>0</v>
      </c>
    </row>
    <row r="194" spans="1:96" ht="15" customHeight="1" x14ac:dyDescent="0.25">
      <c r="A194" s="26">
        <v>192</v>
      </c>
      <c r="B194" s="27">
        <v>35</v>
      </c>
      <c r="C194" s="27">
        <v>1</v>
      </c>
      <c r="D194" s="27">
        <v>1</v>
      </c>
      <c r="E194" s="27">
        <v>556</v>
      </c>
      <c r="F194" s="27">
        <v>2</v>
      </c>
      <c r="G194" s="27">
        <v>23</v>
      </c>
      <c r="H194" s="27">
        <v>2</v>
      </c>
      <c r="I194" s="27">
        <v>1</v>
      </c>
      <c r="J194" s="27">
        <v>1</v>
      </c>
      <c r="K194" s="27">
        <v>261</v>
      </c>
      <c r="L194" s="27">
        <v>2</v>
      </c>
      <c r="M194" s="27">
        <v>1</v>
      </c>
      <c r="N194" s="27">
        <v>50</v>
      </c>
      <c r="O194" s="27">
        <v>2</v>
      </c>
      <c r="P194" s="27">
        <v>2</v>
      </c>
      <c r="Q194" s="27">
        <v>4</v>
      </c>
      <c r="R194" s="27">
        <v>3</v>
      </c>
      <c r="S194" s="27">
        <v>2</v>
      </c>
      <c r="T194" s="27">
        <v>5916</v>
      </c>
      <c r="U194" s="27">
        <v>15497</v>
      </c>
      <c r="V194" s="27">
        <v>3</v>
      </c>
      <c r="W194" s="27">
        <v>1</v>
      </c>
      <c r="X194" s="27">
        <v>13</v>
      </c>
      <c r="Y194" s="27">
        <v>3</v>
      </c>
      <c r="Z194" s="27">
        <v>1</v>
      </c>
      <c r="AA194" s="27">
        <v>80</v>
      </c>
      <c r="AB194" s="27">
        <v>0</v>
      </c>
      <c r="AC194" s="27">
        <v>8</v>
      </c>
      <c r="AD194" s="27">
        <v>1</v>
      </c>
      <c r="AE194" s="27">
        <v>3</v>
      </c>
      <c r="AF194" s="27">
        <v>1</v>
      </c>
      <c r="AG194" s="27">
        <v>0</v>
      </c>
      <c r="AH194" s="27">
        <v>0</v>
      </c>
      <c r="AI194" s="28">
        <v>1</v>
      </c>
      <c r="AK194" s="36">
        <v>161</v>
      </c>
      <c r="AL194" s="33">
        <v>19</v>
      </c>
      <c r="AM194" s="33">
        <v>1</v>
      </c>
      <c r="AN194" s="33">
        <v>4</v>
      </c>
      <c r="AO194" s="33">
        <v>1</v>
      </c>
      <c r="AP194" s="33">
        <v>0</v>
      </c>
      <c r="AQ194" s="33">
        <v>2</v>
      </c>
      <c r="AR194" s="33">
        <v>3</v>
      </c>
      <c r="AS194" s="33">
        <v>2</v>
      </c>
      <c r="AT194" s="33">
        <v>2</v>
      </c>
      <c r="AU194" s="43">
        <v>7.5586279662540681E-2</v>
      </c>
      <c r="AV194" s="33">
        <v>0</v>
      </c>
      <c r="AW194" s="33">
        <v>0</v>
      </c>
      <c r="AY194" s="36">
        <v>166</v>
      </c>
      <c r="AZ194" s="33">
        <v>5</v>
      </c>
      <c r="BA194" s="33">
        <v>2</v>
      </c>
      <c r="BB194" s="33">
        <v>0</v>
      </c>
      <c r="BC194" s="33">
        <v>0</v>
      </c>
      <c r="BD194" s="43">
        <v>3.2142518215720908E-2</v>
      </c>
      <c r="BE194" s="33">
        <v>0</v>
      </c>
      <c r="BF194" s="33">
        <v>0</v>
      </c>
      <c r="CE194" s="36">
        <v>160</v>
      </c>
      <c r="CF194" s="33">
        <v>2</v>
      </c>
      <c r="CG194" s="33">
        <v>1</v>
      </c>
      <c r="CH194" s="33">
        <v>3</v>
      </c>
      <c r="CI194" s="33">
        <v>2</v>
      </c>
      <c r="CJ194" s="33">
        <v>6</v>
      </c>
      <c r="CK194" s="33">
        <v>0</v>
      </c>
      <c r="CL194" s="33">
        <v>1</v>
      </c>
      <c r="CM194" s="33">
        <v>3</v>
      </c>
      <c r="CN194" s="33">
        <v>4</v>
      </c>
      <c r="CO194" s="33">
        <v>1</v>
      </c>
      <c r="CP194" s="43">
        <v>0.10967797204311641</v>
      </c>
      <c r="CQ194" s="33">
        <v>0</v>
      </c>
      <c r="CR194" s="33">
        <v>0</v>
      </c>
    </row>
    <row r="195" spans="1:96" ht="15" customHeight="1" x14ac:dyDescent="0.25">
      <c r="A195" s="26">
        <v>193</v>
      </c>
      <c r="B195" s="27">
        <v>43</v>
      </c>
      <c r="C195" s="27">
        <v>0</v>
      </c>
      <c r="D195" s="27">
        <v>3</v>
      </c>
      <c r="E195" s="27">
        <v>1344</v>
      </c>
      <c r="F195" s="27">
        <v>2</v>
      </c>
      <c r="G195" s="27">
        <v>7</v>
      </c>
      <c r="H195" s="27">
        <v>3</v>
      </c>
      <c r="I195" s="27">
        <v>3</v>
      </c>
      <c r="J195" s="27">
        <v>1</v>
      </c>
      <c r="K195" s="27">
        <v>262</v>
      </c>
      <c r="L195" s="27">
        <v>4</v>
      </c>
      <c r="M195" s="27">
        <v>1</v>
      </c>
      <c r="N195" s="27">
        <v>37</v>
      </c>
      <c r="O195" s="27">
        <v>4</v>
      </c>
      <c r="P195" s="27">
        <v>1</v>
      </c>
      <c r="Q195" s="27">
        <v>2</v>
      </c>
      <c r="R195" s="27">
        <v>4</v>
      </c>
      <c r="S195" s="27">
        <v>3</v>
      </c>
      <c r="T195" s="27">
        <v>2089</v>
      </c>
      <c r="U195" s="27">
        <v>5228</v>
      </c>
      <c r="V195" s="27">
        <v>4</v>
      </c>
      <c r="W195" s="27">
        <v>0</v>
      </c>
      <c r="X195" s="27">
        <v>14</v>
      </c>
      <c r="Y195" s="27">
        <v>3</v>
      </c>
      <c r="Z195" s="27">
        <v>4</v>
      </c>
      <c r="AA195" s="27">
        <v>80</v>
      </c>
      <c r="AB195" s="27">
        <v>3</v>
      </c>
      <c r="AC195" s="27">
        <v>7</v>
      </c>
      <c r="AD195" s="27">
        <v>3</v>
      </c>
      <c r="AE195" s="27">
        <v>4</v>
      </c>
      <c r="AF195" s="27">
        <v>5</v>
      </c>
      <c r="AG195" s="27">
        <v>4</v>
      </c>
      <c r="AH195" s="27">
        <v>2</v>
      </c>
      <c r="AI195" s="28">
        <v>2</v>
      </c>
      <c r="AK195" s="36">
        <v>162</v>
      </c>
      <c r="AL195" s="33">
        <v>9</v>
      </c>
      <c r="AM195" s="33">
        <v>1</v>
      </c>
      <c r="AN195" s="33">
        <v>2</v>
      </c>
      <c r="AO195" s="33">
        <v>6</v>
      </c>
      <c r="AP195" s="33">
        <v>0</v>
      </c>
      <c r="AQ195" s="33">
        <v>1</v>
      </c>
      <c r="AR195" s="33">
        <v>1</v>
      </c>
      <c r="AS195" s="33">
        <v>2</v>
      </c>
      <c r="AT195" s="33">
        <v>2</v>
      </c>
      <c r="AU195" s="43">
        <v>0.30915681705935483</v>
      </c>
      <c r="AV195" s="33">
        <v>0</v>
      </c>
      <c r="AW195" s="33">
        <v>0</v>
      </c>
      <c r="AY195" s="36">
        <v>167</v>
      </c>
      <c r="AZ195" s="33">
        <v>1</v>
      </c>
      <c r="BA195" s="33">
        <v>3</v>
      </c>
      <c r="BB195" s="33">
        <v>0</v>
      </c>
      <c r="BC195" s="33">
        <v>1</v>
      </c>
      <c r="BD195" s="43">
        <v>0.12012271365792118</v>
      </c>
      <c r="BE195" s="33">
        <v>0</v>
      </c>
      <c r="BF195" s="33">
        <v>0</v>
      </c>
      <c r="CE195" s="36">
        <v>161</v>
      </c>
      <c r="CF195" s="33">
        <v>19</v>
      </c>
      <c r="CG195" s="33">
        <v>1</v>
      </c>
      <c r="CH195" s="33">
        <v>4</v>
      </c>
      <c r="CI195" s="33">
        <v>2</v>
      </c>
      <c r="CJ195" s="33">
        <v>1</v>
      </c>
      <c r="CK195" s="33">
        <v>0</v>
      </c>
      <c r="CL195" s="33">
        <v>2</v>
      </c>
      <c r="CM195" s="33">
        <v>3</v>
      </c>
      <c r="CN195" s="33">
        <v>2</v>
      </c>
      <c r="CO195" s="33">
        <v>2</v>
      </c>
      <c r="CP195" s="43">
        <v>9.7351909406550308E-2</v>
      </c>
      <c r="CQ195" s="33">
        <v>0</v>
      </c>
      <c r="CR195" s="33">
        <v>0</v>
      </c>
    </row>
    <row r="196" spans="1:96" ht="15" customHeight="1" x14ac:dyDescent="0.25">
      <c r="A196" s="26">
        <v>194</v>
      </c>
      <c r="B196" s="27">
        <v>45</v>
      </c>
      <c r="C196" s="27">
        <v>0</v>
      </c>
      <c r="D196" s="27">
        <v>3</v>
      </c>
      <c r="E196" s="27">
        <v>1195</v>
      </c>
      <c r="F196" s="27">
        <v>2</v>
      </c>
      <c r="G196" s="27">
        <v>2</v>
      </c>
      <c r="H196" s="27">
        <v>2</v>
      </c>
      <c r="I196" s="27">
        <v>3</v>
      </c>
      <c r="J196" s="27">
        <v>1</v>
      </c>
      <c r="K196" s="27">
        <v>264</v>
      </c>
      <c r="L196" s="27">
        <v>1</v>
      </c>
      <c r="M196" s="27">
        <v>1</v>
      </c>
      <c r="N196" s="27">
        <v>65</v>
      </c>
      <c r="O196" s="27">
        <v>2</v>
      </c>
      <c r="P196" s="27">
        <v>4</v>
      </c>
      <c r="Q196" s="27">
        <v>6</v>
      </c>
      <c r="R196" s="27">
        <v>4</v>
      </c>
      <c r="S196" s="27">
        <v>2</v>
      </c>
      <c r="T196" s="27">
        <v>16792</v>
      </c>
      <c r="U196" s="27">
        <v>20462</v>
      </c>
      <c r="V196" s="27">
        <v>9</v>
      </c>
      <c r="W196" s="27">
        <v>0</v>
      </c>
      <c r="X196" s="27">
        <v>23</v>
      </c>
      <c r="Y196" s="27">
        <v>4</v>
      </c>
      <c r="Z196" s="27">
        <v>4</v>
      </c>
      <c r="AA196" s="27">
        <v>80</v>
      </c>
      <c r="AB196" s="27">
        <v>1</v>
      </c>
      <c r="AC196" s="27">
        <v>22</v>
      </c>
      <c r="AD196" s="27">
        <v>1</v>
      </c>
      <c r="AE196" s="27">
        <v>3</v>
      </c>
      <c r="AF196" s="27">
        <v>20</v>
      </c>
      <c r="AG196" s="27">
        <v>8</v>
      </c>
      <c r="AH196" s="27">
        <v>11</v>
      </c>
      <c r="AI196" s="28">
        <v>8</v>
      </c>
      <c r="AK196" s="36">
        <v>163</v>
      </c>
      <c r="AL196" s="33">
        <v>21</v>
      </c>
      <c r="AM196" s="33">
        <v>1</v>
      </c>
      <c r="AN196" s="33">
        <v>4</v>
      </c>
      <c r="AO196" s="33">
        <v>1</v>
      </c>
      <c r="AP196" s="33">
        <v>0</v>
      </c>
      <c r="AQ196" s="33">
        <v>1</v>
      </c>
      <c r="AR196" s="33">
        <v>1</v>
      </c>
      <c r="AS196" s="33">
        <v>5</v>
      </c>
      <c r="AT196" s="33">
        <v>0</v>
      </c>
      <c r="AU196" s="43">
        <v>0.1361747683873647</v>
      </c>
      <c r="AV196" s="33">
        <v>0</v>
      </c>
      <c r="AW196" s="33">
        <v>0</v>
      </c>
      <c r="AY196" s="36">
        <v>168</v>
      </c>
      <c r="AZ196" s="33">
        <v>3</v>
      </c>
      <c r="BA196" s="33">
        <v>4</v>
      </c>
      <c r="BB196" s="33">
        <v>0</v>
      </c>
      <c r="BC196" s="33">
        <v>1</v>
      </c>
      <c r="BD196" s="43">
        <v>3.2280700557178299E-2</v>
      </c>
      <c r="BE196" s="33">
        <v>0</v>
      </c>
      <c r="BF196" s="33">
        <v>0</v>
      </c>
      <c r="CE196" s="36">
        <v>162</v>
      </c>
      <c r="CF196" s="33">
        <v>9</v>
      </c>
      <c r="CG196" s="33">
        <v>1</v>
      </c>
      <c r="CH196" s="33">
        <v>2</v>
      </c>
      <c r="CI196" s="33">
        <v>3</v>
      </c>
      <c r="CJ196" s="33">
        <v>6</v>
      </c>
      <c r="CK196" s="33">
        <v>0</v>
      </c>
      <c r="CL196" s="33">
        <v>1</v>
      </c>
      <c r="CM196" s="33">
        <v>1</v>
      </c>
      <c r="CN196" s="33">
        <v>2</v>
      </c>
      <c r="CO196" s="33">
        <v>2</v>
      </c>
      <c r="CP196" s="43">
        <v>0.20662536427077524</v>
      </c>
      <c r="CQ196" s="33">
        <v>0</v>
      </c>
      <c r="CR196" s="33">
        <v>0</v>
      </c>
    </row>
    <row r="197" spans="1:96" ht="15" customHeight="1" x14ac:dyDescent="0.25">
      <c r="A197" s="26">
        <v>195</v>
      </c>
      <c r="B197" s="27">
        <v>37</v>
      </c>
      <c r="C197" s="27">
        <v>0</v>
      </c>
      <c r="D197" s="27">
        <v>1</v>
      </c>
      <c r="E197" s="27">
        <v>290</v>
      </c>
      <c r="F197" s="27">
        <v>2</v>
      </c>
      <c r="G197" s="27">
        <v>21</v>
      </c>
      <c r="H197" s="27">
        <v>3</v>
      </c>
      <c r="I197" s="27">
        <v>1</v>
      </c>
      <c r="J197" s="27">
        <v>1</v>
      </c>
      <c r="K197" s="27">
        <v>267</v>
      </c>
      <c r="L197" s="27">
        <v>2</v>
      </c>
      <c r="M197" s="27">
        <v>1</v>
      </c>
      <c r="N197" s="27">
        <v>65</v>
      </c>
      <c r="O197" s="27">
        <v>4</v>
      </c>
      <c r="P197" s="27">
        <v>1</v>
      </c>
      <c r="Q197" s="27">
        <v>2</v>
      </c>
      <c r="R197" s="27">
        <v>1</v>
      </c>
      <c r="S197" s="27">
        <v>2</v>
      </c>
      <c r="T197" s="27">
        <v>3564</v>
      </c>
      <c r="U197" s="27">
        <v>22977</v>
      </c>
      <c r="V197" s="27">
        <v>1</v>
      </c>
      <c r="W197" s="27">
        <v>1</v>
      </c>
      <c r="X197" s="27">
        <v>12</v>
      </c>
      <c r="Y197" s="27">
        <v>3</v>
      </c>
      <c r="Z197" s="27">
        <v>1</v>
      </c>
      <c r="AA197" s="27">
        <v>80</v>
      </c>
      <c r="AB197" s="27">
        <v>1</v>
      </c>
      <c r="AC197" s="27">
        <v>8</v>
      </c>
      <c r="AD197" s="27">
        <v>3</v>
      </c>
      <c r="AE197" s="27">
        <v>2</v>
      </c>
      <c r="AF197" s="27">
        <v>8</v>
      </c>
      <c r="AG197" s="27">
        <v>7</v>
      </c>
      <c r="AH197" s="27">
        <v>1</v>
      </c>
      <c r="AI197" s="28">
        <v>7</v>
      </c>
      <c r="AK197" s="36">
        <v>164</v>
      </c>
      <c r="AL197" s="33">
        <v>24</v>
      </c>
      <c r="AM197" s="33">
        <v>3</v>
      </c>
      <c r="AN197" s="33">
        <v>4</v>
      </c>
      <c r="AO197" s="33">
        <v>3</v>
      </c>
      <c r="AP197" s="33">
        <v>1</v>
      </c>
      <c r="AQ197" s="33">
        <v>1</v>
      </c>
      <c r="AR197" s="33">
        <v>1</v>
      </c>
      <c r="AS197" s="33">
        <v>5</v>
      </c>
      <c r="AT197" s="33">
        <v>1</v>
      </c>
      <c r="AU197" s="43">
        <v>0.25103905140855981</v>
      </c>
      <c r="AV197" s="33">
        <v>0</v>
      </c>
      <c r="AW197" s="33">
        <v>0</v>
      </c>
      <c r="AY197" s="36">
        <v>169</v>
      </c>
      <c r="AZ197" s="33">
        <v>2</v>
      </c>
      <c r="BA197" s="33">
        <v>4</v>
      </c>
      <c r="BB197" s="33">
        <v>0</v>
      </c>
      <c r="BC197" s="33">
        <v>0</v>
      </c>
      <c r="BD197" s="43">
        <v>8.9935487507215722E-2</v>
      </c>
      <c r="BE197" s="33">
        <v>0</v>
      </c>
      <c r="BF197" s="33">
        <v>0</v>
      </c>
      <c r="CE197" s="36">
        <v>163</v>
      </c>
      <c r="CF197" s="33">
        <v>21</v>
      </c>
      <c r="CG197" s="33">
        <v>1</v>
      </c>
      <c r="CH197" s="33">
        <v>4</v>
      </c>
      <c r="CI197" s="33">
        <v>2</v>
      </c>
      <c r="CJ197" s="33">
        <v>1</v>
      </c>
      <c r="CK197" s="33">
        <v>0</v>
      </c>
      <c r="CL197" s="33">
        <v>1</v>
      </c>
      <c r="CM197" s="33">
        <v>1</v>
      </c>
      <c r="CN197" s="33">
        <v>5</v>
      </c>
      <c r="CO197" s="33">
        <v>0</v>
      </c>
      <c r="CP197" s="43">
        <v>0.13122369497990347</v>
      </c>
      <c r="CQ197" s="33">
        <v>0</v>
      </c>
      <c r="CR197" s="33">
        <v>0</v>
      </c>
    </row>
    <row r="198" spans="1:96" ht="15" customHeight="1" x14ac:dyDescent="0.25">
      <c r="A198" s="26">
        <v>196</v>
      </c>
      <c r="B198" s="27">
        <v>35</v>
      </c>
      <c r="C198" s="27">
        <v>0</v>
      </c>
      <c r="D198" s="27">
        <v>2</v>
      </c>
      <c r="E198" s="27">
        <v>138</v>
      </c>
      <c r="F198" s="27">
        <v>2</v>
      </c>
      <c r="G198" s="27">
        <v>2</v>
      </c>
      <c r="H198" s="27">
        <v>3</v>
      </c>
      <c r="I198" s="27">
        <v>3</v>
      </c>
      <c r="J198" s="27">
        <v>1</v>
      </c>
      <c r="K198" s="27">
        <v>269</v>
      </c>
      <c r="L198" s="27">
        <v>2</v>
      </c>
      <c r="M198" s="27">
        <v>0</v>
      </c>
      <c r="N198" s="27">
        <v>37</v>
      </c>
      <c r="O198" s="27">
        <v>3</v>
      </c>
      <c r="P198" s="27">
        <v>2</v>
      </c>
      <c r="Q198" s="27">
        <v>3</v>
      </c>
      <c r="R198" s="27">
        <v>2</v>
      </c>
      <c r="S198" s="27">
        <v>1</v>
      </c>
      <c r="T198" s="27">
        <v>4425</v>
      </c>
      <c r="U198" s="27">
        <v>15986</v>
      </c>
      <c r="V198" s="27">
        <v>5</v>
      </c>
      <c r="W198" s="27">
        <v>0</v>
      </c>
      <c r="X198" s="27">
        <v>11</v>
      </c>
      <c r="Y198" s="27">
        <v>3</v>
      </c>
      <c r="Z198" s="27">
        <v>4</v>
      </c>
      <c r="AA198" s="27">
        <v>80</v>
      </c>
      <c r="AB198" s="27">
        <v>0</v>
      </c>
      <c r="AC198" s="27">
        <v>10</v>
      </c>
      <c r="AD198" s="27">
        <v>5</v>
      </c>
      <c r="AE198" s="27">
        <v>3</v>
      </c>
      <c r="AF198" s="27">
        <v>6</v>
      </c>
      <c r="AG198" s="27">
        <v>2</v>
      </c>
      <c r="AH198" s="27">
        <v>1</v>
      </c>
      <c r="AI198" s="28">
        <v>2</v>
      </c>
      <c r="AK198" s="36">
        <v>165</v>
      </c>
      <c r="AL198" s="33">
        <v>3</v>
      </c>
      <c r="AM198" s="33">
        <v>1</v>
      </c>
      <c r="AN198" s="33">
        <v>3</v>
      </c>
      <c r="AO198" s="33">
        <v>1</v>
      </c>
      <c r="AP198" s="33">
        <v>1</v>
      </c>
      <c r="AQ198" s="33">
        <v>1</v>
      </c>
      <c r="AR198" s="33">
        <v>2</v>
      </c>
      <c r="AS198" s="33">
        <v>1</v>
      </c>
      <c r="AT198" s="33">
        <v>0</v>
      </c>
      <c r="AU198" s="43">
        <v>0.34758142027171868</v>
      </c>
      <c r="AV198" s="33">
        <v>0</v>
      </c>
      <c r="AW198" s="33">
        <v>0</v>
      </c>
      <c r="AY198" s="36">
        <v>170</v>
      </c>
      <c r="AZ198" s="33">
        <v>1</v>
      </c>
      <c r="BA198" s="33">
        <v>3</v>
      </c>
      <c r="BB198" s="33">
        <v>0</v>
      </c>
      <c r="BC198" s="33">
        <v>0</v>
      </c>
      <c r="BD198" s="43">
        <v>0.18791247240909698</v>
      </c>
      <c r="BE198" s="33">
        <v>0</v>
      </c>
      <c r="BF198" s="33">
        <v>0</v>
      </c>
      <c r="CE198" s="36">
        <v>164</v>
      </c>
      <c r="CF198" s="33">
        <v>24</v>
      </c>
      <c r="CG198" s="33">
        <v>3</v>
      </c>
      <c r="CH198" s="33">
        <v>4</v>
      </c>
      <c r="CI198" s="33">
        <v>3</v>
      </c>
      <c r="CJ198" s="33">
        <v>3</v>
      </c>
      <c r="CK198" s="33">
        <v>1</v>
      </c>
      <c r="CL198" s="33">
        <v>1</v>
      </c>
      <c r="CM198" s="33">
        <v>1</v>
      </c>
      <c r="CN198" s="33">
        <v>5</v>
      </c>
      <c r="CO198" s="33">
        <v>1</v>
      </c>
      <c r="CP198" s="43">
        <v>0.16494434712024139</v>
      </c>
      <c r="CQ198" s="33">
        <v>0</v>
      </c>
      <c r="CR198" s="33">
        <v>0</v>
      </c>
    </row>
    <row r="199" spans="1:96" ht="15" customHeight="1" x14ac:dyDescent="0.25">
      <c r="A199" s="26">
        <v>197</v>
      </c>
      <c r="B199" s="27">
        <v>42</v>
      </c>
      <c r="C199" s="27">
        <v>0</v>
      </c>
      <c r="D199" s="27">
        <v>3</v>
      </c>
      <c r="E199" s="27">
        <v>926</v>
      </c>
      <c r="F199" s="27">
        <v>2</v>
      </c>
      <c r="G199" s="27">
        <v>21</v>
      </c>
      <c r="H199" s="27">
        <v>2</v>
      </c>
      <c r="I199" s="27">
        <v>3</v>
      </c>
      <c r="J199" s="27">
        <v>1</v>
      </c>
      <c r="K199" s="27">
        <v>270</v>
      </c>
      <c r="L199" s="27">
        <v>3</v>
      </c>
      <c r="M199" s="27">
        <v>0</v>
      </c>
      <c r="N199" s="27">
        <v>36</v>
      </c>
      <c r="O199" s="27">
        <v>3</v>
      </c>
      <c r="P199" s="27">
        <v>2</v>
      </c>
      <c r="Q199" s="27">
        <v>4</v>
      </c>
      <c r="R199" s="27">
        <v>3</v>
      </c>
      <c r="S199" s="27">
        <v>3</v>
      </c>
      <c r="T199" s="27">
        <v>5265</v>
      </c>
      <c r="U199" s="27">
        <v>16439</v>
      </c>
      <c r="V199" s="27">
        <v>2</v>
      </c>
      <c r="W199" s="27">
        <v>0</v>
      </c>
      <c r="X199" s="27">
        <v>16</v>
      </c>
      <c r="Y199" s="27">
        <v>3</v>
      </c>
      <c r="Z199" s="27">
        <v>2</v>
      </c>
      <c r="AA199" s="27">
        <v>80</v>
      </c>
      <c r="AB199" s="27">
        <v>1</v>
      </c>
      <c r="AC199" s="27">
        <v>11</v>
      </c>
      <c r="AD199" s="27">
        <v>5</v>
      </c>
      <c r="AE199" s="27">
        <v>3</v>
      </c>
      <c r="AF199" s="27">
        <v>5</v>
      </c>
      <c r="AG199" s="27">
        <v>3</v>
      </c>
      <c r="AH199" s="27">
        <v>0</v>
      </c>
      <c r="AI199" s="28">
        <v>2</v>
      </c>
      <c r="AK199" s="36">
        <v>166</v>
      </c>
      <c r="AL199" s="33">
        <v>11</v>
      </c>
      <c r="AM199" s="33">
        <v>5</v>
      </c>
      <c r="AN199" s="33">
        <v>2</v>
      </c>
      <c r="AO199" s="33">
        <v>3</v>
      </c>
      <c r="AP199" s="33">
        <v>0</v>
      </c>
      <c r="AQ199" s="33">
        <v>0</v>
      </c>
      <c r="AR199" s="33">
        <v>3</v>
      </c>
      <c r="AS199" s="33">
        <v>5</v>
      </c>
      <c r="AT199" s="33">
        <v>4</v>
      </c>
      <c r="AU199" s="43">
        <v>4.3828767470560276E-2</v>
      </c>
      <c r="AV199" s="33">
        <v>0</v>
      </c>
      <c r="AW199" s="33">
        <v>0</v>
      </c>
      <c r="AY199" s="36">
        <v>171</v>
      </c>
      <c r="AZ199" s="33">
        <v>1</v>
      </c>
      <c r="BA199" s="33">
        <v>2</v>
      </c>
      <c r="BB199" s="33">
        <v>1</v>
      </c>
      <c r="BC199" s="33">
        <v>1</v>
      </c>
      <c r="BD199" s="43">
        <v>0.43876762926038776</v>
      </c>
      <c r="BE199" s="33">
        <v>0</v>
      </c>
      <c r="BF199" s="33">
        <v>0</v>
      </c>
      <c r="CE199" s="36">
        <v>165</v>
      </c>
      <c r="CF199" s="33">
        <v>3</v>
      </c>
      <c r="CG199" s="33">
        <v>1</v>
      </c>
      <c r="CH199" s="33">
        <v>3</v>
      </c>
      <c r="CI199" s="33">
        <v>3</v>
      </c>
      <c r="CJ199" s="33">
        <v>1</v>
      </c>
      <c r="CK199" s="33">
        <v>1</v>
      </c>
      <c r="CL199" s="33">
        <v>1</v>
      </c>
      <c r="CM199" s="33">
        <v>2</v>
      </c>
      <c r="CN199" s="33">
        <v>1</v>
      </c>
      <c r="CO199" s="33">
        <v>0</v>
      </c>
      <c r="CP199" s="43">
        <v>0.23567522352571071</v>
      </c>
      <c r="CQ199" s="33">
        <v>0</v>
      </c>
      <c r="CR199" s="33">
        <v>0</v>
      </c>
    </row>
    <row r="200" spans="1:96" ht="15" customHeight="1" x14ac:dyDescent="0.25">
      <c r="A200" s="26">
        <v>198</v>
      </c>
      <c r="B200" s="27">
        <v>38</v>
      </c>
      <c r="C200" s="27">
        <v>0</v>
      </c>
      <c r="D200" s="27">
        <v>1</v>
      </c>
      <c r="E200" s="27">
        <v>1261</v>
      </c>
      <c r="F200" s="27">
        <v>2</v>
      </c>
      <c r="G200" s="27">
        <v>2</v>
      </c>
      <c r="H200" s="27">
        <v>4</v>
      </c>
      <c r="I200" s="27">
        <v>1</v>
      </c>
      <c r="J200" s="27">
        <v>1</v>
      </c>
      <c r="K200" s="27">
        <v>271</v>
      </c>
      <c r="L200" s="27">
        <v>4</v>
      </c>
      <c r="M200" s="27">
        <v>1</v>
      </c>
      <c r="N200" s="27">
        <v>88</v>
      </c>
      <c r="O200" s="27">
        <v>3</v>
      </c>
      <c r="P200" s="27">
        <v>2</v>
      </c>
      <c r="Q200" s="27">
        <v>4</v>
      </c>
      <c r="R200" s="27">
        <v>3</v>
      </c>
      <c r="S200" s="27">
        <v>2</v>
      </c>
      <c r="T200" s="27">
        <v>6553</v>
      </c>
      <c r="U200" s="27">
        <v>7259</v>
      </c>
      <c r="V200" s="27">
        <v>9</v>
      </c>
      <c r="W200" s="27">
        <v>0</v>
      </c>
      <c r="X200" s="27">
        <v>14</v>
      </c>
      <c r="Y200" s="27">
        <v>3</v>
      </c>
      <c r="Z200" s="27">
        <v>2</v>
      </c>
      <c r="AA200" s="27">
        <v>80</v>
      </c>
      <c r="AB200" s="27">
        <v>0</v>
      </c>
      <c r="AC200" s="27">
        <v>14</v>
      </c>
      <c r="AD200" s="27">
        <v>3</v>
      </c>
      <c r="AE200" s="27">
        <v>3</v>
      </c>
      <c r="AF200" s="27">
        <v>1</v>
      </c>
      <c r="AG200" s="27">
        <v>0</v>
      </c>
      <c r="AH200" s="27">
        <v>0</v>
      </c>
      <c r="AI200" s="28">
        <v>0</v>
      </c>
      <c r="AK200" s="36">
        <v>167</v>
      </c>
      <c r="AL200" s="33">
        <v>14</v>
      </c>
      <c r="AM200" s="33">
        <v>1</v>
      </c>
      <c r="AN200" s="33">
        <v>3</v>
      </c>
      <c r="AO200" s="33">
        <v>4</v>
      </c>
      <c r="AP200" s="33">
        <v>0</v>
      </c>
      <c r="AQ200" s="33">
        <v>1</v>
      </c>
      <c r="AR200" s="33">
        <v>3</v>
      </c>
      <c r="AS200" s="33">
        <v>9</v>
      </c>
      <c r="AT200" s="33">
        <v>1</v>
      </c>
      <c r="AU200" s="43">
        <v>0.1016481831661991</v>
      </c>
      <c r="AV200" s="33">
        <v>0</v>
      </c>
      <c r="AW200" s="33">
        <v>0</v>
      </c>
      <c r="AY200" s="36">
        <v>172</v>
      </c>
      <c r="AZ200" s="33">
        <v>1</v>
      </c>
      <c r="BA200" s="33">
        <v>1</v>
      </c>
      <c r="BB200" s="33">
        <v>0</v>
      </c>
      <c r="BC200" s="33">
        <v>0</v>
      </c>
      <c r="BD200" s="43">
        <v>0.29341085656570393</v>
      </c>
      <c r="BE200" s="33">
        <v>0</v>
      </c>
      <c r="BF200" s="33">
        <v>1</v>
      </c>
      <c r="CE200" s="36">
        <v>166</v>
      </c>
      <c r="CF200" s="33">
        <v>11</v>
      </c>
      <c r="CG200" s="33">
        <v>5</v>
      </c>
      <c r="CH200" s="33">
        <v>2</v>
      </c>
      <c r="CI200" s="33">
        <v>1</v>
      </c>
      <c r="CJ200" s="33">
        <v>3</v>
      </c>
      <c r="CK200" s="33">
        <v>0</v>
      </c>
      <c r="CL200" s="33">
        <v>0</v>
      </c>
      <c r="CM200" s="33">
        <v>3</v>
      </c>
      <c r="CN200" s="33">
        <v>5</v>
      </c>
      <c r="CO200" s="33">
        <v>4</v>
      </c>
      <c r="CP200" s="43">
        <v>5.48169372804901E-2</v>
      </c>
      <c r="CQ200" s="33">
        <v>0</v>
      </c>
      <c r="CR200" s="33">
        <v>0</v>
      </c>
    </row>
    <row r="201" spans="1:96" ht="15" customHeight="1" x14ac:dyDescent="0.25">
      <c r="A201" s="26">
        <v>199</v>
      </c>
      <c r="B201" s="27">
        <v>38</v>
      </c>
      <c r="C201" s="27">
        <v>0</v>
      </c>
      <c r="D201" s="27">
        <v>1</v>
      </c>
      <c r="E201" s="27">
        <v>1084</v>
      </c>
      <c r="F201" s="27">
        <v>2</v>
      </c>
      <c r="G201" s="27">
        <v>29</v>
      </c>
      <c r="H201" s="27">
        <v>3</v>
      </c>
      <c r="I201" s="27">
        <v>5</v>
      </c>
      <c r="J201" s="27">
        <v>1</v>
      </c>
      <c r="K201" s="27">
        <v>273</v>
      </c>
      <c r="L201" s="27">
        <v>4</v>
      </c>
      <c r="M201" s="27">
        <v>1</v>
      </c>
      <c r="N201" s="27">
        <v>54</v>
      </c>
      <c r="O201" s="27">
        <v>3</v>
      </c>
      <c r="P201" s="27">
        <v>2</v>
      </c>
      <c r="Q201" s="27">
        <v>4</v>
      </c>
      <c r="R201" s="27">
        <v>4</v>
      </c>
      <c r="S201" s="27">
        <v>2</v>
      </c>
      <c r="T201" s="27">
        <v>6261</v>
      </c>
      <c r="U201" s="27">
        <v>4185</v>
      </c>
      <c r="V201" s="27">
        <v>3</v>
      </c>
      <c r="W201" s="27">
        <v>0</v>
      </c>
      <c r="X201" s="27">
        <v>18</v>
      </c>
      <c r="Y201" s="27">
        <v>3</v>
      </c>
      <c r="Z201" s="27">
        <v>1</v>
      </c>
      <c r="AA201" s="27">
        <v>80</v>
      </c>
      <c r="AB201" s="27">
        <v>1</v>
      </c>
      <c r="AC201" s="27">
        <v>9</v>
      </c>
      <c r="AD201" s="27">
        <v>3</v>
      </c>
      <c r="AE201" s="27">
        <v>1</v>
      </c>
      <c r="AF201" s="27">
        <v>7</v>
      </c>
      <c r="AG201" s="27">
        <v>7</v>
      </c>
      <c r="AH201" s="27">
        <v>1</v>
      </c>
      <c r="AI201" s="28">
        <v>7</v>
      </c>
      <c r="AK201" s="36">
        <v>168</v>
      </c>
      <c r="AL201" s="33">
        <v>5</v>
      </c>
      <c r="AM201" s="33">
        <v>3</v>
      </c>
      <c r="AN201" s="33">
        <v>4</v>
      </c>
      <c r="AO201" s="33">
        <v>2</v>
      </c>
      <c r="AP201" s="33">
        <v>0</v>
      </c>
      <c r="AQ201" s="33">
        <v>1</v>
      </c>
      <c r="AR201" s="33">
        <v>3</v>
      </c>
      <c r="AS201" s="33">
        <v>10</v>
      </c>
      <c r="AT201" s="33">
        <v>7</v>
      </c>
      <c r="AU201" s="43">
        <v>3.1160695956452555E-2</v>
      </c>
      <c r="AV201" s="33">
        <v>0</v>
      </c>
      <c r="AW201" s="33">
        <v>0</v>
      </c>
      <c r="AY201" s="36">
        <v>173</v>
      </c>
      <c r="AZ201" s="33">
        <v>1</v>
      </c>
      <c r="BA201" s="33">
        <v>2</v>
      </c>
      <c r="BB201" s="33">
        <v>0</v>
      </c>
      <c r="BC201" s="33">
        <v>0</v>
      </c>
      <c r="BD201" s="43">
        <v>0.23662845161334917</v>
      </c>
      <c r="BE201" s="33">
        <v>0</v>
      </c>
      <c r="BF201" s="33">
        <v>0</v>
      </c>
      <c r="CE201" s="36">
        <v>167</v>
      </c>
      <c r="CF201" s="33">
        <v>14</v>
      </c>
      <c r="CG201" s="33">
        <v>1</v>
      </c>
      <c r="CH201" s="33">
        <v>3</v>
      </c>
      <c r="CI201" s="33">
        <v>3</v>
      </c>
      <c r="CJ201" s="33">
        <v>4</v>
      </c>
      <c r="CK201" s="33">
        <v>0</v>
      </c>
      <c r="CL201" s="33">
        <v>1</v>
      </c>
      <c r="CM201" s="33">
        <v>3</v>
      </c>
      <c r="CN201" s="33">
        <v>9</v>
      </c>
      <c r="CO201" s="33">
        <v>1</v>
      </c>
      <c r="CP201" s="43">
        <v>5.8276806732482145E-2</v>
      </c>
      <c r="CQ201" s="33">
        <v>0</v>
      </c>
      <c r="CR201" s="33">
        <v>0</v>
      </c>
    </row>
    <row r="202" spans="1:96" ht="15" customHeight="1" x14ac:dyDescent="0.25">
      <c r="A202" s="26">
        <v>200</v>
      </c>
      <c r="B202" s="27">
        <v>27</v>
      </c>
      <c r="C202" s="27">
        <v>0</v>
      </c>
      <c r="D202" s="27">
        <v>2</v>
      </c>
      <c r="E202" s="27">
        <v>472</v>
      </c>
      <c r="F202" s="27">
        <v>2</v>
      </c>
      <c r="G202" s="27">
        <v>1</v>
      </c>
      <c r="H202" s="27">
        <v>1</v>
      </c>
      <c r="I202" s="27">
        <v>5</v>
      </c>
      <c r="J202" s="27">
        <v>1</v>
      </c>
      <c r="K202" s="27">
        <v>274</v>
      </c>
      <c r="L202" s="27">
        <v>3</v>
      </c>
      <c r="M202" s="27">
        <v>1</v>
      </c>
      <c r="N202" s="27">
        <v>60</v>
      </c>
      <c r="O202" s="27">
        <v>2</v>
      </c>
      <c r="P202" s="27">
        <v>2</v>
      </c>
      <c r="Q202" s="27">
        <v>4</v>
      </c>
      <c r="R202" s="27">
        <v>1</v>
      </c>
      <c r="S202" s="27">
        <v>2</v>
      </c>
      <c r="T202" s="27">
        <v>4298</v>
      </c>
      <c r="U202" s="27">
        <v>9679</v>
      </c>
      <c r="V202" s="27">
        <v>5</v>
      </c>
      <c r="W202" s="27">
        <v>0</v>
      </c>
      <c r="X202" s="27">
        <v>19</v>
      </c>
      <c r="Y202" s="27">
        <v>3</v>
      </c>
      <c r="Z202" s="27">
        <v>3</v>
      </c>
      <c r="AA202" s="27">
        <v>80</v>
      </c>
      <c r="AB202" s="27">
        <v>1</v>
      </c>
      <c r="AC202" s="27">
        <v>6</v>
      </c>
      <c r="AD202" s="27">
        <v>1</v>
      </c>
      <c r="AE202" s="27">
        <v>3</v>
      </c>
      <c r="AF202" s="27">
        <v>2</v>
      </c>
      <c r="AG202" s="27">
        <v>2</v>
      </c>
      <c r="AH202" s="27">
        <v>2</v>
      </c>
      <c r="AI202" s="28">
        <v>0</v>
      </c>
      <c r="AK202" s="36">
        <v>169</v>
      </c>
      <c r="AL202" s="33">
        <v>1</v>
      </c>
      <c r="AM202" s="33">
        <v>2</v>
      </c>
      <c r="AN202" s="33">
        <v>4</v>
      </c>
      <c r="AO202" s="33">
        <v>4</v>
      </c>
      <c r="AP202" s="33">
        <v>0</v>
      </c>
      <c r="AQ202" s="33">
        <v>0</v>
      </c>
      <c r="AR202" s="33">
        <v>4</v>
      </c>
      <c r="AS202" s="33">
        <v>8</v>
      </c>
      <c r="AT202" s="33">
        <v>0</v>
      </c>
      <c r="AU202" s="43">
        <v>4.0442900475904806E-2</v>
      </c>
      <c r="AV202" s="33">
        <v>0</v>
      </c>
      <c r="AW202" s="33">
        <v>0</v>
      </c>
      <c r="AY202" s="36">
        <v>174</v>
      </c>
      <c r="AZ202" s="33">
        <v>2</v>
      </c>
      <c r="BA202" s="33">
        <v>1</v>
      </c>
      <c r="BB202" s="33">
        <v>0</v>
      </c>
      <c r="BC202" s="33">
        <v>2</v>
      </c>
      <c r="BD202" s="43">
        <v>7.638126547101505E-2</v>
      </c>
      <c r="BE202" s="33">
        <v>0</v>
      </c>
      <c r="BF202" s="33">
        <v>0</v>
      </c>
      <c r="CE202" s="36">
        <v>168</v>
      </c>
      <c r="CF202" s="33">
        <v>5</v>
      </c>
      <c r="CG202" s="33">
        <v>3</v>
      </c>
      <c r="CH202" s="33">
        <v>4</v>
      </c>
      <c r="CI202" s="33">
        <v>2</v>
      </c>
      <c r="CJ202" s="33">
        <v>2</v>
      </c>
      <c r="CK202" s="33">
        <v>0</v>
      </c>
      <c r="CL202" s="33">
        <v>1</v>
      </c>
      <c r="CM202" s="33">
        <v>3</v>
      </c>
      <c r="CN202" s="33">
        <v>10</v>
      </c>
      <c r="CO202" s="33">
        <v>7</v>
      </c>
      <c r="CP202" s="43">
        <v>3.0340300451666601E-2</v>
      </c>
      <c r="CQ202" s="33">
        <v>0</v>
      </c>
      <c r="CR202" s="33">
        <v>0</v>
      </c>
    </row>
    <row r="203" spans="1:96" ht="15" customHeight="1" x14ac:dyDescent="0.25">
      <c r="A203" s="26">
        <v>201</v>
      </c>
      <c r="B203" s="27">
        <v>49</v>
      </c>
      <c r="C203" s="27">
        <v>0</v>
      </c>
      <c r="D203" s="27">
        <v>3</v>
      </c>
      <c r="E203" s="27">
        <v>1002</v>
      </c>
      <c r="F203" s="27">
        <v>2</v>
      </c>
      <c r="G203" s="27">
        <v>18</v>
      </c>
      <c r="H203" s="27">
        <v>4</v>
      </c>
      <c r="I203" s="27">
        <v>1</v>
      </c>
      <c r="J203" s="27">
        <v>1</v>
      </c>
      <c r="K203" s="27">
        <v>275</v>
      </c>
      <c r="L203" s="27">
        <v>4</v>
      </c>
      <c r="M203" s="27">
        <v>1</v>
      </c>
      <c r="N203" s="27">
        <v>92</v>
      </c>
      <c r="O203" s="27">
        <v>3</v>
      </c>
      <c r="P203" s="27">
        <v>2</v>
      </c>
      <c r="Q203" s="27">
        <v>4</v>
      </c>
      <c r="R203" s="27">
        <v>4</v>
      </c>
      <c r="S203" s="27">
        <v>3</v>
      </c>
      <c r="T203" s="27">
        <v>6804</v>
      </c>
      <c r="U203" s="27">
        <v>23793</v>
      </c>
      <c r="V203" s="27">
        <v>1</v>
      </c>
      <c r="W203" s="27">
        <v>1</v>
      </c>
      <c r="X203" s="27">
        <v>15</v>
      </c>
      <c r="Y203" s="27">
        <v>3</v>
      </c>
      <c r="Z203" s="27">
        <v>1</v>
      </c>
      <c r="AA203" s="27">
        <v>80</v>
      </c>
      <c r="AB203" s="27">
        <v>2</v>
      </c>
      <c r="AC203" s="27">
        <v>7</v>
      </c>
      <c r="AD203" s="27">
        <v>0</v>
      </c>
      <c r="AE203" s="27">
        <v>3</v>
      </c>
      <c r="AF203" s="27">
        <v>7</v>
      </c>
      <c r="AG203" s="27">
        <v>7</v>
      </c>
      <c r="AH203" s="27">
        <v>1</v>
      </c>
      <c r="AI203" s="28">
        <v>7</v>
      </c>
      <c r="AK203" s="36">
        <v>170</v>
      </c>
      <c r="AL203" s="33">
        <v>6</v>
      </c>
      <c r="AM203" s="33">
        <v>1</v>
      </c>
      <c r="AN203" s="33">
        <v>3</v>
      </c>
      <c r="AO203" s="33">
        <v>3</v>
      </c>
      <c r="AP203" s="33">
        <v>0</v>
      </c>
      <c r="AQ203" s="33">
        <v>0</v>
      </c>
      <c r="AR203" s="33">
        <v>3</v>
      </c>
      <c r="AS203" s="33">
        <v>5</v>
      </c>
      <c r="AT203" s="33">
        <v>1</v>
      </c>
      <c r="AU203" s="43">
        <v>0.15754941665852124</v>
      </c>
      <c r="AV203" s="33">
        <v>0</v>
      </c>
      <c r="AW203" s="33">
        <v>0</v>
      </c>
      <c r="AY203" s="36">
        <v>175</v>
      </c>
      <c r="AZ203" s="33">
        <v>2</v>
      </c>
      <c r="BA203" s="33">
        <v>1</v>
      </c>
      <c r="BB203" s="33">
        <v>1</v>
      </c>
      <c r="BC203" s="33">
        <v>1</v>
      </c>
      <c r="BD203" s="43">
        <v>0.37467799024663817</v>
      </c>
      <c r="BE203" s="33">
        <v>0</v>
      </c>
      <c r="BF203" s="33">
        <v>0</v>
      </c>
      <c r="CE203" s="36">
        <v>169</v>
      </c>
      <c r="CF203" s="33">
        <v>1</v>
      </c>
      <c r="CG203" s="33">
        <v>2</v>
      </c>
      <c r="CH203" s="33">
        <v>4</v>
      </c>
      <c r="CI203" s="33">
        <v>1</v>
      </c>
      <c r="CJ203" s="33">
        <v>4</v>
      </c>
      <c r="CK203" s="33">
        <v>0</v>
      </c>
      <c r="CL203" s="33">
        <v>0</v>
      </c>
      <c r="CM203" s="33">
        <v>4</v>
      </c>
      <c r="CN203" s="33">
        <v>8</v>
      </c>
      <c r="CO203" s="33">
        <v>0</v>
      </c>
      <c r="CP203" s="43">
        <v>4.6209224550634108E-2</v>
      </c>
      <c r="CQ203" s="33">
        <v>0</v>
      </c>
      <c r="CR203" s="33">
        <v>0</v>
      </c>
    </row>
    <row r="204" spans="1:96" ht="15" customHeight="1" x14ac:dyDescent="0.25">
      <c r="A204" s="26">
        <v>202</v>
      </c>
      <c r="B204" s="27">
        <v>34</v>
      </c>
      <c r="C204" s="27">
        <v>0</v>
      </c>
      <c r="D204" s="27">
        <v>2</v>
      </c>
      <c r="E204" s="27">
        <v>878</v>
      </c>
      <c r="F204" s="27">
        <v>2</v>
      </c>
      <c r="G204" s="27">
        <v>10</v>
      </c>
      <c r="H204" s="27">
        <v>4</v>
      </c>
      <c r="I204" s="27">
        <v>3</v>
      </c>
      <c r="J204" s="27">
        <v>1</v>
      </c>
      <c r="K204" s="27">
        <v>277</v>
      </c>
      <c r="L204" s="27">
        <v>4</v>
      </c>
      <c r="M204" s="27">
        <v>1</v>
      </c>
      <c r="N204" s="27">
        <v>43</v>
      </c>
      <c r="O204" s="27">
        <v>3</v>
      </c>
      <c r="P204" s="27">
        <v>1</v>
      </c>
      <c r="Q204" s="27">
        <v>2</v>
      </c>
      <c r="R204" s="27">
        <v>3</v>
      </c>
      <c r="S204" s="27">
        <v>3</v>
      </c>
      <c r="T204" s="27">
        <v>3815</v>
      </c>
      <c r="U204" s="27">
        <v>5972</v>
      </c>
      <c r="V204" s="27">
        <v>1</v>
      </c>
      <c r="W204" s="27">
        <v>1</v>
      </c>
      <c r="X204" s="27">
        <v>17</v>
      </c>
      <c r="Y204" s="27">
        <v>3</v>
      </c>
      <c r="Z204" s="27">
        <v>4</v>
      </c>
      <c r="AA204" s="27">
        <v>80</v>
      </c>
      <c r="AB204" s="27">
        <v>1</v>
      </c>
      <c r="AC204" s="27">
        <v>5</v>
      </c>
      <c r="AD204" s="27">
        <v>4</v>
      </c>
      <c r="AE204" s="27">
        <v>4</v>
      </c>
      <c r="AF204" s="27">
        <v>5</v>
      </c>
      <c r="AG204" s="27">
        <v>3</v>
      </c>
      <c r="AH204" s="27">
        <v>2</v>
      </c>
      <c r="AI204" s="28">
        <v>0</v>
      </c>
      <c r="AK204" s="36">
        <v>171</v>
      </c>
      <c r="AL204" s="33">
        <v>17</v>
      </c>
      <c r="AM204" s="33">
        <v>1</v>
      </c>
      <c r="AN204" s="33">
        <v>2</v>
      </c>
      <c r="AO204" s="33">
        <v>0</v>
      </c>
      <c r="AP204" s="33">
        <v>1</v>
      </c>
      <c r="AQ204" s="33">
        <v>1</v>
      </c>
      <c r="AR204" s="33">
        <v>2</v>
      </c>
      <c r="AS204" s="33">
        <v>5</v>
      </c>
      <c r="AT204" s="33">
        <v>1</v>
      </c>
      <c r="AU204" s="43">
        <v>0.46858813599859322</v>
      </c>
      <c r="AV204" s="33">
        <v>0</v>
      </c>
      <c r="AW204" s="33">
        <v>0</v>
      </c>
      <c r="AY204" s="36">
        <v>176</v>
      </c>
      <c r="AZ204" s="33">
        <v>1</v>
      </c>
      <c r="BA204" s="33">
        <v>1</v>
      </c>
      <c r="BB204" s="33">
        <v>1</v>
      </c>
      <c r="BC204" s="33">
        <v>1</v>
      </c>
      <c r="BD204" s="43">
        <v>0.51155121875600029</v>
      </c>
      <c r="BE204" s="33">
        <v>1</v>
      </c>
      <c r="BF204" s="33">
        <v>0</v>
      </c>
      <c r="CE204" s="36">
        <v>170</v>
      </c>
      <c r="CF204" s="33">
        <v>6</v>
      </c>
      <c r="CG204" s="33">
        <v>1</v>
      </c>
      <c r="CH204" s="33">
        <v>3</v>
      </c>
      <c r="CI204" s="33">
        <v>1</v>
      </c>
      <c r="CJ204" s="33">
        <v>3</v>
      </c>
      <c r="CK204" s="33">
        <v>0</v>
      </c>
      <c r="CL204" s="33">
        <v>0</v>
      </c>
      <c r="CM204" s="33">
        <v>3</v>
      </c>
      <c r="CN204" s="33">
        <v>5</v>
      </c>
      <c r="CO204" s="33">
        <v>1</v>
      </c>
      <c r="CP204" s="43">
        <v>0.18056199872719123</v>
      </c>
      <c r="CQ204" s="33">
        <v>0</v>
      </c>
      <c r="CR204" s="33">
        <v>0</v>
      </c>
    </row>
    <row r="205" spans="1:96" ht="15" customHeight="1" x14ac:dyDescent="0.25">
      <c r="A205" s="26">
        <v>203</v>
      </c>
      <c r="B205" s="27">
        <v>40</v>
      </c>
      <c r="C205" s="27">
        <v>0</v>
      </c>
      <c r="D205" s="27">
        <v>1</v>
      </c>
      <c r="E205" s="27">
        <v>905</v>
      </c>
      <c r="F205" s="27">
        <v>2</v>
      </c>
      <c r="G205" s="27">
        <v>19</v>
      </c>
      <c r="H205" s="27">
        <v>2</v>
      </c>
      <c r="I205" s="27">
        <v>3</v>
      </c>
      <c r="J205" s="27">
        <v>1</v>
      </c>
      <c r="K205" s="27">
        <v>281</v>
      </c>
      <c r="L205" s="27">
        <v>3</v>
      </c>
      <c r="M205" s="27">
        <v>1</v>
      </c>
      <c r="N205" s="27">
        <v>99</v>
      </c>
      <c r="O205" s="27">
        <v>3</v>
      </c>
      <c r="P205" s="27">
        <v>2</v>
      </c>
      <c r="Q205" s="27">
        <v>3</v>
      </c>
      <c r="R205" s="27">
        <v>4</v>
      </c>
      <c r="S205" s="27">
        <v>2</v>
      </c>
      <c r="T205" s="27">
        <v>2741</v>
      </c>
      <c r="U205" s="27">
        <v>16523</v>
      </c>
      <c r="V205" s="27">
        <v>8</v>
      </c>
      <c r="W205" s="27">
        <v>1</v>
      </c>
      <c r="X205" s="27">
        <v>15</v>
      </c>
      <c r="Y205" s="27">
        <v>3</v>
      </c>
      <c r="Z205" s="27">
        <v>3</v>
      </c>
      <c r="AA205" s="27">
        <v>80</v>
      </c>
      <c r="AB205" s="27">
        <v>1</v>
      </c>
      <c r="AC205" s="27">
        <v>15</v>
      </c>
      <c r="AD205" s="27">
        <v>2</v>
      </c>
      <c r="AE205" s="27">
        <v>4</v>
      </c>
      <c r="AF205" s="27">
        <v>7</v>
      </c>
      <c r="AG205" s="27">
        <v>2</v>
      </c>
      <c r="AH205" s="27">
        <v>3</v>
      </c>
      <c r="AI205" s="28">
        <v>7</v>
      </c>
      <c r="AK205" s="36">
        <v>172</v>
      </c>
      <c r="AL205" s="33">
        <v>1</v>
      </c>
      <c r="AM205" s="33">
        <v>1</v>
      </c>
      <c r="AN205" s="33">
        <v>1</v>
      </c>
      <c r="AO205" s="33">
        <v>0</v>
      </c>
      <c r="AP205" s="33">
        <v>0</v>
      </c>
      <c r="AQ205" s="33">
        <v>0</v>
      </c>
      <c r="AR205" s="33">
        <v>4</v>
      </c>
      <c r="AS205" s="33">
        <v>0</v>
      </c>
      <c r="AT205" s="33">
        <v>0</v>
      </c>
      <c r="AU205" s="43">
        <v>0.18272042380237086</v>
      </c>
      <c r="AV205" s="33">
        <v>0</v>
      </c>
      <c r="AW205" s="33">
        <v>1</v>
      </c>
      <c r="AY205" s="36">
        <v>177</v>
      </c>
      <c r="AZ205" s="33">
        <v>1</v>
      </c>
      <c r="BA205" s="33">
        <v>4</v>
      </c>
      <c r="BB205" s="33">
        <v>0</v>
      </c>
      <c r="BC205" s="33">
        <v>0</v>
      </c>
      <c r="BD205" s="43">
        <v>0.1472907617042678</v>
      </c>
      <c r="BE205" s="33">
        <v>0</v>
      </c>
      <c r="BF205" s="33">
        <v>0</v>
      </c>
      <c r="CE205" s="36">
        <v>171</v>
      </c>
      <c r="CF205" s="33">
        <v>17</v>
      </c>
      <c r="CG205" s="33">
        <v>1</v>
      </c>
      <c r="CH205" s="33">
        <v>2</v>
      </c>
      <c r="CI205" s="33">
        <v>2</v>
      </c>
      <c r="CJ205" s="33">
        <v>0</v>
      </c>
      <c r="CK205" s="33">
        <v>1</v>
      </c>
      <c r="CL205" s="33">
        <v>1</v>
      </c>
      <c r="CM205" s="33">
        <v>2</v>
      </c>
      <c r="CN205" s="33">
        <v>5</v>
      </c>
      <c r="CO205" s="33">
        <v>1</v>
      </c>
      <c r="CP205" s="43">
        <v>0.47373629755843638</v>
      </c>
      <c r="CQ205" s="33">
        <v>0</v>
      </c>
      <c r="CR205" s="33">
        <v>0</v>
      </c>
    </row>
    <row r="206" spans="1:96" ht="15" customHeight="1" x14ac:dyDescent="0.25">
      <c r="A206" s="26">
        <v>204</v>
      </c>
      <c r="B206" s="27">
        <v>38</v>
      </c>
      <c r="C206" s="27">
        <v>1</v>
      </c>
      <c r="D206" s="27">
        <v>1</v>
      </c>
      <c r="E206" s="27">
        <v>1180</v>
      </c>
      <c r="F206" s="27">
        <v>2</v>
      </c>
      <c r="G206" s="27">
        <v>29</v>
      </c>
      <c r="H206" s="27">
        <v>1</v>
      </c>
      <c r="I206" s="27">
        <v>3</v>
      </c>
      <c r="J206" s="27">
        <v>1</v>
      </c>
      <c r="K206" s="27">
        <v>282</v>
      </c>
      <c r="L206" s="27">
        <v>2</v>
      </c>
      <c r="M206" s="27">
        <v>1</v>
      </c>
      <c r="N206" s="27">
        <v>70</v>
      </c>
      <c r="O206" s="27">
        <v>3</v>
      </c>
      <c r="P206" s="27">
        <v>2</v>
      </c>
      <c r="Q206" s="27">
        <v>5</v>
      </c>
      <c r="R206" s="27">
        <v>1</v>
      </c>
      <c r="S206" s="27">
        <v>2</v>
      </c>
      <c r="T206" s="27">
        <v>6673</v>
      </c>
      <c r="U206" s="27">
        <v>11354</v>
      </c>
      <c r="V206" s="27">
        <v>7</v>
      </c>
      <c r="W206" s="27">
        <v>1</v>
      </c>
      <c r="X206" s="27">
        <v>19</v>
      </c>
      <c r="Y206" s="27">
        <v>3</v>
      </c>
      <c r="Z206" s="27">
        <v>2</v>
      </c>
      <c r="AA206" s="27">
        <v>80</v>
      </c>
      <c r="AB206" s="27">
        <v>0</v>
      </c>
      <c r="AC206" s="27">
        <v>17</v>
      </c>
      <c r="AD206" s="27">
        <v>2</v>
      </c>
      <c r="AE206" s="27">
        <v>3</v>
      </c>
      <c r="AF206" s="27">
        <v>1</v>
      </c>
      <c r="AG206" s="27">
        <v>0</v>
      </c>
      <c r="AH206" s="27">
        <v>0</v>
      </c>
      <c r="AI206" s="28">
        <v>0</v>
      </c>
      <c r="AK206" s="36">
        <v>173</v>
      </c>
      <c r="AL206" s="33">
        <v>3</v>
      </c>
      <c r="AM206" s="33">
        <v>1</v>
      </c>
      <c r="AN206" s="33">
        <v>2</v>
      </c>
      <c r="AO206" s="33">
        <v>4</v>
      </c>
      <c r="AP206" s="33">
        <v>0</v>
      </c>
      <c r="AQ206" s="33">
        <v>0</v>
      </c>
      <c r="AR206" s="33">
        <v>2</v>
      </c>
      <c r="AS206" s="33">
        <v>8</v>
      </c>
      <c r="AT206" s="33">
        <v>7</v>
      </c>
      <c r="AU206" s="43">
        <v>0.33067059500337814</v>
      </c>
      <c r="AV206" s="33">
        <v>0</v>
      </c>
      <c r="AW206" s="33">
        <v>0</v>
      </c>
      <c r="AY206" s="36">
        <v>178</v>
      </c>
      <c r="AZ206" s="33">
        <v>1</v>
      </c>
      <c r="BA206" s="33">
        <v>4</v>
      </c>
      <c r="BB206" s="33">
        <v>0</v>
      </c>
      <c r="BC206" s="33">
        <v>0</v>
      </c>
      <c r="BD206" s="43">
        <v>0.1472907617042678</v>
      </c>
      <c r="BE206" s="33">
        <v>0</v>
      </c>
      <c r="BF206" s="33">
        <v>1</v>
      </c>
      <c r="CE206" s="36">
        <v>172</v>
      </c>
      <c r="CF206" s="33">
        <v>1</v>
      </c>
      <c r="CG206" s="33">
        <v>1</v>
      </c>
      <c r="CH206" s="33">
        <v>1</v>
      </c>
      <c r="CI206" s="33">
        <v>1</v>
      </c>
      <c r="CJ206" s="33">
        <v>0</v>
      </c>
      <c r="CK206" s="33">
        <v>0</v>
      </c>
      <c r="CL206" s="33">
        <v>0</v>
      </c>
      <c r="CM206" s="33">
        <v>4</v>
      </c>
      <c r="CN206" s="33">
        <v>0</v>
      </c>
      <c r="CO206" s="33">
        <v>0</v>
      </c>
      <c r="CP206" s="43">
        <v>0.2113148906506524</v>
      </c>
      <c r="CQ206" s="33">
        <v>0</v>
      </c>
      <c r="CR206" s="33">
        <v>1</v>
      </c>
    </row>
    <row r="207" spans="1:96" ht="15" customHeight="1" x14ac:dyDescent="0.25">
      <c r="A207" s="26">
        <v>205</v>
      </c>
      <c r="B207" s="27">
        <v>29</v>
      </c>
      <c r="C207" s="27">
        <v>1</v>
      </c>
      <c r="D207" s="27">
        <v>1</v>
      </c>
      <c r="E207" s="27">
        <v>121</v>
      </c>
      <c r="F207" s="27">
        <v>1</v>
      </c>
      <c r="G207" s="27">
        <v>27</v>
      </c>
      <c r="H207" s="27">
        <v>3</v>
      </c>
      <c r="I207" s="27">
        <v>4</v>
      </c>
      <c r="J207" s="27">
        <v>1</v>
      </c>
      <c r="K207" s="27">
        <v>283</v>
      </c>
      <c r="L207" s="27">
        <v>2</v>
      </c>
      <c r="M207" s="27">
        <v>0</v>
      </c>
      <c r="N207" s="27">
        <v>35</v>
      </c>
      <c r="O207" s="27">
        <v>3</v>
      </c>
      <c r="P207" s="27">
        <v>3</v>
      </c>
      <c r="Q207" s="27">
        <v>1</v>
      </c>
      <c r="R207" s="27">
        <v>4</v>
      </c>
      <c r="S207" s="27">
        <v>2</v>
      </c>
      <c r="T207" s="27">
        <v>7639</v>
      </c>
      <c r="U207" s="27">
        <v>24525</v>
      </c>
      <c r="V207" s="27">
        <v>1</v>
      </c>
      <c r="W207" s="27">
        <v>0</v>
      </c>
      <c r="X207" s="27">
        <v>22</v>
      </c>
      <c r="Y207" s="27">
        <v>4</v>
      </c>
      <c r="Z207" s="27">
        <v>4</v>
      </c>
      <c r="AA207" s="27">
        <v>80</v>
      </c>
      <c r="AB207" s="27">
        <v>3</v>
      </c>
      <c r="AC207" s="27">
        <v>10</v>
      </c>
      <c r="AD207" s="27">
        <v>3</v>
      </c>
      <c r="AE207" s="27">
        <v>2</v>
      </c>
      <c r="AF207" s="27">
        <v>10</v>
      </c>
      <c r="AG207" s="27">
        <v>4</v>
      </c>
      <c r="AH207" s="27">
        <v>1</v>
      </c>
      <c r="AI207" s="28">
        <v>9</v>
      </c>
      <c r="AK207" s="36">
        <v>174</v>
      </c>
      <c r="AL207" s="33">
        <v>9</v>
      </c>
      <c r="AM207" s="33">
        <v>2</v>
      </c>
      <c r="AN207" s="33">
        <v>1</v>
      </c>
      <c r="AO207" s="33">
        <v>1</v>
      </c>
      <c r="AP207" s="33">
        <v>0</v>
      </c>
      <c r="AQ207" s="33">
        <v>2</v>
      </c>
      <c r="AR207" s="33">
        <v>3</v>
      </c>
      <c r="AS207" s="33">
        <v>12</v>
      </c>
      <c r="AT207" s="33">
        <v>6</v>
      </c>
      <c r="AU207" s="43">
        <v>5.8227485797710733E-2</v>
      </c>
      <c r="AV207" s="33">
        <v>0</v>
      </c>
      <c r="AW207" s="33">
        <v>0</v>
      </c>
      <c r="AY207" s="36">
        <v>179</v>
      </c>
      <c r="AZ207" s="33">
        <v>3</v>
      </c>
      <c r="BA207" s="33">
        <v>1</v>
      </c>
      <c r="BB207" s="33">
        <v>0</v>
      </c>
      <c r="BC207" s="33">
        <v>3</v>
      </c>
      <c r="BD207" s="43">
        <v>2.7156374475928804E-2</v>
      </c>
      <c r="BE207" s="33">
        <v>0</v>
      </c>
      <c r="BF207" s="33">
        <v>0</v>
      </c>
      <c r="CE207" s="36">
        <v>173</v>
      </c>
      <c r="CF207" s="33">
        <v>3</v>
      </c>
      <c r="CG207" s="33">
        <v>1</v>
      </c>
      <c r="CH207" s="33">
        <v>2</v>
      </c>
      <c r="CI207" s="33">
        <v>1</v>
      </c>
      <c r="CJ207" s="33">
        <v>4</v>
      </c>
      <c r="CK207" s="33">
        <v>0</v>
      </c>
      <c r="CL207" s="33">
        <v>0</v>
      </c>
      <c r="CM207" s="33">
        <v>2</v>
      </c>
      <c r="CN207" s="33">
        <v>8</v>
      </c>
      <c r="CO207" s="33">
        <v>7</v>
      </c>
      <c r="CP207" s="43">
        <v>0.38047154180468312</v>
      </c>
      <c r="CQ207" s="33">
        <v>0</v>
      </c>
      <c r="CR207" s="33">
        <v>0</v>
      </c>
    </row>
    <row r="208" spans="1:96" ht="15" customHeight="1" x14ac:dyDescent="0.25">
      <c r="A208" s="26">
        <v>206</v>
      </c>
      <c r="B208" s="27">
        <v>22</v>
      </c>
      <c r="C208" s="27">
        <v>0</v>
      </c>
      <c r="D208" s="27">
        <v>1</v>
      </c>
      <c r="E208" s="27">
        <v>1136</v>
      </c>
      <c r="F208" s="27">
        <v>2</v>
      </c>
      <c r="G208" s="27">
        <v>5</v>
      </c>
      <c r="H208" s="27">
        <v>3</v>
      </c>
      <c r="I208" s="27">
        <v>1</v>
      </c>
      <c r="J208" s="27">
        <v>1</v>
      </c>
      <c r="K208" s="27">
        <v>284</v>
      </c>
      <c r="L208" s="27">
        <v>4</v>
      </c>
      <c r="M208" s="27">
        <v>1</v>
      </c>
      <c r="N208" s="27">
        <v>60</v>
      </c>
      <c r="O208" s="27">
        <v>4</v>
      </c>
      <c r="P208" s="27">
        <v>1</v>
      </c>
      <c r="Q208" s="27">
        <v>2</v>
      </c>
      <c r="R208" s="27">
        <v>2</v>
      </c>
      <c r="S208" s="27">
        <v>3</v>
      </c>
      <c r="T208" s="27">
        <v>2328</v>
      </c>
      <c r="U208" s="27">
        <v>12392</v>
      </c>
      <c r="V208" s="27">
        <v>1</v>
      </c>
      <c r="W208" s="27">
        <v>1</v>
      </c>
      <c r="X208" s="27">
        <v>16</v>
      </c>
      <c r="Y208" s="27">
        <v>3</v>
      </c>
      <c r="Z208" s="27">
        <v>1</v>
      </c>
      <c r="AA208" s="27">
        <v>80</v>
      </c>
      <c r="AB208" s="27">
        <v>1</v>
      </c>
      <c r="AC208" s="27">
        <v>4</v>
      </c>
      <c r="AD208" s="27">
        <v>2</v>
      </c>
      <c r="AE208" s="27">
        <v>2</v>
      </c>
      <c r="AF208" s="27">
        <v>4</v>
      </c>
      <c r="AG208" s="27">
        <v>2</v>
      </c>
      <c r="AH208" s="27">
        <v>2</v>
      </c>
      <c r="AI208" s="28">
        <v>2</v>
      </c>
      <c r="AK208" s="36">
        <v>175</v>
      </c>
      <c r="AL208" s="33">
        <v>4</v>
      </c>
      <c r="AM208" s="33">
        <v>2</v>
      </c>
      <c r="AN208" s="33">
        <v>1</v>
      </c>
      <c r="AO208" s="33">
        <v>4</v>
      </c>
      <c r="AP208" s="33">
        <v>1</v>
      </c>
      <c r="AQ208" s="33">
        <v>1</v>
      </c>
      <c r="AR208" s="33">
        <v>4</v>
      </c>
      <c r="AS208" s="33">
        <v>5</v>
      </c>
      <c r="AT208" s="33">
        <v>0</v>
      </c>
      <c r="AU208" s="43">
        <v>0.25633309137878374</v>
      </c>
      <c r="AV208" s="33">
        <v>0</v>
      </c>
      <c r="AW208" s="33">
        <v>0</v>
      </c>
      <c r="AY208" s="36">
        <v>180</v>
      </c>
      <c r="AZ208" s="33">
        <v>1</v>
      </c>
      <c r="BA208" s="33">
        <v>4</v>
      </c>
      <c r="BB208" s="33">
        <v>0</v>
      </c>
      <c r="BC208" s="33">
        <v>0</v>
      </c>
      <c r="BD208" s="43">
        <v>0.1472907617042678</v>
      </c>
      <c r="BE208" s="33">
        <v>0</v>
      </c>
      <c r="BF208" s="33">
        <v>0</v>
      </c>
      <c r="CE208" s="36">
        <v>174</v>
      </c>
      <c r="CF208" s="33">
        <v>9</v>
      </c>
      <c r="CG208" s="33">
        <v>2</v>
      </c>
      <c r="CH208" s="33">
        <v>1</v>
      </c>
      <c r="CI208" s="33">
        <v>3</v>
      </c>
      <c r="CJ208" s="33">
        <v>1</v>
      </c>
      <c r="CK208" s="33">
        <v>0</v>
      </c>
      <c r="CL208" s="33">
        <v>2</v>
      </c>
      <c r="CM208" s="33">
        <v>3</v>
      </c>
      <c r="CN208" s="33">
        <v>12</v>
      </c>
      <c r="CO208" s="33">
        <v>6</v>
      </c>
      <c r="CP208" s="43">
        <v>4.8135860193454075E-2</v>
      </c>
      <c r="CQ208" s="33">
        <v>0</v>
      </c>
      <c r="CR208" s="33">
        <v>0</v>
      </c>
    </row>
    <row r="209" spans="1:96" ht="15" customHeight="1" x14ac:dyDescent="0.25">
      <c r="A209" s="26">
        <v>207</v>
      </c>
      <c r="B209" s="27">
        <v>36</v>
      </c>
      <c r="C209" s="27">
        <v>0</v>
      </c>
      <c r="D209" s="27">
        <v>2</v>
      </c>
      <c r="E209" s="27">
        <v>635</v>
      </c>
      <c r="F209" s="27">
        <v>2</v>
      </c>
      <c r="G209" s="27">
        <v>18</v>
      </c>
      <c r="H209" s="27">
        <v>1</v>
      </c>
      <c r="I209" s="27">
        <v>3</v>
      </c>
      <c r="J209" s="27">
        <v>1</v>
      </c>
      <c r="K209" s="27">
        <v>286</v>
      </c>
      <c r="L209" s="27">
        <v>2</v>
      </c>
      <c r="M209" s="27">
        <v>0</v>
      </c>
      <c r="N209" s="27">
        <v>73</v>
      </c>
      <c r="O209" s="27">
        <v>3</v>
      </c>
      <c r="P209" s="27">
        <v>1</v>
      </c>
      <c r="Q209" s="27">
        <v>3</v>
      </c>
      <c r="R209" s="27">
        <v>4</v>
      </c>
      <c r="S209" s="27">
        <v>1</v>
      </c>
      <c r="T209" s="27">
        <v>2153</v>
      </c>
      <c r="U209" s="27">
        <v>7703</v>
      </c>
      <c r="V209" s="27">
        <v>1</v>
      </c>
      <c r="W209" s="27">
        <v>0</v>
      </c>
      <c r="X209" s="27">
        <v>13</v>
      </c>
      <c r="Y209" s="27">
        <v>3</v>
      </c>
      <c r="Z209" s="27">
        <v>1</v>
      </c>
      <c r="AA209" s="27">
        <v>80</v>
      </c>
      <c r="AB209" s="27">
        <v>0</v>
      </c>
      <c r="AC209" s="27">
        <v>8</v>
      </c>
      <c r="AD209" s="27">
        <v>2</v>
      </c>
      <c r="AE209" s="27">
        <v>3</v>
      </c>
      <c r="AF209" s="27">
        <v>8</v>
      </c>
      <c r="AG209" s="27">
        <v>1</v>
      </c>
      <c r="AH209" s="27">
        <v>1</v>
      </c>
      <c r="AI209" s="28">
        <v>7</v>
      </c>
      <c r="AK209" s="36">
        <v>176</v>
      </c>
      <c r="AL209" s="33">
        <v>8</v>
      </c>
      <c r="AM209" s="33">
        <v>1</v>
      </c>
      <c r="AN209" s="33">
        <v>1</v>
      </c>
      <c r="AO209" s="33">
        <v>4</v>
      </c>
      <c r="AP209" s="33">
        <v>1</v>
      </c>
      <c r="AQ209" s="33">
        <v>1</v>
      </c>
      <c r="AR209" s="33">
        <v>3</v>
      </c>
      <c r="AS209" s="33">
        <v>2</v>
      </c>
      <c r="AT209" s="33">
        <v>2</v>
      </c>
      <c r="AU209" s="43">
        <v>0.57360216954617138</v>
      </c>
      <c r="AV209" s="33">
        <v>1</v>
      </c>
      <c r="AW209" s="33">
        <v>0</v>
      </c>
      <c r="AY209" s="36">
        <v>181</v>
      </c>
      <c r="AZ209" s="33">
        <v>1</v>
      </c>
      <c r="BA209" s="33">
        <v>4</v>
      </c>
      <c r="BB209" s="33">
        <v>1</v>
      </c>
      <c r="BC209" s="33">
        <v>1</v>
      </c>
      <c r="BD209" s="43">
        <v>0.30345027699196836</v>
      </c>
      <c r="BE209" s="33">
        <v>0</v>
      </c>
      <c r="BF209" s="33">
        <v>0</v>
      </c>
      <c r="CE209" s="36">
        <v>175</v>
      </c>
      <c r="CF209" s="33">
        <v>4</v>
      </c>
      <c r="CG209" s="33">
        <v>2</v>
      </c>
      <c r="CH209" s="33">
        <v>1</v>
      </c>
      <c r="CI209" s="33">
        <v>3</v>
      </c>
      <c r="CJ209" s="33">
        <v>4</v>
      </c>
      <c r="CK209" s="33">
        <v>1</v>
      </c>
      <c r="CL209" s="33">
        <v>1</v>
      </c>
      <c r="CM209" s="33">
        <v>4</v>
      </c>
      <c r="CN209" s="33">
        <v>5</v>
      </c>
      <c r="CO209" s="33">
        <v>0</v>
      </c>
      <c r="CP209" s="43">
        <v>0.16877416906338988</v>
      </c>
      <c r="CQ209" s="33">
        <v>0</v>
      </c>
      <c r="CR209" s="33">
        <v>0</v>
      </c>
    </row>
    <row r="210" spans="1:96" ht="15" customHeight="1" x14ac:dyDescent="0.25">
      <c r="A210" s="26">
        <v>208</v>
      </c>
      <c r="B210" s="27">
        <v>40</v>
      </c>
      <c r="C210" s="27">
        <v>0</v>
      </c>
      <c r="D210" s="27">
        <v>3</v>
      </c>
      <c r="E210" s="27">
        <v>1151</v>
      </c>
      <c r="F210" s="27">
        <v>2</v>
      </c>
      <c r="G210" s="27">
        <v>9</v>
      </c>
      <c r="H210" s="27">
        <v>5</v>
      </c>
      <c r="I210" s="27">
        <v>1</v>
      </c>
      <c r="J210" s="27">
        <v>1</v>
      </c>
      <c r="K210" s="27">
        <v>287</v>
      </c>
      <c r="L210" s="27">
        <v>4</v>
      </c>
      <c r="M210" s="27">
        <v>1</v>
      </c>
      <c r="N210" s="27">
        <v>63</v>
      </c>
      <c r="O210" s="27">
        <v>2</v>
      </c>
      <c r="P210" s="27">
        <v>2</v>
      </c>
      <c r="Q210" s="27">
        <v>5</v>
      </c>
      <c r="R210" s="27">
        <v>4</v>
      </c>
      <c r="S210" s="27">
        <v>2</v>
      </c>
      <c r="T210" s="27">
        <v>4876</v>
      </c>
      <c r="U210" s="27">
        <v>14242</v>
      </c>
      <c r="V210" s="27">
        <v>9</v>
      </c>
      <c r="W210" s="27">
        <v>0</v>
      </c>
      <c r="X210" s="27">
        <v>14</v>
      </c>
      <c r="Y210" s="27">
        <v>3</v>
      </c>
      <c r="Z210" s="27">
        <v>4</v>
      </c>
      <c r="AA210" s="27">
        <v>80</v>
      </c>
      <c r="AB210" s="27">
        <v>1</v>
      </c>
      <c r="AC210" s="27">
        <v>5</v>
      </c>
      <c r="AD210" s="27">
        <v>5</v>
      </c>
      <c r="AE210" s="27">
        <v>1</v>
      </c>
      <c r="AF210" s="27">
        <v>3</v>
      </c>
      <c r="AG210" s="27">
        <v>2</v>
      </c>
      <c r="AH210" s="27">
        <v>0</v>
      </c>
      <c r="AI210" s="28">
        <v>2</v>
      </c>
      <c r="AK210" s="36">
        <v>177</v>
      </c>
      <c r="AL210" s="33">
        <v>2</v>
      </c>
      <c r="AM210" s="33">
        <v>1</v>
      </c>
      <c r="AN210" s="33">
        <v>4</v>
      </c>
      <c r="AO210" s="33">
        <v>0</v>
      </c>
      <c r="AP210" s="33">
        <v>0</v>
      </c>
      <c r="AQ210" s="33">
        <v>0</v>
      </c>
      <c r="AR210" s="33">
        <v>4</v>
      </c>
      <c r="AS210" s="33">
        <v>3</v>
      </c>
      <c r="AT210" s="33">
        <v>0</v>
      </c>
      <c r="AU210" s="43">
        <v>7.1972136292603558E-2</v>
      </c>
      <c r="AV210" s="33">
        <v>0</v>
      </c>
      <c r="AW210" s="33">
        <v>0</v>
      </c>
      <c r="AY210" s="36">
        <v>182</v>
      </c>
      <c r="AZ210" s="33">
        <v>1</v>
      </c>
      <c r="BA210" s="33">
        <v>2</v>
      </c>
      <c r="BB210" s="33">
        <v>0</v>
      </c>
      <c r="BC210" s="33">
        <v>0</v>
      </c>
      <c r="BD210" s="43">
        <v>0.23662845161334917</v>
      </c>
      <c r="BE210" s="33">
        <v>0</v>
      </c>
      <c r="BF210" s="33">
        <v>0</v>
      </c>
      <c r="CE210" s="36">
        <v>176</v>
      </c>
      <c r="CF210" s="33">
        <v>8</v>
      </c>
      <c r="CG210" s="33">
        <v>1</v>
      </c>
      <c r="CH210" s="33">
        <v>1</v>
      </c>
      <c r="CI210" s="33">
        <v>3</v>
      </c>
      <c r="CJ210" s="33">
        <v>4</v>
      </c>
      <c r="CK210" s="33">
        <v>1</v>
      </c>
      <c r="CL210" s="33">
        <v>1</v>
      </c>
      <c r="CM210" s="33">
        <v>3</v>
      </c>
      <c r="CN210" s="33">
        <v>2</v>
      </c>
      <c r="CO210" s="33">
        <v>2</v>
      </c>
      <c r="CP210" s="43">
        <v>0.44487054296566558</v>
      </c>
      <c r="CQ210" s="33">
        <v>0</v>
      </c>
      <c r="CR210" s="33">
        <v>0</v>
      </c>
    </row>
    <row r="211" spans="1:96" ht="15" customHeight="1" x14ac:dyDescent="0.25">
      <c r="A211" s="26">
        <v>209</v>
      </c>
      <c r="B211" s="27">
        <v>46</v>
      </c>
      <c r="C211" s="27">
        <v>0</v>
      </c>
      <c r="D211" s="27">
        <v>1</v>
      </c>
      <c r="E211" s="27">
        <v>644</v>
      </c>
      <c r="F211" s="27">
        <v>2</v>
      </c>
      <c r="G211" s="27">
        <v>1</v>
      </c>
      <c r="H211" s="27">
        <v>4</v>
      </c>
      <c r="I211" s="27">
        <v>3</v>
      </c>
      <c r="J211" s="27">
        <v>1</v>
      </c>
      <c r="K211" s="27">
        <v>288</v>
      </c>
      <c r="L211" s="27">
        <v>4</v>
      </c>
      <c r="M211" s="27">
        <v>1</v>
      </c>
      <c r="N211" s="27">
        <v>97</v>
      </c>
      <c r="O211" s="27">
        <v>3</v>
      </c>
      <c r="P211" s="27">
        <v>3</v>
      </c>
      <c r="Q211" s="27">
        <v>5</v>
      </c>
      <c r="R211" s="27">
        <v>1</v>
      </c>
      <c r="S211" s="27">
        <v>3</v>
      </c>
      <c r="T211" s="27">
        <v>9396</v>
      </c>
      <c r="U211" s="27">
        <v>12368</v>
      </c>
      <c r="V211" s="27">
        <v>7</v>
      </c>
      <c r="W211" s="27">
        <v>0</v>
      </c>
      <c r="X211" s="27">
        <v>16</v>
      </c>
      <c r="Y211" s="27">
        <v>3</v>
      </c>
      <c r="Z211" s="27">
        <v>3</v>
      </c>
      <c r="AA211" s="27">
        <v>80</v>
      </c>
      <c r="AB211" s="27">
        <v>1</v>
      </c>
      <c r="AC211" s="27">
        <v>17</v>
      </c>
      <c r="AD211" s="27">
        <v>3</v>
      </c>
      <c r="AE211" s="27">
        <v>3</v>
      </c>
      <c r="AF211" s="27">
        <v>4</v>
      </c>
      <c r="AG211" s="27">
        <v>2</v>
      </c>
      <c r="AH211" s="27">
        <v>0</v>
      </c>
      <c r="AI211" s="28">
        <v>3</v>
      </c>
      <c r="AK211" s="36">
        <v>178</v>
      </c>
      <c r="AL211" s="33">
        <v>2</v>
      </c>
      <c r="AM211" s="33">
        <v>1</v>
      </c>
      <c r="AN211" s="33">
        <v>4</v>
      </c>
      <c r="AO211" s="33">
        <v>1</v>
      </c>
      <c r="AP211" s="33">
        <v>0</v>
      </c>
      <c r="AQ211" s="33">
        <v>0</v>
      </c>
      <c r="AR211" s="33">
        <v>2</v>
      </c>
      <c r="AS211" s="33">
        <v>1</v>
      </c>
      <c r="AT211" s="33">
        <v>1</v>
      </c>
      <c r="AU211" s="43">
        <v>0.14802677831985234</v>
      </c>
      <c r="AV211" s="33">
        <v>0</v>
      </c>
      <c r="AW211" s="33">
        <v>1</v>
      </c>
      <c r="AY211" s="36">
        <v>183</v>
      </c>
      <c r="AZ211" s="33">
        <v>1</v>
      </c>
      <c r="BA211" s="33">
        <v>2</v>
      </c>
      <c r="BB211" s="33">
        <v>1</v>
      </c>
      <c r="BC211" s="33">
        <v>0</v>
      </c>
      <c r="BD211" s="43">
        <v>0.56990699338636852</v>
      </c>
      <c r="BE211" s="33">
        <v>1</v>
      </c>
      <c r="BF211" s="33">
        <v>1</v>
      </c>
      <c r="CE211" s="36">
        <v>177</v>
      </c>
      <c r="CF211" s="33">
        <v>2</v>
      </c>
      <c r="CG211" s="33">
        <v>1</v>
      </c>
      <c r="CH211" s="33">
        <v>4</v>
      </c>
      <c r="CI211" s="33">
        <v>1</v>
      </c>
      <c r="CJ211" s="33">
        <v>0</v>
      </c>
      <c r="CK211" s="33">
        <v>0</v>
      </c>
      <c r="CL211" s="33">
        <v>0</v>
      </c>
      <c r="CM211" s="33">
        <v>4</v>
      </c>
      <c r="CN211" s="33">
        <v>3</v>
      </c>
      <c r="CO211" s="33">
        <v>0</v>
      </c>
      <c r="CP211" s="43">
        <v>8.0718899183573653E-2</v>
      </c>
      <c r="CQ211" s="33">
        <v>0</v>
      </c>
      <c r="CR211" s="33">
        <v>0</v>
      </c>
    </row>
    <row r="212" spans="1:96" ht="15" customHeight="1" x14ac:dyDescent="0.25">
      <c r="A212" s="26">
        <v>210</v>
      </c>
      <c r="B212" s="27">
        <v>32</v>
      </c>
      <c r="C212" s="27">
        <v>1</v>
      </c>
      <c r="D212" s="27">
        <v>1</v>
      </c>
      <c r="E212" s="27">
        <v>1045</v>
      </c>
      <c r="F212" s="27">
        <v>1</v>
      </c>
      <c r="G212" s="27">
        <v>4</v>
      </c>
      <c r="H212" s="27">
        <v>4</v>
      </c>
      <c r="I212" s="27">
        <v>3</v>
      </c>
      <c r="J212" s="27">
        <v>1</v>
      </c>
      <c r="K212" s="27">
        <v>291</v>
      </c>
      <c r="L212" s="27">
        <v>4</v>
      </c>
      <c r="M212" s="27">
        <v>1</v>
      </c>
      <c r="N212" s="27">
        <v>32</v>
      </c>
      <c r="O212" s="27">
        <v>1</v>
      </c>
      <c r="P212" s="27">
        <v>3</v>
      </c>
      <c r="Q212" s="27">
        <v>1</v>
      </c>
      <c r="R212" s="27">
        <v>4</v>
      </c>
      <c r="S212" s="27">
        <v>2</v>
      </c>
      <c r="T212" s="27">
        <v>10400</v>
      </c>
      <c r="U212" s="27">
        <v>25812</v>
      </c>
      <c r="V212" s="27">
        <v>1</v>
      </c>
      <c r="W212" s="27">
        <v>0</v>
      </c>
      <c r="X212" s="27">
        <v>11</v>
      </c>
      <c r="Y212" s="27">
        <v>3</v>
      </c>
      <c r="Z212" s="27">
        <v>3</v>
      </c>
      <c r="AA212" s="27">
        <v>80</v>
      </c>
      <c r="AB212" s="27">
        <v>0</v>
      </c>
      <c r="AC212" s="27">
        <v>14</v>
      </c>
      <c r="AD212" s="27">
        <v>2</v>
      </c>
      <c r="AE212" s="27">
        <v>2</v>
      </c>
      <c r="AF212" s="27">
        <v>14</v>
      </c>
      <c r="AG212" s="27">
        <v>8</v>
      </c>
      <c r="AH212" s="27">
        <v>9</v>
      </c>
      <c r="AI212" s="28">
        <v>8</v>
      </c>
      <c r="AK212" s="36">
        <v>179</v>
      </c>
      <c r="AL212" s="33">
        <v>1</v>
      </c>
      <c r="AM212" s="33">
        <v>3</v>
      </c>
      <c r="AN212" s="33">
        <v>1</v>
      </c>
      <c r="AO212" s="33">
        <v>1</v>
      </c>
      <c r="AP212" s="33">
        <v>0</v>
      </c>
      <c r="AQ212" s="33">
        <v>3</v>
      </c>
      <c r="AR212" s="33">
        <v>3</v>
      </c>
      <c r="AS212" s="33">
        <v>24</v>
      </c>
      <c r="AT212" s="33">
        <v>15</v>
      </c>
      <c r="AU212" s="43">
        <v>1.7700214202443883E-2</v>
      </c>
      <c r="AV212" s="33">
        <v>0</v>
      </c>
      <c r="AW212" s="33">
        <v>0</v>
      </c>
      <c r="AY212" s="36">
        <v>184</v>
      </c>
      <c r="AZ212" s="33">
        <v>1</v>
      </c>
      <c r="BA212" s="33">
        <v>3</v>
      </c>
      <c r="BB212" s="33">
        <v>0</v>
      </c>
      <c r="BC212" s="33">
        <v>1</v>
      </c>
      <c r="BD212" s="43">
        <v>0.12012271365792118</v>
      </c>
      <c r="BE212" s="33">
        <v>0</v>
      </c>
      <c r="BF212" s="33">
        <v>0</v>
      </c>
      <c r="CE212" s="36">
        <v>178</v>
      </c>
      <c r="CF212" s="33">
        <v>2</v>
      </c>
      <c r="CG212" s="33">
        <v>1</v>
      </c>
      <c r="CH212" s="33">
        <v>4</v>
      </c>
      <c r="CI212" s="33">
        <v>1</v>
      </c>
      <c r="CJ212" s="33">
        <v>1</v>
      </c>
      <c r="CK212" s="33">
        <v>0</v>
      </c>
      <c r="CL212" s="33">
        <v>0</v>
      </c>
      <c r="CM212" s="33">
        <v>2</v>
      </c>
      <c r="CN212" s="33">
        <v>1</v>
      </c>
      <c r="CO212" s="33">
        <v>1</v>
      </c>
      <c r="CP212" s="43">
        <v>0.16968232121487178</v>
      </c>
      <c r="CQ212" s="33">
        <v>0</v>
      </c>
      <c r="CR212" s="33">
        <v>1</v>
      </c>
    </row>
    <row r="213" spans="1:96" ht="15" customHeight="1" x14ac:dyDescent="0.25">
      <c r="A213" s="26">
        <v>211</v>
      </c>
      <c r="B213" s="27">
        <v>30</v>
      </c>
      <c r="C213" s="27">
        <v>0</v>
      </c>
      <c r="D213" s="27">
        <v>3</v>
      </c>
      <c r="E213" s="27">
        <v>829</v>
      </c>
      <c r="F213" s="27">
        <v>2</v>
      </c>
      <c r="G213" s="27">
        <v>1</v>
      </c>
      <c r="H213" s="27">
        <v>1</v>
      </c>
      <c r="I213" s="27">
        <v>1</v>
      </c>
      <c r="J213" s="27">
        <v>1</v>
      </c>
      <c r="K213" s="27">
        <v>292</v>
      </c>
      <c r="L213" s="27">
        <v>3</v>
      </c>
      <c r="M213" s="27">
        <v>1</v>
      </c>
      <c r="N213" s="27">
        <v>88</v>
      </c>
      <c r="O213" s="27">
        <v>2</v>
      </c>
      <c r="P213" s="27">
        <v>3</v>
      </c>
      <c r="Q213" s="27">
        <v>4</v>
      </c>
      <c r="R213" s="27">
        <v>3</v>
      </c>
      <c r="S213" s="27">
        <v>1</v>
      </c>
      <c r="T213" s="27">
        <v>8474</v>
      </c>
      <c r="U213" s="27">
        <v>20925</v>
      </c>
      <c r="V213" s="27">
        <v>1</v>
      </c>
      <c r="W213" s="27">
        <v>0</v>
      </c>
      <c r="X213" s="27">
        <v>22</v>
      </c>
      <c r="Y213" s="27">
        <v>4</v>
      </c>
      <c r="Z213" s="27">
        <v>3</v>
      </c>
      <c r="AA213" s="27">
        <v>80</v>
      </c>
      <c r="AB213" s="27">
        <v>0</v>
      </c>
      <c r="AC213" s="27">
        <v>12</v>
      </c>
      <c r="AD213" s="27">
        <v>2</v>
      </c>
      <c r="AE213" s="27">
        <v>3</v>
      </c>
      <c r="AF213" s="27">
        <v>11</v>
      </c>
      <c r="AG213" s="27">
        <v>8</v>
      </c>
      <c r="AH213" s="27">
        <v>5</v>
      </c>
      <c r="AI213" s="28">
        <v>8</v>
      </c>
      <c r="AK213" s="36">
        <v>180</v>
      </c>
      <c r="AL213" s="33">
        <v>9</v>
      </c>
      <c r="AM213" s="33">
        <v>1</v>
      </c>
      <c r="AN213" s="33">
        <v>4</v>
      </c>
      <c r="AO213" s="33">
        <v>1</v>
      </c>
      <c r="AP213" s="33">
        <v>0</v>
      </c>
      <c r="AQ213" s="33">
        <v>0</v>
      </c>
      <c r="AR213" s="33">
        <v>3</v>
      </c>
      <c r="AS213" s="33">
        <v>2</v>
      </c>
      <c r="AT213" s="33">
        <v>2</v>
      </c>
      <c r="AU213" s="43">
        <v>0.15368311438526072</v>
      </c>
      <c r="AV213" s="33">
        <v>0</v>
      </c>
      <c r="AW213" s="33">
        <v>0</v>
      </c>
      <c r="AY213" s="36">
        <v>185</v>
      </c>
      <c r="AZ213" s="33">
        <v>2</v>
      </c>
      <c r="BA213" s="33">
        <v>1</v>
      </c>
      <c r="BB213" s="33">
        <v>0</v>
      </c>
      <c r="BC213" s="33">
        <v>2</v>
      </c>
      <c r="BD213" s="43">
        <v>7.638126547101505E-2</v>
      </c>
      <c r="BE213" s="33">
        <v>0</v>
      </c>
      <c r="BF213" s="33">
        <v>0</v>
      </c>
      <c r="CE213" s="36">
        <v>179</v>
      </c>
      <c r="CF213" s="33">
        <v>1</v>
      </c>
      <c r="CG213" s="33">
        <v>3</v>
      </c>
      <c r="CH213" s="33">
        <v>1</v>
      </c>
      <c r="CI213" s="33">
        <v>3</v>
      </c>
      <c r="CJ213" s="33">
        <v>1</v>
      </c>
      <c r="CK213" s="33">
        <v>0</v>
      </c>
      <c r="CL213" s="33">
        <v>3</v>
      </c>
      <c r="CM213" s="33">
        <v>3</v>
      </c>
      <c r="CN213" s="33">
        <v>24</v>
      </c>
      <c r="CO213" s="33">
        <v>15</v>
      </c>
      <c r="CP213" s="43">
        <v>2.1070046824547838E-2</v>
      </c>
      <c r="CQ213" s="33">
        <v>0</v>
      </c>
      <c r="CR213" s="33">
        <v>0</v>
      </c>
    </row>
    <row r="214" spans="1:96" ht="15" customHeight="1" x14ac:dyDescent="0.25">
      <c r="A214" s="26">
        <v>212</v>
      </c>
      <c r="B214" s="27">
        <v>27</v>
      </c>
      <c r="C214" s="27">
        <v>0</v>
      </c>
      <c r="D214" s="27">
        <v>2</v>
      </c>
      <c r="E214" s="27">
        <v>1242</v>
      </c>
      <c r="F214" s="27">
        <v>1</v>
      </c>
      <c r="G214" s="27">
        <v>20</v>
      </c>
      <c r="H214" s="27">
        <v>3</v>
      </c>
      <c r="I214" s="27">
        <v>1</v>
      </c>
      <c r="J214" s="27">
        <v>1</v>
      </c>
      <c r="K214" s="27">
        <v>293</v>
      </c>
      <c r="L214" s="27">
        <v>4</v>
      </c>
      <c r="M214" s="27">
        <v>0</v>
      </c>
      <c r="N214" s="27">
        <v>90</v>
      </c>
      <c r="O214" s="27">
        <v>3</v>
      </c>
      <c r="P214" s="27">
        <v>2</v>
      </c>
      <c r="Q214" s="27">
        <v>1</v>
      </c>
      <c r="R214" s="27">
        <v>3</v>
      </c>
      <c r="S214" s="27">
        <v>1</v>
      </c>
      <c r="T214" s="27">
        <v>9981</v>
      </c>
      <c r="U214" s="27">
        <v>12916</v>
      </c>
      <c r="V214" s="27">
        <v>1</v>
      </c>
      <c r="W214" s="27">
        <v>0</v>
      </c>
      <c r="X214" s="27">
        <v>14</v>
      </c>
      <c r="Y214" s="27">
        <v>3</v>
      </c>
      <c r="Z214" s="27">
        <v>4</v>
      </c>
      <c r="AA214" s="27">
        <v>80</v>
      </c>
      <c r="AB214" s="27">
        <v>0</v>
      </c>
      <c r="AC214" s="27">
        <v>7</v>
      </c>
      <c r="AD214" s="27">
        <v>2</v>
      </c>
      <c r="AE214" s="27">
        <v>3</v>
      </c>
      <c r="AF214" s="27">
        <v>7</v>
      </c>
      <c r="AG214" s="27">
        <v>7</v>
      </c>
      <c r="AH214" s="27">
        <v>0</v>
      </c>
      <c r="AI214" s="28">
        <v>7</v>
      </c>
      <c r="AK214" s="36">
        <v>181</v>
      </c>
      <c r="AL214" s="33">
        <v>12</v>
      </c>
      <c r="AM214" s="33">
        <v>1</v>
      </c>
      <c r="AN214" s="33">
        <v>4</v>
      </c>
      <c r="AO214" s="33">
        <v>8</v>
      </c>
      <c r="AP214" s="33">
        <v>1</v>
      </c>
      <c r="AQ214" s="33">
        <v>1</v>
      </c>
      <c r="AR214" s="33">
        <v>3</v>
      </c>
      <c r="AS214" s="33">
        <v>4</v>
      </c>
      <c r="AT214" s="33">
        <v>0</v>
      </c>
      <c r="AU214" s="43">
        <v>0.38226785167556665</v>
      </c>
      <c r="AV214" s="33">
        <v>0</v>
      </c>
      <c r="AW214" s="33">
        <v>0</v>
      </c>
      <c r="AY214" s="36">
        <v>186</v>
      </c>
      <c r="AZ214" s="33">
        <v>1</v>
      </c>
      <c r="BA214" s="33">
        <v>2</v>
      </c>
      <c r="BB214" s="33">
        <v>0</v>
      </c>
      <c r="BC214" s="33">
        <v>1</v>
      </c>
      <c r="BD214" s="43">
        <v>0.15461023487664</v>
      </c>
      <c r="BE214" s="33">
        <v>0</v>
      </c>
      <c r="BF214" s="33">
        <v>0</v>
      </c>
      <c r="CE214" s="36">
        <v>180</v>
      </c>
      <c r="CF214" s="33">
        <v>9</v>
      </c>
      <c r="CG214" s="33">
        <v>1</v>
      </c>
      <c r="CH214" s="33">
        <v>4</v>
      </c>
      <c r="CI214" s="33">
        <v>1</v>
      </c>
      <c r="CJ214" s="33">
        <v>1</v>
      </c>
      <c r="CK214" s="33">
        <v>0</v>
      </c>
      <c r="CL214" s="33">
        <v>0</v>
      </c>
      <c r="CM214" s="33">
        <v>3</v>
      </c>
      <c r="CN214" s="33">
        <v>2</v>
      </c>
      <c r="CO214" s="33">
        <v>2</v>
      </c>
      <c r="CP214" s="43">
        <v>0.17368994938636939</v>
      </c>
      <c r="CQ214" s="33">
        <v>0</v>
      </c>
      <c r="CR214" s="33">
        <v>0</v>
      </c>
    </row>
    <row r="215" spans="1:96" ht="15" customHeight="1" x14ac:dyDescent="0.25">
      <c r="A215" s="26">
        <v>213</v>
      </c>
      <c r="B215" s="27">
        <v>51</v>
      </c>
      <c r="C215" s="27">
        <v>0</v>
      </c>
      <c r="D215" s="27">
        <v>1</v>
      </c>
      <c r="E215" s="27">
        <v>1469</v>
      </c>
      <c r="F215" s="27">
        <v>2</v>
      </c>
      <c r="G215" s="27">
        <v>8</v>
      </c>
      <c r="H215" s="27">
        <v>4</v>
      </c>
      <c r="I215" s="27">
        <v>1</v>
      </c>
      <c r="J215" s="27">
        <v>1</v>
      </c>
      <c r="K215" s="27">
        <v>296</v>
      </c>
      <c r="L215" s="27">
        <v>2</v>
      </c>
      <c r="M215" s="27">
        <v>1</v>
      </c>
      <c r="N215" s="27">
        <v>81</v>
      </c>
      <c r="O215" s="27">
        <v>2</v>
      </c>
      <c r="P215" s="27">
        <v>3</v>
      </c>
      <c r="Q215" s="27">
        <v>8</v>
      </c>
      <c r="R215" s="27">
        <v>2</v>
      </c>
      <c r="S215" s="27">
        <v>2</v>
      </c>
      <c r="T215" s="27">
        <v>12490</v>
      </c>
      <c r="U215" s="27">
        <v>15736</v>
      </c>
      <c r="V215" s="27">
        <v>5</v>
      </c>
      <c r="W215" s="27">
        <v>0</v>
      </c>
      <c r="X215" s="27">
        <v>16</v>
      </c>
      <c r="Y215" s="27">
        <v>3</v>
      </c>
      <c r="Z215" s="27">
        <v>4</v>
      </c>
      <c r="AA215" s="27">
        <v>80</v>
      </c>
      <c r="AB215" s="27">
        <v>2</v>
      </c>
      <c r="AC215" s="27">
        <v>16</v>
      </c>
      <c r="AD215" s="27">
        <v>5</v>
      </c>
      <c r="AE215" s="27">
        <v>1</v>
      </c>
      <c r="AF215" s="27">
        <v>10</v>
      </c>
      <c r="AG215" s="27">
        <v>9</v>
      </c>
      <c r="AH215" s="27">
        <v>4</v>
      </c>
      <c r="AI215" s="28">
        <v>7</v>
      </c>
      <c r="AK215" s="36">
        <v>182</v>
      </c>
      <c r="AL215" s="33">
        <v>27</v>
      </c>
      <c r="AM215" s="33">
        <v>1</v>
      </c>
      <c r="AN215" s="33">
        <v>2</v>
      </c>
      <c r="AO215" s="33">
        <v>2</v>
      </c>
      <c r="AP215" s="33">
        <v>0</v>
      </c>
      <c r="AQ215" s="33">
        <v>0</v>
      </c>
      <c r="AR215" s="33">
        <v>3</v>
      </c>
      <c r="AS215" s="33">
        <v>3</v>
      </c>
      <c r="AT215" s="33">
        <v>1</v>
      </c>
      <c r="AU215" s="43">
        <v>0.35024441468517847</v>
      </c>
      <c r="AV215" s="33">
        <v>0</v>
      </c>
      <c r="AW215" s="33">
        <v>0</v>
      </c>
      <c r="AY215" s="36">
        <v>187</v>
      </c>
      <c r="AZ215" s="33">
        <v>5</v>
      </c>
      <c r="BA215" s="33">
        <v>3</v>
      </c>
      <c r="BB215" s="33">
        <v>0</v>
      </c>
      <c r="BC215" s="33">
        <v>1</v>
      </c>
      <c r="BD215" s="43">
        <v>1.4415653001325196E-2</v>
      </c>
      <c r="BE215" s="33">
        <v>0</v>
      </c>
      <c r="BF215" s="33">
        <v>0</v>
      </c>
      <c r="CE215" s="36">
        <v>181</v>
      </c>
      <c r="CF215" s="33">
        <v>12</v>
      </c>
      <c r="CG215" s="33">
        <v>1</v>
      </c>
      <c r="CH215" s="33">
        <v>4</v>
      </c>
      <c r="CI215" s="33">
        <v>2</v>
      </c>
      <c r="CJ215" s="33">
        <v>8</v>
      </c>
      <c r="CK215" s="33">
        <v>1</v>
      </c>
      <c r="CL215" s="33">
        <v>1</v>
      </c>
      <c r="CM215" s="33">
        <v>3</v>
      </c>
      <c r="CN215" s="33">
        <v>4</v>
      </c>
      <c r="CO215" s="33">
        <v>0</v>
      </c>
      <c r="CP215" s="43">
        <v>0.37732008114373045</v>
      </c>
      <c r="CQ215" s="33">
        <v>0</v>
      </c>
      <c r="CR215" s="33">
        <v>0</v>
      </c>
    </row>
    <row r="216" spans="1:96" ht="15" customHeight="1" x14ac:dyDescent="0.25">
      <c r="A216" s="26">
        <v>214</v>
      </c>
      <c r="B216" s="27">
        <v>30</v>
      </c>
      <c r="C216" s="27">
        <v>1</v>
      </c>
      <c r="D216" s="27">
        <v>1</v>
      </c>
      <c r="E216" s="27">
        <v>1005</v>
      </c>
      <c r="F216" s="27">
        <v>2</v>
      </c>
      <c r="G216" s="27">
        <v>3</v>
      </c>
      <c r="H216" s="27">
        <v>3</v>
      </c>
      <c r="I216" s="27">
        <v>5</v>
      </c>
      <c r="J216" s="27">
        <v>1</v>
      </c>
      <c r="K216" s="27">
        <v>297</v>
      </c>
      <c r="L216" s="27">
        <v>4</v>
      </c>
      <c r="M216" s="27">
        <v>0</v>
      </c>
      <c r="N216" s="27">
        <v>88</v>
      </c>
      <c r="O216" s="27">
        <v>3</v>
      </c>
      <c r="P216" s="27">
        <v>1</v>
      </c>
      <c r="Q216" s="27">
        <v>2</v>
      </c>
      <c r="R216" s="27">
        <v>1</v>
      </c>
      <c r="S216" s="27">
        <v>1</v>
      </c>
      <c r="T216" s="27">
        <v>2657</v>
      </c>
      <c r="U216" s="27">
        <v>8556</v>
      </c>
      <c r="V216" s="27">
        <v>5</v>
      </c>
      <c r="W216" s="27">
        <v>1</v>
      </c>
      <c r="X216" s="27">
        <v>11</v>
      </c>
      <c r="Y216" s="27">
        <v>3</v>
      </c>
      <c r="Z216" s="27">
        <v>3</v>
      </c>
      <c r="AA216" s="27">
        <v>80</v>
      </c>
      <c r="AB216" s="27">
        <v>0</v>
      </c>
      <c r="AC216" s="27">
        <v>8</v>
      </c>
      <c r="AD216" s="27">
        <v>5</v>
      </c>
      <c r="AE216" s="27">
        <v>3</v>
      </c>
      <c r="AF216" s="27">
        <v>5</v>
      </c>
      <c r="AG216" s="27">
        <v>2</v>
      </c>
      <c r="AH216" s="27">
        <v>0</v>
      </c>
      <c r="AI216" s="28">
        <v>4</v>
      </c>
      <c r="AK216" s="36">
        <v>183</v>
      </c>
      <c r="AL216" s="33">
        <v>20</v>
      </c>
      <c r="AM216" s="33">
        <v>1</v>
      </c>
      <c r="AN216" s="33">
        <v>2</v>
      </c>
      <c r="AO216" s="33">
        <v>1</v>
      </c>
      <c r="AP216" s="33">
        <v>1</v>
      </c>
      <c r="AQ216" s="33">
        <v>0</v>
      </c>
      <c r="AR216" s="33">
        <v>2</v>
      </c>
      <c r="AS216" s="33">
        <v>4</v>
      </c>
      <c r="AT216" s="33">
        <v>0</v>
      </c>
      <c r="AU216" s="43">
        <v>0.6422081632347546</v>
      </c>
      <c r="AV216" s="33">
        <v>1</v>
      </c>
      <c r="AW216" s="33">
        <v>1</v>
      </c>
      <c r="AY216" s="36">
        <v>188</v>
      </c>
      <c r="AZ216" s="33">
        <v>5</v>
      </c>
      <c r="BA216" s="33">
        <v>2</v>
      </c>
      <c r="BB216" s="33">
        <v>0</v>
      </c>
      <c r="BC216" s="33">
        <v>0</v>
      </c>
      <c r="BD216" s="43">
        <v>3.2142518215720908E-2</v>
      </c>
      <c r="BE216" s="33">
        <v>0</v>
      </c>
      <c r="BF216" s="33">
        <v>0</v>
      </c>
      <c r="CE216" s="36">
        <v>182</v>
      </c>
      <c r="CF216" s="33">
        <v>27</v>
      </c>
      <c r="CG216" s="33">
        <v>1</v>
      </c>
      <c r="CH216" s="33">
        <v>2</v>
      </c>
      <c r="CI216" s="33">
        <v>1</v>
      </c>
      <c r="CJ216" s="33">
        <v>2</v>
      </c>
      <c r="CK216" s="33">
        <v>0</v>
      </c>
      <c r="CL216" s="33">
        <v>0</v>
      </c>
      <c r="CM216" s="33">
        <v>3</v>
      </c>
      <c r="CN216" s="33">
        <v>3</v>
      </c>
      <c r="CO216" s="33">
        <v>1</v>
      </c>
      <c r="CP216" s="43">
        <v>0.39109941769731926</v>
      </c>
      <c r="CQ216" s="33">
        <v>0</v>
      </c>
      <c r="CR216" s="33">
        <v>0</v>
      </c>
    </row>
    <row r="217" spans="1:96" ht="15" customHeight="1" x14ac:dyDescent="0.25">
      <c r="A217" s="26">
        <v>215</v>
      </c>
      <c r="B217" s="27">
        <v>41</v>
      </c>
      <c r="C217" s="27">
        <v>0</v>
      </c>
      <c r="D217" s="27">
        <v>1</v>
      </c>
      <c r="E217" s="27">
        <v>896</v>
      </c>
      <c r="F217" s="27">
        <v>1</v>
      </c>
      <c r="G217" s="27">
        <v>6</v>
      </c>
      <c r="H217" s="27">
        <v>3</v>
      </c>
      <c r="I217" s="27">
        <v>1</v>
      </c>
      <c r="J217" s="27">
        <v>1</v>
      </c>
      <c r="K217" s="27">
        <v>298</v>
      </c>
      <c r="L217" s="27">
        <v>4</v>
      </c>
      <c r="M217" s="27">
        <v>0</v>
      </c>
      <c r="N217" s="27">
        <v>75</v>
      </c>
      <c r="O217" s="27">
        <v>3</v>
      </c>
      <c r="P217" s="27">
        <v>3</v>
      </c>
      <c r="Q217" s="27">
        <v>6</v>
      </c>
      <c r="R217" s="27">
        <v>4</v>
      </c>
      <c r="S217" s="27">
        <v>1</v>
      </c>
      <c r="T217" s="27">
        <v>13591</v>
      </c>
      <c r="U217" s="27">
        <v>14674</v>
      </c>
      <c r="V217" s="27">
        <v>3</v>
      </c>
      <c r="W217" s="27">
        <v>1</v>
      </c>
      <c r="X217" s="27">
        <v>18</v>
      </c>
      <c r="Y217" s="27">
        <v>3</v>
      </c>
      <c r="Z217" s="27">
        <v>3</v>
      </c>
      <c r="AA217" s="27">
        <v>80</v>
      </c>
      <c r="AB217" s="27">
        <v>0</v>
      </c>
      <c r="AC217" s="27">
        <v>16</v>
      </c>
      <c r="AD217" s="27">
        <v>3</v>
      </c>
      <c r="AE217" s="27">
        <v>3</v>
      </c>
      <c r="AF217" s="27">
        <v>1</v>
      </c>
      <c r="AG217" s="27">
        <v>0</v>
      </c>
      <c r="AH217" s="27">
        <v>0</v>
      </c>
      <c r="AI217" s="28">
        <v>0</v>
      </c>
      <c r="AK217" s="36">
        <v>184</v>
      </c>
      <c r="AL217" s="33">
        <v>1</v>
      </c>
      <c r="AM217" s="33">
        <v>1</v>
      </c>
      <c r="AN217" s="33">
        <v>3</v>
      </c>
      <c r="AO217" s="33">
        <v>2</v>
      </c>
      <c r="AP217" s="33">
        <v>0</v>
      </c>
      <c r="AQ217" s="33">
        <v>1</v>
      </c>
      <c r="AR217" s="33">
        <v>2</v>
      </c>
      <c r="AS217" s="33">
        <v>3</v>
      </c>
      <c r="AT217" s="33">
        <v>0</v>
      </c>
      <c r="AU217" s="43">
        <v>9.6872454450805875E-2</v>
      </c>
      <c r="AV217" s="33">
        <v>0</v>
      </c>
      <c r="AW217" s="33">
        <v>0</v>
      </c>
      <c r="AY217" s="36">
        <v>189</v>
      </c>
      <c r="AZ217" s="33">
        <v>2</v>
      </c>
      <c r="BA217" s="33">
        <v>3</v>
      </c>
      <c r="BB217" s="33">
        <v>0</v>
      </c>
      <c r="BC217" s="33">
        <v>0</v>
      </c>
      <c r="BD217" s="43">
        <v>0.11690772887050198</v>
      </c>
      <c r="BE217" s="33">
        <v>0</v>
      </c>
      <c r="BF217" s="33">
        <v>0</v>
      </c>
      <c r="CE217" s="36">
        <v>183</v>
      </c>
      <c r="CF217" s="33">
        <v>20</v>
      </c>
      <c r="CG217" s="33">
        <v>1</v>
      </c>
      <c r="CH217" s="33">
        <v>2</v>
      </c>
      <c r="CI217" s="33">
        <v>1</v>
      </c>
      <c r="CJ217" s="33">
        <v>1</v>
      </c>
      <c r="CK217" s="33">
        <v>1</v>
      </c>
      <c r="CL217" s="33">
        <v>0</v>
      </c>
      <c r="CM217" s="33">
        <v>2</v>
      </c>
      <c r="CN217" s="33">
        <v>4</v>
      </c>
      <c r="CO217" s="33">
        <v>0</v>
      </c>
      <c r="CP217" s="43">
        <v>0.69294788589962886</v>
      </c>
      <c r="CQ217" s="33">
        <v>1</v>
      </c>
      <c r="CR217" s="33">
        <v>1</v>
      </c>
    </row>
    <row r="218" spans="1:96" ht="15" customHeight="1" x14ac:dyDescent="0.25">
      <c r="A218" s="26">
        <v>216</v>
      </c>
      <c r="B218" s="27">
        <v>30</v>
      </c>
      <c r="C218" s="27">
        <v>1</v>
      </c>
      <c r="D218" s="27">
        <v>2</v>
      </c>
      <c r="E218" s="27">
        <v>334</v>
      </c>
      <c r="F218" s="27">
        <v>1</v>
      </c>
      <c r="G218" s="27">
        <v>26</v>
      </c>
      <c r="H218" s="27">
        <v>4</v>
      </c>
      <c r="I218" s="27">
        <v>4</v>
      </c>
      <c r="J218" s="27">
        <v>1</v>
      </c>
      <c r="K218" s="27">
        <v>299</v>
      </c>
      <c r="L218" s="27">
        <v>3</v>
      </c>
      <c r="M218" s="27">
        <v>0</v>
      </c>
      <c r="N218" s="27">
        <v>52</v>
      </c>
      <c r="O218" s="27">
        <v>2</v>
      </c>
      <c r="P218" s="27">
        <v>2</v>
      </c>
      <c r="Q218" s="27">
        <v>1</v>
      </c>
      <c r="R218" s="27">
        <v>1</v>
      </c>
      <c r="S218" s="27">
        <v>1</v>
      </c>
      <c r="T218" s="27">
        <v>6696</v>
      </c>
      <c r="U218" s="27">
        <v>22967</v>
      </c>
      <c r="V218" s="27">
        <v>5</v>
      </c>
      <c r="W218" s="27">
        <v>0</v>
      </c>
      <c r="X218" s="27">
        <v>15</v>
      </c>
      <c r="Y218" s="27">
        <v>3</v>
      </c>
      <c r="Z218" s="27">
        <v>3</v>
      </c>
      <c r="AA218" s="27">
        <v>80</v>
      </c>
      <c r="AB218" s="27">
        <v>0</v>
      </c>
      <c r="AC218" s="27">
        <v>9</v>
      </c>
      <c r="AD218" s="27">
        <v>5</v>
      </c>
      <c r="AE218" s="27">
        <v>2</v>
      </c>
      <c r="AF218" s="27">
        <v>6</v>
      </c>
      <c r="AG218" s="27">
        <v>3</v>
      </c>
      <c r="AH218" s="27">
        <v>0</v>
      </c>
      <c r="AI218" s="28">
        <v>1</v>
      </c>
      <c r="AK218" s="36">
        <v>185</v>
      </c>
      <c r="AL218" s="33">
        <v>13</v>
      </c>
      <c r="AM218" s="33">
        <v>2</v>
      </c>
      <c r="AN218" s="33">
        <v>1</v>
      </c>
      <c r="AO218" s="33">
        <v>1</v>
      </c>
      <c r="AP218" s="33">
        <v>0</v>
      </c>
      <c r="AQ218" s="33">
        <v>2</v>
      </c>
      <c r="AR218" s="33">
        <v>3</v>
      </c>
      <c r="AS218" s="33">
        <v>4</v>
      </c>
      <c r="AT218" s="33">
        <v>1</v>
      </c>
      <c r="AU218" s="43">
        <v>6.6684813367223511E-2</v>
      </c>
      <c r="AV218" s="33">
        <v>0</v>
      </c>
      <c r="AW218" s="33">
        <v>0</v>
      </c>
      <c r="AY218" s="36">
        <v>190</v>
      </c>
      <c r="AZ218" s="33">
        <v>4</v>
      </c>
      <c r="BA218" s="33">
        <v>2</v>
      </c>
      <c r="BB218" s="33">
        <v>0</v>
      </c>
      <c r="BC218" s="33">
        <v>0</v>
      </c>
      <c r="BD218" s="43">
        <v>5.4862919617085948E-2</v>
      </c>
      <c r="BE218" s="33">
        <v>0</v>
      </c>
      <c r="BF218" s="33">
        <v>0</v>
      </c>
      <c r="CE218" s="36">
        <v>184</v>
      </c>
      <c r="CF218" s="33">
        <v>1</v>
      </c>
      <c r="CG218" s="33">
        <v>1</v>
      </c>
      <c r="CH218" s="33">
        <v>3</v>
      </c>
      <c r="CI218" s="33">
        <v>2</v>
      </c>
      <c r="CJ218" s="33">
        <v>2</v>
      </c>
      <c r="CK218" s="33">
        <v>0</v>
      </c>
      <c r="CL218" s="33">
        <v>1</v>
      </c>
      <c r="CM218" s="33">
        <v>2</v>
      </c>
      <c r="CN218" s="33">
        <v>3</v>
      </c>
      <c r="CO218" s="33">
        <v>0</v>
      </c>
      <c r="CP218" s="43">
        <v>9.4121689533390507E-2</v>
      </c>
      <c r="CQ218" s="33">
        <v>0</v>
      </c>
      <c r="CR218" s="33">
        <v>0</v>
      </c>
    </row>
    <row r="219" spans="1:96" ht="15" customHeight="1" x14ac:dyDescent="0.25">
      <c r="A219" s="26">
        <v>217</v>
      </c>
      <c r="B219" s="27">
        <v>29</v>
      </c>
      <c r="C219" s="27">
        <v>1</v>
      </c>
      <c r="D219" s="27">
        <v>1</v>
      </c>
      <c r="E219" s="27">
        <v>992</v>
      </c>
      <c r="F219" s="27">
        <v>2</v>
      </c>
      <c r="G219" s="27">
        <v>1</v>
      </c>
      <c r="H219" s="27">
        <v>3</v>
      </c>
      <c r="I219" s="27">
        <v>5</v>
      </c>
      <c r="J219" s="27">
        <v>1</v>
      </c>
      <c r="K219" s="27">
        <v>300</v>
      </c>
      <c r="L219" s="27">
        <v>3</v>
      </c>
      <c r="M219" s="27">
        <v>1</v>
      </c>
      <c r="N219" s="27">
        <v>85</v>
      </c>
      <c r="O219" s="27">
        <v>3</v>
      </c>
      <c r="P219" s="27">
        <v>1</v>
      </c>
      <c r="Q219" s="27">
        <v>2</v>
      </c>
      <c r="R219" s="27">
        <v>3</v>
      </c>
      <c r="S219" s="27">
        <v>1</v>
      </c>
      <c r="T219" s="27">
        <v>2058</v>
      </c>
      <c r="U219" s="27">
        <v>19757</v>
      </c>
      <c r="V219" s="27">
        <v>0</v>
      </c>
      <c r="W219" s="27">
        <v>0</v>
      </c>
      <c r="X219" s="27">
        <v>14</v>
      </c>
      <c r="Y219" s="27">
        <v>3</v>
      </c>
      <c r="Z219" s="27">
        <v>4</v>
      </c>
      <c r="AA219" s="27">
        <v>80</v>
      </c>
      <c r="AB219" s="27">
        <v>0</v>
      </c>
      <c r="AC219" s="27">
        <v>7</v>
      </c>
      <c r="AD219" s="27">
        <v>1</v>
      </c>
      <c r="AE219" s="27">
        <v>2</v>
      </c>
      <c r="AF219" s="27">
        <v>6</v>
      </c>
      <c r="AG219" s="27">
        <v>2</v>
      </c>
      <c r="AH219" s="27">
        <v>1</v>
      </c>
      <c r="AI219" s="28">
        <v>5</v>
      </c>
      <c r="AK219" s="36">
        <v>186</v>
      </c>
      <c r="AL219" s="33">
        <v>14</v>
      </c>
      <c r="AM219" s="33">
        <v>1</v>
      </c>
      <c r="AN219" s="33">
        <v>2</v>
      </c>
      <c r="AO219" s="33">
        <v>1</v>
      </c>
      <c r="AP219" s="33">
        <v>0</v>
      </c>
      <c r="AQ219" s="33">
        <v>1</v>
      </c>
      <c r="AR219" s="33">
        <v>3</v>
      </c>
      <c r="AS219" s="33">
        <v>8</v>
      </c>
      <c r="AT219" s="33">
        <v>1</v>
      </c>
      <c r="AU219" s="43">
        <v>0.11235855209615761</v>
      </c>
      <c r="AV219" s="33">
        <v>0</v>
      </c>
      <c r="AW219" s="33">
        <v>0</v>
      </c>
      <c r="AY219" s="36">
        <v>191</v>
      </c>
      <c r="AZ219" s="33">
        <v>5</v>
      </c>
      <c r="BA219" s="33">
        <v>3</v>
      </c>
      <c r="BB219" s="33">
        <v>0</v>
      </c>
      <c r="BC219" s="33">
        <v>1</v>
      </c>
      <c r="BD219" s="43">
        <v>1.4415653001325196E-2</v>
      </c>
      <c r="BE219" s="33">
        <v>0</v>
      </c>
      <c r="BF219" s="33">
        <v>0</v>
      </c>
      <c r="CE219" s="36">
        <v>185</v>
      </c>
      <c r="CF219" s="33">
        <v>13</v>
      </c>
      <c r="CG219" s="33">
        <v>2</v>
      </c>
      <c r="CH219" s="33">
        <v>1</v>
      </c>
      <c r="CI219" s="33">
        <v>3</v>
      </c>
      <c r="CJ219" s="33">
        <v>1</v>
      </c>
      <c r="CK219" s="33">
        <v>0</v>
      </c>
      <c r="CL219" s="33">
        <v>2</v>
      </c>
      <c r="CM219" s="33">
        <v>3</v>
      </c>
      <c r="CN219" s="33">
        <v>4</v>
      </c>
      <c r="CO219" s="33">
        <v>1</v>
      </c>
      <c r="CP219" s="43">
        <v>5.4582635479647035E-2</v>
      </c>
      <c r="CQ219" s="33">
        <v>0</v>
      </c>
      <c r="CR219" s="33">
        <v>0</v>
      </c>
    </row>
    <row r="220" spans="1:96" ht="15" customHeight="1" x14ac:dyDescent="0.25">
      <c r="A220" s="26">
        <v>218</v>
      </c>
      <c r="B220" s="27">
        <v>45</v>
      </c>
      <c r="C220" s="27">
        <v>0</v>
      </c>
      <c r="D220" s="27">
        <v>3</v>
      </c>
      <c r="E220" s="27">
        <v>1052</v>
      </c>
      <c r="F220" s="27">
        <v>1</v>
      </c>
      <c r="G220" s="27">
        <v>6</v>
      </c>
      <c r="H220" s="27">
        <v>3</v>
      </c>
      <c r="I220" s="27">
        <v>3</v>
      </c>
      <c r="J220" s="27">
        <v>1</v>
      </c>
      <c r="K220" s="27">
        <v>302</v>
      </c>
      <c r="L220" s="27">
        <v>4</v>
      </c>
      <c r="M220" s="27">
        <v>0</v>
      </c>
      <c r="N220" s="27">
        <v>57</v>
      </c>
      <c r="O220" s="27">
        <v>2</v>
      </c>
      <c r="P220" s="27">
        <v>3</v>
      </c>
      <c r="Q220" s="27">
        <v>1</v>
      </c>
      <c r="R220" s="27">
        <v>4</v>
      </c>
      <c r="S220" s="27">
        <v>1</v>
      </c>
      <c r="T220" s="27">
        <v>8865</v>
      </c>
      <c r="U220" s="27">
        <v>16840</v>
      </c>
      <c r="V220" s="27">
        <v>6</v>
      </c>
      <c r="W220" s="27">
        <v>0</v>
      </c>
      <c r="X220" s="27">
        <v>12</v>
      </c>
      <c r="Y220" s="27">
        <v>3</v>
      </c>
      <c r="Z220" s="27">
        <v>4</v>
      </c>
      <c r="AA220" s="27">
        <v>80</v>
      </c>
      <c r="AB220" s="27">
        <v>0</v>
      </c>
      <c r="AC220" s="27">
        <v>23</v>
      </c>
      <c r="AD220" s="27">
        <v>2</v>
      </c>
      <c r="AE220" s="27">
        <v>3</v>
      </c>
      <c r="AF220" s="27">
        <v>19</v>
      </c>
      <c r="AG220" s="27">
        <v>7</v>
      </c>
      <c r="AH220" s="27">
        <v>12</v>
      </c>
      <c r="AI220" s="28">
        <v>8</v>
      </c>
      <c r="AK220" s="36">
        <v>187</v>
      </c>
      <c r="AL220" s="33">
        <v>4</v>
      </c>
      <c r="AM220" s="33">
        <v>5</v>
      </c>
      <c r="AN220" s="33">
        <v>3</v>
      </c>
      <c r="AO220" s="33">
        <v>1</v>
      </c>
      <c r="AP220" s="33">
        <v>0</v>
      </c>
      <c r="AQ220" s="33">
        <v>1</v>
      </c>
      <c r="AR220" s="33">
        <v>3</v>
      </c>
      <c r="AS220" s="33">
        <v>20</v>
      </c>
      <c r="AT220" s="33">
        <v>9</v>
      </c>
      <c r="AU220" s="43">
        <v>7.6904440254268076E-3</v>
      </c>
      <c r="AV220" s="33">
        <v>0</v>
      </c>
      <c r="AW220" s="33">
        <v>0</v>
      </c>
      <c r="AY220" s="36">
        <v>192</v>
      </c>
      <c r="AZ220" s="33">
        <v>1</v>
      </c>
      <c r="BA220" s="33">
        <v>2</v>
      </c>
      <c r="BB220" s="33">
        <v>0</v>
      </c>
      <c r="BC220" s="33">
        <v>0</v>
      </c>
      <c r="BD220" s="43">
        <v>0.23662845161334917</v>
      </c>
      <c r="BE220" s="33">
        <v>0</v>
      </c>
      <c r="BF220" s="33">
        <v>0</v>
      </c>
      <c r="CE220" s="36">
        <v>186</v>
      </c>
      <c r="CF220" s="33">
        <v>14</v>
      </c>
      <c r="CG220" s="33">
        <v>1</v>
      </c>
      <c r="CH220" s="33">
        <v>2</v>
      </c>
      <c r="CI220" s="33">
        <v>2</v>
      </c>
      <c r="CJ220" s="33">
        <v>1</v>
      </c>
      <c r="CK220" s="33">
        <v>0</v>
      </c>
      <c r="CL220" s="33">
        <v>1</v>
      </c>
      <c r="CM220" s="33">
        <v>3</v>
      </c>
      <c r="CN220" s="33">
        <v>8</v>
      </c>
      <c r="CO220" s="33">
        <v>1</v>
      </c>
      <c r="CP220" s="43">
        <v>0.10891513987908853</v>
      </c>
      <c r="CQ220" s="33">
        <v>0</v>
      </c>
      <c r="CR220" s="33">
        <v>0</v>
      </c>
    </row>
    <row r="221" spans="1:96" ht="15" customHeight="1" x14ac:dyDescent="0.25">
      <c r="A221" s="26">
        <v>219</v>
      </c>
      <c r="B221" s="27">
        <v>54</v>
      </c>
      <c r="C221" s="27">
        <v>0</v>
      </c>
      <c r="D221" s="27">
        <v>1</v>
      </c>
      <c r="E221" s="27">
        <v>1147</v>
      </c>
      <c r="F221" s="27">
        <v>1</v>
      </c>
      <c r="G221" s="27">
        <v>3</v>
      </c>
      <c r="H221" s="27">
        <v>3</v>
      </c>
      <c r="I221" s="27">
        <v>4</v>
      </c>
      <c r="J221" s="27">
        <v>1</v>
      </c>
      <c r="K221" s="27">
        <v>303</v>
      </c>
      <c r="L221" s="27">
        <v>4</v>
      </c>
      <c r="M221" s="27">
        <v>0</v>
      </c>
      <c r="N221" s="27">
        <v>52</v>
      </c>
      <c r="O221" s="27">
        <v>3</v>
      </c>
      <c r="P221" s="27">
        <v>2</v>
      </c>
      <c r="Q221" s="27">
        <v>1</v>
      </c>
      <c r="R221" s="27">
        <v>1</v>
      </c>
      <c r="S221" s="27">
        <v>2</v>
      </c>
      <c r="T221" s="27">
        <v>5940</v>
      </c>
      <c r="U221" s="27">
        <v>17011</v>
      </c>
      <c r="V221" s="27">
        <v>2</v>
      </c>
      <c r="W221" s="27">
        <v>0</v>
      </c>
      <c r="X221" s="27">
        <v>14</v>
      </c>
      <c r="Y221" s="27">
        <v>3</v>
      </c>
      <c r="Z221" s="27">
        <v>4</v>
      </c>
      <c r="AA221" s="27">
        <v>80</v>
      </c>
      <c r="AB221" s="27">
        <v>1</v>
      </c>
      <c r="AC221" s="27">
        <v>16</v>
      </c>
      <c r="AD221" s="27">
        <v>4</v>
      </c>
      <c r="AE221" s="27">
        <v>3</v>
      </c>
      <c r="AF221" s="27">
        <v>6</v>
      </c>
      <c r="AG221" s="27">
        <v>2</v>
      </c>
      <c r="AH221" s="27">
        <v>0</v>
      </c>
      <c r="AI221" s="28">
        <v>5</v>
      </c>
      <c r="AK221" s="36">
        <v>188</v>
      </c>
      <c r="AL221" s="33">
        <v>14</v>
      </c>
      <c r="AM221" s="33">
        <v>5</v>
      </c>
      <c r="AN221" s="33">
        <v>2</v>
      </c>
      <c r="AO221" s="33">
        <v>8</v>
      </c>
      <c r="AP221" s="33">
        <v>0</v>
      </c>
      <c r="AQ221" s="33">
        <v>0</v>
      </c>
      <c r="AR221" s="33">
        <v>3</v>
      </c>
      <c r="AS221" s="33">
        <v>24</v>
      </c>
      <c r="AT221" s="33">
        <v>2</v>
      </c>
      <c r="AU221" s="43">
        <v>1.5390320353300881E-2</v>
      </c>
      <c r="AV221" s="33">
        <v>0</v>
      </c>
      <c r="AW221" s="33">
        <v>0</v>
      </c>
      <c r="AY221" s="36">
        <v>193</v>
      </c>
      <c r="AZ221" s="33">
        <v>2</v>
      </c>
      <c r="BA221" s="33">
        <v>3</v>
      </c>
      <c r="BB221" s="33">
        <v>1</v>
      </c>
      <c r="BC221" s="33">
        <v>0</v>
      </c>
      <c r="BD221" s="43">
        <v>0.36139389867144694</v>
      </c>
      <c r="BE221" s="33">
        <v>0</v>
      </c>
      <c r="BF221" s="33">
        <v>1</v>
      </c>
      <c r="CE221" s="36">
        <v>187</v>
      </c>
      <c r="CF221" s="33">
        <v>4</v>
      </c>
      <c r="CG221" s="33">
        <v>5</v>
      </c>
      <c r="CH221" s="33">
        <v>3</v>
      </c>
      <c r="CI221" s="33">
        <v>2</v>
      </c>
      <c r="CJ221" s="33">
        <v>1</v>
      </c>
      <c r="CK221" s="33">
        <v>0</v>
      </c>
      <c r="CL221" s="33">
        <v>1</v>
      </c>
      <c r="CM221" s="33">
        <v>3</v>
      </c>
      <c r="CN221" s="33">
        <v>20</v>
      </c>
      <c r="CO221" s="33">
        <v>9</v>
      </c>
      <c r="CP221" s="43">
        <v>7.7912528511570418E-3</v>
      </c>
      <c r="CQ221" s="33">
        <v>0</v>
      </c>
      <c r="CR221" s="33">
        <v>0</v>
      </c>
    </row>
    <row r="222" spans="1:96" ht="15" customHeight="1" x14ac:dyDescent="0.25">
      <c r="A222" s="26">
        <v>220</v>
      </c>
      <c r="B222" s="27">
        <v>36</v>
      </c>
      <c r="C222" s="27">
        <v>0</v>
      </c>
      <c r="D222" s="27">
        <v>1</v>
      </c>
      <c r="E222" s="27">
        <v>1396</v>
      </c>
      <c r="F222" s="27">
        <v>2</v>
      </c>
      <c r="G222" s="27">
        <v>5</v>
      </c>
      <c r="H222" s="27">
        <v>2</v>
      </c>
      <c r="I222" s="27">
        <v>1</v>
      </c>
      <c r="J222" s="27">
        <v>1</v>
      </c>
      <c r="K222" s="27">
        <v>304</v>
      </c>
      <c r="L222" s="27">
        <v>4</v>
      </c>
      <c r="M222" s="27">
        <v>1</v>
      </c>
      <c r="N222" s="27">
        <v>62</v>
      </c>
      <c r="O222" s="27">
        <v>3</v>
      </c>
      <c r="P222" s="27">
        <v>2</v>
      </c>
      <c r="Q222" s="27">
        <v>3</v>
      </c>
      <c r="R222" s="27">
        <v>2</v>
      </c>
      <c r="S222" s="27">
        <v>1</v>
      </c>
      <c r="T222" s="27">
        <v>5914</v>
      </c>
      <c r="U222" s="27">
        <v>9945</v>
      </c>
      <c r="V222" s="27">
        <v>8</v>
      </c>
      <c r="W222" s="27">
        <v>0</v>
      </c>
      <c r="X222" s="27">
        <v>16</v>
      </c>
      <c r="Y222" s="27">
        <v>3</v>
      </c>
      <c r="Z222" s="27">
        <v>4</v>
      </c>
      <c r="AA222" s="27">
        <v>80</v>
      </c>
      <c r="AB222" s="27">
        <v>0</v>
      </c>
      <c r="AC222" s="27">
        <v>16</v>
      </c>
      <c r="AD222" s="27">
        <v>3</v>
      </c>
      <c r="AE222" s="27">
        <v>4</v>
      </c>
      <c r="AF222" s="27">
        <v>13</v>
      </c>
      <c r="AG222" s="27">
        <v>11</v>
      </c>
      <c r="AH222" s="27">
        <v>3</v>
      </c>
      <c r="AI222" s="28">
        <v>7</v>
      </c>
      <c r="AK222" s="36">
        <v>189</v>
      </c>
      <c r="AL222" s="33">
        <v>2</v>
      </c>
      <c r="AM222" s="33">
        <v>2</v>
      </c>
      <c r="AN222" s="33">
        <v>3</v>
      </c>
      <c r="AO222" s="33">
        <v>1</v>
      </c>
      <c r="AP222" s="33">
        <v>0</v>
      </c>
      <c r="AQ222" s="33">
        <v>0</v>
      </c>
      <c r="AR222" s="33">
        <v>2</v>
      </c>
      <c r="AS222" s="33">
        <v>10</v>
      </c>
      <c r="AT222" s="33">
        <v>1</v>
      </c>
      <c r="AU222" s="43">
        <v>6.5456871136716499E-2</v>
      </c>
      <c r="AV222" s="33">
        <v>0</v>
      </c>
      <c r="AW222" s="33">
        <v>0</v>
      </c>
      <c r="AY222" s="36">
        <v>194</v>
      </c>
      <c r="AZ222" s="33">
        <v>1</v>
      </c>
      <c r="BA222" s="33">
        <v>4</v>
      </c>
      <c r="BB222" s="33">
        <v>0</v>
      </c>
      <c r="BC222" s="33">
        <v>3</v>
      </c>
      <c r="BD222" s="43">
        <v>3.425986181697948E-2</v>
      </c>
      <c r="BE222" s="33">
        <v>0</v>
      </c>
      <c r="BF222" s="33">
        <v>0</v>
      </c>
      <c r="CE222" s="36">
        <v>188</v>
      </c>
      <c r="CF222" s="33">
        <v>14</v>
      </c>
      <c r="CG222" s="33">
        <v>5</v>
      </c>
      <c r="CH222" s="33">
        <v>2</v>
      </c>
      <c r="CI222" s="33">
        <v>1</v>
      </c>
      <c r="CJ222" s="33">
        <v>8</v>
      </c>
      <c r="CK222" s="33">
        <v>0</v>
      </c>
      <c r="CL222" s="33">
        <v>0</v>
      </c>
      <c r="CM222" s="33">
        <v>3</v>
      </c>
      <c r="CN222" s="33">
        <v>24</v>
      </c>
      <c r="CO222" s="33">
        <v>2</v>
      </c>
      <c r="CP222" s="43">
        <v>1.9217836613661374E-2</v>
      </c>
      <c r="CQ222" s="33">
        <v>0</v>
      </c>
      <c r="CR222" s="33">
        <v>0</v>
      </c>
    </row>
    <row r="223" spans="1:96" ht="15" customHeight="1" x14ac:dyDescent="0.25">
      <c r="A223" s="26">
        <v>221</v>
      </c>
      <c r="B223" s="27">
        <v>33</v>
      </c>
      <c r="C223" s="27">
        <v>0</v>
      </c>
      <c r="D223" s="27">
        <v>1</v>
      </c>
      <c r="E223" s="27">
        <v>147</v>
      </c>
      <c r="F223" s="27">
        <v>2</v>
      </c>
      <c r="G223" s="27">
        <v>4</v>
      </c>
      <c r="H223" s="27">
        <v>4</v>
      </c>
      <c r="I223" s="27">
        <v>3</v>
      </c>
      <c r="J223" s="27">
        <v>1</v>
      </c>
      <c r="K223" s="27">
        <v>305</v>
      </c>
      <c r="L223" s="27">
        <v>3</v>
      </c>
      <c r="M223" s="27">
        <v>0</v>
      </c>
      <c r="N223" s="27">
        <v>47</v>
      </c>
      <c r="O223" s="27">
        <v>2</v>
      </c>
      <c r="P223" s="27">
        <v>1</v>
      </c>
      <c r="Q223" s="27">
        <v>2</v>
      </c>
      <c r="R223" s="27">
        <v>2</v>
      </c>
      <c r="S223" s="27">
        <v>2</v>
      </c>
      <c r="T223" s="27">
        <v>2622</v>
      </c>
      <c r="U223" s="27">
        <v>13248</v>
      </c>
      <c r="V223" s="27">
        <v>6</v>
      </c>
      <c r="W223" s="27">
        <v>0</v>
      </c>
      <c r="X223" s="27">
        <v>21</v>
      </c>
      <c r="Y223" s="27">
        <v>4</v>
      </c>
      <c r="Z223" s="27">
        <v>4</v>
      </c>
      <c r="AA223" s="27">
        <v>80</v>
      </c>
      <c r="AB223" s="27">
        <v>0</v>
      </c>
      <c r="AC223" s="27">
        <v>7</v>
      </c>
      <c r="AD223" s="27">
        <v>3</v>
      </c>
      <c r="AE223" s="27">
        <v>3</v>
      </c>
      <c r="AF223" s="27">
        <v>3</v>
      </c>
      <c r="AG223" s="27">
        <v>2</v>
      </c>
      <c r="AH223" s="27">
        <v>1</v>
      </c>
      <c r="AI223" s="28">
        <v>1</v>
      </c>
      <c r="AK223" s="36">
        <v>190</v>
      </c>
      <c r="AL223" s="33">
        <v>3</v>
      </c>
      <c r="AM223" s="33">
        <v>4</v>
      </c>
      <c r="AN223" s="33">
        <v>2</v>
      </c>
      <c r="AO223" s="33">
        <v>3</v>
      </c>
      <c r="AP223" s="33">
        <v>0</v>
      </c>
      <c r="AQ223" s="33">
        <v>0</v>
      </c>
      <c r="AR223" s="33">
        <v>3</v>
      </c>
      <c r="AS223" s="33">
        <v>7</v>
      </c>
      <c r="AT223" s="33">
        <v>1</v>
      </c>
      <c r="AU223" s="43">
        <v>3.6109761079825754E-2</v>
      </c>
      <c r="AV223" s="33">
        <v>0</v>
      </c>
      <c r="AW223" s="33">
        <v>0</v>
      </c>
      <c r="AY223" s="36">
        <v>195</v>
      </c>
      <c r="AZ223" s="33">
        <v>4</v>
      </c>
      <c r="BA223" s="33">
        <v>4</v>
      </c>
      <c r="BB223" s="33">
        <v>0</v>
      </c>
      <c r="BC223" s="33">
        <v>1</v>
      </c>
      <c r="BD223" s="43">
        <v>1.872698143618769E-2</v>
      </c>
      <c r="BE223" s="33">
        <v>0</v>
      </c>
      <c r="BF223" s="33">
        <v>0</v>
      </c>
      <c r="CE223" s="36">
        <v>189</v>
      </c>
      <c r="CF223" s="33">
        <v>2</v>
      </c>
      <c r="CG223" s="33">
        <v>2</v>
      </c>
      <c r="CH223" s="33">
        <v>3</v>
      </c>
      <c r="CI223" s="33">
        <v>2</v>
      </c>
      <c r="CJ223" s="33">
        <v>1</v>
      </c>
      <c r="CK223" s="33">
        <v>0</v>
      </c>
      <c r="CL223" s="33">
        <v>0</v>
      </c>
      <c r="CM223" s="33">
        <v>2</v>
      </c>
      <c r="CN223" s="33">
        <v>10</v>
      </c>
      <c r="CO223" s="33">
        <v>1</v>
      </c>
      <c r="CP223" s="43">
        <v>4.62835790385943E-2</v>
      </c>
      <c r="CQ223" s="33">
        <v>0</v>
      </c>
      <c r="CR223" s="33">
        <v>0</v>
      </c>
    </row>
    <row r="224" spans="1:96" ht="15" customHeight="1" x14ac:dyDescent="0.25">
      <c r="A224" s="26">
        <v>222</v>
      </c>
      <c r="B224" s="27">
        <v>37</v>
      </c>
      <c r="C224" s="27">
        <v>0</v>
      </c>
      <c r="D224" s="27">
        <v>2</v>
      </c>
      <c r="E224" s="27">
        <v>663</v>
      </c>
      <c r="F224" s="27">
        <v>2</v>
      </c>
      <c r="G224" s="27">
        <v>11</v>
      </c>
      <c r="H224" s="27">
        <v>3</v>
      </c>
      <c r="I224" s="27">
        <v>6</v>
      </c>
      <c r="J224" s="27">
        <v>1</v>
      </c>
      <c r="K224" s="27">
        <v>306</v>
      </c>
      <c r="L224" s="27">
        <v>2</v>
      </c>
      <c r="M224" s="27">
        <v>1</v>
      </c>
      <c r="N224" s="27">
        <v>47</v>
      </c>
      <c r="O224" s="27">
        <v>3</v>
      </c>
      <c r="P224" s="27">
        <v>3</v>
      </c>
      <c r="Q224" s="27">
        <v>8</v>
      </c>
      <c r="R224" s="27">
        <v>4</v>
      </c>
      <c r="S224" s="27">
        <v>3</v>
      </c>
      <c r="T224" s="27">
        <v>12185</v>
      </c>
      <c r="U224" s="27">
        <v>10056</v>
      </c>
      <c r="V224" s="27">
        <v>1</v>
      </c>
      <c r="W224" s="27">
        <v>1</v>
      </c>
      <c r="X224" s="27">
        <v>14</v>
      </c>
      <c r="Y224" s="27">
        <v>3</v>
      </c>
      <c r="Z224" s="27">
        <v>3</v>
      </c>
      <c r="AA224" s="27">
        <v>80</v>
      </c>
      <c r="AB224" s="27">
        <v>3</v>
      </c>
      <c r="AC224" s="27">
        <v>10</v>
      </c>
      <c r="AD224" s="27">
        <v>1</v>
      </c>
      <c r="AE224" s="27">
        <v>3</v>
      </c>
      <c r="AF224" s="27">
        <v>10</v>
      </c>
      <c r="AG224" s="27">
        <v>8</v>
      </c>
      <c r="AH224" s="27">
        <v>0</v>
      </c>
      <c r="AI224" s="28">
        <v>7</v>
      </c>
      <c r="AK224" s="36">
        <v>191</v>
      </c>
      <c r="AL224" s="33">
        <v>1</v>
      </c>
      <c r="AM224" s="33">
        <v>5</v>
      </c>
      <c r="AN224" s="33">
        <v>3</v>
      </c>
      <c r="AO224" s="33">
        <v>0</v>
      </c>
      <c r="AP224" s="33">
        <v>0</v>
      </c>
      <c r="AQ224" s="33">
        <v>1</v>
      </c>
      <c r="AR224" s="33">
        <v>3</v>
      </c>
      <c r="AS224" s="33">
        <v>33</v>
      </c>
      <c r="AT224" s="33">
        <v>11</v>
      </c>
      <c r="AU224" s="43">
        <v>3.1549473333859659E-3</v>
      </c>
      <c r="AV224" s="33">
        <v>0</v>
      </c>
      <c r="AW224" s="33">
        <v>0</v>
      </c>
      <c r="AY224" s="36">
        <v>196</v>
      </c>
      <c r="AZ224" s="33">
        <v>1</v>
      </c>
      <c r="BA224" s="33">
        <v>1</v>
      </c>
      <c r="BB224" s="33">
        <v>1</v>
      </c>
      <c r="BC224" s="33">
        <v>1</v>
      </c>
      <c r="BD224" s="43">
        <v>0.51155121875600029</v>
      </c>
      <c r="BE224" s="33">
        <v>1</v>
      </c>
      <c r="BF224" s="33">
        <v>0</v>
      </c>
      <c r="CE224" s="36">
        <v>190</v>
      </c>
      <c r="CF224" s="33">
        <v>3</v>
      </c>
      <c r="CG224" s="33">
        <v>4</v>
      </c>
      <c r="CH224" s="33">
        <v>2</v>
      </c>
      <c r="CI224" s="33">
        <v>1</v>
      </c>
      <c r="CJ224" s="33">
        <v>3</v>
      </c>
      <c r="CK224" s="33">
        <v>0</v>
      </c>
      <c r="CL224" s="33">
        <v>0</v>
      </c>
      <c r="CM224" s="33">
        <v>3</v>
      </c>
      <c r="CN224" s="33">
        <v>7</v>
      </c>
      <c r="CO224" s="33">
        <v>1</v>
      </c>
      <c r="CP224" s="43">
        <v>4.4443414409359484E-2</v>
      </c>
      <c r="CQ224" s="33">
        <v>0</v>
      </c>
      <c r="CR224" s="33">
        <v>0</v>
      </c>
    </row>
    <row r="225" spans="1:96" ht="15" customHeight="1" x14ac:dyDescent="0.25">
      <c r="A225" s="26">
        <v>223</v>
      </c>
      <c r="B225" s="27">
        <v>38</v>
      </c>
      <c r="C225" s="27">
        <v>0</v>
      </c>
      <c r="D225" s="27">
        <v>1</v>
      </c>
      <c r="E225" s="27">
        <v>119</v>
      </c>
      <c r="F225" s="27">
        <v>1</v>
      </c>
      <c r="G225" s="27">
        <v>3</v>
      </c>
      <c r="H225" s="27">
        <v>3</v>
      </c>
      <c r="I225" s="27">
        <v>1</v>
      </c>
      <c r="J225" s="27">
        <v>1</v>
      </c>
      <c r="K225" s="27">
        <v>307</v>
      </c>
      <c r="L225" s="27">
        <v>1</v>
      </c>
      <c r="M225" s="27">
        <v>1</v>
      </c>
      <c r="N225" s="27">
        <v>76</v>
      </c>
      <c r="O225" s="27">
        <v>3</v>
      </c>
      <c r="P225" s="27">
        <v>3</v>
      </c>
      <c r="Q225" s="27">
        <v>1</v>
      </c>
      <c r="R225" s="27">
        <v>3</v>
      </c>
      <c r="S225" s="27">
        <v>3</v>
      </c>
      <c r="T225" s="27">
        <v>10609</v>
      </c>
      <c r="U225" s="27">
        <v>9647</v>
      </c>
      <c r="V225" s="27">
        <v>0</v>
      </c>
      <c r="W225" s="27">
        <v>0</v>
      </c>
      <c r="X225" s="27">
        <v>12</v>
      </c>
      <c r="Y225" s="27">
        <v>3</v>
      </c>
      <c r="Z225" s="27">
        <v>3</v>
      </c>
      <c r="AA225" s="27">
        <v>80</v>
      </c>
      <c r="AB225" s="27">
        <v>2</v>
      </c>
      <c r="AC225" s="27">
        <v>17</v>
      </c>
      <c r="AD225" s="27">
        <v>6</v>
      </c>
      <c r="AE225" s="27">
        <v>2</v>
      </c>
      <c r="AF225" s="27">
        <v>16</v>
      </c>
      <c r="AG225" s="27">
        <v>10</v>
      </c>
      <c r="AH225" s="27">
        <v>5</v>
      </c>
      <c r="AI225" s="28">
        <v>13</v>
      </c>
      <c r="AK225" s="36">
        <v>192</v>
      </c>
      <c r="AL225" s="33">
        <v>9</v>
      </c>
      <c r="AM225" s="33">
        <v>1</v>
      </c>
      <c r="AN225" s="33">
        <v>2</v>
      </c>
      <c r="AO225" s="33">
        <v>1</v>
      </c>
      <c r="AP225" s="33">
        <v>0</v>
      </c>
      <c r="AQ225" s="33">
        <v>0</v>
      </c>
      <c r="AR225" s="33">
        <v>2</v>
      </c>
      <c r="AS225" s="33">
        <v>7</v>
      </c>
      <c r="AT225" s="33">
        <v>0</v>
      </c>
      <c r="AU225" s="43">
        <v>0.18593574124471368</v>
      </c>
      <c r="AV225" s="33">
        <v>0</v>
      </c>
      <c r="AW225" s="33">
        <v>0</v>
      </c>
      <c r="AY225" s="36">
        <v>197</v>
      </c>
      <c r="AZ225" s="33">
        <v>2</v>
      </c>
      <c r="BA225" s="33">
        <v>2</v>
      </c>
      <c r="BB225" s="33">
        <v>0</v>
      </c>
      <c r="BC225" s="33">
        <v>0</v>
      </c>
      <c r="BD225" s="43">
        <v>0.15063023792355215</v>
      </c>
      <c r="BE225" s="33">
        <v>0</v>
      </c>
      <c r="BF225" s="33">
        <v>0</v>
      </c>
      <c r="CE225" s="36">
        <v>191</v>
      </c>
      <c r="CF225" s="33">
        <v>1</v>
      </c>
      <c r="CG225" s="33">
        <v>5</v>
      </c>
      <c r="CH225" s="33">
        <v>3</v>
      </c>
      <c r="CI225" s="33">
        <v>2</v>
      </c>
      <c r="CJ225" s="33">
        <v>0</v>
      </c>
      <c r="CK225" s="33">
        <v>0</v>
      </c>
      <c r="CL225" s="33">
        <v>1</v>
      </c>
      <c r="CM225" s="33">
        <v>3</v>
      </c>
      <c r="CN225" s="33">
        <v>33</v>
      </c>
      <c r="CO225" s="33">
        <v>11</v>
      </c>
      <c r="CP225" s="43">
        <v>3.1922687539772837E-3</v>
      </c>
      <c r="CQ225" s="33">
        <v>0</v>
      </c>
      <c r="CR225" s="33">
        <v>0</v>
      </c>
    </row>
    <row r="226" spans="1:96" ht="15" customHeight="1" x14ac:dyDescent="0.25">
      <c r="A226" s="26">
        <v>224</v>
      </c>
      <c r="B226" s="27">
        <v>31</v>
      </c>
      <c r="C226" s="27">
        <v>0</v>
      </c>
      <c r="D226" s="27">
        <v>3</v>
      </c>
      <c r="E226" s="27">
        <v>979</v>
      </c>
      <c r="F226" s="27">
        <v>2</v>
      </c>
      <c r="G226" s="27">
        <v>1</v>
      </c>
      <c r="H226" s="27">
        <v>4</v>
      </c>
      <c r="I226" s="27">
        <v>3</v>
      </c>
      <c r="J226" s="27">
        <v>1</v>
      </c>
      <c r="K226" s="27">
        <v>308</v>
      </c>
      <c r="L226" s="27">
        <v>3</v>
      </c>
      <c r="M226" s="27">
        <v>1</v>
      </c>
      <c r="N226" s="27">
        <v>90</v>
      </c>
      <c r="O226" s="27">
        <v>1</v>
      </c>
      <c r="P226" s="27">
        <v>2</v>
      </c>
      <c r="Q226" s="27">
        <v>4</v>
      </c>
      <c r="R226" s="27">
        <v>3</v>
      </c>
      <c r="S226" s="27">
        <v>2</v>
      </c>
      <c r="T226" s="27">
        <v>4345</v>
      </c>
      <c r="U226" s="27">
        <v>4381</v>
      </c>
      <c r="V226" s="27">
        <v>0</v>
      </c>
      <c r="W226" s="27">
        <v>0</v>
      </c>
      <c r="X226" s="27">
        <v>12</v>
      </c>
      <c r="Y226" s="27">
        <v>3</v>
      </c>
      <c r="Z226" s="27">
        <v>4</v>
      </c>
      <c r="AA226" s="27">
        <v>80</v>
      </c>
      <c r="AB226" s="27">
        <v>1</v>
      </c>
      <c r="AC226" s="27">
        <v>6</v>
      </c>
      <c r="AD226" s="27">
        <v>2</v>
      </c>
      <c r="AE226" s="27">
        <v>3</v>
      </c>
      <c r="AF226" s="27">
        <v>5</v>
      </c>
      <c r="AG226" s="27">
        <v>4</v>
      </c>
      <c r="AH226" s="27">
        <v>1</v>
      </c>
      <c r="AI226" s="28">
        <v>4</v>
      </c>
      <c r="AK226" s="36">
        <v>193</v>
      </c>
      <c r="AL226" s="33">
        <v>23</v>
      </c>
      <c r="AM226" s="33">
        <v>2</v>
      </c>
      <c r="AN226" s="33">
        <v>3</v>
      </c>
      <c r="AO226" s="33">
        <v>3</v>
      </c>
      <c r="AP226" s="33">
        <v>1</v>
      </c>
      <c r="AQ226" s="33">
        <v>0</v>
      </c>
      <c r="AR226" s="33">
        <v>3</v>
      </c>
      <c r="AS226" s="33">
        <v>1</v>
      </c>
      <c r="AT226" s="33">
        <v>0</v>
      </c>
      <c r="AU226" s="43">
        <v>0.49850373799050046</v>
      </c>
      <c r="AV226" s="33">
        <v>0</v>
      </c>
      <c r="AW226" s="33">
        <v>1</v>
      </c>
      <c r="AY226" s="36">
        <v>198</v>
      </c>
      <c r="AZ226" s="33">
        <v>2</v>
      </c>
      <c r="BA226" s="33">
        <v>3</v>
      </c>
      <c r="BB226" s="33">
        <v>0</v>
      </c>
      <c r="BC226" s="33">
        <v>1</v>
      </c>
      <c r="BD226" s="43">
        <v>7.244788656931947E-2</v>
      </c>
      <c r="BE226" s="33">
        <v>0</v>
      </c>
      <c r="BF226" s="33">
        <v>0</v>
      </c>
      <c r="CE226" s="36">
        <v>192</v>
      </c>
      <c r="CF226" s="33">
        <v>9</v>
      </c>
      <c r="CG226" s="33">
        <v>1</v>
      </c>
      <c r="CH226" s="33">
        <v>2</v>
      </c>
      <c r="CI226" s="33">
        <v>1</v>
      </c>
      <c r="CJ226" s="33">
        <v>1</v>
      </c>
      <c r="CK226" s="33">
        <v>0</v>
      </c>
      <c r="CL226" s="33">
        <v>0</v>
      </c>
      <c r="CM226" s="33">
        <v>2</v>
      </c>
      <c r="CN226" s="33">
        <v>7</v>
      </c>
      <c r="CO226" s="33">
        <v>0</v>
      </c>
      <c r="CP226" s="43">
        <v>0.21652102181691238</v>
      </c>
      <c r="CQ226" s="33">
        <v>0</v>
      </c>
      <c r="CR226" s="33">
        <v>0</v>
      </c>
    </row>
    <row r="227" spans="1:96" ht="15" customHeight="1" x14ac:dyDescent="0.25">
      <c r="A227" s="26">
        <v>225</v>
      </c>
      <c r="B227" s="27">
        <v>59</v>
      </c>
      <c r="C227" s="27">
        <v>0</v>
      </c>
      <c r="D227" s="27">
        <v>1</v>
      </c>
      <c r="E227" s="27">
        <v>142</v>
      </c>
      <c r="F227" s="27">
        <v>2</v>
      </c>
      <c r="G227" s="27">
        <v>3</v>
      </c>
      <c r="H227" s="27">
        <v>3</v>
      </c>
      <c r="I227" s="27">
        <v>1</v>
      </c>
      <c r="J227" s="27">
        <v>1</v>
      </c>
      <c r="K227" s="27">
        <v>309</v>
      </c>
      <c r="L227" s="27">
        <v>3</v>
      </c>
      <c r="M227" s="27">
        <v>1</v>
      </c>
      <c r="N227" s="27">
        <v>70</v>
      </c>
      <c r="O227" s="27">
        <v>2</v>
      </c>
      <c r="P227" s="27">
        <v>1</v>
      </c>
      <c r="Q227" s="27">
        <v>2</v>
      </c>
      <c r="R227" s="27">
        <v>4</v>
      </c>
      <c r="S227" s="27">
        <v>2</v>
      </c>
      <c r="T227" s="27">
        <v>2177</v>
      </c>
      <c r="U227" s="27">
        <v>8456</v>
      </c>
      <c r="V227" s="27">
        <v>3</v>
      </c>
      <c r="W227" s="27">
        <v>0</v>
      </c>
      <c r="X227" s="27">
        <v>17</v>
      </c>
      <c r="Y227" s="27">
        <v>3</v>
      </c>
      <c r="Z227" s="27">
        <v>1</v>
      </c>
      <c r="AA227" s="27">
        <v>80</v>
      </c>
      <c r="AB227" s="27">
        <v>1</v>
      </c>
      <c r="AC227" s="27">
        <v>7</v>
      </c>
      <c r="AD227" s="27">
        <v>6</v>
      </c>
      <c r="AE227" s="27">
        <v>3</v>
      </c>
      <c r="AF227" s="27">
        <v>1</v>
      </c>
      <c r="AG227" s="27">
        <v>0</v>
      </c>
      <c r="AH227" s="27">
        <v>0</v>
      </c>
      <c r="AI227" s="28">
        <v>0</v>
      </c>
      <c r="AK227" s="36">
        <v>194</v>
      </c>
      <c r="AL227" s="33">
        <v>7</v>
      </c>
      <c r="AM227" s="33">
        <v>1</v>
      </c>
      <c r="AN227" s="33">
        <v>4</v>
      </c>
      <c r="AO227" s="33">
        <v>4</v>
      </c>
      <c r="AP227" s="33">
        <v>0</v>
      </c>
      <c r="AQ227" s="33">
        <v>3</v>
      </c>
      <c r="AR227" s="33">
        <v>4</v>
      </c>
      <c r="AS227" s="33">
        <v>5</v>
      </c>
      <c r="AT227" s="33">
        <v>2</v>
      </c>
      <c r="AU227" s="43">
        <v>2.4806376344882638E-2</v>
      </c>
      <c r="AV227" s="33">
        <v>0</v>
      </c>
      <c r="AW227" s="33">
        <v>0</v>
      </c>
      <c r="AY227" s="36">
        <v>199</v>
      </c>
      <c r="AZ227" s="33">
        <v>2</v>
      </c>
      <c r="BA227" s="33">
        <v>3</v>
      </c>
      <c r="BB227" s="33">
        <v>0</v>
      </c>
      <c r="BC227" s="33">
        <v>0</v>
      </c>
      <c r="BD227" s="43">
        <v>0.11690772887050198</v>
      </c>
      <c r="BE227" s="33">
        <v>0</v>
      </c>
      <c r="BF227" s="33">
        <v>0</v>
      </c>
      <c r="CE227" s="36">
        <v>193</v>
      </c>
      <c r="CF227" s="33">
        <v>23</v>
      </c>
      <c r="CG227" s="33">
        <v>2</v>
      </c>
      <c r="CH227" s="33">
        <v>3</v>
      </c>
      <c r="CI227" s="33">
        <v>2</v>
      </c>
      <c r="CJ227" s="33">
        <v>3</v>
      </c>
      <c r="CK227" s="33">
        <v>1</v>
      </c>
      <c r="CL227" s="33">
        <v>0</v>
      </c>
      <c r="CM227" s="33">
        <v>3</v>
      </c>
      <c r="CN227" s="33">
        <v>1</v>
      </c>
      <c r="CO227" s="33">
        <v>0</v>
      </c>
      <c r="CP227" s="43">
        <v>0.41319766038509009</v>
      </c>
      <c r="CQ227" s="33">
        <v>0</v>
      </c>
      <c r="CR227" s="33">
        <v>1</v>
      </c>
    </row>
    <row r="228" spans="1:96" ht="15" customHeight="1" x14ac:dyDescent="0.25">
      <c r="A228" s="26">
        <v>226</v>
      </c>
      <c r="B228" s="27">
        <v>37</v>
      </c>
      <c r="C228" s="27">
        <v>0</v>
      </c>
      <c r="D228" s="27">
        <v>2</v>
      </c>
      <c r="E228" s="27">
        <v>319</v>
      </c>
      <c r="F228" s="27">
        <v>1</v>
      </c>
      <c r="G228" s="27">
        <v>4</v>
      </c>
      <c r="H228" s="27">
        <v>4</v>
      </c>
      <c r="I228" s="27">
        <v>4</v>
      </c>
      <c r="J228" s="27">
        <v>1</v>
      </c>
      <c r="K228" s="27">
        <v>311</v>
      </c>
      <c r="L228" s="27">
        <v>1</v>
      </c>
      <c r="M228" s="27">
        <v>1</v>
      </c>
      <c r="N228" s="27">
        <v>41</v>
      </c>
      <c r="O228" s="27">
        <v>3</v>
      </c>
      <c r="P228" s="27">
        <v>1</v>
      </c>
      <c r="Q228" s="27">
        <v>7</v>
      </c>
      <c r="R228" s="27">
        <v>4</v>
      </c>
      <c r="S228" s="27">
        <v>3</v>
      </c>
      <c r="T228" s="27">
        <v>2793</v>
      </c>
      <c r="U228" s="27">
        <v>2539</v>
      </c>
      <c r="V228" s="27">
        <v>4</v>
      </c>
      <c r="W228" s="27">
        <v>0</v>
      </c>
      <c r="X228" s="27">
        <v>17</v>
      </c>
      <c r="Y228" s="27">
        <v>3</v>
      </c>
      <c r="Z228" s="27">
        <v>3</v>
      </c>
      <c r="AA228" s="27">
        <v>80</v>
      </c>
      <c r="AB228" s="27">
        <v>1</v>
      </c>
      <c r="AC228" s="27">
        <v>13</v>
      </c>
      <c r="AD228" s="27">
        <v>2</v>
      </c>
      <c r="AE228" s="27">
        <v>3</v>
      </c>
      <c r="AF228" s="27">
        <v>9</v>
      </c>
      <c r="AG228" s="27">
        <v>8</v>
      </c>
      <c r="AH228" s="27">
        <v>5</v>
      </c>
      <c r="AI228" s="28">
        <v>8</v>
      </c>
      <c r="AK228" s="36">
        <v>195</v>
      </c>
      <c r="AL228" s="33">
        <v>2</v>
      </c>
      <c r="AM228" s="33">
        <v>4</v>
      </c>
      <c r="AN228" s="33">
        <v>4</v>
      </c>
      <c r="AO228" s="33">
        <v>9</v>
      </c>
      <c r="AP228" s="33">
        <v>0</v>
      </c>
      <c r="AQ228" s="33">
        <v>1</v>
      </c>
      <c r="AR228" s="33">
        <v>3</v>
      </c>
      <c r="AS228" s="33">
        <v>20</v>
      </c>
      <c r="AT228" s="33">
        <v>11</v>
      </c>
      <c r="AU228" s="43">
        <v>2.2550701619142129E-2</v>
      </c>
      <c r="AV228" s="33">
        <v>0</v>
      </c>
      <c r="AW228" s="33">
        <v>0</v>
      </c>
      <c r="AY228" s="36">
        <v>200</v>
      </c>
      <c r="AZ228" s="33">
        <v>2</v>
      </c>
      <c r="BA228" s="33">
        <v>4</v>
      </c>
      <c r="BB228" s="33">
        <v>0</v>
      </c>
      <c r="BC228" s="33">
        <v>1</v>
      </c>
      <c r="BD228" s="43">
        <v>5.5093218126976727E-2</v>
      </c>
      <c r="BE228" s="33">
        <v>0</v>
      </c>
      <c r="BF228" s="33">
        <v>0</v>
      </c>
      <c r="CE228" s="36">
        <v>194</v>
      </c>
      <c r="CF228" s="33">
        <v>7</v>
      </c>
      <c r="CG228" s="33">
        <v>1</v>
      </c>
      <c r="CH228" s="33">
        <v>4</v>
      </c>
      <c r="CI228" s="33">
        <v>3</v>
      </c>
      <c r="CJ228" s="33">
        <v>4</v>
      </c>
      <c r="CK228" s="33">
        <v>0</v>
      </c>
      <c r="CL228" s="33">
        <v>3</v>
      </c>
      <c r="CM228" s="33">
        <v>4</v>
      </c>
      <c r="CN228" s="33">
        <v>5</v>
      </c>
      <c r="CO228" s="33">
        <v>2</v>
      </c>
      <c r="CP228" s="43">
        <v>2.6227246421101979E-2</v>
      </c>
      <c r="CQ228" s="33">
        <v>0</v>
      </c>
      <c r="CR228" s="33">
        <v>0</v>
      </c>
    </row>
    <row r="229" spans="1:96" ht="15" customHeight="1" x14ac:dyDescent="0.25">
      <c r="A229" s="26">
        <v>227</v>
      </c>
      <c r="B229" s="27">
        <v>29</v>
      </c>
      <c r="C229" s="27">
        <v>0</v>
      </c>
      <c r="D229" s="27">
        <v>2</v>
      </c>
      <c r="E229" s="27">
        <v>1413</v>
      </c>
      <c r="F229" s="27">
        <v>1</v>
      </c>
      <c r="G229" s="27">
        <v>1</v>
      </c>
      <c r="H229" s="27">
        <v>1</v>
      </c>
      <c r="I229" s="27">
        <v>3</v>
      </c>
      <c r="J229" s="27">
        <v>1</v>
      </c>
      <c r="K229" s="27">
        <v>312</v>
      </c>
      <c r="L229" s="27">
        <v>2</v>
      </c>
      <c r="M229" s="27">
        <v>0</v>
      </c>
      <c r="N229" s="27">
        <v>42</v>
      </c>
      <c r="O229" s="27">
        <v>3</v>
      </c>
      <c r="P229" s="27">
        <v>3</v>
      </c>
      <c r="Q229" s="27">
        <v>1</v>
      </c>
      <c r="R229" s="27">
        <v>4</v>
      </c>
      <c r="S229" s="27">
        <v>2</v>
      </c>
      <c r="T229" s="27">
        <v>7918</v>
      </c>
      <c r="U229" s="27">
        <v>6599</v>
      </c>
      <c r="V229" s="27">
        <v>1</v>
      </c>
      <c r="W229" s="27">
        <v>0</v>
      </c>
      <c r="X229" s="27">
        <v>14</v>
      </c>
      <c r="Y229" s="27">
        <v>3</v>
      </c>
      <c r="Z229" s="27">
        <v>4</v>
      </c>
      <c r="AA229" s="27">
        <v>80</v>
      </c>
      <c r="AB229" s="27">
        <v>1</v>
      </c>
      <c r="AC229" s="27">
        <v>11</v>
      </c>
      <c r="AD229" s="27">
        <v>5</v>
      </c>
      <c r="AE229" s="27">
        <v>3</v>
      </c>
      <c r="AF229" s="27">
        <v>11</v>
      </c>
      <c r="AG229" s="27">
        <v>10</v>
      </c>
      <c r="AH229" s="27">
        <v>4</v>
      </c>
      <c r="AI229" s="28">
        <v>1</v>
      </c>
      <c r="AK229" s="36">
        <v>196</v>
      </c>
      <c r="AL229" s="33">
        <v>21</v>
      </c>
      <c r="AM229" s="33">
        <v>1</v>
      </c>
      <c r="AN229" s="33">
        <v>1</v>
      </c>
      <c r="AO229" s="33">
        <v>1</v>
      </c>
      <c r="AP229" s="33">
        <v>1</v>
      </c>
      <c r="AQ229" s="33">
        <v>1</v>
      </c>
      <c r="AR229" s="33">
        <v>2</v>
      </c>
      <c r="AS229" s="33">
        <v>8</v>
      </c>
      <c r="AT229" s="33">
        <v>1</v>
      </c>
      <c r="AU229" s="43">
        <v>0.54200783428605115</v>
      </c>
      <c r="AV229" s="33">
        <v>1</v>
      </c>
      <c r="AW229" s="33">
        <v>0</v>
      </c>
      <c r="AY229" s="36">
        <v>201</v>
      </c>
      <c r="AZ229" s="33">
        <v>2</v>
      </c>
      <c r="BA229" s="33">
        <v>1</v>
      </c>
      <c r="BB229" s="33">
        <v>0</v>
      </c>
      <c r="BC229" s="33">
        <v>1</v>
      </c>
      <c r="BD229" s="43">
        <v>0.12293502213131684</v>
      </c>
      <c r="BE229" s="33">
        <v>0</v>
      </c>
      <c r="BF229" s="33">
        <v>0</v>
      </c>
      <c r="CE229" s="36">
        <v>195</v>
      </c>
      <c r="CF229" s="33">
        <v>2</v>
      </c>
      <c r="CG229" s="33">
        <v>4</v>
      </c>
      <c r="CH229" s="33">
        <v>4</v>
      </c>
      <c r="CI229" s="33">
        <v>2</v>
      </c>
      <c r="CJ229" s="33">
        <v>9</v>
      </c>
      <c r="CK229" s="33">
        <v>0</v>
      </c>
      <c r="CL229" s="33">
        <v>1</v>
      </c>
      <c r="CM229" s="33">
        <v>3</v>
      </c>
      <c r="CN229" s="33">
        <v>20</v>
      </c>
      <c r="CO229" s="33">
        <v>11</v>
      </c>
      <c r="CP229" s="43">
        <v>2.2600689414458464E-2</v>
      </c>
      <c r="CQ229" s="33">
        <v>0</v>
      </c>
      <c r="CR229" s="33">
        <v>0</v>
      </c>
    </row>
    <row r="230" spans="1:96" ht="15" customHeight="1" x14ac:dyDescent="0.25">
      <c r="A230" s="26">
        <v>228</v>
      </c>
      <c r="B230" s="27">
        <v>35</v>
      </c>
      <c r="C230" s="27">
        <v>0</v>
      </c>
      <c r="D230" s="27">
        <v>2</v>
      </c>
      <c r="E230" s="27">
        <v>944</v>
      </c>
      <c r="F230" s="27">
        <v>1</v>
      </c>
      <c r="G230" s="27">
        <v>1</v>
      </c>
      <c r="H230" s="27">
        <v>3</v>
      </c>
      <c r="I230" s="27">
        <v>4</v>
      </c>
      <c r="J230" s="27">
        <v>1</v>
      </c>
      <c r="K230" s="27">
        <v>314</v>
      </c>
      <c r="L230" s="27">
        <v>3</v>
      </c>
      <c r="M230" s="27">
        <v>0</v>
      </c>
      <c r="N230" s="27">
        <v>92</v>
      </c>
      <c r="O230" s="27">
        <v>3</v>
      </c>
      <c r="P230" s="27">
        <v>3</v>
      </c>
      <c r="Q230" s="27">
        <v>1</v>
      </c>
      <c r="R230" s="27">
        <v>3</v>
      </c>
      <c r="S230" s="27">
        <v>1</v>
      </c>
      <c r="T230" s="27">
        <v>8789</v>
      </c>
      <c r="U230" s="27">
        <v>9096</v>
      </c>
      <c r="V230" s="27">
        <v>1</v>
      </c>
      <c r="W230" s="27">
        <v>0</v>
      </c>
      <c r="X230" s="27">
        <v>14</v>
      </c>
      <c r="Y230" s="27">
        <v>3</v>
      </c>
      <c r="Z230" s="27">
        <v>1</v>
      </c>
      <c r="AA230" s="27">
        <v>80</v>
      </c>
      <c r="AB230" s="27">
        <v>0</v>
      </c>
      <c r="AC230" s="27">
        <v>10</v>
      </c>
      <c r="AD230" s="27">
        <v>3</v>
      </c>
      <c r="AE230" s="27">
        <v>4</v>
      </c>
      <c r="AF230" s="27">
        <v>10</v>
      </c>
      <c r="AG230" s="27">
        <v>7</v>
      </c>
      <c r="AH230" s="27">
        <v>0</v>
      </c>
      <c r="AI230" s="28">
        <v>8</v>
      </c>
      <c r="AK230" s="36">
        <v>197</v>
      </c>
      <c r="AL230" s="33">
        <v>2</v>
      </c>
      <c r="AM230" s="33">
        <v>2</v>
      </c>
      <c r="AN230" s="33">
        <v>2</v>
      </c>
      <c r="AO230" s="33">
        <v>5</v>
      </c>
      <c r="AP230" s="33">
        <v>0</v>
      </c>
      <c r="AQ230" s="33">
        <v>0</v>
      </c>
      <c r="AR230" s="33">
        <v>3</v>
      </c>
      <c r="AS230" s="33">
        <v>6</v>
      </c>
      <c r="AT230" s="33">
        <v>1</v>
      </c>
      <c r="AU230" s="43">
        <v>0.12187338964548117</v>
      </c>
      <c r="AV230" s="33">
        <v>0</v>
      </c>
      <c r="AW230" s="33">
        <v>0</v>
      </c>
      <c r="AY230" s="36">
        <v>202</v>
      </c>
      <c r="AZ230" s="33">
        <v>2</v>
      </c>
      <c r="BA230" s="33">
        <v>4</v>
      </c>
      <c r="BB230" s="33">
        <v>1</v>
      </c>
      <c r="BC230" s="33">
        <v>2</v>
      </c>
      <c r="BD230" s="43">
        <v>0.12819971414072456</v>
      </c>
      <c r="BE230" s="33">
        <v>0</v>
      </c>
      <c r="BF230" s="33">
        <v>0</v>
      </c>
      <c r="CE230" s="36">
        <v>196</v>
      </c>
      <c r="CF230" s="33">
        <v>21</v>
      </c>
      <c r="CG230" s="33">
        <v>1</v>
      </c>
      <c r="CH230" s="33">
        <v>1</v>
      </c>
      <c r="CI230" s="33">
        <v>2</v>
      </c>
      <c r="CJ230" s="33">
        <v>1</v>
      </c>
      <c r="CK230" s="33">
        <v>1</v>
      </c>
      <c r="CL230" s="33">
        <v>1</v>
      </c>
      <c r="CM230" s="33">
        <v>2</v>
      </c>
      <c r="CN230" s="33">
        <v>8</v>
      </c>
      <c r="CO230" s="33">
        <v>1</v>
      </c>
      <c r="CP230" s="43">
        <v>0.55134599080308688</v>
      </c>
      <c r="CQ230" s="33">
        <v>1</v>
      </c>
      <c r="CR230" s="33">
        <v>0</v>
      </c>
    </row>
    <row r="231" spans="1:96" ht="15" customHeight="1" x14ac:dyDescent="0.25">
      <c r="A231" s="26">
        <v>229</v>
      </c>
      <c r="B231" s="27">
        <v>29</v>
      </c>
      <c r="C231" s="27">
        <v>1</v>
      </c>
      <c r="D231" s="27">
        <v>1</v>
      </c>
      <c r="E231" s="27">
        <v>896</v>
      </c>
      <c r="F231" s="27">
        <v>2</v>
      </c>
      <c r="G231" s="27">
        <v>18</v>
      </c>
      <c r="H231" s="27">
        <v>1</v>
      </c>
      <c r="I231" s="27">
        <v>3</v>
      </c>
      <c r="J231" s="27">
        <v>1</v>
      </c>
      <c r="K231" s="27">
        <v>315</v>
      </c>
      <c r="L231" s="27">
        <v>3</v>
      </c>
      <c r="M231" s="27">
        <v>1</v>
      </c>
      <c r="N231" s="27">
        <v>86</v>
      </c>
      <c r="O231" s="27">
        <v>2</v>
      </c>
      <c r="P231" s="27">
        <v>1</v>
      </c>
      <c r="Q231" s="27">
        <v>2</v>
      </c>
      <c r="R231" s="27">
        <v>4</v>
      </c>
      <c r="S231" s="27">
        <v>1</v>
      </c>
      <c r="T231" s="27">
        <v>2389</v>
      </c>
      <c r="U231" s="27">
        <v>14961</v>
      </c>
      <c r="V231" s="27">
        <v>1</v>
      </c>
      <c r="W231" s="27">
        <v>1</v>
      </c>
      <c r="X231" s="27">
        <v>13</v>
      </c>
      <c r="Y231" s="27">
        <v>3</v>
      </c>
      <c r="Z231" s="27">
        <v>3</v>
      </c>
      <c r="AA231" s="27">
        <v>80</v>
      </c>
      <c r="AB231" s="27">
        <v>0</v>
      </c>
      <c r="AC231" s="27">
        <v>4</v>
      </c>
      <c r="AD231" s="27">
        <v>3</v>
      </c>
      <c r="AE231" s="27">
        <v>2</v>
      </c>
      <c r="AF231" s="27">
        <v>4</v>
      </c>
      <c r="AG231" s="27">
        <v>3</v>
      </c>
      <c r="AH231" s="27">
        <v>0</v>
      </c>
      <c r="AI231" s="28">
        <v>1</v>
      </c>
      <c r="AK231" s="36">
        <v>198</v>
      </c>
      <c r="AL231" s="33">
        <v>21</v>
      </c>
      <c r="AM231" s="33">
        <v>2</v>
      </c>
      <c r="AN231" s="33">
        <v>3</v>
      </c>
      <c r="AO231" s="33">
        <v>2</v>
      </c>
      <c r="AP231" s="33">
        <v>0</v>
      </c>
      <c r="AQ231" s="33">
        <v>1</v>
      </c>
      <c r="AR231" s="33">
        <v>3</v>
      </c>
      <c r="AS231" s="33">
        <v>5</v>
      </c>
      <c r="AT231" s="33">
        <v>0</v>
      </c>
      <c r="AU231" s="43">
        <v>7.6698502013478165E-2</v>
      </c>
      <c r="AV231" s="33">
        <v>0</v>
      </c>
      <c r="AW231" s="33">
        <v>0</v>
      </c>
      <c r="AY231" s="36">
        <v>203</v>
      </c>
      <c r="AZ231" s="33">
        <v>1</v>
      </c>
      <c r="BA231" s="33">
        <v>3</v>
      </c>
      <c r="BB231" s="33">
        <v>1</v>
      </c>
      <c r="BC231" s="33">
        <v>1</v>
      </c>
      <c r="BD231" s="43">
        <v>0.36852652578740397</v>
      </c>
      <c r="BE231" s="33">
        <v>0</v>
      </c>
      <c r="BF231" s="33">
        <v>0</v>
      </c>
      <c r="CE231" s="36">
        <v>197</v>
      </c>
      <c r="CF231" s="33">
        <v>2</v>
      </c>
      <c r="CG231" s="33">
        <v>2</v>
      </c>
      <c r="CH231" s="33">
        <v>2</v>
      </c>
      <c r="CI231" s="33">
        <v>1</v>
      </c>
      <c r="CJ231" s="33">
        <v>5</v>
      </c>
      <c r="CK231" s="33">
        <v>0</v>
      </c>
      <c r="CL231" s="33">
        <v>0</v>
      </c>
      <c r="CM231" s="33">
        <v>3</v>
      </c>
      <c r="CN231" s="33">
        <v>6</v>
      </c>
      <c r="CO231" s="33">
        <v>1</v>
      </c>
      <c r="CP231" s="43">
        <v>0.14463485968954456</v>
      </c>
      <c r="CQ231" s="33">
        <v>0</v>
      </c>
      <c r="CR231" s="33">
        <v>0</v>
      </c>
    </row>
    <row r="232" spans="1:96" ht="15" customHeight="1" x14ac:dyDescent="0.25">
      <c r="A232" s="26">
        <v>230</v>
      </c>
      <c r="B232" s="27">
        <v>52</v>
      </c>
      <c r="C232" s="27">
        <v>0</v>
      </c>
      <c r="D232" s="27">
        <v>1</v>
      </c>
      <c r="E232" s="27">
        <v>1323</v>
      </c>
      <c r="F232" s="27">
        <v>2</v>
      </c>
      <c r="G232" s="27">
        <v>2</v>
      </c>
      <c r="H232" s="27">
        <v>3</v>
      </c>
      <c r="I232" s="27">
        <v>1</v>
      </c>
      <c r="J232" s="27">
        <v>1</v>
      </c>
      <c r="K232" s="27">
        <v>316</v>
      </c>
      <c r="L232" s="27">
        <v>3</v>
      </c>
      <c r="M232" s="27">
        <v>0</v>
      </c>
      <c r="N232" s="27">
        <v>89</v>
      </c>
      <c r="O232" s="27">
        <v>2</v>
      </c>
      <c r="P232" s="27">
        <v>1</v>
      </c>
      <c r="Q232" s="27">
        <v>3</v>
      </c>
      <c r="R232" s="27">
        <v>4</v>
      </c>
      <c r="S232" s="27">
        <v>1</v>
      </c>
      <c r="T232" s="27">
        <v>3212</v>
      </c>
      <c r="U232" s="27">
        <v>3300</v>
      </c>
      <c r="V232" s="27">
        <v>7</v>
      </c>
      <c r="W232" s="27">
        <v>0</v>
      </c>
      <c r="X232" s="27">
        <v>15</v>
      </c>
      <c r="Y232" s="27">
        <v>3</v>
      </c>
      <c r="Z232" s="27">
        <v>2</v>
      </c>
      <c r="AA232" s="27">
        <v>80</v>
      </c>
      <c r="AB232" s="27">
        <v>0</v>
      </c>
      <c r="AC232" s="27">
        <v>6</v>
      </c>
      <c r="AD232" s="27">
        <v>3</v>
      </c>
      <c r="AE232" s="27">
        <v>2</v>
      </c>
      <c r="AF232" s="27">
        <v>2</v>
      </c>
      <c r="AG232" s="27">
        <v>2</v>
      </c>
      <c r="AH232" s="27">
        <v>2</v>
      </c>
      <c r="AI232" s="28">
        <v>2</v>
      </c>
      <c r="AK232" s="36">
        <v>199</v>
      </c>
      <c r="AL232" s="33">
        <v>2</v>
      </c>
      <c r="AM232" s="33">
        <v>2</v>
      </c>
      <c r="AN232" s="33">
        <v>3</v>
      </c>
      <c r="AO232" s="33">
        <v>9</v>
      </c>
      <c r="AP232" s="33">
        <v>0</v>
      </c>
      <c r="AQ232" s="33">
        <v>0</v>
      </c>
      <c r="AR232" s="33">
        <v>3</v>
      </c>
      <c r="AS232" s="33">
        <v>1</v>
      </c>
      <c r="AT232" s="33">
        <v>0</v>
      </c>
      <c r="AU232" s="43">
        <v>0.15660488390324923</v>
      </c>
      <c r="AV232" s="33">
        <v>0</v>
      </c>
      <c r="AW232" s="33">
        <v>0</v>
      </c>
      <c r="AY232" s="36">
        <v>204</v>
      </c>
      <c r="AZ232" s="33">
        <v>2</v>
      </c>
      <c r="BA232" s="33">
        <v>4</v>
      </c>
      <c r="BB232" s="33">
        <v>1</v>
      </c>
      <c r="BC232" s="33">
        <v>1</v>
      </c>
      <c r="BD232" s="43">
        <v>0.19951405628110813</v>
      </c>
      <c r="BE232" s="33">
        <v>0</v>
      </c>
      <c r="BF232" s="33">
        <v>0</v>
      </c>
      <c r="CE232" s="36">
        <v>198</v>
      </c>
      <c r="CF232" s="33">
        <v>21</v>
      </c>
      <c r="CG232" s="33">
        <v>2</v>
      </c>
      <c r="CH232" s="33">
        <v>3</v>
      </c>
      <c r="CI232" s="33">
        <v>3</v>
      </c>
      <c r="CJ232" s="33">
        <v>2</v>
      </c>
      <c r="CK232" s="33">
        <v>0</v>
      </c>
      <c r="CL232" s="33">
        <v>1</v>
      </c>
      <c r="CM232" s="33">
        <v>3</v>
      </c>
      <c r="CN232" s="33">
        <v>5</v>
      </c>
      <c r="CO232" s="33">
        <v>0</v>
      </c>
      <c r="CP232" s="43">
        <v>4.3673969563368532E-2</v>
      </c>
      <c r="CQ232" s="33">
        <v>0</v>
      </c>
      <c r="CR232" s="33">
        <v>0</v>
      </c>
    </row>
    <row r="233" spans="1:96" ht="15" customHeight="1" x14ac:dyDescent="0.25">
      <c r="A233" s="26">
        <v>231</v>
      </c>
      <c r="B233" s="27">
        <v>42</v>
      </c>
      <c r="C233" s="27">
        <v>0</v>
      </c>
      <c r="D233" s="27">
        <v>1</v>
      </c>
      <c r="E233" s="27">
        <v>532</v>
      </c>
      <c r="F233" s="27">
        <v>2</v>
      </c>
      <c r="G233" s="27">
        <v>4</v>
      </c>
      <c r="H233" s="27">
        <v>2</v>
      </c>
      <c r="I233" s="27">
        <v>5</v>
      </c>
      <c r="J233" s="27">
        <v>1</v>
      </c>
      <c r="K233" s="27">
        <v>319</v>
      </c>
      <c r="L233" s="27">
        <v>3</v>
      </c>
      <c r="M233" s="27">
        <v>1</v>
      </c>
      <c r="N233" s="27">
        <v>58</v>
      </c>
      <c r="O233" s="27">
        <v>3</v>
      </c>
      <c r="P233" s="27">
        <v>5</v>
      </c>
      <c r="Q233" s="27">
        <v>6</v>
      </c>
      <c r="R233" s="27">
        <v>4</v>
      </c>
      <c r="S233" s="27">
        <v>2</v>
      </c>
      <c r="T233" s="27">
        <v>19232</v>
      </c>
      <c r="U233" s="27">
        <v>4933</v>
      </c>
      <c r="V233" s="27">
        <v>1</v>
      </c>
      <c r="W233" s="27">
        <v>0</v>
      </c>
      <c r="X233" s="27">
        <v>11</v>
      </c>
      <c r="Y233" s="27">
        <v>3</v>
      </c>
      <c r="Z233" s="27">
        <v>4</v>
      </c>
      <c r="AA233" s="27">
        <v>80</v>
      </c>
      <c r="AB233" s="27">
        <v>0</v>
      </c>
      <c r="AC233" s="27">
        <v>22</v>
      </c>
      <c r="AD233" s="27">
        <v>3</v>
      </c>
      <c r="AE233" s="27">
        <v>3</v>
      </c>
      <c r="AF233" s="27">
        <v>22</v>
      </c>
      <c r="AG233" s="27">
        <v>17</v>
      </c>
      <c r="AH233" s="27">
        <v>11</v>
      </c>
      <c r="AI233" s="28">
        <v>15</v>
      </c>
      <c r="AK233" s="36">
        <v>200</v>
      </c>
      <c r="AL233" s="33">
        <v>29</v>
      </c>
      <c r="AM233" s="33">
        <v>2</v>
      </c>
      <c r="AN233" s="33">
        <v>4</v>
      </c>
      <c r="AO233" s="33">
        <v>3</v>
      </c>
      <c r="AP233" s="33">
        <v>0</v>
      </c>
      <c r="AQ233" s="33">
        <v>1</v>
      </c>
      <c r="AR233" s="33">
        <v>1</v>
      </c>
      <c r="AS233" s="33">
        <v>7</v>
      </c>
      <c r="AT233" s="33">
        <v>1</v>
      </c>
      <c r="AU233" s="43">
        <v>0.11995978036831091</v>
      </c>
      <c r="AV233" s="33">
        <v>0</v>
      </c>
      <c r="AW233" s="33">
        <v>0</v>
      </c>
      <c r="AY233" s="36">
        <v>205</v>
      </c>
      <c r="AZ233" s="33">
        <v>2</v>
      </c>
      <c r="BA233" s="33">
        <v>1</v>
      </c>
      <c r="BB233" s="33">
        <v>1</v>
      </c>
      <c r="BC233" s="33">
        <v>0</v>
      </c>
      <c r="BD233" s="43">
        <v>0.50385917417366921</v>
      </c>
      <c r="BE233" s="33">
        <v>1</v>
      </c>
      <c r="BF233" s="33">
        <v>1</v>
      </c>
      <c r="CE233" s="36">
        <v>199</v>
      </c>
      <c r="CF233" s="33">
        <v>2</v>
      </c>
      <c r="CG233" s="33">
        <v>2</v>
      </c>
      <c r="CH233" s="33">
        <v>3</v>
      </c>
      <c r="CI233" s="33">
        <v>2</v>
      </c>
      <c r="CJ233" s="33">
        <v>9</v>
      </c>
      <c r="CK233" s="33">
        <v>0</v>
      </c>
      <c r="CL233" s="33">
        <v>0</v>
      </c>
      <c r="CM233" s="33">
        <v>3</v>
      </c>
      <c r="CN233" s="33">
        <v>1</v>
      </c>
      <c r="CO233" s="33">
        <v>0</v>
      </c>
      <c r="CP233" s="43">
        <v>0.11374477592416528</v>
      </c>
      <c r="CQ233" s="33">
        <v>0</v>
      </c>
      <c r="CR233" s="33">
        <v>0</v>
      </c>
    </row>
    <row r="234" spans="1:96" ht="15" customHeight="1" x14ac:dyDescent="0.25">
      <c r="A234" s="26">
        <v>232</v>
      </c>
      <c r="B234" s="27">
        <v>59</v>
      </c>
      <c r="C234" s="27">
        <v>0</v>
      </c>
      <c r="D234" s="27">
        <v>1</v>
      </c>
      <c r="E234" s="27">
        <v>818</v>
      </c>
      <c r="F234" s="27">
        <v>3</v>
      </c>
      <c r="G234" s="27">
        <v>6</v>
      </c>
      <c r="H234" s="27">
        <v>2</v>
      </c>
      <c r="I234" s="27">
        <v>3</v>
      </c>
      <c r="J234" s="27">
        <v>1</v>
      </c>
      <c r="K234" s="27">
        <v>321</v>
      </c>
      <c r="L234" s="27">
        <v>2</v>
      </c>
      <c r="M234" s="27">
        <v>1</v>
      </c>
      <c r="N234" s="27">
        <v>52</v>
      </c>
      <c r="O234" s="27">
        <v>3</v>
      </c>
      <c r="P234" s="27">
        <v>1</v>
      </c>
      <c r="Q234" s="27">
        <v>9</v>
      </c>
      <c r="R234" s="27">
        <v>3</v>
      </c>
      <c r="S234" s="27">
        <v>2</v>
      </c>
      <c r="T234" s="27">
        <v>2267</v>
      </c>
      <c r="U234" s="27">
        <v>25657</v>
      </c>
      <c r="V234" s="27">
        <v>8</v>
      </c>
      <c r="W234" s="27">
        <v>0</v>
      </c>
      <c r="X234" s="27">
        <v>17</v>
      </c>
      <c r="Y234" s="27">
        <v>3</v>
      </c>
      <c r="Z234" s="27">
        <v>4</v>
      </c>
      <c r="AA234" s="27">
        <v>80</v>
      </c>
      <c r="AB234" s="27">
        <v>0</v>
      </c>
      <c r="AC234" s="27">
        <v>7</v>
      </c>
      <c r="AD234" s="27">
        <v>2</v>
      </c>
      <c r="AE234" s="27">
        <v>2</v>
      </c>
      <c r="AF234" s="27">
        <v>2</v>
      </c>
      <c r="AG234" s="27">
        <v>2</v>
      </c>
      <c r="AH234" s="27">
        <v>2</v>
      </c>
      <c r="AI234" s="28">
        <v>2</v>
      </c>
      <c r="AK234" s="36">
        <v>201</v>
      </c>
      <c r="AL234" s="33">
        <v>1</v>
      </c>
      <c r="AM234" s="33">
        <v>2</v>
      </c>
      <c r="AN234" s="33">
        <v>1</v>
      </c>
      <c r="AO234" s="33">
        <v>5</v>
      </c>
      <c r="AP234" s="33">
        <v>0</v>
      </c>
      <c r="AQ234" s="33">
        <v>1</v>
      </c>
      <c r="AR234" s="33">
        <v>3</v>
      </c>
      <c r="AS234" s="33">
        <v>2</v>
      </c>
      <c r="AT234" s="33">
        <v>2</v>
      </c>
      <c r="AU234" s="43">
        <v>0.13218572630337158</v>
      </c>
      <c r="AV234" s="33">
        <v>0</v>
      </c>
      <c r="AW234" s="33">
        <v>0</v>
      </c>
      <c r="AY234" s="36">
        <v>206</v>
      </c>
      <c r="AZ234" s="33">
        <v>3</v>
      </c>
      <c r="BA234" s="33">
        <v>4</v>
      </c>
      <c r="BB234" s="33">
        <v>0</v>
      </c>
      <c r="BC234" s="33">
        <v>3</v>
      </c>
      <c r="BD234" s="43">
        <v>1.1478370756096732E-2</v>
      </c>
      <c r="BE234" s="33">
        <v>0</v>
      </c>
      <c r="BF234" s="33">
        <v>1</v>
      </c>
      <c r="CE234" s="36">
        <v>200</v>
      </c>
      <c r="CF234" s="33">
        <v>29</v>
      </c>
      <c r="CG234" s="33">
        <v>2</v>
      </c>
      <c r="CH234" s="33">
        <v>4</v>
      </c>
      <c r="CI234" s="33">
        <v>2</v>
      </c>
      <c r="CJ234" s="33">
        <v>3</v>
      </c>
      <c r="CK234" s="33">
        <v>0</v>
      </c>
      <c r="CL234" s="33">
        <v>1</v>
      </c>
      <c r="CM234" s="33">
        <v>1</v>
      </c>
      <c r="CN234" s="33">
        <v>7</v>
      </c>
      <c r="CO234" s="33">
        <v>1</v>
      </c>
      <c r="CP234" s="43">
        <v>0.11694299342738367</v>
      </c>
      <c r="CQ234" s="33">
        <v>0</v>
      </c>
      <c r="CR234" s="33">
        <v>0</v>
      </c>
    </row>
    <row r="235" spans="1:96" ht="15" customHeight="1" x14ac:dyDescent="0.25">
      <c r="A235" s="26">
        <v>233</v>
      </c>
      <c r="B235" s="27">
        <v>50</v>
      </c>
      <c r="C235" s="27">
        <v>0</v>
      </c>
      <c r="D235" s="27">
        <v>1</v>
      </c>
      <c r="E235" s="27">
        <v>854</v>
      </c>
      <c r="F235" s="27">
        <v>1</v>
      </c>
      <c r="G235" s="27">
        <v>1</v>
      </c>
      <c r="H235" s="27">
        <v>4</v>
      </c>
      <c r="I235" s="27">
        <v>3</v>
      </c>
      <c r="J235" s="27">
        <v>1</v>
      </c>
      <c r="K235" s="27">
        <v>323</v>
      </c>
      <c r="L235" s="27">
        <v>4</v>
      </c>
      <c r="M235" s="27">
        <v>0</v>
      </c>
      <c r="N235" s="27">
        <v>68</v>
      </c>
      <c r="O235" s="27">
        <v>3</v>
      </c>
      <c r="P235" s="27">
        <v>5</v>
      </c>
      <c r="Q235" s="27">
        <v>6</v>
      </c>
      <c r="R235" s="27">
        <v>4</v>
      </c>
      <c r="S235" s="27">
        <v>3</v>
      </c>
      <c r="T235" s="27">
        <v>19517</v>
      </c>
      <c r="U235" s="27">
        <v>24118</v>
      </c>
      <c r="V235" s="27">
        <v>3</v>
      </c>
      <c r="W235" s="27">
        <v>0</v>
      </c>
      <c r="X235" s="27">
        <v>11</v>
      </c>
      <c r="Y235" s="27">
        <v>3</v>
      </c>
      <c r="Z235" s="27">
        <v>3</v>
      </c>
      <c r="AA235" s="27">
        <v>80</v>
      </c>
      <c r="AB235" s="27">
        <v>1</v>
      </c>
      <c r="AC235" s="27">
        <v>32</v>
      </c>
      <c r="AD235" s="27">
        <v>3</v>
      </c>
      <c r="AE235" s="27">
        <v>2</v>
      </c>
      <c r="AF235" s="27">
        <v>7</v>
      </c>
      <c r="AG235" s="27">
        <v>0</v>
      </c>
      <c r="AH235" s="27">
        <v>0</v>
      </c>
      <c r="AI235" s="28">
        <v>6</v>
      </c>
      <c r="AK235" s="36">
        <v>202</v>
      </c>
      <c r="AL235" s="33">
        <v>18</v>
      </c>
      <c r="AM235" s="33">
        <v>2</v>
      </c>
      <c r="AN235" s="33">
        <v>4</v>
      </c>
      <c r="AO235" s="33">
        <v>1</v>
      </c>
      <c r="AP235" s="33">
        <v>1</v>
      </c>
      <c r="AQ235" s="33">
        <v>2</v>
      </c>
      <c r="AR235" s="33">
        <v>3</v>
      </c>
      <c r="AS235" s="33">
        <v>7</v>
      </c>
      <c r="AT235" s="33">
        <v>1</v>
      </c>
      <c r="AU235" s="43">
        <v>0.11029857261529002</v>
      </c>
      <c r="AV235" s="33">
        <v>0</v>
      </c>
      <c r="AW235" s="33">
        <v>0</v>
      </c>
      <c r="AY235" s="36">
        <v>207</v>
      </c>
      <c r="AZ235" s="33">
        <v>1</v>
      </c>
      <c r="BA235" s="33">
        <v>2</v>
      </c>
      <c r="BB235" s="33">
        <v>1</v>
      </c>
      <c r="BC235" s="33">
        <v>1</v>
      </c>
      <c r="BD235" s="43">
        <v>0.43876762926038776</v>
      </c>
      <c r="BE235" s="33">
        <v>0</v>
      </c>
      <c r="BF235" s="33">
        <v>0</v>
      </c>
      <c r="CE235" s="36">
        <v>201</v>
      </c>
      <c r="CF235" s="33">
        <v>1</v>
      </c>
      <c r="CG235" s="33">
        <v>2</v>
      </c>
      <c r="CH235" s="33">
        <v>1</v>
      </c>
      <c r="CI235" s="33">
        <v>2</v>
      </c>
      <c r="CJ235" s="33">
        <v>5</v>
      </c>
      <c r="CK235" s="33">
        <v>0</v>
      </c>
      <c r="CL235" s="33">
        <v>1</v>
      </c>
      <c r="CM235" s="33">
        <v>3</v>
      </c>
      <c r="CN235" s="33">
        <v>2</v>
      </c>
      <c r="CO235" s="33">
        <v>2</v>
      </c>
      <c r="CP235" s="43">
        <v>0.13345239070850887</v>
      </c>
      <c r="CQ235" s="33">
        <v>0</v>
      </c>
      <c r="CR235" s="33">
        <v>0</v>
      </c>
    </row>
    <row r="236" spans="1:96" ht="15" customHeight="1" x14ac:dyDescent="0.25">
      <c r="A236" s="26">
        <v>234</v>
      </c>
      <c r="B236" s="27">
        <v>33</v>
      </c>
      <c r="C236" s="27">
        <v>1</v>
      </c>
      <c r="D236" s="27">
        <v>1</v>
      </c>
      <c r="E236" s="27">
        <v>813</v>
      </c>
      <c r="F236" s="27">
        <v>2</v>
      </c>
      <c r="G236" s="27">
        <v>14</v>
      </c>
      <c r="H236" s="27">
        <v>3</v>
      </c>
      <c r="I236" s="27">
        <v>3</v>
      </c>
      <c r="J236" s="27">
        <v>1</v>
      </c>
      <c r="K236" s="27">
        <v>325</v>
      </c>
      <c r="L236" s="27">
        <v>3</v>
      </c>
      <c r="M236" s="27">
        <v>1</v>
      </c>
      <c r="N236" s="27">
        <v>58</v>
      </c>
      <c r="O236" s="27">
        <v>3</v>
      </c>
      <c r="P236" s="27">
        <v>1</v>
      </c>
      <c r="Q236" s="27">
        <v>3</v>
      </c>
      <c r="R236" s="27">
        <v>4</v>
      </c>
      <c r="S236" s="27">
        <v>2</v>
      </c>
      <c r="T236" s="27">
        <v>2436</v>
      </c>
      <c r="U236" s="27">
        <v>22149</v>
      </c>
      <c r="V236" s="27">
        <v>5</v>
      </c>
      <c r="W236" s="27">
        <v>1</v>
      </c>
      <c r="X236" s="27">
        <v>13</v>
      </c>
      <c r="Y236" s="27">
        <v>3</v>
      </c>
      <c r="Z236" s="27">
        <v>3</v>
      </c>
      <c r="AA236" s="27">
        <v>80</v>
      </c>
      <c r="AB236" s="27">
        <v>1</v>
      </c>
      <c r="AC236" s="27">
        <v>8</v>
      </c>
      <c r="AD236" s="27">
        <v>2</v>
      </c>
      <c r="AE236" s="27">
        <v>1</v>
      </c>
      <c r="AF236" s="27">
        <v>5</v>
      </c>
      <c r="AG236" s="27">
        <v>4</v>
      </c>
      <c r="AH236" s="27">
        <v>0</v>
      </c>
      <c r="AI236" s="28">
        <v>4</v>
      </c>
      <c r="AK236" s="36">
        <v>203</v>
      </c>
      <c r="AL236" s="33">
        <v>10</v>
      </c>
      <c r="AM236" s="33">
        <v>1</v>
      </c>
      <c r="AN236" s="33">
        <v>3</v>
      </c>
      <c r="AO236" s="33">
        <v>1</v>
      </c>
      <c r="AP236" s="33">
        <v>1</v>
      </c>
      <c r="AQ236" s="33">
        <v>1</v>
      </c>
      <c r="AR236" s="33">
        <v>4</v>
      </c>
      <c r="AS236" s="33">
        <v>5</v>
      </c>
      <c r="AT236" s="33">
        <v>2</v>
      </c>
      <c r="AU236" s="43">
        <v>0.28474804634099743</v>
      </c>
      <c r="AV236" s="33">
        <v>0</v>
      </c>
      <c r="AW236" s="33">
        <v>0</v>
      </c>
      <c r="AY236" s="36">
        <v>208</v>
      </c>
      <c r="AZ236" s="33">
        <v>1</v>
      </c>
      <c r="BA236" s="33">
        <v>4</v>
      </c>
      <c r="BB236" s="33">
        <v>0</v>
      </c>
      <c r="BC236" s="33">
        <v>0</v>
      </c>
      <c r="BD236" s="43">
        <v>0.1472907617042678</v>
      </c>
      <c r="BE236" s="33">
        <v>0</v>
      </c>
      <c r="BF236" s="33">
        <v>0</v>
      </c>
      <c r="CE236" s="36">
        <v>202</v>
      </c>
      <c r="CF236" s="33">
        <v>18</v>
      </c>
      <c r="CG236" s="33">
        <v>2</v>
      </c>
      <c r="CH236" s="33">
        <v>4</v>
      </c>
      <c r="CI236" s="33">
        <v>3</v>
      </c>
      <c r="CJ236" s="33">
        <v>1</v>
      </c>
      <c r="CK236" s="33">
        <v>1</v>
      </c>
      <c r="CL236" s="33">
        <v>2</v>
      </c>
      <c r="CM236" s="33">
        <v>3</v>
      </c>
      <c r="CN236" s="33">
        <v>7</v>
      </c>
      <c r="CO236" s="33">
        <v>1</v>
      </c>
      <c r="CP236" s="43">
        <v>8.9590015130588146E-2</v>
      </c>
      <c r="CQ236" s="33">
        <v>0</v>
      </c>
      <c r="CR236" s="33">
        <v>0</v>
      </c>
    </row>
    <row r="237" spans="1:96" ht="15" customHeight="1" x14ac:dyDescent="0.25">
      <c r="A237" s="26">
        <v>235</v>
      </c>
      <c r="B237" s="27">
        <v>43</v>
      </c>
      <c r="C237" s="27">
        <v>0</v>
      </c>
      <c r="D237" s="27">
        <v>1</v>
      </c>
      <c r="E237" s="27">
        <v>1034</v>
      </c>
      <c r="F237" s="27">
        <v>1</v>
      </c>
      <c r="G237" s="27">
        <v>16</v>
      </c>
      <c r="H237" s="27">
        <v>3</v>
      </c>
      <c r="I237" s="27">
        <v>4</v>
      </c>
      <c r="J237" s="27">
        <v>1</v>
      </c>
      <c r="K237" s="27">
        <v>327</v>
      </c>
      <c r="L237" s="27">
        <v>4</v>
      </c>
      <c r="M237" s="27">
        <v>0</v>
      </c>
      <c r="N237" s="27">
        <v>80</v>
      </c>
      <c r="O237" s="27">
        <v>3</v>
      </c>
      <c r="P237" s="27">
        <v>4</v>
      </c>
      <c r="Q237" s="27">
        <v>6</v>
      </c>
      <c r="R237" s="27">
        <v>4</v>
      </c>
      <c r="S237" s="27">
        <v>2</v>
      </c>
      <c r="T237" s="27">
        <v>16064</v>
      </c>
      <c r="U237" s="27">
        <v>7744</v>
      </c>
      <c r="V237" s="27">
        <v>5</v>
      </c>
      <c r="W237" s="27">
        <v>1</v>
      </c>
      <c r="X237" s="27">
        <v>22</v>
      </c>
      <c r="Y237" s="27">
        <v>4</v>
      </c>
      <c r="Z237" s="27">
        <v>3</v>
      </c>
      <c r="AA237" s="27">
        <v>80</v>
      </c>
      <c r="AB237" s="27">
        <v>1</v>
      </c>
      <c r="AC237" s="27">
        <v>22</v>
      </c>
      <c r="AD237" s="27">
        <v>3</v>
      </c>
      <c r="AE237" s="27">
        <v>3</v>
      </c>
      <c r="AF237" s="27">
        <v>17</v>
      </c>
      <c r="AG237" s="27">
        <v>13</v>
      </c>
      <c r="AH237" s="27">
        <v>1</v>
      </c>
      <c r="AI237" s="28">
        <v>9</v>
      </c>
      <c r="AK237" s="36">
        <v>204</v>
      </c>
      <c r="AL237" s="33">
        <v>19</v>
      </c>
      <c r="AM237" s="33">
        <v>2</v>
      </c>
      <c r="AN237" s="33">
        <v>4</v>
      </c>
      <c r="AO237" s="33">
        <v>8</v>
      </c>
      <c r="AP237" s="33">
        <v>1</v>
      </c>
      <c r="AQ237" s="33">
        <v>1</v>
      </c>
      <c r="AR237" s="33">
        <v>4</v>
      </c>
      <c r="AS237" s="33">
        <v>7</v>
      </c>
      <c r="AT237" s="33">
        <v>3</v>
      </c>
      <c r="AU237" s="43">
        <v>0.28805155970982521</v>
      </c>
      <c r="AV237" s="33">
        <v>0</v>
      </c>
      <c r="AW237" s="33">
        <v>0</v>
      </c>
      <c r="AY237" s="36">
        <v>209</v>
      </c>
      <c r="AZ237" s="33">
        <v>2</v>
      </c>
      <c r="BA237" s="33">
        <v>4</v>
      </c>
      <c r="BB237" s="33">
        <v>0</v>
      </c>
      <c r="BC237" s="33">
        <v>1</v>
      </c>
      <c r="BD237" s="43">
        <v>5.5093218126976727E-2</v>
      </c>
      <c r="BE237" s="33">
        <v>0</v>
      </c>
      <c r="BF237" s="33">
        <v>0</v>
      </c>
      <c r="CE237" s="36">
        <v>203</v>
      </c>
      <c r="CF237" s="33">
        <v>10</v>
      </c>
      <c r="CG237" s="33">
        <v>1</v>
      </c>
      <c r="CH237" s="33">
        <v>3</v>
      </c>
      <c r="CI237" s="33">
        <v>3</v>
      </c>
      <c r="CJ237" s="33">
        <v>1</v>
      </c>
      <c r="CK237" s="33">
        <v>1</v>
      </c>
      <c r="CL237" s="33">
        <v>1</v>
      </c>
      <c r="CM237" s="33">
        <v>4</v>
      </c>
      <c r="CN237" s="33">
        <v>5</v>
      </c>
      <c r="CO237" s="33">
        <v>2</v>
      </c>
      <c r="CP237" s="43">
        <v>0.18262248111955506</v>
      </c>
      <c r="CQ237" s="33">
        <v>0</v>
      </c>
      <c r="CR237" s="33">
        <v>0</v>
      </c>
    </row>
    <row r="238" spans="1:96" ht="15" customHeight="1" x14ac:dyDescent="0.25">
      <c r="A238" s="26">
        <v>236</v>
      </c>
      <c r="B238" s="27">
        <v>33</v>
      </c>
      <c r="C238" s="27">
        <v>1</v>
      </c>
      <c r="D238" s="27">
        <v>1</v>
      </c>
      <c r="E238" s="27">
        <v>465</v>
      </c>
      <c r="F238" s="27">
        <v>2</v>
      </c>
      <c r="G238" s="27">
        <v>2</v>
      </c>
      <c r="H238" s="27">
        <v>2</v>
      </c>
      <c r="I238" s="27">
        <v>1</v>
      </c>
      <c r="J238" s="27">
        <v>1</v>
      </c>
      <c r="K238" s="27">
        <v>328</v>
      </c>
      <c r="L238" s="27">
        <v>1</v>
      </c>
      <c r="M238" s="27">
        <v>0</v>
      </c>
      <c r="N238" s="27">
        <v>39</v>
      </c>
      <c r="O238" s="27">
        <v>3</v>
      </c>
      <c r="P238" s="27">
        <v>1</v>
      </c>
      <c r="Q238" s="27">
        <v>3</v>
      </c>
      <c r="R238" s="27">
        <v>1</v>
      </c>
      <c r="S238" s="27">
        <v>2</v>
      </c>
      <c r="T238" s="27">
        <v>2707</v>
      </c>
      <c r="U238" s="27">
        <v>21509</v>
      </c>
      <c r="V238" s="27">
        <v>7</v>
      </c>
      <c r="W238" s="27">
        <v>0</v>
      </c>
      <c r="X238" s="27">
        <v>20</v>
      </c>
      <c r="Y238" s="27">
        <v>4</v>
      </c>
      <c r="Z238" s="27">
        <v>1</v>
      </c>
      <c r="AA238" s="27">
        <v>80</v>
      </c>
      <c r="AB238" s="27">
        <v>0</v>
      </c>
      <c r="AC238" s="27">
        <v>13</v>
      </c>
      <c r="AD238" s="27">
        <v>3</v>
      </c>
      <c r="AE238" s="27">
        <v>4</v>
      </c>
      <c r="AF238" s="27">
        <v>9</v>
      </c>
      <c r="AG238" s="27">
        <v>7</v>
      </c>
      <c r="AH238" s="27">
        <v>1</v>
      </c>
      <c r="AI238" s="28">
        <v>7</v>
      </c>
      <c r="AK238" s="36">
        <v>205</v>
      </c>
      <c r="AL238" s="33">
        <v>29</v>
      </c>
      <c r="AM238" s="33">
        <v>2</v>
      </c>
      <c r="AN238" s="33">
        <v>1</v>
      </c>
      <c r="AO238" s="33">
        <v>7</v>
      </c>
      <c r="AP238" s="33">
        <v>1</v>
      </c>
      <c r="AQ238" s="33">
        <v>0</v>
      </c>
      <c r="AR238" s="33">
        <v>3</v>
      </c>
      <c r="AS238" s="33">
        <v>1</v>
      </c>
      <c r="AT238" s="33">
        <v>0</v>
      </c>
      <c r="AU238" s="43">
        <v>0.7532147250961202</v>
      </c>
      <c r="AV238" s="33">
        <v>1</v>
      </c>
      <c r="AW238" s="33">
        <v>1</v>
      </c>
      <c r="AY238" s="36">
        <v>210</v>
      </c>
      <c r="AZ238" s="33">
        <v>3</v>
      </c>
      <c r="BA238" s="33">
        <v>1</v>
      </c>
      <c r="BB238" s="33">
        <v>0</v>
      </c>
      <c r="BC238" s="33">
        <v>1</v>
      </c>
      <c r="BD238" s="43">
        <v>7.4238208059117641E-2</v>
      </c>
      <c r="BE238" s="33">
        <v>0</v>
      </c>
      <c r="BF238" s="33">
        <v>0</v>
      </c>
      <c r="CE238" s="36">
        <v>204</v>
      </c>
      <c r="CF238" s="33">
        <v>19</v>
      </c>
      <c r="CG238" s="33">
        <v>2</v>
      </c>
      <c r="CH238" s="33">
        <v>4</v>
      </c>
      <c r="CI238" s="33">
        <v>2</v>
      </c>
      <c r="CJ238" s="33">
        <v>8</v>
      </c>
      <c r="CK238" s="33">
        <v>1</v>
      </c>
      <c r="CL238" s="33">
        <v>1</v>
      </c>
      <c r="CM238" s="33">
        <v>4</v>
      </c>
      <c r="CN238" s="33">
        <v>7</v>
      </c>
      <c r="CO238" s="33">
        <v>3</v>
      </c>
      <c r="CP238" s="43">
        <v>0.28383779273415999</v>
      </c>
      <c r="CQ238" s="33">
        <v>0</v>
      </c>
      <c r="CR238" s="33">
        <v>0</v>
      </c>
    </row>
    <row r="239" spans="1:96" ht="15" customHeight="1" x14ac:dyDescent="0.25">
      <c r="A239" s="26">
        <v>237</v>
      </c>
      <c r="B239" s="27">
        <v>52</v>
      </c>
      <c r="C239" s="27">
        <v>0</v>
      </c>
      <c r="D239" s="27">
        <v>3</v>
      </c>
      <c r="E239" s="27">
        <v>771</v>
      </c>
      <c r="F239" s="27">
        <v>1</v>
      </c>
      <c r="G239" s="27">
        <v>2</v>
      </c>
      <c r="H239" s="27">
        <v>4</v>
      </c>
      <c r="I239" s="27">
        <v>1</v>
      </c>
      <c r="J239" s="27">
        <v>1</v>
      </c>
      <c r="K239" s="27">
        <v>329</v>
      </c>
      <c r="L239" s="27">
        <v>1</v>
      </c>
      <c r="M239" s="27">
        <v>1</v>
      </c>
      <c r="N239" s="27">
        <v>79</v>
      </c>
      <c r="O239" s="27">
        <v>2</v>
      </c>
      <c r="P239" s="27">
        <v>5</v>
      </c>
      <c r="Q239" s="27">
        <v>6</v>
      </c>
      <c r="R239" s="27">
        <v>3</v>
      </c>
      <c r="S239" s="27">
        <v>1</v>
      </c>
      <c r="T239" s="27">
        <v>19068</v>
      </c>
      <c r="U239" s="27">
        <v>21030</v>
      </c>
      <c r="V239" s="27">
        <v>1</v>
      </c>
      <c r="W239" s="27">
        <v>1</v>
      </c>
      <c r="X239" s="27">
        <v>18</v>
      </c>
      <c r="Y239" s="27">
        <v>3</v>
      </c>
      <c r="Z239" s="27">
        <v>4</v>
      </c>
      <c r="AA239" s="27">
        <v>80</v>
      </c>
      <c r="AB239" s="27">
        <v>0</v>
      </c>
      <c r="AC239" s="27">
        <v>33</v>
      </c>
      <c r="AD239" s="27">
        <v>2</v>
      </c>
      <c r="AE239" s="27">
        <v>4</v>
      </c>
      <c r="AF239" s="27">
        <v>33</v>
      </c>
      <c r="AG239" s="27">
        <v>7</v>
      </c>
      <c r="AH239" s="27">
        <v>15</v>
      </c>
      <c r="AI239" s="28">
        <v>12</v>
      </c>
      <c r="AK239" s="36">
        <v>206</v>
      </c>
      <c r="AL239" s="33">
        <v>27</v>
      </c>
      <c r="AM239" s="33">
        <v>3</v>
      </c>
      <c r="AN239" s="33">
        <v>4</v>
      </c>
      <c r="AO239" s="33">
        <v>1</v>
      </c>
      <c r="AP239" s="33">
        <v>0</v>
      </c>
      <c r="AQ239" s="33">
        <v>3</v>
      </c>
      <c r="AR239" s="33">
        <v>2</v>
      </c>
      <c r="AS239" s="33">
        <v>10</v>
      </c>
      <c r="AT239" s="33">
        <v>1</v>
      </c>
      <c r="AU239" s="43">
        <v>1.2583097987585303E-2</v>
      </c>
      <c r="AV239" s="33">
        <v>0</v>
      </c>
      <c r="AW239" s="33">
        <v>1</v>
      </c>
      <c r="AY239" s="36">
        <v>211</v>
      </c>
      <c r="AZ239" s="33">
        <v>3</v>
      </c>
      <c r="BA239" s="33">
        <v>4</v>
      </c>
      <c r="BB239" s="33">
        <v>0</v>
      </c>
      <c r="BC239" s="33">
        <v>0</v>
      </c>
      <c r="BD239" s="43">
        <v>5.3512841598087578E-2</v>
      </c>
      <c r="BE239" s="33">
        <v>0</v>
      </c>
      <c r="BF239" s="33">
        <v>1</v>
      </c>
      <c r="CE239" s="36">
        <v>205</v>
      </c>
      <c r="CF239" s="33">
        <v>29</v>
      </c>
      <c r="CG239" s="33">
        <v>2</v>
      </c>
      <c r="CH239" s="33">
        <v>1</v>
      </c>
      <c r="CI239" s="33">
        <v>2</v>
      </c>
      <c r="CJ239" s="33">
        <v>7</v>
      </c>
      <c r="CK239" s="33">
        <v>1</v>
      </c>
      <c r="CL239" s="33">
        <v>0</v>
      </c>
      <c r="CM239" s="33">
        <v>3</v>
      </c>
      <c r="CN239" s="33">
        <v>1</v>
      </c>
      <c r="CO239" s="33">
        <v>0</v>
      </c>
      <c r="CP239" s="43">
        <v>0.69251307718622857</v>
      </c>
      <c r="CQ239" s="33">
        <v>1</v>
      </c>
      <c r="CR239" s="33">
        <v>1</v>
      </c>
    </row>
    <row r="240" spans="1:96" ht="15" customHeight="1" x14ac:dyDescent="0.25">
      <c r="A240" s="26">
        <v>238</v>
      </c>
      <c r="B240" s="27">
        <v>32</v>
      </c>
      <c r="C240" s="27">
        <v>0</v>
      </c>
      <c r="D240" s="27">
        <v>1</v>
      </c>
      <c r="E240" s="27">
        <v>1401</v>
      </c>
      <c r="F240" s="27">
        <v>1</v>
      </c>
      <c r="G240" s="27">
        <v>4</v>
      </c>
      <c r="H240" s="27">
        <v>2</v>
      </c>
      <c r="I240" s="27">
        <v>1</v>
      </c>
      <c r="J240" s="27">
        <v>1</v>
      </c>
      <c r="K240" s="27">
        <v>330</v>
      </c>
      <c r="L240" s="27">
        <v>3</v>
      </c>
      <c r="M240" s="27">
        <v>0</v>
      </c>
      <c r="N240" s="27">
        <v>56</v>
      </c>
      <c r="O240" s="27">
        <v>3</v>
      </c>
      <c r="P240" s="27">
        <v>1</v>
      </c>
      <c r="Q240" s="27">
        <v>7</v>
      </c>
      <c r="R240" s="27">
        <v>2</v>
      </c>
      <c r="S240" s="27">
        <v>2</v>
      </c>
      <c r="T240" s="27">
        <v>3931</v>
      </c>
      <c r="U240" s="27">
        <v>20990</v>
      </c>
      <c r="V240" s="27">
        <v>2</v>
      </c>
      <c r="W240" s="27">
        <v>0</v>
      </c>
      <c r="X240" s="27">
        <v>11</v>
      </c>
      <c r="Y240" s="27">
        <v>3</v>
      </c>
      <c r="Z240" s="27">
        <v>1</v>
      </c>
      <c r="AA240" s="27">
        <v>80</v>
      </c>
      <c r="AB240" s="27">
        <v>1</v>
      </c>
      <c r="AC240" s="27">
        <v>6</v>
      </c>
      <c r="AD240" s="27">
        <v>5</v>
      </c>
      <c r="AE240" s="27">
        <v>3</v>
      </c>
      <c r="AF240" s="27">
        <v>4</v>
      </c>
      <c r="AG240" s="27">
        <v>3</v>
      </c>
      <c r="AH240" s="27">
        <v>1</v>
      </c>
      <c r="AI240" s="28">
        <v>2</v>
      </c>
      <c r="AK240" s="36">
        <v>207</v>
      </c>
      <c r="AL240" s="33">
        <v>5</v>
      </c>
      <c r="AM240" s="33">
        <v>1</v>
      </c>
      <c r="AN240" s="33">
        <v>2</v>
      </c>
      <c r="AO240" s="33">
        <v>1</v>
      </c>
      <c r="AP240" s="33">
        <v>1</v>
      </c>
      <c r="AQ240" s="33">
        <v>1</v>
      </c>
      <c r="AR240" s="33">
        <v>2</v>
      </c>
      <c r="AS240" s="33">
        <v>4</v>
      </c>
      <c r="AT240" s="33">
        <v>2</v>
      </c>
      <c r="AU240" s="43">
        <v>0.43536224545407554</v>
      </c>
      <c r="AV240" s="33">
        <v>0</v>
      </c>
      <c r="AW240" s="33">
        <v>0</v>
      </c>
      <c r="AY240" s="36">
        <v>212</v>
      </c>
      <c r="AZ240" s="33">
        <v>3</v>
      </c>
      <c r="BA240" s="33">
        <v>3</v>
      </c>
      <c r="BB240" s="33">
        <v>0</v>
      </c>
      <c r="BC240" s="33">
        <v>0</v>
      </c>
      <c r="BD240" s="43">
        <v>7.0406776741937793E-2</v>
      </c>
      <c r="BE240" s="33">
        <v>0</v>
      </c>
      <c r="BF240" s="33">
        <v>0</v>
      </c>
      <c r="CE240" s="36">
        <v>206</v>
      </c>
      <c r="CF240" s="33">
        <v>27</v>
      </c>
      <c r="CG240" s="33">
        <v>3</v>
      </c>
      <c r="CH240" s="33">
        <v>4</v>
      </c>
      <c r="CI240" s="33">
        <v>2</v>
      </c>
      <c r="CJ240" s="33">
        <v>1</v>
      </c>
      <c r="CK240" s="33">
        <v>0</v>
      </c>
      <c r="CL240" s="33">
        <v>3</v>
      </c>
      <c r="CM240" s="33">
        <v>2</v>
      </c>
      <c r="CN240" s="33">
        <v>10</v>
      </c>
      <c r="CO240" s="33">
        <v>1</v>
      </c>
      <c r="CP240" s="43">
        <v>2.3832010511916506E-2</v>
      </c>
      <c r="CQ240" s="33">
        <v>0</v>
      </c>
      <c r="CR240" s="33">
        <v>1</v>
      </c>
    </row>
    <row r="241" spans="1:96" ht="15" customHeight="1" x14ac:dyDescent="0.25">
      <c r="A241" s="26">
        <v>239</v>
      </c>
      <c r="B241" s="27">
        <v>32</v>
      </c>
      <c r="C241" s="27">
        <v>1</v>
      </c>
      <c r="D241" s="27">
        <v>1</v>
      </c>
      <c r="E241" s="27">
        <v>515</v>
      </c>
      <c r="F241" s="27">
        <v>2</v>
      </c>
      <c r="G241" s="27">
        <v>1</v>
      </c>
      <c r="H241" s="27">
        <v>3</v>
      </c>
      <c r="I241" s="27">
        <v>1</v>
      </c>
      <c r="J241" s="27">
        <v>1</v>
      </c>
      <c r="K241" s="27">
        <v>331</v>
      </c>
      <c r="L241" s="27">
        <v>4</v>
      </c>
      <c r="M241" s="27">
        <v>1</v>
      </c>
      <c r="N241" s="27">
        <v>62</v>
      </c>
      <c r="O241" s="27">
        <v>2</v>
      </c>
      <c r="P241" s="27">
        <v>1</v>
      </c>
      <c r="Q241" s="27">
        <v>3</v>
      </c>
      <c r="R241" s="27">
        <v>3</v>
      </c>
      <c r="S241" s="27">
        <v>1</v>
      </c>
      <c r="T241" s="27">
        <v>3730</v>
      </c>
      <c r="U241" s="27">
        <v>9571</v>
      </c>
      <c r="V241" s="27">
        <v>0</v>
      </c>
      <c r="W241" s="27">
        <v>1</v>
      </c>
      <c r="X241" s="27">
        <v>14</v>
      </c>
      <c r="Y241" s="27">
        <v>3</v>
      </c>
      <c r="Z241" s="27">
        <v>4</v>
      </c>
      <c r="AA241" s="27">
        <v>80</v>
      </c>
      <c r="AB241" s="27">
        <v>0</v>
      </c>
      <c r="AC241" s="27">
        <v>4</v>
      </c>
      <c r="AD241" s="27">
        <v>2</v>
      </c>
      <c r="AE241" s="27">
        <v>1</v>
      </c>
      <c r="AF241" s="27">
        <v>3</v>
      </c>
      <c r="AG241" s="27">
        <v>2</v>
      </c>
      <c r="AH241" s="27">
        <v>1</v>
      </c>
      <c r="AI241" s="28">
        <v>2</v>
      </c>
      <c r="AK241" s="36">
        <v>208</v>
      </c>
      <c r="AL241" s="33">
        <v>18</v>
      </c>
      <c r="AM241" s="33">
        <v>1</v>
      </c>
      <c r="AN241" s="33">
        <v>4</v>
      </c>
      <c r="AO241" s="33">
        <v>1</v>
      </c>
      <c r="AP241" s="33">
        <v>0</v>
      </c>
      <c r="AQ241" s="33">
        <v>0</v>
      </c>
      <c r="AR241" s="33">
        <v>3</v>
      </c>
      <c r="AS241" s="33">
        <v>8</v>
      </c>
      <c r="AT241" s="33">
        <v>1</v>
      </c>
      <c r="AU241" s="43">
        <v>0.1246343615780641</v>
      </c>
      <c r="AV241" s="33">
        <v>0</v>
      </c>
      <c r="AW241" s="33">
        <v>0</v>
      </c>
      <c r="AY241" s="36">
        <v>213</v>
      </c>
      <c r="AZ241" s="33">
        <v>2</v>
      </c>
      <c r="BA241" s="33">
        <v>3</v>
      </c>
      <c r="BB241" s="33">
        <v>0</v>
      </c>
      <c r="BC241" s="33">
        <v>0</v>
      </c>
      <c r="BD241" s="43">
        <v>0.11690772887050198</v>
      </c>
      <c r="BE241" s="33">
        <v>0</v>
      </c>
      <c r="BF241" s="33">
        <v>0</v>
      </c>
      <c r="CE241" s="36">
        <v>207</v>
      </c>
      <c r="CF241" s="33">
        <v>5</v>
      </c>
      <c r="CG241" s="33">
        <v>1</v>
      </c>
      <c r="CH241" s="33">
        <v>2</v>
      </c>
      <c r="CI241" s="33">
        <v>3</v>
      </c>
      <c r="CJ241" s="33">
        <v>1</v>
      </c>
      <c r="CK241" s="33">
        <v>1</v>
      </c>
      <c r="CL241" s="33">
        <v>1</v>
      </c>
      <c r="CM241" s="33">
        <v>2</v>
      </c>
      <c r="CN241" s="33">
        <v>4</v>
      </c>
      <c r="CO241" s="33">
        <v>2</v>
      </c>
      <c r="CP241" s="43">
        <v>0.31330774479720042</v>
      </c>
      <c r="CQ241" s="33">
        <v>0</v>
      </c>
      <c r="CR241" s="33">
        <v>0</v>
      </c>
    </row>
    <row r="242" spans="1:96" ht="15" customHeight="1" x14ac:dyDescent="0.25">
      <c r="A242" s="26">
        <v>240</v>
      </c>
      <c r="B242" s="27">
        <v>39</v>
      </c>
      <c r="C242" s="27">
        <v>0</v>
      </c>
      <c r="D242" s="27">
        <v>1</v>
      </c>
      <c r="E242" s="27">
        <v>1431</v>
      </c>
      <c r="F242" s="27">
        <v>2</v>
      </c>
      <c r="G242" s="27">
        <v>1</v>
      </c>
      <c r="H242" s="27">
        <v>4</v>
      </c>
      <c r="I242" s="27">
        <v>3</v>
      </c>
      <c r="J242" s="27">
        <v>1</v>
      </c>
      <c r="K242" s="27">
        <v>332</v>
      </c>
      <c r="L242" s="27">
        <v>3</v>
      </c>
      <c r="M242" s="27">
        <v>0</v>
      </c>
      <c r="N242" s="27">
        <v>96</v>
      </c>
      <c r="O242" s="27">
        <v>3</v>
      </c>
      <c r="P242" s="27">
        <v>1</v>
      </c>
      <c r="Q242" s="27">
        <v>3</v>
      </c>
      <c r="R242" s="27">
        <v>3</v>
      </c>
      <c r="S242" s="27">
        <v>3</v>
      </c>
      <c r="T242" s="27">
        <v>2232</v>
      </c>
      <c r="U242" s="27">
        <v>15417</v>
      </c>
      <c r="V242" s="27">
        <v>7</v>
      </c>
      <c r="W242" s="27">
        <v>0</v>
      </c>
      <c r="X242" s="27">
        <v>14</v>
      </c>
      <c r="Y242" s="27">
        <v>3</v>
      </c>
      <c r="Z242" s="27">
        <v>3</v>
      </c>
      <c r="AA242" s="27">
        <v>80</v>
      </c>
      <c r="AB242" s="27">
        <v>3</v>
      </c>
      <c r="AC242" s="27">
        <v>7</v>
      </c>
      <c r="AD242" s="27">
        <v>1</v>
      </c>
      <c r="AE242" s="27">
        <v>3</v>
      </c>
      <c r="AF242" s="27">
        <v>3</v>
      </c>
      <c r="AG242" s="27">
        <v>2</v>
      </c>
      <c r="AH242" s="27">
        <v>1</v>
      </c>
      <c r="AI242" s="28">
        <v>2</v>
      </c>
      <c r="AK242" s="36">
        <v>209</v>
      </c>
      <c r="AL242" s="33">
        <v>9</v>
      </c>
      <c r="AM242" s="33">
        <v>2</v>
      </c>
      <c r="AN242" s="33">
        <v>4</v>
      </c>
      <c r="AO242" s="33">
        <v>9</v>
      </c>
      <c r="AP242" s="33">
        <v>0</v>
      </c>
      <c r="AQ242" s="33">
        <v>1</v>
      </c>
      <c r="AR242" s="33">
        <v>1</v>
      </c>
      <c r="AS242" s="33">
        <v>3</v>
      </c>
      <c r="AT242" s="33">
        <v>0</v>
      </c>
      <c r="AU242" s="43">
        <v>0.12062312255216358</v>
      </c>
      <c r="AV242" s="33">
        <v>0</v>
      </c>
      <c r="AW242" s="33">
        <v>0</v>
      </c>
      <c r="AY242" s="36">
        <v>214</v>
      </c>
      <c r="AZ242" s="33">
        <v>3</v>
      </c>
      <c r="BA242" s="33">
        <v>2</v>
      </c>
      <c r="BB242" s="33">
        <v>0</v>
      </c>
      <c r="BC242" s="33">
        <v>2</v>
      </c>
      <c r="BD242" s="43">
        <v>3.4113506034874549E-2</v>
      </c>
      <c r="BE242" s="33">
        <v>0</v>
      </c>
      <c r="BF242" s="33">
        <v>0</v>
      </c>
      <c r="CE242" s="36">
        <v>208</v>
      </c>
      <c r="CF242" s="33">
        <v>18</v>
      </c>
      <c r="CG242" s="33">
        <v>1</v>
      </c>
      <c r="CH242" s="33">
        <v>4</v>
      </c>
      <c r="CI242" s="33">
        <v>1</v>
      </c>
      <c r="CJ242" s="33">
        <v>1</v>
      </c>
      <c r="CK242" s="33">
        <v>0</v>
      </c>
      <c r="CL242" s="33">
        <v>0</v>
      </c>
      <c r="CM242" s="33">
        <v>3</v>
      </c>
      <c r="CN242" s="33">
        <v>8</v>
      </c>
      <c r="CO242" s="33">
        <v>1</v>
      </c>
      <c r="CP242" s="43">
        <v>0.1404054924224859</v>
      </c>
      <c r="CQ242" s="33">
        <v>0</v>
      </c>
      <c r="CR242" s="33">
        <v>0</v>
      </c>
    </row>
    <row r="243" spans="1:96" ht="15" customHeight="1" x14ac:dyDescent="0.25">
      <c r="A243" s="26">
        <v>241</v>
      </c>
      <c r="B243" s="27">
        <v>32</v>
      </c>
      <c r="C243" s="27">
        <v>0</v>
      </c>
      <c r="D243" s="27">
        <v>3</v>
      </c>
      <c r="E243" s="27">
        <v>976</v>
      </c>
      <c r="F243" s="27">
        <v>1</v>
      </c>
      <c r="G243" s="27">
        <v>26</v>
      </c>
      <c r="H243" s="27">
        <v>4</v>
      </c>
      <c r="I243" s="27">
        <v>4</v>
      </c>
      <c r="J243" s="27">
        <v>1</v>
      </c>
      <c r="K243" s="27">
        <v>333</v>
      </c>
      <c r="L243" s="27">
        <v>3</v>
      </c>
      <c r="M243" s="27">
        <v>1</v>
      </c>
      <c r="N243" s="27">
        <v>100</v>
      </c>
      <c r="O243" s="27">
        <v>3</v>
      </c>
      <c r="P243" s="27">
        <v>2</v>
      </c>
      <c r="Q243" s="27">
        <v>1</v>
      </c>
      <c r="R243" s="27">
        <v>4</v>
      </c>
      <c r="S243" s="27">
        <v>2</v>
      </c>
      <c r="T243" s="27">
        <v>4465</v>
      </c>
      <c r="U243" s="27">
        <v>12069</v>
      </c>
      <c r="V243" s="27">
        <v>0</v>
      </c>
      <c r="W243" s="27">
        <v>0</v>
      </c>
      <c r="X243" s="27">
        <v>18</v>
      </c>
      <c r="Y243" s="27">
        <v>3</v>
      </c>
      <c r="Z243" s="27">
        <v>1</v>
      </c>
      <c r="AA243" s="27">
        <v>80</v>
      </c>
      <c r="AB243" s="27">
        <v>0</v>
      </c>
      <c r="AC243" s="27">
        <v>4</v>
      </c>
      <c r="AD243" s="27">
        <v>2</v>
      </c>
      <c r="AE243" s="27">
        <v>3</v>
      </c>
      <c r="AF243" s="27">
        <v>3</v>
      </c>
      <c r="AG243" s="27">
        <v>2</v>
      </c>
      <c r="AH243" s="27">
        <v>2</v>
      </c>
      <c r="AI243" s="28">
        <v>2</v>
      </c>
      <c r="AK243" s="36">
        <v>210</v>
      </c>
      <c r="AL243" s="33">
        <v>1</v>
      </c>
      <c r="AM243" s="33">
        <v>3</v>
      </c>
      <c r="AN243" s="33">
        <v>1</v>
      </c>
      <c r="AO243" s="33">
        <v>7</v>
      </c>
      <c r="AP243" s="33">
        <v>0</v>
      </c>
      <c r="AQ243" s="33">
        <v>1</v>
      </c>
      <c r="AR243" s="33">
        <v>3</v>
      </c>
      <c r="AS243" s="33">
        <v>4</v>
      </c>
      <c r="AT243" s="33">
        <v>0</v>
      </c>
      <c r="AU243" s="43">
        <v>6.6839192555830748E-2</v>
      </c>
      <c r="AV243" s="33">
        <v>0</v>
      </c>
      <c r="AW243" s="33">
        <v>0</v>
      </c>
      <c r="AY243" s="36">
        <v>215</v>
      </c>
      <c r="AZ243" s="33">
        <v>1</v>
      </c>
      <c r="BA243" s="33">
        <v>1</v>
      </c>
      <c r="BB243" s="33">
        <v>1</v>
      </c>
      <c r="BC243" s="33">
        <v>0</v>
      </c>
      <c r="BD243" s="43">
        <v>0.63965103699986936</v>
      </c>
      <c r="BE243" s="33">
        <v>1</v>
      </c>
      <c r="BF243" s="33">
        <v>1</v>
      </c>
      <c r="CE243" s="36">
        <v>209</v>
      </c>
      <c r="CF243" s="33">
        <v>9</v>
      </c>
      <c r="CG243" s="33">
        <v>2</v>
      </c>
      <c r="CH243" s="33">
        <v>4</v>
      </c>
      <c r="CI243" s="33">
        <v>2</v>
      </c>
      <c r="CJ243" s="33">
        <v>9</v>
      </c>
      <c r="CK243" s="33">
        <v>0</v>
      </c>
      <c r="CL243" s="33">
        <v>1</v>
      </c>
      <c r="CM243" s="33">
        <v>1</v>
      </c>
      <c r="CN243" s="33">
        <v>3</v>
      </c>
      <c r="CO243" s="33">
        <v>0</v>
      </c>
      <c r="CP243" s="43">
        <v>0.11910323552149858</v>
      </c>
      <c r="CQ243" s="33">
        <v>0</v>
      </c>
      <c r="CR243" s="33">
        <v>0</v>
      </c>
    </row>
    <row r="244" spans="1:96" ht="15" customHeight="1" x14ac:dyDescent="0.25">
      <c r="A244" s="26">
        <v>242</v>
      </c>
      <c r="B244" s="27">
        <v>41</v>
      </c>
      <c r="C244" s="27">
        <v>0</v>
      </c>
      <c r="D244" s="27">
        <v>1</v>
      </c>
      <c r="E244" s="27">
        <v>1411</v>
      </c>
      <c r="F244" s="27">
        <v>2</v>
      </c>
      <c r="G244" s="27">
        <v>19</v>
      </c>
      <c r="H244" s="27">
        <v>2</v>
      </c>
      <c r="I244" s="27">
        <v>1</v>
      </c>
      <c r="J244" s="27">
        <v>1</v>
      </c>
      <c r="K244" s="27">
        <v>334</v>
      </c>
      <c r="L244" s="27">
        <v>3</v>
      </c>
      <c r="M244" s="27">
        <v>1</v>
      </c>
      <c r="N244" s="27">
        <v>36</v>
      </c>
      <c r="O244" s="27">
        <v>3</v>
      </c>
      <c r="P244" s="27">
        <v>2</v>
      </c>
      <c r="Q244" s="27">
        <v>2</v>
      </c>
      <c r="R244" s="27">
        <v>1</v>
      </c>
      <c r="S244" s="27">
        <v>3</v>
      </c>
      <c r="T244" s="27">
        <v>3072</v>
      </c>
      <c r="U244" s="27">
        <v>19877</v>
      </c>
      <c r="V244" s="27">
        <v>2</v>
      </c>
      <c r="W244" s="27">
        <v>0</v>
      </c>
      <c r="X244" s="27">
        <v>16</v>
      </c>
      <c r="Y244" s="27">
        <v>3</v>
      </c>
      <c r="Z244" s="27">
        <v>1</v>
      </c>
      <c r="AA244" s="27">
        <v>80</v>
      </c>
      <c r="AB244" s="27">
        <v>2</v>
      </c>
      <c r="AC244" s="27">
        <v>17</v>
      </c>
      <c r="AD244" s="27">
        <v>2</v>
      </c>
      <c r="AE244" s="27">
        <v>2</v>
      </c>
      <c r="AF244" s="27">
        <v>1</v>
      </c>
      <c r="AG244" s="27">
        <v>0</v>
      </c>
      <c r="AH244" s="27">
        <v>0</v>
      </c>
      <c r="AI244" s="28">
        <v>0</v>
      </c>
      <c r="AK244" s="36">
        <v>211</v>
      </c>
      <c r="AL244" s="33">
        <v>4</v>
      </c>
      <c r="AM244" s="33">
        <v>3</v>
      </c>
      <c r="AN244" s="33">
        <v>4</v>
      </c>
      <c r="AO244" s="33">
        <v>1</v>
      </c>
      <c r="AP244" s="33">
        <v>0</v>
      </c>
      <c r="AQ244" s="33">
        <v>0</v>
      </c>
      <c r="AR244" s="33">
        <v>2</v>
      </c>
      <c r="AS244" s="33">
        <v>14</v>
      </c>
      <c r="AT244" s="33">
        <v>9</v>
      </c>
      <c r="AU244" s="43">
        <v>5.6432269308193936E-2</v>
      </c>
      <c r="AV244" s="33">
        <v>0</v>
      </c>
      <c r="AW244" s="33">
        <v>1</v>
      </c>
      <c r="AY244" s="36">
        <v>216</v>
      </c>
      <c r="AZ244" s="33">
        <v>3</v>
      </c>
      <c r="BA244" s="33">
        <v>4</v>
      </c>
      <c r="BB244" s="33">
        <v>1</v>
      </c>
      <c r="BC244" s="33">
        <v>0</v>
      </c>
      <c r="BD244" s="43">
        <v>0.19464428068138595</v>
      </c>
      <c r="BE244" s="33">
        <v>0</v>
      </c>
      <c r="BF244" s="33">
        <v>0</v>
      </c>
      <c r="CE244" s="36">
        <v>210</v>
      </c>
      <c r="CF244" s="33">
        <v>1</v>
      </c>
      <c r="CG244" s="33">
        <v>3</v>
      </c>
      <c r="CH244" s="33">
        <v>1</v>
      </c>
      <c r="CI244" s="33">
        <v>3</v>
      </c>
      <c r="CJ244" s="33">
        <v>7</v>
      </c>
      <c r="CK244" s="33">
        <v>0</v>
      </c>
      <c r="CL244" s="33">
        <v>1</v>
      </c>
      <c r="CM244" s="33">
        <v>3</v>
      </c>
      <c r="CN244" s="33">
        <v>4</v>
      </c>
      <c r="CO244" s="33">
        <v>0</v>
      </c>
      <c r="CP244" s="43">
        <v>4.0227597877316335E-2</v>
      </c>
      <c r="CQ244" s="33">
        <v>0</v>
      </c>
      <c r="CR244" s="33">
        <v>0</v>
      </c>
    </row>
    <row r="245" spans="1:96" ht="15" customHeight="1" x14ac:dyDescent="0.25">
      <c r="A245" s="26">
        <v>243</v>
      </c>
      <c r="B245" s="27">
        <v>40</v>
      </c>
      <c r="C245" s="27">
        <v>0</v>
      </c>
      <c r="D245" s="27">
        <v>1</v>
      </c>
      <c r="E245" s="27">
        <v>1300</v>
      </c>
      <c r="F245" s="27">
        <v>2</v>
      </c>
      <c r="G245" s="27">
        <v>24</v>
      </c>
      <c r="H245" s="27">
        <v>2</v>
      </c>
      <c r="I245" s="27">
        <v>5</v>
      </c>
      <c r="J245" s="27">
        <v>1</v>
      </c>
      <c r="K245" s="27">
        <v>335</v>
      </c>
      <c r="L245" s="27">
        <v>1</v>
      </c>
      <c r="M245" s="27">
        <v>1</v>
      </c>
      <c r="N245" s="27">
        <v>62</v>
      </c>
      <c r="O245" s="27">
        <v>3</v>
      </c>
      <c r="P245" s="27">
        <v>2</v>
      </c>
      <c r="Q245" s="27">
        <v>2</v>
      </c>
      <c r="R245" s="27">
        <v>4</v>
      </c>
      <c r="S245" s="27">
        <v>3</v>
      </c>
      <c r="T245" s="27">
        <v>3319</v>
      </c>
      <c r="U245" s="27">
        <v>24447</v>
      </c>
      <c r="V245" s="27">
        <v>1</v>
      </c>
      <c r="W245" s="27">
        <v>0</v>
      </c>
      <c r="X245" s="27">
        <v>17</v>
      </c>
      <c r="Y245" s="27">
        <v>3</v>
      </c>
      <c r="Z245" s="27">
        <v>1</v>
      </c>
      <c r="AA245" s="27">
        <v>80</v>
      </c>
      <c r="AB245" s="27">
        <v>2</v>
      </c>
      <c r="AC245" s="27">
        <v>9</v>
      </c>
      <c r="AD245" s="27">
        <v>3</v>
      </c>
      <c r="AE245" s="27">
        <v>3</v>
      </c>
      <c r="AF245" s="27">
        <v>9</v>
      </c>
      <c r="AG245" s="27">
        <v>8</v>
      </c>
      <c r="AH245" s="27">
        <v>4</v>
      </c>
      <c r="AI245" s="28">
        <v>7</v>
      </c>
      <c r="AK245" s="36">
        <v>212</v>
      </c>
      <c r="AL245" s="33">
        <v>1</v>
      </c>
      <c r="AM245" s="33">
        <v>3</v>
      </c>
      <c r="AN245" s="33">
        <v>3</v>
      </c>
      <c r="AO245" s="33">
        <v>1</v>
      </c>
      <c r="AP245" s="33">
        <v>0</v>
      </c>
      <c r="AQ245" s="33">
        <v>0</v>
      </c>
      <c r="AR245" s="33">
        <v>3</v>
      </c>
      <c r="AS245" s="33">
        <v>11</v>
      </c>
      <c r="AT245" s="33">
        <v>5</v>
      </c>
      <c r="AU245" s="43">
        <v>4.3308660395239985E-2</v>
      </c>
      <c r="AV245" s="33">
        <v>0</v>
      </c>
      <c r="AW245" s="33">
        <v>0</v>
      </c>
      <c r="AY245" s="36">
        <v>217</v>
      </c>
      <c r="AZ245" s="33">
        <v>2</v>
      </c>
      <c r="BA245" s="33">
        <v>1</v>
      </c>
      <c r="BB245" s="33">
        <v>0</v>
      </c>
      <c r="BC245" s="33">
        <v>0</v>
      </c>
      <c r="BD245" s="43">
        <v>0.19196561144667343</v>
      </c>
      <c r="BE245" s="33">
        <v>0</v>
      </c>
      <c r="BF245" s="33">
        <v>1</v>
      </c>
      <c r="CE245" s="36">
        <v>211</v>
      </c>
      <c r="CF245" s="33">
        <v>4</v>
      </c>
      <c r="CG245" s="33">
        <v>3</v>
      </c>
      <c r="CH245" s="33">
        <v>4</v>
      </c>
      <c r="CI245" s="33">
        <v>2</v>
      </c>
      <c r="CJ245" s="33">
        <v>1</v>
      </c>
      <c r="CK245" s="33">
        <v>0</v>
      </c>
      <c r="CL245" s="33">
        <v>0</v>
      </c>
      <c r="CM245" s="33">
        <v>2</v>
      </c>
      <c r="CN245" s="33">
        <v>14</v>
      </c>
      <c r="CO245" s="33">
        <v>9</v>
      </c>
      <c r="CP245" s="43">
        <v>4.0345121075913218E-2</v>
      </c>
      <c r="CQ245" s="33">
        <v>0</v>
      </c>
      <c r="CR245" s="33">
        <v>1</v>
      </c>
    </row>
    <row r="246" spans="1:96" ht="15" customHeight="1" x14ac:dyDescent="0.25">
      <c r="A246" s="26">
        <v>244</v>
      </c>
      <c r="B246" s="27">
        <v>45</v>
      </c>
      <c r="C246" s="27">
        <v>0</v>
      </c>
      <c r="D246" s="27">
        <v>1</v>
      </c>
      <c r="E246" s="27">
        <v>252</v>
      </c>
      <c r="F246" s="27">
        <v>2</v>
      </c>
      <c r="G246" s="27">
        <v>1</v>
      </c>
      <c r="H246" s="27">
        <v>3</v>
      </c>
      <c r="I246" s="27">
        <v>6</v>
      </c>
      <c r="J246" s="27">
        <v>1</v>
      </c>
      <c r="K246" s="27">
        <v>336</v>
      </c>
      <c r="L246" s="27">
        <v>3</v>
      </c>
      <c r="M246" s="27">
        <v>1</v>
      </c>
      <c r="N246" s="27">
        <v>70</v>
      </c>
      <c r="O246" s="27">
        <v>4</v>
      </c>
      <c r="P246" s="27">
        <v>5</v>
      </c>
      <c r="Q246" s="27">
        <v>6</v>
      </c>
      <c r="R246" s="27">
        <v>4</v>
      </c>
      <c r="S246" s="27">
        <v>2</v>
      </c>
      <c r="T246" s="27">
        <v>19202</v>
      </c>
      <c r="U246" s="27">
        <v>15970</v>
      </c>
      <c r="V246" s="27">
        <v>0</v>
      </c>
      <c r="W246" s="27">
        <v>0</v>
      </c>
      <c r="X246" s="27">
        <v>11</v>
      </c>
      <c r="Y246" s="27">
        <v>3</v>
      </c>
      <c r="Z246" s="27">
        <v>3</v>
      </c>
      <c r="AA246" s="27">
        <v>80</v>
      </c>
      <c r="AB246" s="27">
        <v>1</v>
      </c>
      <c r="AC246" s="27">
        <v>25</v>
      </c>
      <c r="AD246" s="27">
        <v>2</v>
      </c>
      <c r="AE246" s="27">
        <v>3</v>
      </c>
      <c r="AF246" s="27">
        <v>24</v>
      </c>
      <c r="AG246" s="27">
        <v>0</v>
      </c>
      <c r="AH246" s="27">
        <v>1</v>
      </c>
      <c r="AI246" s="28">
        <v>7</v>
      </c>
      <c r="AK246" s="36">
        <v>213</v>
      </c>
      <c r="AL246" s="33">
        <v>20</v>
      </c>
      <c r="AM246" s="33">
        <v>2</v>
      </c>
      <c r="AN246" s="33">
        <v>3</v>
      </c>
      <c r="AO246" s="33">
        <v>1</v>
      </c>
      <c r="AP246" s="33">
        <v>0</v>
      </c>
      <c r="AQ246" s="33">
        <v>0</v>
      </c>
      <c r="AR246" s="33">
        <v>3</v>
      </c>
      <c r="AS246" s="33">
        <v>7</v>
      </c>
      <c r="AT246" s="33">
        <v>0</v>
      </c>
      <c r="AU246" s="43">
        <v>0.101307133649395</v>
      </c>
      <c r="AV246" s="33">
        <v>0</v>
      </c>
      <c r="AW246" s="33">
        <v>0</v>
      </c>
      <c r="AY246" s="36">
        <v>218</v>
      </c>
      <c r="AZ246" s="33">
        <v>1</v>
      </c>
      <c r="BA246" s="33">
        <v>3</v>
      </c>
      <c r="BB246" s="33">
        <v>0</v>
      </c>
      <c r="BC246" s="33">
        <v>0</v>
      </c>
      <c r="BD246" s="43">
        <v>0.18791247240909698</v>
      </c>
      <c r="BE246" s="33">
        <v>0</v>
      </c>
      <c r="BF246" s="33">
        <v>1</v>
      </c>
      <c r="CE246" s="36">
        <v>212</v>
      </c>
      <c r="CF246" s="33">
        <v>1</v>
      </c>
      <c r="CG246" s="33">
        <v>3</v>
      </c>
      <c r="CH246" s="33">
        <v>3</v>
      </c>
      <c r="CI246" s="33">
        <v>1</v>
      </c>
      <c r="CJ246" s="33">
        <v>1</v>
      </c>
      <c r="CK246" s="33">
        <v>0</v>
      </c>
      <c r="CL246" s="33">
        <v>0</v>
      </c>
      <c r="CM246" s="33">
        <v>3</v>
      </c>
      <c r="CN246" s="33">
        <v>11</v>
      </c>
      <c r="CO246" s="33">
        <v>5</v>
      </c>
      <c r="CP246" s="43">
        <v>5.2108273433142137E-2</v>
      </c>
      <c r="CQ246" s="33">
        <v>0</v>
      </c>
      <c r="CR246" s="33">
        <v>0</v>
      </c>
    </row>
    <row r="247" spans="1:96" ht="15" customHeight="1" x14ac:dyDescent="0.25">
      <c r="A247" s="26">
        <v>245</v>
      </c>
      <c r="B247" s="27">
        <v>31</v>
      </c>
      <c r="C247" s="27">
        <v>0</v>
      </c>
      <c r="D247" s="27">
        <v>2</v>
      </c>
      <c r="E247" s="27">
        <v>1327</v>
      </c>
      <c r="F247" s="27">
        <v>2</v>
      </c>
      <c r="G247" s="27">
        <v>3</v>
      </c>
      <c r="H247" s="27">
        <v>4</v>
      </c>
      <c r="I247" s="27">
        <v>3</v>
      </c>
      <c r="J247" s="27">
        <v>1</v>
      </c>
      <c r="K247" s="27">
        <v>337</v>
      </c>
      <c r="L247" s="27">
        <v>2</v>
      </c>
      <c r="M247" s="27">
        <v>1</v>
      </c>
      <c r="N247" s="27">
        <v>73</v>
      </c>
      <c r="O247" s="27">
        <v>3</v>
      </c>
      <c r="P247" s="27">
        <v>3</v>
      </c>
      <c r="Q247" s="27">
        <v>8</v>
      </c>
      <c r="R247" s="27">
        <v>3</v>
      </c>
      <c r="S247" s="27">
        <v>3</v>
      </c>
      <c r="T247" s="27">
        <v>13675</v>
      </c>
      <c r="U247" s="27">
        <v>13523</v>
      </c>
      <c r="V247" s="27">
        <v>9</v>
      </c>
      <c r="W247" s="27">
        <v>0</v>
      </c>
      <c r="X247" s="27">
        <v>12</v>
      </c>
      <c r="Y247" s="27">
        <v>3</v>
      </c>
      <c r="Z247" s="27">
        <v>1</v>
      </c>
      <c r="AA247" s="27">
        <v>80</v>
      </c>
      <c r="AB247" s="27">
        <v>1</v>
      </c>
      <c r="AC247" s="27">
        <v>9</v>
      </c>
      <c r="AD247" s="27">
        <v>3</v>
      </c>
      <c r="AE247" s="27">
        <v>3</v>
      </c>
      <c r="AF247" s="27">
        <v>2</v>
      </c>
      <c r="AG247" s="27">
        <v>2</v>
      </c>
      <c r="AH247" s="27">
        <v>2</v>
      </c>
      <c r="AI247" s="28">
        <v>2</v>
      </c>
      <c r="AK247" s="36">
        <v>214</v>
      </c>
      <c r="AL247" s="33">
        <v>8</v>
      </c>
      <c r="AM247" s="33">
        <v>3</v>
      </c>
      <c r="AN247" s="33">
        <v>2</v>
      </c>
      <c r="AO247" s="33">
        <v>5</v>
      </c>
      <c r="AP247" s="33">
        <v>0</v>
      </c>
      <c r="AQ247" s="33">
        <v>2</v>
      </c>
      <c r="AR247" s="33">
        <v>1</v>
      </c>
      <c r="AS247" s="33">
        <v>10</v>
      </c>
      <c r="AT247" s="33">
        <v>4</v>
      </c>
      <c r="AU247" s="43">
        <v>5.0110364945944917E-2</v>
      </c>
      <c r="AV247" s="33">
        <v>0</v>
      </c>
      <c r="AW247" s="33">
        <v>0</v>
      </c>
      <c r="AY247" s="36">
        <v>219</v>
      </c>
      <c r="AZ247" s="33">
        <v>3</v>
      </c>
      <c r="BA247" s="33">
        <v>4</v>
      </c>
      <c r="BB247" s="33">
        <v>0</v>
      </c>
      <c r="BC247" s="33">
        <v>0</v>
      </c>
      <c r="BD247" s="43">
        <v>5.3512841598087578E-2</v>
      </c>
      <c r="BE247" s="33">
        <v>0</v>
      </c>
      <c r="BF247" s="33">
        <v>0</v>
      </c>
      <c r="CE247" s="36">
        <v>213</v>
      </c>
      <c r="CF247" s="33">
        <v>20</v>
      </c>
      <c r="CG247" s="33">
        <v>2</v>
      </c>
      <c r="CH247" s="33">
        <v>3</v>
      </c>
      <c r="CI247" s="33">
        <v>1</v>
      </c>
      <c r="CJ247" s="33">
        <v>1</v>
      </c>
      <c r="CK247" s="33">
        <v>0</v>
      </c>
      <c r="CL247" s="33">
        <v>0</v>
      </c>
      <c r="CM247" s="33">
        <v>3</v>
      </c>
      <c r="CN247" s="33">
        <v>7</v>
      </c>
      <c r="CO247" s="33">
        <v>0</v>
      </c>
      <c r="CP247" s="43">
        <v>0.1172336050665794</v>
      </c>
      <c r="CQ247" s="33">
        <v>0</v>
      </c>
      <c r="CR247" s="33">
        <v>0</v>
      </c>
    </row>
    <row r="248" spans="1:96" ht="15" customHeight="1" x14ac:dyDescent="0.25">
      <c r="A248" s="26">
        <v>246</v>
      </c>
      <c r="B248" s="27">
        <v>33</v>
      </c>
      <c r="C248" s="27">
        <v>0</v>
      </c>
      <c r="D248" s="27">
        <v>1</v>
      </c>
      <c r="E248" s="27">
        <v>832</v>
      </c>
      <c r="F248" s="27">
        <v>2</v>
      </c>
      <c r="G248" s="27">
        <v>5</v>
      </c>
      <c r="H248" s="27">
        <v>4</v>
      </c>
      <c r="I248" s="27">
        <v>1</v>
      </c>
      <c r="J248" s="27">
        <v>1</v>
      </c>
      <c r="K248" s="27">
        <v>338</v>
      </c>
      <c r="L248" s="27">
        <v>3</v>
      </c>
      <c r="M248" s="27">
        <v>0</v>
      </c>
      <c r="N248" s="27">
        <v>63</v>
      </c>
      <c r="O248" s="27">
        <v>2</v>
      </c>
      <c r="P248" s="27">
        <v>1</v>
      </c>
      <c r="Q248" s="27">
        <v>2</v>
      </c>
      <c r="R248" s="27">
        <v>4</v>
      </c>
      <c r="S248" s="27">
        <v>2</v>
      </c>
      <c r="T248" s="27">
        <v>2911</v>
      </c>
      <c r="U248" s="27">
        <v>14776</v>
      </c>
      <c r="V248" s="27">
        <v>1</v>
      </c>
      <c r="W248" s="27">
        <v>0</v>
      </c>
      <c r="X248" s="27">
        <v>13</v>
      </c>
      <c r="Y248" s="27">
        <v>3</v>
      </c>
      <c r="Z248" s="27">
        <v>3</v>
      </c>
      <c r="AA248" s="27">
        <v>80</v>
      </c>
      <c r="AB248" s="27">
        <v>1</v>
      </c>
      <c r="AC248" s="27">
        <v>2</v>
      </c>
      <c r="AD248" s="27">
        <v>2</v>
      </c>
      <c r="AE248" s="27">
        <v>2</v>
      </c>
      <c r="AF248" s="27">
        <v>2</v>
      </c>
      <c r="AG248" s="27">
        <v>2</v>
      </c>
      <c r="AH248" s="27">
        <v>0</v>
      </c>
      <c r="AI248" s="28">
        <v>2</v>
      </c>
      <c r="AK248" s="36">
        <v>215</v>
      </c>
      <c r="AL248" s="33">
        <v>3</v>
      </c>
      <c r="AM248" s="33">
        <v>1</v>
      </c>
      <c r="AN248" s="33">
        <v>1</v>
      </c>
      <c r="AO248" s="33">
        <v>5</v>
      </c>
      <c r="AP248" s="33">
        <v>1</v>
      </c>
      <c r="AQ248" s="33">
        <v>0</v>
      </c>
      <c r="AR248" s="33">
        <v>3</v>
      </c>
      <c r="AS248" s="33">
        <v>5</v>
      </c>
      <c r="AT248" s="33">
        <v>0</v>
      </c>
      <c r="AU248" s="43">
        <v>0.58333438234618074</v>
      </c>
      <c r="AV248" s="33">
        <v>1</v>
      </c>
      <c r="AW248" s="33">
        <v>1</v>
      </c>
      <c r="AY248" s="36">
        <v>220</v>
      </c>
      <c r="AZ248" s="33">
        <v>2</v>
      </c>
      <c r="BA248" s="33">
        <v>1</v>
      </c>
      <c r="BB248" s="33">
        <v>0</v>
      </c>
      <c r="BC248" s="33">
        <v>1</v>
      </c>
      <c r="BD248" s="43">
        <v>0.12293502213131684</v>
      </c>
      <c r="BE248" s="33">
        <v>0</v>
      </c>
      <c r="BF248" s="33">
        <v>0</v>
      </c>
      <c r="CE248" s="36">
        <v>214</v>
      </c>
      <c r="CF248" s="33">
        <v>8</v>
      </c>
      <c r="CG248" s="33">
        <v>3</v>
      </c>
      <c r="CH248" s="33">
        <v>2</v>
      </c>
      <c r="CI248" s="33">
        <v>2</v>
      </c>
      <c r="CJ248" s="33">
        <v>5</v>
      </c>
      <c r="CK248" s="33">
        <v>0</v>
      </c>
      <c r="CL248" s="33">
        <v>2</v>
      </c>
      <c r="CM248" s="33">
        <v>1</v>
      </c>
      <c r="CN248" s="33">
        <v>10</v>
      </c>
      <c r="CO248" s="33">
        <v>4</v>
      </c>
      <c r="CP248" s="43">
        <v>7.1629198007208378E-2</v>
      </c>
      <c r="CQ248" s="33">
        <v>0</v>
      </c>
      <c r="CR248" s="33">
        <v>0</v>
      </c>
    </row>
    <row r="249" spans="1:96" ht="15" customHeight="1" x14ac:dyDescent="0.25">
      <c r="A249" s="26">
        <v>247</v>
      </c>
      <c r="B249" s="27">
        <v>34</v>
      </c>
      <c r="C249" s="27">
        <v>0</v>
      </c>
      <c r="D249" s="27">
        <v>1</v>
      </c>
      <c r="E249" s="27">
        <v>470</v>
      </c>
      <c r="F249" s="27">
        <v>2</v>
      </c>
      <c r="G249" s="27">
        <v>2</v>
      </c>
      <c r="H249" s="27">
        <v>4</v>
      </c>
      <c r="I249" s="27">
        <v>1</v>
      </c>
      <c r="J249" s="27">
        <v>1</v>
      </c>
      <c r="K249" s="27">
        <v>339</v>
      </c>
      <c r="L249" s="27">
        <v>4</v>
      </c>
      <c r="M249" s="27">
        <v>1</v>
      </c>
      <c r="N249" s="27">
        <v>84</v>
      </c>
      <c r="O249" s="27">
        <v>2</v>
      </c>
      <c r="P249" s="27">
        <v>2</v>
      </c>
      <c r="Q249" s="27">
        <v>4</v>
      </c>
      <c r="R249" s="27">
        <v>1</v>
      </c>
      <c r="S249" s="27">
        <v>2</v>
      </c>
      <c r="T249" s="27">
        <v>5957</v>
      </c>
      <c r="U249" s="27">
        <v>23687</v>
      </c>
      <c r="V249" s="27">
        <v>6</v>
      </c>
      <c r="W249" s="27">
        <v>0</v>
      </c>
      <c r="X249" s="27">
        <v>13</v>
      </c>
      <c r="Y249" s="27">
        <v>3</v>
      </c>
      <c r="Z249" s="27">
        <v>2</v>
      </c>
      <c r="AA249" s="27">
        <v>80</v>
      </c>
      <c r="AB249" s="27">
        <v>1</v>
      </c>
      <c r="AC249" s="27">
        <v>13</v>
      </c>
      <c r="AD249" s="27">
        <v>3</v>
      </c>
      <c r="AE249" s="27">
        <v>3</v>
      </c>
      <c r="AF249" s="27">
        <v>11</v>
      </c>
      <c r="AG249" s="27">
        <v>9</v>
      </c>
      <c r="AH249" s="27">
        <v>5</v>
      </c>
      <c r="AI249" s="28">
        <v>9</v>
      </c>
      <c r="AK249" s="36">
        <v>216</v>
      </c>
      <c r="AL249" s="33">
        <v>6</v>
      </c>
      <c r="AM249" s="33">
        <v>3</v>
      </c>
      <c r="AN249" s="33">
        <v>4</v>
      </c>
      <c r="AO249" s="33">
        <v>3</v>
      </c>
      <c r="AP249" s="33">
        <v>1</v>
      </c>
      <c r="AQ249" s="33">
        <v>0</v>
      </c>
      <c r="AR249" s="33">
        <v>3</v>
      </c>
      <c r="AS249" s="33">
        <v>1</v>
      </c>
      <c r="AT249" s="33">
        <v>0</v>
      </c>
      <c r="AU249" s="43">
        <v>0.1944408538335187</v>
      </c>
      <c r="AV249" s="33">
        <v>0</v>
      </c>
      <c r="AW249" s="33">
        <v>0</v>
      </c>
      <c r="AY249" s="36">
        <v>221</v>
      </c>
      <c r="AZ249" s="33">
        <v>2</v>
      </c>
      <c r="BA249" s="33">
        <v>2</v>
      </c>
      <c r="BB249" s="33">
        <v>0</v>
      </c>
      <c r="BC249" s="33">
        <v>0</v>
      </c>
      <c r="BD249" s="43">
        <v>0.15063023792355215</v>
      </c>
      <c r="BE249" s="33">
        <v>0</v>
      </c>
      <c r="BF249" s="33">
        <v>0</v>
      </c>
      <c r="CE249" s="36">
        <v>215</v>
      </c>
      <c r="CF249" s="33">
        <v>3</v>
      </c>
      <c r="CG249" s="33">
        <v>1</v>
      </c>
      <c r="CH249" s="33">
        <v>1</v>
      </c>
      <c r="CI249" s="33">
        <v>1</v>
      </c>
      <c r="CJ249" s="33">
        <v>5</v>
      </c>
      <c r="CK249" s="33">
        <v>1</v>
      </c>
      <c r="CL249" s="33">
        <v>0</v>
      </c>
      <c r="CM249" s="33">
        <v>3</v>
      </c>
      <c r="CN249" s="33">
        <v>5</v>
      </c>
      <c r="CO249" s="33">
        <v>0</v>
      </c>
      <c r="CP249" s="43">
        <v>0.64070168579095832</v>
      </c>
      <c r="CQ249" s="33">
        <v>1</v>
      </c>
      <c r="CR249" s="33">
        <v>1</v>
      </c>
    </row>
    <row r="250" spans="1:96" ht="15" customHeight="1" x14ac:dyDescent="0.25">
      <c r="A250" s="26">
        <v>248</v>
      </c>
      <c r="B250" s="27">
        <v>37</v>
      </c>
      <c r="C250" s="27">
        <v>0</v>
      </c>
      <c r="D250" s="27">
        <v>1</v>
      </c>
      <c r="E250" s="27">
        <v>1017</v>
      </c>
      <c r="F250" s="27">
        <v>2</v>
      </c>
      <c r="G250" s="27">
        <v>1</v>
      </c>
      <c r="H250" s="27">
        <v>2</v>
      </c>
      <c r="I250" s="27">
        <v>3</v>
      </c>
      <c r="J250" s="27">
        <v>1</v>
      </c>
      <c r="K250" s="27">
        <v>340</v>
      </c>
      <c r="L250" s="27">
        <v>3</v>
      </c>
      <c r="M250" s="27">
        <v>0</v>
      </c>
      <c r="N250" s="27">
        <v>83</v>
      </c>
      <c r="O250" s="27">
        <v>2</v>
      </c>
      <c r="P250" s="27">
        <v>1</v>
      </c>
      <c r="Q250" s="27">
        <v>2</v>
      </c>
      <c r="R250" s="27">
        <v>1</v>
      </c>
      <c r="S250" s="27">
        <v>2</v>
      </c>
      <c r="T250" s="27">
        <v>3920</v>
      </c>
      <c r="U250" s="27">
        <v>18697</v>
      </c>
      <c r="V250" s="27">
        <v>2</v>
      </c>
      <c r="W250" s="27">
        <v>0</v>
      </c>
      <c r="X250" s="27">
        <v>14</v>
      </c>
      <c r="Y250" s="27">
        <v>3</v>
      </c>
      <c r="Z250" s="27">
        <v>1</v>
      </c>
      <c r="AA250" s="27">
        <v>80</v>
      </c>
      <c r="AB250" s="27">
        <v>1</v>
      </c>
      <c r="AC250" s="27">
        <v>17</v>
      </c>
      <c r="AD250" s="27">
        <v>2</v>
      </c>
      <c r="AE250" s="27">
        <v>2</v>
      </c>
      <c r="AF250" s="27">
        <v>3</v>
      </c>
      <c r="AG250" s="27">
        <v>1</v>
      </c>
      <c r="AH250" s="27">
        <v>0</v>
      </c>
      <c r="AI250" s="28">
        <v>2</v>
      </c>
      <c r="AK250" s="36">
        <v>217</v>
      </c>
      <c r="AL250" s="33">
        <v>26</v>
      </c>
      <c r="AM250" s="33">
        <v>2</v>
      </c>
      <c r="AN250" s="33">
        <v>1</v>
      </c>
      <c r="AO250" s="33">
        <v>5</v>
      </c>
      <c r="AP250" s="33">
        <v>0</v>
      </c>
      <c r="AQ250" s="33">
        <v>0</v>
      </c>
      <c r="AR250" s="33">
        <v>2</v>
      </c>
      <c r="AS250" s="33">
        <v>6</v>
      </c>
      <c r="AT250" s="33">
        <v>0</v>
      </c>
      <c r="AU250" s="43">
        <v>0.31944457410151184</v>
      </c>
      <c r="AV250" s="33">
        <v>0</v>
      </c>
      <c r="AW250" s="33">
        <v>1</v>
      </c>
      <c r="AY250" s="36">
        <v>222</v>
      </c>
      <c r="AZ250" s="33">
        <v>1</v>
      </c>
      <c r="BA250" s="33">
        <v>2</v>
      </c>
      <c r="BB250" s="33">
        <v>0</v>
      </c>
      <c r="BC250" s="33">
        <v>0</v>
      </c>
      <c r="BD250" s="43">
        <v>0.23662845161334917</v>
      </c>
      <c r="BE250" s="33">
        <v>0</v>
      </c>
      <c r="BF250" s="33">
        <v>0</v>
      </c>
      <c r="CE250" s="36">
        <v>216</v>
      </c>
      <c r="CF250" s="33">
        <v>6</v>
      </c>
      <c r="CG250" s="33">
        <v>3</v>
      </c>
      <c r="CH250" s="33">
        <v>4</v>
      </c>
      <c r="CI250" s="33">
        <v>1</v>
      </c>
      <c r="CJ250" s="33">
        <v>3</v>
      </c>
      <c r="CK250" s="33">
        <v>1</v>
      </c>
      <c r="CL250" s="33">
        <v>0</v>
      </c>
      <c r="CM250" s="33">
        <v>3</v>
      </c>
      <c r="CN250" s="33">
        <v>1</v>
      </c>
      <c r="CO250" s="33">
        <v>0</v>
      </c>
      <c r="CP250" s="43">
        <v>0.22906193323419854</v>
      </c>
      <c r="CQ250" s="33">
        <v>0</v>
      </c>
      <c r="CR250" s="33">
        <v>0</v>
      </c>
    </row>
    <row r="251" spans="1:96" ht="15" customHeight="1" x14ac:dyDescent="0.25">
      <c r="A251" s="26">
        <v>249</v>
      </c>
      <c r="B251" s="27">
        <v>45</v>
      </c>
      <c r="C251" s="27">
        <v>0</v>
      </c>
      <c r="D251" s="27">
        <v>2</v>
      </c>
      <c r="E251" s="27">
        <v>1199</v>
      </c>
      <c r="F251" s="27">
        <v>2</v>
      </c>
      <c r="G251" s="27">
        <v>7</v>
      </c>
      <c r="H251" s="27">
        <v>4</v>
      </c>
      <c r="I251" s="27">
        <v>1</v>
      </c>
      <c r="J251" s="27">
        <v>1</v>
      </c>
      <c r="K251" s="27">
        <v>341</v>
      </c>
      <c r="L251" s="27">
        <v>1</v>
      </c>
      <c r="M251" s="27">
        <v>1</v>
      </c>
      <c r="N251" s="27">
        <v>77</v>
      </c>
      <c r="O251" s="27">
        <v>4</v>
      </c>
      <c r="P251" s="27">
        <v>2</v>
      </c>
      <c r="Q251" s="27">
        <v>4</v>
      </c>
      <c r="R251" s="27">
        <v>3</v>
      </c>
      <c r="S251" s="27">
        <v>2</v>
      </c>
      <c r="T251" s="27">
        <v>6434</v>
      </c>
      <c r="U251" s="27">
        <v>5118</v>
      </c>
      <c r="V251" s="27">
        <v>4</v>
      </c>
      <c r="W251" s="27">
        <v>0</v>
      </c>
      <c r="X251" s="27">
        <v>17</v>
      </c>
      <c r="Y251" s="27">
        <v>3</v>
      </c>
      <c r="Z251" s="27">
        <v>4</v>
      </c>
      <c r="AA251" s="27">
        <v>80</v>
      </c>
      <c r="AB251" s="27">
        <v>1</v>
      </c>
      <c r="AC251" s="27">
        <v>9</v>
      </c>
      <c r="AD251" s="27">
        <v>1</v>
      </c>
      <c r="AE251" s="27">
        <v>3</v>
      </c>
      <c r="AF251" s="27">
        <v>3</v>
      </c>
      <c r="AG251" s="27">
        <v>2</v>
      </c>
      <c r="AH251" s="27">
        <v>0</v>
      </c>
      <c r="AI251" s="28">
        <v>2</v>
      </c>
      <c r="AK251" s="36">
        <v>218</v>
      </c>
      <c r="AL251" s="33">
        <v>1</v>
      </c>
      <c r="AM251" s="33">
        <v>1</v>
      </c>
      <c r="AN251" s="33">
        <v>3</v>
      </c>
      <c r="AO251" s="33">
        <v>0</v>
      </c>
      <c r="AP251" s="33">
        <v>0</v>
      </c>
      <c r="AQ251" s="33">
        <v>0</v>
      </c>
      <c r="AR251" s="33">
        <v>2</v>
      </c>
      <c r="AS251" s="33">
        <v>6</v>
      </c>
      <c r="AT251" s="33">
        <v>1</v>
      </c>
      <c r="AU251" s="43">
        <v>0.12605646125529699</v>
      </c>
      <c r="AV251" s="33">
        <v>0</v>
      </c>
      <c r="AW251" s="33">
        <v>1</v>
      </c>
      <c r="AY251" s="36">
        <v>223</v>
      </c>
      <c r="AZ251" s="33">
        <v>3</v>
      </c>
      <c r="BA251" s="33">
        <v>4</v>
      </c>
      <c r="BB251" s="33">
        <v>1</v>
      </c>
      <c r="BC251" s="33">
        <v>3</v>
      </c>
      <c r="BD251" s="43">
        <v>4.7289594873315265E-2</v>
      </c>
      <c r="BE251" s="33">
        <v>0</v>
      </c>
      <c r="BF251" s="33">
        <v>0</v>
      </c>
      <c r="CE251" s="36">
        <v>217</v>
      </c>
      <c r="CF251" s="33">
        <v>26</v>
      </c>
      <c r="CG251" s="33">
        <v>2</v>
      </c>
      <c r="CH251" s="33">
        <v>1</v>
      </c>
      <c r="CI251" s="33">
        <v>1</v>
      </c>
      <c r="CJ251" s="33">
        <v>5</v>
      </c>
      <c r="CK251" s="33">
        <v>0</v>
      </c>
      <c r="CL251" s="33">
        <v>0</v>
      </c>
      <c r="CM251" s="33">
        <v>2</v>
      </c>
      <c r="CN251" s="33">
        <v>6</v>
      </c>
      <c r="CO251" s="33">
        <v>0</v>
      </c>
      <c r="CP251" s="43">
        <v>0.36939768306162335</v>
      </c>
      <c r="CQ251" s="33">
        <v>0</v>
      </c>
      <c r="CR251" s="33">
        <v>1</v>
      </c>
    </row>
    <row r="252" spans="1:96" ht="15" customHeight="1" x14ac:dyDescent="0.25">
      <c r="A252" s="26">
        <v>250</v>
      </c>
      <c r="B252" s="27">
        <v>37</v>
      </c>
      <c r="C252" s="27">
        <v>1</v>
      </c>
      <c r="D252" s="27">
        <v>2</v>
      </c>
      <c r="E252" s="27">
        <v>504</v>
      </c>
      <c r="F252" s="27">
        <v>2</v>
      </c>
      <c r="G252" s="27">
        <v>10</v>
      </c>
      <c r="H252" s="27">
        <v>3</v>
      </c>
      <c r="I252" s="27">
        <v>3</v>
      </c>
      <c r="J252" s="27">
        <v>1</v>
      </c>
      <c r="K252" s="27">
        <v>342</v>
      </c>
      <c r="L252" s="27">
        <v>1</v>
      </c>
      <c r="M252" s="27">
        <v>1</v>
      </c>
      <c r="N252" s="27">
        <v>61</v>
      </c>
      <c r="O252" s="27">
        <v>3</v>
      </c>
      <c r="P252" s="27">
        <v>3</v>
      </c>
      <c r="Q252" s="27">
        <v>4</v>
      </c>
      <c r="R252" s="27">
        <v>3</v>
      </c>
      <c r="S252" s="27">
        <v>3</v>
      </c>
      <c r="T252" s="27">
        <v>10048</v>
      </c>
      <c r="U252" s="27">
        <v>22573</v>
      </c>
      <c r="V252" s="27">
        <v>6</v>
      </c>
      <c r="W252" s="27">
        <v>0</v>
      </c>
      <c r="X252" s="27">
        <v>11</v>
      </c>
      <c r="Y252" s="27">
        <v>3</v>
      </c>
      <c r="Z252" s="27">
        <v>2</v>
      </c>
      <c r="AA252" s="27">
        <v>80</v>
      </c>
      <c r="AB252" s="27">
        <v>2</v>
      </c>
      <c r="AC252" s="27">
        <v>17</v>
      </c>
      <c r="AD252" s="27">
        <v>5</v>
      </c>
      <c r="AE252" s="27">
        <v>3</v>
      </c>
      <c r="AF252" s="27">
        <v>1</v>
      </c>
      <c r="AG252" s="27">
        <v>0</v>
      </c>
      <c r="AH252" s="27">
        <v>0</v>
      </c>
      <c r="AI252" s="28">
        <v>0</v>
      </c>
      <c r="AK252" s="36">
        <v>219</v>
      </c>
      <c r="AL252" s="33">
        <v>6</v>
      </c>
      <c r="AM252" s="33">
        <v>3</v>
      </c>
      <c r="AN252" s="33">
        <v>4</v>
      </c>
      <c r="AO252" s="33">
        <v>6</v>
      </c>
      <c r="AP252" s="33">
        <v>0</v>
      </c>
      <c r="AQ252" s="33">
        <v>0</v>
      </c>
      <c r="AR252" s="33">
        <v>3</v>
      </c>
      <c r="AS252" s="33">
        <v>19</v>
      </c>
      <c r="AT252" s="33">
        <v>12</v>
      </c>
      <c r="AU252" s="43">
        <v>7.0277399241190322E-2</v>
      </c>
      <c r="AV252" s="33">
        <v>0</v>
      </c>
      <c r="AW252" s="33">
        <v>0</v>
      </c>
      <c r="AY252" s="36">
        <v>224</v>
      </c>
      <c r="AZ252" s="33">
        <v>3</v>
      </c>
      <c r="BA252" s="33">
        <v>3</v>
      </c>
      <c r="BB252" s="33">
        <v>0</v>
      </c>
      <c r="BC252" s="33">
        <v>2</v>
      </c>
      <c r="BD252" s="43">
        <v>2.5687411947183297E-2</v>
      </c>
      <c r="BE252" s="33">
        <v>0</v>
      </c>
      <c r="BF252" s="33">
        <v>0</v>
      </c>
      <c r="CE252" s="36">
        <v>218</v>
      </c>
      <c r="CF252" s="33">
        <v>1</v>
      </c>
      <c r="CG252" s="33">
        <v>1</v>
      </c>
      <c r="CH252" s="33">
        <v>3</v>
      </c>
      <c r="CI252" s="33">
        <v>1</v>
      </c>
      <c r="CJ252" s="33">
        <v>0</v>
      </c>
      <c r="CK252" s="33">
        <v>0</v>
      </c>
      <c r="CL252" s="33">
        <v>0</v>
      </c>
      <c r="CM252" s="33">
        <v>2</v>
      </c>
      <c r="CN252" s="33">
        <v>6</v>
      </c>
      <c r="CO252" s="33">
        <v>1</v>
      </c>
      <c r="CP252" s="43">
        <v>0.14685347173021079</v>
      </c>
      <c r="CQ252" s="33">
        <v>0</v>
      </c>
      <c r="CR252" s="33">
        <v>1</v>
      </c>
    </row>
    <row r="253" spans="1:96" ht="15" customHeight="1" x14ac:dyDescent="0.25">
      <c r="A253" s="26">
        <v>251</v>
      </c>
      <c r="B253" s="27">
        <v>39</v>
      </c>
      <c r="C253" s="27">
        <v>0</v>
      </c>
      <c r="D253" s="27">
        <v>2</v>
      </c>
      <c r="E253" s="27">
        <v>505</v>
      </c>
      <c r="F253" s="27">
        <v>2</v>
      </c>
      <c r="G253" s="27">
        <v>2</v>
      </c>
      <c r="H253" s="27">
        <v>4</v>
      </c>
      <c r="I253" s="27">
        <v>5</v>
      </c>
      <c r="J253" s="27">
        <v>1</v>
      </c>
      <c r="K253" s="27">
        <v>343</v>
      </c>
      <c r="L253" s="27">
        <v>3</v>
      </c>
      <c r="M253" s="27">
        <v>0</v>
      </c>
      <c r="N253" s="27">
        <v>64</v>
      </c>
      <c r="O253" s="27">
        <v>3</v>
      </c>
      <c r="P253" s="27">
        <v>3</v>
      </c>
      <c r="Q253" s="27">
        <v>5</v>
      </c>
      <c r="R253" s="27">
        <v>3</v>
      </c>
      <c r="S253" s="27">
        <v>1</v>
      </c>
      <c r="T253" s="27">
        <v>10938</v>
      </c>
      <c r="U253" s="27">
        <v>6420</v>
      </c>
      <c r="V253" s="27">
        <v>0</v>
      </c>
      <c r="W253" s="27">
        <v>0</v>
      </c>
      <c r="X253" s="27">
        <v>25</v>
      </c>
      <c r="Y253" s="27">
        <v>4</v>
      </c>
      <c r="Z253" s="27">
        <v>4</v>
      </c>
      <c r="AA253" s="27">
        <v>80</v>
      </c>
      <c r="AB253" s="27">
        <v>0</v>
      </c>
      <c r="AC253" s="27">
        <v>20</v>
      </c>
      <c r="AD253" s="27">
        <v>1</v>
      </c>
      <c r="AE253" s="27">
        <v>3</v>
      </c>
      <c r="AF253" s="27">
        <v>19</v>
      </c>
      <c r="AG253" s="27">
        <v>6</v>
      </c>
      <c r="AH253" s="27">
        <v>11</v>
      </c>
      <c r="AI253" s="28">
        <v>8</v>
      </c>
      <c r="AK253" s="36">
        <v>220</v>
      </c>
      <c r="AL253" s="33">
        <v>3</v>
      </c>
      <c r="AM253" s="33">
        <v>2</v>
      </c>
      <c r="AN253" s="33">
        <v>1</v>
      </c>
      <c r="AO253" s="33">
        <v>2</v>
      </c>
      <c r="AP253" s="33">
        <v>0</v>
      </c>
      <c r="AQ253" s="33">
        <v>1</v>
      </c>
      <c r="AR253" s="33">
        <v>3</v>
      </c>
      <c r="AS253" s="33">
        <v>6</v>
      </c>
      <c r="AT253" s="33">
        <v>0</v>
      </c>
      <c r="AU253" s="43">
        <v>7.0333446217376125E-2</v>
      </c>
      <c r="AV253" s="33">
        <v>0</v>
      </c>
      <c r="AW253" s="33">
        <v>0</v>
      </c>
      <c r="AY253" s="36">
        <v>225</v>
      </c>
      <c r="AZ253" s="33">
        <v>2</v>
      </c>
      <c r="BA253" s="33">
        <v>3</v>
      </c>
      <c r="BB253" s="33">
        <v>0</v>
      </c>
      <c r="BC253" s="33">
        <v>1</v>
      </c>
      <c r="BD253" s="43">
        <v>7.244788656931947E-2</v>
      </c>
      <c r="BE253" s="33">
        <v>0</v>
      </c>
      <c r="BF253" s="33">
        <v>0</v>
      </c>
      <c r="CE253" s="36">
        <v>219</v>
      </c>
      <c r="CF253" s="33">
        <v>6</v>
      </c>
      <c r="CG253" s="33">
        <v>3</v>
      </c>
      <c r="CH253" s="33">
        <v>4</v>
      </c>
      <c r="CI253" s="33">
        <v>1</v>
      </c>
      <c r="CJ253" s="33">
        <v>6</v>
      </c>
      <c r="CK253" s="33">
        <v>0</v>
      </c>
      <c r="CL253" s="33">
        <v>0</v>
      </c>
      <c r="CM253" s="33">
        <v>3</v>
      </c>
      <c r="CN253" s="33">
        <v>19</v>
      </c>
      <c r="CO253" s="33">
        <v>12</v>
      </c>
      <c r="CP253" s="43">
        <v>8.4432840486656155E-2</v>
      </c>
      <c r="CQ253" s="33">
        <v>0</v>
      </c>
      <c r="CR253" s="33">
        <v>0</v>
      </c>
    </row>
    <row r="254" spans="1:96" ht="15" customHeight="1" x14ac:dyDescent="0.25">
      <c r="A254" s="26">
        <v>252</v>
      </c>
      <c r="B254" s="27">
        <v>29</v>
      </c>
      <c r="C254" s="27">
        <v>0</v>
      </c>
      <c r="D254" s="27">
        <v>1</v>
      </c>
      <c r="E254" s="27">
        <v>665</v>
      </c>
      <c r="F254" s="27">
        <v>2</v>
      </c>
      <c r="G254" s="27">
        <v>15</v>
      </c>
      <c r="H254" s="27">
        <v>3</v>
      </c>
      <c r="I254" s="27">
        <v>1</v>
      </c>
      <c r="J254" s="27">
        <v>1</v>
      </c>
      <c r="K254" s="27">
        <v>346</v>
      </c>
      <c r="L254" s="27">
        <v>3</v>
      </c>
      <c r="M254" s="27">
        <v>1</v>
      </c>
      <c r="N254" s="27">
        <v>60</v>
      </c>
      <c r="O254" s="27">
        <v>3</v>
      </c>
      <c r="P254" s="27">
        <v>1</v>
      </c>
      <c r="Q254" s="27">
        <v>2</v>
      </c>
      <c r="R254" s="27">
        <v>4</v>
      </c>
      <c r="S254" s="27">
        <v>1</v>
      </c>
      <c r="T254" s="27">
        <v>2340</v>
      </c>
      <c r="U254" s="27">
        <v>22673</v>
      </c>
      <c r="V254" s="27">
        <v>1</v>
      </c>
      <c r="W254" s="27">
        <v>0</v>
      </c>
      <c r="X254" s="27">
        <v>19</v>
      </c>
      <c r="Y254" s="27">
        <v>3</v>
      </c>
      <c r="Z254" s="27">
        <v>1</v>
      </c>
      <c r="AA254" s="27">
        <v>80</v>
      </c>
      <c r="AB254" s="27">
        <v>0</v>
      </c>
      <c r="AC254" s="27">
        <v>6</v>
      </c>
      <c r="AD254" s="27">
        <v>1</v>
      </c>
      <c r="AE254" s="27">
        <v>3</v>
      </c>
      <c r="AF254" s="27">
        <v>6</v>
      </c>
      <c r="AG254" s="27">
        <v>5</v>
      </c>
      <c r="AH254" s="27">
        <v>1</v>
      </c>
      <c r="AI254" s="28">
        <v>5</v>
      </c>
      <c r="AK254" s="36">
        <v>221</v>
      </c>
      <c r="AL254" s="33">
        <v>5</v>
      </c>
      <c r="AM254" s="33">
        <v>2</v>
      </c>
      <c r="AN254" s="33">
        <v>2</v>
      </c>
      <c r="AO254" s="33">
        <v>8</v>
      </c>
      <c r="AP254" s="33">
        <v>0</v>
      </c>
      <c r="AQ254" s="33">
        <v>0</v>
      </c>
      <c r="AR254" s="33">
        <v>4</v>
      </c>
      <c r="AS254" s="33">
        <v>13</v>
      </c>
      <c r="AT254" s="33">
        <v>3</v>
      </c>
      <c r="AU254" s="43">
        <v>0.10597648602455004</v>
      </c>
      <c r="AV254" s="33">
        <v>0</v>
      </c>
      <c r="AW254" s="33">
        <v>0</v>
      </c>
      <c r="AY254" s="36">
        <v>226</v>
      </c>
      <c r="AZ254" s="33">
        <v>1</v>
      </c>
      <c r="BA254" s="33">
        <v>4</v>
      </c>
      <c r="BB254" s="33">
        <v>0</v>
      </c>
      <c r="BC254" s="33">
        <v>1</v>
      </c>
      <c r="BD254" s="43">
        <v>9.2486413274924434E-2</v>
      </c>
      <c r="BE254" s="33">
        <v>0</v>
      </c>
      <c r="BF254" s="33">
        <v>0</v>
      </c>
      <c r="CE254" s="36">
        <v>220</v>
      </c>
      <c r="CF254" s="33">
        <v>3</v>
      </c>
      <c r="CG254" s="33">
        <v>2</v>
      </c>
      <c r="CH254" s="33">
        <v>1</v>
      </c>
      <c r="CI254" s="33">
        <v>2</v>
      </c>
      <c r="CJ254" s="33">
        <v>2</v>
      </c>
      <c r="CK254" s="33">
        <v>0</v>
      </c>
      <c r="CL254" s="33">
        <v>1</v>
      </c>
      <c r="CM254" s="33">
        <v>3</v>
      </c>
      <c r="CN254" s="33">
        <v>6</v>
      </c>
      <c r="CO254" s="33">
        <v>0</v>
      </c>
      <c r="CP254" s="43">
        <v>7.0182752391129422E-2</v>
      </c>
      <c r="CQ254" s="33">
        <v>0</v>
      </c>
      <c r="CR254" s="33">
        <v>0</v>
      </c>
    </row>
    <row r="255" spans="1:96" ht="15" customHeight="1" x14ac:dyDescent="0.25">
      <c r="A255" s="26">
        <v>253</v>
      </c>
      <c r="B255" s="27">
        <v>42</v>
      </c>
      <c r="C255" s="27">
        <v>0</v>
      </c>
      <c r="D255" s="27">
        <v>1</v>
      </c>
      <c r="E255" s="27">
        <v>916</v>
      </c>
      <c r="F255" s="27">
        <v>2</v>
      </c>
      <c r="G255" s="27">
        <v>17</v>
      </c>
      <c r="H255" s="27">
        <v>2</v>
      </c>
      <c r="I255" s="27">
        <v>1</v>
      </c>
      <c r="J255" s="27">
        <v>1</v>
      </c>
      <c r="K255" s="27">
        <v>347</v>
      </c>
      <c r="L255" s="27">
        <v>4</v>
      </c>
      <c r="M255" s="27">
        <v>0</v>
      </c>
      <c r="N255" s="27">
        <v>82</v>
      </c>
      <c r="O255" s="27">
        <v>4</v>
      </c>
      <c r="P255" s="27">
        <v>2</v>
      </c>
      <c r="Q255" s="27">
        <v>2</v>
      </c>
      <c r="R255" s="27">
        <v>1</v>
      </c>
      <c r="S255" s="27">
        <v>1</v>
      </c>
      <c r="T255" s="27">
        <v>6545</v>
      </c>
      <c r="U255" s="27">
        <v>23016</v>
      </c>
      <c r="V255" s="27">
        <v>3</v>
      </c>
      <c r="W255" s="27">
        <v>1</v>
      </c>
      <c r="X255" s="27">
        <v>13</v>
      </c>
      <c r="Y255" s="27">
        <v>3</v>
      </c>
      <c r="Z255" s="27">
        <v>3</v>
      </c>
      <c r="AA255" s="27">
        <v>80</v>
      </c>
      <c r="AB255" s="27">
        <v>0</v>
      </c>
      <c r="AC255" s="27">
        <v>10</v>
      </c>
      <c r="AD255" s="27">
        <v>1</v>
      </c>
      <c r="AE255" s="27">
        <v>3</v>
      </c>
      <c r="AF255" s="27">
        <v>3</v>
      </c>
      <c r="AG255" s="27">
        <v>2</v>
      </c>
      <c r="AH255" s="27">
        <v>0</v>
      </c>
      <c r="AI255" s="28">
        <v>2</v>
      </c>
      <c r="AK255" s="36">
        <v>222</v>
      </c>
      <c r="AL255" s="33">
        <v>4</v>
      </c>
      <c r="AM255" s="33">
        <v>1</v>
      </c>
      <c r="AN255" s="33">
        <v>2</v>
      </c>
      <c r="AO255" s="33">
        <v>6</v>
      </c>
      <c r="AP255" s="33">
        <v>0</v>
      </c>
      <c r="AQ255" s="33">
        <v>0</v>
      </c>
      <c r="AR255" s="33">
        <v>3</v>
      </c>
      <c r="AS255" s="33">
        <v>3</v>
      </c>
      <c r="AT255" s="33">
        <v>1</v>
      </c>
      <c r="AU255" s="43">
        <v>0.25814145497178503</v>
      </c>
      <c r="AV255" s="33">
        <v>0</v>
      </c>
      <c r="AW255" s="33">
        <v>0</v>
      </c>
      <c r="AY255" s="36">
        <v>227</v>
      </c>
      <c r="AZ255" s="33">
        <v>1</v>
      </c>
      <c r="BA255" s="33">
        <v>4</v>
      </c>
      <c r="BB255" s="33">
        <v>0</v>
      </c>
      <c r="BC255" s="33">
        <v>1</v>
      </c>
      <c r="BD255" s="43">
        <v>9.2486413274924434E-2</v>
      </c>
      <c r="BE255" s="33">
        <v>0</v>
      </c>
      <c r="BF255" s="33">
        <v>0</v>
      </c>
      <c r="CE255" s="36">
        <v>221</v>
      </c>
      <c r="CF255" s="33">
        <v>5</v>
      </c>
      <c r="CG255" s="33">
        <v>2</v>
      </c>
      <c r="CH255" s="33">
        <v>2</v>
      </c>
      <c r="CI255" s="33">
        <v>1</v>
      </c>
      <c r="CJ255" s="33">
        <v>8</v>
      </c>
      <c r="CK255" s="33">
        <v>0</v>
      </c>
      <c r="CL255" s="33">
        <v>0</v>
      </c>
      <c r="CM255" s="33">
        <v>4</v>
      </c>
      <c r="CN255" s="33">
        <v>13</v>
      </c>
      <c r="CO255" s="33">
        <v>3</v>
      </c>
      <c r="CP255" s="43">
        <v>0.12506724023107546</v>
      </c>
      <c r="CQ255" s="33">
        <v>0</v>
      </c>
      <c r="CR255" s="33">
        <v>0</v>
      </c>
    </row>
    <row r="256" spans="1:96" ht="15" customHeight="1" x14ac:dyDescent="0.25">
      <c r="A256" s="26">
        <v>254</v>
      </c>
      <c r="B256" s="27">
        <v>29</v>
      </c>
      <c r="C256" s="27">
        <v>0</v>
      </c>
      <c r="D256" s="27">
        <v>1</v>
      </c>
      <c r="E256" s="27">
        <v>1247</v>
      </c>
      <c r="F256" s="27">
        <v>1</v>
      </c>
      <c r="G256" s="27">
        <v>20</v>
      </c>
      <c r="H256" s="27">
        <v>2</v>
      </c>
      <c r="I256" s="27">
        <v>4</v>
      </c>
      <c r="J256" s="27">
        <v>1</v>
      </c>
      <c r="K256" s="27">
        <v>349</v>
      </c>
      <c r="L256" s="27">
        <v>4</v>
      </c>
      <c r="M256" s="27">
        <v>1</v>
      </c>
      <c r="N256" s="27">
        <v>45</v>
      </c>
      <c r="O256" s="27">
        <v>3</v>
      </c>
      <c r="P256" s="27">
        <v>2</v>
      </c>
      <c r="Q256" s="27">
        <v>1</v>
      </c>
      <c r="R256" s="27">
        <v>4</v>
      </c>
      <c r="S256" s="27">
        <v>3</v>
      </c>
      <c r="T256" s="27">
        <v>6931</v>
      </c>
      <c r="U256" s="27">
        <v>10732</v>
      </c>
      <c r="V256" s="27">
        <v>2</v>
      </c>
      <c r="W256" s="27">
        <v>0</v>
      </c>
      <c r="X256" s="27">
        <v>14</v>
      </c>
      <c r="Y256" s="27">
        <v>3</v>
      </c>
      <c r="Z256" s="27">
        <v>4</v>
      </c>
      <c r="AA256" s="27">
        <v>80</v>
      </c>
      <c r="AB256" s="27">
        <v>1</v>
      </c>
      <c r="AC256" s="27">
        <v>10</v>
      </c>
      <c r="AD256" s="27">
        <v>2</v>
      </c>
      <c r="AE256" s="27">
        <v>3</v>
      </c>
      <c r="AF256" s="27">
        <v>3</v>
      </c>
      <c r="AG256" s="27">
        <v>2</v>
      </c>
      <c r="AH256" s="27">
        <v>0</v>
      </c>
      <c r="AI256" s="28">
        <v>2</v>
      </c>
      <c r="AK256" s="36">
        <v>223</v>
      </c>
      <c r="AL256" s="33">
        <v>11</v>
      </c>
      <c r="AM256" s="33">
        <v>3</v>
      </c>
      <c r="AN256" s="33">
        <v>4</v>
      </c>
      <c r="AO256" s="33">
        <v>1</v>
      </c>
      <c r="AP256" s="33">
        <v>1</v>
      </c>
      <c r="AQ256" s="33">
        <v>3</v>
      </c>
      <c r="AR256" s="33">
        <v>3</v>
      </c>
      <c r="AS256" s="33">
        <v>10</v>
      </c>
      <c r="AT256" s="33">
        <v>0</v>
      </c>
      <c r="AU256" s="43">
        <v>2.2499207635875176E-2</v>
      </c>
      <c r="AV256" s="33">
        <v>0</v>
      </c>
      <c r="AW256" s="33">
        <v>0</v>
      </c>
      <c r="AY256" s="36">
        <v>228</v>
      </c>
      <c r="AZ256" s="33">
        <v>3</v>
      </c>
      <c r="BA256" s="33">
        <v>4</v>
      </c>
      <c r="BB256" s="33">
        <v>0</v>
      </c>
      <c r="BC256" s="33">
        <v>1</v>
      </c>
      <c r="BD256" s="43">
        <v>3.2280700557178299E-2</v>
      </c>
      <c r="BE256" s="33">
        <v>0</v>
      </c>
      <c r="BF256" s="33">
        <v>0</v>
      </c>
      <c r="CE256" s="36">
        <v>222</v>
      </c>
      <c r="CF256" s="33">
        <v>4</v>
      </c>
      <c r="CG256" s="33">
        <v>1</v>
      </c>
      <c r="CH256" s="33">
        <v>2</v>
      </c>
      <c r="CI256" s="33">
        <v>2</v>
      </c>
      <c r="CJ256" s="33">
        <v>6</v>
      </c>
      <c r="CK256" s="33">
        <v>0</v>
      </c>
      <c r="CL256" s="33">
        <v>0</v>
      </c>
      <c r="CM256" s="33">
        <v>3</v>
      </c>
      <c r="CN256" s="33">
        <v>3</v>
      </c>
      <c r="CO256" s="33">
        <v>1</v>
      </c>
      <c r="CP256" s="43">
        <v>0.19446584023218946</v>
      </c>
      <c r="CQ256" s="33">
        <v>0</v>
      </c>
      <c r="CR256" s="33">
        <v>0</v>
      </c>
    </row>
    <row r="257" spans="1:96" ht="15" customHeight="1" x14ac:dyDescent="0.25">
      <c r="A257" s="26">
        <v>255</v>
      </c>
      <c r="B257" s="27">
        <v>25</v>
      </c>
      <c r="C257" s="27">
        <v>0</v>
      </c>
      <c r="D257" s="27">
        <v>1</v>
      </c>
      <c r="E257" s="27">
        <v>685</v>
      </c>
      <c r="F257" s="27">
        <v>2</v>
      </c>
      <c r="G257" s="27">
        <v>1</v>
      </c>
      <c r="H257" s="27">
        <v>3</v>
      </c>
      <c r="I257" s="27">
        <v>1</v>
      </c>
      <c r="J257" s="27">
        <v>1</v>
      </c>
      <c r="K257" s="27">
        <v>350</v>
      </c>
      <c r="L257" s="27">
        <v>1</v>
      </c>
      <c r="M257" s="27">
        <v>0</v>
      </c>
      <c r="N257" s="27">
        <v>62</v>
      </c>
      <c r="O257" s="27">
        <v>3</v>
      </c>
      <c r="P257" s="27">
        <v>2</v>
      </c>
      <c r="Q257" s="27">
        <v>4</v>
      </c>
      <c r="R257" s="27">
        <v>3</v>
      </c>
      <c r="S257" s="27">
        <v>2</v>
      </c>
      <c r="T257" s="27">
        <v>4898</v>
      </c>
      <c r="U257" s="27">
        <v>7505</v>
      </c>
      <c r="V257" s="27">
        <v>0</v>
      </c>
      <c r="W257" s="27">
        <v>0</v>
      </c>
      <c r="X257" s="27">
        <v>12</v>
      </c>
      <c r="Y257" s="27">
        <v>3</v>
      </c>
      <c r="Z257" s="27">
        <v>4</v>
      </c>
      <c r="AA257" s="27">
        <v>80</v>
      </c>
      <c r="AB257" s="27">
        <v>2</v>
      </c>
      <c r="AC257" s="27">
        <v>5</v>
      </c>
      <c r="AD257" s="27">
        <v>3</v>
      </c>
      <c r="AE257" s="27">
        <v>3</v>
      </c>
      <c r="AF257" s="27">
        <v>4</v>
      </c>
      <c r="AG257" s="27">
        <v>2</v>
      </c>
      <c r="AH257" s="27">
        <v>1</v>
      </c>
      <c r="AI257" s="28">
        <v>2</v>
      </c>
      <c r="AK257" s="36">
        <v>224</v>
      </c>
      <c r="AL257" s="33">
        <v>3</v>
      </c>
      <c r="AM257" s="33">
        <v>3</v>
      </c>
      <c r="AN257" s="33">
        <v>3</v>
      </c>
      <c r="AO257" s="33">
        <v>0</v>
      </c>
      <c r="AP257" s="33">
        <v>0</v>
      </c>
      <c r="AQ257" s="33">
        <v>2</v>
      </c>
      <c r="AR257" s="33">
        <v>2</v>
      </c>
      <c r="AS257" s="33">
        <v>16</v>
      </c>
      <c r="AT257" s="33">
        <v>5</v>
      </c>
      <c r="AU257" s="43">
        <v>1.2442964165580293E-2</v>
      </c>
      <c r="AV257" s="33">
        <v>0</v>
      </c>
      <c r="AW257" s="33">
        <v>0</v>
      </c>
      <c r="AY257" s="36">
        <v>229</v>
      </c>
      <c r="AZ257" s="33">
        <v>3</v>
      </c>
      <c r="BA257" s="33">
        <v>3</v>
      </c>
      <c r="BB257" s="33">
        <v>0</v>
      </c>
      <c r="BC257" s="33">
        <v>0</v>
      </c>
      <c r="BD257" s="43">
        <v>7.0406776741937793E-2</v>
      </c>
      <c r="BE257" s="33">
        <v>0</v>
      </c>
      <c r="BF257" s="33">
        <v>0</v>
      </c>
      <c r="CE257" s="36">
        <v>223</v>
      </c>
      <c r="CF257" s="33">
        <v>11</v>
      </c>
      <c r="CG257" s="33">
        <v>3</v>
      </c>
      <c r="CH257" s="33">
        <v>4</v>
      </c>
      <c r="CI257" s="33">
        <v>3</v>
      </c>
      <c r="CJ257" s="33">
        <v>1</v>
      </c>
      <c r="CK257" s="33">
        <v>1</v>
      </c>
      <c r="CL257" s="33">
        <v>3</v>
      </c>
      <c r="CM257" s="33">
        <v>3</v>
      </c>
      <c r="CN257" s="33">
        <v>10</v>
      </c>
      <c r="CO257" s="33">
        <v>0</v>
      </c>
      <c r="CP257" s="43">
        <v>2.5344174165889292E-2</v>
      </c>
      <c r="CQ257" s="33">
        <v>0</v>
      </c>
      <c r="CR257" s="33">
        <v>0</v>
      </c>
    </row>
    <row r="258" spans="1:96" ht="15" customHeight="1" x14ac:dyDescent="0.25">
      <c r="A258" s="26">
        <v>256</v>
      </c>
      <c r="B258" s="27">
        <v>42</v>
      </c>
      <c r="C258" s="27">
        <v>0</v>
      </c>
      <c r="D258" s="27">
        <v>1</v>
      </c>
      <c r="E258" s="27">
        <v>269</v>
      </c>
      <c r="F258" s="27">
        <v>2</v>
      </c>
      <c r="G258" s="27">
        <v>2</v>
      </c>
      <c r="H258" s="27">
        <v>3</v>
      </c>
      <c r="I258" s="27">
        <v>3</v>
      </c>
      <c r="J258" s="27">
        <v>1</v>
      </c>
      <c r="K258" s="27">
        <v>351</v>
      </c>
      <c r="L258" s="27">
        <v>4</v>
      </c>
      <c r="M258" s="27">
        <v>0</v>
      </c>
      <c r="N258" s="27">
        <v>56</v>
      </c>
      <c r="O258" s="27">
        <v>2</v>
      </c>
      <c r="P258" s="27">
        <v>1</v>
      </c>
      <c r="Q258" s="27">
        <v>3</v>
      </c>
      <c r="R258" s="27">
        <v>1</v>
      </c>
      <c r="S258" s="27">
        <v>3</v>
      </c>
      <c r="T258" s="27">
        <v>2593</v>
      </c>
      <c r="U258" s="27">
        <v>8007</v>
      </c>
      <c r="V258" s="27">
        <v>0</v>
      </c>
      <c r="W258" s="27">
        <v>1</v>
      </c>
      <c r="X258" s="27">
        <v>11</v>
      </c>
      <c r="Y258" s="27">
        <v>3</v>
      </c>
      <c r="Z258" s="27">
        <v>3</v>
      </c>
      <c r="AA258" s="27">
        <v>80</v>
      </c>
      <c r="AB258" s="27">
        <v>1</v>
      </c>
      <c r="AC258" s="27">
        <v>10</v>
      </c>
      <c r="AD258" s="27">
        <v>4</v>
      </c>
      <c r="AE258" s="27">
        <v>3</v>
      </c>
      <c r="AF258" s="27">
        <v>9</v>
      </c>
      <c r="AG258" s="27">
        <v>6</v>
      </c>
      <c r="AH258" s="27">
        <v>7</v>
      </c>
      <c r="AI258" s="28">
        <v>8</v>
      </c>
      <c r="AK258" s="36">
        <v>225</v>
      </c>
      <c r="AL258" s="33">
        <v>1</v>
      </c>
      <c r="AM258" s="33">
        <v>2</v>
      </c>
      <c r="AN258" s="33">
        <v>3</v>
      </c>
      <c r="AO258" s="33">
        <v>0</v>
      </c>
      <c r="AP258" s="33">
        <v>0</v>
      </c>
      <c r="AQ258" s="33">
        <v>1</v>
      </c>
      <c r="AR258" s="33">
        <v>3</v>
      </c>
      <c r="AS258" s="33">
        <v>5</v>
      </c>
      <c r="AT258" s="33">
        <v>1</v>
      </c>
      <c r="AU258" s="43">
        <v>3.8589475636691191E-2</v>
      </c>
      <c r="AV258" s="33">
        <v>0</v>
      </c>
      <c r="AW258" s="33">
        <v>0</v>
      </c>
      <c r="AY258" s="36">
        <v>230</v>
      </c>
      <c r="AZ258" s="33">
        <v>1</v>
      </c>
      <c r="BA258" s="33">
        <v>4</v>
      </c>
      <c r="BB258" s="33">
        <v>1</v>
      </c>
      <c r="BC258" s="33">
        <v>0</v>
      </c>
      <c r="BD258" s="43">
        <v>0.42475472169672474</v>
      </c>
      <c r="BE258" s="33">
        <v>0</v>
      </c>
      <c r="BF258" s="33">
        <v>1</v>
      </c>
      <c r="CE258" s="36">
        <v>224</v>
      </c>
      <c r="CF258" s="33">
        <v>3</v>
      </c>
      <c r="CG258" s="33">
        <v>3</v>
      </c>
      <c r="CH258" s="33">
        <v>3</v>
      </c>
      <c r="CI258" s="33">
        <v>3</v>
      </c>
      <c r="CJ258" s="33">
        <v>0</v>
      </c>
      <c r="CK258" s="33">
        <v>0</v>
      </c>
      <c r="CL258" s="33">
        <v>2</v>
      </c>
      <c r="CM258" s="33">
        <v>2</v>
      </c>
      <c r="CN258" s="33">
        <v>16</v>
      </c>
      <c r="CO258" s="33">
        <v>5</v>
      </c>
      <c r="CP258" s="43">
        <v>1.0062636758273368E-2</v>
      </c>
      <c r="CQ258" s="33">
        <v>0</v>
      </c>
      <c r="CR258" s="33">
        <v>0</v>
      </c>
    </row>
    <row r="259" spans="1:96" ht="15" customHeight="1" x14ac:dyDescent="0.25">
      <c r="A259" s="26">
        <v>257</v>
      </c>
      <c r="B259" s="27">
        <v>40</v>
      </c>
      <c r="C259" s="27">
        <v>0</v>
      </c>
      <c r="D259" s="27">
        <v>1</v>
      </c>
      <c r="E259" s="27">
        <v>1416</v>
      </c>
      <c r="F259" s="27">
        <v>2</v>
      </c>
      <c r="G259" s="27">
        <v>2</v>
      </c>
      <c r="H259" s="27">
        <v>2</v>
      </c>
      <c r="I259" s="27">
        <v>3</v>
      </c>
      <c r="J259" s="27">
        <v>1</v>
      </c>
      <c r="K259" s="27">
        <v>352</v>
      </c>
      <c r="L259" s="27">
        <v>1</v>
      </c>
      <c r="M259" s="27">
        <v>1</v>
      </c>
      <c r="N259" s="27">
        <v>49</v>
      </c>
      <c r="O259" s="27">
        <v>3</v>
      </c>
      <c r="P259" s="27">
        <v>5</v>
      </c>
      <c r="Q259" s="27">
        <v>8</v>
      </c>
      <c r="R259" s="27">
        <v>3</v>
      </c>
      <c r="S259" s="27">
        <v>3</v>
      </c>
      <c r="T259" s="27">
        <v>19436</v>
      </c>
      <c r="U259" s="27">
        <v>5949</v>
      </c>
      <c r="V259" s="27">
        <v>0</v>
      </c>
      <c r="W259" s="27">
        <v>0</v>
      </c>
      <c r="X259" s="27">
        <v>19</v>
      </c>
      <c r="Y259" s="27">
        <v>3</v>
      </c>
      <c r="Z259" s="27">
        <v>4</v>
      </c>
      <c r="AA259" s="27">
        <v>80</v>
      </c>
      <c r="AB259" s="27">
        <v>1</v>
      </c>
      <c r="AC259" s="27">
        <v>22</v>
      </c>
      <c r="AD259" s="27">
        <v>5</v>
      </c>
      <c r="AE259" s="27">
        <v>3</v>
      </c>
      <c r="AF259" s="27">
        <v>21</v>
      </c>
      <c r="AG259" s="27">
        <v>7</v>
      </c>
      <c r="AH259" s="27">
        <v>3</v>
      </c>
      <c r="AI259" s="28">
        <v>9</v>
      </c>
      <c r="AK259" s="36">
        <v>226</v>
      </c>
      <c r="AL259" s="33">
        <v>3</v>
      </c>
      <c r="AM259" s="33">
        <v>1</v>
      </c>
      <c r="AN259" s="33">
        <v>4</v>
      </c>
      <c r="AO259" s="33">
        <v>3</v>
      </c>
      <c r="AP259" s="33">
        <v>0</v>
      </c>
      <c r="AQ259" s="33">
        <v>1</v>
      </c>
      <c r="AR259" s="33">
        <v>3</v>
      </c>
      <c r="AS259" s="33">
        <v>1</v>
      </c>
      <c r="AT259" s="33">
        <v>0</v>
      </c>
      <c r="AU259" s="43">
        <v>7.8597178298192447E-2</v>
      </c>
      <c r="AV259" s="33">
        <v>0</v>
      </c>
      <c r="AW259" s="33">
        <v>0</v>
      </c>
      <c r="AY259" s="36">
        <v>231</v>
      </c>
      <c r="AZ259" s="33">
        <v>1</v>
      </c>
      <c r="BA259" s="33">
        <v>4</v>
      </c>
      <c r="BB259" s="33">
        <v>0</v>
      </c>
      <c r="BC259" s="33">
        <v>0</v>
      </c>
      <c r="BD259" s="43">
        <v>0.1472907617042678</v>
      </c>
      <c r="BE259" s="33">
        <v>0</v>
      </c>
      <c r="BF259" s="33">
        <v>0</v>
      </c>
      <c r="CE259" s="36">
        <v>225</v>
      </c>
      <c r="CF259" s="33">
        <v>1</v>
      </c>
      <c r="CG259" s="33">
        <v>2</v>
      </c>
      <c r="CH259" s="33">
        <v>3</v>
      </c>
      <c r="CI259" s="33">
        <v>2</v>
      </c>
      <c r="CJ259" s="33">
        <v>0</v>
      </c>
      <c r="CK259" s="33">
        <v>0</v>
      </c>
      <c r="CL259" s="33">
        <v>1</v>
      </c>
      <c r="CM259" s="33">
        <v>3</v>
      </c>
      <c r="CN259" s="33">
        <v>5</v>
      </c>
      <c r="CO259" s="33">
        <v>1</v>
      </c>
      <c r="CP259" s="43">
        <v>3.7210301180167042E-2</v>
      </c>
      <c r="CQ259" s="33">
        <v>0</v>
      </c>
      <c r="CR259" s="33">
        <v>0</v>
      </c>
    </row>
    <row r="260" spans="1:96" ht="15" customHeight="1" x14ac:dyDescent="0.25">
      <c r="A260" s="26">
        <v>258</v>
      </c>
      <c r="B260" s="27">
        <v>51</v>
      </c>
      <c r="C260" s="27">
        <v>0</v>
      </c>
      <c r="D260" s="27">
        <v>1</v>
      </c>
      <c r="E260" s="27">
        <v>833</v>
      </c>
      <c r="F260" s="27">
        <v>2</v>
      </c>
      <c r="G260" s="27">
        <v>1</v>
      </c>
      <c r="H260" s="27">
        <v>3</v>
      </c>
      <c r="I260" s="27">
        <v>1</v>
      </c>
      <c r="J260" s="27">
        <v>1</v>
      </c>
      <c r="K260" s="27">
        <v>353</v>
      </c>
      <c r="L260" s="27">
        <v>3</v>
      </c>
      <c r="M260" s="27">
        <v>1</v>
      </c>
      <c r="N260" s="27">
        <v>96</v>
      </c>
      <c r="O260" s="27">
        <v>3</v>
      </c>
      <c r="P260" s="27">
        <v>1</v>
      </c>
      <c r="Q260" s="27">
        <v>2</v>
      </c>
      <c r="R260" s="27">
        <v>4</v>
      </c>
      <c r="S260" s="27">
        <v>2</v>
      </c>
      <c r="T260" s="27">
        <v>2723</v>
      </c>
      <c r="U260" s="27">
        <v>23231</v>
      </c>
      <c r="V260" s="27">
        <v>1</v>
      </c>
      <c r="W260" s="27">
        <v>0</v>
      </c>
      <c r="X260" s="27">
        <v>11</v>
      </c>
      <c r="Y260" s="27">
        <v>3</v>
      </c>
      <c r="Z260" s="27">
        <v>2</v>
      </c>
      <c r="AA260" s="27">
        <v>80</v>
      </c>
      <c r="AB260" s="27">
        <v>0</v>
      </c>
      <c r="AC260" s="27">
        <v>1</v>
      </c>
      <c r="AD260" s="27">
        <v>0</v>
      </c>
      <c r="AE260" s="27">
        <v>2</v>
      </c>
      <c r="AF260" s="27">
        <v>1</v>
      </c>
      <c r="AG260" s="27">
        <v>0</v>
      </c>
      <c r="AH260" s="27">
        <v>0</v>
      </c>
      <c r="AI260" s="28">
        <v>0</v>
      </c>
      <c r="AK260" s="36">
        <v>227</v>
      </c>
      <c r="AL260" s="33">
        <v>4</v>
      </c>
      <c r="AM260" s="33">
        <v>1</v>
      </c>
      <c r="AN260" s="33">
        <v>4</v>
      </c>
      <c r="AO260" s="33">
        <v>4</v>
      </c>
      <c r="AP260" s="33">
        <v>0</v>
      </c>
      <c r="AQ260" s="33">
        <v>1</v>
      </c>
      <c r="AR260" s="33">
        <v>3</v>
      </c>
      <c r="AS260" s="33">
        <v>9</v>
      </c>
      <c r="AT260" s="33">
        <v>5</v>
      </c>
      <c r="AU260" s="43">
        <v>8.6745646792614858E-2</v>
      </c>
      <c r="AV260" s="33">
        <v>0</v>
      </c>
      <c r="AW260" s="33">
        <v>0</v>
      </c>
      <c r="AY260" s="36">
        <v>232</v>
      </c>
      <c r="AZ260" s="33">
        <v>5</v>
      </c>
      <c r="BA260" s="33">
        <v>4</v>
      </c>
      <c r="BB260" s="33">
        <v>0</v>
      </c>
      <c r="BC260" s="33">
        <v>0</v>
      </c>
      <c r="BD260" s="43">
        <v>1.8169729095294188E-2</v>
      </c>
      <c r="BE260" s="33">
        <v>0</v>
      </c>
      <c r="BF260" s="33">
        <v>0</v>
      </c>
      <c r="CE260" s="36">
        <v>226</v>
      </c>
      <c r="CF260" s="33">
        <v>3</v>
      </c>
      <c r="CG260" s="33">
        <v>1</v>
      </c>
      <c r="CH260" s="33">
        <v>4</v>
      </c>
      <c r="CI260" s="33">
        <v>2</v>
      </c>
      <c r="CJ260" s="33">
        <v>3</v>
      </c>
      <c r="CK260" s="33">
        <v>0</v>
      </c>
      <c r="CL260" s="33">
        <v>1</v>
      </c>
      <c r="CM260" s="33">
        <v>3</v>
      </c>
      <c r="CN260" s="33">
        <v>1</v>
      </c>
      <c r="CO260" s="33">
        <v>0</v>
      </c>
      <c r="CP260" s="43">
        <v>7.4050906313459119E-2</v>
      </c>
      <c r="CQ260" s="33">
        <v>0</v>
      </c>
      <c r="CR260" s="33">
        <v>0</v>
      </c>
    </row>
    <row r="261" spans="1:96" ht="15" customHeight="1" x14ac:dyDescent="0.25">
      <c r="A261" s="26">
        <v>259</v>
      </c>
      <c r="B261" s="27">
        <v>31</v>
      </c>
      <c r="C261" s="27">
        <v>1</v>
      </c>
      <c r="D261" s="27">
        <v>2</v>
      </c>
      <c r="E261" s="27">
        <v>307</v>
      </c>
      <c r="F261" s="27">
        <v>2</v>
      </c>
      <c r="G261" s="27">
        <v>29</v>
      </c>
      <c r="H261" s="27">
        <v>2</v>
      </c>
      <c r="I261" s="27">
        <v>3</v>
      </c>
      <c r="J261" s="27">
        <v>1</v>
      </c>
      <c r="K261" s="27">
        <v>355</v>
      </c>
      <c r="L261" s="27">
        <v>3</v>
      </c>
      <c r="M261" s="27">
        <v>1</v>
      </c>
      <c r="N261" s="27">
        <v>71</v>
      </c>
      <c r="O261" s="27">
        <v>2</v>
      </c>
      <c r="P261" s="27">
        <v>1</v>
      </c>
      <c r="Q261" s="27">
        <v>3</v>
      </c>
      <c r="R261" s="27">
        <v>2</v>
      </c>
      <c r="S261" s="27">
        <v>1</v>
      </c>
      <c r="T261" s="27">
        <v>3479</v>
      </c>
      <c r="U261" s="27">
        <v>11652</v>
      </c>
      <c r="V261" s="27">
        <v>0</v>
      </c>
      <c r="W261" s="27">
        <v>0</v>
      </c>
      <c r="X261" s="27">
        <v>11</v>
      </c>
      <c r="Y261" s="27">
        <v>3</v>
      </c>
      <c r="Z261" s="27">
        <v>2</v>
      </c>
      <c r="AA261" s="27">
        <v>80</v>
      </c>
      <c r="AB261" s="27">
        <v>0</v>
      </c>
      <c r="AC261" s="27">
        <v>6</v>
      </c>
      <c r="AD261" s="27">
        <v>2</v>
      </c>
      <c r="AE261" s="27">
        <v>4</v>
      </c>
      <c r="AF261" s="27">
        <v>5</v>
      </c>
      <c r="AG261" s="27">
        <v>4</v>
      </c>
      <c r="AH261" s="27">
        <v>1</v>
      </c>
      <c r="AI261" s="28">
        <v>4</v>
      </c>
      <c r="AK261" s="36">
        <v>228</v>
      </c>
      <c r="AL261" s="33">
        <v>1</v>
      </c>
      <c r="AM261" s="33">
        <v>3</v>
      </c>
      <c r="AN261" s="33">
        <v>4</v>
      </c>
      <c r="AO261" s="33">
        <v>1</v>
      </c>
      <c r="AP261" s="33">
        <v>0</v>
      </c>
      <c r="AQ261" s="33">
        <v>1</v>
      </c>
      <c r="AR261" s="33">
        <v>3</v>
      </c>
      <c r="AS261" s="33">
        <v>11</v>
      </c>
      <c r="AT261" s="33">
        <v>4</v>
      </c>
      <c r="AU261" s="43">
        <v>1.6829868846390428E-2</v>
      </c>
      <c r="AV261" s="33">
        <v>0</v>
      </c>
      <c r="AW261" s="33">
        <v>0</v>
      </c>
      <c r="AY261" s="36">
        <v>233</v>
      </c>
      <c r="AZ261" s="33">
        <v>1</v>
      </c>
      <c r="BA261" s="33">
        <v>3</v>
      </c>
      <c r="BB261" s="33">
        <v>0</v>
      </c>
      <c r="BC261" s="33">
        <v>0</v>
      </c>
      <c r="BD261" s="43">
        <v>0.18791247240909698</v>
      </c>
      <c r="BE261" s="33">
        <v>0</v>
      </c>
      <c r="BF261" s="33">
        <v>0</v>
      </c>
      <c r="CE261" s="36">
        <v>227</v>
      </c>
      <c r="CF261" s="33">
        <v>4</v>
      </c>
      <c r="CG261" s="33">
        <v>1</v>
      </c>
      <c r="CH261" s="33">
        <v>4</v>
      </c>
      <c r="CI261" s="33">
        <v>3</v>
      </c>
      <c r="CJ261" s="33">
        <v>4</v>
      </c>
      <c r="CK261" s="33">
        <v>0</v>
      </c>
      <c r="CL261" s="33">
        <v>1</v>
      </c>
      <c r="CM261" s="33">
        <v>3</v>
      </c>
      <c r="CN261" s="33">
        <v>9</v>
      </c>
      <c r="CO261" s="33">
        <v>5</v>
      </c>
      <c r="CP261" s="43">
        <v>4.9237017916775885E-2</v>
      </c>
      <c r="CQ261" s="33">
        <v>0</v>
      </c>
      <c r="CR261" s="33">
        <v>0</v>
      </c>
    </row>
    <row r="262" spans="1:96" ht="15" customHeight="1" x14ac:dyDescent="0.25">
      <c r="A262" s="26">
        <v>260</v>
      </c>
      <c r="B262" s="27">
        <v>32</v>
      </c>
      <c r="C262" s="27">
        <v>0</v>
      </c>
      <c r="D262" s="27">
        <v>2</v>
      </c>
      <c r="E262" s="27">
        <v>1311</v>
      </c>
      <c r="F262" s="27">
        <v>2</v>
      </c>
      <c r="G262" s="27">
        <v>7</v>
      </c>
      <c r="H262" s="27">
        <v>3</v>
      </c>
      <c r="I262" s="27">
        <v>1</v>
      </c>
      <c r="J262" s="27">
        <v>1</v>
      </c>
      <c r="K262" s="27">
        <v>359</v>
      </c>
      <c r="L262" s="27">
        <v>2</v>
      </c>
      <c r="M262" s="27">
        <v>1</v>
      </c>
      <c r="N262" s="27">
        <v>100</v>
      </c>
      <c r="O262" s="27">
        <v>4</v>
      </c>
      <c r="P262" s="27">
        <v>1</v>
      </c>
      <c r="Q262" s="27">
        <v>3</v>
      </c>
      <c r="R262" s="27">
        <v>2</v>
      </c>
      <c r="S262" s="27">
        <v>2</v>
      </c>
      <c r="T262" s="27">
        <v>2794</v>
      </c>
      <c r="U262" s="27">
        <v>26062</v>
      </c>
      <c r="V262" s="27">
        <v>1</v>
      </c>
      <c r="W262" s="27">
        <v>0</v>
      </c>
      <c r="X262" s="27">
        <v>20</v>
      </c>
      <c r="Y262" s="27">
        <v>4</v>
      </c>
      <c r="Z262" s="27">
        <v>3</v>
      </c>
      <c r="AA262" s="27">
        <v>80</v>
      </c>
      <c r="AB262" s="27">
        <v>0</v>
      </c>
      <c r="AC262" s="27">
        <v>5</v>
      </c>
      <c r="AD262" s="27">
        <v>3</v>
      </c>
      <c r="AE262" s="27">
        <v>1</v>
      </c>
      <c r="AF262" s="27">
        <v>5</v>
      </c>
      <c r="AG262" s="27">
        <v>1</v>
      </c>
      <c r="AH262" s="27">
        <v>0</v>
      </c>
      <c r="AI262" s="28">
        <v>3</v>
      </c>
      <c r="AK262" s="36">
        <v>229</v>
      </c>
      <c r="AL262" s="33">
        <v>1</v>
      </c>
      <c r="AM262" s="33">
        <v>3</v>
      </c>
      <c r="AN262" s="33">
        <v>3</v>
      </c>
      <c r="AO262" s="33">
        <v>1</v>
      </c>
      <c r="AP262" s="33">
        <v>0</v>
      </c>
      <c r="AQ262" s="33">
        <v>0</v>
      </c>
      <c r="AR262" s="33">
        <v>4</v>
      </c>
      <c r="AS262" s="33">
        <v>10</v>
      </c>
      <c r="AT262" s="33">
        <v>0</v>
      </c>
      <c r="AU262" s="43">
        <v>2.140889557080209E-2</v>
      </c>
      <c r="AV262" s="33">
        <v>0</v>
      </c>
      <c r="AW262" s="33">
        <v>0</v>
      </c>
      <c r="AY262" s="36">
        <v>234</v>
      </c>
      <c r="AZ262" s="33">
        <v>5</v>
      </c>
      <c r="BA262" s="33">
        <v>4</v>
      </c>
      <c r="BB262" s="33">
        <v>0</v>
      </c>
      <c r="BC262" s="33">
        <v>1</v>
      </c>
      <c r="BD262" s="43">
        <v>1.0800557147898916E-2</v>
      </c>
      <c r="BE262" s="33">
        <v>0</v>
      </c>
      <c r="BF262" s="33">
        <v>0</v>
      </c>
      <c r="CE262" s="36">
        <v>228</v>
      </c>
      <c r="CF262" s="33">
        <v>1</v>
      </c>
      <c r="CG262" s="33">
        <v>3</v>
      </c>
      <c r="CH262" s="33">
        <v>4</v>
      </c>
      <c r="CI262" s="33">
        <v>2</v>
      </c>
      <c r="CJ262" s="33">
        <v>1</v>
      </c>
      <c r="CK262" s="33">
        <v>0</v>
      </c>
      <c r="CL262" s="33">
        <v>1</v>
      </c>
      <c r="CM262" s="33">
        <v>3</v>
      </c>
      <c r="CN262" s="33">
        <v>11</v>
      </c>
      <c r="CO262" s="33">
        <v>4</v>
      </c>
      <c r="CP262" s="43">
        <v>1.6222825466202136E-2</v>
      </c>
      <c r="CQ262" s="33">
        <v>0</v>
      </c>
      <c r="CR262" s="33">
        <v>0</v>
      </c>
    </row>
    <row r="263" spans="1:96" ht="15" customHeight="1" x14ac:dyDescent="0.25">
      <c r="A263" s="26">
        <v>261</v>
      </c>
      <c r="B263" s="27">
        <v>38</v>
      </c>
      <c r="C263" s="27">
        <v>0</v>
      </c>
      <c r="D263" s="27">
        <v>3</v>
      </c>
      <c r="E263" s="27">
        <v>1327</v>
      </c>
      <c r="F263" s="27">
        <v>1</v>
      </c>
      <c r="G263" s="27">
        <v>2</v>
      </c>
      <c r="H263" s="27">
        <v>2</v>
      </c>
      <c r="I263" s="27">
        <v>1</v>
      </c>
      <c r="J263" s="27">
        <v>1</v>
      </c>
      <c r="K263" s="27">
        <v>361</v>
      </c>
      <c r="L263" s="27">
        <v>4</v>
      </c>
      <c r="M263" s="27">
        <v>1</v>
      </c>
      <c r="N263" s="27">
        <v>39</v>
      </c>
      <c r="O263" s="27">
        <v>2</v>
      </c>
      <c r="P263" s="27">
        <v>2</v>
      </c>
      <c r="Q263" s="27">
        <v>1</v>
      </c>
      <c r="R263" s="27">
        <v>4</v>
      </c>
      <c r="S263" s="27">
        <v>2</v>
      </c>
      <c r="T263" s="27">
        <v>5249</v>
      </c>
      <c r="U263" s="27">
        <v>19682</v>
      </c>
      <c r="V263" s="27">
        <v>3</v>
      </c>
      <c r="W263" s="27">
        <v>0</v>
      </c>
      <c r="X263" s="27">
        <v>18</v>
      </c>
      <c r="Y263" s="27">
        <v>3</v>
      </c>
      <c r="Z263" s="27">
        <v>4</v>
      </c>
      <c r="AA263" s="27">
        <v>80</v>
      </c>
      <c r="AB263" s="27">
        <v>1</v>
      </c>
      <c r="AC263" s="27">
        <v>13</v>
      </c>
      <c r="AD263" s="27">
        <v>0</v>
      </c>
      <c r="AE263" s="27">
        <v>3</v>
      </c>
      <c r="AF263" s="27">
        <v>8</v>
      </c>
      <c r="AG263" s="27">
        <v>7</v>
      </c>
      <c r="AH263" s="27">
        <v>7</v>
      </c>
      <c r="AI263" s="28">
        <v>5</v>
      </c>
      <c r="AK263" s="36">
        <v>230</v>
      </c>
      <c r="AL263" s="33">
        <v>18</v>
      </c>
      <c r="AM263" s="33">
        <v>1</v>
      </c>
      <c r="AN263" s="33">
        <v>4</v>
      </c>
      <c r="AO263" s="33">
        <v>1</v>
      </c>
      <c r="AP263" s="33">
        <v>1</v>
      </c>
      <c r="AQ263" s="33">
        <v>0</v>
      </c>
      <c r="AR263" s="33">
        <v>2</v>
      </c>
      <c r="AS263" s="33">
        <v>4</v>
      </c>
      <c r="AT263" s="33">
        <v>0</v>
      </c>
      <c r="AU263" s="43">
        <v>0.48341515911272648</v>
      </c>
      <c r="AV263" s="33">
        <v>0</v>
      </c>
      <c r="AW263" s="33">
        <v>1</v>
      </c>
      <c r="AY263" s="36">
        <v>235</v>
      </c>
      <c r="AZ263" s="33">
        <v>1</v>
      </c>
      <c r="BA263" s="33">
        <v>4</v>
      </c>
      <c r="BB263" s="33">
        <v>1</v>
      </c>
      <c r="BC263" s="33">
        <v>1</v>
      </c>
      <c r="BD263" s="43">
        <v>0.30345027699196836</v>
      </c>
      <c r="BE263" s="33">
        <v>0</v>
      </c>
      <c r="BF263" s="33">
        <v>1</v>
      </c>
      <c r="CE263" s="36">
        <v>229</v>
      </c>
      <c r="CF263" s="33">
        <v>1</v>
      </c>
      <c r="CG263" s="33">
        <v>3</v>
      </c>
      <c r="CH263" s="33">
        <v>3</v>
      </c>
      <c r="CI263" s="33">
        <v>1</v>
      </c>
      <c r="CJ263" s="33">
        <v>1</v>
      </c>
      <c r="CK263" s="33">
        <v>0</v>
      </c>
      <c r="CL263" s="33">
        <v>0</v>
      </c>
      <c r="CM263" s="33">
        <v>4</v>
      </c>
      <c r="CN263" s="33">
        <v>10</v>
      </c>
      <c r="CO263" s="33">
        <v>0</v>
      </c>
      <c r="CP263" s="43">
        <v>2.5113534939570019E-2</v>
      </c>
      <c r="CQ263" s="33">
        <v>0</v>
      </c>
      <c r="CR263" s="33">
        <v>0</v>
      </c>
    </row>
    <row r="264" spans="1:96" ht="15" customHeight="1" x14ac:dyDescent="0.25">
      <c r="A264" s="26">
        <v>262</v>
      </c>
      <c r="B264" s="27">
        <v>32</v>
      </c>
      <c r="C264" s="27">
        <v>0</v>
      </c>
      <c r="D264" s="27">
        <v>1</v>
      </c>
      <c r="E264" s="27">
        <v>128</v>
      </c>
      <c r="F264" s="27">
        <v>2</v>
      </c>
      <c r="G264" s="27">
        <v>2</v>
      </c>
      <c r="H264" s="27">
        <v>1</v>
      </c>
      <c r="I264" s="27">
        <v>5</v>
      </c>
      <c r="J264" s="27">
        <v>1</v>
      </c>
      <c r="K264" s="27">
        <v>362</v>
      </c>
      <c r="L264" s="27">
        <v>4</v>
      </c>
      <c r="M264" s="27">
        <v>1</v>
      </c>
      <c r="N264" s="27">
        <v>84</v>
      </c>
      <c r="O264" s="27">
        <v>2</v>
      </c>
      <c r="P264" s="27">
        <v>2</v>
      </c>
      <c r="Q264" s="27">
        <v>3</v>
      </c>
      <c r="R264" s="27">
        <v>1</v>
      </c>
      <c r="S264" s="27">
        <v>1</v>
      </c>
      <c r="T264" s="27">
        <v>2176</v>
      </c>
      <c r="U264" s="27">
        <v>19737</v>
      </c>
      <c r="V264" s="27">
        <v>4</v>
      </c>
      <c r="W264" s="27">
        <v>0</v>
      </c>
      <c r="X264" s="27">
        <v>13</v>
      </c>
      <c r="Y264" s="27">
        <v>3</v>
      </c>
      <c r="Z264" s="27">
        <v>4</v>
      </c>
      <c r="AA264" s="27">
        <v>80</v>
      </c>
      <c r="AB264" s="27">
        <v>0</v>
      </c>
      <c r="AC264" s="27">
        <v>9</v>
      </c>
      <c r="AD264" s="27">
        <v>5</v>
      </c>
      <c r="AE264" s="27">
        <v>3</v>
      </c>
      <c r="AF264" s="27">
        <v>6</v>
      </c>
      <c r="AG264" s="27">
        <v>2</v>
      </c>
      <c r="AH264" s="27">
        <v>0</v>
      </c>
      <c r="AI264" s="28">
        <v>4</v>
      </c>
      <c r="AK264" s="36">
        <v>231</v>
      </c>
      <c r="AL264" s="33">
        <v>2</v>
      </c>
      <c r="AM264" s="33">
        <v>1</v>
      </c>
      <c r="AN264" s="33">
        <v>4</v>
      </c>
      <c r="AO264" s="33">
        <v>7</v>
      </c>
      <c r="AP264" s="33">
        <v>0</v>
      </c>
      <c r="AQ264" s="33">
        <v>0</v>
      </c>
      <c r="AR264" s="33">
        <v>2</v>
      </c>
      <c r="AS264" s="33">
        <v>2</v>
      </c>
      <c r="AT264" s="33">
        <v>2</v>
      </c>
      <c r="AU264" s="43">
        <v>0.23058744422743965</v>
      </c>
      <c r="AV264" s="33">
        <v>0</v>
      </c>
      <c r="AW264" s="33">
        <v>0</v>
      </c>
      <c r="AY264" s="36">
        <v>236</v>
      </c>
      <c r="AZ264" s="33">
        <v>4</v>
      </c>
      <c r="BA264" s="33">
        <v>4</v>
      </c>
      <c r="BB264" s="33">
        <v>1</v>
      </c>
      <c r="BC264" s="33">
        <v>1</v>
      </c>
      <c r="BD264" s="43">
        <v>7.5427466859562448E-2</v>
      </c>
      <c r="BE264" s="33">
        <v>0</v>
      </c>
      <c r="BF264" s="33">
        <v>0</v>
      </c>
      <c r="CE264" s="36">
        <v>230</v>
      </c>
      <c r="CF264" s="33">
        <v>18</v>
      </c>
      <c r="CG264" s="33">
        <v>1</v>
      </c>
      <c r="CH264" s="33">
        <v>4</v>
      </c>
      <c r="CI264" s="33">
        <v>1</v>
      </c>
      <c r="CJ264" s="33">
        <v>1</v>
      </c>
      <c r="CK264" s="33">
        <v>1</v>
      </c>
      <c r="CL264" s="33">
        <v>0</v>
      </c>
      <c r="CM264" s="33">
        <v>2</v>
      </c>
      <c r="CN264" s="33">
        <v>4</v>
      </c>
      <c r="CO264" s="33">
        <v>0</v>
      </c>
      <c r="CP264" s="43">
        <v>0.53160740165357689</v>
      </c>
      <c r="CQ264" s="33">
        <v>1</v>
      </c>
      <c r="CR264" s="33">
        <v>1</v>
      </c>
    </row>
    <row r="265" spans="1:96" ht="15" customHeight="1" x14ac:dyDescent="0.25">
      <c r="A265" s="26">
        <v>263</v>
      </c>
      <c r="B265" s="27">
        <v>46</v>
      </c>
      <c r="C265" s="27">
        <v>0</v>
      </c>
      <c r="D265" s="27">
        <v>1</v>
      </c>
      <c r="E265" s="27">
        <v>488</v>
      </c>
      <c r="F265" s="27">
        <v>1</v>
      </c>
      <c r="G265" s="27">
        <v>2</v>
      </c>
      <c r="H265" s="27">
        <v>3</v>
      </c>
      <c r="I265" s="27">
        <v>5</v>
      </c>
      <c r="J265" s="27">
        <v>1</v>
      </c>
      <c r="K265" s="27">
        <v>363</v>
      </c>
      <c r="L265" s="27">
        <v>3</v>
      </c>
      <c r="M265" s="27">
        <v>0</v>
      </c>
      <c r="N265" s="27">
        <v>75</v>
      </c>
      <c r="O265" s="27">
        <v>1</v>
      </c>
      <c r="P265" s="27">
        <v>4</v>
      </c>
      <c r="Q265" s="27">
        <v>6</v>
      </c>
      <c r="R265" s="27">
        <v>2</v>
      </c>
      <c r="S265" s="27">
        <v>2</v>
      </c>
      <c r="T265" s="27">
        <v>16872</v>
      </c>
      <c r="U265" s="27">
        <v>14977</v>
      </c>
      <c r="V265" s="27">
        <v>3</v>
      </c>
      <c r="W265" s="27">
        <v>1</v>
      </c>
      <c r="X265" s="27">
        <v>12</v>
      </c>
      <c r="Y265" s="27">
        <v>3</v>
      </c>
      <c r="Z265" s="27">
        <v>2</v>
      </c>
      <c r="AA265" s="27">
        <v>80</v>
      </c>
      <c r="AB265" s="27">
        <v>1</v>
      </c>
      <c r="AC265" s="27">
        <v>28</v>
      </c>
      <c r="AD265" s="27">
        <v>2</v>
      </c>
      <c r="AE265" s="27">
        <v>2</v>
      </c>
      <c r="AF265" s="27">
        <v>7</v>
      </c>
      <c r="AG265" s="27">
        <v>7</v>
      </c>
      <c r="AH265" s="27">
        <v>7</v>
      </c>
      <c r="AI265" s="28">
        <v>7</v>
      </c>
      <c r="AK265" s="36">
        <v>232</v>
      </c>
      <c r="AL265" s="33">
        <v>4</v>
      </c>
      <c r="AM265" s="33">
        <v>5</v>
      </c>
      <c r="AN265" s="33">
        <v>4</v>
      </c>
      <c r="AO265" s="33">
        <v>1</v>
      </c>
      <c r="AP265" s="33">
        <v>0</v>
      </c>
      <c r="AQ265" s="33">
        <v>0</v>
      </c>
      <c r="AR265" s="33">
        <v>3</v>
      </c>
      <c r="AS265" s="33">
        <v>22</v>
      </c>
      <c r="AT265" s="33">
        <v>11</v>
      </c>
      <c r="AU265" s="43">
        <v>1.096011877794421E-2</v>
      </c>
      <c r="AV265" s="33">
        <v>0</v>
      </c>
      <c r="AW265" s="33">
        <v>0</v>
      </c>
      <c r="AY265" s="36">
        <v>237</v>
      </c>
      <c r="AZ265" s="33">
        <v>1</v>
      </c>
      <c r="BA265" s="33">
        <v>1</v>
      </c>
      <c r="BB265" s="33">
        <v>0</v>
      </c>
      <c r="BC265" s="33">
        <v>0</v>
      </c>
      <c r="BD265" s="43">
        <v>0.29341085656570393</v>
      </c>
      <c r="BE265" s="33">
        <v>0</v>
      </c>
      <c r="BF265" s="33">
        <v>1</v>
      </c>
      <c r="CE265" s="36">
        <v>231</v>
      </c>
      <c r="CF265" s="33">
        <v>2</v>
      </c>
      <c r="CG265" s="33">
        <v>1</v>
      </c>
      <c r="CH265" s="33">
        <v>4</v>
      </c>
      <c r="CI265" s="33">
        <v>1</v>
      </c>
      <c r="CJ265" s="33">
        <v>7</v>
      </c>
      <c r="CK265" s="33">
        <v>0</v>
      </c>
      <c r="CL265" s="33">
        <v>0</v>
      </c>
      <c r="CM265" s="33">
        <v>2</v>
      </c>
      <c r="CN265" s="33">
        <v>2</v>
      </c>
      <c r="CO265" s="33">
        <v>2</v>
      </c>
      <c r="CP265" s="43">
        <v>0.26287127873832622</v>
      </c>
      <c r="CQ265" s="33">
        <v>0</v>
      </c>
      <c r="CR265" s="33">
        <v>0</v>
      </c>
    </row>
    <row r="266" spans="1:96" ht="15" customHeight="1" x14ac:dyDescent="0.25">
      <c r="A266" s="26">
        <v>264</v>
      </c>
      <c r="B266" s="27">
        <v>28</v>
      </c>
      <c r="C266" s="27">
        <v>1</v>
      </c>
      <c r="D266" s="27">
        <v>1</v>
      </c>
      <c r="E266" s="27">
        <v>529</v>
      </c>
      <c r="F266" s="27">
        <v>2</v>
      </c>
      <c r="G266" s="27">
        <v>2</v>
      </c>
      <c r="H266" s="27">
        <v>4</v>
      </c>
      <c r="I266" s="27">
        <v>1</v>
      </c>
      <c r="J266" s="27">
        <v>1</v>
      </c>
      <c r="K266" s="27">
        <v>364</v>
      </c>
      <c r="L266" s="27">
        <v>1</v>
      </c>
      <c r="M266" s="27">
        <v>1</v>
      </c>
      <c r="N266" s="27">
        <v>79</v>
      </c>
      <c r="O266" s="27">
        <v>3</v>
      </c>
      <c r="P266" s="27">
        <v>1</v>
      </c>
      <c r="Q266" s="27">
        <v>3</v>
      </c>
      <c r="R266" s="27">
        <v>3</v>
      </c>
      <c r="S266" s="27">
        <v>1</v>
      </c>
      <c r="T266" s="27">
        <v>3485</v>
      </c>
      <c r="U266" s="27">
        <v>14935</v>
      </c>
      <c r="V266" s="27">
        <v>2</v>
      </c>
      <c r="W266" s="27">
        <v>0</v>
      </c>
      <c r="X266" s="27">
        <v>11</v>
      </c>
      <c r="Y266" s="27">
        <v>3</v>
      </c>
      <c r="Z266" s="27">
        <v>3</v>
      </c>
      <c r="AA266" s="27">
        <v>80</v>
      </c>
      <c r="AB266" s="27">
        <v>0</v>
      </c>
      <c r="AC266" s="27">
        <v>5</v>
      </c>
      <c r="AD266" s="27">
        <v>5</v>
      </c>
      <c r="AE266" s="27">
        <v>1</v>
      </c>
      <c r="AF266" s="27">
        <v>0</v>
      </c>
      <c r="AG266" s="27">
        <v>0</v>
      </c>
      <c r="AH266" s="27">
        <v>0</v>
      </c>
      <c r="AI266" s="28">
        <v>0</v>
      </c>
      <c r="AK266" s="36">
        <v>233</v>
      </c>
      <c r="AL266" s="33">
        <v>6</v>
      </c>
      <c r="AM266" s="33">
        <v>1</v>
      </c>
      <c r="AN266" s="33">
        <v>3</v>
      </c>
      <c r="AO266" s="33">
        <v>8</v>
      </c>
      <c r="AP266" s="33">
        <v>0</v>
      </c>
      <c r="AQ266" s="33">
        <v>0</v>
      </c>
      <c r="AR266" s="33">
        <v>2</v>
      </c>
      <c r="AS266" s="33">
        <v>2</v>
      </c>
      <c r="AT266" s="33">
        <v>2</v>
      </c>
      <c r="AU266" s="43">
        <v>0.33304625434225171</v>
      </c>
      <c r="AV266" s="33">
        <v>0</v>
      </c>
      <c r="AW266" s="33">
        <v>0</v>
      </c>
      <c r="AY266" s="36">
        <v>238</v>
      </c>
      <c r="AZ266" s="33">
        <v>5</v>
      </c>
      <c r="BA266" s="33">
        <v>3</v>
      </c>
      <c r="BB266" s="33">
        <v>1</v>
      </c>
      <c r="BC266" s="33">
        <v>0</v>
      </c>
      <c r="BD266" s="43">
        <v>9.5819920890858015E-2</v>
      </c>
      <c r="BE266" s="33">
        <v>0</v>
      </c>
      <c r="BF266" s="33">
        <v>0</v>
      </c>
      <c r="CE266" s="36">
        <v>232</v>
      </c>
      <c r="CF266" s="33">
        <v>4</v>
      </c>
      <c r="CG266" s="33">
        <v>5</v>
      </c>
      <c r="CH266" s="33">
        <v>4</v>
      </c>
      <c r="CI266" s="33">
        <v>2</v>
      </c>
      <c r="CJ266" s="33">
        <v>1</v>
      </c>
      <c r="CK266" s="33">
        <v>0</v>
      </c>
      <c r="CL266" s="33">
        <v>0</v>
      </c>
      <c r="CM266" s="33">
        <v>3</v>
      </c>
      <c r="CN266" s="33">
        <v>22</v>
      </c>
      <c r="CO266" s="33">
        <v>11</v>
      </c>
      <c r="CP266" s="43">
        <v>7.7935201847988732E-3</v>
      </c>
      <c r="CQ266" s="33">
        <v>0</v>
      </c>
      <c r="CR266" s="33">
        <v>0</v>
      </c>
    </row>
    <row r="267" spans="1:96" ht="15" customHeight="1" x14ac:dyDescent="0.25">
      <c r="A267" s="26">
        <v>265</v>
      </c>
      <c r="B267" s="27">
        <v>29</v>
      </c>
      <c r="C267" s="27">
        <v>0</v>
      </c>
      <c r="D267" s="27">
        <v>1</v>
      </c>
      <c r="E267" s="27">
        <v>1210</v>
      </c>
      <c r="F267" s="27">
        <v>1</v>
      </c>
      <c r="G267" s="27">
        <v>2</v>
      </c>
      <c r="H267" s="27">
        <v>3</v>
      </c>
      <c r="I267" s="27">
        <v>3</v>
      </c>
      <c r="J267" s="27">
        <v>1</v>
      </c>
      <c r="K267" s="27">
        <v>366</v>
      </c>
      <c r="L267" s="27">
        <v>1</v>
      </c>
      <c r="M267" s="27">
        <v>1</v>
      </c>
      <c r="N267" s="27">
        <v>78</v>
      </c>
      <c r="O267" s="27">
        <v>2</v>
      </c>
      <c r="P267" s="27">
        <v>2</v>
      </c>
      <c r="Q267" s="27">
        <v>1</v>
      </c>
      <c r="R267" s="27">
        <v>2</v>
      </c>
      <c r="S267" s="27">
        <v>2</v>
      </c>
      <c r="T267" s="27">
        <v>6644</v>
      </c>
      <c r="U267" s="27">
        <v>3687</v>
      </c>
      <c r="V267" s="27">
        <v>2</v>
      </c>
      <c r="W267" s="27">
        <v>0</v>
      </c>
      <c r="X267" s="27">
        <v>19</v>
      </c>
      <c r="Y267" s="27">
        <v>3</v>
      </c>
      <c r="Z267" s="27">
        <v>2</v>
      </c>
      <c r="AA267" s="27">
        <v>80</v>
      </c>
      <c r="AB267" s="27">
        <v>2</v>
      </c>
      <c r="AC267" s="27">
        <v>10</v>
      </c>
      <c r="AD267" s="27">
        <v>2</v>
      </c>
      <c r="AE267" s="27">
        <v>3</v>
      </c>
      <c r="AF267" s="27">
        <v>0</v>
      </c>
      <c r="AG267" s="27">
        <v>0</v>
      </c>
      <c r="AH267" s="27">
        <v>0</v>
      </c>
      <c r="AI267" s="28">
        <v>0</v>
      </c>
      <c r="AK267" s="36">
        <v>234</v>
      </c>
      <c r="AL267" s="33">
        <v>1</v>
      </c>
      <c r="AM267" s="33">
        <v>5</v>
      </c>
      <c r="AN267" s="33">
        <v>4</v>
      </c>
      <c r="AO267" s="33">
        <v>3</v>
      </c>
      <c r="AP267" s="33">
        <v>0</v>
      </c>
      <c r="AQ267" s="33">
        <v>1</v>
      </c>
      <c r="AR267" s="33">
        <v>2</v>
      </c>
      <c r="AS267" s="33">
        <v>7</v>
      </c>
      <c r="AT267" s="33">
        <v>0</v>
      </c>
      <c r="AU267" s="43">
        <v>7.1373093568126624E-3</v>
      </c>
      <c r="AV267" s="33">
        <v>0</v>
      </c>
      <c r="AW267" s="33">
        <v>0</v>
      </c>
      <c r="AY267" s="36">
        <v>239</v>
      </c>
      <c r="AZ267" s="33">
        <v>1</v>
      </c>
      <c r="BA267" s="33">
        <v>2</v>
      </c>
      <c r="BB267" s="33">
        <v>0</v>
      </c>
      <c r="BC267" s="33">
        <v>1</v>
      </c>
      <c r="BD267" s="43">
        <v>0.15461023487664</v>
      </c>
      <c r="BE267" s="33">
        <v>0</v>
      </c>
      <c r="BF267" s="33">
        <v>0</v>
      </c>
      <c r="CE267" s="36">
        <v>233</v>
      </c>
      <c r="CF267" s="33">
        <v>6</v>
      </c>
      <c r="CG267" s="33">
        <v>1</v>
      </c>
      <c r="CH267" s="33">
        <v>3</v>
      </c>
      <c r="CI267" s="33">
        <v>2</v>
      </c>
      <c r="CJ267" s="33">
        <v>8</v>
      </c>
      <c r="CK267" s="33">
        <v>0</v>
      </c>
      <c r="CL267" s="33">
        <v>0</v>
      </c>
      <c r="CM267" s="33">
        <v>2</v>
      </c>
      <c r="CN267" s="33">
        <v>2</v>
      </c>
      <c r="CO267" s="33">
        <v>2</v>
      </c>
      <c r="CP267" s="43">
        <v>0.25804768279704876</v>
      </c>
      <c r="CQ267" s="33">
        <v>0</v>
      </c>
      <c r="CR267" s="33">
        <v>0</v>
      </c>
    </row>
    <row r="268" spans="1:96" ht="15" customHeight="1" x14ac:dyDescent="0.25">
      <c r="A268" s="26">
        <v>266</v>
      </c>
      <c r="B268" s="27">
        <v>31</v>
      </c>
      <c r="C268" s="27">
        <v>0</v>
      </c>
      <c r="D268" s="27">
        <v>1</v>
      </c>
      <c r="E268" s="27">
        <v>1463</v>
      </c>
      <c r="F268" s="27">
        <v>2</v>
      </c>
      <c r="G268" s="27">
        <v>23</v>
      </c>
      <c r="H268" s="27">
        <v>3</v>
      </c>
      <c r="I268" s="27">
        <v>3</v>
      </c>
      <c r="J268" s="27">
        <v>1</v>
      </c>
      <c r="K268" s="27">
        <v>367</v>
      </c>
      <c r="L268" s="27">
        <v>2</v>
      </c>
      <c r="M268" s="27">
        <v>1</v>
      </c>
      <c r="N268" s="27">
        <v>64</v>
      </c>
      <c r="O268" s="27">
        <v>2</v>
      </c>
      <c r="P268" s="27">
        <v>2</v>
      </c>
      <c r="Q268" s="27">
        <v>5</v>
      </c>
      <c r="R268" s="27">
        <v>4</v>
      </c>
      <c r="S268" s="27">
        <v>2</v>
      </c>
      <c r="T268" s="27">
        <v>5582</v>
      </c>
      <c r="U268" s="27">
        <v>14408</v>
      </c>
      <c r="V268" s="27">
        <v>0</v>
      </c>
      <c r="W268" s="27">
        <v>0</v>
      </c>
      <c r="X268" s="27">
        <v>21</v>
      </c>
      <c r="Y268" s="27">
        <v>4</v>
      </c>
      <c r="Z268" s="27">
        <v>2</v>
      </c>
      <c r="AA268" s="27">
        <v>80</v>
      </c>
      <c r="AB268" s="27">
        <v>1</v>
      </c>
      <c r="AC268" s="27">
        <v>10</v>
      </c>
      <c r="AD268" s="27">
        <v>2</v>
      </c>
      <c r="AE268" s="27">
        <v>3</v>
      </c>
      <c r="AF268" s="27">
        <v>9</v>
      </c>
      <c r="AG268" s="27">
        <v>0</v>
      </c>
      <c r="AH268" s="27">
        <v>7</v>
      </c>
      <c r="AI268" s="28">
        <v>8</v>
      </c>
      <c r="AK268" s="36">
        <v>235</v>
      </c>
      <c r="AL268" s="33">
        <v>14</v>
      </c>
      <c r="AM268" s="33">
        <v>1</v>
      </c>
      <c r="AN268" s="33">
        <v>4</v>
      </c>
      <c r="AO268" s="33">
        <v>5</v>
      </c>
      <c r="AP268" s="33">
        <v>1</v>
      </c>
      <c r="AQ268" s="33">
        <v>1</v>
      </c>
      <c r="AR268" s="33">
        <v>1</v>
      </c>
      <c r="AS268" s="33">
        <v>5</v>
      </c>
      <c r="AT268" s="33">
        <v>0</v>
      </c>
      <c r="AU268" s="43">
        <v>0.43250130071871273</v>
      </c>
      <c r="AV268" s="33">
        <v>0</v>
      </c>
      <c r="AW268" s="33">
        <v>1</v>
      </c>
      <c r="AY268" s="36">
        <v>240</v>
      </c>
      <c r="AZ268" s="33">
        <v>1</v>
      </c>
      <c r="BA268" s="33">
        <v>3</v>
      </c>
      <c r="BB268" s="33">
        <v>1</v>
      </c>
      <c r="BC268" s="33">
        <v>0</v>
      </c>
      <c r="BD268" s="43">
        <v>0.49727340882350407</v>
      </c>
      <c r="BE268" s="33">
        <v>0</v>
      </c>
      <c r="BF268" s="33">
        <v>1</v>
      </c>
      <c r="CE268" s="36">
        <v>234</v>
      </c>
      <c r="CF268" s="33">
        <v>1</v>
      </c>
      <c r="CG268" s="33">
        <v>5</v>
      </c>
      <c r="CH268" s="33">
        <v>4</v>
      </c>
      <c r="CI268" s="33">
        <v>3</v>
      </c>
      <c r="CJ268" s="33">
        <v>3</v>
      </c>
      <c r="CK268" s="33">
        <v>0</v>
      </c>
      <c r="CL268" s="33">
        <v>1</v>
      </c>
      <c r="CM268" s="33">
        <v>2</v>
      </c>
      <c r="CN268" s="33">
        <v>7</v>
      </c>
      <c r="CO268" s="33">
        <v>0</v>
      </c>
      <c r="CP268" s="43">
        <v>4.091554349913303E-3</v>
      </c>
      <c r="CQ268" s="33">
        <v>0</v>
      </c>
      <c r="CR268" s="33">
        <v>0</v>
      </c>
    </row>
    <row r="269" spans="1:96" ht="15" customHeight="1" x14ac:dyDescent="0.25">
      <c r="A269" s="26">
        <v>267</v>
      </c>
      <c r="B269" s="27">
        <v>25</v>
      </c>
      <c r="C269" s="27">
        <v>0</v>
      </c>
      <c r="D269" s="27">
        <v>3</v>
      </c>
      <c r="E269" s="27">
        <v>675</v>
      </c>
      <c r="F269" s="27">
        <v>2</v>
      </c>
      <c r="G269" s="27">
        <v>5</v>
      </c>
      <c r="H269" s="27">
        <v>2</v>
      </c>
      <c r="I269" s="27">
        <v>1</v>
      </c>
      <c r="J269" s="27">
        <v>1</v>
      </c>
      <c r="K269" s="27">
        <v>369</v>
      </c>
      <c r="L269" s="27">
        <v>2</v>
      </c>
      <c r="M269" s="27">
        <v>1</v>
      </c>
      <c r="N269" s="27">
        <v>85</v>
      </c>
      <c r="O269" s="27">
        <v>4</v>
      </c>
      <c r="P269" s="27">
        <v>2</v>
      </c>
      <c r="Q269" s="27">
        <v>5</v>
      </c>
      <c r="R269" s="27">
        <v>1</v>
      </c>
      <c r="S269" s="27">
        <v>3</v>
      </c>
      <c r="T269" s="27">
        <v>4000</v>
      </c>
      <c r="U269" s="27">
        <v>18384</v>
      </c>
      <c r="V269" s="27">
        <v>1</v>
      </c>
      <c r="W269" s="27">
        <v>0</v>
      </c>
      <c r="X269" s="27">
        <v>12</v>
      </c>
      <c r="Y269" s="27">
        <v>3</v>
      </c>
      <c r="Z269" s="27">
        <v>4</v>
      </c>
      <c r="AA269" s="27">
        <v>80</v>
      </c>
      <c r="AB269" s="27">
        <v>2</v>
      </c>
      <c r="AC269" s="27">
        <v>6</v>
      </c>
      <c r="AD269" s="27">
        <v>2</v>
      </c>
      <c r="AE269" s="27">
        <v>3</v>
      </c>
      <c r="AF269" s="27">
        <v>6</v>
      </c>
      <c r="AG269" s="27">
        <v>3</v>
      </c>
      <c r="AH269" s="27">
        <v>1</v>
      </c>
      <c r="AI269" s="28">
        <v>5</v>
      </c>
      <c r="AK269" s="36">
        <v>236</v>
      </c>
      <c r="AL269" s="33">
        <v>16</v>
      </c>
      <c r="AM269" s="33">
        <v>4</v>
      </c>
      <c r="AN269" s="33">
        <v>4</v>
      </c>
      <c r="AO269" s="33">
        <v>5</v>
      </c>
      <c r="AP269" s="33">
        <v>1</v>
      </c>
      <c r="AQ269" s="33">
        <v>1</v>
      </c>
      <c r="AR269" s="33">
        <v>3</v>
      </c>
      <c r="AS269" s="33">
        <v>17</v>
      </c>
      <c r="AT269" s="33">
        <v>1</v>
      </c>
      <c r="AU269" s="43">
        <v>4.4103309232982189E-2</v>
      </c>
      <c r="AV269" s="33">
        <v>0</v>
      </c>
      <c r="AW269" s="33">
        <v>0</v>
      </c>
      <c r="AY269" s="36">
        <v>241</v>
      </c>
      <c r="AZ269" s="33">
        <v>1</v>
      </c>
      <c r="BA269" s="33">
        <v>3</v>
      </c>
      <c r="BB269" s="33">
        <v>0</v>
      </c>
      <c r="BC269" s="33">
        <v>3</v>
      </c>
      <c r="BD269" s="43">
        <v>4.5366993313288043E-2</v>
      </c>
      <c r="BE269" s="33">
        <v>0</v>
      </c>
      <c r="BF269" s="33">
        <v>0</v>
      </c>
      <c r="CE269" s="36">
        <v>235</v>
      </c>
      <c r="CF269" s="33">
        <v>14</v>
      </c>
      <c r="CG269" s="33">
        <v>1</v>
      </c>
      <c r="CH269" s="33">
        <v>4</v>
      </c>
      <c r="CI269" s="33">
        <v>2</v>
      </c>
      <c r="CJ269" s="33">
        <v>5</v>
      </c>
      <c r="CK269" s="33">
        <v>1</v>
      </c>
      <c r="CL269" s="33">
        <v>1</v>
      </c>
      <c r="CM269" s="33">
        <v>1</v>
      </c>
      <c r="CN269" s="33">
        <v>5</v>
      </c>
      <c r="CO269" s="33">
        <v>0</v>
      </c>
      <c r="CP269" s="43">
        <v>0.43393097594093627</v>
      </c>
      <c r="CQ269" s="33">
        <v>0</v>
      </c>
      <c r="CR269" s="33">
        <v>1</v>
      </c>
    </row>
    <row r="270" spans="1:96" ht="15" customHeight="1" x14ac:dyDescent="0.25">
      <c r="A270" s="26">
        <v>268</v>
      </c>
      <c r="B270" s="27">
        <v>45</v>
      </c>
      <c r="C270" s="27">
        <v>0</v>
      </c>
      <c r="D270" s="27">
        <v>1</v>
      </c>
      <c r="E270" s="27">
        <v>1385</v>
      </c>
      <c r="F270" s="27">
        <v>2</v>
      </c>
      <c r="G270" s="27">
        <v>20</v>
      </c>
      <c r="H270" s="27">
        <v>2</v>
      </c>
      <c r="I270" s="27">
        <v>3</v>
      </c>
      <c r="J270" s="27">
        <v>1</v>
      </c>
      <c r="K270" s="27">
        <v>372</v>
      </c>
      <c r="L270" s="27">
        <v>3</v>
      </c>
      <c r="M270" s="27">
        <v>1</v>
      </c>
      <c r="N270" s="27">
        <v>79</v>
      </c>
      <c r="O270" s="27">
        <v>3</v>
      </c>
      <c r="P270" s="27">
        <v>4</v>
      </c>
      <c r="Q270" s="27">
        <v>5</v>
      </c>
      <c r="R270" s="27">
        <v>4</v>
      </c>
      <c r="S270" s="27">
        <v>2</v>
      </c>
      <c r="T270" s="27">
        <v>13496</v>
      </c>
      <c r="U270" s="27">
        <v>7501</v>
      </c>
      <c r="V270" s="27">
        <v>0</v>
      </c>
      <c r="W270" s="27">
        <v>1</v>
      </c>
      <c r="X270" s="27">
        <v>14</v>
      </c>
      <c r="Y270" s="27">
        <v>3</v>
      </c>
      <c r="Z270" s="27">
        <v>2</v>
      </c>
      <c r="AA270" s="27">
        <v>80</v>
      </c>
      <c r="AB270" s="27">
        <v>0</v>
      </c>
      <c r="AC270" s="27">
        <v>21</v>
      </c>
      <c r="AD270" s="27">
        <v>2</v>
      </c>
      <c r="AE270" s="27">
        <v>3</v>
      </c>
      <c r="AF270" s="27">
        <v>20</v>
      </c>
      <c r="AG270" s="27">
        <v>7</v>
      </c>
      <c r="AH270" s="27">
        <v>4</v>
      </c>
      <c r="AI270" s="28">
        <v>10</v>
      </c>
      <c r="AK270" s="36">
        <v>237</v>
      </c>
      <c r="AL270" s="33">
        <v>2</v>
      </c>
      <c r="AM270" s="33">
        <v>1</v>
      </c>
      <c r="AN270" s="33">
        <v>1</v>
      </c>
      <c r="AO270" s="33">
        <v>7</v>
      </c>
      <c r="AP270" s="33">
        <v>0</v>
      </c>
      <c r="AQ270" s="33">
        <v>0</v>
      </c>
      <c r="AR270" s="33">
        <v>4</v>
      </c>
      <c r="AS270" s="33">
        <v>9</v>
      </c>
      <c r="AT270" s="33">
        <v>1</v>
      </c>
      <c r="AU270" s="43">
        <v>0.19590623413603725</v>
      </c>
      <c r="AV270" s="33">
        <v>0</v>
      </c>
      <c r="AW270" s="33">
        <v>1</v>
      </c>
      <c r="AY270" s="36">
        <v>242</v>
      </c>
      <c r="AZ270" s="33">
        <v>2</v>
      </c>
      <c r="BA270" s="33">
        <v>4</v>
      </c>
      <c r="BB270" s="33">
        <v>0</v>
      </c>
      <c r="BC270" s="33">
        <v>0</v>
      </c>
      <c r="BD270" s="43">
        <v>8.9935487507215722E-2</v>
      </c>
      <c r="BE270" s="33">
        <v>0</v>
      </c>
      <c r="BF270" s="33">
        <v>0</v>
      </c>
      <c r="CE270" s="36">
        <v>236</v>
      </c>
      <c r="CF270" s="33">
        <v>16</v>
      </c>
      <c r="CG270" s="33">
        <v>4</v>
      </c>
      <c r="CH270" s="33">
        <v>4</v>
      </c>
      <c r="CI270" s="33">
        <v>2</v>
      </c>
      <c r="CJ270" s="33">
        <v>5</v>
      </c>
      <c r="CK270" s="33">
        <v>1</v>
      </c>
      <c r="CL270" s="33">
        <v>1</v>
      </c>
      <c r="CM270" s="33">
        <v>3</v>
      </c>
      <c r="CN270" s="33">
        <v>17</v>
      </c>
      <c r="CO270" s="33">
        <v>1</v>
      </c>
      <c r="CP270" s="43">
        <v>4.4250871604291551E-2</v>
      </c>
      <c r="CQ270" s="33">
        <v>0</v>
      </c>
      <c r="CR270" s="33">
        <v>0</v>
      </c>
    </row>
    <row r="271" spans="1:96" ht="15" customHeight="1" x14ac:dyDescent="0.25">
      <c r="A271" s="26">
        <v>269</v>
      </c>
      <c r="B271" s="27">
        <v>36</v>
      </c>
      <c r="C271" s="27">
        <v>0</v>
      </c>
      <c r="D271" s="27">
        <v>1</v>
      </c>
      <c r="E271" s="27">
        <v>1403</v>
      </c>
      <c r="F271" s="27">
        <v>2</v>
      </c>
      <c r="G271" s="27">
        <v>6</v>
      </c>
      <c r="H271" s="27">
        <v>3</v>
      </c>
      <c r="I271" s="27">
        <v>1</v>
      </c>
      <c r="J271" s="27">
        <v>1</v>
      </c>
      <c r="K271" s="27">
        <v>373</v>
      </c>
      <c r="L271" s="27">
        <v>4</v>
      </c>
      <c r="M271" s="27">
        <v>1</v>
      </c>
      <c r="N271" s="27">
        <v>47</v>
      </c>
      <c r="O271" s="27">
        <v>3</v>
      </c>
      <c r="P271" s="27">
        <v>1</v>
      </c>
      <c r="Q271" s="27">
        <v>3</v>
      </c>
      <c r="R271" s="27">
        <v>4</v>
      </c>
      <c r="S271" s="27">
        <v>2</v>
      </c>
      <c r="T271" s="27">
        <v>3210</v>
      </c>
      <c r="U271" s="27">
        <v>20251</v>
      </c>
      <c r="V271" s="27">
        <v>0</v>
      </c>
      <c r="W271" s="27">
        <v>0</v>
      </c>
      <c r="X271" s="27">
        <v>11</v>
      </c>
      <c r="Y271" s="27">
        <v>3</v>
      </c>
      <c r="Z271" s="27">
        <v>3</v>
      </c>
      <c r="AA271" s="27">
        <v>80</v>
      </c>
      <c r="AB271" s="27">
        <v>1</v>
      </c>
      <c r="AC271" s="27">
        <v>16</v>
      </c>
      <c r="AD271" s="27">
        <v>4</v>
      </c>
      <c r="AE271" s="27">
        <v>3</v>
      </c>
      <c r="AF271" s="27">
        <v>15</v>
      </c>
      <c r="AG271" s="27">
        <v>13</v>
      </c>
      <c r="AH271" s="27">
        <v>10</v>
      </c>
      <c r="AI271" s="28">
        <v>11</v>
      </c>
      <c r="AK271" s="36">
        <v>238</v>
      </c>
      <c r="AL271" s="33">
        <v>2</v>
      </c>
      <c r="AM271" s="33">
        <v>5</v>
      </c>
      <c r="AN271" s="33">
        <v>3</v>
      </c>
      <c r="AO271" s="33">
        <v>1</v>
      </c>
      <c r="AP271" s="33">
        <v>1</v>
      </c>
      <c r="AQ271" s="33">
        <v>0</v>
      </c>
      <c r="AR271" s="33">
        <v>4</v>
      </c>
      <c r="AS271" s="33">
        <v>33</v>
      </c>
      <c r="AT271" s="33">
        <v>15</v>
      </c>
      <c r="AU271" s="43">
        <v>3.3094570642158282E-2</v>
      </c>
      <c r="AV271" s="33">
        <v>0</v>
      </c>
      <c r="AW271" s="33">
        <v>0</v>
      </c>
      <c r="AY271" s="36">
        <v>243</v>
      </c>
      <c r="AZ271" s="33">
        <v>2</v>
      </c>
      <c r="BA271" s="33">
        <v>1</v>
      </c>
      <c r="BB271" s="33">
        <v>0</v>
      </c>
      <c r="BC271" s="33">
        <v>2</v>
      </c>
      <c r="BD271" s="43">
        <v>7.638126547101505E-2</v>
      </c>
      <c r="BE271" s="33">
        <v>0</v>
      </c>
      <c r="BF271" s="33">
        <v>0</v>
      </c>
      <c r="CE271" s="36">
        <v>237</v>
      </c>
      <c r="CF271" s="33">
        <v>2</v>
      </c>
      <c r="CG271" s="33">
        <v>1</v>
      </c>
      <c r="CH271" s="33">
        <v>1</v>
      </c>
      <c r="CI271" s="33">
        <v>2</v>
      </c>
      <c r="CJ271" s="33">
        <v>7</v>
      </c>
      <c r="CK271" s="33">
        <v>0</v>
      </c>
      <c r="CL271" s="33">
        <v>0</v>
      </c>
      <c r="CM271" s="33">
        <v>4</v>
      </c>
      <c r="CN271" s="33">
        <v>9</v>
      </c>
      <c r="CO271" s="33">
        <v>1</v>
      </c>
      <c r="CP271" s="43">
        <v>0.14472283088797208</v>
      </c>
      <c r="CQ271" s="33">
        <v>0</v>
      </c>
      <c r="CR271" s="33">
        <v>1</v>
      </c>
    </row>
    <row r="272" spans="1:96" ht="15" customHeight="1" x14ac:dyDescent="0.25">
      <c r="A272" s="26">
        <v>270</v>
      </c>
      <c r="B272" s="27">
        <v>55</v>
      </c>
      <c r="C272" s="27">
        <v>0</v>
      </c>
      <c r="D272" s="27">
        <v>1</v>
      </c>
      <c r="E272" s="27">
        <v>452</v>
      </c>
      <c r="F272" s="27">
        <v>2</v>
      </c>
      <c r="G272" s="27">
        <v>1</v>
      </c>
      <c r="H272" s="27">
        <v>3</v>
      </c>
      <c r="I272" s="27">
        <v>3</v>
      </c>
      <c r="J272" s="27">
        <v>1</v>
      </c>
      <c r="K272" s="27">
        <v>374</v>
      </c>
      <c r="L272" s="27">
        <v>4</v>
      </c>
      <c r="M272" s="27">
        <v>1</v>
      </c>
      <c r="N272" s="27">
        <v>81</v>
      </c>
      <c r="O272" s="27">
        <v>3</v>
      </c>
      <c r="P272" s="27">
        <v>5</v>
      </c>
      <c r="Q272" s="27">
        <v>6</v>
      </c>
      <c r="R272" s="27">
        <v>1</v>
      </c>
      <c r="S272" s="27">
        <v>1</v>
      </c>
      <c r="T272" s="27">
        <v>19045</v>
      </c>
      <c r="U272" s="27">
        <v>18938</v>
      </c>
      <c r="V272" s="27">
        <v>0</v>
      </c>
      <c r="W272" s="27">
        <v>1</v>
      </c>
      <c r="X272" s="27">
        <v>14</v>
      </c>
      <c r="Y272" s="27">
        <v>3</v>
      </c>
      <c r="Z272" s="27">
        <v>3</v>
      </c>
      <c r="AA272" s="27">
        <v>80</v>
      </c>
      <c r="AB272" s="27">
        <v>0</v>
      </c>
      <c r="AC272" s="27">
        <v>37</v>
      </c>
      <c r="AD272" s="27">
        <v>2</v>
      </c>
      <c r="AE272" s="27">
        <v>3</v>
      </c>
      <c r="AF272" s="27">
        <v>36</v>
      </c>
      <c r="AG272" s="27">
        <v>10</v>
      </c>
      <c r="AH272" s="27">
        <v>4</v>
      </c>
      <c r="AI272" s="28">
        <v>13</v>
      </c>
      <c r="AK272" s="36">
        <v>239</v>
      </c>
      <c r="AL272" s="33">
        <v>4</v>
      </c>
      <c r="AM272" s="33">
        <v>1</v>
      </c>
      <c r="AN272" s="33">
        <v>2</v>
      </c>
      <c r="AO272" s="33">
        <v>2</v>
      </c>
      <c r="AP272" s="33">
        <v>0</v>
      </c>
      <c r="AQ272" s="33">
        <v>1</v>
      </c>
      <c r="AR272" s="33">
        <v>3</v>
      </c>
      <c r="AS272" s="33">
        <v>4</v>
      </c>
      <c r="AT272" s="33">
        <v>1</v>
      </c>
      <c r="AU272" s="43">
        <v>0.11600415039226719</v>
      </c>
      <c r="AV272" s="33">
        <v>0</v>
      </c>
      <c r="AW272" s="33">
        <v>0</v>
      </c>
      <c r="AY272" s="36">
        <v>244</v>
      </c>
      <c r="AZ272" s="33">
        <v>2</v>
      </c>
      <c r="BA272" s="33">
        <v>4</v>
      </c>
      <c r="BB272" s="33">
        <v>0</v>
      </c>
      <c r="BC272" s="33">
        <v>2</v>
      </c>
      <c r="BD272" s="43">
        <v>3.3256067423154199E-2</v>
      </c>
      <c r="BE272" s="33">
        <v>0</v>
      </c>
      <c r="BF272" s="33">
        <v>0</v>
      </c>
      <c r="CE272" s="36">
        <v>238</v>
      </c>
      <c r="CF272" s="33">
        <v>2</v>
      </c>
      <c r="CG272" s="33">
        <v>5</v>
      </c>
      <c r="CH272" s="33">
        <v>3</v>
      </c>
      <c r="CI272" s="33">
        <v>1</v>
      </c>
      <c r="CJ272" s="33">
        <v>1</v>
      </c>
      <c r="CK272" s="33">
        <v>1</v>
      </c>
      <c r="CL272" s="33">
        <v>0</v>
      </c>
      <c r="CM272" s="33">
        <v>4</v>
      </c>
      <c r="CN272" s="33">
        <v>33</v>
      </c>
      <c r="CO272" s="33">
        <v>15</v>
      </c>
      <c r="CP272" s="43">
        <v>4.2475509953001013E-2</v>
      </c>
      <c r="CQ272" s="33">
        <v>0</v>
      </c>
      <c r="CR272" s="33">
        <v>0</v>
      </c>
    </row>
    <row r="273" spans="1:96" ht="15" customHeight="1" x14ac:dyDescent="0.25">
      <c r="A273" s="26">
        <v>271</v>
      </c>
      <c r="B273" s="27">
        <v>47</v>
      </c>
      <c r="C273" s="27">
        <v>1</v>
      </c>
      <c r="D273" s="27">
        <v>3</v>
      </c>
      <c r="E273" s="27">
        <v>666</v>
      </c>
      <c r="F273" s="27">
        <v>2</v>
      </c>
      <c r="G273" s="27">
        <v>29</v>
      </c>
      <c r="H273" s="27">
        <v>4</v>
      </c>
      <c r="I273" s="27">
        <v>1</v>
      </c>
      <c r="J273" s="27">
        <v>1</v>
      </c>
      <c r="K273" s="27">
        <v>376</v>
      </c>
      <c r="L273" s="27">
        <v>1</v>
      </c>
      <c r="M273" s="27">
        <v>1</v>
      </c>
      <c r="N273" s="27">
        <v>88</v>
      </c>
      <c r="O273" s="27">
        <v>3</v>
      </c>
      <c r="P273" s="27">
        <v>3</v>
      </c>
      <c r="Q273" s="27">
        <v>6</v>
      </c>
      <c r="R273" s="27">
        <v>2</v>
      </c>
      <c r="S273" s="27">
        <v>2</v>
      </c>
      <c r="T273" s="27">
        <v>11849</v>
      </c>
      <c r="U273" s="27">
        <v>10268</v>
      </c>
      <c r="V273" s="27">
        <v>1</v>
      </c>
      <c r="W273" s="27">
        <v>1</v>
      </c>
      <c r="X273" s="27">
        <v>12</v>
      </c>
      <c r="Y273" s="27">
        <v>3</v>
      </c>
      <c r="Z273" s="27">
        <v>4</v>
      </c>
      <c r="AA273" s="27">
        <v>80</v>
      </c>
      <c r="AB273" s="27">
        <v>1</v>
      </c>
      <c r="AC273" s="27">
        <v>10</v>
      </c>
      <c r="AD273" s="27">
        <v>2</v>
      </c>
      <c r="AE273" s="27">
        <v>2</v>
      </c>
      <c r="AF273" s="27">
        <v>10</v>
      </c>
      <c r="AG273" s="27">
        <v>7</v>
      </c>
      <c r="AH273" s="27">
        <v>9</v>
      </c>
      <c r="AI273" s="28">
        <v>9</v>
      </c>
      <c r="AK273" s="36">
        <v>240</v>
      </c>
      <c r="AL273" s="33">
        <v>1</v>
      </c>
      <c r="AM273" s="33">
        <v>1</v>
      </c>
      <c r="AN273" s="33">
        <v>3</v>
      </c>
      <c r="AO273" s="33">
        <v>0</v>
      </c>
      <c r="AP273" s="33">
        <v>1</v>
      </c>
      <c r="AQ273" s="33">
        <v>0</v>
      </c>
      <c r="AR273" s="33">
        <v>1</v>
      </c>
      <c r="AS273" s="33">
        <v>3</v>
      </c>
      <c r="AT273" s="33">
        <v>1</v>
      </c>
      <c r="AU273" s="43">
        <v>0.49696300904866669</v>
      </c>
      <c r="AV273" s="33">
        <v>0</v>
      </c>
      <c r="AW273" s="33">
        <v>1</v>
      </c>
      <c r="AY273" s="36">
        <v>245</v>
      </c>
      <c r="AZ273" s="33">
        <v>5</v>
      </c>
      <c r="BA273" s="33">
        <v>4</v>
      </c>
      <c r="BB273" s="33">
        <v>0</v>
      </c>
      <c r="BC273" s="33">
        <v>1</v>
      </c>
      <c r="BD273" s="43">
        <v>1.0800557147898916E-2</v>
      </c>
      <c r="BE273" s="33">
        <v>0</v>
      </c>
      <c r="BF273" s="33">
        <v>0</v>
      </c>
      <c r="CE273" s="36">
        <v>239</v>
      </c>
      <c r="CF273" s="33">
        <v>4</v>
      </c>
      <c r="CG273" s="33">
        <v>1</v>
      </c>
      <c r="CH273" s="33">
        <v>2</v>
      </c>
      <c r="CI273" s="33">
        <v>2</v>
      </c>
      <c r="CJ273" s="33">
        <v>2</v>
      </c>
      <c r="CK273" s="33">
        <v>0</v>
      </c>
      <c r="CL273" s="33">
        <v>1</v>
      </c>
      <c r="CM273" s="33">
        <v>3</v>
      </c>
      <c r="CN273" s="33">
        <v>4</v>
      </c>
      <c r="CO273" s="33">
        <v>1</v>
      </c>
      <c r="CP273" s="43">
        <v>0.11313872185090448</v>
      </c>
      <c r="CQ273" s="33">
        <v>0</v>
      </c>
      <c r="CR273" s="33">
        <v>0</v>
      </c>
    </row>
    <row r="274" spans="1:96" ht="15" customHeight="1" x14ac:dyDescent="0.25">
      <c r="A274" s="26">
        <v>272</v>
      </c>
      <c r="B274" s="27">
        <v>28</v>
      </c>
      <c r="C274" s="27">
        <v>0</v>
      </c>
      <c r="D274" s="27">
        <v>1</v>
      </c>
      <c r="E274" s="27">
        <v>1158</v>
      </c>
      <c r="F274" s="27">
        <v>2</v>
      </c>
      <c r="G274" s="27">
        <v>9</v>
      </c>
      <c r="H274" s="27">
        <v>3</v>
      </c>
      <c r="I274" s="27">
        <v>3</v>
      </c>
      <c r="J274" s="27">
        <v>1</v>
      </c>
      <c r="K274" s="27">
        <v>377</v>
      </c>
      <c r="L274" s="27">
        <v>4</v>
      </c>
      <c r="M274" s="27">
        <v>1</v>
      </c>
      <c r="N274" s="27">
        <v>94</v>
      </c>
      <c r="O274" s="27">
        <v>3</v>
      </c>
      <c r="P274" s="27">
        <v>1</v>
      </c>
      <c r="Q274" s="27">
        <v>2</v>
      </c>
      <c r="R274" s="27">
        <v>4</v>
      </c>
      <c r="S274" s="27">
        <v>2</v>
      </c>
      <c r="T274" s="27">
        <v>2070</v>
      </c>
      <c r="U274" s="27">
        <v>2613</v>
      </c>
      <c r="V274" s="27">
        <v>1</v>
      </c>
      <c r="W274" s="27">
        <v>0</v>
      </c>
      <c r="X274" s="27">
        <v>23</v>
      </c>
      <c r="Y274" s="27">
        <v>4</v>
      </c>
      <c r="Z274" s="27">
        <v>4</v>
      </c>
      <c r="AA274" s="27">
        <v>80</v>
      </c>
      <c r="AB274" s="27">
        <v>1</v>
      </c>
      <c r="AC274" s="27">
        <v>5</v>
      </c>
      <c r="AD274" s="27">
        <v>3</v>
      </c>
      <c r="AE274" s="27">
        <v>2</v>
      </c>
      <c r="AF274" s="27">
        <v>5</v>
      </c>
      <c r="AG274" s="27">
        <v>2</v>
      </c>
      <c r="AH274" s="27">
        <v>0</v>
      </c>
      <c r="AI274" s="28">
        <v>4</v>
      </c>
      <c r="AK274" s="36">
        <v>241</v>
      </c>
      <c r="AL274" s="33">
        <v>1</v>
      </c>
      <c r="AM274" s="33">
        <v>1</v>
      </c>
      <c r="AN274" s="33">
        <v>3</v>
      </c>
      <c r="AO274" s="33">
        <v>7</v>
      </c>
      <c r="AP274" s="33">
        <v>0</v>
      </c>
      <c r="AQ274" s="33">
        <v>3</v>
      </c>
      <c r="AR274" s="33">
        <v>3</v>
      </c>
      <c r="AS274" s="33">
        <v>3</v>
      </c>
      <c r="AT274" s="33">
        <v>1</v>
      </c>
      <c r="AU274" s="43">
        <v>4.4533075410871079E-2</v>
      </c>
      <c r="AV274" s="33">
        <v>0</v>
      </c>
      <c r="AW274" s="33">
        <v>0</v>
      </c>
      <c r="AY274" s="36">
        <v>246</v>
      </c>
      <c r="AZ274" s="33">
        <v>3</v>
      </c>
      <c r="BA274" s="33">
        <v>3</v>
      </c>
      <c r="BB274" s="33">
        <v>0</v>
      </c>
      <c r="BC274" s="33">
        <v>1</v>
      </c>
      <c r="BD274" s="43">
        <v>4.2774603045834733E-2</v>
      </c>
      <c r="BE274" s="33">
        <v>0</v>
      </c>
      <c r="BF274" s="33">
        <v>0</v>
      </c>
      <c r="CE274" s="36">
        <v>240</v>
      </c>
      <c r="CF274" s="33">
        <v>1</v>
      </c>
      <c r="CG274" s="33">
        <v>1</v>
      </c>
      <c r="CH274" s="33">
        <v>3</v>
      </c>
      <c r="CI274" s="33">
        <v>1</v>
      </c>
      <c r="CJ274" s="33">
        <v>0</v>
      </c>
      <c r="CK274" s="33">
        <v>1</v>
      </c>
      <c r="CL274" s="33">
        <v>0</v>
      </c>
      <c r="CM274" s="33">
        <v>1</v>
      </c>
      <c r="CN274" s="33">
        <v>3</v>
      </c>
      <c r="CO274" s="33">
        <v>1</v>
      </c>
      <c r="CP274" s="43">
        <v>0.55546214193911092</v>
      </c>
      <c r="CQ274" s="33">
        <v>1</v>
      </c>
      <c r="CR274" s="33">
        <v>1</v>
      </c>
    </row>
    <row r="275" spans="1:96" ht="15" customHeight="1" x14ac:dyDescent="0.25">
      <c r="A275" s="26">
        <v>273</v>
      </c>
      <c r="B275" s="27">
        <v>37</v>
      </c>
      <c r="C275" s="27">
        <v>0</v>
      </c>
      <c r="D275" s="27">
        <v>1</v>
      </c>
      <c r="E275" s="27">
        <v>228</v>
      </c>
      <c r="F275" s="27">
        <v>1</v>
      </c>
      <c r="G275" s="27">
        <v>6</v>
      </c>
      <c r="H275" s="27">
        <v>4</v>
      </c>
      <c r="I275" s="27">
        <v>3</v>
      </c>
      <c r="J275" s="27">
        <v>1</v>
      </c>
      <c r="K275" s="27">
        <v>378</v>
      </c>
      <c r="L275" s="27">
        <v>3</v>
      </c>
      <c r="M275" s="27">
        <v>1</v>
      </c>
      <c r="N275" s="27">
        <v>98</v>
      </c>
      <c r="O275" s="27">
        <v>3</v>
      </c>
      <c r="P275" s="27">
        <v>2</v>
      </c>
      <c r="Q275" s="27">
        <v>1</v>
      </c>
      <c r="R275" s="27">
        <v>4</v>
      </c>
      <c r="S275" s="27">
        <v>2</v>
      </c>
      <c r="T275" s="27">
        <v>6502</v>
      </c>
      <c r="U275" s="27">
        <v>22825</v>
      </c>
      <c r="V275" s="27">
        <v>4</v>
      </c>
      <c r="W275" s="27">
        <v>0</v>
      </c>
      <c r="X275" s="27">
        <v>14</v>
      </c>
      <c r="Y275" s="27">
        <v>3</v>
      </c>
      <c r="Z275" s="27">
        <v>2</v>
      </c>
      <c r="AA275" s="27">
        <v>80</v>
      </c>
      <c r="AB275" s="27">
        <v>1</v>
      </c>
      <c r="AC275" s="27">
        <v>7</v>
      </c>
      <c r="AD275" s="27">
        <v>5</v>
      </c>
      <c r="AE275" s="27">
        <v>4</v>
      </c>
      <c r="AF275" s="27">
        <v>5</v>
      </c>
      <c r="AG275" s="27">
        <v>4</v>
      </c>
      <c r="AH275" s="27">
        <v>0</v>
      </c>
      <c r="AI275" s="28">
        <v>1</v>
      </c>
      <c r="AK275" s="36">
        <v>242</v>
      </c>
      <c r="AL275" s="33">
        <v>26</v>
      </c>
      <c r="AM275" s="33">
        <v>2</v>
      </c>
      <c r="AN275" s="33">
        <v>4</v>
      </c>
      <c r="AO275" s="33">
        <v>0</v>
      </c>
      <c r="AP275" s="33">
        <v>0</v>
      </c>
      <c r="AQ275" s="33">
        <v>0</v>
      </c>
      <c r="AR275" s="33">
        <v>3</v>
      </c>
      <c r="AS275" s="33">
        <v>3</v>
      </c>
      <c r="AT275" s="33">
        <v>2</v>
      </c>
      <c r="AU275" s="43">
        <v>0.13683154150233209</v>
      </c>
      <c r="AV275" s="33">
        <v>0</v>
      </c>
      <c r="AW275" s="33">
        <v>0</v>
      </c>
      <c r="AY275" s="36">
        <v>247</v>
      </c>
      <c r="AZ275" s="33">
        <v>1</v>
      </c>
      <c r="BA275" s="33">
        <v>4</v>
      </c>
      <c r="BB275" s="33">
        <v>0</v>
      </c>
      <c r="BC275" s="33">
        <v>1</v>
      </c>
      <c r="BD275" s="43">
        <v>9.2486413274924434E-2</v>
      </c>
      <c r="BE275" s="33">
        <v>0</v>
      </c>
      <c r="BF275" s="33">
        <v>0</v>
      </c>
      <c r="CE275" s="36">
        <v>241</v>
      </c>
      <c r="CF275" s="33">
        <v>1</v>
      </c>
      <c r="CG275" s="33">
        <v>1</v>
      </c>
      <c r="CH275" s="33">
        <v>3</v>
      </c>
      <c r="CI275" s="33">
        <v>3</v>
      </c>
      <c r="CJ275" s="33">
        <v>7</v>
      </c>
      <c r="CK275" s="33">
        <v>0</v>
      </c>
      <c r="CL275" s="33">
        <v>3</v>
      </c>
      <c r="CM275" s="33">
        <v>3</v>
      </c>
      <c r="CN275" s="33">
        <v>3</v>
      </c>
      <c r="CO275" s="33">
        <v>1</v>
      </c>
      <c r="CP275" s="43">
        <v>4.8811689729607033E-2</v>
      </c>
      <c r="CQ275" s="33">
        <v>0</v>
      </c>
      <c r="CR275" s="33">
        <v>0</v>
      </c>
    </row>
    <row r="276" spans="1:96" ht="15" customHeight="1" x14ac:dyDescent="0.25">
      <c r="A276" s="26">
        <v>274</v>
      </c>
      <c r="B276" s="27">
        <v>21</v>
      </c>
      <c r="C276" s="27">
        <v>0</v>
      </c>
      <c r="D276" s="27">
        <v>1</v>
      </c>
      <c r="E276" s="27">
        <v>996</v>
      </c>
      <c r="F276" s="27">
        <v>2</v>
      </c>
      <c r="G276" s="27">
        <v>3</v>
      </c>
      <c r="H276" s="27">
        <v>2</v>
      </c>
      <c r="I276" s="27">
        <v>3</v>
      </c>
      <c r="J276" s="27">
        <v>1</v>
      </c>
      <c r="K276" s="27">
        <v>379</v>
      </c>
      <c r="L276" s="27">
        <v>4</v>
      </c>
      <c r="M276" s="27">
        <v>1</v>
      </c>
      <c r="N276" s="27">
        <v>100</v>
      </c>
      <c r="O276" s="27">
        <v>2</v>
      </c>
      <c r="P276" s="27">
        <v>1</v>
      </c>
      <c r="Q276" s="27">
        <v>2</v>
      </c>
      <c r="R276" s="27">
        <v>3</v>
      </c>
      <c r="S276" s="27">
        <v>1</v>
      </c>
      <c r="T276" s="27">
        <v>3230</v>
      </c>
      <c r="U276" s="27">
        <v>10531</v>
      </c>
      <c r="V276" s="27">
        <v>1</v>
      </c>
      <c r="W276" s="27">
        <v>0</v>
      </c>
      <c r="X276" s="27">
        <v>17</v>
      </c>
      <c r="Y276" s="27">
        <v>3</v>
      </c>
      <c r="Z276" s="27">
        <v>1</v>
      </c>
      <c r="AA276" s="27">
        <v>80</v>
      </c>
      <c r="AB276" s="27">
        <v>0</v>
      </c>
      <c r="AC276" s="27">
        <v>3</v>
      </c>
      <c r="AD276" s="27">
        <v>4</v>
      </c>
      <c r="AE276" s="27">
        <v>4</v>
      </c>
      <c r="AF276" s="27">
        <v>3</v>
      </c>
      <c r="AG276" s="27">
        <v>2</v>
      </c>
      <c r="AH276" s="27">
        <v>1</v>
      </c>
      <c r="AI276" s="28">
        <v>0</v>
      </c>
      <c r="AK276" s="36">
        <v>243</v>
      </c>
      <c r="AL276" s="33">
        <v>19</v>
      </c>
      <c r="AM276" s="33">
        <v>2</v>
      </c>
      <c r="AN276" s="33">
        <v>1</v>
      </c>
      <c r="AO276" s="33">
        <v>2</v>
      </c>
      <c r="AP276" s="33">
        <v>0</v>
      </c>
      <c r="AQ276" s="33">
        <v>2</v>
      </c>
      <c r="AR276" s="33">
        <v>2</v>
      </c>
      <c r="AS276" s="33">
        <v>1</v>
      </c>
      <c r="AT276" s="33">
        <v>0</v>
      </c>
      <c r="AU276" s="43">
        <v>0.11738208213149057</v>
      </c>
      <c r="AV276" s="33">
        <v>0</v>
      </c>
      <c r="AW276" s="33">
        <v>0</v>
      </c>
      <c r="AY276" s="36">
        <v>248</v>
      </c>
      <c r="AZ276" s="33">
        <v>2</v>
      </c>
      <c r="BA276" s="33">
        <v>1</v>
      </c>
      <c r="BB276" s="33">
        <v>0</v>
      </c>
      <c r="BC276" s="33">
        <v>1</v>
      </c>
      <c r="BD276" s="43">
        <v>0.12293502213131684</v>
      </c>
      <c r="BE276" s="33">
        <v>0</v>
      </c>
      <c r="BF276" s="33">
        <v>0</v>
      </c>
      <c r="CE276" s="36">
        <v>242</v>
      </c>
      <c r="CF276" s="33">
        <v>26</v>
      </c>
      <c r="CG276" s="33">
        <v>2</v>
      </c>
      <c r="CH276" s="33">
        <v>4</v>
      </c>
      <c r="CI276" s="33">
        <v>2</v>
      </c>
      <c r="CJ276" s="33">
        <v>0</v>
      </c>
      <c r="CK276" s="33">
        <v>0</v>
      </c>
      <c r="CL276" s="33">
        <v>0</v>
      </c>
      <c r="CM276" s="33">
        <v>3</v>
      </c>
      <c r="CN276" s="33">
        <v>3</v>
      </c>
      <c r="CO276" s="33">
        <v>2</v>
      </c>
      <c r="CP276" s="43">
        <v>9.571517491474224E-2</v>
      </c>
      <c r="CQ276" s="33">
        <v>0</v>
      </c>
      <c r="CR276" s="33">
        <v>0</v>
      </c>
    </row>
    <row r="277" spans="1:96" ht="15" customHeight="1" x14ac:dyDescent="0.25">
      <c r="A277" s="26">
        <v>275</v>
      </c>
      <c r="B277" s="27">
        <v>37</v>
      </c>
      <c r="C277" s="27">
        <v>0</v>
      </c>
      <c r="D277" s="27">
        <v>3</v>
      </c>
      <c r="E277" s="27">
        <v>728</v>
      </c>
      <c r="F277" s="27">
        <v>2</v>
      </c>
      <c r="G277" s="27">
        <v>1</v>
      </c>
      <c r="H277" s="27">
        <v>4</v>
      </c>
      <c r="I277" s="27">
        <v>3</v>
      </c>
      <c r="J277" s="27">
        <v>1</v>
      </c>
      <c r="K277" s="27">
        <v>380</v>
      </c>
      <c r="L277" s="27">
        <v>1</v>
      </c>
      <c r="M277" s="27">
        <v>0</v>
      </c>
      <c r="N277" s="27">
        <v>80</v>
      </c>
      <c r="O277" s="27">
        <v>3</v>
      </c>
      <c r="P277" s="27">
        <v>3</v>
      </c>
      <c r="Q277" s="27">
        <v>8</v>
      </c>
      <c r="R277" s="27">
        <v>4</v>
      </c>
      <c r="S277" s="27">
        <v>3</v>
      </c>
      <c r="T277" s="27">
        <v>13603</v>
      </c>
      <c r="U277" s="27">
        <v>11677</v>
      </c>
      <c r="V277" s="27">
        <v>2</v>
      </c>
      <c r="W277" s="27">
        <v>1</v>
      </c>
      <c r="X277" s="27">
        <v>18</v>
      </c>
      <c r="Y277" s="27">
        <v>3</v>
      </c>
      <c r="Z277" s="27">
        <v>1</v>
      </c>
      <c r="AA277" s="27">
        <v>80</v>
      </c>
      <c r="AB277" s="27">
        <v>2</v>
      </c>
      <c r="AC277" s="27">
        <v>15</v>
      </c>
      <c r="AD277" s="27">
        <v>2</v>
      </c>
      <c r="AE277" s="27">
        <v>3</v>
      </c>
      <c r="AF277" s="27">
        <v>5</v>
      </c>
      <c r="AG277" s="27">
        <v>2</v>
      </c>
      <c r="AH277" s="27">
        <v>0</v>
      </c>
      <c r="AI277" s="28">
        <v>2</v>
      </c>
      <c r="AK277" s="36">
        <v>244</v>
      </c>
      <c r="AL277" s="33">
        <v>24</v>
      </c>
      <c r="AM277" s="33">
        <v>2</v>
      </c>
      <c r="AN277" s="33">
        <v>4</v>
      </c>
      <c r="AO277" s="33">
        <v>1</v>
      </c>
      <c r="AP277" s="33">
        <v>0</v>
      </c>
      <c r="AQ277" s="33">
        <v>2</v>
      </c>
      <c r="AR277" s="33">
        <v>3</v>
      </c>
      <c r="AS277" s="33">
        <v>9</v>
      </c>
      <c r="AT277" s="33">
        <v>4</v>
      </c>
      <c r="AU277" s="43">
        <v>4.0491679453950977E-2</v>
      </c>
      <c r="AV277" s="33">
        <v>0</v>
      </c>
      <c r="AW277" s="33">
        <v>0</v>
      </c>
      <c r="AY277" s="36">
        <v>249</v>
      </c>
      <c r="AZ277" s="33">
        <v>1</v>
      </c>
      <c r="BA277" s="33">
        <v>1</v>
      </c>
      <c r="BB277" s="33">
        <v>0</v>
      </c>
      <c r="BC277" s="33">
        <v>1</v>
      </c>
      <c r="BD277" s="43">
        <v>0.19678474515944386</v>
      </c>
      <c r="BE277" s="33">
        <v>0</v>
      </c>
      <c r="BF277" s="33">
        <v>0</v>
      </c>
      <c r="CE277" s="36">
        <v>243</v>
      </c>
      <c r="CF277" s="33">
        <v>19</v>
      </c>
      <c r="CG277" s="33">
        <v>2</v>
      </c>
      <c r="CH277" s="33">
        <v>1</v>
      </c>
      <c r="CI277" s="33">
        <v>3</v>
      </c>
      <c r="CJ277" s="33">
        <v>2</v>
      </c>
      <c r="CK277" s="33">
        <v>0</v>
      </c>
      <c r="CL277" s="33">
        <v>2</v>
      </c>
      <c r="CM277" s="33">
        <v>2</v>
      </c>
      <c r="CN277" s="33">
        <v>1</v>
      </c>
      <c r="CO277" s="33">
        <v>0</v>
      </c>
      <c r="CP277" s="43">
        <v>9.8309711050003121E-2</v>
      </c>
      <c r="CQ277" s="33">
        <v>0</v>
      </c>
      <c r="CR277" s="33">
        <v>0</v>
      </c>
    </row>
    <row r="278" spans="1:96" ht="15" customHeight="1" x14ac:dyDescent="0.25">
      <c r="A278" s="26">
        <v>276</v>
      </c>
      <c r="B278" s="27">
        <v>35</v>
      </c>
      <c r="C278" s="27">
        <v>0</v>
      </c>
      <c r="D278" s="27">
        <v>1</v>
      </c>
      <c r="E278" s="27">
        <v>1315</v>
      </c>
      <c r="F278" s="27">
        <v>2</v>
      </c>
      <c r="G278" s="27">
        <v>22</v>
      </c>
      <c r="H278" s="27">
        <v>3</v>
      </c>
      <c r="I278" s="27">
        <v>1</v>
      </c>
      <c r="J278" s="27">
        <v>1</v>
      </c>
      <c r="K278" s="27">
        <v>381</v>
      </c>
      <c r="L278" s="27">
        <v>2</v>
      </c>
      <c r="M278" s="27">
        <v>0</v>
      </c>
      <c r="N278" s="27">
        <v>71</v>
      </c>
      <c r="O278" s="27">
        <v>4</v>
      </c>
      <c r="P278" s="27">
        <v>3</v>
      </c>
      <c r="Q278" s="27">
        <v>6</v>
      </c>
      <c r="R278" s="27">
        <v>2</v>
      </c>
      <c r="S278" s="27">
        <v>3</v>
      </c>
      <c r="T278" s="27">
        <v>11996</v>
      </c>
      <c r="U278" s="27">
        <v>19100</v>
      </c>
      <c r="V278" s="27">
        <v>7</v>
      </c>
      <c r="W278" s="27">
        <v>0</v>
      </c>
      <c r="X278" s="27">
        <v>18</v>
      </c>
      <c r="Y278" s="27">
        <v>3</v>
      </c>
      <c r="Z278" s="27">
        <v>2</v>
      </c>
      <c r="AA278" s="27">
        <v>80</v>
      </c>
      <c r="AB278" s="27">
        <v>1</v>
      </c>
      <c r="AC278" s="27">
        <v>10</v>
      </c>
      <c r="AD278" s="27">
        <v>6</v>
      </c>
      <c r="AE278" s="27">
        <v>2</v>
      </c>
      <c r="AF278" s="27">
        <v>7</v>
      </c>
      <c r="AG278" s="27">
        <v>7</v>
      </c>
      <c r="AH278" s="27">
        <v>6</v>
      </c>
      <c r="AI278" s="28">
        <v>2</v>
      </c>
      <c r="AK278" s="36">
        <v>245</v>
      </c>
      <c r="AL278" s="33">
        <v>1</v>
      </c>
      <c r="AM278" s="33">
        <v>5</v>
      </c>
      <c r="AN278" s="33">
        <v>4</v>
      </c>
      <c r="AO278" s="33">
        <v>0</v>
      </c>
      <c r="AP278" s="33">
        <v>0</v>
      </c>
      <c r="AQ278" s="33">
        <v>1</v>
      </c>
      <c r="AR278" s="33">
        <v>3</v>
      </c>
      <c r="AS278" s="33">
        <v>24</v>
      </c>
      <c r="AT278" s="33">
        <v>1</v>
      </c>
      <c r="AU278" s="43">
        <v>1.453688414289066E-3</v>
      </c>
      <c r="AV278" s="33">
        <v>0</v>
      </c>
      <c r="AW278" s="33">
        <v>0</v>
      </c>
      <c r="AY278" s="36">
        <v>250</v>
      </c>
      <c r="AZ278" s="33">
        <v>2</v>
      </c>
      <c r="BA278" s="33">
        <v>3</v>
      </c>
      <c r="BB278" s="33">
        <v>0</v>
      </c>
      <c r="BC278" s="33">
        <v>1</v>
      </c>
      <c r="BD278" s="43">
        <v>7.244788656931947E-2</v>
      </c>
      <c r="BE278" s="33">
        <v>0</v>
      </c>
      <c r="BF278" s="33">
        <v>0</v>
      </c>
      <c r="CE278" s="36">
        <v>244</v>
      </c>
      <c r="CF278" s="33">
        <v>24</v>
      </c>
      <c r="CG278" s="33">
        <v>2</v>
      </c>
      <c r="CH278" s="33">
        <v>4</v>
      </c>
      <c r="CI278" s="33">
        <v>3</v>
      </c>
      <c r="CJ278" s="33">
        <v>1</v>
      </c>
      <c r="CK278" s="33">
        <v>0</v>
      </c>
      <c r="CL278" s="33">
        <v>2</v>
      </c>
      <c r="CM278" s="33">
        <v>3</v>
      </c>
      <c r="CN278" s="33">
        <v>9</v>
      </c>
      <c r="CO278" s="33">
        <v>4</v>
      </c>
      <c r="CP278" s="43">
        <v>3.135703576483452E-2</v>
      </c>
      <c r="CQ278" s="33">
        <v>0</v>
      </c>
      <c r="CR278" s="33">
        <v>0</v>
      </c>
    </row>
    <row r="279" spans="1:96" ht="15" customHeight="1" x14ac:dyDescent="0.25">
      <c r="A279" s="26">
        <v>277</v>
      </c>
      <c r="B279" s="27">
        <v>38</v>
      </c>
      <c r="C279" s="27">
        <v>0</v>
      </c>
      <c r="D279" s="27">
        <v>1</v>
      </c>
      <c r="E279" s="27">
        <v>322</v>
      </c>
      <c r="F279" s="27">
        <v>1</v>
      </c>
      <c r="G279" s="27">
        <v>7</v>
      </c>
      <c r="H279" s="27">
        <v>2</v>
      </c>
      <c r="I279" s="27">
        <v>3</v>
      </c>
      <c r="J279" s="27">
        <v>1</v>
      </c>
      <c r="K279" s="27">
        <v>382</v>
      </c>
      <c r="L279" s="27">
        <v>1</v>
      </c>
      <c r="M279" s="27">
        <v>0</v>
      </c>
      <c r="N279" s="27">
        <v>44</v>
      </c>
      <c r="O279" s="27">
        <v>4</v>
      </c>
      <c r="P279" s="27">
        <v>2</v>
      </c>
      <c r="Q279" s="27">
        <v>1</v>
      </c>
      <c r="R279" s="27">
        <v>1</v>
      </c>
      <c r="S279" s="27">
        <v>3</v>
      </c>
      <c r="T279" s="27">
        <v>5605</v>
      </c>
      <c r="U279" s="27">
        <v>19191</v>
      </c>
      <c r="V279" s="27">
        <v>1</v>
      </c>
      <c r="W279" s="27">
        <v>1</v>
      </c>
      <c r="X279" s="27">
        <v>24</v>
      </c>
      <c r="Y279" s="27">
        <v>4</v>
      </c>
      <c r="Z279" s="27">
        <v>3</v>
      </c>
      <c r="AA279" s="27">
        <v>80</v>
      </c>
      <c r="AB279" s="27">
        <v>1</v>
      </c>
      <c r="AC279" s="27">
        <v>8</v>
      </c>
      <c r="AD279" s="27">
        <v>3</v>
      </c>
      <c r="AE279" s="27">
        <v>3</v>
      </c>
      <c r="AF279" s="27">
        <v>8</v>
      </c>
      <c r="AG279" s="27">
        <v>0</v>
      </c>
      <c r="AH279" s="27">
        <v>7</v>
      </c>
      <c r="AI279" s="28">
        <v>7</v>
      </c>
      <c r="AK279" s="36">
        <v>246</v>
      </c>
      <c r="AL279" s="33">
        <v>3</v>
      </c>
      <c r="AM279" s="33">
        <v>3</v>
      </c>
      <c r="AN279" s="33">
        <v>3</v>
      </c>
      <c r="AO279" s="33">
        <v>9</v>
      </c>
      <c r="AP279" s="33">
        <v>0</v>
      </c>
      <c r="AQ279" s="33">
        <v>1</v>
      </c>
      <c r="AR279" s="33">
        <v>3</v>
      </c>
      <c r="AS279" s="33">
        <v>2</v>
      </c>
      <c r="AT279" s="33">
        <v>2</v>
      </c>
      <c r="AU279" s="43">
        <v>6.8231099091166827E-2</v>
      </c>
      <c r="AV279" s="33">
        <v>0</v>
      </c>
      <c r="AW279" s="33">
        <v>0</v>
      </c>
      <c r="AY279" s="36">
        <v>251</v>
      </c>
      <c r="AZ279" s="33">
        <v>3</v>
      </c>
      <c r="BA279" s="33">
        <v>3</v>
      </c>
      <c r="BB279" s="33">
        <v>0</v>
      </c>
      <c r="BC279" s="33">
        <v>2</v>
      </c>
      <c r="BD279" s="43">
        <v>2.5687411947183297E-2</v>
      </c>
      <c r="BE279" s="33">
        <v>0</v>
      </c>
      <c r="BF279" s="33">
        <v>1</v>
      </c>
      <c r="CE279" s="36">
        <v>245</v>
      </c>
      <c r="CF279" s="33">
        <v>1</v>
      </c>
      <c r="CG279" s="33">
        <v>5</v>
      </c>
      <c r="CH279" s="33">
        <v>4</v>
      </c>
      <c r="CI279" s="33">
        <v>2</v>
      </c>
      <c r="CJ279" s="33">
        <v>0</v>
      </c>
      <c r="CK279" s="33">
        <v>0</v>
      </c>
      <c r="CL279" s="33">
        <v>1</v>
      </c>
      <c r="CM279" s="33">
        <v>3</v>
      </c>
      <c r="CN279" s="33">
        <v>24</v>
      </c>
      <c r="CO279" s="33">
        <v>1</v>
      </c>
      <c r="CP279" s="43">
        <v>1.4080125779279105E-3</v>
      </c>
      <c r="CQ279" s="33">
        <v>0</v>
      </c>
      <c r="CR279" s="33">
        <v>0</v>
      </c>
    </row>
    <row r="280" spans="1:96" ht="15" customHeight="1" x14ac:dyDescent="0.25">
      <c r="A280" s="26">
        <v>278</v>
      </c>
      <c r="B280" s="27">
        <v>26</v>
      </c>
      <c r="C280" s="27">
        <v>0</v>
      </c>
      <c r="D280" s="27">
        <v>2</v>
      </c>
      <c r="E280" s="27">
        <v>1479</v>
      </c>
      <c r="F280" s="27">
        <v>2</v>
      </c>
      <c r="G280" s="27">
        <v>1</v>
      </c>
      <c r="H280" s="27">
        <v>3</v>
      </c>
      <c r="I280" s="27">
        <v>1</v>
      </c>
      <c r="J280" s="27">
        <v>1</v>
      </c>
      <c r="K280" s="27">
        <v>384</v>
      </c>
      <c r="L280" s="27">
        <v>3</v>
      </c>
      <c r="M280" s="27">
        <v>0</v>
      </c>
      <c r="N280" s="27">
        <v>84</v>
      </c>
      <c r="O280" s="27">
        <v>3</v>
      </c>
      <c r="P280" s="27">
        <v>2</v>
      </c>
      <c r="Q280" s="27">
        <v>4</v>
      </c>
      <c r="R280" s="27">
        <v>2</v>
      </c>
      <c r="S280" s="27">
        <v>3</v>
      </c>
      <c r="T280" s="27">
        <v>6397</v>
      </c>
      <c r="U280" s="27">
        <v>26767</v>
      </c>
      <c r="V280" s="27">
        <v>1</v>
      </c>
      <c r="W280" s="27">
        <v>0</v>
      </c>
      <c r="X280" s="27">
        <v>20</v>
      </c>
      <c r="Y280" s="27">
        <v>4</v>
      </c>
      <c r="Z280" s="27">
        <v>1</v>
      </c>
      <c r="AA280" s="27">
        <v>80</v>
      </c>
      <c r="AB280" s="27">
        <v>1</v>
      </c>
      <c r="AC280" s="27">
        <v>6</v>
      </c>
      <c r="AD280" s="27">
        <v>6</v>
      </c>
      <c r="AE280" s="27">
        <v>1</v>
      </c>
      <c r="AF280" s="27">
        <v>6</v>
      </c>
      <c r="AG280" s="27">
        <v>5</v>
      </c>
      <c r="AH280" s="27">
        <v>1</v>
      </c>
      <c r="AI280" s="28">
        <v>4</v>
      </c>
      <c r="AK280" s="36">
        <v>247</v>
      </c>
      <c r="AL280" s="33">
        <v>5</v>
      </c>
      <c r="AM280" s="33">
        <v>1</v>
      </c>
      <c r="AN280" s="33">
        <v>4</v>
      </c>
      <c r="AO280" s="33">
        <v>1</v>
      </c>
      <c r="AP280" s="33">
        <v>0</v>
      </c>
      <c r="AQ280" s="33">
        <v>1</v>
      </c>
      <c r="AR280" s="33">
        <v>2</v>
      </c>
      <c r="AS280" s="33">
        <v>2</v>
      </c>
      <c r="AT280" s="33">
        <v>0</v>
      </c>
      <c r="AU280" s="43">
        <v>8.3033159859818836E-2</v>
      </c>
      <c r="AV280" s="33">
        <v>0</v>
      </c>
      <c r="AW280" s="33">
        <v>0</v>
      </c>
      <c r="AY280" s="36">
        <v>252</v>
      </c>
      <c r="AZ280" s="33">
        <v>3</v>
      </c>
      <c r="BA280" s="33">
        <v>3</v>
      </c>
      <c r="BB280" s="33">
        <v>0</v>
      </c>
      <c r="BC280" s="33">
        <v>0</v>
      </c>
      <c r="BD280" s="43">
        <v>7.0406776741937793E-2</v>
      </c>
      <c r="BE280" s="33">
        <v>0</v>
      </c>
      <c r="BF280" s="33">
        <v>0</v>
      </c>
      <c r="CE280" s="36">
        <v>246</v>
      </c>
      <c r="CF280" s="33">
        <v>3</v>
      </c>
      <c r="CG280" s="33">
        <v>3</v>
      </c>
      <c r="CH280" s="33">
        <v>3</v>
      </c>
      <c r="CI280" s="33">
        <v>3</v>
      </c>
      <c r="CJ280" s="33">
        <v>9</v>
      </c>
      <c r="CK280" s="33">
        <v>0</v>
      </c>
      <c r="CL280" s="33">
        <v>1</v>
      </c>
      <c r="CM280" s="33">
        <v>3</v>
      </c>
      <c r="CN280" s="33">
        <v>2</v>
      </c>
      <c r="CO280" s="33">
        <v>2</v>
      </c>
      <c r="CP280" s="43">
        <v>4.0032840035716291E-2</v>
      </c>
      <c r="CQ280" s="33">
        <v>0</v>
      </c>
      <c r="CR280" s="33">
        <v>0</v>
      </c>
    </row>
    <row r="281" spans="1:96" ht="15" customHeight="1" x14ac:dyDescent="0.25">
      <c r="A281" s="26">
        <v>279</v>
      </c>
      <c r="B281" s="27">
        <v>50</v>
      </c>
      <c r="C281" s="27">
        <v>0</v>
      </c>
      <c r="D281" s="27">
        <v>1</v>
      </c>
      <c r="E281" s="27">
        <v>797</v>
      </c>
      <c r="F281" s="27">
        <v>2</v>
      </c>
      <c r="G281" s="27">
        <v>4</v>
      </c>
      <c r="H281" s="27">
        <v>1</v>
      </c>
      <c r="I281" s="27">
        <v>1</v>
      </c>
      <c r="J281" s="27">
        <v>1</v>
      </c>
      <c r="K281" s="27">
        <v>385</v>
      </c>
      <c r="L281" s="27">
        <v>1</v>
      </c>
      <c r="M281" s="27">
        <v>1</v>
      </c>
      <c r="N281" s="27">
        <v>96</v>
      </c>
      <c r="O281" s="27">
        <v>3</v>
      </c>
      <c r="P281" s="27">
        <v>5</v>
      </c>
      <c r="Q281" s="27">
        <v>8</v>
      </c>
      <c r="R281" s="27">
        <v>2</v>
      </c>
      <c r="S281" s="27">
        <v>3</v>
      </c>
      <c r="T281" s="27">
        <v>19144</v>
      </c>
      <c r="U281" s="27">
        <v>15815</v>
      </c>
      <c r="V281" s="27">
        <v>3</v>
      </c>
      <c r="W281" s="27">
        <v>0</v>
      </c>
      <c r="X281" s="27">
        <v>14</v>
      </c>
      <c r="Y281" s="27">
        <v>3</v>
      </c>
      <c r="Z281" s="27">
        <v>1</v>
      </c>
      <c r="AA281" s="27">
        <v>80</v>
      </c>
      <c r="AB281" s="27">
        <v>2</v>
      </c>
      <c r="AC281" s="27">
        <v>28</v>
      </c>
      <c r="AD281" s="27">
        <v>4</v>
      </c>
      <c r="AE281" s="27">
        <v>2</v>
      </c>
      <c r="AF281" s="27">
        <v>10</v>
      </c>
      <c r="AG281" s="27">
        <v>4</v>
      </c>
      <c r="AH281" s="27">
        <v>1</v>
      </c>
      <c r="AI281" s="28">
        <v>6</v>
      </c>
      <c r="AK281" s="36">
        <v>248</v>
      </c>
      <c r="AL281" s="33">
        <v>2</v>
      </c>
      <c r="AM281" s="33">
        <v>2</v>
      </c>
      <c r="AN281" s="33">
        <v>1</v>
      </c>
      <c r="AO281" s="33">
        <v>6</v>
      </c>
      <c r="AP281" s="33">
        <v>0</v>
      </c>
      <c r="AQ281" s="33">
        <v>1</v>
      </c>
      <c r="AR281" s="33">
        <v>3</v>
      </c>
      <c r="AS281" s="33">
        <v>11</v>
      </c>
      <c r="AT281" s="33">
        <v>5</v>
      </c>
      <c r="AU281" s="43">
        <v>0.11174424150244405</v>
      </c>
      <c r="AV281" s="33">
        <v>0</v>
      </c>
      <c r="AW281" s="33">
        <v>0</v>
      </c>
      <c r="AY281" s="36">
        <v>253</v>
      </c>
      <c r="AZ281" s="33">
        <v>1</v>
      </c>
      <c r="BA281" s="33">
        <v>4</v>
      </c>
      <c r="BB281" s="33">
        <v>0</v>
      </c>
      <c r="BC281" s="33">
        <v>0</v>
      </c>
      <c r="BD281" s="43">
        <v>0.1472907617042678</v>
      </c>
      <c r="BE281" s="33">
        <v>0</v>
      </c>
      <c r="BF281" s="33">
        <v>0</v>
      </c>
      <c r="CE281" s="36">
        <v>247</v>
      </c>
      <c r="CF281" s="33">
        <v>5</v>
      </c>
      <c r="CG281" s="33">
        <v>1</v>
      </c>
      <c r="CH281" s="33">
        <v>4</v>
      </c>
      <c r="CI281" s="33">
        <v>2</v>
      </c>
      <c r="CJ281" s="33">
        <v>1</v>
      </c>
      <c r="CK281" s="33">
        <v>0</v>
      </c>
      <c r="CL281" s="33">
        <v>1</v>
      </c>
      <c r="CM281" s="33">
        <v>2</v>
      </c>
      <c r="CN281" s="33">
        <v>2</v>
      </c>
      <c r="CO281" s="33">
        <v>0</v>
      </c>
      <c r="CP281" s="43">
        <v>7.9127744225182789E-2</v>
      </c>
      <c r="CQ281" s="33">
        <v>0</v>
      </c>
      <c r="CR281" s="33">
        <v>0</v>
      </c>
    </row>
    <row r="282" spans="1:96" ht="15" customHeight="1" x14ac:dyDescent="0.25">
      <c r="A282" s="26">
        <v>280</v>
      </c>
      <c r="B282" s="27">
        <v>53</v>
      </c>
      <c r="C282" s="27">
        <v>0</v>
      </c>
      <c r="D282" s="27">
        <v>1</v>
      </c>
      <c r="E282" s="27">
        <v>1070</v>
      </c>
      <c r="F282" s="27">
        <v>2</v>
      </c>
      <c r="G282" s="27">
        <v>3</v>
      </c>
      <c r="H282" s="27">
        <v>4</v>
      </c>
      <c r="I282" s="27">
        <v>3</v>
      </c>
      <c r="J282" s="27">
        <v>1</v>
      </c>
      <c r="K282" s="27">
        <v>386</v>
      </c>
      <c r="L282" s="27">
        <v>3</v>
      </c>
      <c r="M282" s="27">
        <v>1</v>
      </c>
      <c r="N282" s="27">
        <v>45</v>
      </c>
      <c r="O282" s="27">
        <v>3</v>
      </c>
      <c r="P282" s="27">
        <v>4</v>
      </c>
      <c r="Q282" s="27">
        <v>8</v>
      </c>
      <c r="R282" s="27">
        <v>3</v>
      </c>
      <c r="S282" s="27">
        <v>2</v>
      </c>
      <c r="T282" s="27">
        <v>17584</v>
      </c>
      <c r="U282" s="27">
        <v>21016</v>
      </c>
      <c r="V282" s="27">
        <v>3</v>
      </c>
      <c r="W282" s="27">
        <v>1</v>
      </c>
      <c r="X282" s="27">
        <v>16</v>
      </c>
      <c r="Y282" s="27">
        <v>3</v>
      </c>
      <c r="Z282" s="27">
        <v>4</v>
      </c>
      <c r="AA282" s="27">
        <v>80</v>
      </c>
      <c r="AB282" s="27">
        <v>3</v>
      </c>
      <c r="AC282" s="27">
        <v>21</v>
      </c>
      <c r="AD282" s="27">
        <v>5</v>
      </c>
      <c r="AE282" s="27">
        <v>2</v>
      </c>
      <c r="AF282" s="27">
        <v>5</v>
      </c>
      <c r="AG282" s="27">
        <v>3</v>
      </c>
      <c r="AH282" s="27">
        <v>1</v>
      </c>
      <c r="AI282" s="28">
        <v>3</v>
      </c>
      <c r="AK282" s="36">
        <v>249</v>
      </c>
      <c r="AL282" s="33">
        <v>1</v>
      </c>
      <c r="AM282" s="33">
        <v>1</v>
      </c>
      <c r="AN282" s="33">
        <v>1</v>
      </c>
      <c r="AO282" s="33">
        <v>2</v>
      </c>
      <c r="AP282" s="33">
        <v>0</v>
      </c>
      <c r="AQ282" s="33">
        <v>1</v>
      </c>
      <c r="AR282" s="33">
        <v>2</v>
      </c>
      <c r="AS282" s="33">
        <v>3</v>
      </c>
      <c r="AT282" s="33">
        <v>0</v>
      </c>
      <c r="AU282" s="43">
        <v>0.16132312480493713</v>
      </c>
      <c r="AV282" s="33">
        <v>0</v>
      </c>
      <c r="AW282" s="33">
        <v>0</v>
      </c>
      <c r="AY282" s="36">
        <v>254</v>
      </c>
      <c r="AZ282" s="33">
        <v>2</v>
      </c>
      <c r="BA282" s="33">
        <v>1</v>
      </c>
      <c r="BB282" s="33">
        <v>1</v>
      </c>
      <c r="BC282" s="33">
        <v>0</v>
      </c>
      <c r="BD282" s="43">
        <v>0.50385917417366921</v>
      </c>
      <c r="BE282" s="33">
        <v>1</v>
      </c>
      <c r="BF282" s="33">
        <v>0</v>
      </c>
      <c r="CE282" s="36">
        <v>248</v>
      </c>
      <c r="CF282" s="33">
        <v>2</v>
      </c>
      <c r="CG282" s="33">
        <v>2</v>
      </c>
      <c r="CH282" s="33">
        <v>1</v>
      </c>
      <c r="CI282" s="33">
        <v>2</v>
      </c>
      <c r="CJ282" s="33">
        <v>6</v>
      </c>
      <c r="CK282" s="33">
        <v>0</v>
      </c>
      <c r="CL282" s="33">
        <v>1</v>
      </c>
      <c r="CM282" s="33">
        <v>3</v>
      </c>
      <c r="CN282" s="33">
        <v>11</v>
      </c>
      <c r="CO282" s="33">
        <v>5</v>
      </c>
      <c r="CP282" s="43">
        <v>0.11339789086201575</v>
      </c>
      <c r="CQ282" s="33">
        <v>0</v>
      </c>
      <c r="CR282" s="33">
        <v>0</v>
      </c>
    </row>
    <row r="283" spans="1:96" ht="15" customHeight="1" x14ac:dyDescent="0.25">
      <c r="A283" s="26">
        <v>281</v>
      </c>
      <c r="B283" s="27">
        <v>42</v>
      </c>
      <c r="C283" s="27">
        <v>0</v>
      </c>
      <c r="D283" s="27">
        <v>1</v>
      </c>
      <c r="E283" s="27">
        <v>635</v>
      </c>
      <c r="F283" s="27">
        <v>1</v>
      </c>
      <c r="G283" s="27">
        <v>1</v>
      </c>
      <c r="H283" s="27">
        <v>1</v>
      </c>
      <c r="I283" s="27">
        <v>1</v>
      </c>
      <c r="J283" s="27">
        <v>1</v>
      </c>
      <c r="K283" s="27">
        <v>387</v>
      </c>
      <c r="L283" s="27">
        <v>2</v>
      </c>
      <c r="M283" s="27">
        <v>1</v>
      </c>
      <c r="N283" s="27">
        <v>99</v>
      </c>
      <c r="O283" s="27">
        <v>3</v>
      </c>
      <c r="P283" s="27">
        <v>2</v>
      </c>
      <c r="Q283" s="27">
        <v>1</v>
      </c>
      <c r="R283" s="27">
        <v>3</v>
      </c>
      <c r="S283" s="27">
        <v>2</v>
      </c>
      <c r="T283" s="27">
        <v>4907</v>
      </c>
      <c r="U283" s="27">
        <v>24532</v>
      </c>
      <c r="V283" s="27">
        <v>1</v>
      </c>
      <c r="W283" s="27">
        <v>0</v>
      </c>
      <c r="X283" s="27">
        <v>25</v>
      </c>
      <c r="Y283" s="27">
        <v>4</v>
      </c>
      <c r="Z283" s="27">
        <v>3</v>
      </c>
      <c r="AA283" s="27">
        <v>80</v>
      </c>
      <c r="AB283" s="27">
        <v>0</v>
      </c>
      <c r="AC283" s="27">
        <v>20</v>
      </c>
      <c r="AD283" s="27">
        <v>3</v>
      </c>
      <c r="AE283" s="27">
        <v>3</v>
      </c>
      <c r="AF283" s="27">
        <v>20</v>
      </c>
      <c r="AG283" s="27">
        <v>16</v>
      </c>
      <c r="AH283" s="27">
        <v>11</v>
      </c>
      <c r="AI283" s="28">
        <v>6</v>
      </c>
      <c r="AK283" s="36">
        <v>250</v>
      </c>
      <c r="AL283" s="33">
        <v>7</v>
      </c>
      <c r="AM283" s="33">
        <v>2</v>
      </c>
      <c r="AN283" s="33">
        <v>3</v>
      </c>
      <c r="AO283" s="33">
        <v>4</v>
      </c>
      <c r="AP283" s="33">
        <v>0</v>
      </c>
      <c r="AQ283" s="33">
        <v>1</v>
      </c>
      <c r="AR283" s="33">
        <v>3</v>
      </c>
      <c r="AS283" s="33">
        <v>3</v>
      </c>
      <c r="AT283" s="33">
        <v>0</v>
      </c>
      <c r="AU283" s="43">
        <v>6.6186746354356701E-2</v>
      </c>
      <c r="AV283" s="33">
        <v>0</v>
      </c>
      <c r="AW283" s="33">
        <v>0</v>
      </c>
      <c r="AY283" s="36">
        <v>255</v>
      </c>
      <c r="AZ283" s="33">
        <v>2</v>
      </c>
      <c r="BA283" s="33">
        <v>4</v>
      </c>
      <c r="BB283" s="33">
        <v>0</v>
      </c>
      <c r="BC283" s="33">
        <v>1</v>
      </c>
      <c r="BD283" s="43">
        <v>5.5093218126976727E-2</v>
      </c>
      <c r="BE283" s="33">
        <v>0</v>
      </c>
      <c r="BF283" s="33">
        <v>0</v>
      </c>
      <c r="CE283" s="36">
        <v>249</v>
      </c>
      <c r="CF283" s="33">
        <v>1</v>
      </c>
      <c r="CG283" s="33">
        <v>1</v>
      </c>
      <c r="CH283" s="33">
        <v>1</v>
      </c>
      <c r="CI283" s="33">
        <v>2</v>
      </c>
      <c r="CJ283" s="33">
        <v>2</v>
      </c>
      <c r="CK283" s="33">
        <v>0</v>
      </c>
      <c r="CL283" s="33">
        <v>1</v>
      </c>
      <c r="CM283" s="33">
        <v>2</v>
      </c>
      <c r="CN283" s="33">
        <v>3</v>
      </c>
      <c r="CO283" s="33">
        <v>0</v>
      </c>
      <c r="CP283" s="43">
        <v>0.16197293110481628</v>
      </c>
      <c r="CQ283" s="33">
        <v>0</v>
      </c>
      <c r="CR283" s="33">
        <v>0</v>
      </c>
    </row>
    <row r="284" spans="1:96" ht="15" customHeight="1" x14ac:dyDescent="0.25">
      <c r="A284" s="26">
        <v>282</v>
      </c>
      <c r="B284" s="27">
        <v>29</v>
      </c>
      <c r="C284" s="27">
        <v>0</v>
      </c>
      <c r="D284" s="27">
        <v>2</v>
      </c>
      <c r="E284" s="27">
        <v>442</v>
      </c>
      <c r="F284" s="27">
        <v>1</v>
      </c>
      <c r="G284" s="27">
        <v>2</v>
      </c>
      <c r="H284" s="27">
        <v>2</v>
      </c>
      <c r="I284" s="27">
        <v>1</v>
      </c>
      <c r="J284" s="27">
        <v>1</v>
      </c>
      <c r="K284" s="27">
        <v>388</v>
      </c>
      <c r="L284" s="27">
        <v>2</v>
      </c>
      <c r="M284" s="27">
        <v>1</v>
      </c>
      <c r="N284" s="27">
        <v>44</v>
      </c>
      <c r="O284" s="27">
        <v>3</v>
      </c>
      <c r="P284" s="27">
        <v>2</v>
      </c>
      <c r="Q284" s="27">
        <v>1</v>
      </c>
      <c r="R284" s="27">
        <v>4</v>
      </c>
      <c r="S284" s="27">
        <v>1</v>
      </c>
      <c r="T284" s="27">
        <v>4554</v>
      </c>
      <c r="U284" s="27">
        <v>20260</v>
      </c>
      <c r="V284" s="27">
        <v>1</v>
      </c>
      <c r="W284" s="27">
        <v>0</v>
      </c>
      <c r="X284" s="27">
        <v>18</v>
      </c>
      <c r="Y284" s="27">
        <v>3</v>
      </c>
      <c r="Z284" s="27">
        <v>1</v>
      </c>
      <c r="AA284" s="27">
        <v>80</v>
      </c>
      <c r="AB284" s="27">
        <v>0</v>
      </c>
      <c r="AC284" s="27">
        <v>10</v>
      </c>
      <c r="AD284" s="27">
        <v>3</v>
      </c>
      <c r="AE284" s="27">
        <v>2</v>
      </c>
      <c r="AF284" s="27">
        <v>10</v>
      </c>
      <c r="AG284" s="27">
        <v>7</v>
      </c>
      <c r="AH284" s="27">
        <v>0</v>
      </c>
      <c r="AI284" s="28">
        <v>9</v>
      </c>
      <c r="AK284" s="36">
        <v>251</v>
      </c>
      <c r="AL284" s="33">
        <v>10</v>
      </c>
      <c r="AM284" s="33">
        <v>3</v>
      </c>
      <c r="AN284" s="33">
        <v>3</v>
      </c>
      <c r="AO284" s="33">
        <v>6</v>
      </c>
      <c r="AP284" s="33">
        <v>0</v>
      </c>
      <c r="AQ284" s="33">
        <v>2</v>
      </c>
      <c r="AR284" s="33">
        <v>3</v>
      </c>
      <c r="AS284" s="33">
        <v>1</v>
      </c>
      <c r="AT284" s="33">
        <v>0</v>
      </c>
      <c r="AU284" s="43">
        <v>3.3816403676960233E-2</v>
      </c>
      <c r="AV284" s="33">
        <v>0</v>
      </c>
      <c r="AW284" s="33">
        <v>1</v>
      </c>
      <c r="AY284" s="36">
        <v>256</v>
      </c>
      <c r="AZ284" s="33">
        <v>2</v>
      </c>
      <c r="BA284" s="33">
        <v>3</v>
      </c>
      <c r="BB284" s="33">
        <v>0</v>
      </c>
      <c r="BC284" s="33">
        <v>2</v>
      </c>
      <c r="BD284" s="43">
        <v>4.4052611042036123E-2</v>
      </c>
      <c r="BE284" s="33">
        <v>0</v>
      </c>
      <c r="BF284" s="33">
        <v>0</v>
      </c>
      <c r="CE284" s="36">
        <v>250</v>
      </c>
      <c r="CF284" s="33">
        <v>7</v>
      </c>
      <c r="CG284" s="33">
        <v>2</v>
      </c>
      <c r="CH284" s="33">
        <v>3</v>
      </c>
      <c r="CI284" s="33">
        <v>2</v>
      </c>
      <c r="CJ284" s="33">
        <v>4</v>
      </c>
      <c r="CK284" s="33">
        <v>0</v>
      </c>
      <c r="CL284" s="33">
        <v>1</v>
      </c>
      <c r="CM284" s="33">
        <v>3</v>
      </c>
      <c r="CN284" s="33">
        <v>3</v>
      </c>
      <c r="CO284" s="33">
        <v>0</v>
      </c>
      <c r="CP284" s="43">
        <v>6.4020032441295338E-2</v>
      </c>
      <c r="CQ284" s="33">
        <v>0</v>
      </c>
      <c r="CR284" s="33">
        <v>0</v>
      </c>
    </row>
    <row r="285" spans="1:96" ht="15" customHeight="1" x14ac:dyDescent="0.25">
      <c r="A285" s="26">
        <v>283</v>
      </c>
      <c r="B285" s="27">
        <v>55</v>
      </c>
      <c r="C285" s="27">
        <v>0</v>
      </c>
      <c r="D285" s="27">
        <v>1</v>
      </c>
      <c r="E285" s="27">
        <v>147</v>
      </c>
      <c r="F285" s="27">
        <v>2</v>
      </c>
      <c r="G285" s="27">
        <v>20</v>
      </c>
      <c r="H285" s="27">
        <v>2</v>
      </c>
      <c r="I285" s="27">
        <v>5</v>
      </c>
      <c r="J285" s="27">
        <v>1</v>
      </c>
      <c r="K285" s="27">
        <v>389</v>
      </c>
      <c r="L285" s="27">
        <v>2</v>
      </c>
      <c r="M285" s="27">
        <v>1</v>
      </c>
      <c r="N285" s="27">
        <v>37</v>
      </c>
      <c r="O285" s="27">
        <v>3</v>
      </c>
      <c r="P285" s="27">
        <v>2</v>
      </c>
      <c r="Q285" s="27">
        <v>3</v>
      </c>
      <c r="R285" s="27">
        <v>4</v>
      </c>
      <c r="S285" s="27">
        <v>2</v>
      </c>
      <c r="T285" s="27">
        <v>5415</v>
      </c>
      <c r="U285" s="27">
        <v>15972</v>
      </c>
      <c r="V285" s="27">
        <v>3</v>
      </c>
      <c r="W285" s="27">
        <v>1</v>
      </c>
      <c r="X285" s="27">
        <v>19</v>
      </c>
      <c r="Y285" s="27">
        <v>3</v>
      </c>
      <c r="Z285" s="27">
        <v>4</v>
      </c>
      <c r="AA285" s="27">
        <v>80</v>
      </c>
      <c r="AB285" s="27">
        <v>1</v>
      </c>
      <c r="AC285" s="27">
        <v>12</v>
      </c>
      <c r="AD285" s="27">
        <v>4</v>
      </c>
      <c r="AE285" s="27">
        <v>3</v>
      </c>
      <c r="AF285" s="27">
        <v>10</v>
      </c>
      <c r="AG285" s="27">
        <v>7</v>
      </c>
      <c r="AH285" s="27">
        <v>0</v>
      </c>
      <c r="AI285" s="28">
        <v>8</v>
      </c>
      <c r="AK285" s="36">
        <v>252</v>
      </c>
      <c r="AL285" s="33">
        <v>2</v>
      </c>
      <c r="AM285" s="33">
        <v>3</v>
      </c>
      <c r="AN285" s="33">
        <v>3</v>
      </c>
      <c r="AO285" s="33">
        <v>0</v>
      </c>
      <c r="AP285" s="33">
        <v>0</v>
      </c>
      <c r="AQ285" s="33">
        <v>0</v>
      </c>
      <c r="AR285" s="33">
        <v>3</v>
      </c>
      <c r="AS285" s="33">
        <v>19</v>
      </c>
      <c r="AT285" s="33">
        <v>11</v>
      </c>
      <c r="AU285" s="43">
        <v>4.5554338642955709E-2</v>
      </c>
      <c r="AV285" s="33">
        <v>0</v>
      </c>
      <c r="AW285" s="33">
        <v>0</v>
      </c>
      <c r="AY285" s="36">
        <v>257</v>
      </c>
      <c r="AZ285" s="33">
        <v>1</v>
      </c>
      <c r="BA285" s="33">
        <v>1</v>
      </c>
      <c r="BB285" s="33">
        <v>1</v>
      </c>
      <c r="BC285" s="33">
        <v>1</v>
      </c>
      <c r="BD285" s="43">
        <v>0.51155121875600029</v>
      </c>
      <c r="BE285" s="33">
        <v>1</v>
      </c>
      <c r="BF285" s="33">
        <v>0</v>
      </c>
      <c r="CE285" s="36">
        <v>251</v>
      </c>
      <c r="CF285" s="33">
        <v>10</v>
      </c>
      <c r="CG285" s="33">
        <v>3</v>
      </c>
      <c r="CH285" s="33">
        <v>3</v>
      </c>
      <c r="CI285" s="33">
        <v>3</v>
      </c>
      <c r="CJ285" s="33">
        <v>6</v>
      </c>
      <c r="CK285" s="33">
        <v>0</v>
      </c>
      <c r="CL285" s="33">
        <v>2</v>
      </c>
      <c r="CM285" s="33">
        <v>3</v>
      </c>
      <c r="CN285" s="33">
        <v>1</v>
      </c>
      <c r="CO285" s="33">
        <v>0</v>
      </c>
      <c r="CP285" s="43">
        <v>2.7021296387783576E-2</v>
      </c>
      <c r="CQ285" s="33">
        <v>0</v>
      </c>
      <c r="CR285" s="33">
        <v>1</v>
      </c>
    </row>
    <row r="286" spans="1:96" ht="15" customHeight="1" x14ac:dyDescent="0.25">
      <c r="A286" s="26">
        <v>284</v>
      </c>
      <c r="B286" s="27">
        <v>26</v>
      </c>
      <c r="C286" s="27">
        <v>0</v>
      </c>
      <c r="D286" s="27">
        <v>2</v>
      </c>
      <c r="E286" s="27">
        <v>496</v>
      </c>
      <c r="F286" s="27">
        <v>2</v>
      </c>
      <c r="G286" s="27">
        <v>11</v>
      </c>
      <c r="H286" s="27">
        <v>2</v>
      </c>
      <c r="I286" s="27">
        <v>3</v>
      </c>
      <c r="J286" s="27">
        <v>1</v>
      </c>
      <c r="K286" s="27">
        <v>390</v>
      </c>
      <c r="L286" s="27">
        <v>1</v>
      </c>
      <c r="M286" s="27">
        <v>1</v>
      </c>
      <c r="N286" s="27">
        <v>60</v>
      </c>
      <c r="O286" s="27">
        <v>3</v>
      </c>
      <c r="P286" s="27">
        <v>2</v>
      </c>
      <c r="Q286" s="27">
        <v>5</v>
      </c>
      <c r="R286" s="27">
        <v>1</v>
      </c>
      <c r="S286" s="27">
        <v>2</v>
      </c>
      <c r="T286" s="27">
        <v>4741</v>
      </c>
      <c r="U286" s="27">
        <v>22722</v>
      </c>
      <c r="V286" s="27">
        <v>1</v>
      </c>
      <c r="W286" s="27">
        <v>1</v>
      </c>
      <c r="X286" s="27">
        <v>13</v>
      </c>
      <c r="Y286" s="27">
        <v>3</v>
      </c>
      <c r="Z286" s="27">
        <v>3</v>
      </c>
      <c r="AA286" s="27">
        <v>80</v>
      </c>
      <c r="AB286" s="27">
        <v>1</v>
      </c>
      <c r="AC286" s="27">
        <v>5</v>
      </c>
      <c r="AD286" s="27">
        <v>3</v>
      </c>
      <c r="AE286" s="27">
        <v>3</v>
      </c>
      <c r="AF286" s="27">
        <v>5</v>
      </c>
      <c r="AG286" s="27">
        <v>3</v>
      </c>
      <c r="AH286" s="27">
        <v>3</v>
      </c>
      <c r="AI286" s="28">
        <v>3</v>
      </c>
      <c r="AK286" s="36">
        <v>253</v>
      </c>
      <c r="AL286" s="33">
        <v>15</v>
      </c>
      <c r="AM286" s="33">
        <v>1</v>
      </c>
      <c r="AN286" s="33">
        <v>4</v>
      </c>
      <c r="AO286" s="33">
        <v>1</v>
      </c>
      <c r="AP286" s="33">
        <v>0</v>
      </c>
      <c r="AQ286" s="33">
        <v>0</v>
      </c>
      <c r="AR286" s="33">
        <v>3</v>
      </c>
      <c r="AS286" s="33">
        <v>6</v>
      </c>
      <c r="AT286" s="33">
        <v>1</v>
      </c>
      <c r="AU286" s="43">
        <v>0.12943595811863062</v>
      </c>
      <c r="AV286" s="33">
        <v>0</v>
      </c>
      <c r="AW286" s="33">
        <v>0</v>
      </c>
      <c r="AY286" s="36">
        <v>258</v>
      </c>
      <c r="AZ286" s="33">
        <v>5</v>
      </c>
      <c r="BA286" s="33">
        <v>3</v>
      </c>
      <c r="BB286" s="33">
        <v>0</v>
      </c>
      <c r="BC286" s="33">
        <v>1</v>
      </c>
      <c r="BD286" s="43">
        <v>1.4415653001325196E-2</v>
      </c>
      <c r="BE286" s="33">
        <v>0</v>
      </c>
      <c r="BF286" s="33">
        <v>0</v>
      </c>
      <c r="CE286" s="36">
        <v>252</v>
      </c>
      <c r="CF286" s="33">
        <v>2</v>
      </c>
      <c r="CG286" s="33">
        <v>3</v>
      </c>
      <c r="CH286" s="33">
        <v>3</v>
      </c>
      <c r="CI286" s="33">
        <v>1</v>
      </c>
      <c r="CJ286" s="33">
        <v>0</v>
      </c>
      <c r="CK286" s="33">
        <v>0</v>
      </c>
      <c r="CL286" s="33">
        <v>0</v>
      </c>
      <c r="CM286" s="33">
        <v>3</v>
      </c>
      <c r="CN286" s="33">
        <v>19</v>
      </c>
      <c r="CO286" s="33">
        <v>11</v>
      </c>
      <c r="CP286" s="43">
        <v>5.5412876456782098E-2</v>
      </c>
      <c r="CQ286" s="33">
        <v>0</v>
      </c>
      <c r="CR286" s="33">
        <v>0</v>
      </c>
    </row>
    <row r="287" spans="1:96" ht="15" customHeight="1" x14ac:dyDescent="0.25">
      <c r="A287" s="26">
        <v>285</v>
      </c>
      <c r="B287" s="27">
        <v>37</v>
      </c>
      <c r="C287" s="27">
        <v>0</v>
      </c>
      <c r="D287" s="27">
        <v>1</v>
      </c>
      <c r="E287" s="27">
        <v>1372</v>
      </c>
      <c r="F287" s="27">
        <v>2</v>
      </c>
      <c r="G287" s="27">
        <v>1</v>
      </c>
      <c r="H287" s="27">
        <v>3</v>
      </c>
      <c r="I287" s="27">
        <v>1</v>
      </c>
      <c r="J287" s="27">
        <v>1</v>
      </c>
      <c r="K287" s="27">
        <v>391</v>
      </c>
      <c r="L287" s="27">
        <v>4</v>
      </c>
      <c r="M287" s="27">
        <v>0</v>
      </c>
      <c r="N287" s="27">
        <v>42</v>
      </c>
      <c r="O287" s="27">
        <v>3</v>
      </c>
      <c r="P287" s="27">
        <v>1</v>
      </c>
      <c r="Q287" s="27">
        <v>2</v>
      </c>
      <c r="R287" s="27">
        <v>4</v>
      </c>
      <c r="S287" s="27">
        <v>1</v>
      </c>
      <c r="T287" s="27">
        <v>2115</v>
      </c>
      <c r="U287" s="27">
        <v>15881</v>
      </c>
      <c r="V287" s="27">
        <v>1</v>
      </c>
      <c r="W287" s="27">
        <v>0</v>
      </c>
      <c r="X287" s="27">
        <v>12</v>
      </c>
      <c r="Y287" s="27">
        <v>3</v>
      </c>
      <c r="Z287" s="27">
        <v>2</v>
      </c>
      <c r="AA287" s="27">
        <v>80</v>
      </c>
      <c r="AB287" s="27">
        <v>0</v>
      </c>
      <c r="AC287" s="27">
        <v>17</v>
      </c>
      <c r="AD287" s="27">
        <v>3</v>
      </c>
      <c r="AE287" s="27">
        <v>3</v>
      </c>
      <c r="AF287" s="27">
        <v>17</v>
      </c>
      <c r="AG287" s="27">
        <v>12</v>
      </c>
      <c r="AH287" s="27">
        <v>5</v>
      </c>
      <c r="AI287" s="28">
        <v>7</v>
      </c>
      <c r="AK287" s="36">
        <v>254</v>
      </c>
      <c r="AL287" s="33">
        <v>17</v>
      </c>
      <c r="AM287" s="33">
        <v>2</v>
      </c>
      <c r="AN287" s="33">
        <v>1</v>
      </c>
      <c r="AO287" s="33">
        <v>3</v>
      </c>
      <c r="AP287" s="33">
        <v>1</v>
      </c>
      <c r="AQ287" s="33">
        <v>0</v>
      </c>
      <c r="AR287" s="33">
        <v>3</v>
      </c>
      <c r="AS287" s="33">
        <v>3</v>
      </c>
      <c r="AT287" s="33">
        <v>0</v>
      </c>
      <c r="AU287" s="43">
        <v>0.55775091122784437</v>
      </c>
      <c r="AV287" s="33">
        <v>1</v>
      </c>
      <c r="AW287" s="33">
        <v>0</v>
      </c>
      <c r="AY287" s="36">
        <v>259</v>
      </c>
      <c r="AZ287" s="33">
        <v>1</v>
      </c>
      <c r="BA287" s="33">
        <v>4</v>
      </c>
      <c r="BB287" s="33">
        <v>0</v>
      </c>
      <c r="BC287" s="33">
        <v>0</v>
      </c>
      <c r="BD287" s="43">
        <v>0.1472907617042678</v>
      </c>
      <c r="BE287" s="33">
        <v>0</v>
      </c>
      <c r="BF287" s="33">
        <v>0</v>
      </c>
      <c r="CE287" s="36">
        <v>253</v>
      </c>
      <c r="CF287" s="33">
        <v>15</v>
      </c>
      <c r="CG287" s="33">
        <v>1</v>
      </c>
      <c r="CH287" s="33">
        <v>4</v>
      </c>
      <c r="CI287" s="33">
        <v>1</v>
      </c>
      <c r="CJ287" s="33">
        <v>1</v>
      </c>
      <c r="CK287" s="33">
        <v>0</v>
      </c>
      <c r="CL287" s="33">
        <v>0</v>
      </c>
      <c r="CM287" s="33">
        <v>3</v>
      </c>
      <c r="CN287" s="33">
        <v>6</v>
      </c>
      <c r="CO287" s="33">
        <v>1</v>
      </c>
      <c r="CP287" s="43">
        <v>0.14596092390746784</v>
      </c>
      <c r="CQ287" s="33">
        <v>0</v>
      </c>
      <c r="CR287" s="33">
        <v>0</v>
      </c>
    </row>
    <row r="288" spans="1:96" ht="15" customHeight="1" x14ac:dyDescent="0.25">
      <c r="A288" s="26">
        <v>286</v>
      </c>
      <c r="B288" s="27">
        <v>44</v>
      </c>
      <c r="C288" s="27">
        <v>1</v>
      </c>
      <c r="D288" s="27">
        <v>2</v>
      </c>
      <c r="E288" s="27">
        <v>920</v>
      </c>
      <c r="F288" s="27">
        <v>2</v>
      </c>
      <c r="G288" s="27">
        <v>24</v>
      </c>
      <c r="H288" s="27">
        <v>3</v>
      </c>
      <c r="I288" s="27">
        <v>1</v>
      </c>
      <c r="J288" s="27">
        <v>1</v>
      </c>
      <c r="K288" s="27">
        <v>392</v>
      </c>
      <c r="L288" s="27">
        <v>4</v>
      </c>
      <c r="M288" s="27">
        <v>1</v>
      </c>
      <c r="N288" s="27">
        <v>43</v>
      </c>
      <c r="O288" s="27">
        <v>3</v>
      </c>
      <c r="P288" s="27">
        <v>1</v>
      </c>
      <c r="Q288" s="27">
        <v>3</v>
      </c>
      <c r="R288" s="27">
        <v>3</v>
      </c>
      <c r="S288" s="27">
        <v>3</v>
      </c>
      <c r="T288" s="27">
        <v>3161</v>
      </c>
      <c r="U288" s="27">
        <v>19920</v>
      </c>
      <c r="V288" s="27">
        <v>3</v>
      </c>
      <c r="W288" s="27">
        <v>1</v>
      </c>
      <c r="X288" s="27">
        <v>22</v>
      </c>
      <c r="Y288" s="27">
        <v>4</v>
      </c>
      <c r="Z288" s="27">
        <v>4</v>
      </c>
      <c r="AA288" s="27">
        <v>80</v>
      </c>
      <c r="AB288" s="27">
        <v>1</v>
      </c>
      <c r="AC288" s="27">
        <v>19</v>
      </c>
      <c r="AD288" s="27">
        <v>0</v>
      </c>
      <c r="AE288" s="27">
        <v>1</v>
      </c>
      <c r="AF288" s="27">
        <v>1</v>
      </c>
      <c r="AG288" s="27">
        <v>0</v>
      </c>
      <c r="AH288" s="27">
        <v>0</v>
      </c>
      <c r="AI288" s="28">
        <v>0</v>
      </c>
      <c r="AK288" s="36">
        <v>255</v>
      </c>
      <c r="AL288" s="33">
        <v>20</v>
      </c>
      <c r="AM288" s="33">
        <v>2</v>
      </c>
      <c r="AN288" s="33">
        <v>4</v>
      </c>
      <c r="AO288" s="33">
        <v>2</v>
      </c>
      <c r="AP288" s="33">
        <v>0</v>
      </c>
      <c r="AQ288" s="33">
        <v>1</v>
      </c>
      <c r="AR288" s="33">
        <v>3</v>
      </c>
      <c r="AS288" s="33">
        <v>3</v>
      </c>
      <c r="AT288" s="33">
        <v>0</v>
      </c>
      <c r="AU288" s="43">
        <v>6.4795733962254159E-2</v>
      </c>
      <c r="AV288" s="33">
        <v>0</v>
      </c>
      <c r="AW288" s="33">
        <v>0</v>
      </c>
      <c r="AY288" s="36">
        <v>260</v>
      </c>
      <c r="AZ288" s="33">
        <v>1</v>
      </c>
      <c r="BA288" s="33">
        <v>2</v>
      </c>
      <c r="BB288" s="33">
        <v>0</v>
      </c>
      <c r="BC288" s="33">
        <v>0</v>
      </c>
      <c r="BD288" s="43">
        <v>0.23662845161334917</v>
      </c>
      <c r="BE288" s="33">
        <v>0</v>
      </c>
      <c r="BF288" s="33">
        <v>1</v>
      </c>
      <c r="CE288" s="36">
        <v>254</v>
      </c>
      <c r="CF288" s="33">
        <v>17</v>
      </c>
      <c r="CG288" s="33">
        <v>2</v>
      </c>
      <c r="CH288" s="33">
        <v>1</v>
      </c>
      <c r="CI288" s="33">
        <v>1</v>
      </c>
      <c r="CJ288" s="33">
        <v>3</v>
      </c>
      <c r="CK288" s="33">
        <v>1</v>
      </c>
      <c r="CL288" s="33">
        <v>0</v>
      </c>
      <c r="CM288" s="33">
        <v>3</v>
      </c>
      <c r="CN288" s="33">
        <v>3</v>
      </c>
      <c r="CO288" s="33">
        <v>0</v>
      </c>
      <c r="CP288" s="43">
        <v>0.61749612078833616</v>
      </c>
      <c r="CQ288" s="33">
        <v>1</v>
      </c>
      <c r="CR288" s="33">
        <v>0</v>
      </c>
    </row>
    <row r="289" spans="1:96" ht="15" customHeight="1" x14ac:dyDescent="0.25">
      <c r="A289" s="26">
        <v>287</v>
      </c>
      <c r="B289" s="27">
        <v>38</v>
      </c>
      <c r="C289" s="27">
        <v>0</v>
      </c>
      <c r="D289" s="27">
        <v>1</v>
      </c>
      <c r="E289" s="27">
        <v>688</v>
      </c>
      <c r="F289" s="27">
        <v>2</v>
      </c>
      <c r="G289" s="27">
        <v>23</v>
      </c>
      <c r="H289" s="27">
        <v>4</v>
      </c>
      <c r="I289" s="27">
        <v>1</v>
      </c>
      <c r="J289" s="27">
        <v>1</v>
      </c>
      <c r="K289" s="27">
        <v>393</v>
      </c>
      <c r="L289" s="27">
        <v>4</v>
      </c>
      <c r="M289" s="27">
        <v>1</v>
      </c>
      <c r="N289" s="27">
        <v>82</v>
      </c>
      <c r="O289" s="27">
        <v>3</v>
      </c>
      <c r="P289" s="27">
        <v>2</v>
      </c>
      <c r="Q289" s="27">
        <v>5</v>
      </c>
      <c r="R289" s="27">
        <v>4</v>
      </c>
      <c r="S289" s="27">
        <v>3</v>
      </c>
      <c r="T289" s="27">
        <v>5745</v>
      </c>
      <c r="U289" s="27">
        <v>18899</v>
      </c>
      <c r="V289" s="27">
        <v>9</v>
      </c>
      <c r="W289" s="27">
        <v>0</v>
      </c>
      <c r="X289" s="27">
        <v>14</v>
      </c>
      <c r="Y289" s="27">
        <v>3</v>
      </c>
      <c r="Z289" s="27">
        <v>2</v>
      </c>
      <c r="AA289" s="27">
        <v>80</v>
      </c>
      <c r="AB289" s="27">
        <v>1</v>
      </c>
      <c r="AC289" s="27">
        <v>10</v>
      </c>
      <c r="AD289" s="27">
        <v>2</v>
      </c>
      <c r="AE289" s="27">
        <v>3</v>
      </c>
      <c r="AF289" s="27">
        <v>2</v>
      </c>
      <c r="AG289" s="27">
        <v>2</v>
      </c>
      <c r="AH289" s="27">
        <v>1</v>
      </c>
      <c r="AI289" s="28">
        <v>2</v>
      </c>
      <c r="AK289" s="36">
        <v>256</v>
      </c>
      <c r="AL289" s="33">
        <v>1</v>
      </c>
      <c r="AM289" s="33">
        <v>2</v>
      </c>
      <c r="AN289" s="33">
        <v>3</v>
      </c>
      <c r="AO289" s="33">
        <v>0</v>
      </c>
      <c r="AP289" s="33">
        <v>0</v>
      </c>
      <c r="AQ289" s="33">
        <v>2</v>
      </c>
      <c r="AR289" s="33">
        <v>3</v>
      </c>
      <c r="AS289" s="33">
        <v>4</v>
      </c>
      <c r="AT289" s="33">
        <v>1</v>
      </c>
      <c r="AU289" s="43">
        <v>2.3882442021766353E-2</v>
      </c>
      <c r="AV289" s="33">
        <v>0</v>
      </c>
      <c r="AW289" s="33">
        <v>0</v>
      </c>
      <c r="AY289" s="36">
        <v>261</v>
      </c>
      <c r="AZ289" s="33">
        <v>1</v>
      </c>
      <c r="BA289" s="33">
        <v>2</v>
      </c>
      <c r="BB289" s="33">
        <v>0</v>
      </c>
      <c r="BC289" s="33">
        <v>0</v>
      </c>
      <c r="BD289" s="43">
        <v>0.23662845161334917</v>
      </c>
      <c r="BE289" s="33">
        <v>0</v>
      </c>
      <c r="BF289" s="33">
        <v>0</v>
      </c>
      <c r="CE289" s="36">
        <v>255</v>
      </c>
      <c r="CF289" s="33">
        <v>20</v>
      </c>
      <c r="CG289" s="33">
        <v>2</v>
      </c>
      <c r="CH289" s="33">
        <v>4</v>
      </c>
      <c r="CI289" s="33">
        <v>3</v>
      </c>
      <c r="CJ289" s="33">
        <v>2</v>
      </c>
      <c r="CK289" s="33">
        <v>0</v>
      </c>
      <c r="CL289" s="33">
        <v>1</v>
      </c>
      <c r="CM289" s="33">
        <v>3</v>
      </c>
      <c r="CN289" s="33">
        <v>3</v>
      </c>
      <c r="CO289" s="33">
        <v>0</v>
      </c>
      <c r="CP289" s="43">
        <v>3.6097639618113277E-2</v>
      </c>
      <c r="CQ289" s="33">
        <v>0</v>
      </c>
      <c r="CR289" s="33">
        <v>0</v>
      </c>
    </row>
    <row r="290" spans="1:96" ht="15" customHeight="1" x14ac:dyDescent="0.25">
      <c r="A290" s="26">
        <v>288</v>
      </c>
      <c r="B290" s="27">
        <v>26</v>
      </c>
      <c r="C290" s="27">
        <v>1</v>
      </c>
      <c r="D290" s="27">
        <v>1</v>
      </c>
      <c r="E290" s="27">
        <v>1449</v>
      </c>
      <c r="F290" s="27">
        <v>2</v>
      </c>
      <c r="G290" s="27">
        <v>16</v>
      </c>
      <c r="H290" s="27">
        <v>4</v>
      </c>
      <c r="I290" s="27">
        <v>3</v>
      </c>
      <c r="J290" s="27">
        <v>1</v>
      </c>
      <c r="K290" s="27">
        <v>394</v>
      </c>
      <c r="L290" s="27">
        <v>1</v>
      </c>
      <c r="M290" s="27">
        <v>1</v>
      </c>
      <c r="N290" s="27">
        <v>45</v>
      </c>
      <c r="O290" s="27">
        <v>3</v>
      </c>
      <c r="P290" s="27">
        <v>1</v>
      </c>
      <c r="Q290" s="27">
        <v>3</v>
      </c>
      <c r="R290" s="27">
        <v>2</v>
      </c>
      <c r="S290" s="27">
        <v>3</v>
      </c>
      <c r="T290" s="27">
        <v>2373</v>
      </c>
      <c r="U290" s="27">
        <v>14180</v>
      </c>
      <c r="V290" s="27">
        <v>2</v>
      </c>
      <c r="W290" s="27">
        <v>1</v>
      </c>
      <c r="X290" s="27">
        <v>13</v>
      </c>
      <c r="Y290" s="27">
        <v>3</v>
      </c>
      <c r="Z290" s="27">
        <v>4</v>
      </c>
      <c r="AA290" s="27">
        <v>80</v>
      </c>
      <c r="AB290" s="27">
        <v>1</v>
      </c>
      <c r="AC290" s="27">
        <v>5</v>
      </c>
      <c r="AD290" s="27">
        <v>2</v>
      </c>
      <c r="AE290" s="27">
        <v>3</v>
      </c>
      <c r="AF290" s="27">
        <v>3</v>
      </c>
      <c r="AG290" s="27">
        <v>2</v>
      </c>
      <c r="AH290" s="27">
        <v>0</v>
      </c>
      <c r="AI290" s="28">
        <v>2</v>
      </c>
      <c r="AK290" s="36">
        <v>257</v>
      </c>
      <c r="AL290" s="33">
        <v>2</v>
      </c>
      <c r="AM290" s="33">
        <v>1</v>
      </c>
      <c r="AN290" s="33">
        <v>1</v>
      </c>
      <c r="AO290" s="33">
        <v>0</v>
      </c>
      <c r="AP290" s="33">
        <v>1</v>
      </c>
      <c r="AQ290" s="33">
        <v>1</v>
      </c>
      <c r="AR290" s="33">
        <v>3</v>
      </c>
      <c r="AS290" s="33">
        <v>9</v>
      </c>
      <c r="AT290" s="33">
        <v>7</v>
      </c>
      <c r="AU290" s="43">
        <v>0.45532165837067357</v>
      </c>
      <c r="AV290" s="33">
        <v>0</v>
      </c>
      <c r="AW290" s="33">
        <v>0</v>
      </c>
      <c r="AY290" s="36">
        <v>262</v>
      </c>
      <c r="AZ290" s="33">
        <v>2</v>
      </c>
      <c r="BA290" s="33">
        <v>4</v>
      </c>
      <c r="BB290" s="33">
        <v>0</v>
      </c>
      <c r="BC290" s="33">
        <v>1</v>
      </c>
      <c r="BD290" s="43">
        <v>5.5093218126976727E-2</v>
      </c>
      <c r="BE290" s="33">
        <v>0</v>
      </c>
      <c r="BF290" s="33">
        <v>0</v>
      </c>
      <c r="CE290" s="36">
        <v>256</v>
      </c>
      <c r="CF290" s="33">
        <v>1</v>
      </c>
      <c r="CG290" s="33">
        <v>2</v>
      </c>
      <c r="CH290" s="33">
        <v>3</v>
      </c>
      <c r="CI290" s="33">
        <v>2</v>
      </c>
      <c r="CJ290" s="33">
        <v>0</v>
      </c>
      <c r="CK290" s="33">
        <v>0</v>
      </c>
      <c r="CL290" s="33">
        <v>2</v>
      </c>
      <c r="CM290" s="33">
        <v>3</v>
      </c>
      <c r="CN290" s="33">
        <v>4</v>
      </c>
      <c r="CO290" s="33">
        <v>1</v>
      </c>
      <c r="CP290" s="43">
        <v>3.2177222261475055E-2</v>
      </c>
      <c r="CQ290" s="33">
        <v>0</v>
      </c>
      <c r="CR290" s="33">
        <v>0</v>
      </c>
    </row>
    <row r="291" spans="1:96" ht="15" customHeight="1" x14ac:dyDescent="0.25">
      <c r="A291" s="26">
        <v>289</v>
      </c>
      <c r="B291" s="27">
        <v>28</v>
      </c>
      <c r="C291" s="27">
        <v>0</v>
      </c>
      <c r="D291" s="27">
        <v>1</v>
      </c>
      <c r="E291" s="27">
        <v>1117</v>
      </c>
      <c r="F291" s="27">
        <v>2</v>
      </c>
      <c r="G291" s="27">
        <v>8</v>
      </c>
      <c r="H291" s="27">
        <v>2</v>
      </c>
      <c r="I291" s="27">
        <v>1</v>
      </c>
      <c r="J291" s="27">
        <v>1</v>
      </c>
      <c r="K291" s="27">
        <v>395</v>
      </c>
      <c r="L291" s="27">
        <v>4</v>
      </c>
      <c r="M291" s="27">
        <v>0</v>
      </c>
      <c r="N291" s="27">
        <v>66</v>
      </c>
      <c r="O291" s="27">
        <v>3</v>
      </c>
      <c r="P291" s="27">
        <v>1</v>
      </c>
      <c r="Q291" s="27">
        <v>2</v>
      </c>
      <c r="R291" s="27">
        <v>4</v>
      </c>
      <c r="S291" s="27">
        <v>1</v>
      </c>
      <c r="T291" s="27">
        <v>3310</v>
      </c>
      <c r="U291" s="27">
        <v>4488</v>
      </c>
      <c r="V291" s="27">
        <v>1</v>
      </c>
      <c r="W291" s="27">
        <v>0</v>
      </c>
      <c r="X291" s="27">
        <v>21</v>
      </c>
      <c r="Y291" s="27">
        <v>4</v>
      </c>
      <c r="Z291" s="27">
        <v>4</v>
      </c>
      <c r="AA291" s="27">
        <v>80</v>
      </c>
      <c r="AB291" s="27">
        <v>0</v>
      </c>
      <c r="AC291" s="27">
        <v>5</v>
      </c>
      <c r="AD291" s="27">
        <v>3</v>
      </c>
      <c r="AE291" s="27">
        <v>3</v>
      </c>
      <c r="AF291" s="27">
        <v>5</v>
      </c>
      <c r="AG291" s="27">
        <v>3</v>
      </c>
      <c r="AH291" s="27">
        <v>0</v>
      </c>
      <c r="AI291" s="28">
        <v>2</v>
      </c>
      <c r="AK291" s="36">
        <v>258</v>
      </c>
      <c r="AL291" s="33">
        <v>2</v>
      </c>
      <c r="AM291" s="33">
        <v>5</v>
      </c>
      <c r="AN291" s="33">
        <v>3</v>
      </c>
      <c r="AO291" s="33">
        <v>0</v>
      </c>
      <c r="AP291" s="33">
        <v>0</v>
      </c>
      <c r="AQ291" s="33">
        <v>1</v>
      </c>
      <c r="AR291" s="33">
        <v>3</v>
      </c>
      <c r="AS291" s="33">
        <v>21</v>
      </c>
      <c r="AT291" s="33">
        <v>3</v>
      </c>
      <c r="AU291" s="43">
        <v>3.1302145338692245E-3</v>
      </c>
      <c r="AV291" s="33">
        <v>0</v>
      </c>
      <c r="AW291" s="33">
        <v>0</v>
      </c>
      <c r="AY291" s="36">
        <v>263</v>
      </c>
      <c r="AZ291" s="33">
        <v>2</v>
      </c>
      <c r="BA291" s="33">
        <v>1</v>
      </c>
      <c r="BB291" s="33">
        <v>0</v>
      </c>
      <c r="BC291" s="33">
        <v>0</v>
      </c>
      <c r="BD291" s="43">
        <v>0.19196561144667343</v>
      </c>
      <c r="BE291" s="33">
        <v>0</v>
      </c>
      <c r="BF291" s="33">
        <v>0</v>
      </c>
      <c r="CE291" s="36">
        <v>257</v>
      </c>
      <c r="CF291" s="33">
        <v>2</v>
      </c>
      <c r="CG291" s="33">
        <v>1</v>
      </c>
      <c r="CH291" s="33">
        <v>1</v>
      </c>
      <c r="CI291" s="33">
        <v>3</v>
      </c>
      <c r="CJ291" s="33">
        <v>0</v>
      </c>
      <c r="CK291" s="33">
        <v>1</v>
      </c>
      <c r="CL291" s="33">
        <v>1</v>
      </c>
      <c r="CM291" s="33">
        <v>3</v>
      </c>
      <c r="CN291" s="33">
        <v>9</v>
      </c>
      <c r="CO291" s="33">
        <v>7</v>
      </c>
      <c r="CP291" s="43">
        <v>0.3340443124541384</v>
      </c>
      <c r="CQ291" s="33">
        <v>0</v>
      </c>
      <c r="CR291" s="33">
        <v>0</v>
      </c>
    </row>
    <row r="292" spans="1:96" ht="15" customHeight="1" x14ac:dyDescent="0.25">
      <c r="A292" s="26">
        <v>290</v>
      </c>
      <c r="B292" s="27">
        <v>49</v>
      </c>
      <c r="C292" s="27">
        <v>0</v>
      </c>
      <c r="D292" s="27">
        <v>2</v>
      </c>
      <c r="E292" s="27">
        <v>636</v>
      </c>
      <c r="F292" s="27">
        <v>2</v>
      </c>
      <c r="G292" s="27">
        <v>10</v>
      </c>
      <c r="H292" s="27">
        <v>4</v>
      </c>
      <c r="I292" s="27">
        <v>1</v>
      </c>
      <c r="J292" s="27">
        <v>1</v>
      </c>
      <c r="K292" s="27">
        <v>396</v>
      </c>
      <c r="L292" s="27">
        <v>3</v>
      </c>
      <c r="M292" s="27">
        <v>0</v>
      </c>
      <c r="N292" s="27">
        <v>35</v>
      </c>
      <c r="O292" s="27">
        <v>3</v>
      </c>
      <c r="P292" s="27">
        <v>5</v>
      </c>
      <c r="Q292" s="27">
        <v>8</v>
      </c>
      <c r="R292" s="27">
        <v>1</v>
      </c>
      <c r="S292" s="27">
        <v>1</v>
      </c>
      <c r="T292" s="27">
        <v>18665</v>
      </c>
      <c r="U292" s="27">
        <v>25594</v>
      </c>
      <c r="V292" s="27">
        <v>9</v>
      </c>
      <c r="W292" s="27">
        <v>1</v>
      </c>
      <c r="X292" s="27">
        <v>11</v>
      </c>
      <c r="Y292" s="27">
        <v>3</v>
      </c>
      <c r="Z292" s="27">
        <v>4</v>
      </c>
      <c r="AA292" s="27">
        <v>80</v>
      </c>
      <c r="AB292" s="27">
        <v>0</v>
      </c>
      <c r="AC292" s="27">
        <v>22</v>
      </c>
      <c r="AD292" s="27">
        <v>4</v>
      </c>
      <c r="AE292" s="27">
        <v>3</v>
      </c>
      <c r="AF292" s="27">
        <v>3</v>
      </c>
      <c r="AG292" s="27">
        <v>2</v>
      </c>
      <c r="AH292" s="27">
        <v>1</v>
      </c>
      <c r="AI292" s="28">
        <v>2</v>
      </c>
      <c r="AK292" s="36">
        <v>259</v>
      </c>
      <c r="AL292" s="33">
        <v>1</v>
      </c>
      <c r="AM292" s="33">
        <v>1</v>
      </c>
      <c r="AN292" s="33">
        <v>4</v>
      </c>
      <c r="AO292" s="33">
        <v>1</v>
      </c>
      <c r="AP292" s="33">
        <v>0</v>
      </c>
      <c r="AQ292" s="33">
        <v>0</v>
      </c>
      <c r="AR292" s="33">
        <v>2</v>
      </c>
      <c r="AS292" s="33">
        <v>1</v>
      </c>
      <c r="AT292" s="33">
        <v>0</v>
      </c>
      <c r="AU292" s="43">
        <v>0.13043164104819679</v>
      </c>
      <c r="AV292" s="33">
        <v>0</v>
      </c>
      <c r="AW292" s="33">
        <v>0</v>
      </c>
      <c r="AY292" s="36">
        <v>264</v>
      </c>
      <c r="AZ292" s="33">
        <v>4</v>
      </c>
      <c r="BA292" s="33">
        <v>2</v>
      </c>
      <c r="BB292" s="33">
        <v>1</v>
      </c>
      <c r="BC292" s="33">
        <v>1</v>
      </c>
      <c r="BD292" s="43">
        <v>0.1277051204585552</v>
      </c>
      <c r="BE292" s="33">
        <v>0</v>
      </c>
      <c r="BF292" s="33">
        <v>0</v>
      </c>
      <c r="CE292" s="36">
        <v>258</v>
      </c>
      <c r="CF292" s="33">
        <v>2</v>
      </c>
      <c r="CG292" s="33">
        <v>5</v>
      </c>
      <c r="CH292" s="33">
        <v>3</v>
      </c>
      <c r="CI292" s="33">
        <v>3</v>
      </c>
      <c r="CJ292" s="33">
        <v>0</v>
      </c>
      <c r="CK292" s="33">
        <v>0</v>
      </c>
      <c r="CL292" s="33">
        <v>1</v>
      </c>
      <c r="CM292" s="33">
        <v>3</v>
      </c>
      <c r="CN292" s="33">
        <v>21</v>
      </c>
      <c r="CO292" s="33">
        <v>3</v>
      </c>
      <c r="CP292" s="43">
        <v>1.7894151465845357E-3</v>
      </c>
      <c r="CQ292" s="33">
        <v>0</v>
      </c>
      <c r="CR292" s="33">
        <v>0</v>
      </c>
    </row>
    <row r="293" spans="1:96" ht="15" customHeight="1" x14ac:dyDescent="0.25">
      <c r="A293" s="26">
        <v>291</v>
      </c>
      <c r="B293" s="27">
        <v>36</v>
      </c>
      <c r="C293" s="27">
        <v>0</v>
      </c>
      <c r="D293" s="27">
        <v>1</v>
      </c>
      <c r="E293" s="27">
        <v>506</v>
      </c>
      <c r="F293" s="27">
        <v>2</v>
      </c>
      <c r="G293" s="27">
        <v>3</v>
      </c>
      <c r="H293" s="27">
        <v>3</v>
      </c>
      <c r="I293" s="27">
        <v>5</v>
      </c>
      <c r="J293" s="27">
        <v>1</v>
      </c>
      <c r="K293" s="27">
        <v>397</v>
      </c>
      <c r="L293" s="27">
        <v>3</v>
      </c>
      <c r="M293" s="27">
        <v>1</v>
      </c>
      <c r="N293" s="27">
        <v>30</v>
      </c>
      <c r="O293" s="27">
        <v>3</v>
      </c>
      <c r="P293" s="27">
        <v>2</v>
      </c>
      <c r="Q293" s="27">
        <v>2</v>
      </c>
      <c r="R293" s="27">
        <v>2</v>
      </c>
      <c r="S293" s="27">
        <v>1</v>
      </c>
      <c r="T293" s="27">
        <v>4485</v>
      </c>
      <c r="U293" s="27">
        <v>26285</v>
      </c>
      <c r="V293" s="27">
        <v>4</v>
      </c>
      <c r="W293" s="27">
        <v>0</v>
      </c>
      <c r="X293" s="27">
        <v>12</v>
      </c>
      <c r="Y293" s="27">
        <v>3</v>
      </c>
      <c r="Z293" s="27">
        <v>4</v>
      </c>
      <c r="AA293" s="27">
        <v>80</v>
      </c>
      <c r="AB293" s="27">
        <v>0</v>
      </c>
      <c r="AC293" s="27">
        <v>10</v>
      </c>
      <c r="AD293" s="27">
        <v>2</v>
      </c>
      <c r="AE293" s="27">
        <v>3</v>
      </c>
      <c r="AF293" s="27">
        <v>8</v>
      </c>
      <c r="AG293" s="27">
        <v>0</v>
      </c>
      <c r="AH293" s="27">
        <v>7</v>
      </c>
      <c r="AI293" s="28">
        <v>7</v>
      </c>
      <c r="AK293" s="36">
        <v>260</v>
      </c>
      <c r="AL293" s="33">
        <v>29</v>
      </c>
      <c r="AM293" s="33">
        <v>1</v>
      </c>
      <c r="AN293" s="33">
        <v>2</v>
      </c>
      <c r="AO293" s="33">
        <v>0</v>
      </c>
      <c r="AP293" s="33">
        <v>0</v>
      </c>
      <c r="AQ293" s="33">
        <v>0</v>
      </c>
      <c r="AR293" s="33">
        <v>4</v>
      </c>
      <c r="AS293" s="33">
        <v>5</v>
      </c>
      <c r="AT293" s="33">
        <v>1</v>
      </c>
      <c r="AU293" s="43">
        <v>0.25060019317229087</v>
      </c>
      <c r="AV293" s="33">
        <v>0</v>
      </c>
      <c r="AW293" s="33">
        <v>1</v>
      </c>
      <c r="AY293" s="36">
        <v>265</v>
      </c>
      <c r="AZ293" s="33">
        <v>1</v>
      </c>
      <c r="BA293" s="33">
        <v>3</v>
      </c>
      <c r="BB293" s="33">
        <v>0</v>
      </c>
      <c r="BC293" s="33">
        <v>0</v>
      </c>
      <c r="BD293" s="43">
        <v>0.18791247240909698</v>
      </c>
      <c r="BE293" s="33">
        <v>0</v>
      </c>
      <c r="BF293" s="33">
        <v>1</v>
      </c>
      <c r="CE293" s="36">
        <v>259</v>
      </c>
      <c r="CF293" s="33">
        <v>1</v>
      </c>
      <c r="CG293" s="33">
        <v>1</v>
      </c>
      <c r="CH293" s="33">
        <v>4</v>
      </c>
      <c r="CI293" s="33">
        <v>2</v>
      </c>
      <c r="CJ293" s="33">
        <v>1</v>
      </c>
      <c r="CK293" s="33">
        <v>0</v>
      </c>
      <c r="CL293" s="33">
        <v>0</v>
      </c>
      <c r="CM293" s="33">
        <v>2</v>
      </c>
      <c r="CN293" s="33">
        <v>1</v>
      </c>
      <c r="CO293" s="33">
        <v>0</v>
      </c>
      <c r="CP293" s="43">
        <v>9.1808480861235886E-2</v>
      </c>
      <c r="CQ293" s="33">
        <v>0</v>
      </c>
      <c r="CR293" s="33">
        <v>0</v>
      </c>
    </row>
    <row r="294" spans="1:96" ht="15" customHeight="1" x14ac:dyDescent="0.25">
      <c r="A294" s="26">
        <v>292</v>
      </c>
      <c r="B294" s="27">
        <v>31</v>
      </c>
      <c r="C294" s="27">
        <v>0</v>
      </c>
      <c r="D294" s="27">
        <v>2</v>
      </c>
      <c r="E294" s="27">
        <v>444</v>
      </c>
      <c r="F294" s="27">
        <v>1</v>
      </c>
      <c r="G294" s="27">
        <v>5</v>
      </c>
      <c r="H294" s="27">
        <v>3</v>
      </c>
      <c r="I294" s="27">
        <v>4</v>
      </c>
      <c r="J294" s="27">
        <v>1</v>
      </c>
      <c r="K294" s="27">
        <v>399</v>
      </c>
      <c r="L294" s="27">
        <v>4</v>
      </c>
      <c r="M294" s="27">
        <v>0</v>
      </c>
      <c r="N294" s="27">
        <v>84</v>
      </c>
      <c r="O294" s="27">
        <v>3</v>
      </c>
      <c r="P294" s="27">
        <v>1</v>
      </c>
      <c r="Q294" s="27">
        <v>7</v>
      </c>
      <c r="R294" s="27">
        <v>2</v>
      </c>
      <c r="S294" s="27">
        <v>3</v>
      </c>
      <c r="T294" s="27">
        <v>2789</v>
      </c>
      <c r="U294" s="27">
        <v>3909</v>
      </c>
      <c r="V294" s="27">
        <v>1</v>
      </c>
      <c r="W294" s="27">
        <v>0</v>
      </c>
      <c r="X294" s="27">
        <v>11</v>
      </c>
      <c r="Y294" s="27">
        <v>3</v>
      </c>
      <c r="Z294" s="27">
        <v>3</v>
      </c>
      <c r="AA294" s="27">
        <v>80</v>
      </c>
      <c r="AB294" s="27">
        <v>1</v>
      </c>
      <c r="AC294" s="27">
        <v>2</v>
      </c>
      <c r="AD294" s="27">
        <v>5</v>
      </c>
      <c r="AE294" s="27">
        <v>2</v>
      </c>
      <c r="AF294" s="27">
        <v>2</v>
      </c>
      <c r="AG294" s="27">
        <v>2</v>
      </c>
      <c r="AH294" s="27">
        <v>2</v>
      </c>
      <c r="AI294" s="28">
        <v>2</v>
      </c>
      <c r="AK294" s="36">
        <v>261</v>
      </c>
      <c r="AL294" s="33">
        <v>7</v>
      </c>
      <c r="AM294" s="33">
        <v>1</v>
      </c>
      <c r="AN294" s="33">
        <v>2</v>
      </c>
      <c r="AO294" s="33">
        <v>1</v>
      </c>
      <c r="AP294" s="33">
        <v>0</v>
      </c>
      <c r="AQ294" s="33">
        <v>0</v>
      </c>
      <c r="AR294" s="33">
        <v>1</v>
      </c>
      <c r="AS294" s="33">
        <v>5</v>
      </c>
      <c r="AT294" s="33">
        <v>0</v>
      </c>
      <c r="AU294" s="43">
        <v>0.23736818162300075</v>
      </c>
      <c r="AV294" s="33">
        <v>0</v>
      </c>
      <c r="AW294" s="33">
        <v>0</v>
      </c>
      <c r="AY294" s="36">
        <v>266</v>
      </c>
      <c r="AZ294" s="33">
        <v>2</v>
      </c>
      <c r="BA294" s="33">
        <v>2</v>
      </c>
      <c r="BB294" s="33">
        <v>0</v>
      </c>
      <c r="BC294" s="33">
        <v>2</v>
      </c>
      <c r="BD294" s="43">
        <v>5.8143431646637607E-2</v>
      </c>
      <c r="BE294" s="33">
        <v>0</v>
      </c>
      <c r="BF294" s="33">
        <v>0</v>
      </c>
      <c r="CE294" s="36">
        <v>260</v>
      </c>
      <c r="CF294" s="33">
        <v>29</v>
      </c>
      <c r="CG294" s="33">
        <v>1</v>
      </c>
      <c r="CH294" s="33">
        <v>2</v>
      </c>
      <c r="CI294" s="33">
        <v>1</v>
      </c>
      <c r="CJ294" s="33">
        <v>0</v>
      </c>
      <c r="CK294" s="33">
        <v>0</v>
      </c>
      <c r="CL294" s="33">
        <v>0</v>
      </c>
      <c r="CM294" s="33">
        <v>4</v>
      </c>
      <c r="CN294" s="33">
        <v>5</v>
      </c>
      <c r="CO294" s="33">
        <v>1</v>
      </c>
      <c r="CP294" s="43">
        <v>0.28067305146741617</v>
      </c>
      <c r="CQ294" s="33">
        <v>0</v>
      </c>
      <c r="CR294" s="33">
        <v>1</v>
      </c>
    </row>
    <row r="295" spans="1:96" ht="15" customHeight="1" x14ac:dyDescent="0.25">
      <c r="A295" s="26">
        <v>293</v>
      </c>
      <c r="B295" s="27">
        <v>26</v>
      </c>
      <c r="C295" s="27">
        <v>1</v>
      </c>
      <c r="D295" s="27">
        <v>1</v>
      </c>
      <c r="E295" s="27">
        <v>950</v>
      </c>
      <c r="F295" s="27">
        <v>1</v>
      </c>
      <c r="G295" s="27">
        <v>4</v>
      </c>
      <c r="H295" s="27">
        <v>4</v>
      </c>
      <c r="I295" s="27">
        <v>4</v>
      </c>
      <c r="J295" s="27">
        <v>1</v>
      </c>
      <c r="K295" s="27">
        <v>401</v>
      </c>
      <c r="L295" s="27">
        <v>4</v>
      </c>
      <c r="M295" s="27">
        <v>1</v>
      </c>
      <c r="N295" s="27">
        <v>48</v>
      </c>
      <c r="O295" s="27">
        <v>2</v>
      </c>
      <c r="P295" s="27">
        <v>2</v>
      </c>
      <c r="Q295" s="27">
        <v>1</v>
      </c>
      <c r="R295" s="27">
        <v>4</v>
      </c>
      <c r="S295" s="27">
        <v>1</v>
      </c>
      <c r="T295" s="27">
        <v>5828</v>
      </c>
      <c r="U295" s="27">
        <v>8450</v>
      </c>
      <c r="V295" s="27">
        <v>1</v>
      </c>
      <c r="W295" s="27">
        <v>1</v>
      </c>
      <c r="X295" s="27">
        <v>12</v>
      </c>
      <c r="Y295" s="27">
        <v>3</v>
      </c>
      <c r="Z295" s="27">
        <v>2</v>
      </c>
      <c r="AA295" s="27">
        <v>80</v>
      </c>
      <c r="AB295" s="27">
        <v>0</v>
      </c>
      <c r="AC295" s="27">
        <v>8</v>
      </c>
      <c r="AD295" s="27">
        <v>0</v>
      </c>
      <c r="AE295" s="27">
        <v>3</v>
      </c>
      <c r="AF295" s="27">
        <v>8</v>
      </c>
      <c r="AG295" s="27">
        <v>7</v>
      </c>
      <c r="AH295" s="27">
        <v>7</v>
      </c>
      <c r="AI295" s="28">
        <v>4</v>
      </c>
      <c r="AK295" s="36">
        <v>262</v>
      </c>
      <c r="AL295" s="33">
        <v>2</v>
      </c>
      <c r="AM295" s="33">
        <v>2</v>
      </c>
      <c r="AN295" s="33">
        <v>4</v>
      </c>
      <c r="AO295" s="33">
        <v>3</v>
      </c>
      <c r="AP295" s="33">
        <v>0</v>
      </c>
      <c r="AQ295" s="33">
        <v>1</v>
      </c>
      <c r="AR295" s="33">
        <v>3</v>
      </c>
      <c r="AS295" s="33">
        <v>8</v>
      </c>
      <c r="AT295" s="33">
        <v>7</v>
      </c>
      <c r="AU295" s="43">
        <v>5.9632472595823632E-2</v>
      </c>
      <c r="AV295" s="33">
        <v>0</v>
      </c>
      <c r="AW295" s="33">
        <v>0</v>
      </c>
      <c r="AY295" s="36">
        <v>267</v>
      </c>
      <c r="AZ295" s="33">
        <v>2</v>
      </c>
      <c r="BA295" s="33">
        <v>4</v>
      </c>
      <c r="BB295" s="33">
        <v>0</v>
      </c>
      <c r="BC295" s="33">
        <v>1</v>
      </c>
      <c r="BD295" s="43">
        <v>5.5093218126976727E-2</v>
      </c>
      <c r="BE295" s="33">
        <v>0</v>
      </c>
      <c r="BF295" s="33">
        <v>0</v>
      </c>
      <c r="CE295" s="36">
        <v>261</v>
      </c>
      <c r="CF295" s="33">
        <v>7</v>
      </c>
      <c r="CG295" s="33">
        <v>1</v>
      </c>
      <c r="CH295" s="33">
        <v>2</v>
      </c>
      <c r="CI295" s="33">
        <v>2</v>
      </c>
      <c r="CJ295" s="33">
        <v>1</v>
      </c>
      <c r="CK295" s="33">
        <v>0</v>
      </c>
      <c r="CL295" s="33">
        <v>0</v>
      </c>
      <c r="CM295" s="33">
        <v>1</v>
      </c>
      <c r="CN295" s="33">
        <v>5</v>
      </c>
      <c r="CO295" s="33">
        <v>0</v>
      </c>
      <c r="CP295" s="43">
        <v>0.18052057895615323</v>
      </c>
      <c r="CQ295" s="33">
        <v>0</v>
      </c>
      <c r="CR295" s="33">
        <v>0</v>
      </c>
    </row>
    <row r="296" spans="1:96" ht="15" customHeight="1" x14ac:dyDescent="0.25">
      <c r="A296" s="26">
        <v>294</v>
      </c>
      <c r="B296" s="27">
        <v>37</v>
      </c>
      <c r="C296" s="27">
        <v>0</v>
      </c>
      <c r="D296" s="27">
        <v>2</v>
      </c>
      <c r="E296" s="27">
        <v>889</v>
      </c>
      <c r="F296" s="27">
        <v>2</v>
      </c>
      <c r="G296" s="27">
        <v>9</v>
      </c>
      <c r="H296" s="27">
        <v>3</v>
      </c>
      <c r="I296" s="27">
        <v>3</v>
      </c>
      <c r="J296" s="27">
        <v>1</v>
      </c>
      <c r="K296" s="27">
        <v>403</v>
      </c>
      <c r="L296" s="27">
        <v>2</v>
      </c>
      <c r="M296" s="27">
        <v>1</v>
      </c>
      <c r="N296" s="27">
        <v>53</v>
      </c>
      <c r="O296" s="27">
        <v>3</v>
      </c>
      <c r="P296" s="27">
        <v>1</v>
      </c>
      <c r="Q296" s="27">
        <v>2</v>
      </c>
      <c r="R296" s="27">
        <v>4</v>
      </c>
      <c r="S296" s="27">
        <v>2</v>
      </c>
      <c r="T296" s="27">
        <v>2326</v>
      </c>
      <c r="U296" s="27">
        <v>11411</v>
      </c>
      <c r="V296" s="27">
        <v>1</v>
      </c>
      <c r="W296" s="27">
        <v>1</v>
      </c>
      <c r="X296" s="27">
        <v>12</v>
      </c>
      <c r="Y296" s="27">
        <v>3</v>
      </c>
      <c r="Z296" s="27">
        <v>3</v>
      </c>
      <c r="AA296" s="27">
        <v>80</v>
      </c>
      <c r="AB296" s="27">
        <v>3</v>
      </c>
      <c r="AC296" s="27">
        <v>4</v>
      </c>
      <c r="AD296" s="27">
        <v>3</v>
      </c>
      <c r="AE296" s="27">
        <v>2</v>
      </c>
      <c r="AF296" s="27">
        <v>4</v>
      </c>
      <c r="AG296" s="27">
        <v>2</v>
      </c>
      <c r="AH296" s="27">
        <v>1</v>
      </c>
      <c r="AI296" s="28">
        <v>2</v>
      </c>
      <c r="AK296" s="36">
        <v>263</v>
      </c>
      <c r="AL296" s="33">
        <v>2</v>
      </c>
      <c r="AM296" s="33">
        <v>2</v>
      </c>
      <c r="AN296" s="33">
        <v>1</v>
      </c>
      <c r="AO296" s="33">
        <v>4</v>
      </c>
      <c r="AP296" s="33">
        <v>0</v>
      </c>
      <c r="AQ296" s="33">
        <v>0</v>
      </c>
      <c r="AR296" s="33">
        <v>3</v>
      </c>
      <c r="AS296" s="33">
        <v>6</v>
      </c>
      <c r="AT296" s="33">
        <v>0</v>
      </c>
      <c r="AU296" s="43">
        <v>0.13237529780025548</v>
      </c>
      <c r="AV296" s="33">
        <v>0</v>
      </c>
      <c r="AW296" s="33">
        <v>0</v>
      </c>
      <c r="AY296" s="36">
        <v>268</v>
      </c>
      <c r="AZ296" s="33">
        <v>2</v>
      </c>
      <c r="BA296" s="33">
        <v>1</v>
      </c>
      <c r="BB296" s="33">
        <v>0</v>
      </c>
      <c r="BC296" s="33">
        <v>2</v>
      </c>
      <c r="BD296" s="43">
        <v>7.638126547101505E-2</v>
      </c>
      <c r="BE296" s="33">
        <v>0</v>
      </c>
      <c r="BF296" s="33">
        <v>0</v>
      </c>
      <c r="CE296" s="36">
        <v>262</v>
      </c>
      <c r="CF296" s="33">
        <v>2</v>
      </c>
      <c r="CG296" s="33">
        <v>2</v>
      </c>
      <c r="CH296" s="33">
        <v>4</v>
      </c>
      <c r="CI296" s="33">
        <v>2</v>
      </c>
      <c r="CJ296" s="33">
        <v>3</v>
      </c>
      <c r="CK296" s="33">
        <v>0</v>
      </c>
      <c r="CL296" s="33">
        <v>1</v>
      </c>
      <c r="CM296" s="33">
        <v>3</v>
      </c>
      <c r="CN296" s="33">
        <v>8</v>
      </c>
      <c r="CO296" s="33">
        <v>7</v>
      </c>
      <c r="CP296" s="43">
        <v>5.7679040073534027E-2</v>
      </c>
      <c r="CQ296" s="33">
        <v>0</v>
      </c>
      <c r="CR296" s="33">
        <v>0</v>
      </c>
    </row>
    <row r="297" spans="1:96" ht="15" customHeight="1" x14ac:dyDescent="0.25">
      <c r="A297" s="26">
        <v>295</v>
      </c>
      <c r="B297" s="27">
        <v>42</v>
      </c>
      <c r="C297" s="27">
        <v>0</v>
      </c>
      <c r="D297" s="27">
        <v>2</v>
      </c>
      <c r="E297" s="27">
        <v>555</v>
      </c>
      <c r="F297" s="27">
        <v>1</v>
      </c>
      <c r="G297" s="27">
        <v>26</v>
      </c>
      <c r="H297" s="27">
        <v>3</v>
      </c>
      <c r="I297" s="27">
        <v>4</v>
      </c>
      <c r="J297" s="27">
        <v>1</v>
      </c>
      <c r="K297" s="27">
        <v>404</v>
      </c>
      <c r="L297" s="27">
        <v>3</v>
      </c>
      <c r="M297" s="27">
        <v>0</v>
      </c>
      <c r="N297" s="27">
        <v>77</v>
      </c>
      <c r="O297" s="27">
        <v>3</v>
      </c>
      <c r="P297" s="27">
        <v>4</v>
      </c>
      <c r="Q297" s="27">
        <v>1</v>
      </c>
      <c r="R297" s="27">
        <v>2</v>
      </c>
      <c r="S297" s="27">
        <v>2</v>
      </c>
      <c r="T297" s="27">
        <v>13525</v>
      </c>
      <c r="U297" s="27">
        <v>14864</v>
      </c>
      <c r="V297" s="27">
        <v>5</v>
      </c>
      <c r="W297" s="27">
        <v>0</v>
      </c>
      <c r="X297" s="27">
        <v>14</v>
      </c>
      <c r="Y297" s="27">
        <v>3</v>
      </c>
      <c r="Z297" s="27">
        <v>4</v>
      </c>
      <c r="AA297" s="27">
        <v>80</v>
      </c>
      <c r="AB297" s="27">
        <v>1</v>
      </c>
      <c r="AC297" s="27">
        <v>23</v>
      </c>
      <c r="AD297" s="27">
        <v>2</v>
      </c>
      <c r="AE297" s="27">
        <v>4</v>
      </c>
      <c r="AF297" s="27">
        <v>20</v>
      </c>
      <c r="AG297" s="27">
        <v>4</v>
      </c>
      <c r="AH297" s="27">
        <v>4</v>
      </c>
      <c r="AI297" s="28">
        <v>8</v>
      </c>
      <c r="AK297" s="36">
        <v>264</v>
      </c>
      <c r="AL297" s="33">
        <v>2</v>
      </c>
      <c r="AM297" s="33">
        <v>4</v>
      </c>
      <c r="AN297" s="33">
        <v>2</v>
      </c>
      <c r="AO297" s="33">
        <v>3</v>
      </c>
      <c r="AP297" s="33">
        <v>1</v>
      </c>
      <c r="AQ297" s="33">
        <v>1</v>
      </c>
      <c r="AR297" s="33">
        <v>2</v>
      </c>
      <c r="AS297" s="33">
        <v>7</v>
      </c>
      <c r="AT297" s="33">
        <v>7</v>
      </c>
      <c r="AU297" s="43">
        <v>0.18283534756896849</v>
      </c>
      <c r="AV297" s="33">
        <v>0</v>
      </c>
      <c r="AW297" s="33">
        <v>0</v>
      </c>
      <c r="AY297" s="36">
        <v>269</v>
      </c>
      <c r="AZ297" s="33">
        <v>4</v>
      </c>
      <c r="BA297" s="33">
        <v>4</v>
      </c>
      <c r="BB297" s="33">
        <v>1</v>
      </c>
      <c r="BC297" s="33">
        <v>0</v>
      </c>
      <c r="BD297" s="43">
        <v>0.12147634917774761</v>
      </c>
      <c r="BE297" s="33">
        <v>0</v>
      </c>
      <c r="BF297" s="33">
        <v>0</v>
      </c>
      <c r="CE297" s="36">
        <v>263</v>
      </c>
      <c r="CF297" s="33">
        <v>2</v>
      </c>
      <c r="CG297" s="33">
        <v>2</v>
      </c>
      <c r="CH297" s="33">
        <v>1</v>
      </c>
      <c r="CI297" s="33">
        <v>1</v>
      </c>
      <c r="CJ297" s="33">
        <v>4</v>
      </c>
      <c r="CK297" s="33">
        <v>0</v>
      </c>
      <c r="CL297" s="33">
        <v>0</v>
      </c>
      <c r="CM297" s="33">
        <v>3</v>
      </c>
      <c r="CN297" s="33">
        <v>6</v>
      </c>
      <c r="CO297" s="33">
        <v>0</v>
      </c>
      <c r="CP297" s="43">
        <v>0.15857896688166359</v>
      </c>
      <c r="CQ297" s="33">
        <v>0</v>
      </c>
      <c r="CR297" s="33">
        <v>0</v>
      </c>
    </row>
    <row r="298" spans="1:96" ht="15" customHeight="1" x14ac:dyDescent="0.25">
      <c r="A298" s="26">
        <v>296</v>
      </c>
      <c r="B298" s="27">
        <v>18</v>
      </c>
      <c r="C298" s="27">
        <v>1</v>
      </c>
      <c r="D298" s="27">
        <v>1</v>
      </c>
      <c r="E298" s="27">
        <v>230</v>
      </c>
      <c r="F298" s="27">
        <v>2</v>
      </c>
      <c r="G298" s="27">
        <v>3</v>
      </c>
      <c r="H298" s="27">
        <v>3</v>
      </c>
      <c r="I298" s="27">
        <v>1</v>
      </c>
      <c r="J298" s="27">
        <v>1</v>
      </c>
      <c r="K298" s="27">
        <v>405</v>
      </c>
      <c r="L298" s="27">
        <v>3</v>
      </c>
      <c r="M298" s="27">
        <v>1</v>
      </c>
      <c r="N298" s="27">
        <v>54</v>
      </c>
      <c r="O298" s="27">
        <v>3</v>
      </c>
      <c r="P298" s="27">
        <v>1</v>
      </c>
      <c r="Q298" s="27">
        <v>3</v>
      </c>
      <c r="R298" s="27">
        <v>3</v>
      </c>
      <c r="S298" s="27">
        <v>1</v>
      </c>
      <c r="T298" s="27">
        <v>1420</v>
      </c>
      <c r="U298" s="27">
        <v>25233</v>
      </c>
      <c r="V298" s="27">
        <v>1</v>
      </c>
      <c r="W298" s="27">
        <v>0</v>
      </c>
      <c r="X298" s="27">
        <v>13</v>
      </c>
      <c r="Y298" s="27">
        <v>3</v>
      </c>
      <c r="Z298" s="27">
        <v>3</v>
      </c>
      <c r="AA298" s="27">
        <v>80</v>
      </c>
      <c r="AB298" s="27">
        <v>0</v>
      </c>
      <c r="AC298" s="27">
        <v>0</v>
      </c>
      <c r="AD298" s="27">
        <v>2</v>
      </c>
      <c r="AE298" s="27">
        <v>3</v>
      </c>
      <c r="AF298" s="27">
        <v>0</v>
      </c>
      <c r="AG298" s="27">
        <v>0</v>
      </c>
      <c r="AH298" s="27">
        <v>0</v>
      </c>
      <c r="AI298" s="28">
        <v>0</v>
      </c>
      <c r="AK298" s="36">
        <v>265</v>
      </c>
      <c r="AL298" s="33">
        <v>2</v>
      </c>
      <c r="AM298" s="33">
        <v>1</v>
      </c>
      <c r="AN298" s="33">
        <v>3</v>
      </c>
      <c r="AO298" s="33">
        <v>2</v>
      </c>
      <c r="AP298" s="33">
        <v>0</v>
      </c>
      <c r="AQ298" s="33">
        <v>0</v>
      </c>
      <c r="AR298" s="33">
        <v>1</v>
      </c>
      <c r="AS298" s="33">
        <v>0</v>
      </c>
      <c r="AT298" s="33">
        <v>0</v>
      </c>
      <c r="AU298" s="43">
        <v>0.23453902279391406</v>
      </c>
      <c r="AV298" s="33">
        <v>0</v>
      </c>
      <c r="AW298" s="33">
        <v>1</v>
      </c>
      <c r="AY298" s="36">
        <v>270</v>
      </c>
      <c r="AZ298" s="33">
        <v>1</v>
      </c>
      <c r="BA298" s="33">
        <v>4</v>
      </c>
      <c r="BB298" s="33">
        <v>0</v>
      </c>
      <c r="BC298" s="33">
        <v>1</v>
      </c>
      <c r="BD298" s="43">
        <v>9.2486413274924434E-2</v>
      </c>
      <c r="BE298" s="33">
        <v>0</v>
      </c>
      <c r="BF298" s="33">
        <v>0</v>
      </c>
      <c r="CE298" s="36">
        <v>264</v>
      </c>
      <c r="CF298" s="33">
        <v>2</v>
      </c>
      <c r="CG298" s="33">
        <v>4</v>
      </c>
      <c r="CH298" s="33">
        <v>2</v>
      </c>
      <c r="CI298" s="33">
        <v>2</v>
      </c>
      <c r="CJ298" s="33">
        <v>3</v>
      </c>
      <c r="CK298" s="33">
        <v>1</v>
      </c>
      <c r="CL298" s="33">
        <v>1</v>
      </c>
      <c r="CM298" s="33">
        <v>2</v>
      </c>
      <c r="CN298" s="33">
        <v>7</v>
      </c>
      <c r="CO298" s="33">
        <v>7</v>
      </c>
      <c r="CP298" s="43">
        <v>0.19525956658897803</v>
      </c>
      <c r="CQ298" s="33">
        <v>0</v>
      </c>
      <c r="CR298" s="33">
        <v>0</v>
      </c>
    </row>
    <row r="299" spans="1:96" ht="15" customHeight="1" x14ac:dyDescent="0.25">
      <c r="A299" s="26">
        <v>297</v>
      </c>
      <c r="B299" s="27">
        <v>35</v>
      </c>
      <c r="C299" s="27">
        <v>0</v>
      </c>
      <c r="D299" s="27">
        <v>1</v>
      </c>
      <c r="E299" s="27">
        <v>1232</v>
      </c>
      <c r="F299" s="27">
        <v>1</v>
      </c>
      <c r="G299" s="27">
        <v>16</v>
      </c>
      <c r="H299" s="27">
        <v>3</v>
      </c>
      <c r="I299" s="27">
        <v>4</v>
      </c>
      <c r="J299" s="27">
        <v>1</v>
      </c>
      <c r="K299" s="27">
        <v>406</v>
      </c>
      <c r="L299" s="27">
        <v>3</v>
      </c>
      <c r="M299" s="27">
        <v>1</v>
      </c>
      <c r="N299" s="27">
        <v>96</v>
      </c>
      <c r="O299" s="27">
        <v>3</v>
      </c>
      <c r="P299" s="27">
        <v>3</v>
      </c>
      <c r="Q299" s="27">
        <v>1</v>
      </c>
      <c r="R299" s="27">
        <v>2</v>
      </c>
      <c r="S299" s="27">
        <v>2</v>
      </c>
      <c r="T299" s="27">
        <v>8020</v>
      </c>
      <c r="U299" s="27">
        <v>5100</v>
      </c>
      <c r="V299" s="27">
        <v>0</v>
      </c>
      <c r="W299" s="27">
        <v>0</v>
      </c>
      <c r="X299" s="27">
        <v>15</v>
      </c>
      <c r="Y299" s="27">
        <v>3</v>
      </c>
      <c r="Z299" s="27">
        <v>3</v>
      </c>
      <c r="AA299" s="27">
        <v>80</v>
      </c>
      <c r="AB299" s="27">
        <v>2</v>
      </c>
      <c r="AC299" s="27">
        <v>12</v>
      </c>
      <c r="AD299" s="27">
        <v>3</v>
      </c>
      <c r="AE299" s="27">
        <v>2</v>
      </c>
      <c r="AF299" s="27">
        <v>11</v>
      </c>
      <c r="AG299" s="27">
        <v>9</v>
      </c>
      <c r="AH299" s="27">
        <v>6</v>
      </c>
      <c r="AI299" s="28">
        <v>9</v>
      </c>
      <c r="AK299" s="36">
        <v>266</v>
      </c>
      <c r="AL299" s="33">
        <v>2</v>
      </c>
      <c r="AM299" s="33">
        <v>2</v>
      </c>
      <c r="AN299" s="33">
        <v>2</v>
      </c>
      <c r="AO299" s="33">
        <v>2</v>
      </c>
      <c r="AP299" s="33">
        <v>0</v>
      </c>
      <c r="AQ299" s="33">
        <v>2</v>
      </c>
      <c r="AR299" s="33">
        <v>3</v>
      </c>
      <c r="AS299" s="33">
        <v>0</v>
      </c>
      <c r="AT299" s="33">
        <v>0</v>
      </c>
      <c r="AU299" s="43">
        <v>4.5575800642276086E-2</v>
      </c>
      <c r="AV299" s="33">
        <v>0</v>
      </c>
      <c r="AW299" s="33">
        <v>0</v>
      </c>
      <c r="AY299" s="36">
        <v>271</v>
      </c>
      <c r="AZ299" s="33">
        <v>5</v>
      </c>
      <c r="BA299" s="33">
        <v>1</v>
      </c>
      <c r="BB299" s="33">
        <v>1</v>
      </c>
      <c r="BC299" s="33">
        <v>0</v>
      </c>
      <c r="BD299" s="43">
        <v>0.15978863224034098</v>
      </c>
      <c r="BE299" s="33">
        <v>0</v>
      </c>
      <c r="BF299" s="33">
        <v>0</v>
      </c>
      <c r="CE299" s="36">
        <v>265</v>
      </c>
      <c r="CF299" s="33">
        <v>2</v>
      </c>
      <c r="CG299" s="33">
        <v>1</v>
      </c>
      <c r="CH299" s="33">
        <v>3</v>
      </c>
      <c r="CI299" s="33">
        <v>1</v>
      </c>
      <c r="CJ299" s="33">
        <v>2</v>
      </c>
      <c r="CK299" s="33">
        <v>0</v>
      </c>
      <c r="CL299" s="33">
        <v>0</v>
      </c>
      <c r="CM299" s="33">
        <v>1</v>
      </c>
      <c r="CN299" s="33">
        <v>0</v>
      </c>
      <c r="CO299" s="33">
        <v>0</v>
      </c>
      <c r="CP299" s="43">
        <v>0.27151400677569038</v>
      </c>
      <c r="CQ299" s="33">
        <v>0</v>
      </c>
      <c r="CR299" s="33">
        <v>1</v>
      </c>
    </row>
    <row r="300" spans="1:96" ht="15" customHeight="1" x14ac:dyDescent="0.25">
      <c r="A300" s="26">
        <v>298</v>
      </c>
      <c r="B300" s="27">
        <v>36</v>
      </c>
      <c r="C300" s="27">
        <v>0</v>
      </c>
      <c r="D300" s="27">
        <v>2</v>
      </c>
      <c r="E300" s="27">
        <v>566</v>
      </c>
      <c r="F300" s="27">
        <v>2</v>
      </c>
      <c r="G300" s="27">
        <v>18</v>
      </c>
      <c r="H300" s="27">
        <v>4</v>
      </c>
      <c r="I300" s="27">
        <v>1</v>
      </c>
      <c r="J300" s="27">
        <v>1</v>
      </c>
      <c r="K300" s="27">
        <v>407</v>
      </c>
      <c r="L300" s="27">
        <v>3</v>
      </c>
      <c r="M300" s="27">
        <v>1</v>
      </c>
      <c r="N300" s="27">
        <v>81</v>
      </c>
      <c r="O300" s="27">
        <v>4</v>
      </c>
      <c r="P300" s="27">
        <v>1</v>
      </c>
      <c r="Q300" s="27">
        <v>3</v>
      </c>
      <c r="R300" s="27">
        <v>4</v>
      </c>
      <c r="S300" s="27">
        <v>2</v>
      </c>
      <c r="T300" s="27">
        <v>3688</v>
      </c>
      <c r="U300" s="27">
        <v>7122</v>
      </c>
      <c r="V300" s="27">
        <v>4</v>
      </c>
      <c r="W300" s="27">
        <v>0</v>
      </c>
      <c r="X300" s="27">
        <v>18</v>
      </c>
      <c r="Y300" s="27">
        <v>3</v>
      </c>
      <c r="Z300" s="27">
        <v>4</v>
      </c>
      <c r="AA300" s="27">
        <v>80</v>
      </c>
      <c r="AB300" s="27">
        <v>2</v>
      </c>
      <c r="AC300" s="27">
        <v>4</v>
      </c>
      <c r="AD300" s="27">
        <v>2</v>
      </c>
      <c r="AE300" s="27">
        <v>3</v>
      </c>
      <c r="AF300" s="27">
        <v>1</v>
      </c>
      <c r="AG300" s="27">
        <v>0</v>
      </c>
      <c r="AH300" s="27">
        <v>0</v>
      </c>
      <c r="AI300" s="28">
        <v>0</v>
      </c>
      <c r="AK300" s="36">
        <v>267</v>
      </c>
      <c r="AL300" s="33">
        <v>23</v>
      </c>
      <c r="AM300" s="33">
        <v>2</v>
      </c>
      <c r="AN300" s="33">
        <v>4</v>
      </c>
      <c r="AO300" s="33">
        <v>0</v>
      </c>
      <c r="AP300" s="33">
        <v>0</v>
      </c>
      <c r="AQ300" s="33">
        <v>1</v>
      </c>
      <c r="AR300" s="33">
        <v>3</v>
      </c>
      <c r="AS300" s="33">
        <v>9</v>
      </c>
      <c r="AT300" s="33">
        <v>7</v>
      </c>
      <c r="AU300" s="43">
        <v>8.5038665377433528E-2</v>
      </c>
      <c r="AV300" s="33">
        <v>0</v>
      </c>
      <c r="AW300" s="33">
        <v>0</v>
      </c>
      <c r="AY300" s="36">
        <v>272</v>
      </c>
      <c r="AZ300" s="33">
        <v>3</v>
      </c>
      <c r="BA300" s="33">
        <v>2</v>
      </c>
      <c r="BB300" s="33">
        <v>1</v>
      </c>
      <c r="BC300" s="33">
        <v>1</v>
      </c>
      <c r="BD300" s="43">
        <v>0.20375464798791798</v>
      </c>
      <c r="BE300" s="33">
        <v>0</v>
      </c>
      <c r="BF300" s="33">
        <v>1</v>
      </c>
      <c r="CE300" s="36">
        <v>266</v>
      </c>
      <c r="CF300" s="33">
        <v>2</v>
      </c>
      <c r="CG300" s="33">
        <v>2</v>
      </c>
      <c r="CH300" s="33">
        <v>2</v>
      </c>
      <c r="CI300" s="33">
        <v>2</v>
      </c>
      <c r="CJ300" s="33">
        <v>2</v>
      </c>
      <c r="CK300" s="33">
        <v>0</v>
      </c>
      <c r="CL300" s="33">
        <v>2</v>
      </c>
      <c r="CM300" s="33">
        <v>3</v>
      </c>
      <c r="CN300" s="33">
        <v>0</v>
      </c>
      <c r="CO300" s="33">
        <v>0</v>
      </c>
      <c r="CP300" s="43">
        <v>6.2096243369464094E-2</v>
      </c>
      <c r="CQ300" s="33">
        <v>0</v>
      </c>
      <c r="CR300" s="33">
        <v>0</v>
      </c>
    </row>
    <row r="301" spans="1:96" ht="15" customHeight="1" x14ac:dyDescent="0.25">
      <c r="A301" s="26">
        <v>299</v>
      </c>
      <c r="B301" s="27">
        <v>51</v>
      </c>
      <c r="C301" s="27">
        <v>0</v>
      </c>
      <c r="D301" s="27">
        <v>1</v>
      </c>
      <c r="E301" s="27">
        <v>1302</v>
      </c>
      <c r="F301" s="27">
        <v>2</v>
      </c>
      <c r="G301" s="27">
        <v>2</v>
      </c>
      <c r="H301" s="27">
        <v>3</v>
      </c>
      <c r="I301" s="27">
        <v>3</v>
      </c>
      <c r="J301" s="27">
        <v>1</v>
      </c>
      <c r="K301" s="27">
        <v>408</v>
      </c>
      <c r="L301" s="27">
        <v>4</v>
      </c>
      <c r="M301" s="27">
        <v>1</v>
      </c>
      <c r="N301" s="27">
        <v>84</v>
      </c>
      <c r="O301" s="27">
        <v>1</v>
      </c>
      <c r="P301" s="27">
        <v>2</v>
      </c>
      <c r="Q301" s="27">
        <v>4</v>
      </c>
      <c r="R301" s="27">
        <v>2</v>
      </c>
      <c r="S301" s="27">
        <v>3</v>
      </c>
      <c r="T301" s="27">
        <v>5482</v>
      </c>
      <c r="U301" s="27">
        <v>16321</v>
      </c>
      <c r="V301" s="27">
        <v>5</v>
      </c>
      <c r="W301" s="27">
        <v>0</v>
      </c>
      <c r="X301" s="27">
        <v>18</v>
      </c>
      <c r="Y301" s="27">
        <v>3</v>
      </c>
      <c r="Z301" s="27">
        <v>4</v>
      </c>
      <c r="AA301" s="27">
        <v>80</v>
      </c>
      <c r="AB301" s="27">
        <v>1</v>
      </c>
      <c r="AC301" s="27">
        <v>13</v>
      </c>
      <c r="AD301" s="27">
        <v>3</v>
      </c>
      <c r="AE301" s="27">
        <v>3</v>
      </c>
      <c r="AF301" s="27">
        <v>4</v>
      </c>
      <c r="AG301" s="27">
        <v>1</v>
      </c>
      <c r="AH301" s="27">
        <v>1</v>
      </c>
      <c r="AI301" s="28">
        <v>2</v>
      </c>
      <c r="AK301" s="36">
        <v>268</v>
      </c>
      <c r="AL301" s="33">
        <v>5</v>
      </c>
      <c r="AM301" s="33">
        <v>2</v>
      </c>
      <c r="AN301" s="33">
        <v>1</v>
      </c>
      <c r="AO301" s="33">
        <v>1</v>
      </c>
      <c r="AP301" s="33">
        <v>0</v>
      </c>
      <c r="AQ301" s="33">
        <v>2</v>
      </c>
      <c r="AR301" s="33">
        <v>3</v>
      </c>
      <c r="AS301" s="33">
        <v>6</v>
      </c>
      <c r="AT301" s="33">
        <v>1</v>
      </c>
      <c r="AU301" s="43">
        <v>4.5128348812143441E-2</v>
      </c>
      <c r="AV301" s="33">
        <v>0</v>
      </c>
      <c r="AW301" s="33">
        <v>0</v>
      </c>
      <c r="AY301" s="36">
        <v>273</v>
      </c>
      <c r="AZ301" s="33">
        <v>1</v>
      </c>
      <c r="BA301" s="33">
        <v>4</v>
      </c>
      <c r="BB301" s="33">
        <v>0</v>
      </c>
      <c r="BC301" s="33">
        <v>1</v>
      </c>
      <c r="BD301" s="43">
        <v>9.2486413274924434E-2</v>
      </c>
      <c r="BE301" s="33">
        <v>0</v>
      </c>
      <c r="BF301" s="33">
        <v>0</v>
      </c>
      <c r="CE301" s="36">
        <v>267</v>
      </c>
      <c r="CF301" s="33">
        <v>23</v>
      </c>
      <c r="CG301" s="33">
        <v>2</v>
      </c>
      <c r="CH301" s="33">
        <v>4</v>
      </c>
      <c r="CI301" s="33">
        <v>2</v>
      </c>
      <c r="CJ301" s="33">
        <v>0</v>
      </c>
      <c r="CK301" s="33">
        <v>0</v>
      </c>
      <c r="CL301" s="33">
        <v>1</v>
      </c>
      <c r="CM301" s="33">
        <v>3</v>
      </c>
      <c r="CN301" s="33">
        <v>9</v>
      </c>
      <c r="CO301" s="33">
        <v>7</v>
      </c>
      <c r="CP301" s="43">
        <v>8.1447235622954819E-2</v>
      </c>
      <c r="CQ301" s="33">
        <v>0</v>
      </c>
      <c r="CR301" s="33">
        <v>0</v>
      </c>
    </row>
    <row r="302" spans="1:96" ht="15" customHeight="1" x14ac:dyDescent="0.25">
      <c r="A302" s="26">
        <v>300</v>
      </c>
      <c r="B302" s="27">
        <v>41</v>
      </c>
      <c r="C302" s="27">
        <v>0</v>
      </c>
      <c r="D302" s="27">
        <v>1</v>
      </c>
      <c r="E302" s="27">
        <v>334</v>
      </c>
      <c r="F302" s="27">
        <v>1</v>
      </c>
      <c r="G302" s="27">
        <v>2</v>
      </c>
      <c r="H302" s="27">
        <v>4</v>
      </c>
      <c r="I302" s="27">
        <v>1</v>
      </c>
      <c r="J302" s="27">
        <v>1</v>
      </c>
      <c r="K302" s="27">
        <v>410</v>
      </c>
      <c r="L302" s="27">
        <v>4</v>
      </c>
      <c r="M302" s="27">
        <v>1</v>
      </c>
      <c r="N302" s="27">
        <v>88</v>
      </c>
      <c r="O302" s="27">
        <v>3</v>
      </c>
      <c r="P302" s="27">
        <v>4</v>
      </c>
      <c r="Q302" s="27">
        <v>6</v>
      </c>
      <c r="R302" s="27">
        <v>2</v>
      </c>
      <c r="S302" s="27">
        <v>1</v>
      </c>
      <c r="T302" s="27">
        <v>16015</v>
      </c>
      <c r="U302" s="27">
        <v>15896</v>
      </c>
      <c r="V302" s="27">
        <v>1</v>
      </c>
      <c r="W302" s="27">
        <v>0</v>
      </c>
      <c r="X302" s="27">
        <v>19</v>
      </c>
      <c r="Y302" s="27">
        <v>3</v>
      </c>
      <c r="Z302" s="27">
        <v>2</v>
      </c>
      <c r="AA302" s="27">
        <v>80</v>
      </c>
      <c r="AB302" s="27">
        <v>0</v>
      </c>
      <c r="AC302" s="27">
        <v>22</v>
      </c>
      <c r="AD302" s="27">
        <v>2</v>
      </c>
      <c r="AE302" s="27">
        <v>3</v>
      </c>
      <c r="AF302" s="27">
        <v>22</v>
      </c>
      <c r="AG302" s="27">
        <v>10</v>
      </c>
      <c r="AH302" s="27">
        <v>0</v>
      </c>
      <c r="AI302" s="28">
        <v>4</v>
      </c>
      <c r="AK302" s="36">
        <v>269</v>
      </c>
      <c r="AL302" s="33">
        <v>20</v>
      </c>
      <c r="AM302" s="33">
        <v>4</v>
      </c>
      <c r="AN302" s="33">
        <v>4</v>
      </c>
      <c r="AO302" s="33">
        <v>0</v>
      </c>
      <c r="AP302" s="33">
        <v>1</v>
      </c>
      <c r="AQ302" s="33">
        <v>0</v>
      </c>
      <c r="AR302" s="33">
        <v>3</v>
      </c>
      <c r="AS302" s="33">
        <v>20</v>
      </c>
      <c r="AT302" s="33">
        <v>4</v>
      </c>
      <c r="AU302" s="43">
        <v>6.472769062194772E-2</v>
      </c>
      <c r="AV302" s="33">
        <v>0</v>
      </c>
      <c r="AW302" s="33">
        <v>0</v>
      </c>
      <c r="AY302" s="36">
        <v>274</v>
      </c>
      <c r="AZ302" s="33">
        <v>2</v>
      </c>
      <c r="BA302" s="33">
        <v>4</v>
      </c>
      <c r="BB302" s="33">
        <v>0</v>
      </c>
      <c r="BC302" s="33">
        <v>1</v>
      </c>
      <c r="BD302" s="43">
        <v>5.5093218126976727E-2</v>
      </c>
      <c r="BE302" s="33">
        <v>0</v>
      </c>
      <c r="BF302" s="33">
        <v>0</v>
      </c>
      <c r="CE302" s="36">
        <v>268</v>
      </c>
      <c r="CF302" s="33">
        <v>5</v>
      </c>
      <c r="CG302" s="33">
        <v>2</v>
      </c>
      <c r="CH302" s="33">
        <v>1</v>
      </c>
      <c r="CI302" s="33">
        <v>3</v>
      </c>
      <c r="CJ302" s="33">
        <v>1</v>
      </c>
      <c r="CK302" s="33">
        <v>0</v>
      </c>
      <c r="CL302" s="33">
        <v>2</v>
      </c>
      <c r="CM302" s="33">
        <v>3</v>
      </c>
      <c r="CN302" s="33">
        <v>6</v>
      </c>
      <c r="CO302" s="33">
        <v>1</v>
      </c>
      <c r="CP302" s="43">
        <v>3.6836335644859386E-2</v>
      </c>
      <c r="CQ302" s="33">
        <v>0</v>
      </c>
      <c r="CR302" s="33">
        <v>0</v>
      </c>
    </row>
    <row r="303" spans="1:96" ht="15" customHeight="1" x14ac:dyDescent="0.25">
      <c r="A303" s="26">
        <v>301</v>
      </c>
      <c r="B303" s="27">
        <v>18</v>
      </c>
      <c r="C303" s="27">
        <v>0</v>
      </c>
      <c r="D303" s="27">
        <v>1</v>
      </c>
      <c r="E303" s="27">
        <v>812</v>
      </c>
      <c r="F303" s="27">
        <v>1</v>
      </c>
      <c r="G303" s="27">
        <v>10</v>
      </c>
      <c r="H303" s="27">
        <v>3</v>
      </c>
      <c r="I303" s="27">
        <v>3</v>
      </c>
      <c r="J303" s="27">
        <v>1</v>
      </c>
      <c r="K303" s="27">
        <v>411</v>
      </c>
      <c r="L303" s="27">
        <v>4</v>
      </c>
      <c r="M303" s="27">
        <v>0</v>
      </c>
      <c r="N303" s="27">
        <v>69</v>
      </c>
      <c r="O303" s="27">
        <v>2</v>
      </c>
      <c r="P303" s="27">
        <v>1</v>
      </c>
      <c r="Q303" s="27">
        <v>7</v>
      </c>
      <c r="R303" s="27">
        <v>3</v>
      </c>
      <c r="S303" s="27">
        <v>1</v>
      </c>
      <c r="T303" s="27">
        <v>1200</v>
      </c>
      <c r="U303" s="27">
        <v>9724</v>
      </c>
      <c r="V303" s="27">
        <v>1</v>
      </c>
      <c r="W303" s="27">
        <v>0</v>
      </c>
      <c r="X303" s="27">
        <v>12</v>
      </c>
      <c r="Y303" s="27">
        <v>3</v>
      </c>
      <c r="Z303" s="27">
        <v>1</v>
      </c>
      <c r="AA303" s="27">
        <v>80</v>
      </c>
      <c r="AB303" s="27">
        <v>0</v>
      </c>
      <c r="AC303" s="27">
        <v>0</v>
      </c>
      <c r="AD303" s="27">
        <v>2</v>
      </c>
      <c r="AE303" s="27">
        <v>3</v>
      </c>
      <c r="AF303" s="27">
        <v>0</v>
      </c>
      <c r="AG303" s="27">
        <v>0</v>
      </c>
      <c r="AH303" s="27">
        <v>0</v>
      </c>
      <c r="AI303" s="28">
        <v>0</v>
      </c>
      <c r="AK303" s="36">
        <v>270</v>
      </c>
      <c r="AL303" s="33">
        <v>6</v>
      </c>
      <c r="AM303" s="33">
        <v>1</v>
      </c>
      <c r="AN303" s="33">
        <v>4</v>
      </c>
      <c r="AO303" s="33">
        <v>0</v>
      </c>
      <c r="AP303" s="33">
        <v>0</v>
      </c>
      <c r="AQ303" s="33">
        <v>1</v>
      </c>
      <c r="AR303" s="33">
        <v>3</v>
      </c>
      <c r="AS303" s="33">
        <v>15</v>
      </c>
      <c r="AT303" s="33">
        <v>10</v>
      </c>
      <c r="AU303" s="43">
        <v>7.6661686567794721E-2</v>
      </c>
      <c r="AV303" s="33">
        <v>0</v>
      </c>
      <c r="AW303" s="33">
        <v>0</v>
      </c>
      <c r="AY303" s="36">
        <v>275</v>
      </c>
      <c r="AZ303" s="33">
        <v>1</v>
      </c>
      <c r="BA303" s="33">
        <v>3</v>
      </c>
      <c r="BB303" s="33">
        <v>0</v>
      </c>
      <c r="BC303" s="33">
        <v>0</v>
      </c>
      <c r="BD303" s="43">
        <v>0.18791247240909698</v>
      </c>
      <c r="BE303" s="33">
        <v>0</v>
      </c>
      <c r="BF303" s="33">
        <v>0</v>
      </c>
      <c r="CE303" s="36">
        <v>269</v>
      </c>
      <c r="CF303" s="33">
        <v>20</v>
      </c>
      <c r="CG303" s="33">
        <v>4</v>
      </c>
      <c r="CH303" s="33">
        <v>4</v>
      </c>
      <c r="CI303" s="33">
        <v>2</v>
      </c>
      <c r="CJ303" s="33">
        <v>0</v>
      </c>
      <c r="CK303" s="33">
        <v>1</v>
      </c>
      <c r="CL303" s="33">
        <v>0</v>
      </c>
      <c r="CM303" s="33">
        <v>3</v>
      </c>
      <c r="CN303" s="33">
        <v>20</v>
      </c>
      <c r="CO303" s="33">
        <v>4</v>
      </c>
      <c r="CP303" s="43">
        <v>4.6864630541726342E-2</v>
      </c>
      <c r="CQ303" s="33">
        <v>0</v>
      </c>
      <c r="CR303" s="33">
        <v>0</v>
      </c>
    </row>
    <row r="304" spans="1:96" ht="15" customHeight="1" x14ac:dyDescent="0.25">
      <c r="A304" s="26">
        <v>302</v>
      </c>
      <c r="B304" s="27">
        <v>28</v>
      </c>
      <c r="C304" s="27">
        <v>0</v>
      </c>
      <c r="D304" s="27">
        <v>1</v>
      </c>
      <c r="E304" s="27">
        <v>1476</v>
      </c>
      <c r="F304" s="27">
        <v>2</v>
      </c>
      <c r="G304" s="27">
        <v>16</v>
      </c>
      <c r="H304" s="27">
        <v>2</v>
      </c>
      <c r="I304" s="27">
        <v>3</v>
      </c>
      <c r="J304" s="27">
        <v>1</v>
      </c>
      <c r="K304" s="27">
        <v>412</v>
      </c>
      <c r="L304" s="27">
        <v>2</v>
      </c>
      <c r="M304" s="27">
        <v>1</v>
      </c>
      <c r="N304" s="27">
        <v>68</v>
      </c>
      <c r="O304" s="27">
        <v>4</v>
      </c>
      <c r="P304" s="27">
        <v>2</v>
      </c>
      <c r="Q304" s="27">
        <v>5</v>
      </c>
      <c r="R304" s="27">
        <v>1</v>
      </c>
      <c r="S304" s="27">
        <v>1</v>
      </c>
      <c r="T304" s="27">
        <v>5661</v>
      </c>
      <c r="U304" s="27">
        <v>4824</v>
      </c>
      <c r="V304" s="27">
        <v>0</v>
      </c>
      <c r="W304" s="27">
        <v>0</v>
      </c>
      <c r="X304" s="27">
        <v>19</v>
      </c>
      <c r="Y304" s="27">
        <v>3</v>
      </c>
      <c r="Z304" s="27">
        <v>3</v>
      </c>
      <c r="AA304" s="27">
        <v>80</v>
      </c>
      <c r="AB304" s="27">
        <v>0</v>
      </c>
      <c r="AC304" s="27">
        <v>9</v>
      </c>
      <c r="AD304" s="27">
        <v>2</v>
      </c>
      <c r="AE304" s="27">
        <v>3</v>
      </c>
      <c r="AF304" s="27">
        <v>8</v>
      </c>
      <c r="AG304" s="27">
        <v>3</v>
      </c>
      <c r="AH304" s="27">
        <v>0</v>
      </c>
      <c r="AI304" s="28">
        <v>7</v>
      </c>
      <c r="AK304" s="36">
        <v>271</v>
      </c>
      <c r="AL304" s="33">
        <v>1</v>
      </c>
      <c r="AM304" s="33">
        <v>5</v>
      </c>
      <c r="AN304" s="33">
        <v>1</v>
      </c>
      <c r="AO304" s="33">
        <v>0</v>
      </c>
      <c r="AP304" s="33">
        <v>1</v>
      </c>
      <c r="AQ304" s="33">
        <v>0</v>
      </c>
      <c r="AR304" s="33">
        <v>3</v>
      </c>
      <c r="AS304" s="33">
        <v>36</v>
      </c>
      <c r="AT304" s="33">
        <v>4</v>
      </c>
      <c r="AU304" s="43">
        <v>1.5689854535927025E-2</v>
      </c>
      <c r="AV304" s="33">
        <v>0</v>
      </c>
      <c r="AW304" s="33">
        <v>0</v>
      </c>
      <c r="AY304" s="36">
        <v>276</v>
      </c>
      <c r="AZ304" s="33">
        <v>3</v>
      </c>
      <c r="BA304" s="33">
        <v>4</v>
      </c>
      <c r="BB304" s="33">
        <v>1</v>
      </c>
      <c r="BC304" s="33">
        <v>2</v>
      </c>
      <c r="BD304" s="43">
        <v>7.7601977203649503E-2</v>
      </c>
      <c r="BE304" s="33">
        <v>0</v>
      </c>
      <c r="BF304" s="33">
        <v>0</v>
      </c>
      <c r="CE304" s="36">
        <v>270</v>
      </c>
      <c r="CF304" s="33">
        <v>6</v>
      </c>
      <c r="CG304" s="33">
        <v>1</v>
      </c>
      <c r="CH304" s="33">
        <v>4</v>
      </c>
      <c r="CI304" s="33">
        <v>2</v>
      </c>
      <c r="CJ304" s="33">
        <v>0</v>
      </c>
      <c r="CK304" s="33">
        <v>0</v>
      </c>
      <c r="CL304" s="33">
        <v>1</v>
      </c>
      <c r="CM304" s="33">
        <v>3</v>
      </c>
      <c r="CN304" s="33">
        <v>15</v>
      </c>
      <c r="CO304" s="33">
        <v>10</v>
      </c>
      <c r="CP304" s="43">
        <v>7.3388686993299632E-2</v>
      </c>
      <c r="CQ304" s="33">
        <v>0</v>
      </c>
      <c r="CR304" s="33">
        <v>0</v>
      </c>
    </row>
    <row r="305" spans="1:96" ht="15" customHeight="1" x14ac:dyDescent="0.25">
      <c r="A305" s="26">
        <v>303</v>
      </c>
      <c r="B305" s="27">
        <v>31</v>
      </c>
      <c r="C305" s="27">
        <v>0</v>
      </c>
      <c r="D305" s="27">
        <v>1</v>
      </c>
      <c r="E305" s="27">
        <v>218</v>
      </c>
      <c r="F305" s="27">
        <v>1</v>
      </c>
      <c r="G305" s="27">
        <v>7</v>
      </c>
      <c r="H305" s="27">
        <v>3</v>
      </c>
      <c r="I305" s="27">
        <v>5</v>
      </c>
      <c r="J305" s="27">
        <v>1</v>
      </c>
      <c r="K305" s="27">
        <v>416</v>
      </c>
      <c r="L305" s="27">
        <v>2</v>
      </c>
      <c r="M305" s="27">
        <v>1</v>
      </c>
      <c r="N305" s="27">
        <v>100</v>
      </c>
      <c r="O305" s="27">
        <v>4</v>
      </c>
      <c r="P305" s="27">
        <v>2</v>
      </c>
      <c r="Q305" s="27">
        <v>1</v>
      </c>
      <c r="R305" s="27">
        <v>4</v>
      </c>
      <c r="S305" s="27">
        <v>2</v>
      </c>
      <c r="T305" s="27">
        <v>6929</v>
      </c>
      <c r="U305" s="27">
        <v>12241</v>
      </c>
      <c r="V305" s="27">
        <v>4</v>
      </c>
      <c r="W305" s="27">
        <v>0</v>
      </c>
      <c r="X305" s="27">
        <v>11</v>
      </c>
      <c r="Y305" s="27">
        <v>3</v>
      </c>
      <c r="Z305" s="27">
        <v>2</v>
      </c>
      <c r="AA305" s="27">
        <v>80</v>
      </c>
      <c r="AB305" s="27">
        <v>1</v>
      </c>
      <c r="AC305" s="27">
        <v>10</v>
      </c>
      <c r="AD305" s="27">
        <v>3</v>
      </c>
      <c r="AE305" s="27">
        <v>2</v>
      </c>
      <c r="AF305" s="27">
        <v>8</v>
      </c>
      <c r="AG305" s="27">
        <v>7</v>
      </c>
      <c r="AH305" s="27">
        <v>7</v>
      </c>
      <c r="AI305" s="28">
        <v>7</v>
      </c>
      <c r="AK305" s="36">
        <v>272</v>
      </c>
      <c r="AL305" s="33">
        <v>29</v>
      </c>
      <c r="AM305" s="33">
        <v>3</v>
      </c>
      <c r="AN305" s="33">
        <v>2</v>
      </c>
      <c r="AO305" s="33">
        <v>1</v>
      </c>
      <c r="AP305" s="33">
        <v>1</v>
      </c>
      <c r="AQ305" s="33">
        <v>1</v>
      </c>
      <c r="AR305" s="33">
        <v>2</v>
      </c>
      <c r="AS305" s="33">
        <v>10</v>
      </c>
      <c r="AT305" s="33">
        <v>9</v>
      </c>
      <c r="AU305" s="43">
        <v>0.45138263213846891</v>
      </c>
      <c r="AV305" s="33">
        <v>0</v>
      </c>
      <c r="AW305" s="33">
        <v>1</v>
      </c>
      <c r="AY305" s="36">
        <v>277</v>
      </c>
      <c r="AZ305" s="33">
        <v>3</v>
      </c>
      <c r="BA305" s="33">
        <v>2</v>
      </c>
      <c r="BB305" s="33">
        <v>0</v>
      </c>
      <c r="BC305" s="33">
        <v>1</v>
      </c>
      <c r="BD305" s="43">
        <v>5.6480788250011953E-2</v>
      </c>
      <c r="BE305" s="33">
        <v>0</v>
      </c>
      <c r="BF305" s="33">
        <v>0</v>
      </c>
      <c r="CE305" s="36">
        <v>271</v>
      </c>
      <c r="CF305" s="33">
        <v>1</v>
      </c>
      <c r="CG305" s="33">
        <v>5</v>
      </c>
      <c r="CH305" s="33">
        <v>1</v>
      </c>
      <c r="CI305" s="33">
        <v>1</v>
      </c>
      <c r="CJ305" s="33">
        <v>0</v>
      </c>
      <c r="CK305" s="33">
        <v>1</v>
      </c>
      <c r="CL305" s="33">
        <v>0</v>
      </c>
      <c r="CM305" s="33">
        <v>3</v>
      </c>
      <c r="CN305" s="33">
        <v>36</v>
      </c>
      <c r="CO305" s="33">
        <v>4</v>
      </c>
      <c r="CP305" s="43">
        <v>2.0580243475953896E-2</v>
      </c>
      <c r="CQ305" s="33">
        <v>0</v>
      </c>
      <c r="CR305" s="33">
        <v>0</v>
      </c>
    </row>
    <row r="306" spans="1:96" ht="15" customHeight="1" x14ac:dyDescent="0.25">
      <c r="A306" s="26">
        <v>304</v>
      </c>
      <c r="B306" s="27">
        <v>39</v>
      </c>
      <c r="C306" s="27">
        <v>0</v>
      </c>
      <c r="D306" s="27">
        <v>1</v>
      </c>
      <c r="E306" s="27">
        <v>1132</v>
      </c>
      <c r="F306" s="27">
        <v>2</v>
      </c>
      <c r="G306" s="27">
        <v>1</v>
      </c>
      <c r="H306" s="27">
        <v>3</v>
      </c>
      <c r="I306" s="27">
        <v>3</v>
      </c>
      <c r="J306" s="27">
        <v>1</v>
      </c>
      <c r="K306" s="27">
        <v>417</v>
      </c>
      <c r="L306" s="27">
        <v>3</v>
      </c>
      <c r="M306" s="27">
        <v>1</v>
      </c>
      <c r="N306" s="27">
        <v>48</v>
      </c>
      <c r="O306" s="27">
        <v>4</v>
      </c>
      <c r="P306" s="27">
        <v>3</v>
      </c>
      <c r="Q306" s="27">
        <v>5</v>
      </c>
      <c r="R306" s="27">
        <v>4</v>
      </c>
      <c r="S306" s="27">
        <v>3</v>
      </c>
      <c r="T306" s="27">
        <v>9613</v>
      </c>
      <c r="U306" s="27">
        <v>10942</v>
      </c>
      <c r="V306" s="27">
        <v>0</v>
      </c>
      <c r="W306" s="27">
        <v>0</v>
      </c>
      <c r="X306" s="27">
        <v>17</v>
      </c>
      <c r="Y306" s="27">
        <v>3</v>
      </c>
      <c r="Z306" s="27">
        <v>1</v>
      </c>
      <c r="AA306" s="27">
        <v>80</v>
      </c>
      <c r="AB306" s="27">
        <v>3</v>
      </c>
      <c r="AC306" s="27">
        <v>19</v>
      </c>
      <c r="AD306" s="27">
        <v>5</v>
      </c>
      <c r="AE306" s="27">
        <v>2</v>
      </c>
      <c r="AF306" s="27">
        <v>18</v>
      </c>
      <c r="AG306" s="27">
        <v>10</v>
      </c>
      <c r="AH306" s="27">
        <v>3</v>
      </c>
      <c r="AI306" s="28">
        <v>7</v>
      </c>
      <c r="AK306" s="36">
        <v>273</v>
      </c>
      <c r="AL306" s="33">
        <v>9</v>
      </c>
      <c r="AM306" s="33">
        <v>1</v>
      </c>
      <c r="AN306" s="33">
        <v>4</v>
      </c>
      <c r="AO306" s="33">
        <v>1</v>
      </c>
      <c r="AP306" s="33">
        <v>0</v>
      </c>
      <c r="AQ306" s="33">
        <v>1</v>
      </c>
      <c r="AR306" s="33">
        <v>2</v>
      </c>
      <c r="AS306" s="33">
        <v>5</v>
      </c>
      <c r="AT306" s="33">
        <v>0</v>
      </c>
      <c r="AU306" s="43">
        <v>7.701571494027537E-2</v>
      </c>
      <c r="AV306" s="33">
        <v>0</v>
      </c>
      <c r="AW306" s="33">
        <v>0</v>
      </c>
      <c r="AY306" s="36">
        <v>278</v>
      </c>
      <c r="AZ306" s="33">
        <v>2</v>
      </c>
      <c r="BA306" s="33">
        <v>1</v>
      </c>
      <c r="BB306" s="33">
        <v>1</v>
      </c>
      <c r="BC306" s="33">
        <v>1</v>
      </c>
      <c r="BD306" s="43">
        <v>0.37467799024663817</v>
      </c>
      <c r="BE306" s="33">
        <v>0</v>
      </c>
      <c r="BF306" s="33">
        <v>0</v>
      </c>
      <c r="CE306" s="36">
        <v>272</v>
      </c>
      <c r="CF306" s="33">
        <v>29</v>
      </c>
      <c r="CG306" s="33">
        <v>3</v>
      </c>
      <c r="CH306" s="33">
        <v>2</v>
      </c>
      <c r="CI306" s="33">
        <v>2</v>
      </c>
      <c r="CJ306" s="33">
        <v>1</v>
      </c>
      <c r="CK306" s="33">
        <v>1</v>
      </c>
      <c r="CL306" s="33">
        <v>1</v>
      </c>
      <c r="CM306" s="33">
        <v>2</v>
      </c>
      <c r="CN306" s="33">
        <v>10</v>
      </c>
      <c r="CO306" s="33">
        <v>9</v>
      </c>
      <c r="CP306" s="43">
        <v>0.46693589949933356</v>
      </c>
      <c r="CQ306" s="33">
        <v>0</v>
      </c>
      <c r="CR306" s="33">
        <v>1</v>
      </c>
    </row>
    <row r="307" spans="1:96" ht="15" customHeight="1" x14ac:dyDescent="0.25">
      <c r="A307" s="26">
        <v>305</v>
      </c>
      <c r="B307" s="27">
        <v>36</v>
      </c>
      <c r="C307" s="27">
        <v>0</v>
      </c>
      <c r="D307" s="27">
        <v>3</v>
      </c>
      <c r="E307" s="27">
        <v>1105</v>
      </c>
      <c r="F307" s="27">
        <v>2</v>
      </c>
      <c r="G307" s="27">
        <v>24</v>
      </c>
      <c r="H307" s="27">
        <v>4</v>
      </c>
      <c r="I307" s="27">
        <v>1</v>
      </c>
      <c r="J307" s="27">
        <v>1</v>
      </c>
      <c r="K307" s="27">
        <v>419</v>
      </c>
      <c r="L307" s="27">
        <v>2</v>
      </c>
      <c r="M307" s="27">
        <v>0</v>
      </c>
      <c r="N307" s="27">
        <v>47</v>
      </c>
      <c r="O307" s="27">
        <v>3</v>
      </c>
      <c r="P307" s="27">
        <v>2</v>
      </c>
      <c r="Q307" s="27">
        <v>3</v>
      </c>
      <c r="R307" s="27">
        <v>2</v>
      </c>
      <c r="S307" s="27">
        <v>2</v>
      </c>
      <c r="T307" s="27">
        <v>5674</v>
      </c>
      <c r="U307" s="27">
        <v>6927</v>
      </c>
      <c r="V307" s="27">
        <v>7</v>
      </c>
      <c r="W307" s="27">
        <v>0</v>
      </c>
      <c r="X307" s="27">
        <v>15</v>
      </c>
      <c r="Y307" s="27">
        <v>3</v>
      </c>
      <c r="Z307" s="27">
        <v>3</v>
      </c>
      <c r="AA307" s="27">
        <v>80</v>
      </c>
      <c r="AB307" s="27">
        <v>1</v>
      </c>
      <c r="AC307" s="27">
        <v>11</v>
      </c>
      <c r="AD307" s="27">
        <v>3</v>
      </c>
      <c r="AE307" s="27">
        <v>3</v>
      </c>
      <c r="AF307" s="27">
        <v>9</v>
      </c>
      <c r="AG307" s="27">
        <v>8</v>
      </c>
      <c r="AH307" s="27">
        <v>0</v>
      </c>
      <c r="AI307" s="28">
        <v>8</v>
      </c>
      <c r="AK307" s="36">
        <v>274</v>
      </c>
      <c r="AL307" s="33">
        <v>6</v>
      </c>
      <c r="AM307" s="33">
        <v>2</v>
      </c>
      <c r="AN307" s="33">
        <v>4</v>
      </c>
      <c r="AO307" s="33">
        <v>4</v>
      </c>
      <c r="AP307" s="33">
        <v>0</v>
      </c>
      <c r="AQ307" s="33">
        <v>1</v>
      </c>
      <c r="AR307" s="33">
        <v>4</v>
      </c>
      <c r="AS307" s="33">
        <v>5</v>
      </c>
      <c r="AT307" s="33">
        <v>0</v>
      </c>
      <c r="AU307" s="43">
        <v>3.3921163417687028E-2</v>
      </c>
      <c r="AV307" s="33">
        <v>0</v>
      </c>
      <c r="AW307" s="33">
        <v>0</v>
      </c>
      <c r="AY307" s="36">
        <v>279</v>
      </c>
      <c r="AZ307" s="33">
        <v>2</v>
      </c>
      <c r="BA307" s="33">
        <v>2</v>
      </c>
      <c r="BB307" s="33">
        <v>0</v>
      </c>
      <c r="BC307" s="33">
        <v>1</v>
      </c>
      <c r="BD307" s="43">
        <v>9.4721355311452843E-2</v>
      </c>
      <c r="BE307" s="33">
        <v>0</v>
      </c>
      <c r="BF307" s="33">
        <v>0</v>
      </c>
      <c r="CE307" s="36">
        <v>273</v>
      </c>
      <c r="CF307" s="33">
        <v>9</v>
      </c>
      <c r="CG307" s="33">
        <v>1</v>
      </c>
      <c r="CH307" s="33">
        <v>4</v>
      </c>
      <c r="CI307" s="33">
        <v>2</v>
      </c>
      <c r="CJ307" s="33">
        <v>1</v>
      </c>
      <c r="CK307" s="33">
        <v>0</v>
      </c>
      <c r="CL307" s="33">
        <v>1</v>
      </c>
      <c r="CM307" s="33">
        <v>2</v>
      </c>
      <c r="CN307" s="33">
        <v>5</v>
      </c>
      <c r="CO307" s="33">
        <v>0</v>
      </c>
      <c r="CP307" s="43">
        <v>7.3179071875076288E-2</v>
      </c>
      <c r="CQ307" s="33">
        <v>0</v>
      </c>
      <c r="CR307" s="33">
        <v>0</v>
      </c>
    </row>
    <row r="308" spans="1:96" ht="15" customHeight="1" x14ac:dyDescent="0.25">
      <c r="A308" s="26">
        <v>306</v>
      </c>
      <c r="B308" s="27">
        <v>32</v>
      </c>
      <c r="C308" s="27">
        <v>0</v>
      </c>
      <c r="D308" s="27">
        <v>1</v>
      </c>
      <c r="E308" s="27">
        <v>906</v>
      </c>
      <c r="F308" s="27">
        <v>1</v>
      </c>
      <c r="G308" s="27">
        <v>7</v>
      </c>
      <c r="H308" s="27">
        <v>3</v>
      </c>
      <c r="I308" s="27">
        <v>1</v>
      </c>
      <c r="J308" s="27">
        <v>1</v>
      </c>
      <c r="K308" s="27">
        <v>420</v>
      </c>
      <c r="L308" s="27">
        <v>4</v>
      </c>
      <c r="M308" s="27">
        <v>1</v>
      </c>
      <c r="N308" s="27">
        <v>91</v>
      </c>
      <c r="O308" s="27">
        <v>2</v>
      </c>
      <c r="P308" s="27">
        <v>2</v>
      </c>
      <c r="Q308" s="27">
        <v>1</v>
      </c>
      <c r="R308" s="27">
        <v>3</v>
      </c>
      <c r="S308" s="27">
        <v>2</v>
      </c>
      <c r="T308" s="27">
        <v>5484</v>
      </c>
      <c r="U308" s="27">
        <v>16985</v>
      </c>
      <c r="V308" s="27">
        <v>1</v>
      </c>
      <c r="W308" s="27">
        <v>0</v>
      </c>
      <c r="X308" s="27">
        <v>14</v>
      </c>
      <c r="Y308" s="27">
        <v>3</v>
      </c>
      <c r="Z308" s="27">
        <v>3</v>
      </c>
      <c r="AA308" s="27">
        <v>80</v>
      </c>
      <c r="AB308" s="27">
        <v>1</v>
      </c>
      <c r="AC308" s="27">
        <v>13</v>
      </c>
      <c r="AD308" s="27">
        <v>3</v>
      </c>
      <c r="AE308" s="27">
        <v>2</v>
      </c>
      <c r="AF308" s="27">
        <v>13</v>
      </c>
      <c r="AG308" s="27">
        <v>8</v>
      </c>
      <c r="AH308" s="27">
        <v>4</v>
      </c>
      <c r="AI308" s="28">
        <v>8</v>
      </c>
      <c r="AK308" s="36">
        <v>275</v>
      </c>
      <c r="AL308" s="33">
        <v>3</v>
      </c>
      <c r="AM308" s="33">
        <v>1</v>
      </c>
      <c r="AN308" s="33">
        <v>3</v>
      </c>
      <c r="AO308" s="33">
        <v>1</v>
      </c>
      <c r="AP308" s="33">
        <v>0</v>
      </c>
      <c r="AQ308" s="33">
        <v>0</v>
      </c>
      <c r="AR308" s="33">
        <v>4</v>
      </c>
      <c r="AS308" s="33">
        <v>3</v>
      </c>
      <c r="AT308" s="33">
        <v>1</v>
      </c>
      <c r="AU308" s="43">
        <v>0.11570120589966107</v>
      </c>
      <c r="AV308" s="33">
        <v>0</v>
      </c>
      <c r="AW308" s="33">
        <v>0</v>
      </c>
      <c r="AY308" s="36">
        <v>280</v>
      </c>
      <c r="AZ308" s="33">
        <v>5</v>
      </c>
      <c r="BA308" s="33">
        <v>2</v>
      </c>
      <c r="BB308" s="33">
        <v>0</v>
      </c>
      <c r="BC308" s="33">
        <v>2</v>
      </c>
      <c r="BD308" s="43">
        <v>1.1428184285159355E-2</v>
      </c>
      <c r="BE308" s="33">
        <v>0</v>
      </c>
      <c r="BF308" s="33">
        <v>0</v>
      </c>
      <c r="CE308" s="36">
        <v>274</v>
      </c>
      <c r="CF308" s="33">
        <v>6</v>
      </c>
      <c r="CG308" s="33">
        <v>2</v>
      </c>
      <c r="CH308" s="33">
        <v>4</v>
      </c>
      <c r="CI308" s="33">
        <v>2</v>
      </c>
      <c r="CJ308" s="33">
        <v>4</v>
      </c>
      <c r="CK308" s="33">
        <v>0</v>
      </c>
      <c r="CL308" s="33">
        <v>1</v>
      </c>
      <c r="CM308" s="33">
        <v>4</v>
      </c>
      <c r="CN308" s="33">
        <v>5</v>
      </c>
      <c r="CO308" s="33">
        <v>0</v>
      </c>
      <c r="CP308" s="43">
        <v>3.1672298104943118E-2</v>
      </c>
      <c r="CQ308" s="33">
        <v>0</v>
      </c>
      <c r="CR308" s="33">
        <v>0</v>
      </c>
    </row>
    <row r="309" spans="1:96" ht="15" customHeight="1" x14ac:dyDescent="0.25">
      <c r="A309" s="26">
        <v>307</v>
      </c>
      <c r="B309" s="27">
        <v>38</v>
      </c>
      <c r="C309" s="27">
        <v>0</v>
      </c>
      <c r="D309" s="27">
        <v>1</v>
      </c>
      <c r="E309" s="27">
        <v>849</v>
      </c>
      <c r="F309" s="27">
        <v>2</v>
      </c>
      <c r="G309" s="27">
        <v>25</v>
      </c>
      <c r="H309" s="27">
        <v>2</v>
      </c>
      <c r="I309" s="27">
        <v>1</v>
      </c>
      <c r="J309" s="27">
        <v>1</v>
      </c>
      <c r="K309" s="27">
        <v>421</v>
      </c>
      <c r="L309" s="27">
        <v>1</v>
      </c>
      <c r="M309" s="27">
        <v>0</v>
      </c>
      <c r="N309" s="27">
        <v>81</v>
      </c>
      <c r="O309" s="27">
        <v>2</v>
      </c>
      <c r="P309" s="27">
        <v>3</v>
      </c>
      <c r="Q309" s="27">
        <v>8</v>
      </c>
      <c r="R309" s="27">
        <v>2</v>
      </c>
      <c r="S309" s="27">
        <v>2</v>
      </c>
      <c r="T309" s="27">
        <v>12061</v>
      </c>
      <c r="U309" s="27">
        <v>26707</v>
      </c>
      <c r="V309" s="27">
        <v>3</v>
      </c>
      <c r="W309" s="27">
        <v>0</v>
      </c>
      <c r="X309" s="27">
        <v>17</v>
      </c>
      <c r="Y309" s="27">
        <v>3</v>
      </c>
      <c r="Z309" s="27">
        <v>3</v>
      </c>
      <c r="AA309" s="27">
        <v>80</v>
      </c>
      <c r="AB309" s="27">
        <v>1</v>
      </c>
      <c r="AC309" s="27">
        <v>19</v>
      </c>
      <c r="AD309" s="27">
        <v>2</v>
      </c>
      <c r="AE309" s="27">
        <v>3</v>
      </c>
      <c r="AF309" s="27">
        <v>10</v>
      </c>
      <c r="AG309" s="27">
        <v>8</v>
      </c>
      <c r="AH309" s="27">
        <v>0</v>
      </c>
      <c r="AI309" s="28">
        <v>1</v>
      </c>
      <c r="AK309" s="36">
        <v>276</v>
      </c>
      <c r="AL309" s="33">
        <v>1</v>
      </c>
      <c r="AM309" s="33">
        <v>3</v>
      </c>
      <c r="AN309" s="33">
        <v>4</v>
      </c>
      <c r="AO309" s="33">
        <v>2</v>
      </c>
      <c r="AP309" s="33">
        <v>1</v>
      </c>
      <c r="AQ309" s="33">
        <v>2</v>
      </c>
      <c r="AR309" s="33">
        <v>3</v>
      </c>
      <c r="AS309" s="33">
        <v>5</v>
      </c>
      <c r="AT309" s="33">
        <v>0</v>
      </c>
      <c r="AU309" s="43">
        <v>4.3262444227836858E-2</v>
      </c>
      <c r="AV309" s="33">
        <v>0</v>
      </c>
      <c r="AW309" s="33">
        <v>0</v>
      </c>
      <c r="AY309" s="36">
        <v>281</v>
      </c>
      <c r="AZ309" s="33">
        <v>4</v>
      </c>
      <c r="BA309" s="33">
        <v>3</v>
      </c>
      <c r="BB309" s="33">
        <v>1</v>
      </c>
      <c r="BC309" s="33">
        <v>3</v>
      </c>
      <c r="BD309" s="43">
        <v>3.6648163362848506E-2</v>
      </c>
      <c r="BE309" s="33">
        <v>0</v>
      </c>
      <c r="BF309" s="33">
        <v>0</v>
      </c>
      <c r="CE309" s="36">
        <v>275</v>
      </c>
      <c r="CF309" s="33">
        <v>3</v>
      </c>
      <c r="CG309" s="33">
        <v>1</v>
      </c>
      <c r="CH309" s="33">
        <v>3</v>
      </c>
      <c r="CI309" s="33">
        <v>1</v>
      </c>
      <c r="CJ309" s="33">
        <v>1</v>
      </c>
      <c r="CK309" s="33">
        <v>0</v>
      </c>
      <c r="CL309" s="33">
        <v>0</v>
      </c>
      <c r="CM309" s="33">
        <v>4</v>
      </c>
      <c r="CN309" s="33">
        <v>3</v>
      </c>
      <c r="CO309" s="33">
        <v>1</v>
      </c>
      <c r="CP309" s="43">
        <v>0.13157791070989147</v>
      </c>
      <c r="CQ309" s="33">
        <v>0</v>
      </c>
      <c r="CR309" s="33">
        <v>0</v>
      </c>
    </row>
    <row r="310" spans="1:96" ht="15" customHeight="1" x14ac:dyDescent="0.25">
      <c r="A310" s="26">
        <v>308</v>
      </c>
      <c r="B310" s="27">
        <v>58</v>
      </c>
      <c r="C310" s="27">
        <v>0</v>
      </c>
      <c r="D310" s="27">
        <v>3</v>
      </c>
      <c r="E310" s="27">
        <v>390</v>
      </c>
      <c r="F310" s="27">
        <v>2</v>
      </c>
      <c r="G310" s="27">
        <v>1</v>
      </c>
      <c r="H310" s="27">
        <v>4</v>
      </c>
      <c r="I310" s="27">
        <v>1</v>
      </c>
      <c r="J310" s="27">
        <v>1</v>
      </c>
      <c r="K310" s="27">
        <v>422</v>
      </c>
      <c r="L310" s="27">
        <v>4</v>
      </c>
      <c r="M310" s="27">
        <v>1</v>
      </c>
      <c r="N310" s="27">
        <v>32</v>
      </c>
      <c r="O310" s="27">
        <v>1</v>
      </c>
      <c r="P310" s="27">
        <v>2</v>
      </c>
      <c r="Q310" s="27">
        <v>5</v>
      </c>
      <c r="R310" s="27">
        <v>3</v>
      </c>
      <c r="S310" s="27">
        <v>3</v>
      </c>
      <c r="T310" s="27">
        <v>5660</v>
      </c>
      <c r="U310" s="27">
        <v>17056</v>
      </c>
      <c r="V310" s="27">
        <v>2</v>
      </c>
      <c r="W310" s="27">
        <v>1</v>
      </c>
      <c r="X310" s="27">
        <v>13</v>
      </c>
      <c r="Y310" s="27">
        <v>3</v>
      </c>
      <c r="Z310" s="27">
        <v>4</v>
      </c>
      <c r="AA310" s="27">
        <v>80</v>
      </c>
      <c r="AB310" s="27">
        <v>1</v>
      </c>
      <c r="AC310" s="27">
        <v>12</v>
      </c>
      <c r="AD310" s="27">
        <v>2</v>
      </c>
      <c r="AE310" s="27">
        <v>3</v>
      </c>
      <c r="AF310" s="27">
        <v>5</v>
      </c>
      <c r="AG310" s="27">
        <v>3</v>
      </c>
      <c r="AH310" s="27">
        <v>1</v>
      </c>
      <c r="AI310" s="28">
        <v>2</v>
      </c>
      <c r="AK310" s="36">
        <v>277</v>
      </c>
      <c r="AL310" s="33">
        <v>22</v>
      </c>
      <c r="AM310" s="33">
        <v>3</v>
      </c>
      <c r="AN310" s="33">
        <v>2</v>
      </c>
      <c r="AO310" s="33">
        <v>7</v>
      </c>
      <c r="AP310" s="33">
        <v>0</v>
      </c>
      <c r="AQ310" s="33">
        <v>1</v>
      </c>
      <c r="AR310" s="33">
        <v>2</v>
      </c>
      <c r="AS310" s="33">
        <v>7</v>
      </c>
      <c r="AT310" s="33">
        <v>6</v>
      </c>
      <c r="AU310" s="43">
        <v>0.17863312531587172</v>
      </c>
      <c r="AV310" s="33">
        <v>0</v>
      </c>
      <c r="AW310" s="33">
        <v>0</v>
      </c>
      <c r="AY310" s="36">
        <v>282</v>
      </c>
      <c r="AZ310" s="33">
        <v>2</v>
      </c>
      <c r="BA310" s="33">
        <v>3</v>
      </c>
      <c r="BB310" s="33">
        <v>0</v>
      </c>
      <c r="BC310" s="33">
        <v>0</v>
      </c>
      <c r="BD310" s="43">
        <v>0.11690772887050198</v>
      </c>
      <c r="BE310" s="33">
        <v>0</v>
      </c>
      <c r="BF310" s="33">
        <v>0</v>
      </c>
      <c r="CE310" s="36">
        <v>276</v>
      </c>
      <c r="CF310" s="33">
        <v>1</v>
      </c>
      <c r="CG310" s="33">
        <v>3</v>
      </c>
      <c r="CH310" s="33">
        <v>4</v>
      </c>
      <c r="CI310" s="33">
        <v>3</v>
      </c>
      <c r="CJ310" s="33">
        <v>2</v>
      </c>
      <c r="CK310" s="33">
        <v>1</v>
      </c>
      <c r="CL310" s="33">
        <v>2</v>
      </c>
      <c r="CM310" s="33">
        <v>3</v>
      </c>
      <c r="CN310" s="33">
        <v>5</v>
      </c>
      <c r="CO310" s="33">
        <v>0</v>
      </c>
      <c r="CP310" s="43">
        <v>3.5197633192751862E-2</v>
      </c>
      <c r="CQ310" s="33">
        <v>0</v>
      </c>
      <c r="CR310" s="33">
        <v>0</v>
      </c>
    </row>
    <row r="311" spans="1:96" ht="15" customHeight="1" x14ac:dyDescent="0.25">
      <c r="A311" s="26">
        <v>309</v>
      </c>
      <c r="B311" s="27">
        <v>31</v>
      </c>
      <c r="C311" s="27">
        <v>0</v>
      </c>
      <c r="D311" s="27">
        <v>1</v>
      </c>
      <c r="E311" s="27">
        <v>691</v>
      </c>
      <c r="F311" s="27">
        <v>2</v>
      </c>
      <c r="G311" s="27">
        <v>5</v>
      </c>
      <c r="H311" s="27">
        <v>4</v>
      </c>
      <c r="I311" s="27">
        <v>5</v>
      </c>
      <c r="J311" s="27">
        <v>1</v>
      </c>
      <c r="K311" s="27">
        <v>423</v>
      </c>
      <c r="L311" s="27">
        <v>3</v>
      </c>
      <c r="M311" s="27">
        <v>1</v>
      </c>
      <c r="N311" s="27">
        <v>86</v>
      </c>
      <c r="O311" s="27">
        <v>3</v>
      </c>
      <c r="P311" s="27">
        <v>1</v>
      </c>
      <c r="Q311" s="27">
        <v>2</v>
      </c>
      <c r="R311" s="27">
        <v>4</v>
      </c>
      <c r="S311" s="27">
        <v>2</v>
      </c>
      <c r="T311" s="27">
        <v>4821</v>
      </c>
      <c r="U311" s="27">
        <v>10077</v>
      </c>
      <c r="V311" s="27">
        <v>0</v>
      </c>
      <c r="W311" s="27">
        <v>1</v>
      </c>
      <c r="X311" s="27">
        <v>12</v>
      </c>
      <c r="Y311" s="27">
        <v>3</v>
      </c>
      <c r="Z311" s="27">
        <v>3</v>
      </c>
      <c r="AA311" s="27">
        <v>80</v>
      </c>
      <c r="AB311" s="27">
        <v>1</v>
      </c>
      <c r="AC311" s="27">
        <v>6</v>
      </c>
      <c r="AD311" s="27">
        <v>4</v>
      </c>
      <c r="AE311" s="27">
        <v>3</v>
      </c>
      <c r="AF311" s="27">
        <v>5</v>
      </c>
      <c r="AG311" s="27">
        <v>2</v>
      </c>
      <c r="AH311" s="27">
        <v>0</v>
      </c>
      <c r="AI311" s="28">
        <v>3</v>
      </c>
      <c r="AK311" s="36">
        <v>278</v>
      </c>
      <c r="AL311" s="33">
        <v>7</v>
      </c>
      <c r="AM311" s="33">
        <v>2</v>
      </c>
      <c r="AN311" s="33">
        <v>1</v>
      </c>
      <c r="AO311" s="33">
        <v>1</v>
      </c>
      <c r="AP311" s="33">
        <v>1</v>
      </c>
      <c r="AQ311" s="33">
        <v>1</v>
      </c>
      <c r="AR311" s="33">
        <v>3</v>
      </c>
      <c r="AS311" s="33">
        <v>8</v>
      </c>
      <c r="AT311" s="33">
        <v>7</v>
      </c>
      <c r="AU311" s="43">
        <v>0.39975171868628978</v>
      </c>
      <c r="AV311" s="33">
        <v>0</v>
      </c>
      <c r="AW311" s="33">
        <v>0</v>
      </c>
      <c r="AY311" s="36">
        <v>283</v>
      </c>
      <c r="AZ311" s="33">
        <v>2</v>
      </c>
      <c r="BA311" s="33">
        <v>4</v>
      </c>
      <c r="BB311" s="33">
        <v>0</v>
      </c>
      <c r="BC311" s="33">
        <v>0</v>
      </c>
      <c r="BD311" s="43">
        <v>8.9935487507215722E-2</v>
      </c>
      <c r="BE311" s="33">
        <v>0</v>
      </c>
      <c r="BF311" s="33">
        <v>0</v>
      </c>
      <c r="CE311" s="36">
        <v>277</v>
      </c>
      <c r="CF311" s="33">
        <v>22</v>
      </c>
      <c r="CG311" s="33">
        <v>3</v>
      </c>
      <c r="CH311" s="33">
        <v>2</v>
      </c>
      <c r="CI311" s="33">
        <v>3</v>
      </c>
      <c r="CJ311" s="33">
        <v>7</v>
      </c>
      <c r="CK311" s="33">
        <v>0</v>
      </c>
      <c r="CL311" s="33">
        <v>1</v>
      </c>
      <c r="CM311" s="33">
        <v>2</v>
      </c>
      <c r="CN311" s="33">
        <v>7</v>
      </c>
      <c r="CO311" s="33">
        <v>6</v>
      </c>
      <c r="CP311" s="43">
        <v>0.11368656799436924</v>
      </c>
      <c r="CQ311" s="33">
        <v>0</v>
      </c>
      <c r="CR311" s="33">
        <v>0</v>
      </c>
    </row>
    <row r="312" spans="1:96" ht="15" customHeight="1" x14ac:dyDescent="0.25">
      <c r="A312" s="26">
        <v>310</v>
      </c>
      <c r="B312" s="27">
        <v>31</v>
      </c>
      <c r="C312" s="27">
        <v>0</v>
      </c>
      <c r="D312" s="27">
        <v>1</v>
      </c>
      <c r="E312" s="27">
        <v>106</v>
      </c>
      <c r="F312" s="27">
        <v>3</v>
      </c>
      <c r="G312" s="27">
        <v>2</v>
      </c>
      <c r="H312" s="27">
        <v>3</v>
      </c>
      <c r="I312" s="27">
        <v>2</v>
      </c>
      <c r="J312" s="27">
        <v>1</v>
      </c>
      <c r="K312" s="27">
        <v>424</v>
      </c>
      <c r="L312" s="27">
        <v>1</v>
      </c>
      <c r="M312" s="27">
        <v>1</v>
      </c>
      <c r="N312" s="27">
        <v>62</v>
      </c>
      <c r="O312" s="27">
        <v>2</v>
      </c>
      <c r="P312" s="27">
        <v>2</v>
      </c>
      <c r="Q312" s="27">
        <v>9</v>
      </c>
      <c r="R312" s="27">
        <v>1</v>
      </c>
      <c r="S312" s="27">
        <v>2</v>
      </c>
      <c r="T312" s="27">
        <v>6410</v>
      </c>
      <c r="U312" s="27">
        <v>17822</v>
      </c>
      <c r="V312" s="27">
        <v>3</v>
      </c>
      <c r="W312" s="27">
        <v>0</v>
      </c>
      <c r="X312" s="27">
        <v>12</v>
      </c>
      <c r="Y312" s="27">
        <v>3</v>
      </c>
      <c r="Z312" s="27">
        <v>4</v>
      </c>
      <c r="AA312" s="27">
        <v>80</v>
      </c>
      <c r="AB312" s="27">
        <v>0</v>
      </c>
      <c r="AC312" s="27">
        <v>9</v>
      </c>
      <c r="AD312" s="27">
        <v>1</v>
      </c>
      <c r="AE312" s="27">
        <v>3</v>
      </c>
      <c r="AF312" s="27">
        <v>2</v>
      </c>
      <c r="AG312" s="27">
        <v>2</v>
      </c>
      <c r="AH312" s="27">
        <v>1</v>
      </c>
      <c r="AI312" s="28">
        <v>0</v>
      </c>
      <c r="AK312" s="36">
        <v>279</v>
      </c>
      <c r="AL312" s="33">
        <v>1</v>
      </c>
      <c r="AM312" s="33">
        <v>2</v>
      </c>
      <c r="AN312" s="33">
        <v>2</v>
      </c>
      <c r="AO312" s="33">
        <v>1</v>
      </c>
      <c r="AP312" s="33">
        <v>0</v>
      </c>
      <c r="AQ312" s="33">
        <v>1</v>
      </c>
      <c r="AR312" s="33">
        <v>1</v>
      </c>
      <c r="AS312" s="33">
        <v>6</v>
      </c>
      <c r="AT312" s="33">
        <v>1</v>
      </c>
      <c r="AU312" s="43">
        <v>7.9699218446998829E-2</v>
      </c>
      <c r="AV312" s="33">
        <v>0</v>
      </c>
      <c r="AW312" s="33">
        <v>0</v>
      </c>
      <c r="AY312" s="36">
        <v>284</v>
      </c>
      <c r="AZ312" s="33">
        <v>2</v>
      </c>
      <c r="BA312" s="33">
        <v>4</v>
      </c>
      <c r="BB312" s="33">
        <v>1</v>
      </c>
      <c r="BC312" s="33">
        <v>1</v>
      </c>
      <c r="BD312" s="43">
        <v>0.19951405628110813</v>
      </c>
      <c r="BE312" s="33">
        <v>0</v>
      </c>
      <c r="BF312" s="33">
        <v>0</v>
      </c>
      <c r="CE312" s="36">
        <v>278</v>
      </c>
      <c r="CF312" s="33">
        <v>7</v>
      </c>
      <c r="CG312" s="33">
        <v>2</v>
      </c>
      <c r="CH312" s="33">
        <v>1</v>
      </c>
      <c r="CI312" s="33">
        <v>3</v>
      </c>
      <c r="CJ312" s="33">
        <v>1</v>
      </c>
      <c r="CK312" s="33">
        <v>1</v>
      </c>
      <c r="CL312" s="33">
        <v>1</v>
      </c>
      <c r="CM312" s="33">
        <v>3</v>
      </c>
      <c r="CN312" s="33">
        <v>8</v>
      </c>
      <c r="CO312" s="33">
        <v>7</v>
      </c>
      <c r="CP312" s="43">
        <v>0.28793661568227746</v>
      </c>
      <c r="CQ312" s="33">
        <v>0</v>
      </c>
      <c r="CR312" s="33">
        <v>0</v>
      </c>
    </row>
    <row r="313" spans="1:96" ht="15" customHeight="1" x14ac:dyDescent="0.25">
      <c r="A313" s="26">
        <v>311</v>
      </c>
      <c r="B313" s="27">
        <v>45</v>
      </c>
      <c r="C313" s="27">
        <v>0</v>
      </c>
      <c r="D313" s="27">
        <v>2</v>
      </c>
      <c r="E313" s="27">
        <v>1249</v>
      </c>
      <c r="F313" s="27">
        <v>2</v>
      </c>
      <c r="G313" s="27">
        <v>7</v>
      </c>
      <c r="H313" s="27">
        <v>3</v>
      </c>
      <c r="I313" s="27">
        <v>1</v>
      </c>
      <c r="J313" s="27">
        <v>1</v>
      </c>
      <c r="K313" s="27">
        <v>425</v>
      </c>
      <c r="L313" s="27">
        <v>1</v>
      </c>
      <c r="M313" s="27">
        <v>1</v>
      </c>
      <c r="N313" s="27">
        <v>97</v>
      </c>
      <c r="O313" s="27">
        <v>3</v>
      </c>
      <c r="P313" s="27">
        <v>3</v>
      </c>
      <c r="Q313" s="27">
        <v>3</v>
      </c>
      <c r="R313" s="27">
        <v>1</v>
      </c>
      <c r="S313" s="27">
        <v>3</v>
      </c>
      <c r="T313" s="27">
        <v>5210</v>
      </c>
      <c r="U313" s="27">
        <v>20308</v>
      </c>
      <c r="V313" s="27">
        <v>1</v>
      </c>
      <c r="W313" s="27">
        <v>0</v>
      </c>
      <c r="X313" s="27">
        <v>18</v>
      </c>
      <c r="Y313" s="27">
        <v>3</v>
      </c>
      <c r="Z313" s="27">
        <v>1</v>
      </c>
      <c r="AA313" s="27">
        <v>80</v>
      </c>
      <c r="AB313" s="27">
        <v>1</v>
      </c>
      <c r="AC313" s="27">
        <v>24</v>
      </c>
      <c r="AD313" s="27">
        <v>2</v>
      </c>
      <c r="AE313" s="27">
        <v>3</v>
      </c>
      <c r="AF313" s="27">
        <v>24</v>
      </c>
      <c r="AG313" s="27">
        <v>9</v>
      </c>
      <c r="AH313" s="27">
        <v>9</v>
      </c>
      <c r="AI313" s="28">
        <v>11</v>
      </c>
      <c r="AK313" s="36">
        <v>280</v>
      </c>
      <c r="AL313" s="33">
        <v>4</v>
      </c>
      <c r="AM313" s="33">
        <v>5</v>
      </c>
      <c r="AN313" s="33">
        <v>2</v>
      </c>
      <c r="AO313" s="33">
        <v>3</v>
      </c>
      <c r="AP313" s="33">
        <v>0</v>
      </c>
      <c r="AQ313" s="33">
        <v>2</v>
      </c>
      <c r="AR313" s="33">
        <v>2</v>
      </c>
      <c r="AS313" s="33">
        <v>10</v>
      </c>
      <c r="AT313" s="33">
        <v>1</v>
      </c>
      <c r="AU313" s="43">
        <v>7.2434691020204518E-3</v>
      </c>
      <c r="AV313" s="33">
        <v>0</v>
      </c>
      <c r="AW313" s="33">
        <v>0</v>
      </c>
      <c r="AY313" s="36">
        <v>285</v>
      </c>
      <c r="AZ313" s="33">
        <v>2</v>
      </c>
      <c r="BA313" s="33">
        <v>1</v>
      </c>
      <c r="BB313" s="33">
        <v>1</v>
      </c>
      <c r="BC313" s="33">
        <v>1</v>
      </c>
      <c r="BD313" s="43">
        <v>0.37467799024663817</v>
      </c>
      <c r="BE313" s="33">
        <v>0</v>
      </c>
      <c r="BF313" s="33">
        <v>0</v>
      </c>
      <c r="CE313" s="36">
        <v>279</v>
      </c>
      <c r="CF313" s="33">
        <v>1</v>
      </c>
      <c r="CG313" s="33">
        <v>2</v>
      </c>
      <c r="CH313" s="33">
        <v>2</v>
      </c>
      <c r="CI313" s="33">
        <v>3</v>
      </c>
      <c r="CJ313" s="33">
        <v>1</v>
      </c>
      <c r="CK313" s="33">
        <v>0</v>
      </c>
      <c r="CL313" s="33">
        <v>1</v>
      </c>
      <c r="CM313" s="33">
        <v>1</v>
      </c>
      <c r="CN313" s="33">
        <v>6</v>
      </c>
      <c r="CO313" s="33">
        <v>1</v>
      </c>
      <c r="CP313" s="43">
        <v>4.803530731426614E-2</v>
      </c>
      <c r="CQ313" s="33">
        <v>0</v>
      </c>
      <c r="CR313" s="33">
        <v>0</v>
      </c>
    </row>
    <row r="314" spans="1:96" ht="15" customHeight="1" x14ac:dyDescent="0.25">
      <c r="A314" s="26">
        <v>312</v>
      </c>
      <c r="B314" s="27">
        <v>31</v>
      </c>
      <c r="C314" s="27">
        <v>0</v>
      </c>
      <c r="D314" s="27">
        <v>1</v>
      </c>
      <c r="E314" s="27">
        <v>192</v>
      </c>
      <c r="F314" s="27">
        <v>2</v>
      </c>
      <c r="G314" s="27">
        <v>2</v>
      </c>
      <c r="H314" s="27">
        <v>4</v>
      </c>
      <c r="I314" s="27">
        <v>1</v>
      </c>
      <c r="J314" s="27">
        <v>1</v>
      </c>
      <c r="K314" s="27">
        <v>426</v>
      </c>
      <c r="L314" s="27">
        <v>3</v>
      </c>
      <c r="M314" s="27">
        <v>1</v>
      </c>
      <c r="N314" s="27">
        <v>32</v>
      </c>
      <c r="O314" s="27">
        <v>3</v>
      </c>
      <c r="P314" s="27">
        <v>1</v>
      </c>
      <c r="Q314" s="27">
        <v>2</v>
      </c>
      <c r="R314" s="27">
        <v>4</v>
      </c>
      <c r="S314" s="27">
        <v>3</v>
      </c>
      <c r="T314" s="27">
        <v>2695</v>
      </c>
      <c r="U314" s="27">
        <v>7747</v>
      </c>
      <c r="V314" s="27">
        <v>0</v>
      </c>
      <c r="W314" s="27">
        <v>1</v>
      </c>
      <c r="X314" s="27">
        <v>18</v>
      </c>
      <c r="Y314" s="27">
        <v>3</v>
      </c>
      <c r="Z314" s="27">
        <v>2</v>
      </c>
      <c r="AA314" s="27">
        <v>80</v>
      </c>
      <c r="AB314" s="27">
        <v>1</v>
      </c>
      <c r="AC314" s="27">
        <v>3</v>
      </c>
      <c r="AD314" s="27">
        <v>2</v>
      </c>
      <c r="AE314" s="27">
        <v>1</v>
      </c>
      <c r="AF314" s="27">
        <v>2</v>
      </c>
      <c r="AG314" s="27">
        <v>2</v>
      </c>
      <c r="AH314" s="27">
        <v>2</v>
      </c>
      <c r="AI314" s="28">
        <v>2</v>
      </c>
      <c r="AK314" s="36">
        <v>281</v>
      </c>
      <c r="AL314" s="33">
        <v>3</v>
      </c>
      <c r="AM314" s="33">
        <v>4</v>
      </c>
      <c r="AN314" s="33">
        <v>3</v>
      </c>
      <c r="AO314" s="33">
        <v>3</v>
      </c>
      <c r="AP314" s="33">
        <v>1</v>
      </c>
      <c r="AQ314" s="33">
        <v>3</v>
      </c>
      <c r="AR314" s="33">
        <v>2</v>
      </c>
      <c r="AS314" s="33">
        <v>5</v>
      </c>
      <c r="AT314" s="33">
        <v>1</v>
      </c>
      <c r="AU314" s="43">
        <v>3.1499506380721569E-2</v>
      </c>
      <c r="AV314" s="33">
        <v>0</v>
      </c>
      <c r="AW314" s="33">
        <v>0</v>
      </c>
      <c r="AY314" s="36">
        <v>286</v>
      </c>
      <c r="AZ314" s="33">
        <v>1</v>
      </c>
      <c r="BA314" s="33">
        <v>4</v>
      </c>
      <c r="BB314" s="33">
        <v>0</v>
      </c>
      <c r="BC314" s="33">
        <v>0</v>
      </c>
      <c r="BD314" s="43">
        <v>0.1472907617042678</v>
      </c>
      <c r="BE314" s="33">
        <v>0</v>
      </c>
      <c r="BF314" s="33">
        <v>0</v>
      </c>
      <c r="CE314" s="36">
        <v>280</v>
      </c>
      <c r="CF314" s="33">
        <v>4</v>
      </c>
      <c r="CG314" s="33">
        <v>5</v>
      </c>
      <c r="CH314" s="33">
        <v>2</v>
      </c>
      <c r="CI314" s="33">
        <v>3</v>
      </c>
      <c r="CJ314" s="33">
        <v>3</v>
      </c>
      <c r="CK314" s="33">
        <v>0</v>
      </c>
      <c r="CL314" s="33">
        <v>2</v>
      </c>
      <c r="CM314" s="33">
        <v>2</v>
      </c>
      <c r="CN314" s="33">
        <v>10</v>
      </c>
      <c r="CO314" s="33">
        <v>1</v>
      </c>
      <c r="CP314" s="43">
        <v>6.0673098447449579E-3</v>
      </c>
      <c r="CQ314" s="33">
        <v>0</v>
      </c>
      <c r="CR314" s="33">
        <v>0</v>
      </c>
    </row>
    <row r="315" spans="1:96" ht="15" customHeight="1" x14ac:dyDescent="0.25">
      <c r="A315" s="26">
        <v>313</v>
      </c>
      <c r="B315" s="27">
        <v>33</v>
      </c>
      <c r="C315" s="27">
        <v>0</v>
      </c>
      <c r="D315" s="27">
        <v>2</v>
      </c>
      <c r="E315" s="27">
        <v>553</v>
      </c>
      <c r="F315" s="27">
        <v>2</v>
      </c>
      <c r="G315" s="27">
        <v>5</v>
      </c>
      <c r="H315" s="27">
        <v>4</v>
      </c>
      <c r="I315" s="27">
        <v>1</v>
      </c>
      <c r="J315" s="27">
        <v>1</v>
      </c>
      <c r="K315" s="27">
        <v>428</v>
      </c>
      <c r="L315" s="27">
        <v>4</v>
      </c>
      <c r="M315" s="27">
        <v>0</v>
      </c>
      <c r="N315" s="27">
        <v>74</v>
      </c>
      <c r="O315" s="27">
        <v>3</v>
      </c>
      <c r="P315" s="27">
        <v>3</v>
      </c>
      <c r="Q315" s="27">
        <v>6</v>
      </c>
      <c r="R315" s="27">
        <v>2</v>
      </c>
      <c r="S315" s="27">
        <v>2</v>
      </c>
      <c r="T315" s="27">
        <v>11878</v>
      </c>
      <c r="U315" s="27">
        <v>23364</v>
      </c>
      <c r="V315" s="27">
        <v>6</v>
      </c>
      <c r="W315" s="27">
        <v>0</v>
      </c>
      <c r="X315" s="27">
        <v>11</v>
      </c>
      <c r="Y315" s="27">
        <v>3</v>
      </c>
      <c r="Z315" s="27">
        <v>2</v>
      </c>
      <c r="AA315" s="27">
        <v>80</v>
      </c>
      <c r="AB315" s="27">
        <v>2</v>
      </c>
      <c r="AC315" s="27">
        <v>12</v>
      </c>
      <c r="AD315" s="27">
        <v>2</v>
      </c>
      <c r="AE315" s="27">
        <v>3</v>
      </c>
      <c r="AF315" s="27">
        <v>10</v>
      </c>
      <c r="AG315" s="27">
        <v>6</v>
      </c>
      <c r="AH315" s="27">
        <v>8</v>
      </c>
      <c r="AI315" s="28">
        <v>8</v>
      </c>
      <c r="AK315" s="36">
        <v>282</v>
      </c>
      <c r="AL315" s="33">
        <v>1</v>
      </c>
      <c r="AM315" s="33">
        <v>2</v>
      </c>
      <c r="AN315" s="33">
        <v>3</v>
      </c>
      <c r="AO315" s="33">
        <v>1</v>
      </c>
      <c r="AP315" s="33">
        <v>0</v>
      </c>
      <c r="AQ315" s="33">
        <v>0</v>
      </c>
      <c r="AR315" s="33">
        <v>3</v>
      </c>
      <c r="AS315" s="33">
        <v>20</v>
      </c>
      <c r="AT315" s="33">
        <v>11</v>
      </c>
      <c r="AU315" s="43">
        <v>7.4993589231997171E-2</v>
      </c>
      <c r="AV315" s="33">
        <v>0</v>
      </c>
      <c r="AW315" s="33">
        <v>0</v>
      </c>
      <c r="AY315" s="36">
        <v>287</v>
      </c>
      <c r="AZ315" s="33">
        <v>1</v>
      </c>
      <c r="BA315" s="33">
        <v>3</v>
      </c>
      <c r="BB315" s="33">
        <v>1</v>
      </c>
      <c r="BC315" s="33">
        <v>1</v>
      </c>
      <c r="BD315" s="43">
        <v>0.36852652578740397</v>
      </c>
      <c r="BE315" s="33">
        <v>0</v>
      </c>
      <c r="BF315" s="33">
        <v>1</v>
      </c>
      <c r="CE315" s="36">
        <v>281</v>
      </c>
      <c r="CF315" s="33">
        <v>3</v>
      </c>
      <c r="CG315" s="33">
        <v>4</v>
      </c>
      <c r="CH315" s="33">
        <v>3</v>
      </c>
      <c r="CI315" s="33">
        <v>2</v>
      </c>
      <c r="CJ315" s="33">
        <v>3</v>
      </c>
      <c r="CK315" s="33">
        <v>1</v>
      </c>
      <c r="CL315" s="33">
        <v>3</v>
      </c>
      <c r="CM315" s="33">
        <v>2</v>
      </c>
      <c r="CN315" s="33">
        <v>5</v>
      </c>
      <c r="CO315" s="33">
        <v>1</v>
      </c>
      <c r="CP315" s="43">
        <v>6.3418669609016334E-2</v>
      </c>
      <c r="CQ315" s="33">
        <v>0</v>
      </c>
      <c r="CR315" s="33">
        <v>0</v>
      </c>
    </row>
    <row r="316" spans="1:96" ht="15" customHeight="1" x14ac:dyDescent="0.25">
      <c r="A316" s="26">
        <v>314</v>
      </c>
      <c r="B316" s="27">
        <v>39</v>
      </c>
      <c r="C316" s="27">
        <v>0</v>
      </c>
      <c r="D316" s="27">
        <v>1</v>
      </c>
      <c r="E316" s="27">
        <v>117</v>
      </c>
      <c r="F316" s="27">
        <v>2</v>
      </c>
      <c r="G316" s="27">
        <v>10</v>
      </c>
      <c r="H316" s="27">
        <v>1</v>
      </c>
      <c r="I316" s="27">
        <v>3</v>
      </c>
      <c r="J316" s="27">
        <v>1</v>
      </c>
      <c r="K316" s="27">
        <v>429</v>
      </c>
      <c r="L316" s="27">
        <v>3</v>
      </c>
      <c r="M316" s="27">
        <v>1</v>
      </c>
      <c r="N316" s="27">
        <v>99</v>
      </c>
      <c r="O316" s="27">
        <v>3</v>
      </c>
      <c r="P316" s="27">
        <v>4</v>
      </c>
      <c r="Q316" s="27">
        <v>6</v>
      </c>
      <c r="R316" s="27">
        <v>1</v>
      </c>
      <c r="S316" s="27">
        <v>2</v>
      </c>
      <c r="T316" s="27">
        <v>17068</v>
      </c>
      <c r="U316" s="27">
        <v>5355</v>
      </c>
      <c r="V316" s="27">
        <v>1</v>
      </c>
      <c r="W316" s="27">
        <v>1</v>
      </c>
      <c r="X316" s="27">
        <v>14</v>
      </c>
      <c r="Y316" s="27">
        <v>3</v>
      </c>
      <c r="Z316" s="27">
        <v>4</v>
      </c>
      <c r="AA316" s="27">
        <v>80</v>
      </c>
      <c r="AB316" s="27">
        <v>0</v>
      </c>
      <c r="AC316" s="27">
        <v>21</v>
      </c>
      <c r="AD316" s="27">
        <v>3</v>
      </c>
      <c r="AE316" s="27">
        <v>3</v>
      </c>
      <c r="AF316" s="27">
        <v>21</v>
      </c>
      <c r="AG316" s="27">
        <v>9</v>
      </c>
      <c r="AH316" s="27">
        <v>11</v>
      </c>
      <c r="AI316" s="28">
        <v>10</v>
      </c>
      <c r="AK316" s="36">
        <v>283</v>
      </c>
      <c r="AL316" s="33">
        <v>2</v>
      </c>
      <c r="AM316" s="33">
        <v>2</v>
      </c>
      <c r="AN316" s="33">
        <v>4</v>
      </c>
      <c r="AO316" s="33">
        <v>1</v>
      </c>
      <c r="AP316" s="33">
        <v>0</v>
      </c>
      <c r="AQ316" s="33">
        <v>0</v>
      </c>
      <c r="AR316" s="33">
        <v>2</v>
      </c>
      <c r="AS316" s="33">
        <v>10</v>
      </c>
      <c r="AT316" s="33">
        <v>0</v>
      </c>
      <c r="AU316" s="43">
        <v>4.4615093513252629E-2</v>
      </c>
      <c r="AV316" s="33">
        <v>0</v>
      </c>
      <c r="AW316" s="33">
        <v>0</v>
      </c>
      <c r="AY316" s="36">
        <v>288</v>
      </c>
      <c r="AZ316" s="33">
        <v>2</v>
      </c>
      <c r="BA316" s="33">
        <v>4</v>
      </c>
      <c r="BB316" s="33">
        <v>0</v>
      </c>
      <c r="BC316" s="33">
        <v>1</v>
      </c>
      <c r="BD316" s="43">
        <v>5.5093218126976727E-2</v>
      </c>
      <c r="BE316" s="33">
        <v>0</v>
      </c>
      <c r="BF316" s="33">
        <v>0</v>
      </c>
      <c r="CE316" s="36">
        <v>282</v>
      </c>
      <c r="CF316" s="33">
        <v>1</v>
      </c>
      <c r="CG316" s="33">
        <v>2</v>
      </c>
      <c r="CH316" s="33">
        <v>3</v>
      </c>
      <c r="CI316" s="33">
        <v>2</v>
      </c>
      <c r="CJ316" s="33">
        <v>1</v>
      </c>
      <c r="CK316" s="33">
        <v>0</v>
      </c>
      <c r="CL316" s="33">
        <v>0</v>
      </c>
      <c r="CM316" s="33">
        <v>3</v>
      </c>
      <c r="CN316" s="33">
        <v>20</v>
      </c>
      <c r="CO316" s="33">
        <v>11</v>
      </c>
      <c r="CP316" s="43">
        <v>5.36393178760819E-2</v>
      </c>
      <c r="CQ316" s="33">
        <v>0</v>
      </c>
      <c r="CR316" s="33">
        <v>0</v>
      </c>
    </row>
    <row r="317" spans="1:96" ht="15" customHeight="1" x14ac:dyDescent="0.25">
      <c r="A317" s="26">
        <v>315</v>
      </c>
      <c r="B317" s="27">
        <v>43</v>
      </c>
      <c r="C317" s="27">
        <v>0</v>
      </c>
      <c r="D317" s="27">
        <v>2</v>
      </c>
      <c r="E317" s="27">
        <v>185</v>
      </c>
      <c r="F317" s="27">
        <v>2</v>
      </c>
      <c r="G317" s="27">
        <v>10</v>
      </c>
      <c r="H317" s="27">
        <v>4</v>
      </c>
      <c r="I317" s="27">
        <v>1</v>
      </c>
      <c r="J317" s="27">
        <v>1</v>
      </c>
      <c r="K317" s="27">
        <v>430</v>
      </c>
      <c r="L317" s="27">
        <v>3</v>
      </c>
      <c r="M317" s="27">
        <v>0</v>
      </c>
      <c r="N317" s="27">
        <v>33</v>
      </c>
      <c r="O317" s="27">
        <v>3</v>
      </c>
      <c r="P317" s="27">
        <v>1</v>
      </c>
      <c r="Q317" s="27">
        <v>3</v>
      </c>
      <c r="R317" s="27">
        <v>4</v>
      </c>
      <c r="S317" s="27">
        <v>1</v>
      </c>
      <c r="T317" s="27">
        <v>2455</v>
      </c>
      <c r="U317" s="27">
        <v>10675</v>
      </c>
      <c r="V317" s="27">
        <v>0</v>
      </c>
      <c r="W317" s="27">
        <v>0</v>
      </c>
      <c r="X317" s="27">
        <v>19</v>
      </c>
      <c r="Y317" s="27">
        <v>3</v>
      </c>
      <c r="Z317" s="27">
        <v>1</v>
      </c>
      <c r="AA317" s="27">
        <v>80</v>
      </c>
      <c r="AB317" s="27">
        <v>0</v>
      </c>
      <c r="AC317" s="27">
        <v>9</v>
      </c>
      <c r="AD317" s="27">
        <v>5</v>
      </c>
      <c r="AE317" s="27">
        <v>3</v>
      </c>
      <c r="AF317" s="27">
        <v>8</v>
      </c>
      <c r="AG317" s="27">
        <v>7</v>
      </c>
      <c r="AH317" s="27">
        <v>1</v>
      </c>
      <c r="AI317" s="28">
        <v>7</v>
      </c>
      <c r="AK317" s="36">
        <v>284</v>
      </c>
      <c r="AL317" s="33">
        <v>20</v>
      </c>
      <c r="AM317" s="33">
        <v>2</v>
      </c>
      <c r="AN317" s="33">
        <v>4</v>
      </c>
      <c r="AO317" s="33">
        <v>3</v>
      </c>
      <c r="AP317" s="33">
        <v>1</v>
      </c>
      <c r="AQ317" s="33">
        <v>1</v>
      </c>
      <c r="AR317" s="33">
        <v>3</v>
      </c>
      <c r="AS317" s="33">
        <v>10</v>
      </c>
      <c r="AT317" s="33">
        <v>0</v>
      </c>
      <c r="AU317" s="43">
        <v>0.16589671446033713</v>
      </c>
      <c r="AV317" s="33">
        <v>0</v>
      </c>
      <c r="AW317" s="33">
        <v>0</v>
      </c>
      <c r="AY317" s="36">
        <v>289</v>
      </c>
      <c r="AZ317" s="33">
        <v>1</v>
      </c>
      <c r="BA317" s="33">
        <v>2</v>
      </c>
      <c r="BB317" s="33">
        <v>1</v>
      </c>
      <c r="BC317" s="33">
        <v>1</v>
      </c>
      <c r="BD317" s="43">
        <v>0.43876762926038776</v>
      </c>
      <c r="BE317" s="33">
        <v>0</v>
      </c>
      <c r="BF317" s="33">
        <v>1</v>
      </c>
      <c r="CE317" s="36">
        <v>283</v>
      </c>
      <c r="CF317" s="33">
        <v>2</v>
      </c>
      <c r="CG317" s="33">
        <v>2</v>
      </c>
      <c r="CH317" s="33">
        <v>4</v>
      </c>
      <c r="CI317" s="33">
        <v>1</v>
      </c>
      <c r="CJ317" s="33">
        <v>1</v>
      </c>
      <c r="CK317" s="33">
        <v>0</v>
      </c>
      <c r="CL317" s="33">
        <v>0</v>
      </c>
      <c r="CM317" s="33">
        <v>2</v>
      </c>
      <c r="CN317" s="33">
        <v>10</v>
      </c>
      <c r="CO317" s="33">
        <v>0</v>
      </c>
      <c r="CP317" s="43">
        <v>5.2247307373551606E-2</v>
      </c>
      <c r="CQ317" s="33">
        <v>0</v>
      </c>
      <c r="CR317" s="33">
        <v>0</v>
      </c>
    </row>
    <row r="318" spans="1:96" ht="15" customHeight="1" x14ac:dyDescent="0.25">
      <c r="A318" s="26">
        <v>316</v>
      </c>
      <c r="B318" s="27">
        <v>49</v>
      </c>
      <c r="C318" s="27">
        <v>0</v>
      </c>
      <c r="D318" s="27">
        <v>1</v>
      </c>
      <c r="E318" s="27">
        <v>1091</v>
      </c>
      <c r="F318" s="27">
        <v>2</v>
      </c>
      <c r="G318" s="27">
        <v>1</v>
      </c>
      <c r="H318" s="27">
        <v>2</v>
      </c>
      <c r="I318" s="27">
        <v>5</v>
      </c>
      <c r="J318" s="27">
        <v>1</v>
      </c>
      <c r="K318" s="27">
        <v>431</v>
      </c>
      <c r="L318" s="27">
        <v>3</v>
      </c>
      <c r="M318" s="27">
        <v>0</v>
      </c>
      <c r="N318" s="27">
        <v>90</v>
      </c>
      <c r="O318" s="27">
        <v>2</v>
      </c>
      <c r="P318" s="27">
        <v>4</v>
      </c>
      <c r="Q318" s="27">
        <v>5</v>
      </c>
      <c r="R318" s="27">
        <v>3</v>
      </c>
      <c r="S318" s="27">
        <v>1</v>
      </c>
      <c r="T318" s="27">
        <v>13964</v>
      </c>
      <c r="U318" s="27">
        <v>17810</v>
      </c>
      <c r="V318" s="27">
        <v>7</v>
      </c>
      <c r="W318" s="27">
        <v>1</v>
      </c>
      <c r="X318" s="27">
        <v>12</v>
      </c>
      <c r="Y318" s="27">
        <v>3</v>
      </c>
      <c r="Z318" s="27">
        <v>4</v>
      </c>
      <c r="AA318" s="27">
        <v>80</v>
      </c>
      <c r="AB318" s="27">
        <v>0</v>
      </c>
      <c r="AC318" s="27">
        <v>25</v>
      </c>
      <c r="AD318" s="27">
        <v>2</v>
      </c>
      <c r="AE318" s="27">
        <v>3</v>
      </c>
      <c r="AF318" s="27">
        <v>7</v>
      </c>
      <c r="AG318" s="27">
        <v>1</v>
      </c>
      <c r="AH318" s="27">
        <v>0</v>
      </c>
      <c r="AI318" s="28">
        <v>7</v>
      </c>
      <c r="AK318" s="36">
        <v>285</v>
      </c>
      <c r="AL318" s="33">
        <v>11</v>
      </c>
      <c r="AM318" s="33">
        <v>2</v>
      </c>
      <c r="AN318" s="33">
        <v>1</v>
      </c>
      <c r="AO318" s="33">
        <v>1</v>
      </c>
      <c r="AP318" s="33">
        <v>1</v>
      </c>
      <c r="AQ318" s="33">
        <v>1</v>
      </c>
      <c r="AR318" s="33">
        <v>3</v>
      </c>
      <c r="AS318" s="33">
        <v>5</v>
      </c>
      <c r="AT318" s="33">
        <v>3</v>
      </c>
      <c r="AU318" s="43">
        <v>0.37541934589606091</v>
      </c>
      <c r="AV318" s="33">
        <v>0</v>
      </c>
      <c r="AW318" s="33">
        <v>0</v>
      </c>
      <c r="AY318" s="36">
        <v>290</v>
      </c>
      <c r="AZ318" s="33">
        <v>1</v>
      </c>
      <c r="BA318" s="33">
        <v>4</v>
      </c>
      <c r="BB318" s="33">
        <v>0</v>
      </c>
      <c r="BC318" s="33">
        <v>0</v>
      </c>
      <c r="BD318" s="43">
        <v>0.1472907617042678</v>
      </c>
      <c r="BE318" s="33">
        <v>0</v>
      </c>
      <c r="BF318" s="33">
        <v>0</v>
      </c>
      <c r="CE318" s="36">
        <v>284</v>
      </c>
      <c r="CF318" s="33">
        <v>20</v>
      </c>
      <c r="CG318" s="33">
        <v>2</v>
      </c>
      <c r="CH318" s="33">
        <v>4</v>
      </c>
      <c r="CI318" s="33">
        <v>2</v>
      </c>
      <c r="CJ318" s="33">
        <v>3</v>
      </c>
      <c r="CK318" s="33">
        <v>1</v>
      </c>
      <c r="CL318" s="33">
        <v>1</v>
      </c>
      <c r="CM318" s="33">
        <v>3</v>
      </c>
      <c r="CN318" s="33">
        <v>10</v>
      </c>
      <c r="CO318" s="33">
        <v>0</v>
      </c>
      <c r="CP318" s="43">
        <v>0.16275325563821444</v>
      </c>
      <c r="CQ318" s="33">
        <v>0</v>
      </c>
      <c r="CR318" s="33">
        <v>0</v>
      </c>
    </row>
    <row r="319" spans="1:96" ht="15" customHeight="1" x14ac:dyDescent="0.25">
      <c r="A319" s="26">
        <v>317</v>
      </c>
      <c r="B319" s="27">
        <v>52</v>
      </c>
      <c r="C319" s="27">
        <v>1</v>
      </c>
      <c r="D319" s="27">
        <v>1</v>
      </c>
      <c r="E319" s="27">
        <v>723</v>
      </c>
      <c r="F319" s="27">
        <v>2</v>
      </c>
      <c r="G319" s="27">
        <v>8</v>
      </c>
      <c r="H319" s="27">
        <v>4</v>
      </c>
      <c r="I319" s="27">
        <v>3</v>
      </c>
      <c r="J319" s="27">
        <v>1</v>
      </c>
      <c r="K319" s="27">
        <v>433</v>
      </c>
      <c r="L319" s="27">
        <v>3</v>
      </c>
      <c r="M319" s="27">
        <v>1</v>
      </c>
      <c r="N319" s="27">
        <v>85</v>
      </c>
      <c r="O319" s="27">
        <v>2</v>
      </c>
      <c r="P319" s="27">
        <v>2</v>
      </c>
      <c r="Q319" s="27">
        <v>2</v>
      </c>
      <c r="R319" s="27">
        <v>2</v>
      </c>
      <c r="S319" s="27">
        <v>2</v>
      </c>
      <c r="T319" s="27">
        <v>4941</v>
      </c>
      <c r="U319" s="27">
        <v>17747</v>
      </c>
      <c r="V319" s="27">
        <v>2</v>
      </c>
      <c r="W319" s="27">
        <v>0</v>
      </c>
      <c r="X319" s="27">
        <v>15</v>
      </c>
      <c r="Y319" s="27">
        <v>3</v>
      </c>
      <c r="Z319" s="27">
        <v>1</v>
      </c>
      <c r="AA319" s="27">
        <v>80</v>
      </c>
      <c r="AB319" s="27">
        <v>0</v>
      </c>
      <c r="AC319" s="27">
        <v>11</v>
      </c>
      <c r="AD319" s="27">
        <v>3</v>
      </c>
      <c r="AE319" s="27">
        <v>2</v>
      </c>
      <c r="AF319" s="27">
        <v>8</v>
      </c>
      <c r="AG319" s="27">
        <v>2</v>
      </c>
      <c r="AH319" s="27">
        <v>7</v>
      </c>
      <c r="AI319" s="28">
        <v>7</v>
      </c>
      <c r="AK319" s="36">
        <v>286</v>
      </c>
      <c r="AL319" s="33">
        <v>1</v>
      </c>
      <c r="AM319" s="33">
        <v>1</v>
      </c>
      <c r="AN319" s="33">
        <v>4</v>
      </c>
      <c r="AO319" s="33">
        <v>1</v>
      </c>
      <c r="AP319" s="33">
        <v>0</v>
      </c>
      <c r="AQ319" s="33">
        <v>0</v>
      </c>
      <c r="AR319" s="33">
        <v>3</v>
      </c>
      <c r="AS319" s="33">
        <v>17</v>
      </c>
      <c r="AT319" s="33">
        <v>5</v>
      </c>
      <c r="AU319" s="43">
        <v>6.1999530569272689E-2</v>
      </c>
      <c r="AV319" s="33">
        <v>0</v>
      </c>
      <c r="AW319" s="33">
        <v>0</v>
      </c>
      <c r="AY319" s="36">
        <v>291</v>
      </c>
      <c r="AZ319" s="33">
        <v>5</v>
      </c>
      <c r="BA319" s="33">
        <v>1</v>
      </c>
      <c r="BB319" s="33">
        <v>1</v>
      </c>
      <c r="BC319" s="33">
        <v>0</v>
      </c>
      <c r="BD319" s="43">
        <v>0.15978863224034098</v>
      </c>
      <c r="BE319" s="33">
        <v>0</v>
      </c>
      <c r="BF319" s="33">
        <v>0</v>
      </c>
      <c r="CE319" s="36">
        <v>285</v>
      </c>
      <c r="CF319" s="33">
        <v>11</v>
      </c>
      <c r="CG319" s="33">
        <v>2</v>
      </c>
      <c r="CH319" s="33">
        <v>1</v>
      </c>
      <c r="CI319" s="33">
        <v>2</v>
      </c>
      <c r="CJ319" s="33">
        <v>1</v>
      </c>
      <c r="CK319" s="33">
        <v>1</v>
      </c>
      <c r="CL319" s="33">
        <v>1</v>
      </c>
      <c r="CM319" s="33">
        <v>3</v>
      </c>
      <c r="CN319" s="33">
        <v>5</v>
      </c>
      <c r="CO319" s="33">
        <v>3</v>
      </c>
      <c r="CP319" s="43">
        <v>0.38567529561815811</v>
      </c>
      <c r="CQ319" s="33">
        <v>0</v>
      </c>
      <c r="CR319" s="33">
        <v>0</v>
      </c>
    </row>
    <row r="320" spans="1:96" ht="15" customHeight="1" x14ac:dyDescent="0.25">
      <c r="A320" s="26">
        <v>318</v>
      </c>
      <c r="B320" s="27">
        <v>27</v>
      </c>
      <c r="C320" s="27">
        <v>0</v>
      </c>
      <c r="D320" s="27">
        <v>1</v>
      </c>
      <c r="E320" s="27">
        <v>1220</v>
      </c>
      <c r="F320" s="27">
        <v>2</v>
      </c>
      <c r="G320" s="27">
        <v>5</v>
      </c>
      <c r="H320" s="27">
        <v>3</v>
      </c>
      <c r="I320" s="27">
        <v>1</v>
      </c>
      <c r="J320" s="27">
        <v>1</v>
      </c>
      <c r="K320" s="27">
        <v>434</v>
      </c>
      <c r="L320" s="27">
        <v>3</v>
      </c>
      <c r="M320" s="27">
        <v>0</v>
      </c>
      <c r="N320" s="27">
        <v>85</v>
      </c>
      <c r="O320" s="27">
        <v>3</v>
      </c>
      <c r="P320" s="27">
        <v>1</v>
      </c>
      <c r="Q320" s="27">
        <v>2</v>
      </c>
      <c r="R320" s="27">
        <v>2</v>
      </c>
      <c r="S320" s="27">
        <v>1</v>
      </c>
      <c r="T320" s="27">
        <v>2478</v>
      </c>
      <c r="U320" s="27">
        <v>20938</v>
      </c>
      <c r="V320" s="27">
        <v>1</v>
      </c>
      <c r="W320" s="27">
        <v>1</v>
      </c>
      <c r="X320" s="27">
        <v>12</v>
      </c>
      <c r="Y320" s="27">
        <v>3</v>
      </c>
      <c r="Z320" s="27">
        <v>2</v>
      </c>
      <c r="AA320" s="27">
        <v>80</v>
      </c>
      <c r="AB320" s="27">
        <v>0</v>
      </c>
      <c r="AC320" s="27">
        <v>4</v>
      </c>
      <c r="AD320" s="27">
        <v>2</v>
      </c>
      <c r="AE320" s="27">
        <v>2</v>
      </c>
      <c r="AF320" s="27">
        <v>4</v>
      </c>
      <c r="AG320" s="27">
        <v>3</v>
      </c>
      <c r="AH320" s="27">
        <v>1</v>
      </c>
      <c r="AI320" s="28">
        <v>2</v>
      </c>
      <c r="AK320" s="36">
        <v>287</v>
      </c>
      <c r="AL320" s="33">
        <v>24</v>
      </c>
      <c r="AM320" s="33">
        <v>1</v>
      </c>
      <c r="AN320" s="33">
        <v>3</v>
      </c>
      <c r="AO320" s="33">
        <v>3</v>
      </c>
      <c r="AP320" s="33">
        <v>1</v>
      </c>
      <c r="AQ320" s="33">
        <v>1</v>
      </c>
      <c r="AR320" s="33">
        <v>1</v>
      </c>
      <c r="AS320" s="33">
        <v>1</v>
      </c>
      <c r="AT320" s="33">
        <v>0</v>
      </c>
      <c r="AU320" s="43">
        <v>0.61708256263974182</v>
      </c>
      <c r="AV320" s="33">
        <v>1</v>
      </c>
      <c r="AW320" s="33">
        <v>1</v>
      </c>
      <c r="AY320" s="36">
        <v>292</v>
      </c>
      <c r="AZ320" s="33">
        <v>2</v>
      </c>
      <c r="BA320" s="33">
        <v>2</v>
      </c>
      <c r="BB320" s="33">
        <v>0</v>
      </c>
      <c r="BC320" s="33">
        <v>0</v>
      </c>
      <c r="BD320" s="43">
        <v>0.15063023792355215</v>
      </c>
      <c r="BE320" s="33">
        <v>0</v>
      </c>
      <c r="BF320" s="33">
        <v>0</v>
      </c>
      <c r="CE320" s="36">
        <v>286</v>
      </c>
      <c r="CF320" s="33">
        <v>1</v>
      </c>
      <c r="CG320" s="33">
        <v>1</v>
      </c>
      <c r="CH320" s="33">
        <v>4</v>
      </c>
      <c r="CI320" s="33">
        <v>1</v>
      </c>
      <c r="CJ320" s="33">
        <v>1</v>
      </c>
      <c r="CK320" s="33">
        <v>0</v>
      </c>
      <c r="CL320" s="33">
        <v>0</v>
      </c>
      <c r="CM320" s="33">
        <v>3</v>
      </c>
      <c r="CN320" s="33">
        <v>17</v>
      </c>
      <c r="CO320" s="33">
        <v>5</v>
      </c>
      <c r="CP320" s="43">
        <v>7.1320231518194013E-2</v>
      </c>
      <c r="CQ320" s="33">
        <v>0</v>
      </c>
      <c r="CR320" s="33">
        <v>0</v>
      </c>
    </row>
    <row r="321" spans="1:96" ht="15" customHeight="1" x14ac:dyDescent="0.25">
      <c r="A321" s="26">
        <v>319</v>
      </c>
      <c r="B321" s="27">
        <v>32</v>
      </c>
      <c r="C321" s="27">
        <v>0</v>
      </c>
      <c r="D321" s="27">
        <v>1</v>
      </c>
      <c r="E321" s="27">
        <v>588</v>
      </c>
      <c r="F321" s="27">
        <v>1</v>
      </c>
      <c r="G321" s="27">
        <v>8</v>
      </c>
      <c r="H321" s="27">
        <v>2</v>
      </c>
      <c r="I321" s="27">
        <v>5</v>
      </c>
      <c r="J321" s="27">
        <v>1</v>
      </c>
      <c r="K321" s="27">
        <v>436</v>
      </c>
      <c r="L321" s="27">
        <v>3</v>
      </c>
      <c r="M321" s="27">
        <v>0</v>
      </c>
      <c r="N321" s="27">
        <v>65</v>
      </c>
      <c r="O321" s="27">
        <v>2</v>
      </c>
      <c r="P321" s="27">
        <v>2</v>
      </c>
      <c r="Q321" s="27">
        <v>1</v>
      </c>
      <c r="R321" s="27">
        <v>2</v>
      </c>
      <c r="S321" s="27">
        <v>2</v>
      </c>
      <c r="T321" s="27">
        <v>5228</v>
      </c>
      <c r="U321" s="27">
        <v>24624</v>
      </c>
      <c r="V321" s="27">
        <v>1</v>
      </c>
      <c r="W321" s="27">
        <v>1</v>
      </c>
      <c r="X321" s="27">
        <v>11</v>
      </c>
      <c r="Y321" s="27">
        <v>3</v>
      </c>
      <c r="Z321" s="27">
        <v>4</v>
      </c>
      <c r="AA321" s="27">
        <v>80</v>
      </c>
      <c r="AB321" s="27">
        <v>0</v>
      </c>
      <c r="AC321" s="27">
        <v>13</v>
      </c>
      <c r="AD321" s="27">
        <v>2</v>
      </c>
      <c r="AE321" s="27">
        <v>3</v>
      </c>
      <c r="AF321" s="27">
        <v>13</v>
      </c>
      <c r="AG321" s="27">
        <v>12</v>
      </c>
      <c r="AH321" s="27">
        <v>11</v>
      </c>
      <c r="AI321" s="28">
        <v>9</v>
      </c>
      <c r="AK321" s="36">
        <v>288</v>
      </c>
      <c r="AL321" s="33">
        <v>23</v>
      </c>
      <c r="AM321" s="33">
        <v>2</v>
      </c>
      <c r="AN321" s="33">
        <v>4</v>
      </c>
      <c r="AO321" s="33">
        <v>9</v>
      </c>
      <c r="AP321" s="33">
        <v>0</v>
      </c>
      <c r="AQ321" s="33">
        <v>1</v>
      </c>
      <c r="AR321" s="33">
        <v>3</v>
      </c>
      <c r="AS321" s="33">
        <v>2</v>
      </c>
      <c r="AT321" s="33">
        <v>1</v>
      </c>
      <c r="AU321" s="43">
        <v>0.1424297547204515</v>
      </c>
      <c r="AV321" s="33">
        <v>0</v>
      </c>
      <c r="AW321" s="33">
        <v>0</v>
      </c>
      <c r="AY321" s="36">
        <v>293</v>
      </c>
      <c r="AZ321" s="33">
        <v>1</v>
      </c>
      <c r="BA321" s="33">
        <v>2</v>
      </c>
      <c r="BB321" s="33">
        <v>0</v>
      </c>
      <c r="BC321" s="33">
        <v>1</v>
      </c>
      <c r="BD321" s="43">
        <v>0.15461023487664</v>
      </c>
      <c r="BE321" s="33">
        <v>0</v>
      </c>
      <c r="BF321" s="33">
        <v>0</v>
      </c>
      <c r="CE321" s="36">
        <v>287</v>
      </c>
      <c r="CF321" s="33">
        <v>24</v>
      </c>
      <c r="CG321" s="33">
        <v>1</v>
      </c>
      <c r="CH321" s="33">
        <v>3</v>
      </c>
      <c r="CI321" s="33">
        <v>3</v>
      </c>
      <c r="CJ321" s="33">
        <v>3</v>
      </c>
      <c r="CK321" s="33">
        <v>1</v>
      </c>
      <c r="CL321" s="33">
        <v>1</v>
      </c>
      <c r="CM321" s="33">
        <v>1</v>
      </c>
      <c r="CN321" s="33">
        <v>1</v>
      </c>
      <c r="CO321" s="33">
        <v>0</v>
      </c>
      <c r="CP321" s="43">
        <v>0.48576433995056628</v>
      </c>
      <c r="CQ321" s="33">
        <v>0</v>
      </c>
      <c r="CR321" s="33">
        <v>1</v>
      </c>
    </row>
    <row r="322" spans="1:96" ht="15" customHeight="1" x14ac:dyDescent="0.25">
      <c r="A322" s="26">
        <v>320</v>
      </c>
      <c r="B322" s="27">
        <v>27</v>
      </c>
      <c r="C322" s="27">
        <v>0</v>
      </c>
      <c r="D322" s="27">
        <v>1</v>
      </c>
      <c r="E322" s="27">
        <v>1377</v>
      </c>
      <c r="F322" s="27">
        <v>1</v>
      </c>
      <c r="G322" s="27">
        <v>2</v>
      </c>
      <c r="H322" s="27">
        <v>3</v>
      </c>
      <c r="I322" s="27">
        <v>1</v>
      </c>
      <c r="J322" s="27">
        <v>1</v>
      </c>
      <c r="K322" s="27">
        <v>437</v>
      </c>
      <c r="L322" s="27">
        <v>4</v>
      </c>
      <c r="M322" s="27">
        <v>1</v>
      </c>
      <c r="N322" s="27">
        <v>74</v>
      </c>
      <c r="O322" s="27">
        <v>3</v>
      </c>
      <c r="P322" s="27">
        <v>2</v>
      </c>
      <c r="Q322" s="27">
        <v>1</v>
      </c>
      <c r="R322" s="27">
        <v>3</v>
      </c>
      <c r="S322" s="27">
        <v>1</v>
      </c>
      <c r="T322" s="27">
        <v>4478</v>
      </c>
      <c r="U322" s="27">
        <v>5242</v>
      </c>
      <c r="V322" s="27">
        <v>1</v>
      </c>
      <c r="W322" s="27">
        <v>1</v>
      </c>
      <c r="X322" s="27">
        <v>11</v>
      </c>
      <c r="Y322" s="27">
        <v>3</v>
      </c>
      <c r="Z322" s="27">
        <v>1</v>
      </c>
      <c r="AA322" s="27">
        <v>80</v>
      </c>
      <c r="AB322" s="27">
        <v>0</v>
      </c>
      <c r="AC322" s="27">
        <v>5</v>
      </c>
      <c r="AD322" s="27">
        <v>3</v>
      </c>
      <c r="AE322" s="27">
        <v>3</v>
      </c>
      <c r="AF322" s="27">
        <v>5</v>
      </c>
      <c r="AG322" s="27">
        <v>4</v>
      </c>
      <c r="AH322" s="27">
        <v>0</v>
      </c>
      <c r="AI322" s="28">
        <v>4</v>
      </c>
      <c r="AK322" s="36">
        <v>289</v>
      </c>
      <c r="AL322" s="33">
        <v>16</v>
      </c>
      <c r="AM322" s="33">
        <v>1</v>
      </c>
      <c r="AN322" s="33">
        <v>2</v>
      </c>
      <c r="AO322" s="33">
        <v>2</v>
      </c>
      <c r="AP322" s="33">
        <v>1</v>
      </c>
      <c r="AQ322" s="33">
        <v>1</v>
      </c>
      <c r="AR322" s="33">
        <v>3</v>
      </c>
      <c r="AS322" s="33">
        <v>3</v>
      </c>
      <c r="AT322" s="33">
        <v>0</v>
      </c>
      <c r="AU322" s="43">
        <v>0.45186173778628563</v>
      </c>
      <c r="AV322" s="33">
        <v>0</v>
      </c>
      <c r="AW322" s="33">
        <v>1</v>
      </c>
      <c r="AY322" s="36">
        <v>294</v>
      </c>
      <c r="AZ322" s="33">
        <v>2</v>
      </c>
      <c r="BA322" s="33">
        <v>4</v>
      </c>
      <c r="BB322" s="33">
        <v>1</v>
      </c>
      <c r="BC322" s="33">
        <v>0</v>
      </c>
      <c r="BD322" s="43">
        <v>0.29698480921718856</v>
      </c>
      <c r="BE322" s="33">
        <v>0</v>
      </c>
      <c r="BF322" s="33">
        <v>1</v>
      </c>
      <c r="CE322" s="36">
        <v>288</v>
      </c>
      <c r="CF322" s="33">
        <v>23</v>
      </c>
      <c r="CG322" s="33">
        <v>2</v>
      </c>
      <c r="CH322" s="33">
        <v>4</v>
      </c>
      <c r="CI322" s="33">
        <v>3</v>
      </c>
      <c r="CJ322" s="33">
        <v>9</v>
      </c>
      <c r="CK322" s="33">
        <v>0</v>
      </c>
      <c r="CL322" s="33">
        <v>1</v>
      </c>
      <c r="CM322" s="33">
        <v>3</v>
      </c>
      <c r="CN322" s="33">
        <v>2</v>
      </c>
      <c r="CO322" s="33">
        <v>1</v>
      </c>
      <c r="CP322" s="43">
        <v>8.3382359581792256E-2</v>
      </c>
      <c r="CQ322" s="33">
        <v>0</v>
      </c>
      <c r="CR322" s="33">
        <v>0</v>
      </c>
    </row>
    <row r="323" spans="1:96" ht="15" customHeight="1" x14ac:dyDescent="0.25">
      <c r="A323" s="26">
        <v>321</v>
      </c>
      <c r="B323" s="27">
        <v>31</v>
      </c>
      <c r="C323" s="27">
        <v>0</v>
      </c>
      <c r="D323" s="27">
        <v>1</v>
      </c>
      <c r="E323" s="27">
        <v>691</v>
      </c>
      <c r="F323" s="27">
        <v>1</v>
      </c>
      <c r="G323" s="27">
        <v>7</v>
      </c>
      <c r="H323" s="27">
        <v>3</v>
      </c>
      <c r="I323" s="27">
        <v>4</v>
      </c>
      <c r="J323" s="27">
        <v>1</v>
      </c>
      <c r="K323" s="27">
        <v>438</v>
      </c>
      <c r="L323" s="27">
        <v>4</v>
      </c>
      <c r="M323" s="27">
        <v>1</v>
      </c>
      <c r="N323" s="27">
        <v>73</v>
      </c>
      <c r="O323" s="27">
        <v>3</v>
      </c>
      <c r="P323" s="27">
        <v>2</v>
      </c>
      <c r="Q323" s="27">
        <v>1</v>
      </c>
      <c r="R323" s="27">
        <v>4</v>
      </c>
      <c r="S323" s="27">
        <v>3</v>
      </c>
      <c r="T323" s="27">
        <v>7547</v>
      </c>
      <c r="U323" s="27">
        <v>7143</v>
      </c>
      <c r="V323" s="27">
        <v>4</v>
      </c>
      <c r="W323" s="27">
        <v>0</v>
      </c>
      <c r="X323" s="27">
        <v>12</v>
      </c>
      <c r="Y323" s="27">
        <v>3</v>
      </c>
      <c r="Z323" s="27">
        <v>4</v>
      </c>
      <c r="AA323" s="27">
        <v>80</v>
      </c>
      <c r="AB323" s="27">
        <v>3</v>
      </c>
      <c r="AC323" s="27">
        <v>13</v>
      </c>
      <c r="AD323" s="27">
        <v>3</v>
      </c>
      <c r="AE323" s="27">
        <v>3</v>
      </c>
      <c r="AF323" s="27">
        <v>7</v>
      </c>
      <c r="AG323" s="27">
        <v>7</v>
      </c>
      <c r="AH323" s="27">
        <v>1</v>
      </c>
      <c r="AI323" s="28">
        <v>7</v>
      </c>
      <c r="AK323" s="36">
        <v>290</v>
      </c>
      <c r="AL323" s="33">
        <v>8</v>
      </c>
      <c r="AM323" s="33">
        <v>1</v>
      </c>
      <c r="AN323" s="33">
        <v>4</v>
      </c>
      <c r="AO323" s="33">
        <v>1</v>
      </c>
      <c r="AP323" s="33">
        <v>0</v>
      </c>
      <c r="AQ323" s="33">
        <v>0</v>
      </c>
      <c r="AR323" s="33">
        <v>3</v>
      </c>
      <c r="AS323" s="33">
        <v>5</v>
      </c>
      <c r="AT323" s="33">
        <v>0</v>
      </c>
      <c r="AU323" s="43">
        <v>0.10131913208327507</v>
      </c>
      <c r="AV323" s="33">
        <v>0</v>
      </c>
      <c r="AW323" s="33">
        <v>0</v>
      </c>
      <c r="AY323" s="36">
        <v>295</v>
      </c>
      <c r="AZ323" s="33">
        <v>1</v>
      </c>
      <c r="BA323" s="33">
        <v>4</v>
      </c>
      <c r="BB323" s="33">
        <v>1</v>
      </c>
      <c r="BC323" s="33">
        <v>3</v>
      </c>
      <c r="BD323" s="43">
        <v>0.1316789269181548</v>
      </c>
      <c r="BE323" s="33">
        <v>0</v>
      </c>
      <c r="BF323" s="33">
        <v>0</v>
      </c>
      <c r="CE323" s="36">
        <v>289</v>
      </c>
      <c r="CF323" s="33">
        <v>16</v>
      </c>
      <c r="CG323" s="33">
        <v>1</v>
      </c>
      <c r="CH323" s="33">
        <v>2</v>
      </c>
      <c r="CI323" s="33">
        <v>3</v>
      </c>
      <c r="CJ323" s="33">
        <v>2</v>
      </c>
      <c r="CK323" s="33">
        <v>1</v>
      </c>
      <c r="CL323" s="33">
        <v>1</v>
      </c>
      <c r="CM323" s="33">
        <v>3</v>
      </c>
      <c r="CN323" s="33">
        <v>3</v>
      </c>
      <c r="CO323" s="33">
        <v>0</v>
      </c>
      <c r="CP323" s="43">
        <v>0.32266307451692211</v>
      </c>
      <c r="CQ323" s="33">
        <v>0</v>
      </c>
      <c r="CR323" s="33">
        <v>1</v>
      </c>
    </row>
    <row r="324" spans="1:96" ht="15" customHeight="1" x14ac:dyDescent="0.25">
      <c r="A324" s="26">
        <v>322</v>
      </c>
      <c r="B324" s="27">
        <v>32</v>
      </c>
      <c r="C324" s="27">
        <v>0</v>
      </c>
      <c r="D324" s="27">
        <v>1</v>
      </c>
      <c r="E324" s="27">
        <v>1018</v>
      </c>
      <c r="F324" s="27">
        <v>2</v>
      </c>
      <c r="G324" s="27">
        <v>2</v>
      </c>
      <c r="H324" s="27">
        <v>4</v>
      </c>
      <c r="I324" s="27">
        <v>3</v>
      </c>
      <c r="J324" s="27">
        <v>1</v>
      </c>
      <c r="K324" s="27">
        <v>439</v>
      </c>
      <c r="L324" s="27">
        <v>1</v>
      </c>
      <c r="M324" s="27">
        <v>0</v>
      </c>
      <c r="N324" s="27">
        <v>74</v>
      </c>
      <c r="O324" s="27">
        <v>4</v>
      </c>
      <c r="P324" s="27">
        <v>2</v>
      </c>
      <c r="Q324" s="27">
        <v>2</v>
      </c>
      <c r="R324" s="27">
        <v>4</v>
      </c>
      <c r="S324" s="27">
        <v>1</v>
      </c>
      <c r="T324" s="27">
        <v>5055</v>
      </c>
      <c r="U324" s="27">
        <v>10557</v>
      </c>
      <c r="V324" s="27">
        <v>7</v>
      </c>
      <c r="W324" s="27">
        <v>0</v>
      </c>
      <c r="X324" s="27">
        <v>16</v>
      </c>
      <c r="Y324" s="27">
        <v>3</v>
      </c>
      <c r="Z324" s="27">
        <v>3</v>
      </c>
      <c r="AA324" s="27">
        <v>80</v>
      </c>
      <c r="AB324" s="27">
        <v>0</v>
      </c>
      <c r="AC324" s="27">
        <v>10</v>
      </c>
      <c r="AD324" s="27">
        <v>0</v>
      </c>
      <c r="AE324" s="27">
        <v>2</v>
      </c>
      <c r="AF324" s="27">
        <v>7</v>
      </c>
      <c r="AG324" s="27">
        <v>7</v>
      </c>
      <c r="AH324" s="27">
        <v>0</v>
      </c>
      <c r="AI324" s="28">
        <v>7</v>
      </c>
      <c r="AK324" s="36">
        <v>291</v>
      </c>
      <c r="AL324" s="33">
        <v>10</v>
      </c>
      <c r="AM324" s="33">
        <v>5</v>
      </c>
      <c r="AN324" s="33">
        <v>1</v>
      </c>
      <c r="AO324" s="33">
        <v>9</v>
      </c>
      <c r="AP324" s="33">
        <v>1</v>
      </c>
      <c r="AQ324" s="33">
        <v>0</v>
      </c>
      <c r="AR324" s="33">
        <v>3</v>
      </c>
      <c r="AS324" s="33">
        <v>3</v>
      </c>
      <c r="AT324" s="33">
        <v>1</v>
      </c>
      <c r="AU324" s="43">
        <v>0.26097846267566754</v>
      </c>
      <c r="AV324" s="33">
        <v>0</v>
      </c>
      <c r="AW324" s="33">
        <v>0</v>
      </c>
      <c r="AY324" s="36">
        <v>296</v>
      </c>
      <c r="AZ324" s="33">
        <v>4</v>
      </c>
      <c r="BA324" s="33">
        <v>2</v>
      </c>
      <c r="BB324" s="33">
        <v>0</v>
      </c>
      <c r="BC324" s="33">
        <v>1</v>
      </c>
      <c r="BD324" s="43">
        <v>3.3113852747679105E-2</v>
      </c>
      <c r="BE324" s="33">
        <v>0</v>
      </c>
      <c r="BF324" s="33">
        <v>0</v>
      </c>
      <c r="CE324" s="36">
        <v>290</v>
      </c>
      <c r="CF324" s="33">
        <v>8</v>
      </c>
      <c r="CG324" s="33">
        <v>1</v>
      </c>
      <c r="CH324" s="33">
        <v>4</v>
      </c>
      <c r="CI324" s="33">
        <v>1</v>
      </c>
      <c r="CJ324" s="33">
        <v>1</v>
      </c>
      <c r="CK324" s="33">
        <v>0</v>
      </c>
      <c r="CL324" s="33">
        <v>0</v>
      </c>
      <c r="CM324" s="33">
        <v>3</v>
      </c>
      <c r="CN324" s="33">
        <v>5</v>
      </c>
      <c r="CO324" s="33">
        <v>0</v>
      </c>
      <c r="CP324" s="43">
        <v>0.1146978976083082</v>
      </c>
      <c r="CQ324" s="33">
        <v>0</v>
      </c>
      <c r="CR324" s="33">
        <v>0</v>
      </c>
    </row>
    <row r="325" spans="1:96" ht="15" customHeight="1" x14ac:dyDescent="0.25">
      <c r="A325" s="26">
        <v>323</v>
      </c>
      <c r="B325" s="27">
        <v>28</v>
      </c>
      <c r="C325" s="27">
        <v>1</v>
      </c>
      <c r="D325" s="27">
        <v>1</v>
      </c>
      <c r="E325" s="27">
        <v>1157</v>
      </c>
      <c r="F325" s="27">
        <v>2</v>
      </c>
      <c r="G325" s="27">
        <v>2</v>
      </c>
      <c r="H325" s="27">
        <v>4</v>
      </c>
      <c r="I325" s="27">
        <v>3</v>
      </c>
      <c r="J325" s="27">
        <v>1</v>
      </c>
      <c r="K325" s="27">
        <v>440</v>
      </c>
      <c r="L325" s="27">
        <v>1</v>
      </c>
      <c r="M325" s="27">
        <v>1</v>
      </c>
      <c r="N325" s="27">
        <v>84</v>
      </c>
      <c r="O325" s="27">
        <v>1</v>
      </c>
      <c r="P325" s="27">
        <v>1</v>
      </c>
      <c r="Q325" s="27">
        <v>2</v>
      </c>
      <c r="R325" s="27">
        <v>4</v>
      </c>
      <c r="S325" s="27">
        <v>2</v>
      </c>
      <c r="T325" s="27">
        <v>3464</v>
      </c>
      <c r="U325" s="27">
        <v>24737</v>
      </c>
      <c r="V325" s="27">
        <v>5</v>
      </c>
      <c r="W325" s="27">
        <v>1</v>
      </c>
      <c r="X325" s="27">
        <v>13</v>
      </c>
      <c r="Y325" s="27">
        <v>3</v>
      </c>
      <c r="Z325" s="27">
        <v>4</v>
      </c>
      <c r="AA325" s="27">
        <v>80</v>
      </c>
      <c r="AB325" s="27">
        <v>0</v>
      </c>
      <c r="AC325" s="27">
        <v>5</v>
      </c>
      <c r="AD325" s="27">
        <v>4</v>
      </c>
      <c r="AE325" s="27">
        <v>2</v>
      </c>
      <c r="AF325" s="27">
        <v>3</v>
      </c>
      <c r="AG325" s="27">
        <v>2</v>
      </c>
      <c r="AH325" s="27">
        <v>2</v>
      </c>
      <c r="AI325" s="28">
        <v>2</v>
      </c>
      <c r="AK325" s="36">
        <v>292</v>
      </c>
      <c r="AL325" s="33">
        <v>3</v>
      </c>
      <c r="AM325" s="33">
        <v>2</v>
      </c>
      <c r="AN325" s="33">
        <v>2</v>
      </c>
      <c r="AO325" s="33">
        <v>4</v>
      </c>
      <c r="AP325" s="33">
        <v>0</v>
      </c>
      <c r="AQ325" s="33">
        <v>0</v>
      </c>
      <c r="AR325" s="33">
        <v>3</v>
      </c>
      <c r="AS325" s="33">
        <v>8</v>
      </c>
      <c r="AT325" s="33">
        <v>7</v>
      </c>
      <c r="AU325" s="43">
        <v>0.18403100468963141</v>
      </c>
      <c r="AV325" s="33">
        <v>0</v>
      </c>
      <c r="AW325" s="33">
        <v>0</v>
      </c>
      <c r="AY325" s="36">
        <v>297</v>
      </c>
      <c r="AZ325" s="33">
        <v>1</v>
      </c>
      <c r="BA325" s="33">
        <v>3</v>
      </c>
      <c r="BB325" s="33">
        <v>0</v>
      </c>
      <c r="BC325" s="33">
        <v>0</v>
      </c>
      <c r="BD325" s="43">
        <v>0.18791247240909698</v>
      </c>
      <c r="BE325" s="33">
        <v>0</v>
      </c>
      <c r="BF325" s="33">
        <v>1</v>
      </c>
      <c r="CE325" s="36">
        <v>291</v>
      </c>
      <c r="CF325" s="33">
        <v>10</v>
      </c>
      <c r="CG325" s="33">
        <v>5</v>
      </c>
      <c r="CH325" s="33">
        <v>1</v>
      </c>
      <c r="CI325" s="33">
        <v>1</v>
      </c>
      <c r="CJ325" s="33">
        <v>9</v>
      </c>
      <c r="CK325" s="33">
        <v>1</v>
      </c>
      <c r="CL325" s="33">
        <v>0</v>
      </c>
      <c r="CM325" s="33">
        <v>3</v>
      </c>
      <c r="CN325" s="33">
        <v>3</v>
      </c>
      <c r="CO325" s="33">
        <v>1</v>
      </c>
      <c r="CP325" s="43">
        <v>0.32178715660006363</v>
      </c>
      <c r="CQ325" s="33">
        <v>0</v>
      </c>
      <c r="CR325" s="33">
        <v>0</v>
      </c>
    </row>
    <row r="326" spans="1:96" ht="15" customHeight="1" x14ac:dyDescent="0.25">
      <c r="A326" s="26">
        <v>324</v>
      </c>
      <c r="B326" s="27">
        <v>30</v>
      </c>
      <c r="C326" s="27">
        <v>0</v>
      </c>
      <c r="D326" s="27">
        <v>1</v>
      </c>
      <c r="E326" s="27">
        <v>1275</v>
      </c>
      <c r="F326" s="27">
        <v>2</v>
      </c>
      <c r="G326" s="27">
        <v>28</v>
      </c>
      <c r="H326" s="27">
        <v>2</v>
      </c>
      <c r="I326" s="27">
        <v>3</v>
      </c>
      <c r="J326" s="27">
        <v>1</v>
      </c>
      <c r="K326" s="27">
        <v>441</v>
      </c>
      <c r="L326" s="27">
        <v>4</v>
      </c>
      <c r="M326" s="27">
        <v>0</v>
      </c>
      <c r="N326" s="27">
        <v>64</v>
      </c>
      <c r="O326" s="27">
        <v>3</v>
      </c>
      <c r="P326" s="27">
        <v>2</v>
      </c>
      <c r="Q326" s="27">
        <v>2</v>
      </c>
      <c r="R326" s="27">
        <v>4</v>
      </c>
      <c r="S326" s="27">
        <v>2</v>
      </c>
      <c r="T326" s="27">
        <v>5775</v>
      </c>
      <c r="U326" s="27">
        <v>11934</v>
      </c>
      <c r="V326" s="27">
        <v>1</v>
      </c>
      <c r="W326" s="27">
        <v>0</v>
      </c>
      <c r="X326" s="27">
        <v>13</v>
      </c>
      <c r="Y326" s="27">
        <v>3</v>
      </c>
      <c r="Z326" s="27">
        <v>4</v>
      </c>
      <c r="AA326" s="27">
        <v>80</v>
      </c>
      <c r="AB326" s="27">
        <v>2</v>
      </c>
      <c r="AC326" s="27">
        <v>11</v>
      </c>
      <c r="AD326" s="27">
        <v>2</v>
      </c>
      <c r="AE326" s="27">
        <v>3</v>
      </c>
      <c r="AF326" s="27">
        <v>10</v>
      </c>
      <c r="AG326" s="27">
        <v>8</v>
      </c>
      <c r="AH326" s="27">
        <v>1</v>
      </c>
      <c r="AI326" s="28">
        <v>9</v>
      </c>
      <c r="AK326" s="36">
        <v>293</v>
      </c>
      <c r="AL326" s="33">
        <v>5</v>
      </c>
      <c r="AM326" s="33">
        <v>1</v>
      </c>
      <c r="AN326" s="33">
        <v>2</v>
      </c>
      <c r="AO326" s="33">
        <v>1</v>
      </c>
      <c r="AP326" s="33">
        <v>0</v>
      </c>
      <c r="AQ326" s="33">
        <v>1</v>
      </c>
      <c r="AR326" s="33">
        <v>2</v>
      </c>
      <c r="AS326" s="33">
        <v>2</v>
      </c>
      <c r="AT326" s="33">
        <v>2</v>
      </c>
      <c r="AU326" s="43">
        <v>0.16923204228315145</v>
      </c>
      <c r="AV326" s="33">
        <v>0</v>
      </c>
      <c r="AW326" s="33">
        <v>0</v>
      </c>
      <c r="AY326" s="36">
        <v>298</v>
      </c>
      <c r="AZ326" s="33">
        <v>3</v>
      </c>
      <c r="BA326" s="33">
        <v>2</v>
      </c>
      <c r="BB326" s="33">
        <v>0</v>
      </c>
      <c r="BC326" s="33">
        <v>2</v>
      </c>
      <c r="BD326" s="43">
        <v>3.4113506034874549E-2</v>
      </c>
      <c r="BE326" s="33">
        <v>0</v>
      </c>
      <c r="BF326" s="33">
        <v>0</v>
      </c>
      <c r="CE326" s="36">
        <v>292</v>
      </c>
      <c r="CF326" s="33">
        <v>3</v>
      </c>
      <c r="CG326" s="33">
        <v>2</v>
      </c>
      <c r="CH326" s="33">
        <v>2</v>
      </c>
      <c r="CI326" s="33">
        <v>1</v>
      </c>
      <c r="CJ326" s="33">
        <v>4</v>
      </c>
      <c r="CK326" s="33">
        <v>0</v>
      </c>
      <c r="CL326" s="33">
        <v>0</v>
      </c>
      <c r="CM326" s="33">
        <v>3</v>
      </c>
      <c r="CN326" s="33">
        <v>8</v>
      </c>
      <c r="CO326" s="33">
        <v>7</v>
      </c>
      <c r="CP326" s="43">
        <v>0.21813382824716054</v>
      </c>
      <c r="CQ326" s="33">
        <v>0</v>
      </c>
      <c r="CR326" s="33">
        <v>0</v>
      </c>
    </row>
    <row r="327" spans="1:96" ht="15" customHeight="1" x14ac:dyDescent="0.25">
      <c r="A327" s="26">
        <v>325</v>
      </c>
      <c r="B327" s="27">
        <v>31</v>
      </c>
      <c r="C327" s="27">
        <v>0</v>
      </c>
      <c r="D327" s="27">
        <v>2</v>
      </c>
      <c r="E327" s="27">
        <v>798</v>
      </c>
      <c r="F327" s="27">
        <v>2</v>
      </c>
      <c r="G327" s="27">
        <v>7</v>
      </c>
      <c r="H327" s="27">
        <v>2</v>
      </c>
      <c r="I327" s="27">
        <v>1</v>
      </c>
      <c r="J327" s="27">
        <v>1</v>
      </c>
      <c r="K327" s="27">
        <v>442</v>
      </c>
      <c r="L327" s="27">
        <v>3</v>
      </c>
      <c r="M327" s="27">
        <v>0</v>
      </c>
      <c r="N327" s="27">
        <v>48</v>
      </c>
      <c r="O327" s="27">
        <v>2</v>
      </c>
      <c r="P327" s="27">
        <v>3</v>
      </c>
      <c r="Q327" s="27">
        <v>4</v>
      </c>
      <c r="R327" s="27">
        <v>3</v>
      </c>
      <c r="S327" s="27">
        <v>2</v>
      </c>
      <c r="T327" s="27">
        <v>8943</v>
      </c>
      <c r="U327" s="27">
        <v>14034</v>
      </c>
      <c r="V327" s="27">
        <v>1</v>
      </c>
      <c r="W327" s="27">
        <v>0</v>
      </c>
      <c r="X327" s="27">
        <v>24</v>
      </c>
      <c r="Y327" s="27">
        <v>4</v>
      </c>
      <c r="Z327" s="27">
        <v>1</v>
      </c>
      <c r="AA327" s="27">
        <v>80</v>
      </c>
      <c r="AB327" s="27">
        <v>1</v>
      </c>
      <c r="AC327" s="27">
        <v>10</v>
      </c>
      <c r="AD327" s="27">
        <v>2</v>
      </c>
      <c r="AE327" s="27">
        <v>3</v>
      </c>
      <c r="AF327" s="27">
        <v>10</v>
      </c>
      <c r="AG327" s="27">
        <v>9</v>
      </c>
      <c r="AH327" s="27">
        <v>8</v>
      </c>
      <c r="AI327" s="28">
        <v>9</v>
      </c>
      <c r="AK327" s="36">
        <v>294</v>
      </c>
      <c r="AL327" s="33">
        <v>4</v>
      </c>
      <c r="AM327" s="33">
        <v>2</v>
      </c>
      <c r="AN327" s="33">
        <v>4</v>
      </c>
      <c r="AO327" s="33">
        <v>1</v>
      </c>
      <c r="AP327" s="33">
        <v>1</v>
      </c>
      <c r="AQ327" s="33">
        <v>0</v>
      </c>
      <c r="AR327" s="33">
        <v>3</v>
      </c>
      <c r="AS327" s="33">
        <v>8</v>
      </c>
      <c r="AT327" s="33">
        <v>7</v>
      </c>
      <c r="AU327" s="43">
        <v>0.3065360292475845</v>
      </c>
      <c r="AV327" s="33">
        <v>0</v>
      </c>
      <c r="AW327" s="33">
        <v>1</v>
      </c>
      <c r="AY327" s="36">
        <v>299</v>
      </c>
      <c r="AZ327" s="33">
        <v>1</v>
      </c>
      <c r="BA327" s="33">
        <v>4</v>
      </c>
      <c r="BB327" s="33">
        <v>0</v>
      </c>
      <c r="BC327" s="33">
        <v>2</v>
      </c>
      <c r="BD327" s="43">
        <v>5.6717470552978752E-2</v>
      </c>
      <c r="BE327" s="33">
        <v>0</v>
      </c>
      <c r="BF327" s="33">
        <v>0</v>
      </c>
      <c r="CE327" s="36">
        <v>293</v>
      </c>
      <c r="CF327" s="33">
        <v>5</v>
      </c>
      <c r="CG327" s="33">
        <v>1</v>
      </c>
      <c r="CH327" s="33">
        <v>2</v>
      </c>
      <c r="CI327" s="33">
        <v>3</v>
      </c>
      <c r="CJ327" s="33">
        <v>1</v>
      </c>
      <c r="CK327" s="33">
        <v>0</v>
      </c>
      <c r="CL327" s="33">
        <v>1</v>
      </c>
      <c r="CM327" s="33">
        <v>2</v>
      </c>
      <c r="CN327" s="33">
        <v>2</v>
      </c>
      <c r="CO327" s="33">
        <v>2</v>
      </c>
      <c r="CP327" s="43">
        <v>0.10386300002363465</v>
      </c>
      <c r="CQ327" s="33">
        <v>0</v>
      </c>
      <c r="CR327" s="33">
        <v>0</v>
      </c>
    </row>
    <row r="328" spans="1:96" ht="15" customHeight="1" x14ac:dyDescent="0.25">
      <c r="A328" s="26">
        <v>326</v>
      </c>
      <c r="B328" s="27">
        <v>39</v>
      </c>
      <c r="C328" s="27">
        <v>0</v>
      </c>
      <c r="D328" s="27">
        <v>2</v>
      </c>
      <c r="E328" s="27">
        <v>672</v>
      </c>
      <c r="F328" s="27">
        <v>2</v>
      </c>
      <c r="G328" s="27">
        <v>7</v>
      </c>
      <c r="H328" s="27">
        <v>2</v>
      </c>
      <c r="I328" s="27">
        <v>3</v>
      </c>
      <c r="J328" s="27">
        <v>1</v>
      </c>
      <c r="K328" s="27">
        <v>444</v>
      </c>
      <c r="L328" s="27">
        <v>3</v>
      </c>
      <c r="M328" s="27">
        <v>1</v>
      </c>
      <c r="N328" s="27">
        <v>54</v>
      </c>
      <c r="O328" s="27">
        <v>2</v>
      </c>
      <c r="P328" s="27">
        <v>5</v>
      </c>
      <c r="Q328" s="27">
        <v>6</v>
      </c>
      <c r="R328" s="27">
        <v>4</v>
      </c>
      <c r="S328" s="27">
        <v>2</v>
      </c>
      <c r="T328" s="27">
        <v>19272</v>
      </c>
      <c r="U328" s="27">
        <v>21141</v>
      </c>
      <c r="V328" s="27">
        <v>1</v>
      </c>
      <c r="W328" s="27">
        <v>0</v>
      </c>
      <c r="X328" s="27">
        <v>15</v>
      </c>
      <c r="Y328" s="27">
        <v>3</v>
      </c>
      <c r="Z328" s="27">
        <v>1</v>
      </c>
      <c r="AA328" s="27">
        <v>80</v>
      </c>
      <c r="AB328" s="27">
        <v>1</v>
      </c>
      <c r="AC328" s="27">
        <v>21</v>
      </c>
      <c r="AD328" s="27">
        <v>2</v>
      </c>
      <c r="AE328" s="27">
        <v>3</v>
      </c>
      <c r="AF328" s="27">
        <v>21</v>
      </c>
      <c r="AG328" s="27">
        <v>9</v>
      </c>
      <c r="AH328" s="27">
        <v>13</v>
      </c>
      <c r="AI328" s="28">
        <v>3</v>
      </c>
      <c r="AK328" s="36">
        <v>295</v>
      </c>
      <c r="AL328" s="33">
        <v>9</v>
      </c>
      <c r="AM328" s="33">
        <v>1</v>
      </c>
      <c r="AN328" s="33">
        <v>4</v>
      </c>
      <c r="AO328" s="33">
        <v>1</v>
      </c>
      <c r="AP328" s="33">
        <v>1</v>
      </c>
      <c r="AQ328" s="33">
        <v>3</v>
      </c>
      <c r="AR328" s="33">
        <v>2</v>
      </c>
      <c r="AS328" s="33">
        <v>4</v>
      </c>
      <c r="AT328" s="33">
        <v>1</v>
      </c>
      <c r="AU328" s="43">
        <v>0.12378025179397865</v>
      </c>
      <c r="AV328" s="33">
        <v>0</v>
      </c>
      <c r="AW328" s="33">
        <v>0</v>
      </c>
      <c r="AY328" s="36">
        <v>300</v>
      </c>
      <c r="AZ328" s="33">
        <v>2</v>
      </c>
      <c r="BA328" s="33">
        <v>2</v>
      </c>
      <c r="BB328" s="33">
        <v>0</v>
      </c>
      <c r="BC328" s="33">
        <v>1</v>
      </c>
      <c r="BD328" s="43">
        <v>9.4721355311452843E-2</v>
      </c>
      <c r="BE328" s="33">
        <v>0</v>
      </c>
      <c r="BF328" s="33">
        <v>0</v>
      </c>
      <c r="CE328" s="36">
        <v>294</v>
      </c>
      <c r="CF328" s="33">
        <v>4</v>
      </c>
      <c r="CG328" s="33">
        <v>2</v>
      </c>
      <c r="CH328" s="33">
        <v>4</v>
      </c>
      <c r="CI328" s="33">
        <v>1</v>
      </c>
      <c r="CJ328" s="33">
        <v>1</v>
      </c>
      <c r="CK328" s="33">
        <v>1</v>
      </c>
      <c r="CL328" s="33">
        <v>0</v>
      </c>
      <c r="CM328" s="33">
        <v>3</v>
      </c>
      <c r="CN328" s="33">
        <v>8</v>
      </c>
      <c r="CO328" s="33">
        <v>7</v>
      </c>
      <c r="CP328" s="43">
        <v>0.35322405897215392</v>
      </c>
      <c r="CQ328" s="33">
        <v>0</v>
      </c>
      <c r="CR328" s="33">
        <v>1</v>
      </c>
    </row>
    <row r="329" spans="1:96" ht="15" customHeight="1" x14ac:dyDescent="0.25">
      <c r="A329" s="26">
        <v>327</v>
      </c>
      <c r="B329" s="27">
        <v>39</v>
      </c>
      <c r="C329" s="27">
        <v>1</v>
      </c>
      <c r="D329" s="27">
        <v>1</v>
      </c>
      <c r="E329" s="27">
        <v>1162</v>
      </c>
      <c r="F329" s="27">
        <v>1</v>
      </c>
      <c r="G329" s="27">
        <v>3</v>
      </c>
      <c r="H329" s="27">
        <v>2</v>
      </c>
      <c r="I329" s="27">
        <v>3</v>
      </c>
      <c r="J329" s="27">
        <v>1</v>
      </c>
      <c r="K329" s="27">
        <v>445</v>
      </c>
      <c r="L329" s="27">
        <v>4</v>
      </c>
      <c r="M329" s="27">
        <v>0</v>
      </c>
      <c r="N329" s="27">
        <v>41</v>
      </c>
      <c r="O329" s="27">
        <v>3</v>
      </c>
      <c r="P329" s="27">
        <v>2</v>
      </c>
      <c r="Q329" s="27">
        <v>1</v>
      </c>
      <c r="R329" s="27">
        <v>3</v>
      </c>
      <c r="S329" s="27">
        <v>2</v>
      </c>
      <c r="T329" s="27">
        <v>5238</v>
      </c>
      <c r="U329" s="27">
        <v>17778</v>
      </c>
      <c r="V329" s="27">
        <v>4</v>
      </c>
      <c r="W329" s="27">
        <v>1</v>
      </c>
      <c r="X329" s="27">
        <v>18</v>
      </c>
      <c r="Y329" s="27">
        <v>3</v>
      </c>
      <c r="Z329" s="27">
        <v>1</v>
      </c>
      <c r="AA329" s="27">
        <v>80</v>
      </c>
      <c r="AB329" s="27">
        <v>0</v>
      </c>
      <c r="AC329" s="27">
        <v>12</v>
      </c>
      <c r="AD329" s="27">
        <v>3</v>
      </c>
      <c r="AE329" s="27">
        <v>2</v>
      </c>
      <c r="AF329" s="27">
        <v>1</v>
      </c>
      <c r="AG329" s="27">
        <v>0</v>
      </c>
      <c r="AH329" s="27">
        <v>0</v>
      </c>
      <c r="AI329" s="28">
        <v>0</v>
      </c>
      <c r="AK329" s="36">
        <v>296</v>
      </c>
      <c r="AL329" s="33">
        <v>26</v>
      </c>
      <c r="AM329" s="33">
        <v>4</v>
      </c>
      <c r="AN329" s="33">
        <v>2</v>
      </c>
      <c r="AO329" s="33">
        <v>5</v>
      </c>
      <c r="AP329" s="33">
        <v>0</v>
      </c>
      <c r="AQ329" s="33">
        <v>1</v>
      </c>
      <c r="AR329" s="33">
        <v>4</v>
      </c>
      <c r="AS329" s="33">
        <v>20</v>
      </c>
      <c r="AT329" s="33">
        <v>4</v>
      </c>
      <c r="AU329" s="43">
        <v>2.3207709110972436E-2</v>
      </c>
      <c r="AV329" s="33">
        <v>0</v>
      </c>
      <c r="AW329" s="33">
        <v>0</v>
      </c>
      <c r="AY329" s="36">
        <v>301</v>
      </c>
      <c r="AZ329" s="33">
        <v>4</v>
      </c>
      <c r="BA329" s="33">
        <v>2</v>
      </c>
      <c r="BB329" s="33">
        <v>0</v>
      </c>
      <c r="BC329" s="33">
        <v>0</v>
      </c>
      <c r="BD329" s="43">
        <v>5.4862919617085948E-2</v>
      </c>
      <c r="BE329" s="33">
        <v>0</v>
      </c>
      <c r="BF329" s="33">
        <v>0</v>
      </c>
      <c r="CE329" s="36">
        <v>295</v>
      </c>
      <c r="CF329" s="33">
        <v>9</v>
      </c>
      <c r="CG329" s="33">
        <v>1</v>
      </c>
      <c r="CH329" s="33">
        <v>4</v>
      </c>
      <c r="CI329" s="33">
        <v>2</v>
      </c>
      <c r="CJ329" s="33">
        <v>1</v>
      </c>
      <c r="CK329" s="33">
        <v>1</v>
      </c>
      <c r="CL329" s="33">
        <v>3</v>
      </c>
      <c r="CM329" s="33">
        <v>2</v>
      </c>
      <c r="CN329" s="33">
        <v>4</v>
      </c>
      <c r="CO329" s="33">
        <v>1</v>
      </c>
      <c r="CP329" s="43">
        <v>0.2174443596053508</v>
      </c>
      <c r="CQ329" s="33">
        <v>0</v>
      </c>
      <c r="CR329" s="33">
        <v>0</v>
      </c>
    </row>
    <row r="330" spans="1:96" ht="15" customHeight="1" x14ac:dyDescent="0.25">
      <c r="A330" s="26">
        <v>328</v>
      </c>
      <c r="B330" s="27">
        <v>33</v>
      </c>
      <c r="C330" s="27">
        <v>0</v>
      </c>
      <c r="D330" s="27">
        <v>2</v>
      </c>
      <c r="E330" s="27">
        <v>508</v>
      </c>
      <c r="F330" s="27">
        <v>1</v>
      </c>
      <c r="G330" s="27">
        <v>10</v>
      </c>
      <c r="H330" s="27">
        <v>3</v>
      </c>
      <c r="I330" s="27">
        <v>4</v>
      </c>
      <c r="J330" s="27">
        <v>1</v>
      </c>
      <c r="K330" s="27">
        <v>446</v>
      </c>
      <c r="L330" s="27">
        <v>2</v>
      </c>
      <c r="M330" s="27">
        <v>1</v>
      </c>
      <c r="N330" s="27">
        <v>46</v>
      </c>
      <c r="O330" s="27">
        <v>2</v>
      </c>
      <c r="P330" s="27">
        <v>2</v>
      </c>
      <c r="Q330" s="27">
        <v>1</v>
      </c>
      <c r="R330" s="27">
        <v>4</v>
      </c>
      <c r="S330" s="27">
        <v>1</v>
      </c>
      <c r="T330" s="27">
        <v>4682</v>
      </c>
      <c r="U330" s="27">
        <v>4317</v>
      </c>
      <c r="V330" s="27">
        <v>3</v>
      </c>
      <c r="W330" s="27">
        <v>0</v>
      </c>
      <c r="X330" s="27">
        <v>14</v>
      </c>
      <c r="Y330" s="27">
        <v>3</v>
      </c>
      <c r="Z330" s="27">
        <v>3</v>
      </c>
      <c r="AA330" s="27">
        <v>80</v>
      </c>
      <c r="AB330" s="27">
        <v>0</v>
      </c>
      <c r="AC330" s="27">
        <v>9</v>
      </c>
      <c r="AD330" s="27">
        <v>6</v>
      </c>
      <c r="AE330" s="27">
        <v>2</v>
      </c>
      <c r="AF330" s="27">
        <v>7</v>
      </c>
      <c r="AG330" s="27">
        <v>7</v>
      </c>
      <c r="AH330" s="27">
        <v>0</v>
      </c>
      <c r="AI330" s="28">
        <v>1</v>
      </c>
      <c r="AK330" s="36">
        <v>297</v>
      </c>
      <c r="AL330" s="33">
        <v>3</v>
      </c>
      <c r="AM330" s="33">
        <v>1</v>
      </c>
      <c r="AN330" s="33">
        <v>3</v>
      </c>
      <c r="AO330" s="33">
        <v>1</v>
      </c>
      <c r="AP330" s="33">
        <v>0</v>
      </c>
      <c r="AQ330" s="33">
        <v>0</v>
      </c>
      <c r="AR330" s="33">
        <v>3</v>
      </c>
      <c r="AS330" s="33">
        <v>0</v>
      </c>
      <c r="AT330" s="33">
        <v>0</v>
      </c>
      <c r="AU330" s="43">
        <v>0.15468998705918638</v>
      </c>
      <c r="AV330" s="33">
        <v>0</v>
      </c>
      <c r="AW330" s="33">
        <v>1</v>
      </c>
      <c r="AY330" s="36">
        <v>302</v>
      </c>
      <c r="AZ330" s="33">
        <v>1</v>
      </c>
      <c r="BA330" s="33">
        <v>3</v>
      </c>
      <c r="BB330" s="33">
        <v>0</v>
      </c>
      <c r="BC330" s="33">
        <v>0</v>
      </c>
      <c r="BD330" s="43">
        <v>0.18791247240909698</v>
      </c>
      <c r="BE330" s="33">
        <v>0</v>
      </c>
      <c r="BF330" s="33">
        <v>0</v>
      </c>
      <c r="CE330" s="36">
        <v>296</v>
      </c>
      <c r="CF330" s="33">
        <v>26</v>
      </c>
      <c r="CG330" s="33">
        <v>4</v>
      </c>
      <c r="CH330" s="33">
        <v>2</v>
      </c>
      <c r="CI330" s="33">
        <v>2</v>
      </c>
      <c r="CJ330" s="33">
        <v>5</v>
      </c>
      <c r="CK330" s="33">
        <v>0</v>
      </c>
      <c r="CL330" s="33">
        <v>1</v>
      </c>
      <c r="CM330" s="33">
        <v>4</v>
      </c>
      <c r="CN330" s="33">
        <v>20</v>
      </c>
      <c r="CO330" s="33">
        <v>4</v>
      </c>
      <c r="CP330" s="43">
        <v>2.2935246263311573E-2</v>
      </c>
      <c r="CQ330" s="33">
        <v>0</v>
      </c>
      <c r="CR330" s="33">
        <v>0</v>
      </c>
    </row>
    <row r="331" spans="1:96" ht="15" customHeight="1" x14ac:dyDescent="0.25">
      <c r="A331" s="26">
        <v>329</v>
      </c>
      <c r="B331" s="27">
        <v>47</v>
      </c>
      <c r="C331" s="27">
        <v>0</v>
      </c>
      <c r="D331" s="27">
        <v>1</v>
      </c>
      <c r="E331" s="27">
        <v>1482</v>
      </c>
      <c r="F331" s="27">
        <v>2</v>
      </c>
      <c r="G331" s="27">
        <v>5</v>
      </c>
      <c r="H331" s="27">
        <v>5</v>
      </c>
      <c r="I331" s="27">
        <v>1</v>
      </c>
      <c r="J331" s="27">
        <v>1</v>
      </c>
      <c r="K331" s="27">
        <v>447</v>
      </c>
      <c r="L331" s="27">
        <v>4</v>
      </c>
      <c r="M331" s="27">
        <v>1</v>
      </c>
      <c r="N331" s="27">
        <v>42</v>
      </c>
      <c r="O331" s="27">
        <v>3</v>
      </c>
      <c r="P331" s="27">
        <v>5</v>
      </c>
      <c r="Q331" s="27">
        <v>8</v>
      </c>
      <c r="R331" s="27">
        <v>3</v>
      </c>
      <c r="S331" s="27">
        <v>2</v>
      </c>
      <c r="T331" s="27">
        <v>18300</v>
      </c>
      <c r="U331" s="27">
        <v>16375</v>
      </c>
      <c r="V331" s="27">
        <v>4</v>
      </c>
      <c r="W331" s="27">
        <v>0</v>
      </c>
      <c r="X331" s="27">
        <v>11</v>
      </c>
      <c r="Y331" s="27">
        <v>3</v>
      </c>
      <c r="Z331" s="27">
        <v>2</v>
      </c>
      <c r="AA331" s="27">
        <v>80</v>
      </c>
      <c r="AB331" s="27">
        <v>1</v>
      </c>
      <c r="AC331" s="27">
        <v>21</v>
      </c>
      <c r="AD331" s="27">
        <v>2</v>
      </c>
      <c r="AE331" s="27">
        <v>3</v>
      </c>
      <c r="AF331" s="27">
        <v>3</v>
      </c>
      <c r="AG331" s="27">
        <v>2</v>
      </c>
      <c r="AH331" s="27">
        <v>1</v>
      </c>
      <c r="AI331" s="28">
        <v>1</v>
      </c>
      <c r="AK331" s="36">
        <v>298</v>
      </c>
      <c r="AL331" s="33">
        <v>16</v>
      </c>
      <c r="AM331" s="33">
        <v>3</v>
      </c>
      <c r="AN331" s="33">
        <v>2</v>
      </c>
      <c r="AO331" s="33">
        <v>0</v>
      </c>
      <c r="AP331" s="33">
        <v>0</v>
      </c>
      <c r="AQ331" s="33">
        <v>2</v>
      </c>
      <c r="AR331" s="33">
        <v>2</v>
      </c>
      <c r="AS331" s="33">
        <v>11</v>
      </c>
      <c r="AT331" s="33">
        <v>6</v>
      </c>
      <c r="AU331" s="43">
        <v>4.0275412730725824E-2</v>
      </c>
      <c r="AV331" s="33">
        <v>0</v>
      </c>
      <c r="AW331" s="33">
        <v>0</v>
      </c>
      <c r="AY331" s="36">
        <v>303</v>
      </c>
      <c r="AZ331" s="33">
        <v>2</v>
      </c>
      <c r="BA331" s="33">
        <v>1</v>
      </c>
      <c r="BB331" s="33">
        <v>0</v>
      </c>
      <c r="BC331" s="33">
        <v>0</v>
      </c>
      <c r="BD331" s="43">
        <v>0.19196561144667343</v>
      </c>
      <c r="BE331" s="33">
        <v>0</v>
      </c>
      <c r="BF331" s="33">
        <v>0</v>
      </c>
      <c r="CE331" s="36">
        <v>297</v>
      </c>
      <c r="CF331" s="33">
        <v>3</v>
      </c>
      <c r="CG331" s="33">
        <v>1</v>
      </c>
      <c r="CH331" s="33">
        <v>3</v>
      </c>
      <c r="CI331" s="33">
        <v>1</v>
      </c>
      <c r="CJ331" s="33">
        <v>1</v>
      </c>
      <c r="CK331" s="33">
        <v>0</v>
      </c>
      <c r="CL331" s="33">
        <v>0</v>
      </c>
      <c r="CM331" s="33">
        <v>3</v>
      </c>
      <c r="CN331" s="33">
        <v>0</v>
      </c>
      <c r="CO331" s="33">
        <v>0</v>
      </c>
      <c r="CP331" s="43">
        <v>0.17700753850067999</v>
      </c>
      <c r="CQ331" s="33">
        <v>0</v>
      </c>
      <c r="CR331" s="33">
        <v>1</v>
      </c>
    </row>
    <row r="332" spans="1:96" ht="15" customHeight="1" x14ac:dyDescent="0.25">
      <c r="A332" s="26">
        <v>330</v>
      </c>
      <c r="B332" s="27">
        <v>43</v>
      </c>
      <c r="C332" s="27">
        <v>0</v>
      </c>
      <c r="D332" s="27">
        <v>2</v>
      </c>
      <c r="E332" s="27">
        <v>559</v>
      </c>
      <c r="F332" s="27">
        <v>2</v>
      </c>
      <c r="G332" s="27">
        <v>10</v>
      </c>
      <c r="H332" s="27">
        <v>4</v>
      </c>
      <c r="I332" s="27">
        <v>1</v>
      </c>
      <c r="J332" s="27">
        <v>1</v>
      </c>
      <c r="K332" s="27">
        <v>448</v>
      </c>
      <c r="L332" s="27">
        <v>3</v>
      </c>
      <c r="M332" s="27">
        <v>0</v>
      </c>
      <c r="N332" s="27">
        <v>82</v>
      </c>
      <c r="O332" s="27">
        <v>2</v>
      </c>
      <c r="P332" s="27">
        <v>2</v>
      </c>
      <c r="Q332" s="27">
        <v>3</v>
      </c>
      <c r="R332" s="27">
        <v>3</v>
      </c>
      <c r="S332" s="27">
        <v>3</v>
      </c>
      <c r="T332" s="27">
        <v>5257</v>
      </c>
      <c r="U332" s="27">
        <v>6227</v>
      </c>
      <c r="V332" s="27">
        <v>1</v>
      </c>
      <c r="W332" s="27">
        <v>0</v>
      </c>
      <c r="X332" s="27">
        <v>11</v>
      </c>
      <c r="Y332" s="27">
        <v>3</v>
      </c>
      <c r="Z332" s="27">
        <v>2</v>
      </c>
      <c r="AA332" s="27">
        <v>80</v>
      </c>
      <c r="AB332" s="27">
        <v>1</v>
      </c>
      <c r="AC332" s="27">
        <v>9</v>
      </c>
      <c r="AD332" s="27">
        <v>3</v>
      </c>
      <c r="AE332" s="27">
        <v>4</v>
      </c>
      <c r="AF332" s="27">
        <v>9</v>
      </c>
      <c r="AG332" s="27">
        <v>7</v>
      </c>
      <c r="AH332" s="27">
        <v>0</v>
      </c>
      <c r="AI332" s="28">
        <v>0</v>
      </c>
      <c r="AK332" s="36">
        <v>299</v>
      </c>
      <c r="AL332" s="33">
        <v>18</v>
      </c>
      <c r="AM332" s="33">
        <v>1</v>
      </c>
      <c r="AN332" s="33">
        <v>4</v>
      </c>
      <c r="AO332" s="33">
        <v>4</v>
      </c>
      <c r="AP332" s="33">
        <v>0</v>
      </c>
      <c r="AQ332" s="33">
        <v>2</v>
      </c>
      <c r="AR332" s="33">
        <v>3</v>
      </c>
      <c r="AS332" s="33">
        <v>1</v>
      </c>
      <c r="AT332" s="33">
        <v>0</v>
      </c>
      <c r="AU332" s="43">
        <v>8.0161516694817039E-2</v>
      </c>
      <c r="AV332" s="33">
        <v>0</v>
      </c>
      <c r="AW332" s="33">
        <v>0</v>
      </c>
      <c r="AY332" s="36">
        <v>304</v>
      </c>
      <c r="AZ332" s="33">
        <v>2</v>
      </c>
      <c r="BA332" s="33">
        <v>4</v>
      </c>
      <c r="BB332" s="33">
        <v>0</v>
      </c>
      <c r="BC332" s="33">
        <v>1</v>
      </c>
      <c r="BD332" s="43">
        <v>5.5093218126976727E-2</v>
      </c>
      <c r="BE332" s="33">
        <v>0</v>
      </c>
      <c r="BF332" s="33">
        <v>0</v>
      </c>
      <c r="CE332" s="36">
        <v>298</v>
      </c>
      <c r="CF332" s="33">
        <v>16</v>
      </c>
      <c r="CG332" s="33">
        <v>3</v>
      </c>
      <c r="CH332" s="33">
        <v>2</v>
      </c>
      <c r="CI332" s="33">
        <v>2</v>
      </c>
      <c r="CJ332" s="33">
        <v>0</v>
      </c>
      <c r="CK332" s="33">
        <v>0</v>
      </c>
      <c r="CL332" s="33">
        <v>2</v>
      </c>
      <c r="CM332" s="33">
        <v>2</v>
      </c>
      <c r="CN332" s="33">
        <v>11</v>
      </c>
      <c r="CO332" s="33">
        <v>6</v>
      </c>
      <c r="CP332" s="43">
        <v>5.6700589437112599E-2</v>
      </c>
      <c r="CQ332" s="33">
        <v>0</v>
      </c>
      <c r="CR332" s="33">
        <v>0</v>
      </c>
    </row>
    <row r="333" spans="1:96" ht="15" customHeight="1" x14ac:dyDescent="0.25">
      <c r="A333" s="26">
        <v>331</v>
      </c>
      <c r="B333" s="27">
        <v>27</v>
      </c>
      <c r="C333" s="27">
        <v>0</v>
      </c>
      <c r="D333" s="27">
        <v>3</v>
      </c>
      <c r="E333" s="27">
        <v>210</v>
      </c>
      <c r="F333" s="27">
        <v>1</v>
      </c>
      <c r="G333" s="27">
        <v>1</v>
      </c>
      <c r="H333" s="27">
        <v>1</v>
      </c>
      <c r="I333" s="27">
        <v>4</v>
      </c>
      <c r="J333" s="27">
        <v>1</v>
      </c>
      <c r="K333" s="27">
        <v>449</v>
      </c>
      <c r="L333" s="27">
        <v>3</v>
      </c>
      <c r="M333" s="27">
        <v>1</v>
      </c>
      <c r="N333" s="27">
        <v>73</v>
      </c>
      <c r="O333" s="27">
        <v>3</v>
      </c>
      <c r="P333" s="27">
        <v>2</v>
      </c>
      <c r="Q333" s="27">
        <v>1</v>
      </c>
      <c r="R333" s="27">
        <v>2</v>
      </c>
      <c r="S333" s="27">
        <v>2</v>
      </c>
      <c r="T333" s="27">
        <v>6349</v>
      </c>
      <c r="U333" s="27">
        <v>22107</v>
      </c>
      <c r="V333" s="27">
        <v>0</v>
      </c>
      <c r="W333" s="27">
        <v>1</v>
      </c>
      <c r="X333" s="27">
        <v>13</v>
      </c>
      <c r="Y333" s="27">
        <v>3</v>
      </c>
      <c r="Z333" s="27">
        <v>4</v>
      </c>
      <c r="AA333" s="27">
        <v>80</v>
      </c>
      <c r="AB333" s="27">
        <v>1</v>
      </c>
      <c r="AC333" s="27">
        <v>6</v>
      </c>
      <c r="AD333" s="27">
        <v>0</v>
      </c>
      <c r="AE333" s="27">
        <v>3</v>
      </c>
      <c r="AF333" s="27">
        <v>5</v>
      </c>
      <c r="AG333" s="27">
        <v>4</v>
      </c>
      <c r="AH333" s="27">
        <v>1</v>
      </c>
      <c r="AI333" s="28">
        <v>4</v>
      </c>
      <c r="AK333" s="36">
        <v>300</v>
      </c>
      <c r="AL333" s="33">
        <v>2</v>
      </c>
      <c r="AM333" s="33">
        <v>2</v>
      </c>
      <c r="AN333" s="33">
        <v>2</v>
      </c>
      <c r="AO333" s="33">
        <v>5</v>
      </c>
      <c r="AP333" s="33">
        <v>0</v>
      </c>
      <c r="AQ333" s="33">
        <v>1</v>
      </c>
      <c r="AR333" s="33">
        <v>3</v>
      </c>
      <c r="AS333" s="33">
        <v>4</v>
      </c>
      <c r="AT333" s="33">
        <v>1</v>
      </c>
      <c r="AU333" s="43">
        <v>8.3346707793850394E-2</v>
      </c>
      <c r="AV333" s="33">
        <v>0</v>
      </c>
      <c r="AW333" s="33">
        <v>0</v>
      </c>
      <c r="AY333" s="36">
        <v>305</v>
      </c>
      <c r="AZ333" s="33">
        <v>3</v>
      </c>
      <c r="BA333" s="33">
        <v>4</v>
      </c>
      <c r="BB333" s="33">
        <v>0</v>
      </c>
      <c r="BC333" s="33">
        <v>3</v>
      </c>
      <c r="BD333" s="43">
        <v>1.1478370756096732E-2</v>
      </c>
      <c r="BE333" s="33">
        <v>0</v>
      </c>
      <c r="BF333" s="33">
        <v>0</v>
      </c>
      <c r="CE333" s="36">
        <v>299</v>
      </c>
      <c r="CF333" s="33">
        <v>18</v>
      </c>
      <c r="CG333" s="33">
        <v>1</v>
      </c>
      <c r="CH333" s="33">
        <v>4</v>
      </c>
      <c r="CI333" s="33">
        <v>2</v>
      </c>
      <c r="CJ333" s="33">
        <v>4</v>
      </c>
      <c r="CK333" s="33">
        <v>0</v>
      </c>
      <c r="CL333" s="33">
        <v>2</v>
      </c>
      <c r="CM333" s="33">
        <v>3</v>
      </c>
      <c r="CN333" s="33">
        <v>1</v>
      </c>
      <c r="CO333" s="33">
        <v>0</v>
      </c>
      <c r="CP333" s="43">
        <v>0.10303949356506731</v>
      </c>
      <c r="CQ333" s="33">
        <v>0</v>
      </c>
      <c r="CR333" s="33">
        <v>0</v>
      </c>
    </row>
    <row r="334" spans="1:96" ht="15" customHeight="1" x14ac:dyDescent="0.25">
      <c r="A334" s="26">
        <v>332</v>
      </c>
      <c r="B334" s="27">
        <v>54</v>
      </c>
      <c r="C334" s="27">
        <v>0</v>
      </c>
      <c r="D334" s="27">
        <v>2</v>
      </c>
      <c r="E334" s="27">
        <v>928</v>
      </c>
      <c r="F334" s="27">
        <v>2</v>
      </c>
      <c r="G334" s="27">
        <v>20</v>
      </c>
      <c r="H334" s="27">
        <v>4</v>
      </c>
      <c r="I334" s="27">
        <v>1</v>
      </c>
      <c r="J334" s="27">
        <v>1</v>
      </c>
      <c r="K334" s="27">
        <v>450</v>
      </c>
      <c r="L334" s="27">
        <v>4</v>
      </c>
      <c r="M334" s="27">
        <v>0</v>
      </c>
      <c r="N334" s="27">
        <v>31</v>
      </c>
      <c r="O334" s="27">
        <v>3</v>
      </c>
      <c r="P334" s="27">
        <v>2</v>
      </c>
      <c r="Q334" s="27">
        <v>2</v>
      </c>
      <c r="R334" s="27">
        <v>3</v>
      </c>
      <c r="S334" s="27">
        <v>1</v>
      </c>
      <c r="T334" s="27">
        <v>4869</v>
      </c>
      <c r="U334" s="27">
        <v>16885</v>
      </c>
      <c r="V334" s="27">
        <v>3</v>
      </c>
      <c r="W334" s="27">
        <v>0</v>
      </c>
      <c r="X334" s="27">
        <v>12</v>
      </c>
      <c r="Y334" s="27">
        <v>3</v>
      </c>
      <c r="Z334" s="27">
        <v>4</v>
      </c>
      <c r="AA334" s="27">
        <v>80</v>
      </c>
      <c r="AB334" s="27">
        <v>0</v>
      </c>
      <c r="AC334" s="27">
        <v>20</v>
      </c>
      <c r="AD334" s="27">
        <v>4</v>
      </c>
      <c r="AE334" s="27">
        <v>2</v>
      </c>
      <c r="AF334" s="27">
        <v>4</v>
      </c>
      <c r="AG334" s="27">
        <v>3</v>
      </c>
      <c r="AH334" s="27">
        <v>0</v>
      </c>
      <c r="AI334" s="28">
        <v>3</v>
      </c>
      <c r="AK334" s="36">
        <v>301</v>
      </c>
      <c r="AL334" s="33">
        <v>2</v>
      </c>
      <c r="AM334" s="33">
        <v>4</v>
      </c>
      <c r="AN334" s="33">
        <v>2</v>
      </c>
      <c r="AO334" s="33">
        <v>1</v>
      </c>
      <c r="AP334" s="33">
        <v>0</v>
      </c>
      <c r="AQ334" s="33">
        <v>0</v>
      </c>
      <c r="AR334" s="33">
        <v>3</v>
      </c>
      <c r="AS334" s="33">
        <v>22</v>
      </c>
      <c r="AT334" s="33">
        <v>0</v>
      </c>
      <c r="AU334" s="43">
        <v>9.1850095323102836E-3</v>
      </c>
      <c r="AV334" s="33">
        <v>0</v>
      </c>
      <c r="AW334" s="33">
        <v>0</v>
      </c>
      <c r="AY334" s="36">
        <v>306</v>
      </c>
      <c r="AZ334" s="33">
        <v>2</v>
      </c>
      <c r="BA334" s="33">
        <v>2</v>
      </c>
      <c r="BB334" s="33">
        <v>0</v>
      </c>
      <c r="BC334" s="33">
        <v>1</v>
      </c>
      <c r="BD334" s="43">
        <v>9.4721355311452843E-2</v>
      </c>
      <c r="BE334" s="33">
        <v>0</v>
      </c>
      <c r="BF334" s="33">
        <v>0</v>
      </c>
      <c r="CE334" s="36">
        <v>300</v>
      </c>
      <c r="CF334" s="33">
        <v>2</v>
      </c>
      <c r="CG334" s="33">
        <v>2</v>
      </c>
      <c r="CH334" s="33">
        <v>2</v>
      </c>
      <c r="CI334" s="33">
        <v>3</v>
      </c>
      <c r="CJ334" s="33">
        <v>5</v>
      </c>
      <c r="CK334" s="33">
        <v>0</v>
      </c>
      <c r="CL334" s="33">
        <v>1</v>
      </c>
      <c r="CM334" s="33">
        <v>3</v>
      </c>
      <c r="CN334" s="33">
        <v>4</v>
      </c>
      <c r="CO334" s="33">
        <v>1</v>
      </c>
      <c r="CP334" s="43">
        <v>4.9097655632844496E-2</v>
      </c>
      <c r="CQ334" s="33">
        <v>0</v>
      </c>
      <c r="CR334" s="33">
        <v>0</v>
      </c>
    </row>
    <row r="335" spans="1:96" ht="15" customHeight="1" x14ac:dyDescent="0.25">
      <c r="A335" s="26">
        <v>333</v>
      </c>
      <c r="B335" s="27">
        <v>43</v>
      </c>
      <c r="C335" s="27">
        <v>0</v>
      </c>
      <c r="D335" s="27">
        <v>1</v>
      </c>
      <c r="E335" s="27">
        <v>1001</v>
      </c>
      <c r="F335" s="27">
        <v>2</v>
      </c>
      <c r="G335" s="27">
        <v>7</v>
      </c>
      <c r="H335" s="27">
        <v>3</v>
      </c>
      <c r="I335" s="27">
        <v>1</v>
      </c>
      <c r="J335" s="27">
        <v>1</v>
      </c>
      <c r="K335" s="27">
        <v>451</v>
      </c>
      <c r="L335" s="27">
        <v>3</v>
      </c>
      <c r="M335" s="27">
        <v>0</v>
      </c>
      <c r="N335" s="27">
        <v>43</v>
      </c>
      <c r="O335" s="27">
        <v>3</v>
      </c>
      <c r="P335" s="27">
        <v>3</v>
      </c>
      <c r="Q335" s="27">
        <v>5</v>
      </c>
      <c r="R335" s="27">
        <v>1</v>
      </c>
      <c r="S335" s="27">
        <v>2</v>
      </c>
      <c r="T335" s="27">
        <v>9985</v>
      </c>
      <c r="U335" s="27">
        <v>9262</v>
      </c>
      <c r="V335" s="27">
        <v>8</v>
      </c>
      <c r="W335" s="27">
        <v>0</v>
      </c>
      <c r="X335" s="27">
        <v>16</v>
      </c>
      <c r="Y335" s="27">
        <v>3</v>
      </c>
      <c r="Z335" s="27">
        <v>1</v>
      </c>
      <c r="AA335" s="27">
        <v>80</v>
      </c>
      <c r="AB335" s="27">
        <v>1</v>
      </c>
      <c r="AC335" s="27">
        <v>10</v>
      </c>
      <c r="AD335" s="27">
        <v>1</v>
      </c>
      <c r="AE335" s="27">
        <v>2</v>
      </c>
      <c r="AF335" s="27">
        <v>1</v>
      </c>
      <c r="AG335" s="27">
        <v>0</v>
      </c>
      <c r="AH335" s="27">
        <v>0</v>
      </c>
      <c r="AI335" s="28">
        <v>0</v>
      </c>
      <c r="AK335" s="36">
        <v>302</v>
      </c>
      <c r="AL335" s="33">
        <v>10</v>
      </c>
      <c r="AM335" s="33">
        <v>1</v>
      </c>
      <c r="AN335" s="33">
        <v>3</v>
      </c>
      <c r="AO335" s="33">
        <v>1</v>
      </c>
      <c r="AP335" s="33">
        <v>0</v>
      </c>
      <c r="AQ335" s="33">
        <v>0</v>
      </c>
      <c r="AR335" s="33">
        <v>3</v>
      </c>
      <c r="AS335" s="33">
        <v>0</v>
      </c>
      <c r="AT335" s="33">
        <v>0</v>
      </c>
      <c r="AU335" s="43">
        <v>0.18803533756140361</v>
      </c>
      <c r="AV335" s="33">
        <v>0</v>
      </c>
      <c r="AW335" s="33">
        <v>0</v>
      </c>
      <c r="AY335" s="36">
        <v>307</v>
      </c>
      <c r="AZ335" s="33">
        <v>2</v>
      </c>
      <c r="BA335" s="33">
        <v>3</v>
      </c>
      <c r="BB335" s="33">
        <v>0</v>
      </c>
      <c r="BC335" s="33">
        <v>1</v>
      </c>
      <c r="BD335" s="43">
        <v>7.244788656931947E-2</v>
      </c>
      <c r="BE335" s="33">
        <v>0</v>
      </c>
      <c r="BF335" s="33">
        <v>0</v>
      </c>
      <c r="CE335" s="36">
        <v>301</v>
      </c>
      <c r="CF335" s="33">
        <v>2</v>
      </c>
      <c r="CG335" s="33">
        <v>4</v>
      </c>
      <c r="CH335" s="33">
        <v>2</v>
      </c>
      <c r="CI335" s="33">
        <v>1</v>
      </c>
      <c r="CJ335" s="33">
        <v>1</v>
      </c>
      <c r="CK335" s="33">
        <v>0</v>
      </c>
      <c r="CL335" s="33">
        <v>0</v>
      </c>
      <c r="CM335" s="33">
        <v>3</v>
      </c>
      <c r="CN335" s="33">
        <v>22</v>
      </c>
      <c r="CO335" s="33">
        <v>0</v>
      </c>
      <c r="CP335" s="43">
        <v>1.1226599625339636E-2</v>
      </c>
      <c r="CQ335" s="33">
        <v>0</v>
      </c>
      <c r="CR335" s="33">
        <v>0</v>
      </c>
    </row>
    <row r="336" spans="1:96" ht="15" customHeight="1" x14ac:dyDescent="0.25">
      <c r="A336" s="26">
        <v>334</v>
      </c>
      <c r="B336" s="27">
        <v>45</v>
      </c>
      <c r="C336" s="27">
        <v>0</v>
      </c>
      <c r="D336" s="27">
        <v>1</v>
      </c>
      <c r="E336" s="27">
        <v>549</v>
      </c>
      <c r="F336" s="27">
        <v>2</v>
      </c>
      <c r="G336" s="27">
        <v>8</v>
      </c>
      <c r="H336" s="27">
        <v>4</v>
      </c>
      <c r="I336" s="27">
        <v>6</v>
      </c>
      <c r="J336" s="27">
        <v>1</v>
      </c>
      <c r="K336" s="27">
        <v>452</v>
      </c>
      <c r="L336" s="27">
        <v>4</v>
      </c>
      <c r="M336" s="27">
        <v>1</v>
      </c>
      <c r="N336" s="27">
        <v>75</v>
      </c>
      <c r="O336" s="27">
        <v>3</v>
      </c>
      <c r="P336" s="27">
        <v>2</v>
      </c>
      <c r="Q336" s="27">
        <v>2</v>
      </c>
      <c r="R336" s="27">
        <v>4</v>
      </c>
      <c r="S336" s="27">
        <v>2</v>
      </c>
      <c r="T336" s="27">
        <v>3697</v>
      </c>
      <c r="U336" s="27">
        <v>9278</v>
      </c>
      <c r="V336" s="27">
        <v>9</v>
      </c>
      <c r="W336" s="27">
        <v>0</v>
      </c>
      <c r="X336" s="27">
        <v>14</v>
      </c>
      <c r="Y336" s="27">
        <v>3</v>
      </c>
      <c r="Z336" s="27">
        <v>1</v>
      </c>
      <c r="AA336" s="27">
        <v>80</v>
      </c>
      <c r="AB336" s="27">
        <v>2</v>
      </c>
      <c r="AC336" s="27">
        <v>12</v>
      </c>
      <c r="AD336" s="27">
        <v>3</v>
      </c>
      <c r="AE336" s="27">
        <v>3</v>
      </c>
      <c r="AF336" s="27">
        <v>10</v>
      </c>
      <c r="AG336" s="27">
        <v>9</v>
      </c>
      <c r="AH336" s="27">
        <v>9</v>
      </c>
      <c r="AI336" s="28">
        <v>8</v>
      </c>
      <c r="AK336" s="36">
        <v>303</v>
      </c>
      <c r="AL336" s="33">
        <v>16</v>
      </c>
      <c r="AM336" s="33">
        <v>2</v>
      </c>
      <c r="AN336" s="33">
        <v>1</v>
      </c>
      <c r="AO336" s="33">
        <v>0</v>
      </c>
      <c r="AP336" s="33">
        <v>0</v>
      </c>
      <c r="AQ336" s="33">
        <v>0</v>
      </c>
      <c r="AR336" s="33">
        <v>3</v>
      </c>
      <c r="AS336" s="33">
        <v>8</v>
      </c>
      <c r="AT336" s="33">
        <v>0</v>
      </c>
      <c r="AU336" s="43">
        <v>0.13131641494189075</v>
      </c>
      <c r="AV336" s="33">
        <v>0</v>
      </c>
      <c r="AW336" s="33">
        <v>0</v>
      </c>
      <c r="AY336" s="36">
        <v>308</v>
      </c>
      <c r="AZ336" s="33">
        <v>3</v>
      </c>
      <c r="BA336" s="33">
        <v>2</v>
      </c>
      <c r="BB336" s="33">
        <v>0</v>
      </c>
      <c r="BC336" s="33">
        <v>1</v>
      </c>
      <c r="BD336" s="43">
        <v>5.6480788250011953E-2</v>
      </c>
      <c r="BE336" s="33">
        <v>0</v>
      </c>
      <c r="BF336" s="33">
        <v>0</v>
      </c>
      <c r="CE336" s="36">
        <v>302</v>
      </c>
      <c r="CF336" s="33">
        <v>10</v>
      </c>
      <c r="CG336" s="33">
        <v>1</v>
      </c>
      <c r="CH336" s="33">
        <v>3</v>
      </c>
      <c r="CI336" s="33">
        <v>1</v>
      </c>
      <c r="CJ336" s="33">
        <v>1</v>
      </c>
      <c r="CK336" s="33">
        <v>0</v>
      </c>
      <c r="CL336" s="33">
        <v>0</v>
      </c>
      <c r="CM336" s="33">
        <v>3</v>
      </c>
      <c r="CN336" s="33">
        <v>0</v>
      </c>
      <c r="CO336" s="33">
        <v>0</v>
      </c>
      <c r="CP336" s="43">
        <v>0.2135762027667914</v>
      </c>
      <c r="CQ336" s="33">
        <v>0</v>
      </c>
      <c r="CR336" s="33">
        <v>0</v>
      </c>
    </row>
    <row r="337" spans="1:96" ht="15" customHeight="1" x14ac:dyDescent="0.25">
      <c r="A337" s="26">
        <v>335</v>
      </c>
      <c r="B337" s="27">
        <v>40</v>
      </c>
      <c r="C337" s="27">
        <v>0</v>
      </c>
      <c r="D337" s="27">
        <v>1</v>
      </c>
      <c r="E337" s="27">
        <v>1124</v>
      </c>
      <c r="F337" s="27">
        <v>1</v>
      </c>
      <c r="G337" s="27">
        <v>1</v>
      </c>
      <c r="H337" s="27">
        <v>2</v>
      </c>
      <c r="I337" s="27">
        <v>3</v>
      </c>
      <c r="J337" s="27">
        <v>1</v>
      </c>
      <c r="K337" s="27">
        <v>453</v>
      </c>
      <c r="L337" s="27">
        <v>2</v>
      </c>
      <c r="M337" s="27">
        <v>1</v>
      </c>
      <c r="N337" s="27">
        <v>57</v>
      </c>
      <c r="O337" s="27">
        <v>1</v>
      </c>
      <c r="P337" s="27">
        <v>2</v>
      </c>
      <c r="Q337" s="27">
        <v>1</v>
      </c>
      <c r="R337" s="27">
        <v>4</v>
      </c>
      <c r="S337" s="27">
        <v>2</v>
      </c>
      <c r="T337" s="27">
        <v>7457</v>
      </c>
      <c r="U337" s="27">
        <v>13273</v>
      </c>
      <c r="V337" s="27">
        <v>2</v>
      </c>
      <c r="W337" s="27">
        <v>1</v>
      </c>
      <c r="X337" s="27">
        <v>22</v>
      </c>
      <c r="Y337" s="27">
        <v>4</v>
      </c>
      <c r="Z337" s="27">
        <v>3</v>
      </c>
      <c r="AA337" s="27">
        <v>80</v>
      </c>
      <c r="AB337" s="27">
        <v>3</v>
      </c>
      <c r="AC337" s="27">
        <v>6</v>
      </c>
      <c r="AD337" s="27">
        <v>2</v>
      </c>
      <c r="AE337" s="27">
        <v>2</v>
      </c>
      <c r="AF337" s="27">
        <v>4</v>
      </c>
      <c r="AG337" s="27">
        <v>3</v>
      </c>
      <c r="AH337" s="27">
        <v>0</v>
      </c>
      <c r="AI337" s="28">
        <v>2</v>
      </c>
      <c r="AK337" s="36">
        <v>304</v>
      </c>
      <c r="AL337" s="33">
        <v>7</v>
      </c>
      <c r="AM337" s="33">
        <v>2</v>
      </c>
      <c r="AN337" s="33">
        <v>4</v>
      </c>
      <c r="AO337" s="33">
        <v>4</v>
      </c>
      <c r="AP337" s="33">
        <v>0</v>
      </c>
      <c r="AQ337" s="33">
        <v>1</v>
      </c>
      <c r="AR337" s="33">
        <v>2</v>
      </c>
      <c r="AS337" s="33">
        <v>8</v>
      </c>
      <c r="AT337" s="33">
        <v>7</v>
      </c>
      <c r="AU337" s="43">
        <v>9.3352940403953921E-2</v>
      </c>
      <c r="AV337" s="33">
        <v>0</v>
      </c>
      <c r="AW337" s="33">
        <v>0</v>
      </c>
      <c r="AY337" s="36">
        <v>309</v>
      </c>
      <c r="AZ337" s="33">
        <v>2</v>
      </c>
      <c r="BA337" s="33">
        <v>3</v>
      </c>
      <c r="BB337" s="33">
        <v>1</v>
      </c>
      <c r="BC337" s="33">
        <v>1</v>
      </c>
      <c r="BD337" s="43">
        <v>0.25031066197755131</v>
      </c>
      <c r="BE337" s="33">
        <v>0</v>
      </c>
      <c r="BF337" s="33">
        <v>0</v>
      </c>
      <c r="CE337" s="36">
        <v>303</v>
      </c>
      <c r="CF337" s="33">
        <v>16</v>
      </c>
      <c r="CG337" s="33">
        <v>2</v>
      </c>
      <c r="CH337" s="33">
        <v>1</v>
      </c>
      <c r="CI337" s="33">
        <v>1</v>
      </c>
      <c r="CJ337" s="33">
        <v>0</v>
      </c>
      <c r="CK337" s="33">
        <v>0</v>
      </c>
      <c r="CL337" s="33">
        <v>0</v>
      </c>
      <c r="CM337" s="33">
        <v>3</v>
      </c>
      <c r="CN337" s="33">
        <v>8</v>
      </c>
      <c r="CO337" s="33">
        <v>0</v>
      </c>
      <c r="CP337" s="43">
        <v>0.15582604172516235</v>
      </c>
      <c r="CQ337" s="33">
        <v>0</v>
      </c>
      <c r="CR337" s="33">
        <v>0</v>
      </c>
    </row>
    <row r="338" spans="1:96" ht="15" customHeight="1" x14ac:dyDescent="0.25">
      <c r="A338" s="26">
        <v>336</v>
      </c>
      <c r="B338" s="27">
        <v>29</v>
      </c>
      <c r="C338" s="27">
        <v>1</v>
      </c>
      <c r="D338" s="27">
        <v>1</v>
      </c>
      <c r="E338" s="27">
        <v>318</v>
      </c>
      <c r="F338" s="27">
        <v>2</v>
      </c>
      <c r="G338" s="27">
        <v>8</v>
      </c>
      <c r="H338" s="27">
        <v>4</v>
      </c>
      <c r="I338" s="27">
        <v>6</v>
      </c>
      <c r="J338" s="27">
        <v>1</v>
      </c>
      <c r="K338" s="27">
        <v>454</v>
      </c>
      <c r="L338" s="27">
        <v>2</v>
      </c>
      <c r="M338" s="27">
        <v>1</v>
      </c>
      <c r="N338" s="27">
        <v>77</v>
      </c>
      <c r="O338" s="27">
        <v>1</v>
      </c>
      <c r="P338" s="27">
        <v>1</v>
      </c>
      <c r="Q338" s="27">
        <v>3</v>
      </c>
      <c r="R338" s="27">
        <v>1</v>
      </c>
      <c r="S338" s="27">
        <v>2</v>
      </c>
      <c r="T338" s="27">
        <v>2119</v>
      </c>
      <c r="U338" s="27">
        <v>4759</v>
      </c>
      <c r="V338" s="27">
        <v>1</v>
      </c>
      <c r="W338" s="27">
        <v>1</v>
      </c>
      <c r="X338" s="27">
        <v>11</v>
      </c>
      <c r="Y338" s="27">
        <v>3</v>
      </c>
      <c r="Z338" s="27">
        <v>4</v>
      </c>
      <c r="AA338" s="27">
        <v>80</v>
      </c>
      <c r="AB338" s="27">
        <v>0</v>
      </c>
      <c r="AC338" s="27">
        <v>7</v>
      </c>
      <c r="AD338" s="27">
        <v>4</v>
      </c>
      <c r="AE338" s="27">
        <v>2</v>
      </c>
      <c r="AF338" s="27">
        <v>7</v>
      </c>
      <c r="AG338" s="27">
        <v>7</v>
      </c>
      <c r="AH338" s="27">
        <v>0</v>
      </c>
      <c r="AI338" s="28">
        <v>7</v>
      </c>
      <c r="AK338" s="36">
        <v>305</v>
      </c>
      <c r="AL338" s="33">
        <v>1</v>
      </c>
      <c r="AM338" s="33">
        <v>3</v>
      </c>
      <c r="AN338" s="33">
        <v>4</v>
      </c>
      <c r="AO338" s="33">
        <v>0</v>
      </c>
      <c r="AP338" s="33">
        <v>0</v>
      </c>
      <c r="AQ338" s="33">
        <v>3</v>
      </c>
      <c r="AR338" s="33">
        <v>2</v>
      </c>
      <c r="AS338" s="33">
        <v>18</v>
      </c>
      <c r="AT338" s="33">
        <v>3</v>
      </c>
      <c r="AU338" s="43">
        <v>3.4311916749373518E-3</v>
      </c>
      <c r="AV338" s="33">
        <v>0</v>
      </c>
      <c r="AW338" s="33">
        <v>0</v>
      </c>
      <c r="AY338" s="36">
        <v>310</v>
      </c>
      <c r="AZ338" s="33">
        <v>1</v>
      </c>
      <c r="BA338" s="33">
        <v>4</v>
      </c>
      <c r="BB338" s="33">
        <v>1</v>
      </c>
      <c r="BC338" s="33">
        <v>1</v>
      </c>
      <c r="BD338" s="43">
        <v>0.30345027699196836</v>
      </c>
      <c r="BE338" s="33">
        <v>0</v>
      </c>
      <c r="BF338" s="33">
        <v>0</v>
      </c>
      <c r="CE338" s="36">
        <v>304</v>
      </c>
      <c r="CF338" s="33">
        <v>7</v>
      </c>
      <c r="CG338" s="33">
        <v>2</v>
      </c>
      <c r="CH338" s="33">
        <v>4</v>
      </c>
      <c r="CI338" s="33">
        <v>2</v>
      </c>
      <c r="CJ338" s="33">
        <v>4</v>
      </c>
      <c r="CK338" s="33">
        <v>0</v>
      </c>
      <c r="CL338" s="33">
        <v>1</v>
      </c>
      <c r="CM338" s="33">
        <v>2</v>
      </c>
      <c r="CN338" s="33">
        <v>8</v>
      </c>
      <c r="CO338" s="33">
        <v>7</v>
      </c>
      <c r="CP338" s="43">
        <v>9.1743651174238203E-2</v>
      </c>
      <c r="CQ338" s="33">
        <v>0</v>
      </c>
      <c r="CR338" s="33">
        <v>0</v>
      </c>
    </row>
    <row r="339" spans="1:96" ht="15" customHeight="1" x14ac:dyDescent="0.25">
      <c r="A339" s="26">
        <v>337</v>
      </c>
      <c r="B339" s="27">
        <v>29</v>
      </c>
      <c r="C339" s="27">
        <v>0</v>
      </c>
      <c r="D339" s="27">
        <v>1</v>
      </c>
      <c r="E339" s="27">
        <v>738</v>
      </c>
      <c r="F339" s="27">
        <v>2</v>
      </c>
      <c r="G339" s="27">
        <v>9</v>
      </c>
      <c r="H339" s="27">
        <v>5</v>
      </c>
      <c r="I339" s="27">
        <v>6</v>
      </c>
      <c r="J339" s="27">
        <v>1</v>
      </c>
      <c r="K339" s="27">
        <v>455</v>
      </c>
      <c r="L339" s="27">
        <v>2</v>
      </c>
      <c r="M339" s="27">
        <v>1</v>
      </c>
      <c r="N339" s="27">
        <v>30</v>
      </c>
      <c r="O339" s="27">
        <v>2</v>
      </c>
      <c r="P339" s="27">
        <v>1</v>
      </c>
      <c r="Q339" s="27">
        <v>3</v>
      </c>
      <c r="R339" s="27">
        <v>4</v>
      </c>
      <c r="S339" s="27">
        <v>1</v>
      </c>
      <c r="T339" s="27">
        <v>3983</v>
      </c>
      <c r="U339" s="27">
        <v>7621</v>
      </c>
      <c r="V339" s="27">
        <v>0</v>
      </c>
      <c r="W339" s="27">
        <v>0</v>
      </c>
      <c r="X339" s="27">
        <v>17</v>
      </c>
      <c r="Y339" s="27">
        <v>3</v>
      </c>
      <c r="Z339" s="27">
        <v>3</v>
      </c>
      <c r="AA339" s="27">
        <v>80</v>
      </c>
      <c r="AB339" s="27">
        <v>0</v>
      </c>
      <c r="AC339" s="27">
        <v>4</v>
      </c>
      <c r="AD339" s="27">
        <v>2</v>
      </c>
      <c r="AE339" s="27">
        <v>3</v>
      </c>
      <c r="AF339" s="27">
        <v>3</v>
      </c>
      <c r="AG339" s="27">
        <v>2</v>
      </c>
      <c r="AH339" s="27">
        <v>2</v>
      </c>
      <c r="AI339" s="28">
        <v>2</v>
      </c>
      <c r="AK339" s="36">
        <v>306</v>
      </c>
      <c r="AL339" s="33">
        <v>24</v>
      </c>
      <c r="AM339" s="33">
        <v>2</v>
      </c>
      <c r="AN339" s="33">
        <v>2</v>
      </c>
      <c r="AO339" s="33">
        <v>7</v>
      </c>
      <c r="AP339" s="33">
        <v>0</v>
      </c>
      <c r="AQ339" s="33">
        <v>1</v>
      </c>
      <c r="AR339" s="33">
        <v>3</v>
      </c>
      <c r="AS339" s="33">
        <v>9</v>
      </c>
      <c r="AT339" s="33">
        <v>0</v>
      </c>
      <c r="AU339" s="43">
        <v>0.12307509196533438</v>
      </c>
      <c r="AV339" s="33">
        <v>0</v>
      </c>
      <c r="AW339" s="33">
        <v>0</v>
      </c>
      <c r="AY339" s="36">
        <v>311</v>
      </c>
      <c r="AZ339" s="33">
        <v>2</v>
      </c>
      <c r="BA339" s="33">
        <v>1</v>
      </c>
      <c r="BB339" s="33">
        <v>0</v>
      </c>
      <c r="BC339" s="33">
        <v>0</v>
      </c>
      <c r="BD339" s="43">
        <v>0.19196561144667343</v>
      </c>
      <c r="BE339" s="33">
        <v>0</v>
      </c>
      <c r="BF339" s="33">
        <v>0</v>
      </c>
      <c r="CE339" s="36">
        <v>305</v>
      </c>
      <c r="CF339" s="33">
        <v>1</v>
      </c>
      <c r="CG339" s="33">
        <v>3</v>
      </c>
      <c r="CH339" s="33">
        <v>4</v>
      </c>
      <c r="CI339" s="33">
        <v>3</v>
      </c>
      <c r="CJ339" s="33">
        <v>0</v>
      </c>
      <c r="CK339" s="33">
        <v>0</v>
      </c>
      <c r="CL339" s="33">
        <v>3</v>
      </c>
      <c r="CM339" s="33">
        <v>2</v>
      </c>
      <c r="CN339" s="33">
        <v>18</v>
      </c>
      <c r="CO339" s="33">
        <v>3</v>
      </c>
      <c r="CP339" s="43">
        <v>3.8075608007644432E-3</v>
      </c>
      <c r="CQ339" s="33">
        <v>0</v>
      </c>
      <c r="CR339" s="33">
        <v>0</v>
      </c>
    </row>
    <row r="340" spans="1:96" ht="15" customHeight="1" x14ac:dyDescent="0.25">
      <c r="A340" s="26">
        <v>338</v>
      </c>
      <c r="B340" s="27">
        <v>30</v>
      </c>
      <c r="C340" s="27">
        <v>0</v>
      </c>
      <c r="D340" s="27">
        <v>1</v>
      </c>
      <c r="E340" s="27">
        <v>570</v>
      </c>
      <c r="F340" s="27">
        <v>1</v>
      </c>
      <c r="G340" s="27">
        <v>5</v>
      </c>
      <c r="H340" s="27">
        <v>3</v>
      </c>
      <c r="I340" s="27">
        <v>4</v>
      </c>
      <c r="J340" s="27">
        <v>1</v>
      </c>
      <c r="K340" s="27">
        <v>456</v>
      </c>
      <c r="L340" s="27">
        <v>4</v>
      </c>
      <c r="M340" s="27">
        <v>0</v>
      </c>
      <c r="N340" s="27">
        <v>30</v>
      </c>
      <c r="O340" s="27">
        <v>2</v>
      </c>
      <c r="P340" s="27">
        <v>2</v>
      </c>
      <c r="Q340" s="27">
        <v>1</v>
      </c>
      <c r="R340" s="27">
        <v>3</v>
      </c>
      <c r="S340" s="27">
        <v>3</v>
      </c>
      <c r="T340" s="27">
        <v>6118</v>
      </c>
      <c r="U340" s="27">
        <v>5431</v>
      </c>
      <c r="V340" s="27">
        <v>1</v>
      </c>
      <c r="W340" s="27">
        <v>0</v>
      </c>
      <c r="X340" s="27">
        <v>13</v>
      </c>
      <c r="Y340" s="27">
        <v>3</v>
      </c>
      <c r="Z340" s="27">
        <v>3</v>
      </c>
      <c r="AA340" s="27">
        <v>80</v>
      </c>
      <c r="AB340" s="27">
        <v>3</v>
      </c>
      <c r="AC340" s="27">
        <v>10</v>
      </c>
      <c r="AD340" s="27">
        <v>2</v>
      </c>
      <c r="AE340" s="27">
        <v>3</v>
      </c>
      <c r="AF340" s="27">
        <v>10</v>
      </c>
      <c r="AG340" s="27">
        <v>9</v>
      </c>
      <c r="AH340" s="27">
        <v>1</v>
      </c>
      <c r="AI340" s="28">
        <v>2</v>
      </c>
      <c r="AK340" s="36">
        <v>307</v>
      </c>
      <c r="AL340" s="33">
        <v>7</v>
      </c>
      <c r="AM340" s="33">
        <v>2</v>
      </c>
      <c r="AN340" s="33">
        <v>3</v>
      </c>
      <c r="AO340" s="33">
        <v>1</v>
      </c>
      <c r="AP340" s="33">
        <v>0</v>
      </c>
      <c r="AQ340" s="33">
        <v>1</v>
      </c>
      <c r="AR340" s="33">
        <v>2</v>
      </c>
      <c r="AS340" s="33">
        <v>13</v>
      </c>
      <c r="AT340" s="33">
        <v>4</v>
      </c>
      <c r="AU340" s="43">
        <v>5.0504140118135345E-2</v>
      </c>
      <c r="AV340" s="33">
        <v>0</v>
      </c>
      <c r="AW340" s="33">
        <v>0</v>
      </c>
      <c r="AY340" s="36">
        <v>312</v>
      </c>
      <c r="AZ340" s="33">
        <v>3</v>
      </c>
      <c r="BA340" s="33">
        <v>1</v>
      </c>
      <c r="BB340" s="33">
        <v>0</v>
      </c>
      <c r="BC340" s="33">
        <v>1</v>
      </c>
      <c r="BD340" s="43">
        <v>7.4238208059117641E-2</v>
      </c>
      <c r="BE340" s="33">
        <v>0</v>
      </c>
      <c r="BF340" s="33">
        <v>0</v>
      </c>
      <c r="CE340" s="36">
        <v>306</v>
      </c>
      <c r="CF340" s="33">
        <v>24</v>
      </c>
      <c r="CG340" s="33">
        <v>2</v>
      </c>
      <c r="CH340" s="33">
        <v>2</v>
      </c>
      <c r="CI340" s="33">
        <v>2</v>
      </c>
      <c r="CJ340" s="33">
        <v>7</v>
      </c>
      <c r="CK340" s="33">
        <v>0</v>
      </c>
      <c r="CL340" s="33">
        <v>1</v>
      </c>
      <c r="CM340" s="33">
        <v>3</v>
      </c>
      <c r="CN340" s="33">
        <v>9</v>
      </c>
      <c r="CO340" s="33">
        <v>0</v>
      </c>
      <c r="CP340" s="43">
        <v>0.12080621028458199</v>
      </c>
      <c r="CQ340" s="33">
        <v>0</v>
      </c>
      <c r="CR340" s="33">
        <v>0</v>
      </c>
    </row>
    <row r="341" spans="1:96" ht="15" customHeight="1" x14ac:dyDescent="0.25">
      <c r="A341" s="26">
        <v>339</v>
      </c>
      <c r="B341" s="27">
        <v>27</v>
      </c>
      <c r="C341" s="27">
        <v>0</v>
      </c>
      <c r="D341" s="27">
        <v>1</v>
      </c>
      <c r="E341" s="27">
        <v>1130</v>
      </c>
      <c r="F341" s="27">
        <v>1</v>
      </c>
      <c r="G341" s="27">
        <v>8</v>
      </c>
      <c r="H341" s="27">
        <v>4</v>
      </c>
      <c r="I341" s="27">
        <v>4</v>
      </c>
      <c r="J341" s="27">
        <v>1</v>
      </c>
      <c r="K341" s="27">
        <v>458</v>
      </c>
      <c r="L341" s="27">
        <v>2</v>
      </c>
      <c r="M341" s="27">
        <v>0</v>
      </c>
      <c r="N341" s="27">
        <v>56</v>
      </c>
      <c r="O341" s="27">
        <v>3</v>
      </c>
      <c r="P341" s="27">
        <v>2</v>
      </c>
      <c r="Q341" s="27">
        <v>1</v>
      </c>
      <c r="R341" s="27">
        <v>2</v>
      </c>
      <c r="S341" s="27">
        <v>2</v>
      </c>
      <c r="T341" s="27">
        <v>6214</v>
      </c>
      <c r="U341" s="27">
        <v>3415</v>
      </c>
      <c r="V341" s="27">
        <v>1</v>
      </c>
      <c r="W341" s="27">
        <v>0</v>
      </c>
      <c r="X341" s="27">
        <v>18</v>
      </c>
      <c r="Y341" s="27">
        <v>3</v>
      </c>
      <c r="Z341" s="27">
        <v>1</v>
      </c>
      <c r="AA341" s="27">
        <v>80</v>
      </c>
      <c r="AB341" s="27">
        <v>1</v>
      </c>
      <c r="AC341" s="27">
        <v>8</v>
      </c>
      <c r="AD341" s="27">
        <v>3</v>
      </c>
      <c r="AE341" s="27">
        <v>3</v>
      </c>
      <c r="AF341" s="27">
        <v>8</v>
      </c>
      <c r="AG341" s="27">
        <v>7</v>
      </c>
      <c r="AH341" s="27">
        <v>0</v>
      </c>
      <c r="AI341" s="28">
        <v>7</v>
      </c>
      <c r="AK341" s="36">
        <v>308</v>
      </c>
      <c r="AL341" s="33">
        <v>25</v>
      </c>
      <c r="AM341" s="33">
        <v>3</v>
      </c>
      <c r="AN341" s="33">
        <v>2</v>
      </c>
      <c r="AO341" s="33">
        <v>3</v>
      </c>
      <c r="AP341" s="33">
        <v>0</v>
      </c>
      <c r="AQ341" s="33">
        <v>1</v>
      </c>
      <c r="AR341" s="33">
        <v>3</v>
      </c>
      <c r="AS341" s="33">
        <v>10</v>
      </c>
      <c r="AT341" s="33">
        <v>0</v>
      </c>
      <c r="AU341" s="43">
        <v>5.2668841574115402E-2</v>
      </c>
      <c r="AV341" s="33">
        <v>0</v>
      </c>
      <c r="AW341" s="33">
        <v>0</v>
      </c>
      <c r="AY341" s="36">
        <v>313</v>
      </c>
      <c r="AZ341" s="33">
        <v>1</v>
      </c>
      <c r="BA341" s="33">
        <v>4</v>
      </c>
      <c r="BB341" s="33">
        <v>1</v>
      </c>
      <c r="BC341" s="33">
        <v>1</v>
      </c>
      <c r="BD341" s="43">
        <v>0.30345027699196836</v>
      </c>
      <c r="BE341" s="33">
        <v>0</v>
      </c>
      <c r="BF341" s="33">
        <v>0</v>
      </c>
      <c r="CE341" s="36">
        <v>307</v>
      </c>
      <c r="CF341" s="33">
        <v>7</v>
      </c>
      <c r="CG341" s="33">
        <v>2</v>
      </c>
      <c r="CH341" s="33">
        <v>3</v>
      </c>
      <c r="CI341" s="33">
        <v>2</v>
      </c>
      <c r="CJ341" s="33">
        <v>1</v>
      </c>
      <c r="CK341" s="33">
        <v>0</v>
      </c>
      <c r="CL341" s="33">
        <v>1</v>
      </c>
      <c r="CM341" s="33">
        <v>2</v>
      </c>
      <c r="CN341" s="33">
        <v>13</v>
      </c>
      <c r="CO341" s="33">
        <v>4</v>
      </c>
      <c r="CP341" s="43">
        <v>4.9692682264042672E-2</v>
      </c>
      <c r="CQ341" s="33">
        <v>0</v>
      </c>
      <c r="CR341" s="33">
        <v>0</v>
      </c>
    </row>
    <row r="342" spans="1:96" ht="15" customHeight="1" x14ac:dyDescent="0.25">
      <c r="A342" s="26">
        <v>340</v>
      </c>
      <c r="B342" s="27">
        <v>37</v>
      </c>
      <c r="C342" s="27">
        <v>0</v>
      </c>
      <c r="D342" s="27">
        <v>1</v>
      </c>
      <c r="E342" s="27">
        <v>1192</v>
      </c>
      <c r="F342" s="27">
        <v>2</v>
      </c>
      <c r="G342" s="27">
        <v>5</v>
      </c>
      <c r="H342" s="27">
        <v>2</v>
      </c>
      <c r="I342" s="27">
        <v>3</v>
      </c>
      <c r="J342" s="27">
        <v>1</v>
      </c>
      <c r="K342" s="27">
        <v>460</v>
      </c>
      <c r="L342" s="27">
        <v>4</v>
      </c>
      <c r="M342" s="27">
        <v>1</v>
      </c>
      <c r="N342" s="27">
        <v>61</v>
      </c>
      <c r="O342" s="27">
        <v>3</v>
      </c>
      <c r="P342" s="27">
        <v>2</v>
      </c>
      <c r="Q342" s="27">
        <v>4</v>
      </c>
      <c r="R342" s="27">
        <v>4</v>
      </c>
      <c r="S342" s="27">
        <v>3</v>
      </c>
      <c r="T342" s="27">
        <v>6347</v>
      </c>
      <c r="U342" s="27">
        <v>23177</v>
      </c>
      <c r="V342" s="27">
        <v>7</v>
      </c>
      <c r="W342" s="27">
        <v>0</v>
      </c>
      <c r="X342" s="27">
        <v>16</v>
      </c>
      <c r="Y342" s="27">
        <v>3</v>
      </c>
      <c r="Z342" s="27">
        <v>3</v>
      </c>
      <c r="AA342" s="27">
        <v>80</v>
      </c>
      <c r="AB342" s="27">
        <v>2</v>
      </c>
      <c r="AC342" s="27">
        <v>8</v>
      </c>
      <c r="AD342" s="27">
        <v>2</v>
      </c>
      <c r="AE342" s="27">
        <v>2</v>
      </c>
      <c r="AF342" s="27">
        <v>6</v>
      </c>
      <c r="AG342" s="27">
        <v>2</v>
      </c>
      <c r="AH342" s="27">
        <v>0</v>
      </c>
      <c r="AI342" s="28">
        <v>4</v>
      </c>
      <c r="AK342" s="36">
        <v>309</v>
      </c>
      <c r="AL342" s="33">
        <v>1</v>
      </c>
      <c r="AM342" s="33">
        <v>2</v>
      </c>
      <c r="AN342" s="33">
        <v>3</v>
      </c>
      <c r="AO342" s="33">
        <v>2</v>
      </c>
      <c r="AP342" s="33">
        <v>1</v>
      </c>
      <c r="AQ342" s="33">
        <v>1</v>
      </c>
      <c r="AR342" s="33">
        <v>3</v>
      </c>
      <c r="AS342" s="33">
        <v>5</v>
      </c>
      <c r="AT342" s="33">
        <v>1</v>
      </c>
      <c r="AU342" s="43">
        <v>0.17190815325363387</v>
      </c>
      <c r="AV342" s="33">
        <v>0</v>
      </c>
      <c r="AW342" s="33">
        <v>0</v>
      </c>
      <c r="AY342" s="36">
        <v>314</v>
      </c>
      <c r="AZ342" s="33">
        <v>3</v>
      </c>
      <c r="BA342" s="33">
        <v>2</v>
      </c>
      <c r="BB342" s="33">
        <v>0</v>
      </c>
      <c r="BC342" s="33">
        <v>2</v>
      </c>
      <c r="BD342" s="43">
        <v>3.4113506034874549E-2</v>
      </c>
      <c r="BE342" s="33">
        <v>0</v>
      </c>
      <c r="BF342" s="33">
        <v>0</v>
      </c>
      <c r="CE342" s="36">
        <v>308</v>
      </c>
      <c r="CF342" s="33">
        <v>25</v>
      </c>
      <c r="CG342" s="33">
        <v>3</v>
      </c>
      <c r="CH342" s="33">
        <v>2</v>
      </c>
      <c r="CI342" s="33">
        <v>2</v>
      </c>
      <c r="CJ342" s="33">
        <v>3</v>
      </c>
      <c r="CK342" s="33">
        <v>0</v>
      </c>
      <c r="CL342" s="33">
        <v>1</v>
      </c>
      <c r="CM342" s="33">
        <v>3</v>
      </c>
      <c r="CN342" s="33">
        <v>10</v>
      </c>
      <c r="CO342" s="33">
        <v>0</v>
      </c>
      <c r="CP342" s="43">
        <v>5.1839395109478888E-2</v>
      </c>
      <c r="CQ342" s="33">
        <v>0</v>
      </c>
      <c r="CR342" s="33">
        <v>0</v>
      </c>
    </row>
    <row r="343" spans="1:96" ht="15" customHeight="1" x14ac:dyDescent="0.25">
      <c r="A343" s="26">
        <v>341</v>
      </c>
      <c r="B343" s="27">
        <v>38</v>
      </c>
      <c r="C343" s="27">
        <v>0</v>
      </c>
      <c r="D343" s="27">
        <v>1</v>
      </c>
      <c r="E343" s="27">
        <v>343</v>
      </c>
      <c r="F343" s="27">
        <v>2</v>
      </c>
      <c r="G343" s="27">
        <v>15</v>
      </c>
      <c r="H343" s="27">
        <v>2</v>
      </c>
      <c r="I343" s="27">
        <v>1</v>
      </c>
      <c r="J343" s="27">
        <v>1</v>
      </c>
      <c r="K343" s="27">
        <v>461</v>
      </c>
      <c r="L343" s="27">
        <v>3</v>
      </c>
      <c r="M343" s="27">
        <v>1</v>
      </c>
      <c r="N343" s="27">
        <v>92</v>
      </c>
      <c r="O343" s="27">
        <v>2</v>
      </c>
      <c r="P343" s="27">
        <v>3</v>
      </c>
      <c r="Q343" s="27">
        <v>8</v>
      </c>
      <c r="R343" s="27">
        <v>4</v>
      </c>
      <c r="S343" s="27">
        <v>3</v>
      </c>
      <c r="T343" s="27">
        <v>11510</v>
      </c>
      <c r="U343" s="27">
        <v>15682</v>
      </c>
      <c r="V343" s="27">
        <v>0</v>
      </c>
      <c r="W343" s="27">
        <v>1</v>
      </c>
      <c r="X343" s="27">
        <v>14</v>
      </c>
      <c r="Y343" s="27">
        <v>3</v>
      </c>
      <c r="Z343" s="27">
        <v>2</v>
      </c>
      <c r="AA343" s="27">
        <v>80</v>
      </c>
      <c r="AB343" s="27">
        <v>1</v>
      </c>
      <c r="AC343" s="27">
        <v>12</v>
      </c>
      <c r="AD343" s="27">
        <v>3</v>
      </c>
      <c r="AE343" s="27">
        <v>3</v>
      </c>
      <c r="AF343" s="27">
        <v>11</v>
      </c>
      <c r="AG343" s="27">
        <v>10</v>
      </c>
      <c r="AH343" s="27">
        <v>2</v>
      </c>
      <c r="AI343" s="28">
        <v>9</v>
      </c>
      <c r="AK343" s="36">
        <v>310</v>
      </c>
      <c r="AL343" s="33">
        <v>5</v>
      </c>
      <c r="AM343" s="33">
        <v>1</v>
      </c>
      <c r="AN343" s="33">
        <v>4</v>
      </c>
      <c r="AO343" s="33">
        <v>0</v>
      </c>
      <c r="AP343" s="33">
        <v>1</v>
      </c>
      <c r="AQ343" s="33">
        <v>1</v>
      </c>
      <c r="AR343" s="33">
        <v>3</v>
      </c>
      <c r="AS343" s="33">
        <v>5</v>
      </c>
      <c r="AT343" s="33">
        <v>0</v>
      </c>
      <c r="AU343" s="43">
        <v>0.1885611758719189</v>
      </c>
      <c r="AV343" s="33">
        <v>0</v>
      </c>
      <c r="AW343" s="33">
        <v>0</v>
      </c>
      <c r="AY343" s="36">
        <v>315</v>
      </c>
      <c r="AZ343" s="33">
        <v>4</v>
      </c>
      <c r="BA343" s="33">
        <v>1</v>
      </c>
      <c r="BB343" s="33">
        <v>1</v>
      </c>
      <c r="BC343" s="33">
        <v>0</v>
      </c>
      <c r="BD343" s="43">
        <v>0.24947977886687323</v>
      </c>
      <c r="BE343" s="33">
        <v>0</v>
      </c>
      <c r="BF343" s="33">
        <v>0</v>
      </c>
      <c r="CE343" s="36">
        <v>309</v>
      </c>
      <c r="CF343" s="33">
        <v>1</v>
      </c>
      <c r="CG343" s="33">
        <v>2</v>
      </c>
      <c r="CH343" s="33">
        <v>3</v>
      </c>
      <c r="CI343" s="33">
        <v>3</v>
      </c>
      <c r="CJ343" s="33">
        <v>2</v>
      </c>
      <c r="CK343" s="33">
        <v>1</v>
      </c>
      <c r="CL343" s="33">
        <v>1</v>
      </c>
      <c r="CM343" s="33">
        <v>3</v>
      </c>
      <c r="CN343" s="33">
        <v>5</v>
      </c>
      <c r="CO343" s="33">
        <v>1</v>
      </c>
      <c r="CP343" s="43">
        <v>0.10708721395033265</v>
      </c>
      <c r="CQ343" s="33">
        <v>0</v>
      </c>
      <c r="CR343" s="33">
        <v>0</v>
      </c>
    </row>
    <row r="344" spans="1:96" ht="15" customHeight="1" x14ac:dyDescent="0.25">
      <c r="A344" s="26">
        <v>342</v>
      </c>
      <c r="B344" s="27">
        <v>31</v>
      </c>
      <c r="C344" s="27">
        <v>0</v>
      </c>
      <c r="D344" s="27">
        <v>1</v>
      </c>
      <c r="E344" s="27">
        <v>1232</v>
      </c>
      <c r="F344" s="27">
        <v>2</v>
      </c>
      <c r="G344" s="27">
        <v>7</v>
      </c>
      <c r="H344" s="27">
        <v>4</v>
      </c>
      <c r="I344" s="27">
        <v>3</v>
      </c>
      <c r="J344" s="27">
        <v>1</v>
      </c>
      <c r="K344" s="27">
        <v>462</v>
      </c>
      <c r="L344" s="27">
        <v>3</v>
      </c>
      <c r="M344" s="27">
        <v>0</v>
      </c>
      <c r="N344" s="27">
        <v>39</v>
      </c>
      <c r="O344" s="27">
        <v>3</v>
      </c>
      <c r="P344" s="27">
        <v>3</v>
      </c>
      <c r="Q344" s="27">
        <v>4</v>
      </c>
      <c r="R344" s="27">
        <v>4</v>
      </c>
      <c r="S344" s="27">
        <v>1</v>
      </c>
      <c r="T344" s="27">
        <v>7143</v>
      </c>
      <c r="U344" s="27">
        <v>25713</v>
      </c>
      <c r="V344" s="27">
        <v>1</v>
      </c>
      <c r="W344" s="27">
        <v>1</v>
      </c>
      <c r="X344" s="27">
        <v>14</v>
      </c>
      <c r="Y344" s="27">
        <v>3</v>
      </c>
      <c r="Z344" s="27">
        <v>3</v>
      </c>
      <c r="AA344" s="27">
        <v>80</v>
      </c>
      <c r="AB344" s="27">
        <v>0</v>
      </c>
      <c r="AC344" s="27">
        <v>11</v>
      </c>
      <c r="AD344" s="27">
        <v>2</v>
      </c>
      <c r="AE344" s="27">
        <v>2</v>
      </c>
      <c r="AF344" s="27">
        <v>11</v>
      </c>
      <c r="AG344" s="27">
        <v>9</v>
      </c>
      <c r="AH344" s="27">
        <v>4</v>
      </c>
      <c r="AI344" s="28">
        <v>10</v>
      </c>
      <c r="AK344" s="36">
        <v>311</v>
      </c>
      <c r="AL344" s="33">
        <v>2</v>
      </c>
      <c r="AM344" s="33">
        <v>2</v>
      </c>
      <c r="AN344" s="33">
        <v>1</v>
      </c>
      <c r="AO344" s="33">
        <v>3</v>
      </c>
      <c r="AP344" s="33">
        <v>0</v>
      </c>
      <c r="AQ344" s="33">
        <v>0</v>
      </c>
      <c r="AR344" s="33">
        <v>3</v>
      </c>
      <c r="AS344" s="33">
        <v>2</v>
      </c>
      <c r="AT344" s="33">
        <v>1</v>
      </c>
      <c r="AU344" s="43">
        <v>0.17331203717499793</v>
      </c>
      <c r="AV344" s="33">
        <v>0</v>
      </c>
      <c r="AW344" s="33">
        <v>0</v>
      </c>
      <c r="AY344" s="36">
        <v>316</v>
      </c>
      <c r="AZ344" s="33">
        <v>1</v>
      </c>
      <c r="BA344" s="33">
        <v>4</v>
      </c>
      <c r="BB344" s="33">
        <v>0</v>
      </c>
      <c r="BC344" s="33">
        <v>0</v>
      </c>
      <c r="BD344" s="43">
        <v>0.1472907617042678</v>
      </c>
      <c r="BE344" s="33">
        <v>0</v>
      </c>
      <c r="BF344" s="33">
        <v>0</v>
      </c>
      <c r="CE344" s="36">
        <v>310</v>
      </c>
      <c r="CF344" s="33">
        <v>5</v>
      </c>
      <c r="CG344" s="33">
        <v>1</v>
      </c>
      <c r="CH344" s="33">
        <v>4</v>
      </c>
      <c r="CI344" s="33">
        <v>2</v>
      </c>
      <c r="CJ344" s="33">
        <v>0</v>
      </c>
      <c r="CK344" s="33">
        <v>1</v>
      </c>
      <c r="CL344" s="33">
        <v>1</v>
      </c>
      <c r="CM344" s="33">
        <v>3</v>
      </c>
      <c r="CN344" s="33">
        <v>5</v>
      </c>
      <c r="CO344" s="33">
        <v>0</v>
      </c>
      <c r="CP344" s="43">
        <v>0.18378983021559767</v>
      </c>
      <c r="CQ344" s="33">
        <v>0</v>
      </c>
      <c r="CR344" s="33">
        <v>0</v>
      </c>
    </row>
    <row r="345" spans="1:96" ht="15" customHeight="1" x14ac:dyDescent="0.25">
      <c r="A345" s="26">
        <v>343</v>
      </c>
      <c r="B345" s="27">
        <v>29</v>
      </c>
      <c r="C345" s="27">
        <v>0</v>
      </c>
      <c r="D345" s="27">
        <v>1</v>
      </c>
      <c r="E345" s="27">
        <v>144</v>
      </c>
      <c r="F345" s="27">
        <v>1</v>
      </c>
      <c r="G345" s="27">
        <v>10</v>
      </c>
      <c r="H345" s="27">
        <v>1</v>
      </c>
      <c r="I345" s="27">
        <v>4</v>
      </c>
      <c r="J345" s="27">
        <v>1</v>
      </c>
      <c r="K345" s="27">
        <v>463</v>
      </c>
      <c r="L345" s="27">
        <v>4</v>
      </c>
      <c r="M345" s="27">
        <v>0</v>
      </c>
      <c r="N345" s="27">
        <v>39</v>
      </c>
      <c r="O345" s="27">
        <v>2</v>
      </c>
      <c r="P345" s="27">
        <v>2</v>
      </c>
      <c r="Q345" s="27">
        <v>1</v>
      </c>
      <c r="R345" s="27">
        <v>2</v>
      </c>
      <c r="S345" s="27">
        <v>3</v>
      </c>
      <c r="T345" s="27">
        <v>8268</v>
      </c>
      <c r="U345" s="27">
        <v>11866</v>
      </c>
      <c r="V345" s="27">
        <v>1</v>
      </c>
      <c r="W345" s="27">
        <v>1</v>
      </c>
      <c r="X345" s="27">
        <v>14</v>
      </c>
      <c r="Y345" s="27">
        <v>3</v>
      </c>
      <c r="Z345" s="27">
        <v>1</v>
      </c>
      <c r="AA345" s="27">
        <v>80</v>
      </c>
      <c r="AB345" s="27">
        <v>2</v>
      </c>
      <c r="AC345" s="27">
        <v>7</v>
      </c>
      <c r="AD345" s="27">
        <v>2</v>
      </c>
      <c r="AE345" s="27">
        <v>3</v>
      </c>
      <c r="AF345" s="27">
        <v>7</v>
      </c>
      <c r="AG345" s="27">
        <v>7</v>
      </c>
      <c r="AH345" s="27">
        <v>1</v>
      </c>
      <c r="AI345" s="28">
        <v>7</v>
      </c>
      <c r="AK345" s="36">
        <v>312</v>
      </c>
      <c r="AL345" s="33">
        <v>7</v>
      </c>
      <c r="AM345" s="33">
        <v>3</v>
      </c>
      <c r="AN345" s="33">
        <v>1</v>
      </c>
      <c r="AO345" s="33">
        <v>1</v>
      </c>
      <c r="AP345" s="33">
        <v>0</v>
      </c>
      <c r="AQ345" s="33">
        <v>1</v>
      </c>
      <c r="AR345" s="33">
        <v>3</v>
      </c>
      <c r="AS345" s="33">
        <v>24</v>
      </c>
      <c r="AT345" s="33">
        <v>9</v>
      </c>
      <c r="AU345" s="43">
        <v>3.3557743941774784E-2</v>
      </c>
      <c r="AV345" s="33">
        <v>0</v>
      </c>
      <c r="AW345" s="33">
        <v>0</v>
      </c>
      <c r="AY345" s="36">
        <v>317</v>
      </c>
      <c r="AZ345" s="33">
        <v>4</v>
      </c>
      <c r="BA345" s="33">
        <v>3</v>
      </c>
      <c r="BB345" s="33">
        <v>1</v>
      </c>
      <c r="BC345" s="33">
        <v>0</v>
      </c>
      <c r="BD345" s="43">
        <v>0.15628347374862378</v>
      </c>
      <c r="BE345" s="33">
        <v>0</v>
      </c>
      <c r="BF345" s="33">
        <v>0</v>
      </c>
      <c r="CE345" s="36">
        <v>311</v>
      </c>
      <c r="CF345" s="33">
        <v>2</v>
      </c>
      <c r="CG345" s="33">
        <v>2</v>
      </c>
      <c r="CH345" s="33">
        <v>1</v>
      </c>
      <c r="CI345" s="33">
        <v>2</v>
      </c>
      <c r="CJ345" s="33">
        <v>3</v>
      </c>
      <c r="CK345" s="33">
        <v>0</v>
      </c>
      <c r="CL345" s="33">
        <v>0</v>
      </c>
      <c r="CM345" s="33">
        <v>3</v>
      </c>
      <c r="CN345" s="33">
        <v>2</v>
      </c>
      <c r="CO345" s="33">
        <v>1</v>
      </c>
      <c r="CP345" s="43">
        <v>0.12992053537424811</v>
      </c>
      <c r="CQ345" s="33">
        <v>0</v>
      </c>
      <c r="CR345" s="33">
        <v>0</v>
      </c>
    </row>
    <row r="346" spans="1:96" ht="15" customHeight="1" x14ac:dyDescent="0.25">
      <c r="A346" s="26">
        <v>344</v>
      </c>
      <c r="B346" s="27">
        <v>35</v>
      </c>
      <c r="C346" s="27">
        <v>0</v>
      </c>
      <c r="D346" s="27">
        <v>1</v>
      </c>
      <c r="E346" s="27">
        <v>1296</v>
      </c>
      <c r="F346" s="27">
        <v>2</v>
      </c>
      <c r="G346" s="27">
        <v>5</v>
      </c>
      <c r="H346" s="27">
        <v>4</v>
      </c>
      <c r="I346" s="27">
        <v>5</v>
      </c>
      <c r="J346" s="27">
        <v>1</v>
      </c>
      <c r="K346" s="27">
        <v>464</v>
      </c>
      <c r="L346" s="27">
        <v>3</v>
      </c>
      <c r="M346" s="27">
        <v>1</v>
      </c>
      <c r="N346" s="27">
        <v>62</v>
      </c>
      <c r="O346" s="27">
        <v>3</v>
      </c>
      <c r="P346" s="27">
        <v>3</v>
      </c>
      <c r="Q346" s="27">
        <v>4</v>
      </c>
      <c r="R346" s="27">
        <v>2</v>
      </c>
      <c r="S346" s="27">
        <v>1</v>
      </c>
      <c r="T346" s="27">
        <v>8095</v>
      </c>
      <c r="U346" s="27">
        <v>18264</v>
      </c>
      <c r="V346" s="27">
        <v>0</v>
      </c>
      <c r="W346" s="27">
        <v>0</v>
      </c>
      <c r="X346" s="27">
        <v>13</v>
      </c>
      <c r="Y346" s="27">
        <v>3</v>
      </c>
      <c r="Z346" s="27">
        <v>4</v>
      </c>
      <c r="AA346" s="27">
        <v>80</v>
      </c>
      <c r="AB346" s="27">
        <v>0</v>
      </c>
      <c r="AC346" s="27">
        <v>17</v>
      </c>
      <c r="AD346" s="27">
        <v>5</v>
      </c>
      <c r="AE346" s="27">
        <v>3</v>
      </c>
      <c r="AF346" s="27">
        <v>16</v>
      </c>
      <c r="AG346" s="27">
        <v>6</v>
      </c>
      <c r="AH346" s="27">
        <v>0</v>
      </c>
      <c r="AI346" s="28">
        <v>13</v>
      </c>
      <c r="AK346" s="36">
        <v>313</v>
      </c>
      <c r="AL346" s="33">
        <v>2</v>
      </c>
      <c r="AM346" s="33">
        <v>1</v>
      </c>
      <c r="AN346" s="33">
        <v>4</v>
      </c>
      <c r="AO346" s="33">
        <v>0</v>
      </c>
      <c r="AP346" s="33">
        <v>1</v>
      </c>
      <c r="AQ346" s="33">
        <v>1</v>
      </c>
      <c r="AR346" s="33">
        <v>1</v>
      </c>
      <c r="AS346" s="33">
        <v>2</v>
      </c>
      <c r="AT346" s="33">
        <v>2</v>
      </c>
      <c r="AU346" s="43">
        <v>0.34249256765904584</v>
      </c>
      <c r="AV346" s="33">
        <v>0</v>
      </c>
      <c r="AW346" s="33">
        <v>0</v>
      </c>
      <c r="AY346" s="36">
        <v>318</v>
      </c>
      <c r="AZ346" s="33">
        <v>2</v>
      </c>
      <c r="BA346" s="33">
        <v>2</v>
      </c>
      <c r="BB346" s="33">
        <v>0</v>
      </c>
      <c r="BC346" s="33">
        <v>0</v>
      </c>
      <c r="BD346" s="43">
        <v>0.15063023792355215</v>
      </c>
      <c r="BE346" s="33">
        <v>0</v>
      </c>
      <c r="BF346" s="33">
        <v>1</v>
      </c>
      <c r="CE346" s="36">
        <v>312</v>
      </c>
      <c r="CF346" s="33">
        <v>7</v>
      </c>
      <c r="CG346" s="33">
        <v>3</v>
      </c>
      <c r="CH346" s="33">
        <v>1</v>
      </c>
      <c r="CI346" s="33">
        <v>3</v>
      </c>
      <c r="CJ346" s="33">
        <v>1</v>
      </c>
      <c r="CK346" s="33">
        <v>0</v>
      </c>
      <c r="CL346" s="33">
        <v>1</v>
      </c>
      <c r="CM346" s="33">
        <v>3</v>
      </c>
      <c r="CN346" s="33">
        <v>24</v>
      </c>
      <c r="CO346" s="33">
        <v>9</v>
      </c>
      <c r="CP346" s="43">
        <v>2.0025456008612663E-2</v>
      </c>
      <c r="CQ346" s="33">
        <v>0</v>
      </c>
      <c r="CR346" s="33">
        <v>0</v>
      </c>
    </row>
    <row r="347" spans="1:96" ht="15" customHeight="1" x14ac:dyDescent="0.25">
      <c r="A347" s="26">
        <v>345</v>
      </c>
      <c r="B347" s="27">
        <v>23</v>
      </c>
      <c r="C347" s="27">
        <v>0</v>
      </c>
      <c r="D347" s="27">
        <v>1</v>
      </c>
      <c r="E347" s="27">
        <v>1309</v>
      </c>
      <c r="F347" s="27">
        <v>2</v>
      </c>
      <c r="G347" s="27">
        <v>26</v>
      </c>
      <c r="H347" s="27">
        <v>1</v>
      </c>
      <c r="I347" s="27">
        <v>1</v>
      </c>
      <c r="J347" s="27">
        <v>1</v>
      </c>
      <c r="K347" s="27">
        <v>465</v>
      </c>
      <c r="L347" s="27">
        <v>3</v>
      </c>
      <c r="M347" s="27">
        <v>1</v>
      </c>
      <c r="N347" s="27">
        <v>83</v>
      </c>
      <c r="O347" s="27">
        <v>3</v>
      </c>
      <c r="P347" s="27">
        <v>1</v>
      </c>
      <c r="Q347" s="27">
        <v>2</v>
      </c>
      <c r="R347" s="27">
        <v>4</v>
      </c>
      <c r="S347" s="27">
        <v>3</v>
      </c>
      <c r="T347" s="27">
        <v>2904</v>
      </c>
      <c r="U347" s="27">
        <v>16092</v>
      </c>
      <c r="V347" s="27">
        <v>1</v>
      </c>
      <c r="W347" s="27">
        <v>0</v>
      </c>
      <c r="X347" s="27">
        <v>12</v>
      </c>
      <c r="Y347" s="27">
        <v>3</v>
      </c>
      <c r="Z347" s="27">
        <v>3</v>
      </c>
      <c r="AA347" s="27">
        <v>80</v>
      </c>
      <c r="AB347" s="27">
        <v>2</v>
      </c>
      <c r="AC347" s="27">
        <v>4</v>
      </c>
      <c r="AD347" s="27">
        <v>2</v>
      </c>
      <c r="AE347" s="27">
        <v>2</v>
      </c>
      <c r="AF347" s="27">
        <v>4</v>
      </c>
      <c r="AG347" s="27">
        <v>2</v>
      </c>
      <c r="AH347" s="27">
        <v>0</v>
      </c>
      <c r="AI347" s="28">
        <v>2</v>
      </c>
      <c r="AK347" s="36">
        <v>314</v>
      </c>
      <c r="AL347" s="33">
        <v>5</v>
      </c>
      <c r="AM347" s="33">
        <v>3</v>
      </c>
      <c r="AN347" s="33">
        <v>2</v>
      </c>
      <c r="AO347" s="33">
        <v>6</v>
      </c>
      <c r="AP347" s="33">
        <v>0</v>
      </c>
      <c r="AQ347" s="33">
        <v>2</v>
      </c>
      <c r="AR347" s="33">
        <v>3</v>
      </c>
      <c r="AS347" s="33">
        <v>10</v>
      </c>
      <c r="AT347" s="33">
        <v>8</v>
      </c>
      <c r="AU347" s="43">
        <v>4.8766537959400016E-2</v>
      </c>
      <c r="AV347" s="33">
        <v>0</v>
      </c>
      <c r="AW347" s="33">
        <v>0</v>
      </c>
      <c r="AY347" s="36">
        <v>319</v>
      </c>
      <c r="AZ347" s="33">
        <v>1</v>
      </c>
      <c r="BA347" s="33">
        <v>2</v>
      </c>
      <c r="BB347" s="33">
        <v>1</v>
      </c>
      <c r="BC347" s="33">
        <v>0</v>
      </c>
      <c r="BD347" s="43">
        <v>0.56990699338636852</v>
      </c>
      <c r="BE347" s="33">
        <v>1</v>
      </c>
      <c r="BF347" s="33">
        <v>0</v>
      </c>
      <c r="CE347" s="36">
        <v>313</v>
      </c>
      <c r="CF347" s="33">
        <v>2</v>
      </c>
      <c r="CG347" s="33">
        <v>1</v>
      </c>
      <c r="CH347" s="33">
        <v>4</v>
      </c>
      <c r="CI347" s="33">
        <v>3</v>
      </c>
      <c r="CJ347" s="33">
        <v>0</v>
      </c>
      <c r="CK347" s="33">
        <v>1</v>
      </c>
      <c r="CL347" s="33">
        <v>1</v>
      </c>
      <c r="CM347" s="33">
        <v>1</v>
      </c>
      <c r="CN347" s="33">
        <v>2</v>
      </c>
      <c r="CO347" s="33">
        <v>2</v>
      </c>
      <c r="CP347" s="43">
        <v>0.23204355090135079</v>
      </c>
      <c r="CQ347" s="33">
        <v>0</v>
      </c>
      <c r="CR347" s="33">
        <v>0</v>
      </c>
    </row>
    <row r="348" spans="1:96" ht="15" customHeight="1" x14ac:dyDescent="0.25">
      <c r="A348" s="26">
        <v>346</v>
      </c>
      <c r="B348" s="27">
        <v>41</v>
      </c>
      <c r="C348" s="27">
        <v>0</v>
      </c>
      <c r="D348" s="27">
        <v>1</v>
      </c>
      <c r="E348" s="27">
        <v>483</v>
      </c>
      <c r="F348" s="27">
        <v>2</v>
      </c>
      <c r="G348" s="27">
        <v>6</v>
      </c>
      <c r="H348" s="27">
        <v>3</v>
      </c>
      <c r="I348" s="27">
        <v>3</v>
      </c>
      <c r="J348" s="27">
        <v>1</v>
      </c>
      <c r="K348" s="27">
        <v>466</v>
      </c>
      <c r="L348" s="27">
        <v>4</v>
      </c>
      <c r="M348" s="27">
        <v>1</v>
      </c>
      <c r="N348" s="27">
        <v>95</v>
      </c>
      <c r="O348" s="27">
        <v>2</v>
      </c>
      <c r="P348" s="27">
        <v>2</v>
      </c>
      <c r="Q348" s="27">
        <v>4</v>
      </c>
      <c r="R348" s="27">
        <v>2</v>
      </c>
      <c r="S348" s="27">
        <v>1</v>
      </c>
      <c r="T348" s="27">
        <v>6032</v>
      </c>
      <c r="U348" s="27">
        <v>10110</v>
      </c>
      <c r="V348" s="27">
        <v>6</v>
      </c>
      <c r="W348" s="27">
        <v>1</v>
      </c>
      <c r="X348" s="27">
        <v>15</v>
      </c>
      <c r="Y348" s="27">
        <v>3</v>
      </c>
      <c r="Z348" s="27">
        <v>4</v>
      </c>
      <c r="AA348" s="27">
        <v>80</v>
      </c>
      <c r="AB348" s="27">
        <v>0</v>
      </c>
      <c r="AC348" s="27">
        <v>8</v>
      </c>
      <c r="AD348" s="27">
        <v>3</v>
      </c>
      <c r="AE348" s="27">
        <v>3</v>
      </c>
      <c r="AF348" s="27">
        <v>5</v>
      </c>
      <c r="AG348" s="27">
        <v>4</v>
      </c>
      <c r="AH348" s="27">
        <v>1</v>
      </c>
      <c r="AI348" s="28">
        <v>2</v>
      </c>
      <c r="AK348" s="36">
        <v>315</v>
      </c>
      <c r="AL348" s="33">
        <v>10</v>
      </c>
      <c r="AM348" s="33">
        <v>4</v>
      </c>
      <c r="AN348" s="33">
        <v>1</v>
      </c>
      <c r="AO348" s="33">
        <v>1</v>
      </c>
      <c r="AP348" s="33">
        <v>1</v>
      </c>
      <c r="AQ348" s="33">
        <v>0</v>
      </c>
      <c r="AR348" s="33">
        <v>3</v>
      </c>
      <c r="AS348" s="33">
        <v>21</v>
      </c>
      <c r="AT348" s="33">
        <v>11</v>
      </c>
      <c r="AU348" s="43">
        <v>0.20988746803375663</v>
      </c>
      <c r="AV348" s="33">
        <v>0</v>
      </c>
      <c r="AW348" s="33">
        <v>0</v>
      </c>
      <c r="AY348" s="36">
        <v>320</v>
      </c>
      <c r="AZ348" s="33">
        <v>2</v>
      </c>
      <c r="BA348" s="33">
        <v>2</v>
      </c>
      <c r="BB348" s="33">
        <v>1</v>
      </c>
      <c r="BC348" s="33">
        <v>0</v>
      </c>
      <c r="BD348" s="43">
        <v>0.4312038484945574</v>
      </c>
      <c r="BE348" s="33">
        <v>0</v>
      </c>
      <c r="BF348" s="33">
        <v>0</v>
      </c>
      <c r="CE348" s="36">
        <v>314</v>
      </c>
      <c r="CF348" s="33">
        <v>5</v>
      </c>
      <c r="CG348" s="33">
        <v>3</v>
      </c>
      <c r="CH348" s="33">
        <v>2</v>
      </c>
      <c r="CI348" s="33">
        <v>2</v>
      </c>
      <c r="CJ348" s="33">
        <v>6</v>
      </c>
      <c r="CK348" s="33">
        <v>0</v>
      </c>
      <c r="CL348" s="33">
        <v>2</v>
      </c>
      <c r="CM348" s="33">
        <v>3</v>
      </c>
      <c r="CN348" s="33">
        <v>10</v>
      </c>
      <c r="CO348" s="33">
        <v>8</v>
      </c>
      <c r="CP348" s="43">
        <v>6.859039024528682E-2</v>
      </c>
      <c r="CQ348" s="33">
        <v>0</v>
      </c>
      <c r="CR348" s="33">
        <v>0</v>
      </c>
    </row>
    <row r="349" spans="1:96" ht="15" customHeight="1" x14ac:dyDescent="0.25">
      <c r="A349" s="26">
        <v>347</v>
      </c>
      <c r="B349" s="27">
        <v>47</v>
      </c>
      <c r="C349" s="27">
        <v>0</v>
      </c>
      <c r="D349" s="27">
        <v>2</v>
      </c>
      <c r="E349" s="27">
        <v>1309</v>
      </c>
      <c r="F349" s="27">
        <v>1</v>
      </c>
      <c r="G349" s="27">
        <v>4</v>
      </c>
      <c r="H349" s="27">
        <v>1</v>
      </c>
      <c r="I349" s="27">
        <v>3</v>
      </c>
      <c r="J349" s="27">
        <v>1</v>
      </c>
      <c r="K349" s="27">
        <v>467</v>
      </c>
      <c r="L349" s="27">
        <v>2</v>
      </c>
      <c r="M349" s="27">
        <v>1</v>
      </c>
      <c r="N349" s="27">
        <v>99</v>
      </c>
      <c r="O349" s="27">
        <v>3</v>
      </c>
      <c r="P349" s="27">
        <v>2</v>
      </c>
      <c r="Q349" s="27">
        <v>7</v>
      </c>
      <c r="R349" s="27">
        <v>3</v>
      </c>
      <c r="S349" s="27">
        <v>1</v>
      </c>
      <c r="T349" s="27">
        <v>2976</v>
      </c>
      <c r="U349" s="27">
        <v>25751</v>
      </c>
      <c r="V349" s="27">
        <v>3</v>
      </c>
      <c r="W349" s="27">
        <v>0</v>
      </c>
      <c r="X349" s="27">
        <v>19</v>
      </c>
      <c r="Y349" s="27">
        <v>3</v>
      </c>
      <c r="Z349" s="27">
        <v>1</v>
      </c>
      <c r="AA349" s="27">
        <v>80</v>
      </c>
      <c r="AB349" s="27">
        <v>0</v>
      </c>
      <c r="AC349" s="27">
        <v>5</v>
      </c>
      <c r="AD349" s="27">
        <v>3</v>
      </c>
      <c r="AE349" s="27">
        <v>3</v>
      </c>
      <c r="AF349" s="27">
        <v>0</v>
      </c>
      <c r="AG349" s="27">
        <v>0</v>
      </c>
      <c r="AH349" s="27">
        <v>0</v>
      </c>
      <c r="AI349" s="28">
        <v>0</v>
      </c>
      <c r="AK349" s="36">
        <v>316</v>
      </c>
      <c r="AL349" s="33">
        <v>10</v>
      </c>
      <c r="AM349" s="33">
        <v>1</v>
      </c>
      <c r="AN349" s="33">
        <v>4</v>
      </c>
      <c r="AO349" s="33">
        <v>0</v>
      </c>
      <c r="AP349" s="33">
        <v>0</v>
      </c>
      <c r="AQ349" s="33">
        <v>0</v>
      </c>
      <c r="AR349" s="33">
        <v>3</v>
      </c>
      <c r="AS349" s="33">
        <v>8</v>
      </c>
      <c r="AT349" s="33">
        <v>1</v>
      </c>
      <c r="AU349" s="43">
        <v>9.0929860009792779E-2</v>
      </c>
      <c r="AV349" s="33">
        <v>0</v>
      </c>
      <c r="AW349" s="33">
        <v>0</v>
      </c>
      <c r="AY349" s="36">
        <v>321</v>
      </c>
      <c r="AZ349" s="33">
        <v>2</v>
      </c>
      <c r="BA349" s="33">
        <v>3</v>
      </c>
      <c r="BB349" s="33">
        <v>1</v>
      </c>
      <c r="BC349" s="33">
        <v>0</v>
      </c>
      <c r="BD349" s="43">
        <v>0.36139389867144694</v>
      </c>
      <c r="BE349" s="33">
        <v>0</v>
      </c>
      <c r="BF349" s="33">
        <v>0</v>
      </c>
      <c r="CE349" s="36">
        <v>315</v>
      </c>
      <c r="CF349" s="33">
        <v>10</v>
      </c>
      <c r="CG349" s="33">
        <v>4</v>
      </c>
      <c r="CH349" s="33">
        <v>1</v>
      </c>
      <c r="CI349" s="33">
        <v>2</v>
      </c>
      <c r="CJ349" s="33">
        <v>1</v>
      </c>
      <c r="CK349" s="33">
        <v>1</v>
      </c>
      <c r="CL349" s="33">
        <v>0</v>
      </c>
      <c r="CM349" s="33">
        <v>3</v>
      </c>
      <c r="CN349" s="33">
        <v>21</v>
      </c>
      <c r="CO349" s="33">
        <v>11</v>
      </c>
      <c r="CP349" s="43">
        <v>0.16977202454803397</v>
      </c>
      <c r="CQ349" s="33">
        <v>0</v>
      </c>
      <c r="CR349" s="33">
        <v>0</v>
      </c>
    </row>
    <row r="350" spans="1:96" ht="15" customHeight="1" x14ac:dyDescent="0.25">
      <c r="A350" s="26">
        <v>348</v>
      </c>
      <c r="B350" s="27">
        <v>42</v>
      </c>
      <c r="C350" s="27">
        <v>0</v>
      </c>
      <c r="D350" s="27">
        <v>1</v>
      </c>
      <c r="E350" s="27">
        <v>810</v>
      </c>
      <c r="F350" s="27">
        <v>2</v>
      </c>
      <c r="G350" s="27">
        <v>23</v>
      </c>
      <c r="H350" s="27">
        <v>5</v>
      </c>
      <c r="I350" s="27">
        <v>1</v>
      </c>
      <c r="J350" s="27">
        <v>1</v>
      </c>
      <c r="K350" s="27">
        <v>468</v>
      </c>
      <c r="L350" s="27">
        <v>1</v>
      </c>
      <c r="M350" s="27">
        <v>0</v>
      </c>
      <c r="N350" s="27">
        <v>44</v>
      </c>
      <c r="O350" s="27">
        <v>3</v>
      </c>
      <c r="P350" s="27">
        <v>4</v>
      </c>
      <c r="Q350" s="27">
        <v>8</v>
      </c>
      <c r="R350" s="27">
        <v>4</v>
      </c>
      <c r="S350" s="27">
        <v>1</v>
      </c>
      <c r="T350" s="27">
        <v>15992</v>
      </c>
      <c r="U350" s="27">
        <v>15901</v>
      </c>
      <c r="V350" s="27">
        <v>2</v>
      </c>
      <c r="W350" s="27">
        <v>0</v>
      </c>
      <c r="X350" s="27">
        <v>14</v>
      </c>
      <c r="Y350" s="27">
        <v>3</v>
      </c>
      <c r="Z350" s="27">
        <v>2</v>
      </c>
      <c r="AA350" s="27">
        <v>80</v>
      </c>
      <c r="AB350" s="27">
        <v>0</v>
      </c>
      <c r="AC350" s="27">
        <v>16</v>
      </c>
      <c r="AD350" s="27">
        <v>2</v>
      </c>
      <c r="AE350" s="27">
        <v>3</v>
      </c>
      <c r="AF350" s="27">
        <v>1</v>
      </c>
      <c r="AG350" s="27">
        <v>0</v>
      </c>
      <c r="AH350" s="27">
        <v>0</v>
      </c>
      <c r="AI350" s="28">
        <v>0</v>
      </c>
      <c r="AK350" s="36">
        <v>317</v>
      </c>
      <c r="AL350" s="33">
        <v>1</v>
      </c>
      <c r="AM350" s="33">
        <v>4</v>
      </c>
      <c r="AN350" s="33">
        <v>3</v>
      </c>
      <c r="AO350" s="33">
        <v>7</v>
      </c>
      <c r="AP350" s="33">
        <v>1</v>
      </c>
      <c r="AQ350" s="33">
        <v>0</v>
      </c>
      <c r="AR350" s="33">
        <v>3</v>
      </c>
      <c r="AS350" s="33">
        <v>7</v>
      </c>
      <c r="AT350" s="33">
        <v>0</v>
      </c>
      <c r="AU350" s="43">
        <v>0.12500869136083198</v>
      </c>
      <c r="AV350" s="33">
        <v>0</v>
      </c>
      <c r="AW350" s="33">
        <v>0</v>
      </c>
      <c r="AY350" s="36">
        <v>322</v>
      </c>
      <c r="AZ350" s="33">
        <v>2</v>
      </c>
      <c r="BA350" s="33">
        <v>4</v>
      </c>
      <c r="BB350" s="33">
        <v>0</v>
      </c>
      <c r="BC350" s="33">
        <v>3</v>
      </c>
      <c r="BD350" s="43">
        <v>1.9892232637238622E-2</v>
      </c>
      <c r="BE350" s="33">
        <v>0</v>
      </c>
      <c r="BF350" s="33">
        <v>0</v>
      </c>
      <c r="CE350" s="36">
        <v>316</v>
      </c>
      <c r="CF350" s="33">
        <v>10</v>
      </c>
      <c r="CG350" s="33">
        <v>1</v>
      </c>
      <c r="CH350" s="33">
        <v>4</v>
      </c>
      <c r="CI350" s="33">
        <v>1</v>
      </c>
      <c r="CJ350" s="33">
        <v>0</v>
      </c>
      <c r="CK350" s="33">
        <v>0</v>
      </c>
      <c r="CL350" s="33">
        <v>0</v>
      </c>
      <c r="CM350" s="33">
        <v>3</v>
      </c>
      <c r="CN350" s="33">
        <v>8</v>
      </c>
      <c r="CO350" s="33">
        <v>1</v>
      </c>
      <c r="CP350" s="43">
        <v>0.10302945069368946</v>
      </c>
      <c r="CQ350" s="33">
        <v>0</v>
      </c>
      <c r="CR350" s="33">
        <v>0</v>
      </c>
    </row>
    <row r="351" spans="1:96" ht="15" customHeight="1" x14ac:dyDescent="0.25">
      <c r="A351" s="26">
        <v>349</v>
      </c>
      <c r="B351" s="27">
        <v>29</v>
      </c>
      <c r="C351" s="27">
        <v>0</v>
      </c>
      <c r="D351" s="27">
        <v>3</v>
      </c>
      <c r="E351" s="27">
        <v>746</v>
      </c>
      <c r="F351" s="27">
        <v>1</v>
      </c>
      <c r="G351" s="27">
        <v>2</v>
      </c>
      <c r="H351" s="27">
        <v>3</v>
      </c>
      <c r="I351" s="27">
        <v>1</v>
      </c>
      <c r="J351" s="27">
        <v>1</v>
      </c>
      <c r="K351" s="27">
        <v>469</v>
      </c>
      <c r="L351" s="27">
        <v>4</v>
      </c>
      <c r="M351" s="27">
        <v>1</v>
      </c>
      <c r="N351" s="27">
        <v>61</v>
      </c>
      <c r="O351" s="27">
        <v>3</v>
      </c>
      <c r="P351" s="27">
        <v>2</v>
      </c>
      <c r="Q351" s="27">
        <v>1</v>
      </c>
      <c r="R351" s="27">
        <v>3</v>
      </c>
      <c r="S351" s="27">
        <v>2</v>
      </c>
      <c r="T351" s="27">
        <v>4649</v>
      </c>
      <c r="U351" s="27">
        <v>16928</v>
      </c>
      <c r="V351" s="27">
        <v>1</v>
      </c>
      <c r="W351" s="27">
        <v>0</v>
      </c>
      <c r="X351" s="27">
        <v>14</v>
      </c>
      <c r="Y351" s="27">
        <v>3</v>
      </c>
      <c r="Z351" s="27">
        <v>1</v>
      </c>
      <c r="AA351" s="27">
        <v>80</v>
      </c>
      <c r="AB351" s="27">
        <v>1</v>
      </c>
      <c r="AC351" s="27">
        <v>4</v>
      </c>
      <c r="AD351" s="27">
        <v>3</v>
      </c>
      <c r="AE351" s="27">
        <v>2</v>
      </c>
      <c r="AF351" s="27">
        <v>4</v>
      </c>
      <c r="AG351" s="27">
        <v>3</v>
      </c>
      <c r="AH351" s="27">
        <v>0</v>
      </c>
      <c r="AI351" s="28">
        <v>2</v>
      </c>
      <c r="AK351" s="36">
        <v>318</v>
      </c>
      <c r="AL351" s="33">
        <v>8</v>
      </c>
      <c r="AM351" s="33">
        <v>2</v>
      </c>
      <c r="AN351" s="33">
        <v>2</v>
      </c>
      <c r="AO351" s="33">
        <v>2</v>
      </c>
      <c r="AP351" s="33">
        <v>0</v>
      </c>
      <c r="AQ351" s="33">
        <v>0</v>
      </c>
      <c r="AR351" s="33">
        <v>2</v>
      </c>
      <c r="AS351" s="33">
        <v>8</v>
      </c>
      <c r="AT351" s="33">
        <v>7</v>
      </c>
      <c r="AU351" s="43">
        <v>0.22157219414273552</v>
      </c>
      <c r="AV351" s="33">
        <v>0</v>
      </c>
      <c r="AW351" s="33">
        <v>1</v>
      </c>
      <c r="AY351" s="36">
        <v>323</v>
      </c>
      <c r="AZ351" s="33">
        <v>2</v>
      </c>
      <c r="BA351" s="33">
        <v>4</v>
      </c>
      <c r="BB351" s="33">
        <v>0</v>
      </c>
      <c r="BC351" s="33">
        <v>0</v>
      </c>
      <c r="BD351" s="43">
        <v>8.9935487507215722E-2</v>
      </c>
      <c r="BE351" s="33">
        <v>0</v>
      </c>
      <c r="BF351" s="33">
        <v>0</v>
      </c>
      <c r="CE351" s="36">
        <v>317</v>
      </c>
      <c r="CF351" s="33">
        <v>1</v>
      </c>
      <c r="CG351" s="33">
        <v>4</v>
      </c>
      <c r="CH351" s="33">
        <v>3</v>
      </c>
      <c r="CI351" s="33">
        <v>1</v>
      </c>
      <c r="CJ351" s="33">
        <v>7</v>
      </c>
      <c r="CK351" s="33">
        <v>1</v>
      </c>
      <c r="CL351" s="33">
        <v>0</v>
      </c>
      <c r="CM351" s="33">
        <v>3</v>
      </c>
      <c r="CN351" s="33">
        <v>7</v>
      </c>
      <c r="CO351" s="33">
        <v>0</v>
      </c>
      <c r="CP351" s="43">
        <v>0.15396601732851686</v>
      </c>
      <c r="CQ351" s="33">
        <v>0</v>
      </c>
      <c r="CR351" s="33">
        <v>0</v>
      </c>
    </row>
    <row r="352" spans="1:96" ht="15" customHeight="1" x14ac:dyDescent="0.25">
      <c r="A352" s="26">
        <v>350</v>
      </c>
      <c r="B352" s="27">
        <v>42</v>
      </c>
      <c r="C352" s="27">
        <v>0</v>
      </c>
      <c r="D352" s="27">
        <v>1</v>
      </c>
      <c r="E352" s="27">
        <v>544</v>
      </c>
      <c r="F352" s="27">
        <v>3</v>
      </c>
      <c r="G352" s="27">
        <v>2</v>
      </c>
      <c r="H352" s="27">
        <v>1</v>
      </c>
      <c r="I352" s="27">
        <v>5</v>
      </c>
      <c r="J352" s="27">
        <v>1</v>
      </c>
      <c r="K352" s="27">
        <v>470</v>
      </c>
      <c r="L352" s="27">
        <v>3</v>
      </c>
      <c r="M352" s="27">
        <v>1</v>
      </c>
      <c r="N352" s="27">
        <v>52</v>
      </c>
      <c r="O352" s="27">
        <v>3</v>
      </c>
      <c r="P352" s="27">
        <v>1</v>
      </c>
      <c r="Q352" s="27">
        <v>9</v>
      </c>
      <c r="R352" s="27">
        <v>3</v>
      </c>
      <c r="S352" s="27">
        <v>3</v>
      </c>
      <c r="T352" s="27">
        <v>2696</v>
      </c>
      <c r="U352" s="27">
        <v>24017</v>
      </c>
      <c r="V352" s="27">
        <v>0</v>
      </c>
      <c r="W352" s="27">
        <v>1</v>
      </c>
      <c r="X352" s="27">
        <v>11</v>
      </c>
      <c r="Y352" s="27">
        <v>3</v>
      </c>
      <c r="Z352" s="27">
        <v>3</v>
      </c>
      <c r="AA352" s="27">
        <v>80</v>
      </c>
      <c r="AB352" s="27">
        <v>1</v>
      </c>
      <c r="AC352" s="27">
        <v>4</v>
      </c>
      <c r="AD352" s="27">
        <v>5</v>
      </c>
      <c r="AE352" s="27">
        <v>3</v>
      </c>
      <c r="AF352" s="27">
        <v>3</v>
      </c>
      <c r="AG352" s="27">
        <v>2</v>
      </c>
      <c r="AH352" s="27">
        <v>1</v>
      </c>
      <c r="AI352" s="28">
        <v>0</v>
      </c>
      <c r="AK352" s="36">
        <v>319</v>
      </c>
      <c r="AL352" s="33">
        <v>5</v>
      </c>
      <c r="AM352" s="33">
        <v>1</v>
      </c>
      <c r="AN352" s="33">
        <v>2</v>
      </c>
      <c r="AO352" s="33">
        <v>1</v>
      </c>
      <c r="AP352" s="33">
        <v>1</v>
      </c>
      <c r="AQ352" s="33">
        <v>0</v>
      </c>
      <c r="AR352" s="33">
        <v>2</v>
      </c>
      <c r="AS352" s="33">
        <v>4</v>
      </c>
      <c r="AT352" s="33">
        <v>1</v>
      </c>
      <c r="AU352" s="43">
        <v>0.54829087313609381</v>
      </c>
      <c r="AV352" s="33">
        <v>1</v>
      </c>
      <c r="AW352" s="33">
        <v>0</v>
      </c>
      <c r="AY352" s="36">
        <v>324</v>
      </c>
      <c r="AZ352" s="33">
        <v>1</v>
      </c>
      <c r="BA352" s="33">
        <v>4</v>
      </c>
      <c r="BB352" s="33">
        <v>1</v>
      </c>
      <c r="BC352" s="33">
        <v>0</v>
      </c>
      <c r="BD352" s="43">
        <v>0.42475472169672474</v>
      </c>
      <c r="BE352" s="33">
        <v>0</v>
      </c>
      <c r="BF352" s="33">
        <v>1</v>
      </c>
      <c r="CE352" s="36">
        <v>318</v>
      </c>
      <c r="CF352" s="33">
        <v>8</v>
      </c>
      <c r="CG352" s="33">
        <v>2</v>
      </c>
      <c r="CH352" s="33">
        <v>2</v>
      </c>
      <c r="CI352" s="33">
        <v>2</v>
      </c>
      <c r="CJ352" s="33">
        <v>2</v>
      </c>
      <c r="CK352" s="33">
        <v>0</v>
      </c>
      <c r="CL352" s="33">
        <v>0</v>
      </c>
      <c r="CM352" s="33">
        <v>2</v>
      </c>
      <c r="CN352" s="33">
        <v>8</v>
      </c>
      <c r="CO352" s="33">
        <v>7</v>
      </c>
      <c r="CP352" s="43">
        <v>0.16989678695883609</v>
      </c>
      <c r="CQ352" s="33">
        <v>0</v>
      </c>
      <c r="CR352" s="33">
        <v>1</v>
      </c>
    </row>
    <row r="353" spans="1:96" ht="15" customHeight="1" x14ac:dyDescent="0.25">
      <c r="A353" s="26">
        <v>351</v>
      </c>
      <c r="B353" s="27">
        <v>32</v>
      </c>
      <c r="C353" s="27">
        <v>0</v>
      </c>
      <c r="D353" s="27">
        <v>1</v>
      </c>
      <c r="E353" s="27">
        <v>1062</v>
      </c>
      <c r="F353" s="27">
        <v>2</v>
      </c>
      <c r="G353" s="27">
        <v>2</v>
      </c>
      <c r="H353" s="27">
        <v>3</v>
      </c>
      <c r="I353" s="27">
        <v>3</v>
      </c>
      <c r="J353" s="27">
        <v>1</v>
      </c>
      <c r="K353" s="27">
        <v>471</v>
      </c>
      <c r="L353" s="27">
        <v>3</v>
      </c>
      <c r="M353" s="27">
        <v>0</v>
      </c>
      <c r="N353" s="27">
        <v>75</v>
      </c>
      <c r="O353" s="27">
        <v>3</v>
      </c>
      <c r="P353" s="27">
        <v>1</v>
      </c>
      <c r="Q353" s="27">
        <v>3</v>
      </c>
      <c r="R353" s="27">
        <v>2</v>
      </c>
      <c r="S353" s="27">
        <v>2</v>
      </c>
      <c r="T353" s="27">
        <v>2370</v>
      </c>
      <c r="U353" s="27">
        <v>3956</v>
      </c>
      <c r="V353" s="27">
        <v>1</v>
      </c>
      <c r="W353" s="27">
        <v>0</v>
      </c>
      <c r="X353" s="27">
        <v>13</v>
      </c>
      <c r="Y353" s="27">
        <v>3</v>
      </c>
      <c r="Z353" s="27">
        <v>3</v>
      </c>
      <c r="AA353" s="27">
        <v>80</v>
      </c>
      <c r="AB353" s="27">
        <v>1</v>
      </c>
      <c r="AC353" s="27">
        <v>8</v>
      </c>
      <c r="AD353" s="27">
        <v>4</v>
      </c>
      <c r="AE353" s="27">
        <v>3</v>
      </c>
      <c r="AF353" s="27">
        <v>8</v>
      </c>
      <c r="AG353" s="27">
        <v>0</v>
      </c>
      <c r="AH353" s="27">
        <v>0</v>
      </c>
      <c r="AI353" s="28">
        <v>7</v>
      </c>
      <c r="AK353" s="36">
        <v>320</v>
      </c>
      <c r="AL353" s="33">
        <v>8</v>
      </c>
      <c r="AM353" s="33">
        <v>2</v>
      </c>
      <c r="AN353" s="33">
        <v>2</v>
      </c>
      <c r="AO353" s="33">
        <v>1</v>
      </c>
      <c r="AP353" s="33">
        <v>1</v>
      </c>
      <c r="AQ353" s="33">
        <v>0</v>
      </c>
      <c r="AR353" s="33">
        <v>3</v>
      </c>
      <c r="AS353" s="33">
        <v>13</v>
      </c>
      <c r="AT353" s="33">
        <v>11</v>
      </c>
      <c r="AU353" s="43">
        <v>0.49877609404530776</v>
      </c>
      <c r="AV353" s="33">
        <v>0</v>
      </c>
      <c r="AW353" s="33">
        <v>0</v>
      </c>
      <c r="AY353" s="36">
        <v>325</v>
      </c>
      <c r="AZ353" s="33">
        <v>2</v>
      </c>
      <c r="BA353" s="33">
        <v>4</v>
      </c>
      <c r="BB353" s="33">
        <v>0</v>
      </c>
      <c r="BC353" s="33">
        <v>2</v>
      </c>
      <c r="BD353" s="43">
        <v>3.3256067423154199E-2</v>
      </c>
      <c r="BE353" s="33">
        <v>0</v>
      </c>
      <c r="BF353" s="33">
        <v>0</v>
      </c>
      <c r="CE353" s="36">
        <v>319</v>
      </c>
      <c r="CF353" s="33">
        <v>5</v>
      </c>
      <c r="CG353" s="33">
        <v>1</v>
      </c>
      <c r="CH353" s="33">
        <v>2</v>
      </c>
      <c r="CI353" s="33">
        <v>1</v>
      </c>
      <c r="CJ353" s="33">
        <v>1</v>
      </c>
      <c r="CK353" s="33">
        <v>1</v>
      </c>
      <c r="CL353" s="33">
        <v>0</v>
      </c>
      <c r="CM353" s="33">
        <v>2</v>
      </c>
      <c r="CN353" s="33">
        <v>4</v>
      </c>
      <c r="CO353" s="33">
        <v>1</v>
      </c>
      <c r="CP353" s="43">
        <v>0.60598679931780008</v>
      </c>
      <c r="CQ353" s="33">
        <v>1</v>
      </c>
      <c r="CR353" s="33">
        <v>0</v>
      </c>
    </row>
    <row r="354" spans="1:96" ht="15" customHeight="1" x14ac:dyDescent="0.25">
      <c r="A354" s="26">
        <v>352</v>
      </c>
      <c r="B354" s="27">
        <v>48</v>
      </c>
      <c r="C354" s="27">
        <v>0</v>
      </c>
      <c r="D354" s="27">
        <v>1</v>
      </c>
      <c r="E354" s="27">
        <v>530</v>
      </c>
      <c r="F354" s="27">
        <v>1</v>
      </c>
      <c r="G354" s="27">
        <v>29</v>
      </c>
      <c r="H354" s="27">
        <v>1</v>
      </c>
      <c r="I354" s="27">
        <v>3</v>
      </c>
      <c r="J354" s="27">
        <v>1</v>
      </c>
      <c r="K354" s="27">
        <v>473</v>
      </c>
      <c r="L354" s="27">
        <v>1</v>
      </c>
      <c r="M354" s="27">
        <v>0</v>
      </c>
      <c r="N354" s="27">
        <v>91</v>
      </c>
      <c r="O354" s="27">
        <v>3</v>
      </c>
      <c r="P354" s="27">
        <v>3</v>
      </c>
      <c r="Q354" s="27">
        <v>6</v>
      </c>
      <c r="R354" s="27">
        <v>3</v>
      </c>
      <c r="S354" s="27">
        <v>2</v>
      </c>
      <c r="T354" s="27">
        <v>12504</v>
      </c>
      <c r="U354" s="27">
        <v>23978</v>
      </c>
      <c r="V354" s="27">
        <v>3</v>
      </c>
      <c r="W354" s="27">
        <v>0</v>
      </c>
      <c r="X354" s="27">
        <v>21</v>
      </c>
      <c r="Y354" s="27">
        <v>4</v>
      </c>
      <c r="Z354" s="27">
        <v>2</v>
      </c>
      <c r="AA354" s="27">
        <v>80</v>
      </c>
      <c r="AB354" s="27">
        <v>1</v>
      </c>
      <c r="AC354" s="27">
        <v>15</v>
      </c>
      <c r="AD354" s="27">
        <v>3</v>
      </c>
      <c r="AE354" s="27">
        <v>1</v>
      </c>
      <c r="AF354" s="27">
        <v>0</v>
      </c>
      <c r="AG354" s="27">
        <v>0</v>
      </c>
      <c r="AH354" s="27">
        <v>0</v>
      </c>
      <c r="AI354" s="28">
        <v>0</v>
      </c>
      <c r="AK354" s="36">
        <v>321</v>
      </c>
      <c r="AL354" s="33">
        <v>2</v>
      </c>
      <c r="AM354" s="33">
        <v>2</v>
      </c>
      <c r="AN354" s="33">
        <v>3</v>
      </c>
      <c r="AO354" s="33">
        <v>1</v>
      </c>
      <c r="AP354" s="33">
        <v>1</v>
      </c>
      <c r="AQ354" s="33">
        <v>0</v>
      </c>
      <c r="AR354" s="33">
        <v>3</v>
      </c>
      <c r="AS354" s="33">
        <v>5</v>
      </c>
      <c r="AT354" s="33">
        <v>0</v>
      </c>
      <c r="AU354" s="43">
        <v>0.23708265687821489</v>
      </c>
      <c r="AV354" s="33">
        <v>0</v>
      </c>
      <c r="AW354" s="33">
        <v>0</v>
      </c>
      <c r="AY354" s="36">
        <v>326</v>
      </c>
      <c r="AZ354" s="33">
        <v>3</v>
      </c>
      <c r="BA354" s="33">
        <v>3</v>
      </c>
      <c r="BB354" s="33">
        <v>0</v>
      </c>
      <c r="BC354" s="33">
        <v>1</v>
      </c>
      <c r="BD354" s="43">
        <v>4.2774603045834733E-2</v>
      </c>
      <c r="BE354" s="33">
        <v>0</v>
      </c>
      <c r="BF354" s="33">
        <v>0</v>
      </c>
      <c r="CE354" s="36">
        <v>320</v>
      </c>
      <c r="CF354" s="33">
        <v>8</v>
      </c>
      <c r="CG354" s="33">
        <v>2</v>
      </c>
      <c r="CH354" s="33">
        <v>2</v>
      </c>
      <c r="CI354" s="33">
        <v>2</v>
      </c>
      <c r="CJ354" s="33">
        <v>1</v>
      </c>
      <c r="CK354" s="33">
        <v>1</v>
      </c>
      <c r="CL354" s="33">
        <v>0</v>
      </c>
      <c r="CM354" s="33">
        <v>3</v>
      </c>
      <c r="CN354" s="33">
        <v>13</v>
      </c>
      <c r="CO354" s="33">
        <v>11</v>
      </c>
      <c r="CP354" s="43">
        <v>0.42487803721114947</v>
      </c>
      <c r="CQ354" s="33">
        <v>0</v>
      </c>
      <c r="CR354" s="33">
        <v>0</v>
      </c>
    </row>
    <row r="355" spans="1:96" ht="15" customHeight="1" x14ac:dyDescent="0.25">
      <c r="A355" s="26">
        <v>353</v>
      </c>
      <c r="B355" s="27">
        <v>37</v>
      </c>
      <c r="C355" s="27">
        <v>0</v>
      </c>
      <c r="D355" s="27">
        <v>1</v>
      </c>
      <c r="E355" s="27">
        <v>1319</v>
      </c>
      <c r="F355" s="27">
        <v>2</v>
      </c>
      <c r="G355" s="27">
        <v>6</v>
      </c>
      <c r="H355" s="27">
        <v>3</v>
      </c>
      <c r="I355" s="27">
        <v>3</v>
      </c>
      <c r="J355" s="27">
        <v>1</v>
      </c>
      <c r="K355" s="27">
        <v>474</v>
      </c>
      <c r="L355" s="27">
        <v>3</v>
      </c>
      <c r="M355" s="27">
        <v>1</v>
      </c>
      <c r="N355" s="27">
        <v>51</v>
      </c>
      <c r="O355" s="27">
        <v>4</v>
      </c>
      <c r="P355" s="27">
        <v>2</v>
      </c>
      <c r="Q355" s="27">
        <v>2</v>
      </c>
      <c r="R355" s="27">
        <v>1</v>
      </c>
      <c r="S355" s="27">
        <v>3</v>
      </c>
      <c r="T355" s="27">
        <v>5974</v>
      </c>
      <c r="U355" s="27">
        <v>17001</v>
      </c>
      <c r="V355" s="27">
        <v>4</v>
      </c>
      <c r="W355" s="27">
        <v>1</v>
      </c>
      <c r="X355" s="27">
        <v>13</v>
      </c>
      <c r="Y355" s="27">
        <v>3</v>
      </c>
      <c r="Z355" s="27">
        <v>1</v>
      </c>
      <c r="AA355" s="27">
        <v>80</v>
      </c>
      <c r="AB355" s="27">
        <v>2</v>
      </c>
      <c r="AC355" s="27">
        <v>13</v>
      </c>
      <c r="AD355" s="27">
        <v>2</v>
      </c>
      <c r="AE355" s="27">
        <v>3</v>
      </c>
      <c r="AF355" s="27">
        <v>7</v>
      </c>
      <c r="AG355" s="27">
        <v>7</v>
      </c>
      <c r="AH355" s="27">
        <v>6</v>
      </c>
      <c r="AI355" s="28">
        <v>7</v>
      </c>
      <c r="AK355" s="36">
        <v>322</v>
      </c>
      <c r="AL355" s="33">
        <v>7</v>
      </c>
      <c r="AM355" s="33">
        <v>2</v>
      </c>
      <c r="AN355" s="33">
        <v>4</v>
      </c>
      <c r="AO355" s="33">
        <v>4</v>
      </c>
      <c r="AP355" s="33">
        <v>0</v>
      </c>
      <c r="AQ355" s="33">
        <v>3</v>
      </c>
      <c r="AR355" s="33">
        <v>3</v>
      </c>
      <c r="AS355" s="33">
        <v>7</v>
      </c>
      <c r="AT355" s="33">
        <v>1</v>
      </c>
      <c r="AU355" s="43">
        <v>1.4089432018589847E-2</v>
      </c>
      <c r="AV355" s="33">
        <v>0</v>
      </c>
      <c r="AW355" s="33">
        <v>0</v>
      </c>
      <c r="AY355" s="36">
        <v>327</v>
      </c>
      <c r="AZ355" s="33">
        <v>5</v>
      </c>
      <c r="BA355" s="33">
        <v>4</v>
      </c>
      <c r="BB355" s="33">
        <v>0</v>
      </c>
      <c r="BC355" s="33">
        <v>1</v>
      </c>
      <c r="BD355" s="43">
        <v>1.0800557147898916E-2</v>
      </c>
      <c r="BE355" s="33">
        <v>0</v>
      </c>
      <c r="BF355" s="33">
        <v>0</v>
      </c>
      <c r="CE355" s="36">
        <v>321</v>
      </c>
      <c r="CF355" s="33">
        <v>2</v>
      </c>
      <c r="CG355" s="33">
        <v>2</v>
      </c>
      <c r="CH355" s="33">
        <v>3</v>
      </c>
      <c r="CI355" s="33">
        <v>1</v>
      </c>
      <c r="CJ355" s="33">
        <v>1</v>
      </c>
      <c r="CK355" s="33">
        <v>1</v>
      </c>
      <c r="CL355" s="33">
        <v>0</v>
      </c>
      <c r="CM355" s="33">
        <v>3</v>
      </c>
      <c r="CN355" s="33">
        <v>5</v>
      </c>
      <c r="CO355" s="33">
        <v>0</v>
      </c>
      <c r="CP355" s="43">
        <v>0.27730745812824009</v>
      </c>
      <c r="CQ355" s="33">
        <v>0</v>
      </c>
      <c r="CR355" s="33">
        <v>0</v>
      </c>
    </row>
    <row r="356" spans="1:96" ht="15" customHeight="1" x14ac:dyDescent="0.25">
      <c r="A356" s="26">
        <v>354</v>
      </c>
      <c r="B356" s="27">
        <v>30</v>
      </c>
      <c r="C356" s="27">
        <v>0</v>
      </c>
      <c r="D356" s="27">
        <v>3</v>
      </c>
      <c r="E356" s="27">
        <v>641</v>
      </c>
      <c r="F356" s="27">
        <v>1</v>
      </c>
      <c r="G356" s="27">
        <v>25</v>
      </c>
      <c r="H356" s="27">
        <v>2</v>
      </c>
      <c r="I356" s="27">
        <v>5</v>
      </c>
      <c r="J356" s="27">
        <v>1</v>
      </c>
      <c r="K356" s="27">
        <v>475</v>
      </c>
      <c r="L356" s="27">
        <v>4</v>
      </c>
      <c r="M356" s="27">
        <v>0</v>
      </c>
      <c r="N356" s="27">
        <v>85</v>
      </c>
      <c r="O356" s="27">
        <v>3</v>
      </c>
      <c r="P356" s="27">
        <v>2</v>
      </c>
      <c r="Q356" s="27">
        <v>1</v>
      </c>
      <c r="R356" s="27">
        <v>3</v>
      </c>
      <c r="S356" s="27">
        <v>2</v>
      </c>
      <c r="T356" s="27">
        <v>4736</v>
      </c>
      <c r="U356" s="27">
        <v>6069</v>
      </c>
      <c r="V356" s="27">
        <v>7</v>
      </c>
      <c r="W356" s="27">
        <v>1</v>
      </c>
      <c r="X356" s="27">
        <v>12</v>
      </c>
      <c r="Y356" s="27">
        <v>3</v>
      </c>
      <c r="Z356" s="27">
        <v>2</v>
      </c>
      <c r="AA356" s="27">
        <v>80</v>
      </c>
      <c r="AB356" s="27">
        <v>1</v>
      </c>
      <c r="AC356" s="27">
        <v>4</v>
      </c>
      <c r="AD356" s="27">
        <v>2</v>
      </c>
      <c r="AE356" s="27">
        <v>4</v>
      </c>
      <c r="AF356" s="27">
        <v>2</v>
      </c>
      <c r="AG356" s="27">
        <v>2</v>
      </c>
      <c r="AH356" s="27">
        <v>2</v>
      </c>
      <c r="AI356" s="28">
        <v>2</v>
      </c>
      <c r="AK356" s="36">
        <v>323</v>
      </c>
      <c r="AL356" s="33">
        <v>2</v>
      </c>
      <c r="AM356" s="33">
        <v>2</v>
      </c>
      <c r="AN356" s="33">
        <v>4</v>
      </c>
      <c r="AO356" s="33">
        <v>7</v>
      </c>
      <c r="AP356" s="33">
        <v>0</v>
      </c>
      <c r="AQ356" s="33">
        <v>0</v>
      </c>
      <c r="AR356" s="33">
        <v>2</v>
      </c>
      <c r="AS356" s="33">
        <v>7</v>
      </c>
      <c r="AT356" s="33">
        <v>0</v>
      </c>
      <c r="AU356" s="43">
        <v>8.7559433464464306E-2</v>
      </c>
      <c r="AV356" s="33">
        <v>0</v>
      </c>
      <c r="AW356" s="33">
        <v>0</v>
      </c>
      <c r="AY356" s="36">
        <v>328</v>
      </c>
      <c r="AZ356" s="33">
        <v>2</v>
      </c>
      <c r="BA356" s="33">
        <v>3</v>
      </c>
      <c r="BB356" s="33">
        <v>1</v>
      </c>
      <c r="BC356" s="33">
        <v>0</v>
      </c>
      <c r="BD356" s="43">
        <v>0.36139389867144694</v>
      </c>
      <c r="BE356" s="33">
        <v>0</v>
      </c>
      <c r="BF356" s="33">
        <v>1</v>
      </c>
      <c r="CE356" s="36">
        <v>322</v>
      </c>
      <c r="CF356" s="33">
        <v>7</v>
      </c>
      <c r="CG356" s="33">
        <v>2</v>
      </c>
      <c r="CH356" s="33">
        <v>4</v>
      </c>
      <c r="CI356" s="33">
        <v>3</v>
      </c>
      <c r="CJ356" s="33">
        <v>4</v>
      </c>
      <c r="CK356" s="33">
        <v>0</v>
      </c>
      <c r="CL356" s="33">
        <v>3</v>
      </c>
      <c r="CM356" s="33">
        <v>3</v>
      </c>
      <c r="CN356" s="33">
        <v>7</v>
      </c>
      <c r="CO356" s="33">
        <v>1</v>
      </c>
      <c r="CP356" s="43">
        <v>1.5255990481251489E-2</v>
      </c>
      <c r="CQ356" s="33">
        <v>0</v>
      </c>
      <c r="CR356" s="33">
        <v>0</v>
      </c>
    </row>
    <row r="357" spans="1:96" ht="15" customHeight="1" x14ac:dyDescent="0.25">
      <c r="A357" s="26">
        <v>355</v>
      </c>
      <c r="B357" s="27">
        <v>26</v>
      </c>
      <c r="C357" s="27">
        <v>0</v>
      </c>
      <c r="D357" s="27">
        <v>1</v>
      </c>
      <c r="E357" s="27">
        <v>933</v>
      </c>
      <c r="F357" s="27">
        <v>1</v>
      </c>
      <c r="G357" s="27">
        <v>1</v>
      </c>
      <c r="H357" s="27">
        <v>3</v>
      </c>
      <c r="I357" s="27">
        <v>1</v>
      </c>
      <c r="J357" s="27">
        <v>1</v>
      </c>
      <c r="K357" s="27">
        <v>476</v>
      </c>
      <c r="L357" s="27">
        <v>3</v>
      </c>
      <c r="M357" s="27">
        <v>1</v>
      </c>
      <c r="N357" s="27">
        <v>57</v>
      </c>
      <c r="O357" s="27">
        <v>3</v>
      </c>
      <c r="P357" s="27">
        <v>2</v>
      </c>
      <c r="Q357" s="27">
        <v>1</v>
      </c>
      <c r="R357" s="27">
        <v>3</v>
      </c>
      <c r="S357" s="27">
        <v>2</v>
      </c>
      <c r="T357" s="27">
        <v>5296</v>
      </c>
      <c r="U357" s="27">
        <v>20156</v>
      </c>
      <c r="V357" s="27">
        <v>1</v>
      </c>
      <c r="W357" s="27">
        <v>0</v>
      </c>
      <c r="X357" s="27">
        <v>17</v>
      </c>
      <c r="Y357" s="27">
        <v>3</v>
      </c>
      <c r="Z357" s="27">
        <v>2</v>
      </c>
      <c r="AA357" s="27">
        <v>80</v>
      </c>
      <c r="AB357" s="27">
        <v>1</v>
      </c>
      <c r="AC357" s="27">
        <v>8</v>
      </c>
      <c r="AD357" s="27">
        <v>3</v>
      </c>
      <c r="AE357" s="27">
        <v>3</v>
      </c>
      <c r="AF357" s="27">
        <v>8</v>
      </c>
      <c r="AG357" s="27">
        <v>7</v>
      </c>
      <c r="AH357" s="27">
        <v>7</v>
      </c>
      <c r="AI357" s="28">
        <v>7</v>
      </c>
      <c r="AK357" s="36">
        <v>324</v>
      </c>
      <c r="AL357" s="33">
        <v>2</v>
      </c>
      <c r="AM357" s="33">
        <v>1</v>
      </c>
      <c r="AN357" s="33">
        <v>4</v>
      </c>
      <c r="AO357" s="33">
        <v>5</v>
      </c>
      <c r="AP357" s="33">
        <v>1</v>
      </c>
      <c r="AQ357" s="33">
        <v>0</v>
      </c>
      <c r="AR357" s="33">
        <v>2</v>
      </c>
      <c r="AS357" s="33">
        <v>3</v>
      </c>
      <c r="AT357" s="33">
        <v>2</v>
      </c>
      <c r="AU357" s="43">
        <v>0.50755155370785854</v>
      </c>
      <c r="AV357" s="33">
        <v>1</v>
      </c>
      <c r="AW357" s="33">
        <v>1</v>
      </c>
      <c r="AY357" s="36">
        <v>329</v>
      </c>
      <c r="AZ357" s="33">
        <v>2</v>
      </c>
      <c r="BA357" s="33">
        <v>4</v>
      </c>
      <c r="BB357" s="33">
        <v>0</v>
      </c>
      <c r="BC357" s="33">
        <v>0</v>
      </c>
      <c r="BD357" s="43">
        <v>8.9935487507215722E-2</v>
      </c>
      <c r="BE357" s="33">
        <v>0</v>
      </c>
      <c r="BF357" s="33">
        <v>0</v>
      </c>
      <c r="CE357" s="36">
        <v>323</v>
      </c>
      <c r="CF357" s="33">
        <v>2</v>
      </c>
      <c r="CG357" s="33">
        <v>2</v>
      </c>
      <c r="CH357" s="33">
        <v>4</v>
      </c>
      <c r="CI357" s="33">
        <v>1</v>
      </c>
      <c r="CJ357" s="33">
        <v>7</v>
      </c>
      <c r="CK357" s="33">
        <v>0</v>
      </c>
      <c r="CL357" s="33">
        <v>0</v>
      </c>
      <c r="CM357" s="33">
        <v>2</v>
      </c>
      <c r="CN357" s="33">
        <v>7</v>
      </c>
      <c r="CO357" s="33">
        <v>0</v>
      </c>
      <c r="CP357" s="43">
        <v>0.10273676419525037</v>
      </c>
      <c r="CQ357" s="33">
        <v>0</v>
      </c>
      <c r="CR357" s="33">
        <v>0</v>
      </c>
    </row>
    <row r="358" spans="1:96" ht="15" customHeight="1" x14ac:dyDescent="0.25">
      <c r="A358" s="26">
        <v>356</v>
      </c>
      <c r="B358" s="27">
        <v>42</v>
      </c>
      <c r="C358" s="27">
        <v>0</v>
      </c>
      <c r="D358" s="27">
        <v>1</v>
      </c>
      <c r="E358" s="27">
        <v>1332</v>
      </c>
      <c r="F358" s="27">
        <v>2</v>
      </c>
      <c r="G358" s="27">
        <v>2</v>
      </c>
      <c r="H358" s="27">
        <v>4</v>
      </c>
      <c r="I358" s="27">
        <v>6</v>
      </c>
      <c r="J358" s="27">
        <v>1</v>
      </c>
      <c r="K358" s="27">
        <v>477</v>
      </c>
      <c r="L358" s="27">
        <v>1</v>
      </c>
      <c r="M358" s="27">
        <v>1</v>
      </c>
      <c r="N358" s="27">
        <v>98</v>
      </c>
      <c r="O358" s="27">
        <v>2</v>
      </c>
      <c r="P358" s="27">
        <v>2</v>
      </c>
      <c r="Q358" s="27">
        <v>5</v>
      </c>
      <c r="R358" s="27">
        <v>4</v>
      </c>
      <c r="S358" s="27">
        <v>1</v>
      </c>
      <c r="T358" s="27">
        <v>6781</v>
      </c>
      <c r="U358" s="27">
        <v>17078</v>
      </c>
      <c r="V358" s="27">
        <v>3</v>
      </c>
      <c r="W358" s="27">
        <v>0</v>
      </c>
      <c r="X358" s="27">
        <v>23</v>
      </c>
      <c r="Y358" s="27">
        <v>4</v>
      </c>
      <c r="Z358" s="27">
        <v>2</v>
      </c>
      <c r="AA358" s="27">
        <v>80</v>
      </c>
      <c r="AB358" s="27">
        <v>0</v>
      </c>
      <c r="AC358" s="27">
        <v>14</v>
      </c>
      <c r="AD358" s="27">
        <v>6</v>
      </c>
      <c r="AE358" s="27">
        <v>3</v>
      </c>
      <c r="AF358" s="27">
        <v>1</v>
      </c>
      <c r="AG358" s="27">
        <v>0</v>
      </c>
      <c r="AH358" s="27">
        <v>0</v>
      </c>
      <c r="AI358" s="28">
        <v>0</v>
      </c>
      <c r="AK358" s="36">
        <v>325</v>
      </c>
      <c r="AL358" s="33">
        <v>28</v>
      </c>
      <c r="AM358" s="33">
        <v>2</v>
      </c>
      <c r="AN358" s="33">
        <v>4</v>
      </c>
      <c r="AO358" s="33">
        <v>1</v>
      </c>
      <c r="AP358" s="33">
        <v>0</v>
      </c>
      <c r="AQ358" s="33">
        <v>2</v>
      </c>
      <c r="AR358" s="33">
        <v>3</v>
      </c>
      <c r="AS358" s="33">
        <v>10</v>
      </c>
      <c r="AT358" s="33">
        <v>1</v>
      </c>
      <c r="AU358" s="43">
        <v>3.0980290107413842E-2</v>
      </c>
      <c r="AV358" s="33">
        <v>0</v>
      </c>
      <c r="AW358" s="33">
        <v>0</v>
      </c>
      <c r="AY358" s="36">
        <v>330</v>
      </c>
      <c r="AZ358" s="33">
        <v>5</v>
      </c>
      <c r="BA358" s="33">
        <v>3</v>
      </c>
      <c r="BB358" s="33">
        <v>0</v>
      </c>
      <c r="BC358" s="33">
        <v>1</v>
      </c>
      <c r="BD358" s="43">
        <v>1.4415653001325196E-2</v>
      </c>
      <c r="BE358" s="33">
        <v>0</v>
      </c>
      <c r="BF358" s="33">
        <v>0</v>
      </c>
      <c r="CE358" s="36">
        <v>324</v>
      </c>
      <c r="CF358" s="33">
        <v>2</v>
      </c>
      <c r="CG358" s="33">
        <v>1</v>
      </c>
      <c r="CH358" s="33">
        <v>4</v>
      </c>
      <c r="CI358" s="33">
        <v>2</v>
      </c>
      <c r="CJ358" s="33">
        <v>5</v>
      </c>
      <c r="CK358" s="33">
        <v>1</v>
      </c>
      <c r="CL358" s="33">
        <v>0</v>
      </c>
      <c r="CM358" s="33">
        <v>2</v>
      </c>
      <c r="CN358" s="33">
        <v>3</v>
      </c>
      <c r="CO358" s="33">
        <v>2</v>
      </c>
      <c r="CP358" s="43">
        <v>0.42229695359216218</v>
      </c>
      <c r="CQ358" s="33">
        <v>0</v>
      </c>
      <c r="CR358" s="33">
        <v>1</v>
      </c>
    </row>
    <row r="359" spans="1:96" ht="15" customHeight="1" x14ac:dyDescent="0.25">
      <c r="A359" s="26">
        <v>357</v>
      </c>
      <c r="B359" s="27">
        <v>21</v>
      </c>
      <c r="C359" s="27">
        <v>1</v>
      </c>
      <c r="D359" s="27">
        <v>2</v>
      </c>
      <c r="E359" s="27">
        <v>756</v>
      </c>
      <c r="F359" s="27">
        <v>1</v>
      </c>
      <c r="G359" s="27">
        <v>1</v>
      </c>
      <c r="H359" s="27">
        <v>1</v>
      </c>
      <c r="I359" s="27">
        <v>5</v>
      </c>
      <c r="J359" s="27">
        <v>1</v>
      </c>
      <c r="K359" s="27">
        <v>478</v>
      </c>
      <c r="L359" s="27">
        <v>1</v>
      </c>
      <c r="M359" s="27">
        <v>0</v>
      </c>
      <c r="N359" s="27">
        <v>99</v>
      </c>
      <c r="O359" s="27">
        <v>2</v>
      </c>
      <c r="P359" s="27">
        <v>1</v>
      </c>
      <c r="Q359" s="27">
        <v>7</v>
      </c>
      <c r="R359" s="27">
        <v>2</v>
      </c>
      <c r="S359" s="27">
        <v>1</v>
      </c>
      <c r="T359" s="27">
        <v>2174</v>
      </c>
      <c r="U359" s="27">
        <v>9150</v>
      </c>
      <c r="V359" s="27">
        <v>1</v>
      </c>
      <c r="W359" s="27">
        <v>1</v>
      </c>
      <c r="X359" s="27">
        <v>11</v>
      </c>
      <c r="Y359" s="27">
        <v>3</v>
      </c>
      <c r="Z359" s="27">
        <v>3</v>
      </c>
      <c r="AA359" s="27">
        <v>80</v>
      </c>
      <c r="AB359" s="27">
        <v>0</v>
      </c>
      <c r="AC359" s="27">
        <v>3</v>
      </c>
      <c r="AD359" s="27">
        <v>3</v>
      </c>
      <c r="AE359" s="27">
        <v>3</v>
      </c>
      <c r="AF359" s="27">
        <v>3</v>
      </c>
      <c r="AG359" s="27">
        <v>2</v>
      </c>
      <c r="AH359" s="27">
        <v>1</v>
      </c>
      <c r="AI359" s="28">
        <v>2</v>
      </c>
      <c r="AK359" s="36">
        <v>326</v>
      </c>
      <c r="AL359" s="33">
        <v>7</v>
      </c>
      <c r="AM359" s="33">
        <v>3</v>
      </c>
      <c r="AN359" s="33">
        <v>3</v>
      </c>
      <c r="AO359" s="33">
        <v>1</v>
      </c>
      <c r="AP359" s="33">
        <v>0</v>
      </c>
      <c r="AQ359" s="33">
        <v>1</v>
      </c>
      <c r="AR359" s="33">
        <v>3</v>
      </c>
      <c r="AS359" s="33">
        <v>10</v>
      </c>
      <c r="AT359" s="33">
        <v>8</v>
      </c>
      <c r="AU359" s="43">
        <v>4.5291798662342835E-2</v>
      </c>
      <c r="AV359" s="33">
        <v>0</v>
      </c>
      <c r="AW359" s="33">
        <v>0</v>
      </c>
      <c r="AY359" s="36">
        <v>331</v>
      </c>
      <c r="AZ359" s="33">
        <v>2</v>
      </c>
      <c r="BA359" s="33">
        <v>3</v>
      </c>
      <c r="BB359" s="33">
        <v>0</v>
      </c>
      <c r="BC359" s="33">
        <v>1</v>
      </c>
      <c r="BD359" s="43">
        <v>7.244788656931947E-2</v>
      </c>
      <c r="BE359" s="33">
        <v>0</v>
      </c>
      <c r="BF359" s="33">
        <v>0</v>
      </c>
      <c r="CE359" s="36">
        <v>325</v>
      </c>
      <c r="CF359" s="33">
        <v>28</v>
      </c>
      <c r="CG359" s="33">
        <v>2</v>
      </c>
      <c r="CH359" s="33">
        <v>4</v>
      </c>
      <c r="CI359" s="33">
        <v>2</v>
      </c>
      <c r="CJ359" s="33">
        <v>1</v>
      </c>
      <c r="CK359" s="33">
        <v>0</v>
      </c>
      <c r="CL359" s="33">
        <v>2</v>
      </c>
      <c r="CM359" s="33">
        <v>3</v>
      </c>
      <c r="CN359" s="33">
        <v>10</v>
      </c>
      <c r="CO359" s="33">
        <v>1</v>
      </c>
      <c r="CP359" s="43">
        <v>4.0515858243416615E-2</v>
      </c>
      <c r="CQ359" s="33">
        <v>0</v>
      </c>
      <c r="CR359" s="33">
        <v>0</v>
      </c>
    </row>
    <row r="360" spans="1:96" ht="15" customHeight="1" x14ac:dyDescent="0.25">
      <c r="A360" s="26">
        <v>358</v>
      </c>
      <c r="B360" s="27">
        <v>36</v>
      </c>
      <c r="C360" s="27">
        <v>0</v>
      </c>
      <c r="D360" s="27">
        <v>3</v>
      </c>
      <c r="E360" s="27">
        <v>845</v>
      </c>
      <c r="F360" s="27">
        <v>1</v>
      </c>
      <c r="G360" s="27">
        <v>1</v>
      </c>
      <c r="H360" s="27">
        <v>5</v>
      </c>
      <c r="I360" s="27">
        <v>3</v>
      </c>
      <c r="J360" s="27">
        <v>1</v>
      </c>
      <c r="K360" s="27">
        <v>479</v>
      </c>
      <c r="L360" s="27">
        <v>4</v>
      </c>
      <c r="M360" s="27">
        <v>0</v>
      </c>
      <c r="N360" s="27">
        <v>45</v>
      </c>
      <c r="O360" s="27">
        <v>3</v>
      </c>
      <c r="P360" s="27">
        <v>2</v>
      </c>
      <c r="Q360" s="27">
        <v>1</v>
      </c>
      <c r="R360" s="27">
        <v>4</v>
      </c>
      <c r="S360" s="27">
        <v>1</v>
      </c>
      <c r="T360" s="27">
        <v>6653</v>
      </c>
      <c r="U360" s="27">
        <v>15276</v>
      </c>
      <c r="V360" s="27">
        <v>4</v>
      </c>
      <c r="W360" s="27">
        <v>0</v>
      </c>
      <c r="X360" s="27">
        <v>15</v>
      </c>
      <c r="Y360" s="27">
        <v>3</v>
      </c>
      <c r="Z360" s="27">
        <v>2</v>
      </c>
      <c r="AA360" s="27">
        <v>80</v>
      </c>
      <c r="AB360" s="27">
        <v>0</v>
      </c>
      <c r="AC360" s="27">
        <v>7</v>
      </c>
      <c r="AD360" s="27">
        <v>6</v>
      </c>
      <c r="AE360" s="27">
        <v>3</v>
      </c>
      <c r="AF360" s="27">
        <v>1</v>
      </c>
      <c r="AG360" s="27">
        <v>0</v>
      </c>
      <c r="AH360" s="27">
        <v>0</v>
      </c>
      <c r="AI360" s="28">
        <v>0</v>
      </c>
      <c r="AK360" s="36">
        <v>327</v>
      </c>
      <c r="AL360" s="33">
        <v>7</v>
      </c>
      <c r="AM360" s="33">
        <v>5</v>
      </c>
      <c r="AN360" s="33">
        <v>4</v>
      </c>
      <c r="AO360" s="33">
        <v>1</v>
      </c>
      <c r="AP360" s="33">
        <v>0</v>
      </c>
      <c r="AQ360" s="33">
        <v>1</v>
      </c>
      <c r="AR360" s="33">
        <v>3</v>
      </c>
      <c r="AS360" s="33">
        <v>21</v>
      </c>
      <c r="AT360" s="33">
        <v>13</v>
      </c>
      <c r="AU360" s="43">
        <v>9.2863373934065751E-3</v>
      </c>
      <c r="AV360" s="33">
        <v>0</v>
      </c>
      <c r="AW360" s="33">
        <v>0</v>
      </c>
      <c r="AY360" s="36">
        <v>332</v>
      </c>
      <c r="AZ360" s="33">
        <v>2</v>
      </c>
      <c r="BA360" s="33">
        <v>2</v>
      </c>
      <c r="BB360" s="33">
        <v>1</v>
      </c>
      <c r="BC360" s="33">
        <v>1</v>
      </c>
      <c r="BD360" s="43">
        <v>0.30904710588370227</v>
      </c>
      <c r="BE360" s="33">
        <v>0</v>
      </c>
      <c r="BF360" s="33">
        <v>0</v>
      </c>
      <c r="CE360" s="36">
        <v>326</v>
      </c>
      <c r="CF360" s="33">
        <v>7</v>
      </c>
      <c r="CG360" s="33">
        <v>3</v>
      </c>
      <c r="CH360" s="33">
        <v>3</v>
      </c>
      <c r="CI360" s="33">
        <v>2</v>
      </c>
      <c r="CJ360" s="33">
        <v>1</v>
      </c>
      <c r="CK360" s="33">
        <v>0</v>
      </c>
      <c r="CL360" s="33">
        <v>1</v>
      </c>
      <c r="CM360" s="33">
        <v>3</v>
      </c>
      <c r="CN360" s="33">
        <v>10</v>
      </c>
      <c r="CO360" s="33">
        <v>8</v>
      </c>
      <c r="CP360" s="43">
        <v>4.4932474890229765E-2</v>
      </c>
      <c r="CQ360" s="33">
        <v>0</v>
      </c>
      <c r="CR360" s="33">
        <v>0</v>
      </c>
    </row>
    <row r="361" spans="1:96" ht="15" customHeight="1" x14ac:dyDescent="0.25">
      <c r="A361" s="26">
        <v>359</v>
      </c>
      <c r="B361" s="27">
        <v>36</v>
      </c>
      <c r="C361" s="27">
        <v>0</v>
      </c>
      <c r="D361" s="27">
        <v>2</v>
      </c>
      <c r="E361" s="27">
        <v>541</v>
      </c>
      <c r="F361" s="27">
        <v>1</v>
      </c>
      <c r="G361" s="27">
        <v>3</v>
      </c>
      <c r="H361" s="27">
        <v>4</v>
      </c>
      <c r="I361" s="27">
        <v>3</v>
      </c>
      <c r="J361" s="27">
        <v>1</v>
      </c>
      <c r="K361" s="27">
        <v>481</v>
      </c>
      <c r="L361" s="27">
        <v>1</v>
      </c>
      <c r="M361" s="27">
        <v>1</v>
      </c>
      <c r="N361" s="27">
        <v>48</v>
      </c>
      <c r="O361" s="27">
        <v>2</v>
      </c>
      <c r="P361" s="27">
        <v>3</v>
      </c>
      <c r="Q361" s="27">
        <v>1</v>
      </c>
      <c r="R361" s="27">
        <v>4</v>
      </c>
      <c r="S361" s="27">
        <v>2</v>
      </c>
      <c r="T361" s="27">
        <v>9699</v>
      </c>
      <c r="U361" s="27">
        <v>7246</v>
      </c>
      <c r="V361" s="27">
        <v>4</v>
      </c>
      <c r="W361" s="27">
        <v>0</v>
      </c>
      <c r="X361" s="27">
        <v>11</v>
      </c>
      <c r="Y361" s="27">
        <v>3</v>
      </c>
      <c r="Z361" s="27">
        <v>1</v>
      </c>
      <c r="AA361" s="27">
        <v>80</v>
      </c>
      <c r="AB361" s="27">
        <v>1</v>
      </c>
      <c r="AC361" s="27">
        <v>16</v>
      </c>
      <c r="AD361" s="27">
        <v>2</v>
      </c>
      <c r="AE361" s="27">
        <v>3</v>
      </c>
      <c r="AF361" s="27">
        <v>13</v>
      </c>
      <c r="AG361" s="27">
        <v>9</v>
      </c>
      <c r="AH361" s="27">
        <v>1</v>
      </c>
      <c r="AI361" s="28">
        <v>12</v>
      </c>
      <c r="AK361" s="36">
        <v>328</v>
      </c>
      <c r="AL361" s="33">
        <v>3</v>
      </c>
      <c r="AM361" s="33">
        <v>2</v>
      </c>
      <c r="AN361" s="33">
        <v>3</v>
      </c>
      <c r="AO361" s="33">
        <v>4</v>
      </c>
      <c r="AP361" s="33">
        <v>1</v>
      </c>
      <c r="AQ361" s="33">
        <v>0</v>
      </c>
      <c r="AR361" s="33">
        <v>2</v>
      </c>
      <c r="AS361" s="33">
        <v>1</v>
      </c>
      <c r="AT361" s="33">
        <v>0</v>
      </c>
      <c r="AU361" s="43">
        <v>0.41043055323455468</v>
      </c>
      <c r="AV361" s="33">
        <v>0</v>
      </c>
      <c r="AW361" s="33">
        <v>1</v>
      </c>
      <c r="AY361" s="36">
        <v>333</v>
      </c>
      <c r="AZ361" s="33">
        <v>2</v>
      </c>
      <c r="BA361" s="33">
        <v>3</v>
      </c>
      <c r="BB361" s="33">
        <v>0</v>
      </c>
      <c r="BC361" s="33">
        <v>0</v>
      </c>
      <c r="BD361" s="43">
        <v>0.11690772887050198</v>
      </c>
      <c r="BE361" s="33">
        <v>0</v>
      </c>
      <c r="BF361" s="33">
        <v>0</v>
      </c>
      <c r="CE361" s="36">
        <v>327</v>
      </c>
      <c r="CF361" s="33">
        <v>7</v>
      </c>
      <c r="CG361" s="33">
        <v>5</v>
      </c>
      <c r="CH361" s="33">
        <v>4</v>
      </c>
      <c r="CI361" s="33">
        <v>2</v>
      </c>
      <c r="CJ361" s="33">
        <v>1</v>
      </c>
      <c r="CK361" s="33">
        <v>0</v>
      </c>
      <c r="CL361" s="33">
        <v>1</v>
      </c>
      <c r="CM361" s="33">
        <v>3</v>
      </c>
      <c r="CN361" s="33">
        <v>21</v>
      </c>
      <c r="CO361" s="33">
        <v>13</v>
      </c>
      <c r="CP361" s="43">
        <v>9.336096261823244E-3</v>
      </c>
      <c r="CQ361" s="33">
        <v>0</v>
      </c>
      <c r="CR361" s="33">
        <v>0</v>
      </c>
    </row>
    <row r="362" spans="1:96" ht="15" customHeight="1" x14ac:dyDescent="0.25">
      <c r="A362" s="26">
        <v>360</v>
      </c>
      <c r="B362" s="27">
        <v>57</v>
      </c>
      <c r="C362" s="27">
        <v>0</v>
      </c>
      <c r="D362" s="27">
        <v>1</v>
      </c>
      <c r="E362" s="27">
        <v>593</v>
      </c>
      <c r="F362" s="27">
        <v>2</v>
      </c>
      <c r="G362" s="27">
        <v>1</v>
      </c>
      <c r="H362" s="27">
        <v>4</v>
      </c>
      <c r="I362" s="27">
        <v>3</v>
      </c>
      <c r="J362" s="27">
        <v>1</v>
      </c>
      <c r="K362" s="27">
        <v>482</v>
      </c>
      <c r="L362" s="27">
        <v>4</v>
      </c>
      <c r="M362" s="27">
        <v>1</v>
      </c>
      <c r="N362" s="27">
        <v>88</v>
      </c>
      <c r="O362" s="27">
        <v>3</v>
      </c>
      <c r="P362" s="27">
        <v>2</v>
      </c>
      <c r="Q362" s="27">
        <v>5</v>
      </c>
      <c r="R362" s="27">
        <v>3</v>
      </c>
      <c r="S362" s="27">
        <v>2</v>
      </c>
      <c r="T362" s="27">
        <v>6755</v>
      </c>
      <c r="U362" s="27">
        <v>2967</v>
      </c>
      <c r="V362" s="27">
        <v>2</v>
      </c>
      <c r="W362" s="27">
        <v>0</v>
      </c>
      <c r="X362" s="27">
        <v>11</v>
      </c>
      <c r="Y362" s="27">
        <v>3</v>
      </c>
      <c r="Z362" s="27">
        <v>3</v>
      </c>
      <c r="AA362" s="27">
        <v>80</v>
      </c>
      <c r="AB362" s="27">
        <v>0</v>
      </c>
      <c r="AC362" s="27">
        <v>15</v>
      </c>
      <c r="AD362" s="27">
        <v>2</v>
      </c>
      <c r="AE362" s="27">
        <v>3</v>
      </c>
      <c r="AF362" s="27">
        <v>3</v>
      </c>
      <c r="AG362" s="27">
        <v>2</v>
      </c>
      <c r="AH362" s="27">
        <v>1</v>
      </c>
      <c r="AI362" s="28">
        <v>2</v>
      </c>
      <c r="AK362" s="36">
        <v>329</v>
      </c>
      <c r="AL362" s="33">
        <v>10</v>
      </c>
      <c r="AM362" s="33">
        <v>2</v>
      </c>
      <c r="AN362" s="33">
        <v>4</v>
      </c>
      <c r="AO362" s="33">
        <v>3</v>
      </c>
      <c r="AP362" s="33">
        <v>0</v>
      </c>
      <c r="AQ362" s="33">
        <v>0</v>
      </c>
      <c r="AR362" s="33">
        <v>2</v>
      </c>
      <c r="AS362" s="33">
        <v>7</v>
      </c>
      <c r="AT362" s="33">
        <v>0</v>
      </c>
      <c r="AU362" s="43">
        <v>8.2363231488289487E-2</v>
      </c>
      <c r="AV362" s="33">
        <v>0</v>
      </c>
      <c r="AW362" s="33">
        <v>0</v>
      </c>
      <c r="AY362" s="36">
        <v>334</v>
      </c>
      <c r="AZ362" s="33">
        <v>3</v>
      </c>
      <c r="BA362" s="33">
        <v>1</v>
      </c>
      <c r="BB362" s="33">
        <v>0</v>
      </c>
      <c r="BC362" s="33">
        <v>1</v>
      </c>
      <c r="BD362" s="43">
        <v>7.4238208059117641E-2</v>
      </c>
      <c r="BE362" s="33">
        <v>0</v>
      </c>
      <c r="BF362" s="33">
        <v>0</v>
      </c>
      <c r="CE362" s="36">
        <v>328</v>
      </c>
      <c r="CF362" s="33">
        <v>3</v>
      </c>
      <c r="CG362" s="33">
        <v>2</v>
      </c>
      <c r="CH362" s="33">
        <v>3</v>
      </c>
      <c r="CI362" s="33">
        <v>2</v>
      </c>
      <c r="CJ362" s="33">
        <v>4</v>
      </c>
      <c r="CK362" s="33">
        <v>1</v>
      </c>
      <c r="CL362" s="33">
        <v>0</v>
      </c>
      <c r="CM362" s="33">
        <v>2</v>
      </c>
      <c r="CN362" s="33">
        <v>1</v>
      </c>
      <c r="CO362" s="33">
        <v>0</v>
      </c>
      <c r="CP362" s="43">
        <v>0.3356181123479729</v>
      </c>
      <c r="CQ362" s="33">
        <v>0</v>
      </c>
      <c r="CR362" s="33">
        <v>1</v>
      </c>
    </row>
    <row r="363" spans="1:96" ht="15" customHeight="1" x14ac:dyDescent="0.25">
      <c r="A363" s="26">
        <v>361</v>
      </c>
      <c r="B363" s="27">
        <v>40</v>
      </c>
      <c r="C363" s="27">
        <v>0</v>
      </c>
      <c r="D363" s="27">
        <v>1</v>
      </c>
      <c r="E363" s="27">
        <v>1171</v>
      </c>
      <c r="F363" s="27">
        <v>2</v>
      </c>
      <c r="G363" s="27">
        <v>10</v>
      </c>
      <c r="H363" s="27">
        <v>4</v>
      </c>
      <c r="I363" s="27">
        <v>1</v>
      </c>
      <c r="J363" s="27">
        <v>1</v>
      </c>
      <c r="K363" s="27">
        <v>483</v>
      </c>
      <c r="L363" s="27">
        <v>4</v>
      </c>
      <c r="M363" s="27">
        <v>0</v>
      </c>
      <c r="N363" s="27">
        <v>46</v>
      </c>
      <c r="O363" s="27">
        <v>4</v>
      </c>
      <c r="P363" s="27">
        <v>1</v>
      </c>
      <c r="Q363" s="27">
        <v>3</v>
      </c>
      <c r="R363" s="27">
        <v>3</v>
      </c>
      <c r="S363" s="27">
        <v>2</v>
      </c>
      <c r="T363" s="27">
        <v>2213</v>
      </c>
      <c r="U363" s="27">
        <v>22495</v>
      </c>
      <c r="V363" s="27">
        <v>3</v>
      </c>
      <c r="W363" s="27">
        <v>1</v>
      </c>
      <c r="X363" s="27">
        <v>13</v>
      </c>
      <c r="Y363" s="27">
        <v>3</v>
      </c>
      <c r="Z363" s="27">
        <v>3</v>
      </c>
      <c r="AA363" s="27">
        <v>80</v>
      </c>
      <c r="AB363" s="27">
        <v>1</v>
      </c>
      <c r="AC363" s="27">
        <v>10</v>
      </c>
      <c r="AD363" s="27">
        <v>3</v>
      </c>
      <c r="AE363" s="27">
        <v>3</v>
      </c>
      <c r="AF363" s="27">
        <v>7</v>
      </c>
      <c r="AG363" s="27">
        <v>7</v>
      </c>
      <c r="AH363" s="27">
        <v>1</v>
      </c>
      <c r="AI363" s="28">
        <v>7</v>
      </c>
      <c r="AK363" s="36">
        <v>330</v>
      </c>
      <c r="AL363" s="33">
        <v>5</v>
      </c>
      <c r="AM363" s="33">
        <v>5</v>
      </c>
      <c r="AN363" s="33">
        <v>3</v>
      </c>
      <c r="AO363" s="33">
        <v>4</v>
      </c>
      <c r="AP363" s="33">
        <v>0</v>
      </c>
      <c r="AQ363" s="33">
        <v>1</v>
      </c>
      <c r="AR363" s="33">
        <v>3</v>
      </c>
      <c r="AS363" s="33">
        <v>3</v>
      </c>
      <c r="AT363" s="33">
        <v>1</v>
      </c>
      <c r="AU363" s="43">
        <v>1.3988062613391233E-2</v>
      </c>
      <c r="AV363" s="33">
        <v>0</v>
      </c>
      <c r="AW363" s="33">
        <v>0</v>
      </c>
      <c r="AY363" s="36">
        <v>335</v>
      </c>
      <c r="AZ363" s="33">
        <v>2</v>
      </c>
      <c r="BA363" s="33">
        <v>4</v>
      </c>
      <c r="BB363" s="33">
        <v>0</v>
      </c>
      <c r="BC363" s="33">
        <v>2</v>
      </c>
      <c r="BD363" s="43">
        <v>3.3256067423154199E-2</v>
      </c>
      <c r="BE363" s="33">
        <v>0</v>
      </c>
      <c r="BF363" s="33">
        <v>0</v>
      </c>
      <c r="CE363" s="36">
        <v>329</v>
      </c>
      <c r="CF363" s="33">
        <v>10</v>
      </c>
      <c r="CG363" s="33">
        <v>2</v>
      </c>
      <c r="CH363" s="33">
        <v>4</v>
      </c>
      <c r="CI363" s="33">
        <v>1</v>
      </c>
      <c r="CJ363" s="33">
        <v>3</v>
      </c>
      <c r="CK363" s="33">
        <v>0</v>
      </c>
      <c r="CL363" s="33">
        <v>0</v>
      </c>
      <c r="CM363" s="33">
        <v>2</v>
      </c>
      <c r="CN363" s="33">
        <v>7</v>
      </c>
      <c r="CO363" s="33">
        <v>0</v>
      </c>
      <c r="CP363" s="43">
        <v>9.5986623135555518E-2</v>
      </c>
      <c r="CQ363" s="33">
        <v>0</v>
      </c>
      <c r="CR363" s="33">
        <v>0</v>
      </c>
    </row>
    <row r="364" spans="1:96" ht="15" customHeight="1" x14ac:dyDescent="0.25">
      <c r="A364" s="26">
        <v>362</v>
      </c>
      <c r="B364" s="27">
        <v>21</v>
      </c>
      <c r="C364" s="27">
        <v>0</v>
      </c>
      <c r="D364" s="27">
        <v>3</v>
      </c>
      <c r="E364" s="27">
        <v>895</v>
      </c>
      <c r="F364" s="27">
        <v>1</v>
      </c>
      <c r="G364" s="27">
        <v>9</v>
      </c>
      <c r="H364" s="27">
        <v>2</v>
      </c>
      <c r="I364" s="27">
        <v>3</v>
      </c>
      <c r="J364" s="27">
        <v>1</v>
      </c>
      <c r="K364" s="27">
        <v>484</v>
      </c>
      <c r="L364" s="27">
        <v>1</v>
      </c>
      <c r="M364" s="27">
        <v>1</v>
      </c>
      <c r="N364" s="27">
        <v>39</v>
      </c>
      <c r="O364" s="27">
        <v>3</v>
      </c>
      <c r="P364" s="27">
        <v>1</v>
      </c>
      <c r="Q364" s="27">
        <v>7</v>
      </c>
      <c r="R364" s="27">
        <v>4</v>
      </c>
      <c r="S364" s="27">
        <v>1</v>
      </c>
      <c r="T364" s="27">
        <v>2610</v>
      </c>
      <c r="U364" s="27">
        <v>2851</v>
      </c>
      <c r="V364" s="27">
        <v>1</v>
      </c>
      <c r="W364" s="27">
        <v>0</v>
      </c>
      <c r="X364" s="27">
        <v>24</v>
      </c>
      <c r="Y364" s="27">
        <v>4</v>
      </c>
      <c r="Z364" s="27">
        <v>3</v>
      </c>
      <c r="AA364" s="27">
        <v>80</v>
      </c>
      <c r="AB364" s="27">
        <v>0</v>
      </c>
      <c r="AC364" s="27">
        <v>3</v>
      </c>
      <c r="AD364" s="27">
        <v>3</v>
      </c>
      <c r="AE364" s="27">
        <v>2</v>
      </c>
      <c r="AF364" s="27">
        <v>3</v>
      </c>
      <c r="AG364" s="27">
        <v>2</v>
      </c>
      <c r="AH364" s="27">
        <v>2</v>
      </c>
      <c r="AI364" s="28">
        <v>2</v>
      </c>
      <c r="AK364" s="36">
        <v>331</v>
      </c>
      <c r="AL364" s="33">
        <v>10</v>
      </c>
      <c r="AM364" s="33">
        <v>2</v>
      </c>
      <c r="AN364" s="33">
        <v>3</v>
      </c>
      <c r="AO364" s="33">
        <v>1</v>
      </c>
      <c r="AP364" s="33">
        <v>0</v>
      </c>
      <c r="AQ364" s="33">
        <v>1</v>
      </c>
      <c r="AR364" s="33">
        <v>4</v>
      </c>
      <c r="AS364" s="33">
        <v>9</v>
      </c>
      <c r="AT364" s="33">
        <v>0</v>
      </c>
      <c r="AU364" s="43">
        <v>3.0383017169898358E-2</v>
      </c>
      <c r="AV364" s="33">
        <v>0</v>
      </c>
      <c r="AW364" s="33">
        <v>0</v>
      </c>
      <c r="AY364" s="36">
        <v>336</v>
      </c>
      <c r="AZ364" s="33">
        <v>2</v>
      </c>
      <c r="BA364" s="33">
        <v>4</v>
      </c>
      <c r="BB364" s="33">
        <v>1</v>
      </c>
      <c r="BC364" s="33">
        <v>3</v>
      </c>
      <c r="BD364" s="43">
        <v>7.9833763836812441E-2</v>
      </c>
      <c r="BE364" s="33">
        <v>0</v>
      </c>
      <c r="BF364" s="33">
        <v>0</v>
      </c>
      <c r="CE364" s="36">
        <v>330</v>
      </c>
      <c r="CF364" s="33">
        <v>5</v>
      </c>
      <c r="CG364" s="33">
        <v>5</v>
      </c>
      <c r="CH364" s="33">
        <v>3</v>
      </c>
      <c r="CI364" s="33">
        <v>2</v>
      </c>
      <c r="CJ364" s="33">
        <v>4</v>
      </c>
      <c r="CK364" s="33">
        <v>0</v>
      </c>
      <c r="CL364" s="33">
        <v>1</v>
      </c>
      <c r="CM364" s="33">
        <v>3</v>
      </c>
      <c r="CN364" s="33">
        <v>3</v>
      </c>
      <c r="CO364" s="33">
        <v>1</v>
      </c>
      <c r="CP364" s="43">
        <v>1.4017396465836126E-2</v>
      </c>
      <c r="CQ364" s="33">
        <v>0</v>
      </c>
      <c r="CR364" s="33">
        <v>0</v>
      </c>
    </row>
    <row r="365" spans="1:96" ht="15" customHeight="1" x14ac:dyDescent="0.25">
      <c r="A365" s="26">
        <v>363</v>
      </c>
      <c r="B365" s="27">
        <v>33</v>
      </c>
      <c r="C365" s="27">
        <v>1</v>
      </c>
      <c r="D365" s="27">
        <v>1</v>
      </c>
      <c r="E365" s="27">
        <v>350</v>
      </c>
      <c r="F365" s="27">
        <v>1</v>
      </c>
      <c r="G365" s="27">
        <v>5</v>
      </c>
      <c r="H365" s="27">
        <v>3</v>
      </c>
      <c r="I365" s="27">
        <v>4</v>
      </c>
      <c r="J365" s="27">
        <v>1</v>
      </c>
      <c r="K365" s="27">
        <v>485</v>
      </c>
      <c r="L365" s="27">
        <v>4</v>
      </c>
      <c r="M365" s="27">
        <v>0</v>
      </c>
      <c r="N365" s="27">
        <v>34</v>
      </c>
      <c r="O365" s="27">
        <v>3</v>
      </c>
      <c r="P365" s="27">
        <v>1</v>
      </c>
      <c r="Q365" s="27">
        <v>7</v>
      </c>
      <c r="R365" s="27">
        <v>3</v>
      </c>
      <c r="S365" s="27">
        <v>1</v>
      </c>
      <c r="T365" s="27">
        <v>2851</v>
      </c>
      <c r="U365" s="27">
        <v>9150</v>
      </c>
      <c r="V365" s="27">
        <v>1</v>
      </c>
      <c r="W365" s="27">
        <v>1</v>
      </c>
      <c r="X365" s="27">
        <v>13</v>
      </c>
      <c r="Y365" s="27">
        <v>3</v>
      </c>
      <c r="Z365" s="27">
        <v>2</v>
      </c>
      <c r="AA365" s="27">
        <v>80</v>
      </c>
      <c r="AB365" s="27">
        <v>0</v>
      </c>
      <c r="AC365" s="27">
        <v>1</v>
      </c>
      <c r="AD365" s="27">
        <v>2</v>
      </c>
      <c r="AE365" s="27">
        <v>3</v>
      </c>
      <c r="AF365" s="27">
        <v>1</v>
      </c>
      <c r="AG365" s="27">
        <v>0</v>
      </c>
      <c r="AH365" s="27">
        <v>0</v>
      </c>
      <c r="AI365" s="28">
        <v>0</v>
      </c>
      <c r="AK365" s="36">
        <v>332</v>
      </c>
      <c r="AL365" s="33">
        <v>1</v>
      </c>
      <c r="AM365" s="33">
        <v>2</v>
      </c>
      <c r="AN365" s="33">
        <v>2</v>
      </c>
      <c r="AO365" s="33">
        <v>0</v>
      </c>
      <c r="AP365" s="33">
        <v>1</v>
      </c>
      <c r="AQ365" s="33">
        <v>1</v>
      </c>
      <c r="AR365" s="33">
        <v>3</v>
      </c>
      <c r="AS365" s="33">
        <v>5</v>
      </c>
      <c r="AT365" s="33">
        <v>1</v>
      </c>
      <c r="AU365" s="43">
        <v>0.19029244511874452</v>
      </c>
      <c r="AV365" s="33">
        <v>0</v>
      </c>
      <c r="AW365" s="33">
        <v>0</v>
      </c>
      <c r="AY365" s="36">
        <v>337</v>
      </c>
      <c r="AZ365" s="33">
        <v>1</v>
      </c>
      <c r="BA365" s="33">
        <v>1</v>
      </c>
      <c r="BB365" s="33">
        <v>1</v>
      </c>
      <c r="BC365" s="33">
        <v>0</v>
      </c>
      <c r="BD365" s="43">
        <v>0.63965103699986936</v>
      </c>
      <c r="BE365" s="33">
        <v>1</v>
      </c>
      <c r="BF365" s="33">
        <v>1</v>
      </c>
      <c r="CE365" s="36">
        <v>331</v>
      </c>
      <c r="CF365" s="33">
        <v>10</v>
      </c>
      <c r="CG365" s="33">
        <v>2</v>
      </c>
      <c r="CH365" s="33">
        <v>3</v>
      </c>
      <c r="CI365" s="33">
        <v>3</v>
      </c>
      <c r="CJ365" s="33">
        <v>1</v>
      </c>
      <c r="CK365" s="33">
        <v>0</v>
      </c>
      <c r="CL365" s="33">
        <v>1</v>
      </c>
      <c r="CM365" s="33">
        <v>4</v>
      </c>
      <c r="CN365" s="33">
        <v>9</v>
      </c>
      <c r="CO365" s="33">
        <v>0</v>
      </c>
      <c r="CP365" s="43">
        <v>1.6663868038499632E-2</v>
      </c>
      <c r="CQ365" s="33">
        <v>0</v>
      </c>
      <c r="CR365" s="33">
        <v>0</v>
      </c>
    </row>
    <row r="366" spans="1:96" ht="15" customHeight="1" x14ac:dyDescent="0.25">
      <c r="A366" s="26">
        <v>364</v>
      </c>
      <c r="B366" s="27">
        <v>37</v>
      </c>
      <c r="C366" s="27">
        <v>0</v>
      </c>
      <c r="D366" s="27">
        <v>1</v>
      </c>
      <c r="E366" s="27">
        <v>921</v>
      </c>
      <c r="F366" s="27">
        <v>2</v>
      </c>
      <c r="G366" s="27">
        <v>10</v>
      </c>
      <c r="H366" s="27">
        <v>3</v>
      </c>
      <c r="I366" s="27">
        <v>3</v>
      </c>
      <c r="J366" s="27">
        <v>1</v>
      </c>
      <c r="K366" s="27">
        <v>486</v>
      </c>
      <c r="L366" s="27">
        <v>3</v>
      </c>
      <c r="M366" s="27">
        <v>0</v>
      </c>
      <c r="N366" s="27">
        <v>98</v>
      </c>
      <c r="O366" s="27">
        <v>3</v>
      </c>
      <c r="P366" s="27">
        <v>1</v>
      </c>
      <c r="Q366" s="27">
        <v>3</v>
      </c>
      <c r="R366" s="27">
        <v>1</v>
      </c>
      <c r="S366" s="27">
        <v>2</v>
      </c>
      <c r="T366" s="27">
        <v>3452</v>
      </c>
      <c r="U366" s="27">
        <v>17663</v>
      </c>
      <c r="V366" s="27">
        <v>6</v>
      </c>
      <c r="W366" s="27">
        <v>0</v>
      </c>
      <c r="X366" s="27">
        <v>20</v>
      </c>
      <c r="Y366" s="27">
        <v>4</v>
      </c>
      <c r="Z366" s="27">
        <v>2</v>
      </c>
      <c r="AA366" s="27">
        <v>80</v>
      </c>
      <c r="AB366" s="27">
        <v>1</v>
      </c>
      <c r="AC366" s="27">
        <v>17</v>
      </c>
      <c r="AD366" s="27">
        <v>3</v>
      </c>
      <c r="AE366" s="27">
        <v>3</v>
      </c>
      <c r="AF366" s="27">
        <v>5</v>
      </c>
      <c r="AG366" s="27">
        <v>4</v>
      </c>
      <c r="AH366" s="27">
        <v>0</v>
      </c>
      <c r="AI366" s="28">
        <v>3</v>
      </c>
      <c r="AK366" s="36">
        <v>333</v>
      </c>
      <c r="AL366" s="33">
        <v>20</v>
      </c>
      <c r="AM366" s="33">
        <v>2</v>
      </c>
      <c r="AN366" s="33">
        <v>3</v>
      </c>
      <c r="AO366" s="33">
        <v>3</v>
      </c>
      <c r="AP366" s="33">
        <v>0</v>
      </c>
      <c r="AQ366" s="33">
        <v>0</v>
      </c>
      <c r="AR366" s="33">
        <v>2</v>
      </c>
      <c r="AS366" s="33">
        <v>4</v>
      </c>
      <c r="AT366" s="33">
        <v>0</v>
      </c>
      <c r="AU366" s="43">
        <v>0.17279339468442223</v>
      </c>
      <c r="AV366" s="33">
        <v>0</v>
      </c>
      <c r="AW366" s="33">
        <v>0</v>
      </c>
      <c r="AY366" s="36">
        <v>338</v>
      </c>
      <c r="AZ366" s="33">
        <v>1</v>
      </c>
      <c r="BA366" s="33">
        <v>4</v>
      </c>
      <c r="BB366" s="33">
        <v>0</v>
      </c>
      <c r="BC366" s="33">
        <v>0</v>
      </c>
      <c r="BD366" s="43">
        <v>0.1472907617042678</v>
      </c>
      <c r="BE366" s="33">
        <v>0</v>
      </c>
      <c r="BF366" s="33">
        <v>0</v>
      </c>
      <c r="CE366" s="36">
        <v>332</v>
      </c>
      <c r="CF366" s="33">
        <v>1</v>
      </c>
      <c r="CG366" s="33">
        <v>2</v>
      </c>
      <c r="CH366" s="33">
        <v>2</v>
      </c>
      <c r="CI366" s="33">
        <v>2</v>
      </c>
      <c r="CJ366" s="33">
        <v>0</v>
      </c>
      <c r="CK366" s="33">
        <v>1</v>
      </c>
      <c r="CL366" s="33">
        <v>1</v>
      </c>
      <c r="CM366" s="33">
        <v>3</v>
      </c>
      <c r="CN366" s="33">
        <v>5</v>
      </c>
      <c r="CO366" s="33">
        <v>1</v>
      </c>
      <c r="CP366" s="43">
        <v>0.19351536757429619</v>
      </c>
      <c r="CQ366" s="33">
        <v>0</v>
      </c>
      <c r="CR366" s="33">
        <v>0</v>
      </c>
    </row>
    <row r="367" spans="1:96" ht="15" customHeight="1" x14ac:dyDescent="0.25">
      <c r="A367" s="26">
        <v>365</v>
      </c>
      <c r="B367" s="27">
        <v>46</v>
      </c>
      <c r="C367" s="27">
        <v>0</v>
      </c>
      <c r="D367" s="27">
        <v>3</v>
      </c>
      <c r="E367" s="27">
        <v>1144</v>
      </c>
      <c r="F367" s="27">
        <v>2</v>
      </c>
      <c r="G367" s="27">
        <v>7</v>
      </c>
      <c r="H367" s="27">
        <v>4</v>
      </c>
      <c r="I367" s="27">
        <v>3</v>
      </c>
      <c r="J367" s="27">
        <v>1</v>
      </c>
      <c r="K367" s="27">
        <v>487</v>
      </c>
      <c r="L367" s="27">
        <v>3</v>
      </c>
      <c r="M367" s="27">
        <v>0</v>
      </c>
      <c r="N367" s="27">
        <v>30</v>
      </c>
      <c r="O367" s="27">
        <v>3</v>
      </c>
      <c r="P367" s="27">
        <v>2</v>
      </c>
      <c r="Q367" s="27">
        <v>4</v>
      </c>
      <c r="R367" s="27">
        <v>3</v>
      </c>
      <c r="S367" s="27">
        <v>2</v>
      </c>
      <c r="T367" s="27">
        <v>5258</v>
      </c>
      <c r="U367" s="27">
        <v>16044</v>
      </c>
      <c r="V367" s="27">
        <v>2</v>
      </c>
      <c r="W367" s="27">
        <v>0</v>
      </c>
      <c r="X367" s="27">
        <v>14</v>
      </c>
      <c r="Y367" s="27">
        <v>3</v>
      </c>
      <c r="Z367" s="27">
        <v>3</v>
      </c>
      <c r="AA367" s="27">
        <v>80</v>
      </c>
      <c r="AB367" s="27">
        <v>0</v>
      </c>
      <c r="AC367" s="27">
        <v>7</v>
      </c>
      <c r="AD367" s="27">
        <v>2</v>
      </c>
      <c r="AE367" s="27">
        <v>4</v>
      </c>
      <c r="AF367" s="27">
        <v>1</v>
      </c>
      <c r="AG367" s="27">
        <v>0</v>
      </c>
      <c r="AH367" s="27">
        <v>0</v>
      </c>
      <c r="AI367" s="28">
        <v>0</v>
      </c>
      <c r="AK367" s="36">
        <v>334</v>
      </c>
      <c r="AL367" s="33">
        <v>7</v>
      </c>
      <c r="AM367" s="33">
        <v>3</v>
      </c>
      <c r="AN367" s="33">
        <v>1</v>
      </c>
      <c r="AO367" s="33">
        <v>8</v>
      </c>
      <c r="AP367" s="33">
        <v>0</v>
      </c>
      <c r="AQ367" s="33">
        <v>1</v>
      </c>
      <c r="AR367" s="33">
        <v>2</v>
      </c>
      <c r="AS367" s="33">
        <v>1</v>
      </c>
      <c r="AT367" s="33">
        <v>0</v>
      </c>
      <c r="AU367" s="43">
        <v>0.12992401643666449</v>
      </c>
      <c r="AV367" s="33">
        <v>0</v>
      </c>
      <c r="AW367" s="33">
        <v>0</v>
      </c>
      <c r="AY367" s="36">
        <v>339</v>
      </c>
      <c r="AZ367" s="33">
        <v>2</v>
      </c>
      <c r="BA367" s="33">
        <v>3</v>
      </c>
      <c r="BB367" s="33">
        <v>0</v>
      </c>
      <c r="BC367" s="33">
        <v>3</v>
      </c>
      <c r="BD367" s="43">
        <v>2.6469010457514919E-2</v>
      </c>
      <c r="BE367" s="33">
        <v>0</v>
      </c>
      <c r="BF367" s="33">
        <v>0</v>
      </c>
      <c r="CE367" s="36">
        <v>333</v>
      </c>
      <c r="CF367" s="33">
        <v>20</v>
      </c>
      <c r="CG367" s="33">
        <v>2</v>
      </c>
      <c r="CH367" s="33">
        <v>3</v>
      </c>
      <c r="CI367" s="33">
        <v>1</v>
      </c>
      <c r="CJ367" s="33">
        <v>3</v>
      </c>
      <c r="CK367" s="33">
        <v>0</v>
      </c>
      <c r="CL367" s="33">
        <v>0</v>
      </c>
      <c r="CM367" s="33">
        <v>2</v>
      </c>
      <c r="CN367" s="33">
        <v>4</v>
      </c>
      <c r="CO367" s="33">
        <v>0</v>
      </c>
      <c r="CP367" s="43">
        <v>0.20081804850659146</v>
      </c>
      <c r="CQ367" s="33">
        <v>0</v>
      </c>
      <c r="CR367" s="33">
        <v>0</v>
      </c>
    </row>
    <row r="368" spans="1:96" ht="15" customHeight="1" x14ac:dyDescent="0.25">
      <c r="A368" s="26">
        <v>366</v>
      </c>
      <c r="B368" s="27">
        <v>41</v>
      </c>
      <c r="C368" s="27">
        <v>1</v>
      </c>
      <c r="D368" s="27">
        <v>2</v>
      </c>
      <c r="E368" s="27">
        <v>143</v>
      </c>
      <c r="F368" s="27">
        <v>1</v>
      </c>
      <c r="G368" s="27">
        <v>4</v>
      </c>
      <c r="H368" s="27">
        <v>3</v>
      </c>
      <c r="I368" s="27">
        <v>4</v>
      </c>
      <c r="J368" s="27">
        <v>1</v>
      </c>
      <c r="K368" s="27">
        <v>488</v>
      </c>
      <c r="L368" s="27">
        <v>1</v>
      </c>
      <c r="M368" s="27">
        <v>1</v>
      </c>
      <c r="N368" s="27">
        <v>56</v>
      </c>
      <c r="O368" s="27">
        <v>3</v>
      </c>
      <c r="P368" s="27">
        <v>2</v>
      </c>
      <c r="Q368" s="27">
        <v>1</v>
      </c>
      <c r="R368" s="27">
        <v>2</v>
      </c>
      <c r="S368" s="27">
        <v>1</v>
      </c>
      <c r="T368" s="27">
        <v>9355</v>
      </c>
      <c r="U368" s="27">
        <v>9558</v>
      </c>
      <c r="V368" s="27">
        <v>1</v>
      </c>
      <c r="W368" s="27">
        <v>0</v>
      </c>
      <c r="X368" s="27">
        <v>18</v>
      </c>
      <c r="Y368" s="27">
        <v>3</v>
      </c>
      <c r="Z368" s="27">
        <v>3</v>
      </c>
      <c r="AA368" s="27">
        <v>80</v>
      </c>
      <c r="AB368" s="27">
        <v>0</v>
      </c>
      <c r="AC368" s="27">
        <v>8</v>
      </c>
      <c r="AD368" s="27">
        <v>5</v>
      </c>
      <c r="AE368" s="27">
        <v>3</v>
      </c>
      <c r="AF368" s="27">
        <v>8</v>
      </c>
      <c r="AG368" s="27">
        <v>7</v>
      </c>
      <c r="AH368" s="27">
        <v>7</v>
      </c>
      <c r="AI368" s="28">
        <v>7</v>
      </c>
      <c r="AK368" s="36">
        <v>335</v>
      </c>
      <c r="AL368" s="33">
        <v>8</v>
      </c>
      <c r="AM368" s="33">
        <v>2</v>
      </c>
      <c r="AN368" s="33">
        <v>4</v>
      </c>
      <c r="AO368" s="33">
        <v>9</v>
      </c>
      <c r="AP368" s="33">
        <v>0</v>
      </c>
      <c r="AQ368" s="33">
        <v>2</v>
      </c>
      <c r="AR368" s="33">
        <v>3</v>
      </c>
      <c r="AS368" s="33">
        <v>10</v>
      </c>
      <c r="AT368" s="33">
        <v>9</v>
      </c>
      <c r="AU368" s="43">
        <v>7.3306923834298016E-2</v>
      </c>
      <c r="AV368" s="33">
        <v>0</v>
      </c>
      <c r="AW368" s="33">
        <v>0</v>
      </c>
      <c r="AY368" s="36">
        <v>340</v>
      </c>
      <c r="AZ368" s="33">
        <v>2</v>
      </c>
      <c r="BA368" s="33">
        <v>2</v>
      </c>
      <c r="BB368" s="33">
        <v>0</v>
      </c>
      <c r="BC368" s="33">
        <v>1</v>
      </c>
      <c r="BD368" s="43">
        <v>9.4721355311452843E-2</v>
      </c>
      <c r="BE368" s="33">
        <v>0</v>
      </c>
      <c r="BF368" s="33">
        <v>0</v>
      </c>
      <c r="CE368" s="36">
        <v>334</v>
      </c>
      <c r="CF368" s="33">
        <v>7</v>
      </c>
      <c r="CG368" s="33">
        <v>3</v>
      </c>
      <c r="CH368" s="33">
        <v>1</v>
      </c>
      <c r="CI368" s="33">
        <v>2</v>
      </c>
      <c r="CJ368" s="33">
        <v>8</v>
      </c>
      <c r="CK368" s="33">
        <v>0</v>
      </c>
      <c r="CL368" s="33">
        <v>1</v>
      </c>
      <c r="CM368" s="33">
        <v>2</v>
      </c>
      <c r="CN368" s="33">
        <v>1</v>
      </c>
      <c r="CO368" s="33">
        <v>0</v>
      </c>
      <c r="CP368" s="43">
        <v>0.13402472244841743</v>
      </c>
      <c r="CQ368" s="33">
        <v>0</v>
      </c>
      <c r="CR368" s="33">
        <v>0</v>
      </c>
    </row>
    <row r="369" spans="1:96" ht="15" customHeight="1" x14ac:dyDescent="0.25">
      <c r="A369" s="26">
        <v>367</v>
      </c>
      <c r="B369" s="27">
        <v>50</v>
      </c>
      <c r="C369" s="27">
        <v>0</v>
      </c>
      <c r="D369" s="27">
        <v>1</v>
      </c>
      <c r="E369" s="27">
        <v>1046</v>
      </c>
      <c r="F369" s="27">
        <v>2</v>
      </c>
      <c r="G369" s="27">
        <v>10</v>
      </c>
      <c r="H369" s="27">
        <v>3</v>
      </c>
      <c r="I369" s="27">
        <v>5</v>
      </c>
      <c r="J369" s="27">
        <v>1</v>
      </c>
      <c r="K369" s="27">
        <v>491</v>
      </c>
      <c r="L369" s="27">
        <v>4</v>
      </c>
      <c r="M369" s="27">
        <v>1</v>
      </c>
      <c r="N369" s="27">
        <v>100</v>
      </c>
      <c r="O369" s="27">
        <v>2</v>
      </c>
      <c r="P369" s="27">
        <v>3</v>
      </c>
      <c r="Q369" s="27">
        <v>5</v>
      </c>
      <c r="R369" s="27">
        <v>4</v>
      </c>
      <c r="S369" s="27">
        <v>1</v>
      </c>
      <c r="T369" s="27">
        <v>10496</v>
      </c>
      <c r="U369" s="27">
        <v>2755</v>
      </c>
      <c r="V369" s="27">
        <v>6</v>
      </c>
      <c r="W369" s="27">
        <v>0</v>
      </c>
      <c r="X369" s="27">
        <v>15</v>
      </c>
      <c r="Y369" s="27">
        <v>3</v>
      </c>
      <c r="Z369" s="27">
        <v>4</v>
      </c>
      <c r="AA369" s="27">
        <v>80</v>
      </c>
      <c r="AB369" s="27">
        <v>0</v>
      </c>
      <c r="AC369" s="27">
        <v>20</v>
      </c>
      <c r="AD369" s="27">
        <v>2</v>
      </c>
      <c r="AE369" s="27">
        <v>3</v>
      </c>
      <c r="AF369" s="27">
        <v>4</v>
      </c>
      <c r="AG369" s="27">
        <v>3</v>
      </c>
      <c r="AH369" s="27">
        <v>1</v>
      </c>
      <c r="AI369" s="28">
        <v>3</v>
      </c>
      <c r="AK369" s="36">
        <v>336</v>
      </c>
      <c r="AL369" s="33">
        <v>1</v>
      </c>
      <c r="AM369" s="33">
        <v>2</v>
      </c>
      <c r="AN369" s="33">
        <v>4</v>
      </c>
      <c r="AO369" s="33">
        <v>2</v>
      </c>
      <c r="AP369" s="33">
        <v>1</v>
      </c>
      <c r="AQ369" s="33">
        <v>3</v>
      </c>
      <c r="AR369" s="33">
        <v>2</v>
      </c>
      <c r="AS369" s="33">
        <v>4</v>
      </c>
      <c r="AT369" s="33">
        <v>0</v>
      </c>
      <c r="AU369" s="43">
        <v>5.6939385001647004E-2</v>
      </c>
      <c r="AV369" s="33">
        <v>0</v>
      </c>
      <c r="AW369" s="33">
        <v>0</v>
      </c>
      <c r="AY369" s="36">
        <v>341</v>
      </c>
      <c r="AZ369" s="33">
        <v>2</v>
      </c>
      <c r="BA369" s="33">
        <v>4</v>
      </c>
      <c r="BB369" s="33">
        <v>0</v>
      </c>
      <c r="BC369" s="33">
        <v>2</v>
      </c>
      <c r="BD369" s="43">
        <v>3.3256067423154199E-2</v>
      </c>
      <c r="BE369" s="33">
        <v>0</v>
      </c>
      <c r="BF369" s="33">
        <v>0</v>
      </c>
      <c r="CE369" s="36">
        <v>335</v>
      </c>
      <c r="CF369" s="33">
        <v>8</v>
      </c>
      <c r="CG369" s="33">
        <v>2</v>
      </c>
      <c r="CH369" s="33">
        <v>4</v>
      </c>
      <c r="CI369" s="33">
        <v>2</v>
      </c>
      <c r="CJ369" s="33">
        <v>9</v>
      </c>
      <c r="CK369" s="33">
        <v>0</v>
      </c>
      <c r="CL369" s="33">
        <v>2</v>
      </c>
      <c r="CM369" s="33">
        <v>3</v>
      </c>
      <c r="CN369" s="33">
        <v>10</v>
      </c>
      <c r="CO369" s="33">
        <v>9</v>
      </c>
      <c r="CP369" s="43">
        <v>9.8307796375892612E-2</v>
      </c>
      <c r="CQ369" s="33">
        <v>0</v>
      </c>
      <c r="CR369" s="33">
        <v>0</v>
      </c>
    </row>
    <row r="370" spans="1:96" ht="15" customHeight="1" x14ac:dyDescent="0.25">
      <c r="A370" s="26">
        <v>368</v>
      </c>
      <c r="B370" s="27">
        <v>40</v>
      </c>
      <c r="C370" s="27">
        <v>1</v>
      </c>
      <c r="D370" s="27">
        <v>1</v>
      </c>
      <c r="E370" s="27">
        <v>575</v>
      </c>
      <c r="F370" s="27">
        <v>1</v>
      </c>
      <c r="G370" s="27">
        <v>22</v>
      </c>
      <c r="H370" s="27">
        <v>2</v>
      </c>
      <c r="I370" s="27">
        <v>4</v>
      </c>
      <c r="J370" s="27">
        <v>1</v>
      </c>
      <c r="K370" s="27">
        <v>492</v>
      </c>
      <c r="L370" s="27">
        <v>3</v>
      </c>
      <c r="M370" s="27">
        <v>1</v>
      </c>
      <c r="N370" s="27">
        <v>68</v>
      </c>
      <c r="O370" s="27">
        <v>2</v>
      </c>
      <c r="P370" s="27">
        <v>2</v>
      </c>
      <c r="Q370" s="27">
        <v>1</v>
      </c>
      <c r="R370" s="27">
        <v>3</v>
      </c>
      <c r="S370" s="27">
        <v>2</v>
      </c>
      <c r="T370" s="27">
        <v>6380</v>
      </c>
      <c r="U370" s="27">
        <v>6110</v>
      </c>
      <c r="V370" s="27">
        <v>2</v>
      </c>
      <c r="W370" s="27">
        <v>1</v>
      </c>
      <c r="X370" s="27">
        <v>12</v>
      </c>
      <c r="Y370" s="27">
        <v>3</v>
      </c>
      <c r="Z370" s="27">
        <v>1</v>
      </c>
      <c r="AA370" s="27">
        <v>80</v>
      </c>
      <c r="AB370" s="27">
        <v>2</v>
      </c>
      <c r="AC370" s="27">
        <v>8</v>
      </c>
      <c r="AD370" s="27">
        <v>6</v>
      </c>
      <c r="AE370" s="27">
        <v>3</v>
      </c>
      <c r="AF370" s="27">
        <v>6</v>
      </c>
      <c r="AG370" s="27">
        <v>4</v>
      </c>
      <c r="AH370" s="27">
        <v>1</v>
      </c>
      <c r="AI370" s="28">
        <v>0</v>
      </c>
      <c r="AK370" s="36">
        <v>337</v>
      </c>
      <c r="AL370" s="33">
        <v>8</v>
      </c>
      <c r="AM370" s="33">
        <v>1</v>
      </c>
      <c r="AN370" s="33">
        <v>1</v>
      </c>
      <c r="AO370" s="33">
        <v>1</v>
      </c>
      <c r="AP370" s="33">
        <v>1</v>
      </c>
      <c r="AQ370" s="33">
        <v>0</v>
      </c>
      <c r="AR370" s="33">
        <v>2</v>
      </c>
      <c r="AS370" s="33">
        <v>7</v>
      </c>
      <c r="AT370" s="33">
        <v>0</v>
      </c>
      <c r="AU370" s="43">
        <v>0.56390765076936988</v>
      </c>
      <c r="AV370" s="33">
        <v>1</v>
      </c>
      <c r="AW370" s="33">
        <v>1</v>
      </c>
      <c r="AY370" s="36">
        <v>342</v>
      </c>
      <c r="AZ370" s="33">
        <v>3</v>
      </c>
      <c r="BA370" s="33">
        <v>4</v>
      </c>
      <c r="BB370" s="33">
        <v>1</v>
      </c>
      <c r="BC370" s="33">
        <v>1</v>
      </c>
      <c r="BD370" s="43">
        <v>0.12479921665315721</v>
      </c>
      <c r="BE370" s="33">
        <v>0</v>
      </c>
      <c r="BF370" s="33">
        <v>0</v>
      </c>
      <c r="CE370" s="36">
        <v>336</v>
      </c>
      <c r="CF370" s="33">
        <v>1</v>
      </c>
      <c r="CG370" s="33">
        <v>2</v>
      </c>
      <c r="CH370" s="33">
        <v>4</v>
      </c>
      <c r="CI370" s="33">
        <v>2</v>
      </c>
      <c r="CJ370" s="33">
        <v>2</v>
      </c>
      <c r="CK370" s="33">
        <v>1</v>
      </c>
      <c r="CL370" s="33">
        <v>3</v>
      </c>
      <c r="CM370" s="33">
        <v>2</v>
      </c>
      <c r="CN370" s="33">
        <v>4</v>
      </c>
      <c r="CO370" s="33">
        <v>0</v>
      </c>
      <c r="CP370" s="43">
        <v>0.10733345776639153</v>
      </c>
      <c r="CQ370" s="33">
        <v>0</v>
      </c>
      <c r="CR370" s="33">
        <v>0</v>
      </c>
    </row>
    <row r="371" spans="1:96" ht="15" customHeight="1" x14ac:dyDescent="0.25">
      <c r="A371" s="26">
        <v>369</v>
      </c>
      <c r="B371" s="27">
        <v>31</v>
      </c>
      <c r="C371" s="27">
        <v>0</v>
      </c>
      <c r="D371" s="27">
        <v>1</v>
      </c>
      <c r="E371" s="27">
        <v>408</v>
      </c>
      <c r="F371" s="27">
        <v>2</v>
      </c>
      <c r="G371" s="27">
        <v>9</v>
      </c>
      <c r="H371" s="27">
        <v>4</v>
      </c>
      <c r="I371" s="27">
        <v>1</v>
      </c>
      <c r="J371" s="27">
        <v>1</v>
      </c>
      <c r="K371" s="27">
        <v>493</v>
      </c>
      <c r="L371" s="27">
        <v>3</v>
      </c>
      <c r="M371" s="27">
        <v>1</v>
      </c>
      <c r="N371" s="27">
        <v>42</v>
      </c>
      <c r="O371" s="27">
        <v>2</v>
      </c>
      <c r="P371" s="27">
        <v>1</v>
      </c>
      <c r="Q371" s="27">
        <v>2</v>
      </c>
      <c r="R371" s="27">
        <v>2</v>
      </c>
      <c r="S371" s="27">
        <v>1</v>
      </c>
      <c r="T371" s="27">
        <v>2657</v>
      </c>
      <c r="U371" s="27">
        <v>7551</v>
      </c>
      <c r="V371" s="27">
        <v>0</v>
      </c>
      <c r="W371" s="27">
        <v>1</v>
      </c>
      <c r="X371" s="27">
        <v>16</v>
      </c>
      <c r="Y371" s="27">
        <v>3</v>
      </c>
      <c r="Z371" s="27">
        <v>4</v>
      </c>
      <c r="AA371" s="27">
        <v>80</v>
      </c>
      <c r="AB371" s="27">
        <v>0</v>
      </c>
      <c r="AC371" s="27">
        <v>3</v>
      </c>
      <c r="AD371" s="27">
        <v>5</v>
      </c>
      <c r="AE371" s="27">
        <v>3</v>
      </c>
      <c r="AF371" s="27">
        <v>2</v>
      </c>
      <c r="AG371" s="27">
        <v>2</v>
      </c>
      <c r="AH371" s="27">
        <v>2</v>
      </c>
      <c r="AI371" s="28">
        <v>2</v>
      </c>
      <c r="AK371" s="36">
        <v>338</v>
      </c>
      <c r="AL371" s="33">
        <v>9</v>
      </c>
      <c r="AM371" s="33">
        <v>1</v>
      </c>
      <c r="AN371" s="33">
        <v>4</v>
      </c>
      <c r="AO371" s="33">
        <v>0</v>
      </c>
      <c r="AP371" s="33">
        <v>0</v>
      </c>
      <c r="AQ371" s="33">
        <v>0</v>
      </c>
      <c r="AR371" s="33">
        <v>3</v>
      </c>
      <c r="AS371" s="33">
        <v>3</v>
      </c>
      <c r="AT371" s="33">
        <v>2</v>
      </c>
      <c r="AU371" s="43">
        <v>0.13445924941680143</v>
      </c>
      <c r="AV371" s="33">
        <v>0</v>
      </c>
      <c r="AW371" s="33">
        <v>0</v>
      </c>
      <c r="AY371" s="36">
        <v>343</v>
      </c>
      <c r="AZ371" s="33">
        <v>3</v>
      </c>
      <c r="BA371" s="33">
        <v>4</v>
      </c>
      <c r="BB371" s="33">
        <v>1</v>
      </c>
      <c r="BC371" s="33">
        <v>0</v>
      </c>
      <c r="BD371" s="43">
        <v>0.19464428068138595</v>
      </c>
      <c r="BE371" s="33">
        <v>0</v>
      </c>
      <c r="BF371" s="33">
        <v>0</v>
      </c>
      <c r="CE371" s="36">
        <v>337</v>
      </c>
      <c r="CF371" s="33">
        <v>8</v>
      </c>
      <c r="CG371" s="33">
        <v>1</v>
      </c>
      <c r="CH371" s="33">
        <v>1</v>
      </c>
      <c r="CI371" s="33">
        <v>2</v>
      </c>
      <c r="CJ371" s="33">
        <v>1</v>
      </c>
      <c r="CK371" s="33">
        <v>1</v>
      </c>
      <c r="CL371" s="33">
        <v>0</v>
      </c>
      <c r="CM371" s="33">
        <v>2</v>
      </c>
      <c r="CN371" s="33">
        <v>7</v>
      </c>
      <c r="CO371" s="33">
        <v>0</v>
      </c>
      <c r="CP371" s="43">
        <v>0.4880917731173785</v>
      </c>
      <c r="CQ371" s="33">
        <v>0</v>
      </c>
      <c r="CR371" s="33">
        <v>1</v>
      </c>
    </row>
    <row r="372" spans="1:96" ht="15" customHeight="1" x14ac:dyDescent="0.25">
      <c r="A372" s="26">
        <v>370</v>
      </c>
      <c r="B372" s="27">
        <v>21</v>
      </c>
      <c r="C372" s="27">
        <v>1</v>
      </c>
      <c r="D372" s="27">
        <v>1</v>
      </c>
      <c r="E372" s="27">
        <v>156</v>
      </c>
      <c r="F372" s="27">
        <v>1</v>
      </c>
      <c r="G372" s="27">
        <v>12</v>
      </c>
      <c r="H372" s="27">
        <v>3</v>
      </c>
      <c r="I372" s="27">
        <v>1</v>
      </c>
      <c r="J372" s="27">
        <v>1</v>
      </c>
      <c r="K372" s="27">
        <v>494</v>
      </c>
      <c r="L372" s="27">
        <v>3</v>
      </c>
      <c r="M372" s="27">
        <v>0</v>
      </c>
      <c r="N372" s="27">
        <v>90</v>
      </c>
      <c r="O372" s="27">
        <v>4</v>
      </c>
      <c r="P372" s="27">
        <v>1</v>
      </c>
      <c r="Q372" s="27">
        <v>7</v>
      </c>
      <c r="R372" s="27">
        <v>2</v>
      </c>
      <c r="S372" s="27">
        <v>1</v>
      </c>
      <c r="T372" s="27">
        <v>2716</v>
      </c>
      <c r="U372" s="27">
        <v>25422</v>
      </c>
      <c r="V372" s="27">
        <v>1</v>
      </c>
      <c r="W372" s="27">
        <v>0</v>
      </c>
      <c r="X372" s="27">
        <v>15</v>
      </c>
      <c r="Y372" s="27">
        <v>3</v>
      </c>
      <c r="Z372" s="27">
        <v>4</v>
      </c>
      <c r="AA372" s="27">
        <v>80</v>
      </c>
      <c r="AB372" s="27">
        <v>0</v>
      </c>
      <c r="AC372" s="27">
        <v>1</v>
      </c>
      <c r="AD372" s="27">
        <v>0</v>
      </c>
      <c r="AE372" s="27">
        <v>3</v>
      </c>
      <c r="AF372" s="27">
        <v>1</v>
      </c>
      <c r="AG372" s="27">
        <v>0</v>
      </c>
      <c r="AH372" s="27">
        <v>0</v>
      </c>
      <c r="AI372" s="28">
        <v>0</v>
      </c>
      <c r="AK372" s="36">
        <v>339</v>
      </c>
      <c r="AL372" s="33">
        <v>5</v>
      </c>
      <c r="AM372" s="33">
        <v>2</v>
      </c>
      <c r="AN372" s="33">
        <v>3</v>
      </c>
      <c r="AO372" s="33">
        <v>1</v>
      </c>
      <c r="AP372" s="33">
        <v>0</v>
      </c>
      <c r="AQ372" s="33">
        <v>3</v>
      </c>
      <c r="AR372" s="33">
        <v>3</v>
      </c>
      <c r="AS372" s="33">
        <v>10</v>
      </c>
      <c r="AT372" s="33">
        <v>1</v>
      </c>
      <c r="AU372" s="43">
        <v>1.1077899504881221E-2</v>
      </c>
      <c r="AV372" s="33">
        <v>0</v>
      </c>
      <c r="AW372" s="33">
        <v>0</v>
      </c>
      <c r="AY372" s="36">
        <v>344</v>
      </c>
      <c r="AZ372" s="33">
        <v>2</v>
      </c>
      <c r="BA372" s="33">
        <v>2</v>
      </c>
      <c r="BB372" s="33">
        <v>1</v>
      </c>
      <c r="BC372" s="33">
        <v>2</v>
      </c>
      <c r="BD372" s="43">
        <v>0.20879326203931967</v>
      </c>
      <c r="BE372" s="33">
        <v>0</v>
      </c>
      <c r="BF372" s="33">
        <v>0</v>
      </c>
      <c r="CE372" s="36">
        <v>338</v>
      </c>
      <c r="CF372" s="33">
        <v>9</v>
      </c>
      <c r="CG372" s="33">
        <v>1</v>
      </c>
      <c r="CH372" s="33">
        <v>4</v>
      </c>
      <c r="CI372" s="33">
        <v>1</v>
      </c>
      <c r="CJ372" s="33">
        <v>0</v>
      </c>
      <c r="CK372" s="33">
        <v>0</v>
      </c>
      <c r="CL372" s="33">
        <v>0</v>
      </c>
      <c r="CM372" s="33">
        <v>3</v>
      </c>
      <c r="CN372" s="33">
        <v>3</v>
      </c>
      <c r="CO372" s="33">
        <v>2</v>
      </c>
      <c r="CP372" s="43">
        <v>0.15215054369729936</v>
      </c>
      <c r="CQ372" s="33">
        <v>0</v>
      </c>
      <c r="CR372" s="33">
        <v>0</v>
      </c>
    </row>
    <row r="373" spans="1:96" ht="15" customHeight="1" x14ac:dyDescent="0.25">
      <c r="A373" s="26">
        <v>371</v>
      </c>
      <c r="B373" s="27">
        <v>29</v>
      </c>
      <c r="C373" s="27">
        <v>0</v>
      </c>
      <c r="D373" s="27">
        <v>1</v>
      </c>
      <c r="E373" s="27">
        <v>1283</v>
      </c>
      <c r="F373" s="27">
        <v>2</v>
      </c>
      <c r="G373" s="27">
        <v>23</v>
      </c>
      <c r="H373" s="27">
        <v>3</v>
      </c>
      <c r="I373" s="27">
        <v>1</v>
      </c>
      <c r="J373" s="27">
        <v>1</v>
      </c>
      <c r="K373" s="27">
        <v>495</v>
      </c>
      <c r="L373" s="27">
        <v>4</v>
      </c>
      <c r="M373" s="27">
        <v>1</v>
      </c>
      <c r="N373" s="27">
        <v>54</v>
      </c>
      <c r="O373" s="27">
        <v>3</v>
      </c>
      <c r="P373" s="27">
        <v>1</v>
      </c>
      <c r="Q373" s="27">
        <v>2</v>
      </c>
      <c r="R373" s="27">
        <v>4</v>
      </c>
      <c r="S373" s="27">
        <v>1</v>
      </c>
      <c r="T373" s="27">
        <v>2201</v>
      </c>
      <c r="U373" s="27">
        <v>18168</v>
      </c>
      <c r="V373" s="27">
        <v>9</v>
      </c>
      <c r="W373" s="27">
        <v>0</v>
      </c>
      <c r="X373" s="27">
        <v>16</v>
      </c>
      <c r="Y373" s="27">
        <v>3</v>
      </c>
      <c r="Z373" s="27">
        <v>4</v>
      </c>
      <c r="AA373" s="27">
        <v>80</v>
      </c>
      <c r="AB373" s="27">
        <v>0</v>
      </c>
      <c r="AC373" s="27">
        <v>6</v>
      </c>
      <c r="AD373" s="27">
        <v>4</v>
      </c>
      <c r="AE373" s="27">
        <v>3</v>
      </c>
      <c r="AF373" s="27">
        <v>3</v>
      </c>
      <c r="AG373" s="27">
        <v>2</v>
      </c>
      <c r="AH373" s="27">
        <v>1</v>
      </c>
      <c r="AI373" s="28">
        <v>2</v>
      </c>
      <c r="AK373" s="36">
        <v>340</v>
      </c>
      <c r="AL373" s="33">
        <v>8</v>
      </c>
      <c r="AM373" s="33">
        <v>2</v>
      </c>
      <c r="AN373" s="33">
        <v>2</v>
      </c>
      <c r="AO373" s="33">
        <v>1</v>
      </c>
      <c r="AP373" s="33">
        <v>0</v>
      </c>
      <c r="AQ373" s="33">
        <v>1</v>
      </c>
      <c r="AR373" s="33">
        <v>3</v>
      </c>
      <c r="AS373" s="33">
        <v>8</v>
      </c>
      <c r="AT373" s="33">
        <v>0</v>
      </c>
      <c r="AU373" s="43">
        <v>5.0516347879584519E-2</v>
      </c>
      <c r="AV373" s="33">
        <v>0</v>
      </c>
      <c r="AW373" s="33">
        <v>0</v>
      </c>
      <c r="AY373" s="36">
        <v>345</v>
      </c>
      <c r="AZ373" s="33">
        <v>3</v>
      </c>
      <c r="BA373" s="33">
        <v>2</v>
      </c>
      <c r="BB373" s="33">
        <v>0</v>
      </c>
      <c r="BC373" s="33">
        <v>0</v>
      </c>
      <c r="BD373" s="43">
        <v>9.2115043168566224E-2</v>
      </c>
      <c r="BE373" s="33">
        <v>0</v>
      </c>
      <c r="BF373" s="33">
        <v>0</v>
      </c>
      <c r="CE373" s="36">
        <v>339</v>
      </c>
      <c r="CF373" s="33">
        <v>5</v>
      </c>
      <c r="CG373" s="33">
        <v>2</v>
      </c>
      <c r="CH373" s="33">
        <v>3</v>
      </c>
      <c r="CI373" s="33">
        <v>3</v>
      </c>
      <c r="CJ373" s="33">
        <v>1</v>
      </c>
      <c r="CK373" s="33">
        <v>0</v>
      </c>
      <c r="CL373" s="33">
        <v>3</v>
      </c>
      <c r="CM373" s="33">
        <v>3</v>
      </c>
      <c r="CN373" s="33">
        <v>10</v>
      </c>
      <c r="CO373" s="33">
        <v>1</v>
      </c>
      <c r="CP373" s="43">
        <v>1.2151117695828674E-2</v>
      </c>
      <c r="CQ373" s="33">
        <v>0</v>
      </c>
      <c r="CR373" s="33">
        <v>0</v>
      </c>
    </row>
    <row r="374" spans="1:96" ht="15" customHeight="1" x14ac:dyDescent="0.25">
      <c r="A374" s="26">
        <v>372</v>
      </c>
      <c r="B374" s="27">
        <v>35</v>
      </c>
      <c r="C374" s="27">
        <v>0</v>
      </c>
      <c r="D374" s="27">
        <v>1</v>
      </c>
      <c r="E374" s="27">
        <v>755</v>
      </c>
      <c r="F374" s="27">
        <v>2</v>
      </c>
      <c r="G374" s="27">
        <v>9</v>
      </c>
      <c r="H374" s="27">
        <v>4</v>
      </c>
      <c r="I374" s="27">
        <v>1</v>
      </c>
      <c r="J374" s="27">
        <v>1</v>
      </c>
      <c r="K374" s="27">
        <v>496</v>
      </c>
      <c r="L374" s="27">
        <v>3</v>
      </c>
      <c r="M374" s="27">
        <v>1</v>
      </c>
      <c r="N374" s="27">
        <v>97</v>
      </c>
      <c r="O374" s="27">
        <v>2</v>
      </c>
      <c r="P374" s="27">
        <v>2</v>
      </c>
      <c r="Q374" s="27">
        <v>5</v>
      </c>
      <c r="R374" s="27">
        <v>2</v>
      </c>
      <c r="S374" s="27">
        <v>1</v>
      </c>
      <c r="T374" s="27">
        <v>6540</v>
      </c>
      <c r="U374" s="27">
        <v>19394</v>
      </c>
      <c r="V374" s="27">
        <v>9</v>
      </c>
      <c r="W374" s="27">
        <v>0</v>
      </c>
      <c r="X374" s="27">
        <v>19</v>
      </c>
      <c r="Y374" s="27">
        <v>3</v>
      </c>
      <c r="Z374" s="27">
        <v>3</v>
      </c>
      <c r="AA374" s="27">
        <v>80</v>
      </c>
      <c r="AB374" s="27">
        <v>0</v>
      </c>
      <c r="AC374" s="27">
        <v>10</v>
      </c>
      <c r="AD374" s="27">
        <v>5</v>
      </c>
      <c r="AE374" s="27">
        <v>3</v>
      </c>
      <c r="AF374" s="27">
        <v>1</v>
      </c>
      <c r="AG374" s="27">
        <v>1</v>
      </c>
      <c r="AH374" s="27">
        <v>0</v>
      </c>
      <c r="AI374" s="28">
        <v>0</v>
      </c>
      <c r="AK374" s="36">
        <v>341</v>
      </c>
      <c r="AL374" s="33">
        <v>5</v>
      </c>
      <c r="AM374" s="33">
        <v>2</v>
      </c>
      <c r="AN374" s="33">
        <v>4</v>
      </c>
      <c r="AO374" s="33">
        <v>7</v>
      </c>
      <c r="AP374" s="33">
        <v>0</v>
      </c>
      <c r="AQ374" s="33">
        <v>2</v>
      </c>
      <c r="AR374" s="33">
        <v>2</v>
      </c>
      <c r="AS374" s="33">
        <v>6</v>
      </c>
      <c r="AT374" s="33">
        <v>0</v>
      </c>
      <c r="AU374" s="43">
        <v>3.5398791589212962E-2</v>
      </c>
      <c r="AV374" s="33">
        <v>0</v>
      </c>
      <c r="AW374" s="33">
        <v>0</v>
      </c>
      <c r="AY374" s="36">
        <v>346</v>
      </c>
      <c r="AZ374" s="33">
        <v>1</v>
      </c>
      <c r="BA374" s="33">
        <v>4</v>
      </c>
      <c r="BB374" s="33">
        <v>0</v>
      </c>
      <c r="BC374" s="33">
        <v>2</v>
      </c>
      <c r="BD374" s="43">
        <v>5.6717470552978752E-2</v>
      </c>
      <c r="BE374" s="33">
        <v>0</v>
      </c>
      <c r="BF374" s="33">
        <v>0</v>
      </c>
      <c r="CE374" s="36">
        <v>340</v>
      </c>
      <c r="CF374" s="33">
        <v>8</v>
      </c>
      <c r="CG374" s="33">
        <v>2</v>
      </c>
      <c r="CH374" s="33">
        <v>2</v>
      </c>
      <c r="CI374" s="33">
        <v>2</v>
      </c>
      <c r="CJ374" s="33">
        <v>1</v>
      </c>
      <c r="CK374" s="33">
        <v>0</v>
      </c>
      <c r="CL374" s="33">
        <v>1</v>
      </c>
      <c r="CM374" s="33">
        <v>3</v>
      </c>
      <c r="CN374" s="33">
        <v>8</v>
      </c>
      <c r="CO374" s="33">
        <v>0</v>
      </c>
      <c r="CP374" s="43">
        <v>4.9341692281491559E-2</v>
      </c>
      <c r="CQ374" s="33">
        <v>0</v>
      </c>
      <c r="CR374" s="33">
        <v>0</v>
      </c>
    </row>
    <row r="375" spans="1:96" ht="15" customHeight="1" x14ac:dyDescent="0.25">
      <c r="A375" s="26">
        <v>373</v>
      </c>
      <c r="B375" s="27">
        <v>27</v>
      </c>
      <c r="C375" s="27">
        <v>0</v>
      </c>
      <c r="D375" s="27">
        <v>1</v>
      </c>
      <c r="E375" s="27">
        <v>1469</v>
      </c>
      <c r="F375" s="27">
        <v>2</v>
      </c>
      <c r="G375" s="27">
        <v>1</v>
      </c>
      <c r="H375" s="27">
        <v>2</v>
      </c>
      <c r="I375" s="27">
        <v>3</v>
      </c>
      <c r="J375" s="27">
        <v>1</v>
      </c>
      <c r="K375" s="27">
        <v>497</v>
      </c>
      <c r="L375" s="27">
        <v>4</v>
      </c>
      <c r="M375" s="27">
        <v>1</v>
      </c>
      <c r="N375" s="27">
        <v>82</v>
      </c>
      <c r="O375" s="27">
        <v>3</v>
      </c>
      <c r="P375" s="27">
        <v>1</v>
      </c>
      <c r="Q375" s="27">
        <v>3</v>
      </c>
      <c r="R375" s="27">
        <v>2</v>
      </c>
      <c r="S375" s="27">
        <v>3</v>
      </c>
      <c r="T375" s="27">
        <v>3816</v>
      </c>
      <c r="U375" s="27">
        <v>17881</v>
      </c>
      <c r="V375" s="27">
        <v>1</v>
      </c>
      <c r="W375" s="27">
        <v>0</v>
      </c>
      <c r="X375" s="27">
        <v>11</v>
      </c>
      <c r="Y375" s="27">
        <v>3</v>
      </c>
      <c r="Z375" s="27">
        <v>2</v>
      </c>
      <c r="AA375" s="27">
        <v>80</v>
      </c>
      <c r="AB375" s="27">
        <v>1</v>
      </c>
      <c r="AC375" s="27">
        <v>5</v>
      </c>
      <c r="AD375" s="27">
        <v>2</v>
      </c>
      <c r="AE375" s="27">
        <v>3</v>
      </c>
      <c r="AF375" s="27">
        <v>5</v>
      </c>
      <c r="AG375" s="27">
        <v>2</v>
      </c>
      <c r="AH375" s="27">
        <v>0</v>
      </c>
      <c r="AI375" s="28">
        <v>4</v>
      </c>
      <c r="AK375" s="36">
        <v>342</v>
      </c>
      <c r="AL375" s="33">
        <v>15</v>
      </c>
      <c r="AM375" s="33">
        <v>3</v>
      </c>
      <c r="AN375" s="33">
        <v>4</v>
      </c>
      <c r="AO375" s="33">
        <v>0</v>
      </c>
      <c r="AP375" s="33">
        <v>1</v>
      </c>
      <c r="AQ375" s="33">
        <v>1</v>
      </c>
      <c r="AR375" s="33">
        <v>3</v>
      </c>
      <c r="AS375" s="33">
        <v>11</v>
      </c>
      <c r="AT375" s="33">
        <v>2</v>
      </c>
      <c r="AU375" s="43">
        <v>8.0755859452010262E-2</v>
      </c>
      <c r="AV375" s="33">
        <v>0</v>
      </c>
      <c r="AW375" s="33">
        <v>0</v>
      </c>
      <c r="AY375" s="36">
        <v>347</v>
      </c>
      <c r="AZ375" s="33">
        <v>2</v>
      </c>
      <c r="BA375" s="33">
        <v>2</v>
      </c>
      <c r="BB375" s="33">
        <v>1</v>
      </c>
      <c r="BC375" s="33">
        <v>0</v>
      </c>
      <c r="BD375" s="43">
        <v>0.4312038484945574</v>
      </c>
      <c r="BE375" s="33">
        <v>0</v>
      </c>
      <c r="BF375" s="33">
        <v>0</v>
      </c>
      <c r="CE375" s="36">
        <v>341</v>
      </c>
      <c r="CF375" s="33">
        <v>5</v>
      </c>
      <c r="CG375" s="33">
        <v>2</v>
      </c>
      <c r="CH375" s="33">
        <v>4</v>
      </c>
      <c r="CI375" s="33">
        <v>3</v>
      </c>
      <c r="CJ375" s="33">
        <v>7</v>
      </c>
      <c r="CK375" s="33">
        <v>0</v>
      </c>
      <c r="CL375" s="33">
        <v>2</v>
      </c>
      <c r="CM375" s="33">
        <v>2</v>
      </c>
      <c r="CN375" s="33">
        <v>6</v>
      </c>
      <c r="CO375" s="33">
        <v>0</v>
      </c>
      <c r="CP375" s="43">
        <v>2.7941791761014693E-2</v>
      </c>
      <c r="CQ375" s="33">
        <v>0</v>
      </c>
      <c r="CR375" s="33">
        <v>0</v>
      </c>
    </row>
    <row r="376" spans="1:96" ht="15" customHeight="1" x14ac:dyDescent="0.25">
      <c r="A376" s="26">
        <v>374</v>
      </c>
      <c r="B376" s="27">
        <v>28</v>
      </c>
      <c r="C376" s="27">
        <v>0</v>
      </c>
      <c r="D376" s="27">
        <v>1</v>
      </c>
      <c r="E376" s="27">
        <v>304</v>
      </c>
      <c r="F376" s="27">
        <v>1</v>
      </c>
      <c r="G376" s="27">
        <v>9</v>
      </c>
      <c r="H376" s="27">
        <v>4</v>
      </c>
      <c r="I376" s="27">
        <v>1</v>
      </c>
      <c r="J376" s="27">
        <v>1</v>
      </c>
      <c r="K376" s="27">
        <v>498</v>
      </c>
      <c r="L376" s="27">
        <v>2</v>
      </c>
      <c r="M376" s="27">
        <v>1</v>
      </c>
      <c r="N376" s="27">
        <v>92</v>
      </c>
      <c r="O376" s="27">
        <v>3</v>
      </c>
      <c r="P376" s="27">
        <v>2</v>
      </c>
      <c r="Q376" s="27">
        <v>1</v>
      </c>
      <c r="R376" s="27">
        <v>4</v>
      </c>
      <c r="S376" s="27">
        <v>1</v>
      </c>
      <c r="T376" s="27">
        <v>5253</v>
      </c>
      <c r="U376" s="27">
        <v>20750</v>
      </c>
      <c r="V376" s="27">
        <v>1</v>
      </c>
      <c r="W376" s="27">
        <v>0</v>
      </c>
      <c r="X376" s="27">
        <v>16</v>
      </c>
      <c r="Y376" s="27">
        <v>3</v>
      </c>
      <c r="Z376" s="27">
        <v>4</v>
      </c>
      <c r="AA376" s="27">
        <v>80</v>
      </c>
      <c r="AB376" s="27">
        <v>0</v>
      </c>
      <c r="AC376" s="27">
        <v>7</v>
      </c>
      <c r="AD376" s="27">
        <v>1</v>
      </c>
      <c r="AE376" s="27">
        <v>3</v>
      </c>
      <c r="AF376" s="27">
        <v>7</v>
      </c>
      <c r="AG376" s="27">
        <v>5</v>
      </c>
      <c r="AH376" s="27">
        <v>0</v>
      </c>
      <c r="AI376" s="28">
        <v>7</v>
      </c>
      <c r="AK376" s="36">
        <v>343</v>
      </c>
      <c r="AL376" s="33">
        <v>7</v>
      </c>
      <c r="AM376" s="33">
        <v>3</v>
      </c>
      <c r="AN376" s="33">
        <v>4</v>
      </c>
      <c r="AO376" s="33">
        <v>1</v>
      </c>
      <c r="AP376" s="33">
        <v>1</v>
      </c>
      <c r="AQ376" s="33">
        <v>0</v>
      </c>
      <c r="AR376" s="33">
        <v>2</v>
      </c>
      <c r="AS376" s="33">
        <v>11</v>
      </c>
      <c r="AT376" s="33">
        <v>4</v>
      </c>
      <c r="AU376" s="43">
        <v>0.1692621992607054</v>
      </c>
      <c r="AV376" s="33">
        <v>0</v>
      </c>
      <c r="AW376" s="33">
        <v>0</v>
      </c>
      <c r="AY376" s="36">
        <v>348</v>
      </c>
      <c r="AZ376" s="33">
        <v>2</v>
      </c>
      <c r="BA376" s="33">
        <v>3</v>
      </c>
      <c r="BB376" s="33">
        <v>0</v>
      </c>
      <c r="BC376" s="33">
        <v>0</v>
      </c>
      <c r="BD376" s="43">
        <v>0.11690772887050198</v>
      </c>
      <c r="BE376" s="33">
        <v>0</v>
      </c>
      <c r="BF376" s="33">
        <v>0</v>
      </c>
      <c r="CE376" s="36">
        <v>342</v>
      </c>
      <c r="CF376" s="33">
        <v>15</v>
      </c>
      <c r="CG376" s="33">
        <v>3</v>
      </c>
      <c r="CH376" s="33">
        <v>4</v>
      </c>
      <c r="CI376" s="33">
        <v>3</v>
      </c>
      <c r="CJ376" s="33">
        <v>0</v>
      </c>
      <c r="CK376" s="33">
        <v>1</v>
      </c>
      <c r="CL376" s="33">
        <v>1</v>
      </c>
      <c r="CM376" s="33">
        <v>3</v>
      </c>
      <c r="CN376" s="33">
        <v>11</v>
      </c>
      <c r="CO376" s="33">
        <v>2</v>
      </c>
      <c r="CP376" s="43">
        <v>4.7637716779252964E-2</v>
      </c>
      <c r="CQ376" s="33">
        <v>0</v>
      </c>
      <c r="CR376" s="33">
        <v>0</v>
      </c>
    </row>
    <row r="377" spans="1:96" ht="15" customHeight="1" x14ac:dyDescent="0.25">
      <c r="A377" s="26">
        <v>375</v>
      </c>
      <c r="B377" s="27">
        <v>49</v>
      </c>
      <c r="C377" s="27">
        <v>0</v>
      </c>
      <c r="D377" s="27">
        <v>1</v>
      </c>
      <c r="E377" s="27">
        <v>1261</v>
      </c>
      <c r="F377" s="27">
        <v>2</v>
      </c>
      <c r="G377" s="27">
        <v>7</v>
      </c>
      <c r="H377" s="27">
        <v>3</v>
      </c>
      <c r="I377" s="27">
        <v>6</v>
      </c>
      <c r="J377" s="27">
        <v>1</v>
      </c>
      <c r="K377" s="27">
        <v>499</v>
      </c>
      <c r="L377" s="27">
        <v>2</v>
      </c>
      <c r="M377" s="27">
        <v>1</v>
      </c>
      <c r="N377" s="27">
        <v>31</v>
      </c>
      <c r="O377" s="27">
        <v>2</v>
      </c>
      <c r="P377" s="27">
        <v>3</v>
      </c>
      <c r="Q377" s="27">
        <v>5</v>
      </c>
      <c r="R377" s="27">
        <v>3</v>
      </c>
      <c r="S377" s="27">
        <v>1</v>
      </c>
      <c r="T377" s="27">
        <v>10965</v>
      </c>
      <c r="U377" s="27">
        <v>12066</v>
      </c>
      <c r="V377" s="27">
        <v>8</v>
      </c>
      <c r="W377" s="27">
        <v>0</v>
      </c>
      <c r="X377" s="27">
        <v>24</v>
      </c>
      <c r="Y377" s="27">
        <v>4</v>
      </c>
      <c r="Z377" s="27">
        <v>3</v>
      </c>
      <c r="AA377" s="27">
        <v>80</v>
      </c>
      <c r="AB377" s="27">
        <v>0</v>
      </c>
      <c r="AC377" s="27">
        <v>26</v>
      </c>
      <c r="AD377" s="27">
        <v>2</v>
      </c>
      <c r="AE377" s="27">
        <v>3</v>
      </c>
      <c r="AF377" s="27">
        <v>5</v>
      </c>
      <c r="AG377" s="27">
        <v>2</v>
      </c>
      <c r="AH377" s="27">
        <v>0</v>
      </c>
      <c r="AI377" s="28">
        <v>0</v>
      </c>
      <c r="AK377" s="36">
        <v>344</v>
      </c>
      <c r="AL377" s="33">
        <v>10</v>
      </c>
      <c r="AM377" s="33">
        <v>2</v>
      </c>
      <c r="AN377" s="33">
        <v>2</v>
      </c>
      <c r="AO377" s="33">
        <v>1</v>
      </c>
      <c r="AP377" s="33">
        <v>1</v>
      </c>
      <c r="AQ377" s="33">
        <v>2</v>
      </c>
      <c r="AR377" s="33">
        <v>3</v>
      </c>
      <c r="AS377" s="33">
        <v>7</v>
      </c>
      <c r="AT377" s="33">
        <v>1</v>
      </c>
      <c r="AU377" s="43">
        <v>0.14520287690003292</v>
      </c>
      <c r="AV377" s="33">
        <v>0</v>
      </c>
      <c r="AW377" s="33">
        <v>0</v>
      </c>
      <c r="AY377" s="36">
        <v>349</v>
      </c>
      <c r="AZ377" s="33">
        <v>4</v>
      </c>
      <c r="BA377" s="33">
        <v>4</v>
      </c>
      <c r="BB377" s="33">
        <v>0</v>
      </c>
      <c r="BC377" s="33">
        <v>0</v>
      </c>
      <c r="BD377" s="43">
        <v>3.1333013053779842E-2</v>
      </c>
      <c r="BE377" s="33">
        <v>0</v>
      </c>
      <c r="BF377" s="33">
        <v>0</v>
      </c>
      <c r="CE377" s="36">
        <v>343</v>
      </c>
      <c r="CF377" s="33">
        <v>7</v>
      </c>
      <c r="CG377" s="33">
        <v>3</v>
      </c>
      <c r="CH377" s="33">
        <v>4</v>
      </c>
      <c r="CI377" s="33">
        <v>1</v>
      </c>
      <c r="CJ377" s="33">
        <v>1</v>
      </c>
      <c r="CK377" s="33">
        <v>1</v>
      </c>
      <c r="CL377" s="33">
        <v>0</v>
      </c>
      <c r="CM377" s="33">
        <v>2</v>
      </c>
      <c r="CN377" s="33">
        <v>11</v>
      </c>
      <c r="CO377" s="33">
        <v>4</v>
      </c>
      <c r="CP377" s="43">
        <v>0.20370190629178192</v>
      </c>
      <c r="CQ377" s="33">
        <v>0</v>
      </c>
      <c r="CR377" s="33">
        <v>0</v>
      </c>
    </row>
    <row r="378" spans="1:96" ht="15" customHeight="1" x14ac:dyDescent="0.25">
      <c r="A378" s="26">
        <v>376</v>
      </c>
      <c r="B378" s="27">
        <v>51</v>
      </c>
      <c r="C378" s="27">
        <v>0</v>
      </c>
      <c r="D378" s="27">
        <v>1</v>
      </c>
      <c r="E378" s="27">
        <v>1178</v>
      </c>
      <c r="F378" s="27">
        <v>1</v>
      </c>
      <c r="G378" s="27">
        <v>14</v>
      </c>
      <c r="H378" s="27">
        <v>2</v>
      </c>
      <c r="I378" s="27">
        <v>1</v>
      </c>
      <c r="J378" s="27">
        <v>1</v>
      </c>
      <c r="K378" s="27">
        <v>500</v>
      </c>
      <c r="L378" s="27">
        <v>3</v>
      </c>
      <c r="M378" s="27">
        <v>0</v>
      </c>
      <c r="N378" s="27">
        <v>87</v>
      </c>
      <c r="O378" s="27">
        <v>3</v>
      </c>
      <c r="P378" s="27">
        <v>2</v>
      </c>
      <c r="Q378" s="27">
        <v>1</v>
      </c>
      <c r="R378" s="27">
        <v>4</v>
      </c>
      <c r="S378" s="27">
        <v>2</v>
      </c>
      <c r="T378" s="27">
        <v>4936</v>
      </c>
      <c r="U378" s="27">
        <v>14862</v>
      </c>
      <c r="V378" s="27">
        <v>4</v>
      </c>
      <c r="W378" s="27">
        <v>0</v>
      </c>
      <c r="X378" s="27">
        <v>11</v>
      </c>
      <c r="Y378" s="27">
        <v>3</v>
      </c>
      <c r="Z378" s="27">
        <v>3</v>
      </c>
      <c r="AA378" s="27">
        <v>80</v>
      </c>
      <c r="AB378" s="27">
        <v>1</v>
      </c>
      <c r="AC378" s="27">
        <v>18</v>
      </c>
      <c r="AD378" s="27">
        <v>2</v>
      </c>
      <c r="AE378" s="27">
        <v>2</v>
      </c>
      <c r="AF378" s="27">
        <v>7</v>
      </c>
      <c r="AG378" s="27">
        <v>7</v>
      </c>
      <c r="AH378" s="27">
        <v>0</v>
      </c>
      <c r="AI378" s="28">
        <v>7</v>
      </c>
      <c r="AK378" s="36">
        <v>345</v>
      </c>
      <c r="AL378" s="33">
        <v>5</v>
      </c>
      <c r="AM378" s="33">
        <v>3</v>
      </c>
      <c r="AN378" s="33">
        <v>2</v>
      </c>
      <c r="AO378" s="33">
        <v>0</v>
      </c>
      <c r="AP378" s="33">
        <v>0</v>
      </c>
      <c r="AQ378" s="33">
        <v>0</v>
      </c>
      <c r="AR378" s="33">
        <v>3</v>
      </c>
      <c r="AS378" s="33">
        <v>16</v>
      </c>
      <c r="AT378" s="33">
        <v>0</v>
      </c>
      <c r="AU378" s="43">
        <v>2.4606774788630832E-2</v>
      </c>
      <c r="AV378" s="33">
        <v>0</v>
      </c>
      <c r="AW378" s="33">
        <v>0</v>
      </c>
      <c r="AY378" s="36">
        <v>350</v>
      </c>
      <c r="AZ378" s="33">
        <v>2</v>
      </c>
      <c r="BA378" s="33">
        <v>3</v>
      </c>
      <c r="BB378" s="33">
        <v>0</v>
      </c>
      <c r="BC378" s="33">
        <v>1</v>
      </c>
      <c r="BD378" s="43">
        <v>7.244788656931947E-2</v>
      </c>
      <c r="BE378" s="33">
        <v>0</v>
      </c>
      <c r="BF378" s="33">
        <v>0</v>
      </c>
      <c r="CE378" s="36">
        <v>344</v>
      </c>
      <c r="CF378" s="33">
        <v>10</v>
      </c>
      <c r="CG378" s="33">
        <v>2</v>
      </c>
      <c r="CH378" s="33">
        <v>2</v>
      </c>
      <c r="CI378" s="33">
        <v>3</v>
      </c>
      <c r="CJ378" s="33">
        <v>1</v>
      </c>
      <c r="CK378" s="33">
        <v>1</v>
      </c>
      <c r="CL378" s="33">
        <v>2</v>
      </c>
      <c r="CM378" s="33">
        <v>3</v>
      </c>
      <c r="CN378" s="33">
        <v>7</v>
      </c>
      <c r="CO378" s="33">
        <v>1</v>
      </c>
      <c r="CP378" s="43">
        <v>0.12297760766071286</v>
      </c>
      <c r="CQ378" s="33">
        <v>0</v>
      </c>
      <c r="CR378" s="33">
        <v>0</v>
      </c>
    </row>
    <row r="379" spans="1:96" ht="15" customHeight="1" x14ac:dyDescent="0.25">
      <c r="A379" s="26">
        <v>377</v>
      </c>
      <c r="B379" s="27">
        <v>36</v>
      </c>
      <c r="C379" s="27">
        <v>0</v>
      </c>
      <c r="D379" s="27">
        <v>1</v>
      </c>
      <c r="E379" s="27">
        <v>329</v>
      </c>
      <c r="F379" s="27">
        <v>2</v>
      </c>
      <c r="G379" s="27">
        <v>2</v>
      </c>
      <c r="H379" s="27">
        <v>3</v>
      </c>
      <c r="I379" s="27">
        <v>1</v>
      </c>
      <c r="J379" s="27">
        <v>1</v>
      </c>
      <c r="K379" s="27">
        <v>501</v>
      </c>
      <c r="L379" s="27">
        <v>4</v>
      </c>
      <c r="M379" s="27">
        <v>0</v>
      </c>
      <c r="N379" s="27">
        <v>96</v>
      </c>
      <c r="O379" s="27">
        <v>3</v>
      </c>
      <c r="P379" s="27">
        <v>1</v>
      </c>
      <c r="Q379" s="27">
        <v>2</v>
      </c>
      <c r="R379" s="27">
        <v>3</v>
      </c>
      <c r="S379" s="27">
        <v>2</v>
      </c>
      <c r="T379" s="27">
        <v>2543</v>
      </c>
      <c r="U379" s="27">
        <v>11868</v>
      </c>
      <c r="V379" s="27">
        <v>4</v>
      </c>
      <c r="W379" s="27">
        <v>0</v>
      </c>
      <c r="X379" s="27">
        <v>13</v>
      </c>
      <c r="Y379" s="27">
        <v>3</v>
      </c>
      <c r="Z379" s="27">
        <v>2</v>
      </c>
      <c r="AA379" s="27">
        <v>80</v>
      </c>
      <c r="AB379" s="27">
        <v>1</v>
      </c>
      <c r="AC379" s="27">
        <v>6</v>
      </c>
      <c r="AD379" s="27">
        <v>3</v>
      </c>
      <c r="AE379" s="27">
        <v>3</v>
      </c>
      <c r="AF379" s="27">
        <v>2</v>
      </c>
      <c r="AG379" s="27">
        <v>2</v>
      </c>
      <c r="AH379" s="27">
        <v>2</v>
      </c>
      <c r="AI379" s="28">
        <v>2</v>
      </c>
      <c r="AK379" s="36">
        <v>346</v>
      </c>
      <c r="AL379" s="33">
        <v>26</v>
      </c>
      <c r="AM379" s="33">
        <v>1</v>
      </c>
      <c r="AN379" s="33">
        <v>4</v>
      </c>
      <c r="AO379" s="33">
        <v>1</v>
      </c>
      <c r="AP379" s="33">
        <v>0</v>
      </c>
      <c r="AQ379" s="33">
        <v>2</v>
      </c>
      <c r="AR379" s="33">
        <v>2</v>
      </c>
      <c r="AS379" s="33">
        <v>4</v>
      </c>
      <c r="AT379" s="33">
        <v>0</v>
      </c>
      <c r="AU379" s="43">
        <v>8.2655278036516053E-2</v>
      </c>
      <c r="AV379" s="33">
        <v>0</v>
      </c>
      <c r="AW379" s="33">
        <v>0</v>
      </c>
      <c r="AY379" s="36">
        <v>351</v>
      </c>
      <c r="AZ379" s="33">
        <v>1</v>
      </c>
      <c r="BA379" s="33">
        <v>3</v>
      </c>
      <c r="BB379" s="33">
        <v>1</v>
      </c>
      <c r="BC379" s="33">
        <v>1</v>
      </c>
      <c r="BD379" s="43">
        <v>0.36852652578740397</v>
      </c>
      <c r="BE379" s="33">
        <v>0</v>
      </c>
      <c r="BF379" s="33">
        <v>0</v>
      </c>
      <c r="CE379" s="36">
        <v>345</v>
      </c>
      <c r="CF379" s="33">
        <v>5</v>
      </c>
      <c r="CG379" s="33">
        <v>3</v>
      </c>
      <c r="CH379" s="33">
        <v>2</v>
      </c>
      <c r="CI379" s="33">
        <v>1</v>
      </c>
      <c r="CJ379" s="33">
        <v>0</v>
      </c>
      <c r="CK379" s="33">
        <v>0</v>
      </c>
      <c r="CL379" s="33">
        <v>0</v>
      </c>
      <c r="CM379" s="33">
        <v>3</v>
      </c>
      <c r="CN379" s="33">
        <v>16</v>
      </c>
      <c r="CO379" s="33">
        <v>0</v>
      </c>
      <c r="CP379" s="43">
        <v>2.9663074183409487E-2</v>
      </c>
      <c r="CQ379" s="33">
        <v>0</v>
      </c>
      <c r="CR379" s="33">
        <v>0</v>
      </c>
    </row>
    <row r="380" spans="1:96" ht="15" customHeight="1" x14ac:dyDescent="0.25">
      <c r="A380" s="26">
        <v>378</v>
      </c>
      <c r="B380" s="27">
        <v>34</v>
      </c>
      <c r="C380" s="27">
        <v>1</v>
      </c>
      <c r="D380" s="27">
        <v>3</v>
      </c>
      <c r="E380" s="27">
        <v>1362</v>
      </c>
      <c r="F380" s="27">
        <v>1</v>
      </c>
      <c r="G380" s="27">
        <v>19</v>
      </c>
      <c r="H380" s="27">
        <v>3</v>
      </c>
      <c r="I380" s="27">
        <v>4</v>
      </c>
      <c r="J380" s="27">
        <v>1</v>
      </c>
      <c r="K380" s="27">
        <v>502</v>
      </c>
      <c r="L380" s="27">
        <v>1</v>
      </c>
      <c r="M380" s="27">
        <v>1</v>
      </c>
      <c r="N380" s="27">
        <v>67</v>
      </c>
      <c r="O380" s="27">
        <v>4</v>
      </c>
      <c r="P380" s="27">
        <v>2</v>
      </c>
      <c r="Q380" s="27">
        <v>1</v>
      </c>
      <c r="R380" s="27">
        <v>4</v>
      </c>
      <c r="S380" s="27">
        <v>1</v>
      </c>
      <c r="T380" s="27">
        <v>5304</v>
      </c>
      <c r="U380" s="27">
        <v>4652</v>
      </c>
      <c r="V380" s="27">
        <v>8</v>
      </c>
      <c r="W380" s="27">
        <v>1</v>
      </c>
      <c r="X380" s="27">
        <v>13</v>
      </c>
      <c r="Y380" s="27">
        <v>3</v>
      </c>
      <c r="Z380" s="27">
        <v>2</v>
      </c>
      <c r="AA380" s="27">
        <v>80</v>
      </c>
      <c r="AB380" s="27">
        <v>0</v>
      </c>
      <c r="AC380" s="27">
        <v>9</v>
      </c>
      <c r="AD380" s="27">
        <v>3</v>
      </c>
      <c r="AE380" s="27">
        <v>2</v>
      </c>
      <c r="AF380" s="27">
        <v>5</v>
      </c>
      <c r="AG380" s="27">
        <v>2</v>
      </c>
      <c r="AH380" s="27">
        <v>0</v>
      </c>
      <c r="AI380" s="28">
        <v>4</v>
      </c>
      <c r="AK380" s="36">
        <v>347</v>
      </c>
      <c r="AL380" s="33">
        <v>6</v>
      </c>
      <c r="AM380" s="33">
        <v>2</v>
      </c>
      <c r="AN380" s="33">
        <v>2</v>
      </c>
      <c r="AO380" s="33">
        <v>6</v>
      </c>
      <c r="AP380" s="33">
        <v>1</v>
      </c>
      <c r="AQ380" s="33">
        <v>0</v>
      </c>
      <c r="AR380" s="33">
        <v>3</v>
      </c>
      <c r="AS380" s="33">
        <v>5</v>
      </c>
      <c r="AT380" s="33">
        <v>1</v>
      </c>
      <c r="AU380" s="43">
        <v>0.44796746790307773</v>
      </c>
      <c r="AV380" s="33">
        <v>0</v>
      </c>
      <c r="AW380" s="33">
        <v>0</v>
      </c>
      <c r="AY380" s="36">
        <v>352</v>
      </c>
      <c r="AZ380" s="33">
        <v>1</v>
      </c>
      <c r="BA380" s="33">
        <v>2</v>
      </c>
      <c r="BB380" s="33">
        <v>0</v>
      </c>
      <c r="BC380" s="33">
        <v>1</v>
      </c>
      <c r="BD380" s="43">
        <v>0.15461023487664</v>
      </c>
      <c r="BE380" s="33">
        <v>0</v>
      </c>
      <c r="BF380" s="33">
        <v>0</v>
      </c>
      <c r="CE380" s="36">
        <v>346</v>
      </c>
      <c r="CF380" s="33">
        <v>26</v>
      </c>
      <c r="CG380" s="33">
        <v>1</v>
      </c>
      <c r="CH380" s="33">
        <v>4</v>
      </c>
      <c r="CI380" s="33">
        <v>3</v>
      </c>
      <c r="CJ380" s="33">
        <v>1</v>
      </c>
      <c r="CK380" s="33">
        <v>0</v>
      </c>
      <c r="CL380" s="33">
        <v>2</v>
      </c>
      <c r="CM380" s="33">
        <v>2</v>
      </c>
      <c r="CN380" s="33">
        <v>4</v>
      </c>
      <c r="CO380" s="33">
        <v>0</v>
      </c>
      <c r="CP380" s="43">
        <v>6.4337863493578243E-2</v>
      </c>
      <c r="CQ380" s="33">
        <v>0</v>
      </c>
      <c r="CR380" s="33">
        <v>0</v>
      </c>
    </row>
    <row r="381" spans="1:96" ht="15" customHeight="1" x14ac:dyDescent="0.25">
      <c r="A381" s="26">
        <v>379</v>
      </c>
      <c r="B381" s="27">
        <v>55</v>
      </c>
      <c r="C381" s="27">
        <v>0</v>
      </c>
      <c r="D381" s="27">
        <v>1</v>
      </c>
      <c r="E381" s="27">
        <v>1311</v>
      </c>
      <c r="F381" s="27">
        <v>2</v>
      </c>
      <c r="G381" s="27">
        <v>2</v>
      </c>
      <c r="H381" s="27">
        <v>3</v>
      </c>
      <c r="I381" s="27">
        <v>1</v>
      </c>
      <c r="J381" s="27">
        <v>1</v>
      </c>
      <c r="K381" s="27">
        <v>505</v>
      </c>
      <c r="L381" s="27">
        <v>3</v>
      </c>
      <c r="M381" s="27">
        <v>0</v>
      </c>
      <c r="N381" s="27">
        <v>97</v>
      </c>
      <c r="O381" s="27">
        <v>3</v>
      </c>
      <c r="P381" s="27">
        <v>4</v>
      </c>
      <c r="Q381" s="27">
        <v>6</v>
      </c>
      <c r="R381" s="27">
        <v>4</v>
      </c>
      <c r="S381" s="27">
        <v>1</v>
      </c>
      <c r="T381" s="27">
        <v>16659</v>
      </c>
      <c r="U381" s="27">
        <v>23258</v>
      </c>
      <c r="V381" s="27">
        <v>2</v>
      </c>
      <c r="W381" s="27">
        <v>1</v>
      </c>
      <c r="X381" s="27">
        <v>13</v>
      </c>
      <c r="Y381" s="27">
        <v>3</v>
      </c>
      <c r="Z381" s="27">
        <v>3</v>
      </c>
      <c r="AA381" s="27">
        <v>80</v>
      </c>
      <c r="AB381" s="27">
        <v>0</v>
      </c>
      <c r="AC381" s="27">
        <v>30</v>
      </c>
      <c r="AD381" s="27">
        <v>2</v>
      </c>
      <c r="AE381" s="27">
        <v>3</v>
      </c>
      <c r="AF381" s="27">
        <v>5</v>
      </c>
      <c r="AG381" s="27">
        <v>4</v>
      </c>
      <c r="AH381" s="27">
        <v>1</v>
      </c>
      <c r="AI381" s="28">
        <v>2</v>
      </c>
      <c r="AK381" s="36">
        <v>348</v>
      </c>
      <c r="AL381" s="33">
        <v>4</v>
      </c>
      <c r="AM381" s="33">
        <v>2</v>
      </c>
      <c r="AN381" s="33">
        <v>3</v>
      </c>
      <c r="AO381" s="33">
        <v>3</v>
      </c>
      <c r="AP381" s="33">
        <v>0</v>
      </c>
      <c r="AQ381" s="33">
        <v>0</v>
      </c>
      <c r="AR381" s="33">
        <v>3</v>
      </c>
      <c r="AS381" s="33">
        <v>0</v>
      </c>
      <c r="AT381" s="33">
        <v>0</v>
      </c>
      <c r="AU381" s="43">
        <v>0.11422909167987973</v>
      </c>
      <c r="AV381" s="33">
        <v>0</v>
      </c>
      <c r="AW381" s="33">
        <v>0</v>
      </c>
      <c r="AY381" s="36">
        <v>353</v>
      </c>
      <c r="AZ381" s="33">
        <v>3</v>
      </c>
      <c r="BA381" s="33">
        <v>3</v>
      </c>
      <c r="BB381" s="33">
        <v>0</v>
      </c>
      <c r="BC381" s="33">
        <v>1</v>
      </c>
      <c r="BD381" s="43">
        <v>4.2774603045834733E-2</v>
      </c>
      <c r="BE381" s="33">
        <v>0</v>
      </c>
      <c r="BF381" s="33">
        <v>0</v>
      </c>
      <c r="CE381" s="36">
        <v>347</v>
      </c>
      <c r="CF381" s="33">
        <v>6</v>
      </c>
      <c r="CG381" s="33">
        <v>2</v>
      </c>
      <c r="CH381" s="33">
        <v>2</v>
      </c>
      <c r="CI381" s="33">
        <v>1</v>
      </c>
      <c r="CJ381" s="33">
        <v>6</v>
      </c>
      <c r="CK381" s="33">
        <v>1</v>
      </c>
      <c r="CL381" s="33">
        <v>0</v>
      </c>
      <c r="CM381" s="33">
        <v>3</v>
      </c>
      <c r="CN381" s="33">
        <v>5</v>
      </c>
      <c r="CO381" s="33">
        <v>1</v>
      </c>
      <c r="CP381" s="43">
        <v>0.50741927960611499</v>
      </c>
      <c r="CQ381" s="33">
        <v>1</v>
      </c>
      <c r="CR381" s="33">
        <v>0</v>
      </c>
    </row>
    <row r="382" spans="1:96" ht="15" customHeight="1" x14ac:dyDescent="0.25">
      <c r="A382" s="26">
        <v>380</v>
      </c>
      <c r="B382" s="27">
        <v>24</v>
      </c>
      <c r="C382" s="27">
        <v>0</v>
      </c>
      <c r="D382" s="27">
        <v>1</v>
      </c>
      <c r="E382" s="27">
        <v>1371</v>
      </c>
      <c r="F382" s="27">
        <v>1</v>
      </c>
      <c r="G382" s="27">
        <v>10</v>
      </c>
      <c r="H382" s="27">
        <v>4</v>
      </c>
      <c r="I382" s="27">
        <v>4</v>
      </c>
      <c r="J382" s="27">
        <v>1</v>
      </c>
      <c r="K382" s="27">
        <v>507</v>
      </c>
      <c r="L382" s="27">
        <v>4</v>
      </c>
      <c r="M382" s="27">
        <v>0</v>
      </c>
      <c r="N382" s="27">
        <v>77</v>
      </c>
      <c r="O382" s="27">
        <v>3</v>
      </c>
      <c r="P382" s="27">
        <v>2</v>
      </c>
      <c r="Q382" s="27">
        <v>1</v>
      </c>
      <c r="R382" s="27">
        <v>3</v>
      </c>
      <c r="S382" s="27">
        <v>3</v>
      </c>
      <c r="T382" s="27">
        <v>4260</v>
      </c>
      <c r="U382" s="27">
        <v>5915</v>
      </c>
      <c r="V382" s="27">
        <v>1</v>
      </c>
      <c r="W382" s="27">
        <v>1</v>
      </c>
      <c r="X382" s="27">
        <v>12</v>
      </c>
      <c r="Y382" s="27">
        <v>3</v>
      </c>
      <c r="Z382" s="27">
        <v>4</v>
      </c>
      <c r="AA382" s="27">
        <v>80</v>
      </c>
      <c r="AB382" s="27">
        <v>1</v>
      </c>
      <c r="AC382" s="27">
        <v>5</v>
      </c>
      <c r="AD382" s="27">
        <v>2</v>
      </c>
      <c r="AE382" s="27">
        <v>4</v>
      </c>
      <c r="AF382" s="27">
        <v>5</v>
      </c>
      <c r="AG382" s="27">
        <v>2</v>
      </c>
      <c r="AH382" s="27">
        <v>0</v>
      </c>
      <c r="AI382" s="28">
        <v>3</v>
      </c>
      <c r="AK382" s="36">
        <v>349</v>
      </c>
      <c r="AL382" s="33">
        <v>23</v>
      </c>
      <c r="AM382" s="33">
        <v>4</v>
      </c>
      <c r="AN382" s="33">
        <v>4</v>
      </c>
      <c r="AO382" s="33">
        <v>2</v>
      </c>
      <c r="AP382" s="33">
        <v>0</v>
      </c>
      <c r="AQ382" s="33">
        <v>0</v>
      </c>
      <c r="AR382" s="33">
        <v>3</v>
      </c>
      <c r="AS382" s="33">
        <v>1</v>
      </c>
      <c r="AT382" s="33">
        <v>0</v>
      </c>
      <c r="AU382" s="43">
        <v>4.9245117259827942E-2</v>
      </c>
      <c r="AV382" s="33">
        <v>0</v>
      </c>
      <c r="AW382" s="33">
        <v>0</v>
      </c>
      <c r="AY382" s="36">
        <v>354</v>
      </c>
      <c r="AZ382" s="33">
        <v>2</v>
      </c>
      <c r="BA382" s="33">
        <v>1</v>
      </c>
      <c r="BB382" s="33">
        <v>1</v>
      </c>
      <c r="BC382" s="33">
        <v>2</v>
      </c>
      <c r="BD382" s="43">
        <v>0.26118153491158147</v>
      </c>
      <c r="BE382" s="33">
        <v>0</v>
      </c>
      <c r="BF382" s="33">
        <v>0</v>
      </c>
      <c r="CE382" s="36">
        <v>348</v>
      </c>
      <c r="CF382" s="33">
        <v>4</v>
      </c>
      <c r="CG382" s="33">
        <v>2</v>
      </c>
      <c r="CH382" s="33">
        <v>3</v>
      </c>
      <c r="CI382" s="33">
        <v>1</v>
      </c>
      <c r="CJ382" s="33">
        <v>3</v>
      </c>
      <c r="CK382" s="33">
        <v>0</v>
      </c>
      <c r="CL382" s="33">
        <v>0</v>
      </c>
      <c r="CM382" s="33">
        <v>3</v>
      </c>
      <c r="CN382" s="33">
        <v>0</v>
      </c>
      <c r="CO382" s="33">
        <v>0</v>
      </c>
      <c r="CP382" s="43">
        <v>0.13323676130787387</v>
      </c>
      <c r="CQ382" s="33">
        <v>0</v>
      </c>
      <c r="CR382" s="33">
        <v>0</v>
      </c>
    </row>
    <row r="383" spans="1:96" ht="15" customHeight="1" x14ac:dyDescent="0.25">
      <c r="A383" s="26">
        <v>381</v>
      </c>
      <c r="B383" s="27">
        <v>30</v>
      </c>
      <c r="C383" s="27">
        <v>0</v>
      </c>
      <c r="D383" s="27">
        <v>1</v>
      </c>
      <c r="E383" s="27">
        <v>202</v>
      </c>
      <c r="F383" s="27">
        <v>1</v>
      </c>
      <c r="G383" s="27">
        <v>2</v>
      </c>
      <c r="H383" s="27">
        <v>1</v>
      </c>
      <c r="I383" s="27">
        <v>5</v>
      </c>
      <c r="J383" s="27">
        <v>1</v>
      </c>
      <c r="K383" s="27">
        <v>508</v>
      </c>
      <c r="L383" s="27">
        <v>3</v>
      </c>
      <c r="M383" s="27">
        <v>1</v>
      </c>
      <c r="N383" s="27">
        <v>72</v>
      </c>
      <c r="O383" s="27">
        <v>3</v>
      </c>
      <c r="P383" s="27">
        <v>1</v>
      </c>
      <c r="Q383" s="27">
        <v>7</v>
      </c>
      <c r="R383" s="27">
        <v>2</v>
      </c>
      <c r="S383" s="27">
        <v>2</v>
      </c>
      <c r="T383" s="27">
        <v>2476</v>
      </c>
      <c r="U383" s="27">
        <v>17434</v>
      </c>
      <c r="V383" s="27">
        <v>1</v>
      </c>
      <c r="W383" s="27">
        <v>0</v>
      </c>
      <c r="X383" s="27">
        <v>18</v>
      </c>
      <c r="Y383" s="27">
        <v>3</v>
      </c>
      <c r="Z383" s="27">
        <v>1</v>
      </c>
      <c r="AA383" s="27">
        <v>80</v>
      </c>
      <c r="AB383" s="27">
        <v>1</v>
      </c>
      <c r="AC383" s="27">
        <v>1</v>
      </c>
      <c r="AD383" s="27">
        <v>3</v>
      </c>
      <c r="AE383" s="27">
        <v>3</v>
      </c>
      <c r="AF383" s="27">
        <v>1</v>
      </c>
      <c r="AG383" s="27">
        <v>0</v>
      </c>
      <c r="AH383" s="27">
        <v>0</v>
      </c>
      <c r="AI383" s="28">
        <v>0</v>
      </c>
      <c r="AK383" s="36">
        <v>350</v>
      </c>
      <c r="AL383" s="33">
        <v>2</v>
      </c>
      <c r="AM383" s="33">
        <v>2</v>
      </c>
      <c r="AN383" s="33">
        <v>3</v>
      </c>
      <c r="AO383" s="33">
        <v>1</v>
      </c>
      <c r="AP383" s="33">
        <v>0</v>
      </c>
      <c r="AQ383" s="33">
        <v>1</v>
      </c>
      <c r="AR383" s="33">
        <v>2</v>
      </c>
      <c r="AS383" s="33">
        <v>4</v>
      </c>
      <c r="AT383" s="33">
        <v>0</v>
      </c>
      <c r="AU383" s="43">
        <v>5.1832871011079008E-2</v>
      </c>
      <c r="AV383" s="33">
        <v>0</v>
      </c>
      <c r="AW383" s="33">
        <v>0</v>
      </c>
      <c r="AY383" s="36">
        <v>355</v>
      </c>
      <c r="AZ383" s="33">
        <v>2</v>
      </c>
      <c r="BA383" s="33">
        <v>3</v>
      </c>
      <c r="BB383" s="33">
        <v>1</v>
      </c>
      <c r="BC383" s="33">
        <v>1</v>
      </c>
      <c r="BD383" s="43">
        <v>0.25031066197755131</v>
      </c>
      <c r="BE383" s="33">
        <v>0</v>
      </c>
      <c r="BF383" s="33">
        <v>0</v>
      </c>
      <c r="CE383" s="36">
        <v>349</v>
      </c>
      <c r="CF383" s="33">
        <v>23</v>
      </c>
      <c r="CG383" s="33">
        <v>4</v>
      </c>
      <c r="CH383" s="33">
        <v>4</v>
      </c>
      <c r="CI383" s="33">
        <v>1</v>
      </c>
      <c r="CJ383" s="33">
        <v>2</v>
      </c>
      <c r="CK383" s="33">
        <v>0</v>
      </c>
      <c r="CL383" s="33">
        <v>0</v>
      </c>
      <c r="CM383" s="33">
        <v>3</v>
      </c>
      <c r="CN383" s="33">
        <v>1</v>
      </c>
      <c r="CO383" s="33">
        <v>0</v>
      </c>
      <c r="CP383" s="43">
        <v>5.7951683494357246E-2</v>
      </c>
      <c r="CQ383" s="33">
        <v>0</v>
      </c>
      <c r="CR383" s="33">
        <v>0</v>
      </c>
    </row>
    <row r="384" spans="1:96" ht="15" customHeight="1" x14ac:dyDescent="0.25">
      <c r="A384" s="26">
        <v>382</v>
      </c>
      <c r="B384" s="27">
        <v>26</v>
      </c>
      <c r="C384" s="27">
        <v>1</v>
      </c>
      <c r="D384" s="27">
        <v>2</v>
      </c>
      <c r="E384" s="27">
        <v>575</v>
      </c>
      <c r="F384" s="27">
        <v>2</v>
      </c>
      <c r="G384" s="27">
        <v>3</v>
      </c>
      <c r="H384" s="27">
        <v>1</v>
      </c>
      <c r="I384" s="27">
        <v>5</v>
      </c>
      <c r="J384" s="27">
        <v>1</v>
      </c>
      <c r="K384" s="27">
        <v>510</v>
      </c>
      <c r="L384" s="27">
        <v>3</v>
      </c>
      <c r="M384" s="27">
        <v>1</v>
      </c>
      <c r="N384" s="27">
        <v>73</v>
      </c>
      <c r="O384" s="27">
        <v>3</v>
      </c>
      <c r="P384" s="27">
        <v>1</v>
      </c>
      <c r="Q384" s="27">
        <v>2</v>
      </c>
      <c r="R384" s="27">
        <v>1</v>
      </c>
      <c r="S384" s="27">
        <v>1</v>
      </c>
      <c r="T384" s="27">
        <v>3102</v>
      </c>
      <c r="U384" s="27">
        <v>6582</v>
      </c>
      <c r="V384" s="27">
        <v>0</v>
      </c>
      <c r="W384" s="27">
        <v>0</v>
      </c>
      <c r="X384" s="27">
        <v>22</v>
      </c>
      <c r="Y384" s="27">
        <v>4</v>
      </c>
      <c r="Z384" s="27">
        <v>3</v>
      </c>
      <c r="AA384" s="27">
        <v>80</v>
      </c>
      <c r="AB384" s="27">
        <v>0</v>
      </c>
      <c r="AC384" s="27">
        <v>7</v>
      </c>
      <c r="AD384" s="27">
        <v>2</v>
      </c>
      <c r="AE384" s="27">
        <v>3</v>
      </c>
      <c r="AF384" s="27">
        <v>6</v>
      </c>
      <c r="AG384" s="27">
        <v>4</v>
      </c>
      <c r="AH384" s="27">
        <v>0</v>
      </c>
      <c r="AI384" s="28">
        <v>4</v>
      </c>
      <c r="AK384" s="36">
        <v>351</v>
      </c>
      <c r="AL384" s="33">
        <v>2</v>
      </c>
      <c r="AM384" s="33">
        <v>1</v>
      </c>
      <c r="AN384" s="33">
        <v>3</v>
      </c>
      <c r="AO384" s="33">
        <v>0</v>
      </c>
      <c r="AP384" s="33">
        <v>1</v>
      </c>
      <c r="AQ384" s="33">
        <v>1</v>
      </c>
      <c r="AR384" s="33">
        <v>3</v>
      </c>
      <c r="AS384" s="33">
        <v>3</v>
      </c>
      <c r="AT384" s="33">
        <v>1</v>
      </c>
      <c r="AU384" s="43">
        <v>0.26684121901288821</v>
      </c>
      <c r="AV384" s="33">
        <v>0</v>
      </c>
      <c r="AW384" s="33">
        <v>0</v>
      </c>
      <c r="AY384" s="36">
        <v>356</v>
      </c>
      <c r="AZ384" s="33">
        <v>2</v>
      </c>
      <c r="BA384" s="33">
        <v>3</v>
      </c>
      <c r="BB384" s="33">
        <v>0</v>
      </c>
      <c r="BC384" s="33">
        <v>1</v>
      </c>
      <c r="BD384" s="43">
        <v>7.244788656931947E-2</v>
      </c>
      <c r="BE384" s="33">
        <v>0</v>
      </c>
      <c r="BF384" s="33">
        <v>0</v>
      </c>
      <c r="CE384" s="36">
        <v>350</v>
      </c>
      <c r="CF384" s="33">
        <v>2</v>
      </c>
      <c r="CG384" s="33">
        <v>2</v>
      </c>
      <c r="CH384" s="33">
        <v>3</v>
      </c>
      <c r="CI384" s="33">
        <v>2</v>
      </c>
      <c r="CJ384" s="33">
        <v>1</v>
      </c>
      <c r="CK384" s="33">
        <v>0</v>
      </c>
      <c r="CL384" s="33">
        <v>1</v>
      </c>
      <c r="CM384" s="33">
        <v>2</v>
      </c>
      <c r="CN384" s="33">
        <v>4</v>
      </c>
      <c r="CO384" s="33">
        <v>0</v>
      </c>
      <c r="CP384" s="43">
        <v>5.072163629667014E-2</v>
      </c>
      <c r="CQ384" s="33">
        <v>0</v>
      </c>
      <c r="CR384" s="33">
        <v>0</v>
      </c>
    </row>
    <row r="385" spans="1:96" ht="15" customHeight="1" x14ac:dyDescent="0.25">
      <c r="A385" s="26">
        <v>383</v>
      </c>
      <c r="B385" s="27">
        <v>22</v>
      </c>
      <c r="C385" s="27">
        <v>0</v>
      </c>
      <c r="D385" s="27">
        <v>1</v>
      </c>
      <c r="E385" s="27">
        <v>253</v>
      </c>
      <c r="F385" s="27">
        <v>2</v>
      </c>
      <c r="G385" s="27">
        <v>11</v>
      </c>
      <c r="H385" s="27">
        <v>3</v>
      </c>
      <c r="I385" s="27">
        <v>3</v>
      </c>
      <c r="J385" s="27">
        <v>1</v>
      </c>
      <c r="K385" s="27">
        <v>511</v>
      </c>
      <c r="L385" s="27">
        <v>1</v>
      </c>
      <c r="M385" s="27">
        <v>0</v>
      </c>
      <c r="N385" s="27">
        <v>43</v>
      </c>
      <c r="O385" s="27">
        <v>3</v>
      </c>
      <c r="P385" s="27">
        <v>1</v>
      </c>
      <c r="Q385" s="27">
        <v>2</v>
      </c>
      <c r="R385" s="27">
        <v>2</v>
      </c>
      <c r="S385" s="27">
        <v>2</v>
      </c>
      <c r="T385" s="27">
        <v>2244</v>
      </c>
      <c r="U385" s="27">
        <v>24440</v>
      </c>
      <c r="V385" s="27">
        <v>1</v>
      </c>
      <c r="W385" s="27">
        <v>0</v>
      </c>
      <c r="X385" s="27">
        <v>13</v>
      </c>
      <c r="Y385" s="27">
        <v>3</v>
      </c>
      <c r="Z385" s="27">
        <v>4</v>
      </c>
      <c r="AA385" s="27">
        <v>80</v>
      </c>
      <c r="AB385" s="27">
        <v>1</v>
      </c>
      <c r="AC385" s="27">
        <v>2</v>
      </c>
      <c r="AD385" s="27">
        <v>1</v>
      </c>
      <c r="AE385" s="27">
        <v>3</v>
      </c>
      <c r="AF385" s="27">
        <v>2</v>
      </c>
      <c r="AG385" s="27">
        <v>1</v>
      </c>
      <c r="AH385" s="27">
        <v>1</v>
      </c>
      <c r="AI385" s="28">
        <v>2</v>
      </c>
      <c r="AK385" s="36">
        <v>352</v>
      </c>
      <c r="AL385" s="33">
        <v>2</v>
      </c>
      <c r="AM385" s="33">
        <v>1</v>
      </c>
      <c r="AN385" s="33">
        <v>2</v>
      </c>
      <c r="AO385" s="33">
        <v>1</v>
      </c>
      <c r="AP385" s="33">
        <v>0</v>
      </c>
      <c r="AQ385" s="33">
        <v>1</v>
      </c>
      <c r="AR385" s="33">
        <v>3</v>
      </c>
      <c r="AS385" s="33">
        <v>8</v>
      </c>
      <c r="AT385" s="33">
        <v>0</v>
      </c>
      <c r="AU385" s="43">
        <v>7.0184616447065418E-2</v>
      </c>
      <c r="AV385" s="33">
        <v>0</v>
      </c>
      <c r="AW385" s="33">
        <v>0</v>
      </c>
      <c r="AY385" s="36">
        <v>357</v>
      </c>
      <c r="AZ385" s="33">
        <v>2</v>
      </c>
      <c r="BA385" s="33">
        <v>4</v>
      </c>
      <c r="BB385" s="33">
        <v>0</v>
      </c>
      <c r="BC385" s="33">
        <v>0</v>
      </c>
      <c r="BD385" s="43">
        <v>8.9935487507215722E-2</v>
      </c>
      <c r="BE385" s="33">
        <v>0</v>
      </c>
      <c r="BF385" s="33">
        <v>0</v>
      </c>
      <c r="CE385" s="36">
        <v>351</v>
      </c>
      <c r="CF385" s="33">
        <v>2</v>
      </c>
      <c r="CG385" s="33">
        <v>1</v>
      </c>
      <c r="CH385" s="33">
        <v>3</v>
      </c>
      <c r="CI385" s="33">
        <v>3</v>
      </c>
      <c r="CJ385" s="33">
        <v>0</v>
      </c>
      <c r="CK385" s="33">
        <v>1</v>
      </c>
      <c r="CL385" s="33">
        <v>1</v>
      </c>
      <c r="CM385" s="33">
        <v>3</v>
      </c>
      <c r="CN385" s="33">
        <v>3</v>
      </c>
      <c r="CO385" s="33">
        <v>1</v>
      </c>
      <c r="CP385" s="43">
        <v>0.17177992623034746</v>
      </c>
      <c r="CQ385" s="33">
        <v>0</v>
      </c>
      <c r="CR385" s="33">
        <v>0</v>
      </c>
    </row>
    <row r="386" spans="1:96" ht="15" customHeight="1" x14ac:dyDescent="0.25">
      <c r="A386" s="26">
        <v>384</v>
      </c>
      <c r="B386" s="27">
        <v>36</v>
      </c>
      <c r="C386" s="27">
        <v>0</v>
      </c>
      <c r="D386" s="27">
        <v>1</v>
      </c>
      <c r="E386" s="27">
        <v>164</v>
      </c>
      <c r="F386" s="27">
        <v>1</v>
      </c>
      <c r="G386" s="27">
        <v>2</v>
      </c>
      <c r="H386" s="27">
        <v>2</v>
      </c>
      <c r="I386" s="27">
        <v>3</v>
      </c>
      <c r="J386" s="27">
        <v>1</v>
      </c>
      <c r="K386" s="27">
        <v>513</v>
      </c>
      <c r="L386" s="27">
        <v>2</v>
      </c>
      <c r="M386" s="27">
        <v>1</v>
      </c>
      <c r="N386" s="27">
        <v>61</v>
      </c>
      <c r="O386" s="27">
        <v>2</v>
      </c>
      <c r="P386" s="27">
        <v>3</v>
      </c>
      <c r="Q386" s="27">
        <v>1</v>
      </c>
      <c r="R386" s="27">
        <v>3</v>
      </c>
      <c r="S386" s="27">
        <v>2</v>
      </c>
      <c r="T386" s="27">
        <v>7596</v>
      </c>
      <c r="U386" s="27">
        <v>3809</v>
      </c>
      <c r="V386" s="27">
        <v>1</v>
      </c>
      <c r="W386" s="27">
        <v>0</v>
      </c>
      <c r="X386" s="27">
        <v>13</v>
      </c>
      <c r="Y386" s="27">
        <v>3</v>
      </c>
      <c r="Z386" s="27">
        <v>2</v>
      </c>
      <c r="AA386" s="27">
        <v>80</v>
      </c>
      <c r="AB386" s="27">
        <v>2</v>
      </c>
      <c r="AC386" s="27">
        <v>10</v>
      </c>
      <c r="AD386" s="27">
        <v>2</v>
      </c>
      <c r="AE386" s="27">
        <v>3</v>
      </c>
      <c r="AF386" s="27">
        <v>10</v>
      </c>
      <c r="AG386" s="27">
        <v>9</v>
      </c>
      <c r="AH386" s="27">
        <v>9</v>
      </c>
      <c r="AI386" s="28">
        <v>0</v>
      </c>
      <c r="AK386" s="36">
        <v>353</v>
      </c>
      <c r="AL386" s="33">
        <v>29</v>
      </c>
      <c r="AM386" s="33">
        <v>3</v>
      </c>
      <c r="AN386" s="33">
        <v>3</v>
      </c>
      <c r="AO386" s="33">
        <v>3</v>
      </c>
      <c r="AP386" s="33">
        <v>0</v>
      </c>
      <c r="AQ386" s="33">
        <v>1</v>
      </c>
      <c r="AR386" s="33">
        <v>1</v>
      </c>
      <c r="AS386" s="33">
        <v>0</v>
      </c>
      <c r="AT386" s="33">
        <v>0</v>
      </c>
      <c r="AU386" s="43">
        <v>0.13458908965655966</v>
      </c>
      <c r="AV386" s="33">
        <v>0</v>
      </c>
      <c r="AW386" s="33">
        <v>0</v>
      </c>
      <c r="AY386" s="36">
        <v>358</v>
      </c>
      <c r="AZ386" s="33">
        <v>1</v>
      </c>
      <c r="BA386" s="33">
        <v>2</v>
      </c>
      <c r="BB386" s="33">
        <v>1</v>
      </c>
      <c r="BC386" s="33">
        <v>0</v>
      </c>
      <c r="BD386" s="43">
        <v>0.56990699338636852</v>
      </c>
      <c r="BE386" s="33">
        <v>1</v>
      </c>
      <c r="BF386" s="33">
        <v>1</v>
      </c>
      <c r="CE386" s="36">
        <v>352</v>
      </c>
      <c r="CF386" s="33">
        <v>2</v>
      </c>
      <c r="CG386" s="33">
        <v>1</v>
      </c>
      <c r="CH386" s="33">
        <v>2</v>
      </c>
      <c r="CI386" s="33">
        <v>2</v>
      </c>
      <c r="CJ386" s="33">
        <v>1</v>
      </c>
      <c r="CK386" s="33">
        <v>0</v>
      </c>
      <c r="CL386" s="33">
        <v>1</v>
      </c>
      <c r="CM386" s="33">
        <v>3</v>
      </c>
      <c r="CN386" s="33">
        <v>8</v>
      </c>
      <c r="CO386" s="33">
        <v>0</v>
      </c>
      <c r="CP386" s="43">
        <v>6.7982858039114955E-2</v>
      </c>
      <c r="CQ386" s="33">
        <v>0</v>
      </c>
      <c r="CR386" s="33">
        <v>0</v>
      </c>
    </row>
    <row r="387" spans="1:96" ht="15" customHeight="1" x14ac:dyDescent="0.25">
      <c r="A387" s="26">
        <v>385</v>
      </c>
      <c r="B387" s="27">
        <v>30</v>
      </c>
      <c r="C387" s="27">
        <v>1</v>
      </c>
      <c r="D387" s="27">
        <v>2</v>
      </c>
      <c r="E387" s="27">
        <v>464</v>
      </c>
      <c r="F387" s="27">
        <v>2</v>
      </c>
      <c r="G387" s="27">
        <v>4</v>
      </c>
      <c r="H387" s="27">
        <v>3</v>
      </c>
      <c r="I387" s="27">
        <v>5</v>
      </c>
      <c r="J387" s="27">
        <v>1</v>
      </c>
      <c r="K387" s="27">
        <v>514</v>
      </c>
      <c r="L387" s="27">
        <v>3</v>
      </c>
      <c r="M387" s="27">
        <v>1</v>
      </c>
      <c r="N387" s="27">
        <v>40</v>
      </c>
      <c r="O387" s="27">
        <v>3</v>
      </c>
      <c r="P387" s="27">
        <v>1</v>
      </c>
      <c r="Q387" s="27">
        <v>2</v>
      </c>
      <c r="R387" s="27">
        <v>4</v>
      </c>
      <c r="S387" s="27">
        <v>1</v>
      </c>
      <c r="T387" s="27">
        <v>2285</v>
      </c>
      <c r="U387" s="27">
        <v>3427</v>
      </c>
      <c r="V387" s="27">
        <v>9</v>
      </c>
      <c r="W387" s="27">
        <v>1</v>
      </c>
      <c r="X387" s="27">
        <v>23</v>
      </c>
      <c r="Y387" s="27">
        <v>4</v>
      </c>
      <c r="Z387" s="27">
        <v>3</v>
      </c>
      <c r="AA387" s="27">
        <v>80</v>
      </c>
      <c r="AB387" s="27">
        <v>0</v>
      </c>
      <c r="AC387" s="27">
        <v>3</v>
      </c>
      <c r="AD387" s="27">
        <v>4</v>
      </c>
      <c r="AE387" s="27">
        <v>3</v>
      </c>
      <c r="AF387" s="27">
        <v>1</v>
      </c>
      <c r="AG387" s="27">
        <v>0</v>
      </c>
      <c r="AH387" s="27">
        <v>0</v>
      </c>
      <c r="AI387" s="28">
        <v>0</v>
      </c>
      <c r="AK387" s="36">
        <v>354</v>
      </c>
      <c r="AL387" s="33">
        <v>6</v>
      </c>
      <c r="AM387" s="33">
        <v>2</v>
      </c>
      <c r="AN387" s="33">
        <v>1</v>
      </c>
      <c r="AO387" s="33">
        <v>4</v>
      </c>
      <c r="AP387" s="33">
        <v>1</v>
      </c>
      <c r="AQ387" s="33">
        <v>2</v>
      </c>
      <c r="AR387" s="33">
        <v>3</v>
      </c>
      <c r="AS387" s="33">
        <v>7</v>
      </c>
      <c r="AT387" s="33">
        <v>6</v>
      </c>
      <c r="AU387" s="43">
        <v>0.31076554247625421</v>
      </c>
      <c r="AV387" s="33">
        <v>0</v>
      </c>
      <c r="AW387" s="33">
        <v>0</v>
      </c>
      <c r="AY387" s="36">
        <v>359</v>
      </c>
      <c r="AZ387" s="33">
        <v>2</v>
      </c>
      <c r="BA387" s="33">
        <v>4</v>
      </c>
      <c r="BB387" s="33">
        <v>0</v>
      </c>
      <c r="BC387" s="33">
        <v>0</v>
      </c>
      <c r="BD387" s="43">
        <v>8.9935487507215722E-2</v>
      </c>
      <c r="BE387" s="33">
        <v>0</v>
      </c>
      <c r="BF387" s="33">
        <v>0</v>
      </c>
      <c r="CE387" s="36">
        <v>353</v>
      </c>
      <c r="CF387" s="33">
        <v>29</v>
      </c>
      <c r="CG387" s="33">
        <v>3</v>
      </c>
      <c r="CH387" s="33">
        <v>3</v>
      </c>
      <c r="CI387" s="33">
        <v>2</v>
      </c>
      <c r="CJ387" s="33">
        <v>3</v>
      </c>
      <c r="CK387" s="33">
        <v>0</v>
      </c>
      <c r="CL387" s="33">
        <v>1</v>
      </c>
      <c r="CM387" s="33">
        <v>1</v>
      </c>
      <c r="CN387" s="33">
        <v>0</v>
      </c>
      <c r="CO387" s="33">
        <v>0</v>
      </c>
      <c r="CP387" s="43">
        <v>0.13475527831822953</v>
      </c>
      <c r="CQ387" s="33">
        <v>0</v>
      </c>
      <c r="CR387" s="33">
        <v>0</v>
      </c>
    </row>
    <row r="388" spans="1:96" ht="15" customHeight="1" x14ac:dyDescent="0.25">
      <c r="A388" s="26">
        <v>386</v>
      </c>
      <c r="B388" s="27">
        <v>37</v>
      </c>
      <c r="C388" s="27">
        <v>0</v>
      </c>
      <c r="D388" s="27">
        <v>1</v>
      </c>
      <c r="E388" s="27">
        <v>1107</v>
      </c>
      <c r="F388" s="27">
        <v>2</v>
      </c>
      <c r="G388" s="27">
        <v>14</v>
      </c>
      <c r="H388" s="27">
        <v>3</v>
      </c>
      <c r="I388" s="27">
        <v>1</v>
      </c>
      <c r="J388" s="27">
        <v>1</v>
      </c>
      <c r="K388" s="27">
        <v>515</v>
      </c>
      <c r="L388" s="27">
        <v>4</v>
      </c>
      <c r="M388" s="27">
        <v>0</v>
      </c>
      <c r="N388" s="27">
        <v>95</v>
      </c>
      <c r="O388" s="27">
        <v>3</v>
      </c>
      <c r="P388" s="27">
        <v>1</v>
      </c>
      <c r="Q388" s="27">
        <v>3</v>
      </c>
      <c r="R388" s="27">
        <v>1</v>
      </c>
      <c r="S388" s="27">
        <v>3</v>
      </c>
      <c r="T388" s="27">
        <v>3034</v>
      </c>
      <c r="U388" s="27">
        <v>26914</v>
      </c>
      <c r="V388" s="27">
        <v>1</v>
      </c>
      <c r="W388" s="27">
        <v>0</v>
      </c>
      <c r="X388" s="27">
        <v>12</v>
      </c>
      <c r="Y388" s="27">
        <v>3</v>
      </c>
      <c r="Z388" s="27">
        <v>3</v>
      </c>
      <c r="AA388" s="27">
        <v>80</v>
      </c>
      <c r="AB388" s="27">
        <v>1</v>
      </c>
      <c r="AC388" s="27">
        <v>18</v>
      </c>
      <c r="AD388" s="27">
        <v>2</v>
      </c>
      <c r="AE388" s="27">
        <v>2</v>
      </c>
      <c r="AF388" s="27">
        <v>18</v>
      </c>
      <c r="AG388" s="27">
        <v>7</v>
      </c>
      <c r="AH388" s="27">
        <v>12</v>
      </c>
      <c r="AI388" s="28">
        <v>17</v>
      </c>
      <c r="AK388" s="36">
        <v>355</v>
      </c>
      <c r="AL388" s="33">
        <v>25</v>
      </c>
      <c r="AM388" s="33">
        <v>2</v>
      </c>
      <c r="AN388" s="33">
        <v>3</v>
      </c>
      <c r="AO388" s="33">
        <v>7</v>
      </c>
      <c r="AP388" s="33">
        <v>1</v>
      </c>
      <c r="AQ388" s="33">
        <v>1</v>
      </c>
      <c r="AR388" s="33">
        <v>4</v>
      </c>
      <c r="AS388" s="33">
        <v>2</v>
      </c>
      <c r="AT388" s="33">
        <v>2</v>
      </c>
      <c r="AU388" s="43">
        <v>0.43835727239671474</v>
      </c>
      <c r="AV388" s="33">
        <v>0</v>
      </c>
      <c r="AW388" s="33">
        <v>0</v>
      </c>
      <c r="AY388" s="36">
        <v>360</v>
      </c>
      <c r="AZ388" s="33">
        <v>3</v>
      </c>
      <c r="BA388" s="33">
        <v>4</v>
      </c>
      <c r="BB388" s="33">
        <v>0</v>
      </c>
      <c r="BC388" s="33">
        <v>1</v>
      </c>
      <c r="BD388" s="43">
        <v>3.2280700557178299E-2</v>
      </c>
      <c r="BE388" s="33">
        <v>0</v>
      </c>
      <c r="BF388" s="33">
        <v>0</v>
      </c>
      <c r="CE388" s="36">
        <v>354</v>
      </c>
      <c r="CF388" s="33">
        <v>6</v>
      </c>
      <c r="CG388" s="33">
        <v>2</v>
      </c>
      <c r="CH388" s="33">
        <v>1</v>
      </c>
      <c r="CI388" s="33">
        <v>3</v>
      </c>
      <c r="CJ388" s="33">
        <v>4</v>
      </c>
      <c r="CK388" s="33">
        <v>1</v>
      </c>
      <c r="CL388" s="33">
        <v>2</v>
      </c>
      <c r="CM388" s="33">
        <v>3</v>
      </c>
      <c r="CN388" s="33">
        <v>7</v>
      </c>
      <c r="CO388" s="33">
        <v>6</v>
      </c>
      <c r="CP388" s="43">
        <v>0.2790598677744664</v>
      </c>
      <c r="CQ388" s="33">
        <v>0</v>
      </c>
      <c r="CR388" s="33">
        <v>0</v>
      </c>
    </row>
    <row r="389" spans="1:96" ht="15" customHeight="1" x14ac:dyDescent="0.25">
      <c r="A389" s="26">
        <v>387</v>
      </c>
      <c r="B389" s="27">
        <v>40</v>
      </c>
      <c r="C389" s="27">
        <v>0</v>
      </c>
      <c r="D389" s="27">
        <v>1</v>
      </c>
      <c r="E389" s="27">
        <v>759</v>
      </c>
      <c r="F389" s="27">
        <v>1</v>
      </c>
      <c r="G389" s="27">
        <v>2</v>
      </c>
      <c r="H389" s="27">
        <v>2</v>
      </c>
      <c r="I389" s="27">
        <v>4</v>
      </c>
      <c r="J389" s="27">
        <v>1</v>
      </c>
      <c r="K389" s="27">
        <v>516</v>
      </c>
      <c r="L389" s="27">
        <v>4</v>
      </c>
      <c r="M389" s="27">
        <v>0</v>
      </c>
      <c r="N389" s="27">
        <v>46</v>
      </c>
      <c r="O389" s="27">
        <v>3</v>
      </c>
      <c r="P389" s="27">
        <v>2</v>
      </c>
      <c r="Q389" s="27">
        <v>1</v>
      </c>
      <c r="R389" s="27">
        <v>2</v>
      </c>
      <c r="S389" s="27">
        <v>3</v>
      </c>
      <c r="T389" s="27">
        <v>5715</v>
      </c>
      <c r="U389" s="27">
        <v>22553</v>
      </c>
      <c r="V389" s="27">
        <v>7</v>
      </c>
      <c r="W389" s="27">
        <v>0</v>
      </c>
      <c r="X389" s="27">
        <v>12</v>
      </c>
      <c r="Y389" s="27">
        <v>3</v>
      </c>
      <c r="Z389" s="27">
        <v>3</v>
      </c>
      <c r="AA389" s="27">
        <v>80</v>
      </c>
      <c r="AB389" s="27">
        <v>2</v>
      </c>
      <c r="AC389" s="27">
        <v>8</v>
      </c>
      <c r="AD389" s="27">
        <v>5</v>
      </c>
      <c r="AE389" s="27">
        <v>3</v>
      </c>
      <c r="AF389" s="27">
        <v>5</v>
      </c>
      <c r="AG389" s="27">
        <v>4</v>
      </c>
      <c r="AH389" s="27">
        <v>1</v>
      </c>
      <c r="AI389" s="28">
        <v>3</v>
      </c>
      <c r="AK389" s="36">
        <v>356</v>
      </c>
      <c r="AL389" s="33">
        <v>1</v>
      </c>
      <c r="AM389" s="33">
        <v>2</v>
      </c>
      <c r="AN389" s="33">
        <v>3</v>
      </c>
      <c r="AO389" s="33">
        <v>1</v>
      </c>
      <c r="AP389" s="33">
        <v>0</v>
      </c>
      <c r="AQ389" s="33">
        <v>1</v>
      </c>
      <c r="AR389" s="33">
        <v>3</v>
      </c>
      <c r="AS389" s="33">
        <v>8</v>
      </c>
      <c r="AT389" s="33">
        <v>7</v>
      </c>
      <c r="AU389" s="43">
        <v>6.4909212274172803E-2</v>
      </c>
      <c r="AV389" s="33">
        <v>0</v>
      </c>
      <c r="AW389" s="33">
        <v>0</v>
      </c>
      <c r="AY389" s="36">
        <v>361</v>
      </c>
      <c r="AZ389" s="33">
        <v>2</v>
      </c>
      <c r="BA389" s="33">
        <v>3</v>
      </c>
      <c r="BB389" s="33">
        <v>0</v>
      </c>
      <c r="BC389" s="33">
        <v>0</v>
      </c>
      <c r="BD389" s="43">
        <v>0.11690772887050198</v>
      </c>
      <c r="BE389" s="33">
        <v>0</v>
      </c>
      <c r="BF389" s="33">
        <v>0</v>
      </c>
      <c r="CE389" s="36">
        <v>355</v>
      </c>
      <c r="CF389" s="33">
        <v>25</v>
      </c>
      <c r="CG389" s="33">
        <v>2</v>
      </c>
      <c r="CH389" s="33">
        <v>3</v>
      </c>
      <c r="CI389" s="33">
        <v>2</v>
      </c>
      <c r="CJ389" s="33">
        <v>7</v>
      </c>
      <c r="CK389" s="33">
        <v>1</v>
      </c>
      <c r="CL389" s="33">
        <v>1</v>
      </c>
      <c r="CM389" s="33">
        <v>4</v>
      </c>
      <c r="CN389" s="33">
        <v>2</v>
      </c>
      <c r="CO389" s="33">
        <v>2</v>
      </c>
      <c r="CP389" s="43">
        <v>0.43684843129292228</v>
      </c>
      <c r="CQ389" s="33">
        <v>0</v>
      </c>
      <c r="CR389" s="33">
        <v>0</v>
      </c>
    </row>
    <row r="390" spans="1:96" ht="15" customHeight="1" x14ac:dyDescent="0.25">
      <c r="A390" s="26">
        <v>388</v>
      </c>
      <c r="B390" s="27">
        <v>42</v>
      </c>
      <c r="C390" s="27">
        <v>0</v>
      </c>
      <c r="D390" s="27">
        <v>1</v>
      </c>
      <c r="E390" s="27">
        <v>201</v>
      </c>
      <c r="F390" s="27">
        <v>2</v>
      </c>
      <c r="G390" s="27">
        <v>1</v>
      </c>
      <c r="H390" s="27">
        <v>4</v>
      </c>
      <c r="I390" s="27">
        <v>1</v>
      </c>
      <c r="J390" s="27">
        <v>1</v>
      </c>
      <c r="K390" s="27">
        <v>517</v>
      </c>
      <c r="L390" s="27">
        <v>2</v>
      </c>
      <c r="M390" s="27">
        <v>0</v>
      </c>
      <c r="N390" s="27">
        <v>95</v>
      </c>
      <c r="O390" s="27">
        <v>3</v>
      </c>
      <c r="P390" s="27">
        <v>1</v>
      </c>
      <c r="Q390" s="27">
        <v>3</v>
      </c>
      <c r="R390" s="27">
        <v>1</v>
      </c>
      <c r="S390" s="27">
        <v>3</v>
      </c>
      <c r="T390" s="27">
        <v>2576</v>
      </c>
      <c r="U390" s="27">
        <v>20490</v>
      </c>
      <c r="V390" s="27">
        <v>3</v>
      </c>
      <c r="W390" s="27">
        <v>0</v>
      </c>
      <c r="X390" s="27">
        <v>16</v>
      </c>
      <c r="Y390" s="27">
        <v>3</v>
      </c>
      <c r="Z390" s="27">
        <v>2</v>
      </c>
      <c r="AA390" s="27">
        <v>80</v>
      </c>
      <c r="AB390" s="27">
        <v>1</v>
      </c>
      <c r="AC390" s="27">
        <v>8</v>
      </c>
      <c r="AD390" s="27">
        <v>5</v>
      </c>
      <c r="AE390" s="27">
        <v>3</v>
      </c>
      <c r="AF390" s="27">
        <v>5</v>
      </c>
      <c r="AG390" s="27">
        <v>2</v>
      </c>
      <c r="AH390" s="27">
        <v>1</v>
      </c>
      <c r="AI390" s="28">
        <v>2</v>
      </c>
      <c r="AK390" s="36">
        <v>357</v>
      </c>
      <c r="AL390" s="33">
        <v>2</v>
      </c>
      <c r="AM390" s="33">
        <v>2</v>
      </c>
      <c r="AN390" s="33">
        <v>4</v>
      </c>
      <c r="AO390" s="33">
        <v>3</v>
      </c>
      <c r="AP390" s="33">
        <v>0</v>
      </c>
      <c r="AQ390" s="33">
        <v>0</v>
      </c>
      <c r="AR390" s="33">
        <v>3</v>
      </c>
      <c r="AS390" s="33">
        <v>1</v>
      </c>
      <c r="AT390" s="33">
        <v>0</v>
      </c>
      <c r="AU390" s="43">
        <v>7.7296703786703419E-2</v>
      </c>
      <c r="AV390" s="33">
        <v>0</v>
      </c>
      <c r="AW390" s="33">
        <v>0</v>
      </c>
      <c r="AY390" s="36">
        <v>362</v>
      </c>
      <c r="AZ390" s="33">
        <v>1</v>
      </c>
      <c r="BA390" s="33">
        <v>3</v>
      </c>
      <c r="BB390" s="33">
        <v>1</v>
      </c>
      <c r="BC390" s="33">
        <v>1</v>
      </c>
      <c r="BD390" s="43">
        <v>0.36852652578740397</v>
      </c>
      <c r="BE390" s="33">
        <v>0</v>
      </c>
      <c r="BF390" s="33">
        <v>0</v>
      </c>
      <c r="CE390" s="36">
        <v>356</v>
      </c>
      <c r="CF390" s="33">
        <v>1</v>
      </c>
      <c r="CG390" s="33">
        <v>2</v>
      </c>
      <c r="CH390" s="33">
        <v>3</v>
      </c>
      <c r="CI390" s="33">
        <v>2</v>
      </c>
      <c r="CJ390" s="33">
        <v>1</v>
      </c>
      <c r="CK390" s="33">
        <v>0</v>
      </c>
      <c r="CL390" s="33">
        <v>1</v>
      </c>
      <c r="CM390" s="33">
        <v>3</v>
      </c>
      <c r="CN390" s="33">
        <v>8</v>
      </c>
      <c r="CO390" s="33">
        <v>7</v>
      </c>
      <c r="CP390" s="43">
        <v>6.3718486614735489E-2</v>
      </c>
      <c r="CQ390" s="33">
        <v>0</v>
      </c>
      <c r="CR390" s="33">
        <v>0</v>
      </c>
    </row>
    <row r="391" spans="1:96" ht="15" customHeight="1" x14ac:dyDescent="0.25">
      <c r="A391" s="26">
        <v>389</v>
      </c>
      <c r="B391" s="27">
        <v>37</v>
      </c>
      <c r="C391" s="27">
        <v>0</v>
      </c>
      <c r="D391" s="27">
        <v>1</v>
      </c>
      <c r="E391" s="27">
        <v>1305</v>
      </c>
      <c r="F391" s="27">
        <v>2</v>
      </c>
      <c r="G391" s="27">
        <v>10</v>
      </c>
      <c r="H391" s="27">
        <v>4</v>
      </c>
      <c r="I391" s="27">
        <v>1</v>
      </c>
      <c r="J391" s="27">
        <v>1</v>
      </c>
      <c r="K391" s="27">
        <v>518</v>
      </c>
      <c r="L391" s="27">
        <v>3</v>
      </c>
      <c r="M391" s="27">
        <v>1</v>
      </c>
      <c r="N391" s="27">
        <v>49</v>
      </c>
      <c r="O391" s="27">
        <v>3</v>
      </c>
      <c r="P391" s="27">
        <v>2</v>
      </c>
      <c r="Q391" s="27">
        <v>4</v>
      </c>
      <c r="R391" s="27">
        <v>2</v>
      </c>
      <c r="S391" s="27">
        <v>1</v>
      </c>
      <c r="T391" s="27">
        <v>4197</v>
      </c>
      <c r="U391" s="27">
        <v>21123</v>
      </c>
      <c r="V391" s="27">
        <v>2</v>
      </c>
      <c r="W391" s="27">
        <v>1</v>
      </c>
      <c r="X391" s="27">
        <v>12</v>
      </c>
      <c r="Y391" s="27">
        <v>3</v>
      </c>
      <c r="Z391" s="27">
        <v>4</v>
      </c>
      <c r="AA391" s="27">
        <v>80</v>
      </c>
      <c r="AB391" s="27">
        <v>0</v>
      </c>
      <c r="AC391" s="27">
        <v>18</v>
      </c>
      <c r="AD391" s="27">
        <v>2</v>
      </c>
      <c r="AE391" s="27">
        <v>2</v>
      </c>
      <c r="AF391" s="27">
        <v>1</v>
      </c>
      <c r="AG391" s="27">
        <v>0</v>
      </c>
      <c r="AH391" s="27">
        <v>0</v>
      </c>
      <c r="AI391" s="28">
        <v>1</v>
      </c>
      <c r="AK391" s="36">
        <v>358</v>
      </c>
      <c r="AL391" s="33">
        <v>1</v>
      </c>
      <c r="AM391" s="33">
        <v>1</v>
      </c>
      <c r="AN391" s="33">
        <v>2</v>
      </c>
      <c r="AO391" s="33">
        <v>1</v>
      </c>
      <c r="AP391" s="33">
        <v>1</v>
      </c>
      <c r="AQ391" s="33">
        <v>0</v>
      </c>
      <c r="AR391" s="33">
        <v>3</v>
      </c>
      <c r="AS391" s="33">
        <v>3</v>
      </c>
      <c r="AT391" s="33">
        <v>1</v>
      </c>
      <c r="AU391" s="43">
        <v>0.47471939305147826</v>
      </c>
      <c r="AV391" s="33">
        <v>0</v>
      </c>
      <c r="AW391" s="33">
        <v>1</v>
      </c>
      <c r="AY391" s="36">
        <v>363</v>
      </c>
      <c r="AZ391" s="33">
        <v>1</v>
      </c>
      <c r="BA391" s="33">
        <v>4</v>
      </c>
      <c r="BB391" s="33">
        <v>0</v>
      </c>
      <c r="BC391" s="33">
        <v>0</v>
      </c>
      <c r="BD391" s="43">
        <v>0.1472907617042678</v>
      </c>
      <c r="BE391" s="33">
        <v>0</v>
      </c>
      <c r="BF391" s="33">
        <v>0</v>
      </c>
      <c r="CE391" s="36">
        <v>357</v>
      </c>
      <c r="CF391" s="33">
        <v>2</v>
      </c>
      <c r="CG391" s="33">
        <v>2</v>
      </c>
      <c r="CH391" s="33">
        <v>4</v>
      </c>
      <c r="CI391" s="33">
        <v>1</v>
      </c>
      <c r="CJ391" s="33">
        <v>3</v>
      </c>
      <c r="CK391" s="33">
        <v>0</v>
      </c>
      <c r="CL391" s="33">
        <v>0</v>
      </c>
      <c r="CM391" s="33">
        <v>3</v>
      </c>
      <c r="CN391" s="33">
        <v>1</v>
      </c>
      <c r="CO391" s="33">
        <v>0</v>
      </c>
      <c r="CP391" s="43">
        <v>8.9296411844300122E-2</v>
      </c>
      <c r="CQ391" s="33">
        <v>0</v>
      </c>
      <c r="CR391" s="33">
        <v>0</v>
      </c>
    </row>
    <row r="392" spans="1:96" ht="15" customHeight="1" x14ac:dyDescent="0.25">
      <c r="A392" s="26">
        <v>390</v>
      </c>
      <c r="B392" s="27">
        <v>43</v>
      </c>
      <c r="C392" s="27">
        <v>0</v>
      </c>
      <c r="D392" s="27">
        <v>1</v>
      </c>
      <c r="E392" s="27">
        <v>982</v>
      </c>
      <c r="F392" s="27">
        <v>2</v>
      </c>
      <c r="G392" s="27">
        <v>12</v>
      </c>
      <c r="H392" s="27">
        <v>3</v>
      </c>
      <c r="I392" s="27">
        <v>1</v>
      </c>
      <c r="J392" s="27">
        <v>1</v>
      </c>
      <c r="K392" s="27">
        <v>520</v>
      </c>
      <c r="L392" s="27">
        <v>1</v>
      </c>
      <c r="M392" s="27">
        <v>1</v>
      </c>
      <c r="N392" s="27">
        <v>59</v>
      </c>
      <c r="O392" s="27">
        <v>2</v>
      </c>
      <c r="P392" s="27">
        <v>4</v>
      </c>
      <c r="Q392" s="27">
        <v>8</v>
      </c>
      <c r="R392" s="27">
        <v>2</v>
      </c>
      <c r="S392" s="27">
        <v>3</v>
      </c>
      <c r="T392" s="27">
        <v>14336</v>
      </c>
      <c r="U392" s="27">
        <v>4345</v>
      </c>
      <c r="V392" s="27">
        <v>1</v>
      </c>
      <c r="W392" s="27">
        <v>0</v>
      </c>
      <c r="X392" s="27">
        <v>11</v>
      </c>
      <c r="Y392" s="27">
        <v>3</v>
      </c>
      <c r="Z392" s="27">
        <v>3</v>
      </c>
      <c r="AA392" s="27">
        <v>80</v>
      </c>
      <c r="AB392" s="27">
        <v>1</v>
      </c>
      <c r="AC392" s="27">
        <v>25</v>
      </c>
      <c r="AD392" s="27">
        <v>3</v>
      </c>
      <c r="AE392" s="27">
        <v>3</v>
      </c>
      <c r="AF392" s="27">
        <v>25</v>
      </c>
      <c r="AG392" s="27">
        <v>10</v>
      </c>
      <c r="AH392" s="27">
        <v>3</v>
      </c>
      <c r="AI392" s="28">
        <v>9</v>
      </c>
      <c r="AK392" s="36">
        <v>359</v>
      </c>
      <c r="AL392" s="33">
        <v>1</v>
      </c>
      <c r="AM392" s="33">
        <v>2</v>
      </c>
      <c r="AN392" s="33">
        <v>4</v>
      </c>
      <c r="AO392" s="33">
        <v>4</v>
      </c>
      <c r="AP392" s="33">
        <v>0</v>
      </c>
      <c r="AQ392" s="33">
        <v>0</v>
      </c>
      <c r="AR392" s="33">
        <v>3</v>
      </c>
      <c r="AS392" s="33">
        <v>1</v>
      </c>
      <c r="AT392" s="33">
        <v>0</v>
      </c>
      <c r="AU392" s="43">
        <v>8.096510316720773E-2</v>
      </c>
      <c r="AV392" s="33">
        <v>0</v>
      </c>
      <c r="AW392" s="33">
        <v>0</v>
      </c>
      <c r="AY392" s="36">
        <v>364</v>
      </c>
      <c r="AZ392" s="33">
        <v>1</v>
      </c>
      <c r="BA392" s="33">
        <v>3</v>
      </c>
      <c r="BB392" s="33">
        <v>1</v>
      </c>
      <c r="BC392" s="33">
        <v>0</v>
      </c>
      <c r="BD392" s="43">
        <v>0.49727340882350407</v>
      </c>
      <c r="BE392" s="33">
        <v>0</v>
      </c>
      <c r="BF392" s="33">
        <v>1</v>
      </c>
      <c r="CE392" s="36">
        <v>358</v>
      </c>
      <c r="CF392" s="33">
        <v>1</v>
      </c>
      <c r="CG392" s="33">
        <v>1</v>
      </c>
      <c r="CH392" s="33">
        <v>2</v>
      </c>
      <c r="CI392" s="33">
        <v>1</v>
      </c>
      <c r="CJ392" s="33">
        <v>1</v>
      </c>
      <c r="CK392" s="33">
        <v>1</v>
      </c>
      <c r="CL392" s="33">
        <v>0</v>
      </c>
      <c r="CM392" s="33">
        <v>3</v>
      </c>
      <c r="CN392" s="33">
        <v>3</v>
      </c>
      <c r="CO392" s="33">
        <v>1</v>
      </c>
      <c r="CP392" s="43">
        <v>0.53021470511742408</v>
      </c>
      <c r="CQ392" s="33">
        <v>1</v>
      </c>
      <c r="CR392" s="33">
        <v>1</v>
      </c>
    </row>
    <row r="393" spans="1:96" ht="15" customHeight="1" x14ac:dyDescent="0.25">
      <c r="A393" s="26">
        <v>391</v>
      </c>
      <c r="B393" s="27">
        <v>40</v>
      </c>
      <c r="C393" s="27">
        <v>0</v>
      </c>
      <c r="D393" s="27">
        <v>1</v>
      </c>
      <c r="E393" s="27">
        <v>555</v>
      </c>
      <c r="F393" s="27">
        <v>2</v>
      </c>
      <c r="G393" s="27">
        <v>2</v>
      </c>
      <c r="H393" s="27">
        <v>3</v>
      </c>
      <c r="I393" s="27">
        <v>3</v>
      </c>
      <c r="J393" s="27">
        <v>1</v>
      </c>
      <c r="K393" s="27">
        <v>521</v>
      </c>
      <c r="L393" s="27">
        <v>2</v>
      </c>
      <c r="M393" s="27">
        <v>0</v>
      </c>
      <c r="N393" s="27">
        <v>78</v>
      </c>
      <c r="O393" s="27">
        <v>2</v>
      </c>
      <c r="P393" s="27">
        <v>2</v>
      </c>
      <c r="Q393" s="27">
        <v>3</v>
      </c>
      <c r="R393" s="27">
        <v>3</v>
      </c>
      <c r="S393" s="27">
        <v>2</v>
      </c>
      <c r="T393" s="27">
        <v>3448</v>
      </c>
      <c r="U393" s="27">
        <v>13436</v>
      </c>
      <c r="V393" s="27">
        <v>6</v>
      </c>
      <c r="W393" s="27">
        <v>0</v>
      </c>
      <c r="X393" s="27">
        <v>22</v>
      </c>
      <c r="Y393" s="27">
        <v>4</v>
      </c>
      <c r="Z393" s="27">
        <v>2</v>
      </c>
      <c r="AA393" s="27">
        <v>80</v>
      </c>
      <c r="AB393" s="27">
        <v>1</v>
      </c>
      <c r="AC393" s="27">
        <v>20</v>
      </c>
      <c r="AD393" s="27">
        <v>3</v>
      </c>
      <c r="AE393" s="27">
        <v>3</v>
      </c>
      <c r="AF393" s="27">
        <v>1</v>
      </c>
      <c r="AG393" s="27">
        <v>0</v>
      </c>
      <c r="AH393" s="27">
        <v>0</v>
      </c>
      <c r="AI393" s="28">
        <v>0</v>
      </c>
      <c r="AK393" s="36">
        <v>360</v>
      </c>
      <c r="AL393" s="33">
        <v>3</v>
      </c>
      <c r="AM393" s="33">
        <v>3</v>
      </c>
      <c r="AN393" s="33">
        <v>4</v>
      </c>
      <c r="AO393" s="33">
        <v>4</v>
      </c>
      <c r="AP393" s="33">
        <v>0</v>
      </c>
      <c r="AQ393" s="33">
        <v>1</v>
      </c>
      <c r="AR393" s="33">
        <v>3</v>
      </c>
      <c r="AS393" s="33">
        <v>13</v>
      </c>
      <c r="AT393" s="33">
        <v>1</v>
      </c>
      <c r="AU393" s="43">
        <v>1.4306185341471853E-2</v>
      </c>
      <c r="AV393" s="33">
        <v>0</v>
      </c>
      <c r="AW393" s="33">
        <v>0</v>
      </c>
      <c r="AY393" s="36">
        <v>365</v>
      </c>
      <c r="AZ393" s="33">
        <v>1</v>
      </c>
      <c r="BA393" s="33">
        <v>1</v>
      </c>
      <c r="BB393" s="33">
        <v>0</v>
      </c>
      <c r="BC393" s="33">
        <v>1</v>
      </c>
      <c r="BD393" s="43">
        <v>0.19678474515944386</v>
      </c>
      <c r="BE393" s="33">
        <v>0</v>
      </c>
      <c r="BF393" s="33">
        <v>0</v>
      </c>
      <c r="CE393" s="36">
        <v>359</v>
      </c>
      <c r="CF393" s="33">
        <v>1</v>
      </c>
      <c r="CG393" s="33">
        <v>2</v>
      </c>
      <c r="CH393" s="33">
        <v>4</v>
      </c>
      <c r="CI393" s="33">
        <v>1</v>
      </c>
      <c r="CJ393" s="33">
        <v>4</v>
      </c>
      <c r="CK393" s="33">
        <v>0</v>
      </c>
      <c r="CL393" s="33">
        <v>0</v>
      </c>
      <c r="CM393" s="33">
        <v>3</v>
      </c>
      <c r="CN393" s="33">
        <v>1</v>
      </c>
      <c r="CO393" s="33">
        <v>0</v>
      </c>
      <c r="CP393" s="43">
        <v>9.3632241399912899E-2</v>
      </c>
      <c r="CQ393" s="33">
        <v>0</v>
      </c>
      <c r="CR393" s="33">
        <v>0</v>
      </c>
    </row>
    <row r="394" spans="1:96" ht="15" customHeight="1" x14ac:dyDescent="0.25">
      <c r="A394" s="26">
        <v>392</v>
      </c>
      <c r="B394" s="27">
        <v>54</v>
      </c>
      <c r="C394" s="27">
        <v>0</v>
      </c>
      <c r="D394" s="27">
        <v>1</v>
      </c>
      <c r="E394" s="27">
        <v>821</v>
      </c>
      <c r="F394" s="27">
        <v>2</v>
      </c>
      <c r="G394" s="27">
        <v>5</v>
      </c>
      <c r="H394" s="27">
        <v>2</v>
      </c>
      <c r="I394" s="27">
        <v>3</v>
      </c>
      <c r="J394" s="27">
        <v>1</v>
      </c>
      <c r="K394" s="27">
        <v>522</v>
      </c>
      <c r="L394" s="27">
        <v>1</v>
      </c>
      <c r="M394" s="27">
        <v>1</v>
      </c>
      <c r="N394" s="27">
        <v>86</v>
      </c>
      <c r="O394" s="27">
        <v>3</v>
      </c>
      <c r="P394" s="27">
        <v>5</v>
      </c>
      <c r="Q394" s="27">
        <v>8</v>
      </c>
      <c r="R394" s="27">
        <v>1</v>
      </c>
      <c r="S394" s="27">
        <v>2</v>
      </c>
      <c r="T394" s="27">
        <v>19406</v>
      </c>
      <c r="U394" s="27">
        <v>8509</v>
      </c>
      <c r="V394" s="27">
        <v>4</v>
      </c>
      <c r="W394" s="27">
        <v>0</v>
      </c>
      <c r="X394" s="27">
        <v>11</v>
      </c>
      <c r="Y394" s="27">
        <v>3</v>
      </c>
      <c r="Z394" s="27">
        <v>3</v>
      </c>
      <c r="AA394" s="27">
        <v>80</v>
      </c>
      <c r="AB394" s="27">
        <v>1</v>
      </c>
      <c r="AC394" s="27">
        <v>24</v>
      </c>
      <c r="AD394" s="27">
        <v>4</v>
      </c>
      <c r="AE394" s="27">
        <v>2</v>
      </c>
      <c r="AF394" s="27">
        <v>4</v>
      </c>
      <c r="AG394" s="27">
        <v>2</v>
      </c>
      <c r="AH394" s="27">
        <v>1</v>
      </c>
      <c r="AI394" s="28">
        <v>2</v>
      </c>
      <c r="AK394" s="36">
        <v>361</v>
      </c>
      <c r="AL394" s="33">
        <v>1</v>
      </c>
      <c r="AM394" s="33">
        <v>2</v>
      </c>
      <c r="AN394" s="33">
        <v>3</v>
      </c>
      <c r="AO394" s="33">
        <v>2</v>
      </c>
      <c r="AP394" s="33">
        <v>0</v>
      </c>
      <c r="AQ394" s="33">
        <v>0</v>
      </c>
      <c r="AR394" s="33">
        <v>3</v>
      </c>
      <c r="AS394" s="33">
        <v>3</v>
      </c>
      <c r="AT394" s="33">
        <v>1</v>
      </c>
      <c r="AU394" s="43">
        <v>8.8175813003065748E-2</v>
      </c>
      <c r="AV394" s="33">
        <v>0</v>
      </c>
      <c r="AW394" s="33">
        <v>0</v>
      </c>
      <c r="AY394" s="36">
        <v>366</v>
      </c>
      <c r="AZ394" s="33">
        <v>2</v>
      </c>
      <c r="BA394" s="33">
        <v>3</v>
      </c>
      <c r="BB394" s="33">
        <v>0</v>
      </c>
      <c r="BC394" s="33">
        <v>0</v>
      </c>
      <c r="BD394" s="43">
        <v>0.11690772887050198</v>
      </c>
      <c r="BE394" s="33">
        <v>0</v>
      </c>
      <c r="BF394" s="33">
        <v>0</v>
      </c>
      <c r="CE394" s="36">
        <v>360</v>
      </c>
      <c r="CF394" s="33">
        <v>3</v>
      </c>
      <c r="CG394" s="33">
        <v>3</v>
      </c>
      <c r="CH394" s="33">
        <v>4</v>
      </c>
      <c r="CI394" s="33">
        <v>2</v>
      </c>
      <c r="CJ394" s="33">
        <v>4</v>
      </c>
      <c r="CK394" s="33">
        <v>0</v>
      </c>
      <c r="CL394" s="33">
        <v>1</v>
      </c>
      <c r="CM394" s="33">
        <v>3</v>
      </c>
      <c r="CN394" s="33">
        <v>13</v>
      </c>
      <c r="CO394" s="33">
        <v>1</v>
      </c>
      <c r="CP394" s="43">
        <v>1.3705502083690228E-2</v>
      </c>
      <c r="CQ394" s="33">
        <v>0</v>
      </c>
      <c r="CR394" s="33">
        <v>0</v>
      </c>
    </row>
    <row r="395" spans="1:96" ht="15" customHeight="1" x14ac:dyDescent="0.25">
      <c r="A395" s="26">
        <v>393</v>
      </c>
      <c r="B395" s="27">
        <v>34</v>
      </c>
      <c r="C395" s="27">
        <v>0</v>
      </c>
      <c r="D395" s="27">
        <v>3</v>
      </c>
      <c r="E395" s="27">
        <v>1381</v>
      </c>
      <c r="F395" s="27">
        <v>1</v>
      </c>
      <c r="G395" s="27">
        <v>4</v>
      </c>
      <c r="H395" s="27">
        <v>4</v>
      </c>
      <c r="I395" s="27">
        <v>4</v>
      </c>
      <c r="J395" s="27">
        <v>1</v>
      </c>
      <c r="K395" s="27">
        <v>523</v>
      </c>
      <c r="L395" s="27">
        <v>3</v>
      </c>
      <c r="M395" s="27">
        <v>0</v>
      </c>
      <c r="N395" s="27">
        <v>72</v>
      </c>
      <c r="O395" s="27">
        <v>3</v>
      </c>
      <c r="P395" s="27">
        <v>2</v>
      </c>
      <c r="Q395" s="27">
        <v>1</v>
      </c>
      <c r="R395" s="27">
        <v>3</v>
      </c>
      <c r="S395" s="27">
        <v>2</v>
      </c>
      <c r="T395" s="27">
        <v>6538</v>
      </c>
      <c r="U395" s="27">
        <v>12740</v>
      </c>
      <c r="V395" s="27">
        <v>9</v>
      </c>
      <c r="W395" s="27">
        <v>0</v>
      </c>
      <c r="X395" s="27">
        <v>15</v>
      </c>
      <c r="Y395" s="27">
        <v>3</v>
      </c>
      <c r="Z395" s="27">
        <v>1</v>
      </c>
      <c r="AA395" s="27">
        <v>80</v>
      </c>
      <c r="AB395" s="27">
        <v>1</v>
      </c>
      <c r="AC395" s="27">
        <v>6</v>
      </c>
      <c r="AD395" s="27">
        <v>3</v>
      </c>
      <c r="AE395" s="27">
        <v>3</v>
      </c>
      <c r="AF395" s="27">
        <v>3</v>
      </c>
      <c r="AG395" s="27">
        <v>2</v>
      </c>
      <c r="AH395" s="27">
        <v>1</v>
      </c>
      <c r="AI395" s="28">
        <v>2</v>
      </c>
      <c r="AK395" s="36">
        <v>362</v>
      </c>
      <c r="AL395" s="33">
        <v>10</v>
      </c>
      <c r="AM395" s="33">
        <v>1</v>
      </c>
      <c r="AN395" s="33">
        <v>3</v>
      </c>
      <c r="AO395" s="33">
        <v>3</v>
      </c>
      <c r="AP395" s="33">
        <v>1</v>
      </c>
      <c r="AQ395" s="33">
        <v>1</v>
      </c>
      <c r="AR395" s="33">
        <v>3</v>
      </c>
      <c r="AS395" s="33">
        <v>7</v>
      </c>
      <c r="AT395" s="33">
        <v>1</v>
      </c>
      <c r="AU395" s="43">
        <v>0.31473379038227034</v>
      </c>
      <c r="AV395" s="33">
        <v>0</v>
      </c>
      <c r="AW395" s="33">
        <v>0</v>
      </c>
      <c r="AY395" s="36">
        <v>367</v>
      </c>
      <c r="AZ395" s="33">
        <v>2</v>
      </c>
      <c r="BA395" s="33">
        <v>2</v>
      </c>
      <c r="BB395" s="33">
        <v>0</v>
      </c>
      <c r="BC395" s="33">
        <v>0</v>
      </c>
      <c r="BD395" s="43">
        <v>0.15063023792355215</v>
      </c>
      <c r="BE395" s="33">
        <v>0</v>
      </c>
      <c r="BF395" s="33">
        <v>1</v>
      </c>
      <c r="CE395" s="36">
        <v>361</v>
      </c>
      <c r="CF395" s="33">
        <v>1</v>
      </c>
      <c r="CG395" s="33">
        <v>2</v>
      </c>
      <c r="CH395" s="33">
        <v>3</v>
      </c>
      <c r="CI395" s="33">
        <v>2</v>
      </c>
      <c r="CJ395" s="33">
        <v>2</v>
      </c>
      <c r="CK395" s="33">
        <v>0</v>
      </c>
      <c r="CL395" s="33">
        <v>0</v>
      </c>
      <c r="CM395" s="33">
        <v>3</v>
      </c>
      <c r="CN395" s="33">
        <v>3</v>
      </c>
      <c r="CO395" s="33">
        <v>1</v>
      </c>
      <c r="CP395" s="43">
        <v>6.2163184605828065E-2</v>
      </c>
      <c r="CQ395" s="33">
        <v>0</v>
      </c>
      <c r="CR395" s="33">
        <v>0</v>
      </c>
    </row>
    <row r="396" spans="1:96" ht="15" customHeight="1" x14ac:dyDescent="0.25">
      <c r="A396" s="26">
        <v>394</v>
      </c>
      <c r="B396" s="27">
        <v>31</v>
      </c>
      <c r="C396" s="27">
        <v>0</v>
      </c>
      <c r="D396" s="27">
        <v>1</v>
      </c>
      <c r="E396" s="27">
        <v>480</v>
      </c>
      <c r="F396" s="27">
        <v>2</v>
      </c>
      <c r="G396" s="27">
        <v>7</v>
      </c>
      <c r="H396" s="27">
        <v>2</v>
      </c>
      <c r="I396" s="27">
        <v>3</v>
      </c>
      <c r="J396" s="27">
        <v>1</v>
      </c>
      <c r="K396" s="27">
        <v>524</v>
      </c>
      <c r="L396" s="27">
        <v>2</v>
      </c>
      <c r="M396" s="27">
        <v>0</v>
      </c>
      <c r="N396" s="27">
        <v>31</v>
      </c>
      <c r="O396" s="27">
        <v>3</v>
      </c>
      <c r="P396" s="27">
        <v>2</v>
      </c>
      <c r="Q396" s="27">
        <v>4</v>
      </c>
      <c r="R396" s="27">
        <v>1</v>
      </c>
      <c r="S396" s="27">
        <v>2</v>
      </c>
      <c r="T396" s="27">
        <v>4306</v>
      </c>
      <c r="U396" s="27">
        <v>4156</v>
      </c>
      <c r="V396" s="27">
        <v>1</v>
      </c>
      <c r="W396" s="27">
        <v>0</v>
      </c>
      <c r="X396" s="27">
        <v>12</v>
      </c>
      <c r="Y396" s="27">
        <v>3</v>
      </c>
      <c r="Z396" s="27">
        <v>2</v>
      </c>
      <c r="AA396" s="27">
        <v>80</v>
      </c>
      <c r="AB396" s="27">
        <v>1</v>
      </c>
      <c r="AC396" s="27">
        <v>13</v>
      </c>
      <c r="AD396" s="27">
        <v>5</v>
      </c>
      <c r="AE396" s="27">
        <v>1</v>
      </c>
      <c r="AF396" s="27">
        <v>13</v>
      </c>
      <c r="AG396" s="27">
        <v>10</v>
      </c>
      <c r="AH396" s="27">
        <v>3</v>
      </c>
      <c r="AI396" s="28">
        <v>12</v>
      </c>
      <c r="AK396" s="36">
        <v>363</v>
      </c>
      <c r="AL396" s="33">
        <v>9</v>
      </c>
      <c r="AM396" s="33">
        <v>1</v>
      </c>
      <c r="AN396" s="33">
        <v>4</v>
      </c>
      <c r="AO396" s="33">
        <v>1</v>
      </c>
      <c r="AP396" s="33">
        <v>0</v>
      </c>
      <c r="AQ396" s="33">
        <v>0</v>
      </c>
      <c r="AR396" s="33">
        <v>2</v>
      </c>
      <c r="AS396" s="33">
        <v>3</v>
      </c>
      <c r="AT396" s="33">
        <v>2</v>
      </c>
      <c r="AU396" s="43">
        <v>0.17572706069069613</v>
      </c>
      <c r="AV396" s="33">
        <v>0</v>
      </c>
      <c r="AW396" s="33">
        <v>0</v>
      </c>
      <c r="AY396" s="36">
        <v>368</v>
      </c>
      <c r="AZ396" s="33">
        <v>3</v>
      </c>
      <c r="BA396" s="33">
        <v>4</v>
      </c>
      <c r="BB396" s="33">
        <v>0</v>
      </c>
      <c r="BC396" s="33">
        <v>0</v>
      </c>
      <c r="BD396" s="43">
        <v>5.3512841598087578E-2</v>
      </c>
      <c r="BE396" s="33">
        <v>0</v>
      </c>
      <c r="BF396" s="33">
        <v>0</v>
      </c>
      <c r="CE396" s="36">
        <v>362</v>
      </c>
      <c r="CF396" s="33">
        <v>10</v>
      </c>
      <c r="CG396" s="33">
        <v>1</v>
      </c>
      <c r="CH396" s="33">
        <v>3</v>
      </c>
      <c r="CI396" s="33">
        <v>2</v>
      </c>
      <c r="CJ396" s="33">
        <v>3</v>
      </c>
      <c r="CK396" s="33">
        <v>1</v>
      </c>
      <c r="CL396" s="33">
        <v>1</v>
      </c>
      <c r="CM396" s="33">
        <v>3</v>
      </c>
      <c r="CN396" s="33">
        <v>7</v>
      </c>
      <c r="CO396" s="33">
        <v>1</v>
      </c>
      <c r="CP396" s="43">
        <v>0.31296590811970898</v>
      </c>
      <c r="CQ396" s="33">
        <v>0</v>
      </c>
      <c r="CR396" s="33">
        <v>0</v>
      </c>
    </row>
    <row r="397" spans="1:96" ht="15" customHeight="1" x14ac:dyDescent="0.25">
      <c r="A397" s="26">
        <v>395</v>
      </c>
      <c r="B397" s="27">
        <v>43</v>
      </c>
      <c r="C397" s="27">
        <v>0</v>
      </c>
      <c r="D397" s="27">
        <v>2</v>
      </c>
      <c r="E397" s="27">
        <v>313</v>
      </c>
      <c r="F397" s="27">
        <v>2</v>
      </c>
      <c r="G397" s="27">
        <v>21</v>
      </c>
      <c r="H397" s="27">
        <v>3</v>
      </c>
      <c r="I397" s="27">
        <v>3</v>
      </c>
      <c r="J397" s="27">
        <v>1</v>
      </c>
      <c r="K397" s="27">
        <v>525</v>
      </c>
      <c r="L397" s="27">
        <v>4</v>
      </c>
      <c r="M397" s="27">
        <v>1</v>
      </c>
      <c r="N397" s="27">
        <v>61</v>
      </c>
      <c r="O397" s="27">
        <v>3</v>
      </c>
      <c r="P397" s="27">
        <v>1</v>
      </c>
      <c r="Q397" s="27">
        <v>3</v>
      </c>
      <c r="R397" s="27">
        <v>4</v>
      </c>
      <c r="S397" s="27">
        <v>2</v>
      </c>
      <c r="T397" s="27">
        <v>2258</v>
      </c>
      <c r="U397" s="27">
        <v>15238</v>
      </c>
      <c r="V397" s="27">
        <v>7</v>
      </c>
      <c r="W397" s="27">
        <v>0</v>
      </c>
      <c r="X397" s="27">
        <v>20</v>
      </c>
      <c r="Y397" s="27">
        <v>4</v>
      </c>
      <c r="Z397" s="27">
        <v>1</v>
      </c>
      <c r="AA397" s="27">
        <v>80</v>
      </c>
      <c r="AB397" s="27">
        <v>1</v>
      </c>
      <c r="AC397" s="27">
        <v>8</v>
      </c>
      <c r="AD397" s="27">
        <v>1</v>
      </c>
      <c r="AE397" s="27">
        <v>3</v>
      </c>
      <c r="AF397" s="27">
        <v>3</v>
      </c>
      <c r="AG397" s="27">
        <v>2</v>
      </c>
      <c r="AH397" s="27">
        <v>1</v>
      </c>
      <c r="AI397" s="28">
        <v>2</v>
      </c>
      <c r="AK397" s="36">
        <v>364</v>
      </c>
      <c r="AL397" s="33">
        <v>5</v>
      </c>
      <c r="AM397" s="33">
        <v>1</v>
      </c>
      <c r="AN397" s="33">
        <v>3</v>
      </c>
      <c r="AO397" s="33">
        <v>1</v>
      </c>
      <c r="AP397" s="33">
        <v>1</v>
      </c>
      <c r="AQ397" s="33">
        <v>0</v>
      </c>
      <c r="AR397" s="33">
        <v>3</v>
      </c>
      <c r="AS397" s="33">
        <v>1</v>
      </c>
      <c r="AT397" s="33">
        <v>0</v>
      </c>
      <c r="AU397" s="43">
        <v>0.44328790205200858</v>
      </c>
      <c r="AV397" s="33">
        <v>0</v>
      </c>
      <c r="AW397" s="33">
        <v>1</v>
      </c>
      <c r="AY397" s="36">
        <v>369</v>
      </c>
      <c r="AZ397" s="33">
        <v>2</v>
      </c>
      <c r="BA397" s="33">
        <v>3</v>
      </c>
      <c r="BB397" s="33">
        <v>1</v>
      </c>
      <c r="BC397" s="33">
        <v>2</v>
      </c>
      <c r="BD397" s="43">
        <v>0.16457242924360335</v>
      </c>
      <c r="BE397" s="33">
        <v>0</v>
      </c>
      <c r="BF397" s="33">
        <v>1</v>
      </c>
      <c r="CE397" s="36">
        <v>363</v>
      </c>
      <c r="CF397" s="33">
        <v>9</v>
      </c>
      <c r="CG397" s="33">
        <v>1</v>
      </c>
      <c r="CH397" s="33">
        <v>4</v>
      </c>
      <c r="CI397" s="33">
        <v>1</v>
      </c>
      <c r="CJ397" s="33">
        <v>1</v>
      </c>
      <c r="CK397" s="33">
        <v>0</v>
      </c>
      <c r="CL397" s="33">
        <v>0</v>
      </c>
      <c r="CM397" s="33">
        <v>2</v>
      </c>
      <c r="CN397" s="33">
        <v>3</v>
      </c>
      <c r="CO397" s="33">
        <v>2</v>
      </c>
      <c r="CP397" s="43">
        <v>0.2004446015746098</v>
      </c>
      <c r="CQ397" s="33">
        <v>0</v>
      </c>
      <c r="CR397" s="33">
        <v>0</v>
      </c>
    </row>
    <row r="398" spans="1:96" ht="15" customHeight="1" x14ac:dyDescent="0.25">
      <c r="A398" s="26">
        <v>396</v>
      </c>
      <c r="B398" s="27">
        <v>43</v>
      </c>
      <c r="C398" s="27">
        <v>0</v>
      </c>
      <c r="D398" s="27">
        <v>1</v>
      </c>
      <c r="E398" s="27">
        <v>1473</v>
      </c>
      <c r="F398" s="27">
        <v>2</v>
      </c>
      <c r="G398" s="27">
        <v>8</v>
      </c>
      <c r="H398" s="27">
        <v>4</v>
      </c>
      <c r="I398" s="27">
        <v>6</v>
      </c>
      <c r="J398" s="27">
        <v>1</v>
      </c>
      <c r="K398" s="27">
        <v>526</v>
      </c>
      <c r="L398" s="27">
        <v>3</v>
      </c>
      <c r="M398" s="27">
        <v>0</v>
      </c>
      <c r="N398" s="27">
        <v>74</v>
      </c>
      <c r="O398" s="27">
        <v>3</v>
      </c>
      <c r="P398" s="27">
        <v>2</v>
      </c>
      <c r="Q398" s="27">
        <v>5</v>
      </c>
      <c r="R398" s="27">
        <v>3</v>
      </c>
      <c r="S398" s="27">
        <v>3</v>
      </c>
      <c r="T398" s="27">
        <v>4522</v>
      </c>
      <c r="U398" s="27">
        <v>2227</v>
      </c>
      <c r="V398" s="27">
        <v>4</v>
      </c>
      <c r="W398" s="27">
        <v>1</v>
      </c>
      <c r="X398" s="27">
        <v>14</v>
      </c>
      <c r="Y398" s="27">
        <v>3</v>
      </c>
      <c r="Z398" s="27">
        <v>4</v>
      </c>
      <c r="AA398" s="27">
        <v>80</v>
      </c>
      <c r="AB398" s="27">
        <v>0</v>
      </c>
      <c r="AC398" s="27">
        <v>8</v>
      </c>
      <c r="AD398" s="27">
        <v>3</v>
      </c>
      <c r="AE398" s="27">
        <v>3</v>
      </c>
      <c r="AF398" s="27">
        <v>5</v>
      </c>
      <c r="AG398" s="27">
        <v>2</v>
      </c>
      <c r="AH398" s="27">
        <v>0</v>
      </c>
      <c r="AI398" s="28">
        <v>2</v>
      </c>
      <c r="AK398" s="36">
        <v>365</v>
      </c>
      <c r="AL398" s="33">
        <v>10</v>
      </c>
      <c r="AM398" s="33">
        <v>1</v>
      </c>
      <c r="AN398" s="33">
        <v>1</v>
      </c>
      <c r="AO398" s="33">
        <v>6</v>
      </c>
      <c r="AP398" s="33">
        <v>0</v>
      </c>
      <c r="AQ398" s="33">
        <v>1</v>
      </c>
      <c r="AR398" s="33">
        <v>3</v>
      </c>
      <c r="AS398" s="33">
        <v>5</v>
      </c>
      <c r="AT398" s="33">
        <v>0</v>
      </c>
      <c r="AU398" s="43">
        <v>0.1999685682470837</v>
      </c>
      <c r="AV398" s="33">
        <v>0</v>
      </c>
      <c r="AW398" s="33">
        <v>0</v>
      </c>
      <c r="AY398" s="36">
        <v>370</v>
      </c>
      <c r="AZ398" s="33">
        <v>1</v>
      </c>
      <c r="BA398" s="33">
        <v>2</v>
      </c>
      <c r="BB398" s="33">
        <v>1</v>
      </c>
      <c r="BC398" s="33">
        <v>0</v>
      </c>
      <c r="BD398" s="43">
        <v>0.56990699338636852</v>
      </c>
      <c r="BE398" s="33">
        <v>1</v>
      </c>
      <c r="BF398" s="33">
        <v>0</v>
      </c>
      <c r="CE398" s="36">
        <v>364</v>
      </c>
      <c r="CF398" s="33">
        <v>5</v>
      </c>
      <c r="CG398" s="33">
        <v>1</v>
      </c>
      <c r="CH398" s="33">
        <v>3</v>
      </c>
      <c r="CI398" s="33">
        <v>1</v>
      </c>
      <c r="CJ398" s="33">
        <v>1</v>
      </c>
      <c r="CK398" s="33">
        <v>1</v>
      </c>
      <c r="CL398" s="33">
        <v>0</v>
      </c>
      <c r="CM398" s="33">
        <v>3</v>
      </c>
      <c r="CN398" s="33">
        <v>1</v>
      </c>
      <c r="CO398" s="33">
        <v>0</v>
      </c>
      <c r="CP398" s="43">
        <v>0.49320939500800554</v>
      </c>
      <c r="CQ398" s="33">
        <v>0</v>
      </c>
      <c r="CR398" s="33">
        <v>1</v>
      </c>
    </row>
    <row r="399" spans="1:96" ht="15" customHeight="1" x14ac:dyDescent="0.25">
      <c r="A399" s="26">
        <v>397</v>
      </c>
      <c r="B399" s="27">
        <v>25</v>
      </c>
      <c r="C399" s="27">
        <v>0</v>
      </c>
      <c r="D399" s="27">
        <v>1</v>
      </c>
      <c r="E399" s="27">
        <v>891</v>
      </c>
      <c r="F399" s="27">
        <v>1</v>
      </c>
      <c r="G399" s="27">
        <v>4</v>
      </c>
      <c r="H399" s="27">
        <v>2</v>
      </c>
      <c r="I399" s="27">
        <v>1</v>
      </c>
      <c r="J399" s="27">
        <v>1</v>
      </c>
      <c r="K399" s="27">
        <v>527</v>
      </c>
      <c r="L399" s="27">
        <v>2</v>
      </c>
      <c r="M399" s="27">
        <v>0</v>
      </c>
      <c r="N399" s="27">
        <v>99</v>
      </c>
      <c r="O399" s="27">
        <v>2</v>
      </c>
      <c r="P399" s="27">
        <v>2</v>
      </c>
      <c r="Q399" s="27">
        <v>1</v>
      </c>
      <c r="R399" s="27">
        <v>4</v>
      </c>
      <c r="S399" s="27">
        <v>1</v>
      </c>
      <c r="T399" s="27">
        <v>4487</v>
      </c>
      <c r="U399" s="27">
        <v>12090</v>
      </c>
      <c r="V399" s="27">
        <v>1</v>
      </c>
      <c r="W399" s="27">
        <v>1</v>
      </c>
      <c r="X399" s="27">
        <v>11</v>
      </c>
      <c r="Y399" s="27">
        <v>3</v>
      </c>
      <c r="Z399" s="27">
        <v>2</v>
      </c>
      <c r="AA399" s="27">
        <v>80</v>
      </c>
      <c r="AB399" s="27">
        <v>0</v>
      </c>
      <c r="AC399" s="27">
        <v>5</v>
      </c>
      <c r="AD399" s="27">
        <v>3</v>
      </c>
      <c r="AE399" s="27">
        <v>3</v>
      </c>
      <c r="AF399" s="27">
        <v>5</v>
      </c>
      <c r="AG399" s="27">
        <v>4</v>
      </c>
      <c r="AH399" s="27">
        <v>1</v>
      </c>
      <c r="AI399" s="28">
        <v>3</v>
      </c>
      <c r="AK399" s="36">
        <v>366</v>
      </c>
      <c r="AL399" s="33">
        <v>7</v>
      </c>
      <c r="AM399" s="33">
        <v>2</v>
      </c>
      <c r="AN399" s="33">
        <v>3</v>
      </c>
      <c r="AO399" s="33">
        <v>2</v>
      </c>
      <c r="AP399" s="33">
        <v>0</v>
      </c>
      <c r="AQ399" s="33">
        <v>0</v>
      </c>
      <c r="AR399" s="33">
        <v>4</v>
      </c>
      <c r="AS399" s="33">
        <v>1</v>
      </c>
      <c r="AT399" s="33">
        <v>0</v>
      </c>
      <c r="AU399" s="43">
        <v>8.8187214021635194E-2</v>
      </c>
      <c r="AV399" s="33">
        <v>0</v>
      </c>
      <c r="AW399" s="33">
        <v>0</v>
      </c>
      <c r="AY399" s="36">
        <v>371</v>
      </c>
      <c r="AZ399" s="33">
        <v>1</v>
      </c>
      <c r="BA399" s="33">
        <v>2</v>
      </c>
      <c r="BB399" s="33">
        <v>0</v>
      </c>
      <c r="BC399" s="33">
        <v>0</v>
      </c>
      <c r="BD399" s="43">
        <v>0.23662845161334917</v>
      </c>
      <c r="BE399" s="33">
        <v>0</v>
      </c>
      <c r="BF399" s="33">
        <v>1</v>
      </c>
      <c r="CE399" s="36">
        <v>365</v>
      </c>
      <c r="CF399" s="33">
        <v>10</v>
      </c>
      <c r="CG399" s="33">
        <v>1</v>
      </c>
      <c r="CH399" s="33">
        <v>1</v>
      </c>
      <c r="CI399" s="33">
        <v>2</v>
      </c>
      <c r="CJ399" s="33">
        <v>6</v>
      </c>
      <c r="CK399" s="33">
        <v>0</v>
      </c>
      <c r="CL399" s="33">
        <v>1</v>
      </c>
      <c r="CM399" s="33">
        <v>3</v>
      </c>
      <c r="CN399" s="33">
        <v>5</v>
      </c>
      <c r="CO399" s="33">
        <v>0</v>
      </c>
      <c r="CP399" s="43">
        <v>0.19849055799438028</v>
      </c>
      <c r="CQ399" s="33">
        <v>0</v>
      </c>
      <c r="CR399" s="33">
        <v>0</v>
      </c>
    </row>
    <row r="400" spans="1:96" ht="15" customHeight="1" x14ac:dyDescent="0.25">
      <c r="A400" s="26">
        <v>398</v>
      </c>
      <c r="B400" s="27">
        <v>37</v>
      </c>
      <c r="C400" s="27">
        <v>0</v>
      </c>
      <c r="D400" s="27">
        <v>3</v>
      </c>
      <c r="E400" s="27">
        <v>1063</v>
      </c>
      <c r="F400" s="27">
        <v>2</v>
      </c>
      <c r="G400" s="27">
        <v>25</v>
      </c>
      <c r="H400" s="27">
        <v>5</v>
      </c>
      <c r="I400" s="27">
        <v>3</v>
      </c>
      <c r="J400" s="27">
        <v>1</v>
      </c>
      <c r="K400" s="27">
        <v>529</v>
      </c>
      <c r="L400" s="27">
        <v>2</v>
      </c>
      <c r="M400" s="27">
        <v>0</v>
      </c>
      <c r="N400" s="27">
        <v>72</v>
      </c>
      <c r="O400" s="27">
        <v>3</v>
      </c>
      <c r="P400" s="27">
        <v>2</v>
      </c>
      <c r="Q400" s="27">
        <v>2</v>
      </c>
      <c r="R400" s="27">
        <v>3</v>
      </c>
      <c r="S400" s="27">
        <v>2</v>
      </c>
      <c r="T400" s="27">
        <v>4449</v>
      </c>
      <c r="U400" s="27">
        <v>23866</v>
      </c>
      <c r="V400" s="27">
        <v>3</v>
      </c>
      <c r="W400" s="27">
        <v>1</v>
      </c>
      <c r="X400" s="27">
        <v>15</v>
      </c>
      <c r="Y400" s="27">
        <v>3</v>
      </c>
      <c r="Z400" s="27">
        <v>1</v>
      </c>
      <c r="AA400" s="27">
        <v>80</v>
      </c>
      <c r="AB400" s="27">
        <v>2</v>
      </c>
      <c r="AC400" s="27">
        <v>15</v>
      </c>
      <c r="AD400" s="27">
        <v>2</v>
      </c>
      <c r="AE400" s="27">
        <v>3</v>
      </c>
      <c r="AF400" s="27">
        <v>13</v>
      </c>
      <c r="AG400" s="27">
        <v>11</v>
      </c>
      <c r="AH400" s="27">
        <v>10</v>
      </c>
      <c r="AI400" s="28">
        <v>7</v>
      </c>
      <c r="AK400" s="36">
        <v>367</v>
      </c>
      <c r="AL400" s="33">
        <v>4</v>
      </c>
      <c r="AM400" s="33">
        <v>2</v>
      </c>
      <c r="AN400" s="33">
        <v>2</v>
      </c>
      <c r="AO400" s="33">
        <v>1</v>
      </c>
      <c r="AP400" s="33">
        <v>0</v>
      </c>
      <c r="AQ400" s="33">
        <v>0</v>
      </c>
      <c r="AR400" s="33">
        <v>3</v>
      </c>
      <c r="AS400" s="33">
        <v>8</v>
      </c>
      <c r="AT400" s="33">
        <v>7</v>
      </c>
      <c r="AU400" s="43">
        <v>0.15347575846272002</v>
      </c>
      <c r="AV400" s="33">
        <v>0</v>
      </c>
      <c r="AW400" s="33">
        <v>1</v>
      </c>
      <c r="AY400" s="36">
        <v>372</v>
      </c>
      <c r="AZ400" s="33">
        <v>1</v>
      </c>
      <c r="BA400" s="33">
        <v>4</v>
      </c>
      <c r="BB400" s="33">
        <v>0</v>
      </c>
      <c r="BC400" s="33">
        <v>0</v>
      </c>
      <c r="BD400" s="43">
        <v>0.1472907617042678</v>
      </c>
      <c r="BE400" s="33">
        <v>0</v>
      </c>
      <c r="BF400" s="33">
        <v>0</v>
      </c>
      <c r="CE400" s="36">
        <v>366</v>
      </c>
      <c r="CF400" s="33">
        <v>7</v>
      </c>
      <c r="CG400" s="33">
        <v>2</v>
      </c>
      <c r="CH400" s="33">
        <v>3</v>
      </c>
      <c r="CI400" s="33">
        <v>2</v>
      </c>
      <c r="CJ400" s="33">
        <v>2</v>
      </c>
      <c r="CK400" s="33">
        <v>0</v>
      </c>
      <c r="CL400" s="33">
        <v>0</v>
      </c>
      <c r="CM400" s="33">
        <v>4</v>
      </c>
      <c r="CN400" s="33">
        <v>1</v>
      </c>
      <c r="CO400" s="33">
        <v>0</v>
      </c>
      <c r="CP400" s="43">
        <v>6.1008155072466951E-2</v>
      </c>
      <c r="CQ400" s="33">
        <v>0</v>
      </c>
      <c r="CR400" s="33">
        <v>0</v>
      </c>
    </row>
    <row r="401" spans="1:96" ht="15" customHeight="1" x14ac:dyDescent="0.25">
      <c r="A401" s="26">
        <v>399</v>
      </c>
      <c r="B401" s="27">
        <v>31</v>
      </c>
      <c r="C401" s="27">
        <v>0</v>
      </c>
      <c r="D401" s="27">
        <v>1</v>
      </c>
      <c r="E401" s="27">
        <v>329</v>
      </c>
      <c r="F401" s="27">
        <v>2</v>
      </c>
      <c r="G401" s="27">
        <v>1</v>
      </c>
      <c r="H401" s="27">
        <v>2</v>
      </c>
      <c r="I401" s="27">
        <v>1</v>
      </c>
      <c r="J401" s="27">
        <v>1</v>
      </c>
      <c r="K401" s="27">
        <v>530</v>
      </c>
      <c r="L401" s="27">
        <v>4</v>
      </c>
      <c r="M401" s="27">
        <v>1</v>
      </c>
      <c r="N401" s="27">
        <v>98</v>
      </c>
      <c r="O401" s="27">
        <v>2</v>
      </c>
      <c r="P401" s="27">
        <v>1</v>
      </c>
      <c r="Q401" s="27">
        <v>3</v>
      </c>
      <c r="R401" s="27">
        <v>1</v>
      </c>
      <c r="S401" s="27">
        <v>2</v>
      </c>
      <c r="T401" s="27">
        <v>2218</v>
      </c>
      <c r="U401" s="27">
        <v>16193</v>
      </c>
      <c r="V401" s="27">
        <v>1</v>
      </c>
      <c r="W401" s="27">
        <v>0</v>
      </c>
      <c r="X401" s="27">
        <v>12</v>
      </c>
      <c r="Y401" s="27">
        <v>3</v>
      </c>
      <c r="Z401" s="27">
        <v>3</v>
      </c>
      <c r="AA401" s="27">
        <v>80</v>
      </c>
      <c r="AB401" s="27">
        <v>1</v>
      </c>
      <c r="AC401" s="27">
        <v>4</v>
      </c>
      <c r="AD401" s="27">
        <v>3</v>
      </c>
      <c r="AE401" s="27">
        <v>3</v>
      </c>
      <c r="AF401" s="27">
        <v>4</v>
      </c>
      <c r="AG401" s="27">
        <v>2</v>
      </c>
      <c r="AH401" s="27">
        <v>3</v>
      </c>
      <c r="AI401" s="28">
        <v>2</v>
      </c>
      <c r="AK401" s="36">
        <v>368</v>
      </c>
      <c r="AL401" s="33">
        <v>10</v>
      </c>
      <c r="AM401" s="33">
        <v>3</v>
      </c>
      <c r="AN401" s="33">
        <v>4</v>
      </c>
      <c r="AO401" s="33">
        <v>6</v>
      </c>
      <c r="AP401" s="33">
        <v>0</v>
      </c>
      <c r="AQ401" s="33">
        <v>0</v>
      </c>
      <c r="AR401" s="33">
        <v>3</v>
      </c>
      <c r="AS401" s="33">
        <v>4</v>
      </c>
      <c r="AT401" s="33">
        <v>1</v>
      </c>
      <c r="AU401" s="43">
        <v>6.8296582153509422E-2</v>
      </c>
      <c r="AV401" s="33">
        <v>0</v>
      </c>
      <c r="AW401" s="33">
        <v>0</v>
      </c>
      <c r="AY401" s="36">
        <v>373</v>
      </c>
      <c r="AZ401" s="33">
        <v>2</v>
      </c>
      <c r="BA401" s="33">
        <v>2</v>
      </c>
      <c r="BB401" s="33">
        <v>0</v>
      </c>
      <c r="BC401" s="33">
        <v>0</v>
      </c>
      <c r="BD401" s="43">
        <v>0.15063023792355215</v>
      </c>
      <c r="BE401" s="33">
        <v>0</v>
      </c>
      <c r="BF401" s="33">
        <v>0</v>
      </c>
      <c r="CE401" s="36">
        <v>367</v>
      </c>
      <c r="CF401" s="33">
        <v>4</v>
      </c>
      <c r="CG401" s="33">
        <v>2</v>
      </c>
      <c r="CH401" s="33">
        <v>2</v>
      </c>
      <c r="CI401" s="33">
        <v>1</v>
      </c>
      <c r="CJ401" s="33">
        <v>1</v>
      </c>
      <c r="CK401" s="33">
        <v>0</v>
      </c>
      <c r="CL401" s="33">
        <v>0</v>
      </c>
      <c r="CM401" s="33">
        <v>3</v>
      </c>
      <c r="CN401" s="33">
        <v>8</v>
      </c>
      <c r="CO401" s="33">
        <v>7</v>
      </c>
      <c r="CP401" s="43">
        <v>0.18245895586787136</v>
      </c>
      <c r="CQ401" s="33">
        <v>0</v>
      </c>
      <c r="CR401" s="33">
        <v>1</v>
      </c>
    </row>
    <row r="402" spans="1:96" ht="15" customHeight="1" x14ac:dyDescent="0.25">
      <c r="A402" s="26">
        <v>400</v>
      </c>
      <c r="B402" s="27">
        <v>39</v>
      </c>
      <c r="C402" s="27">
        <v>0</v>
      </c>
      <c r="D402" s="27">
        <v>2</v>
      </c>
      <c r="E402" s="27">
        <v>1218</v>
      </c>
      <c r="F402" s="27">
        <v>2</v>
      </c>
      <c r="G402" s="27">
        <v>1</v>
      </c>
      <c r="H402" s="27">
        <v>1</v>
      </c>
      <c r="I402" s="27">
        <v>1</v>
      </c>
      <c r="J402" s="27">
        <v>1</v>
      </c>
      <c r="K402" s="27">
        <v>531</v>
      </c>
      <c r="L402" s="27">
        <v>2</v>
      </c>
      <c r="M402" s="27">
        <v>1</v>
      </c>
      <c r="N402" s="27">
        <v>52</v>
      </c>
      <c r="O402" s="27">
        <v>3</v>
      </c>
      <c r="P402" s="27">
        <v>5</v>
      </c>
      <c r="Q402" s="27">
        <v>6</v>
      </c>
      <c r="R402" s="27">
        <v>3</v>
      </c>
      <c r="S402" s="27">
        <v>3</v>
      </c>
      <c r="T402" s="27">
        <v>19197</v>
      </c>
      <c r="U402" s="27">
        <v>8213</v>
      </c>
      <c r="V402" s="27">
        <v>1</v>
      </c>
      <c r="W402" s="27">
        <v>1</v>
      </c>
      <c r="X402" s="27">
        <v>14</v>
      </c>
      <c r="Y402" s="27">
        <v>3</v>
      </c>
      <c r="Z402" s="27">
        <v>3</v>
      </c>
      <c r="AA402" s="27">
        <v>80</v>
      </c>
      <c r="AB402" s="27">
        <v>1</v>
      </c>
      <c r="AC402" s="27">
        <v>21</v>
      </c>
      <c r="AD402" s="27">
        <v>3</v>
      </c>
      <c r="AE402" s="27">
        <v>3</v>
      </c>
      <c r="AF402" s="27">
        <v>21</v>
      </c>
      <c r="AG402" s="27">
        <v>8</v>
      </c>
      <c r="AH402" s="27">
        <v>1</v>
      </c>
      <c r="AI402" s="28">
        <v>6</v>
      </c>
      <c r="AK402" s="36">
        <v>369</v>
      </c>
      <c r="AL402" s="33">
        <v>22</v>
      </c>
      <c r="AM402" s="33">
        <v>2</v>
      </c>
      <c r="AN402" s="33">
        <v>3</v>
      </c>
      <c r="AO402" s="33">
        <v>2</v>
      </c>
      <c r="AP402" s="33">
        <v>1</v>
      </c>
      <c r="AQ402" s="33">
        <v>2</v>
      </c>
      <c r="AR402" s="33">
        <v>3</v>
      </c>
      <c r="AS402" s="33">
        <v>6</v>
      </c>
      <c r="AT402" s="33">
        <v>1</v>
      </c>
      <c r="AU402" s="43">
        <v>0.18167626637297146</v>
      </c>
      <c r="AV402" s="33">
        <v>0</v>
      </c>
      <c r="AW402" s="33">
        <v>1</v>
      </c>
      <c r="AY402" s="36">
        <v>374</v>
      </c>
      <c r="AZ402" s="33">
        <v>1</v>
      </c>
      <c r="BA402" s="33">
        <v>2</v>
      </c>
      <c r="BB402" s="33">
        <v>0</v>
      </c>
      <c r="BC402" s="33">
        <v>1</v>
      </c>
      <c r="BD402" s="43">
        <v>0.15461023487664</v>
      </c>
      <c r="BE402" s="33">
        <v>0</v>
      </c>
      <c r="BF402" s="33">
        <v>0</v>
      </c>
      <c r="CE402" s="36">
        <v>368</v>
      </c>
      <c r="CF402" s="33">
        <v>10</v>
      </c>
      <c r="CG402" s="33">
        <v>3</v>
      </c>
      <c r="CH402" s="33">
        <v>4</v>
      </c>
      <c r="CI402" s="33">
        <v>1</v>
      </c>
      <c r="CJ402" s="33">
        <v>6</v>
      </c>
      <c r="CK402" s="33">
        <v>0</v>
      </c>
      <c r="CL402" s="33">
        <v>0</v>
      </c>
      <c r="CM402" s="33">
        <v>3</v>
      </c>
      <c r="CN402" s="33">
        <v>4</v>
      </c>
      <c r="CO402" s="33">
        <v>1</v>
      </c>
      <c r="CP402" s="43">
        <v>8.010683946438267E-2</v>
      </c>
      <c r="CQ402" s="33">
        <v>0</v>
      </c>
      <c r="CR402" s="33">
        <v>0</v>
      </c>
    </row>
    <row r="403" spans="1:96" ht="15" customHeight="1" x14ac:dyDescent="0.25">
      <c r="A403" s="26">
        <v>401</v>
      </c>
      <c r="B403" s="27">
        <v>56</v>
      </c>
      <c r="C403" s="27">
        <v>0</v>
      </c>
      <c r="D403" s="27">
        <v>2</v>
      </c>
      <c r="E403" s="27">
        <v>906</v>
      </c>
      <c r="F403" s="27">
        <v>1</v>
      </c>
      <c r="G403" s="27">
        <v>6</v>
      </c>
      <c r="H403" s="27">
        <v>3</v>
      </c>
      <c r="I403" s="27">
        <v>1</v>
      </c>
      <c r="J403" s="27">
        <v>1</v>
      </c>
      <c r="K403" s="27">
        <v>532</v>
      </c>
      <c r="L403" s="27">
        <v>3</v>
      </c>
      <c r="M403" s="27">
        <v>0</v>
      </c>
      <c r="N403" s="27">
        <v>86</v>
      </c>
      <c r="O403" s="27">
        <v>4</v>
      </c>
      <c r="P403" s="27">
        <v>4</v>
      </c>
      <c r="Q403" s="27">
        <v>1</v>
      </c>
      <c r="R403" s="27">
        <v>1</v>
      </c>
      <c r="S403" s="27">
        <v>2</v>
      </c>
      <c r="T403" s="27">
        <v>13212</v>
      </c>
      <c r="U403" s="27">
        <v>18256</v>
      </c>
      <c r="V403" s="27">
        <v>9</v>
      </c>
      <c r="W403" s="27">
        <v>0</v>
      </c>
      <c r="X403" s="27">
        <v>11</v>
      </c>
      <c r="Y403" s="27">
        <v>3</v>
      </c>
      <c r="Z403" s="27">
        <v>4</v>
      </c>
      <c r="AA403" s="27">
        <v>80</v>
      </c>
      <c r="AB403" s="27">
        <v>3</v>
      </c>
      <c r="AC403" s="27">
        <v>36</v>
      </c>
      <c r="AD403" s="27">
        <v>0</v>
      </c>
      <c r="AE403" s="27">
        <v>2</v>
      </c>
      <c r="AF403" s="27">
        <v>7</v>
      </c>
      <c r="AG403" s="27">
        <v>7</v>
      </c>
      <c r="AH403" s="27">
        <v>7</v>
      </c>
      <c r="AI403" s="28">
        <v>7</v>
      </c>
      <c r="AK403" s="36">
        <v>370</v>
      </c>
      <c r="AL403" s="33">
        <v>9</v>
      </c>
      <c r="AM403" s="33">
        <v>1</v>
      </c>
      <c r="AN403" s="33">
        <v>2</v>
      </c>
      <c r="AO403" s="33">
        <v>0</v>
      </c>
      <c r="AP403" s="33">
        <v>1</v>
      </c>
      <c r="AQ403" s="33">
        <v>0</v>
      </c>
      <c r="AR403" s="33">
        <v>3</v>
      </c>
      <c r="AS403" s="33">
        <v>2</v>
      </c>
      <c r="AT403" s="33">
        <v>2</v>
      </c>
      <c r="AU403" s="43">
        <v>0.56693313060679917</v>
      </c>
      <c r="AV403" s="33">
        <v>1</v>
      </c>
      <c r="AW403" s="33">
        <v>0</v>
      </c>
      <c r="AY403" s="36">
        <v>375</v>
      </c>
      <c r="AZ403" s="33">
        <v>2</v>
      </c>
      <c r="BA403" s="33">
        <v>4</v>
      </c>
      <c r="BB403" s="33">
        <v>0</v>
      </c>
      <c r="BC403" s="33">
        <v>0</v>
      </c>
      <c r="BD403" s="43">
        <v>8.9935487507215722E-2</v>
      </c>
      <c r="BE403" s="33">
        <v>0</v>
      </c>
      <c r="BF403" s="33">
        <v>0</v>
      </c>
      <c r="CE403" s="36">
        <v>369</v>
      </c>
      <c r="CF403" s="33">
        <v>22</v>
      </c>
      <c r="CG403" s="33">
        <v>2</v>
      </c>
      <c r="CH403" s="33">
        <v>3</v>
      </c>
      <c r="CI403" s="33">
        <v>2</v>
      </c>
      <c r="CJ403" s="33">
        <v>2</v>
      </c>
      <c r="CK403" s="33">
        <v>1</v>
      </c>
      <c r="CL403" s="33">
        <v>2</v>
      </c>
      <c r="CM403" s="33">
        <v>3</v>
      </c>
      <c r="CN403" s="33">
        <v>6</v>
      </c>
      <c r="CO403" s="33">
        <v>1</v>
      </c>
      <c r="CP403" s="43">
        <v>0.23817758099661196</v>
      </c>
      <c r="CQ403" s="33">
        <v>0</v>
      </c>
      <c r="CR403" s="33">
        <v>1</v>
      </c>
    </row>
    <row r="404" spans="1:96" ht="15" customHeight="1" x14ac:dyDescent="0.25">
      <c r="A404" s="26">
        <v>402</v>
      </c>
      <c r="B404" s="27">
        <v>30</v>
      </c>
      <c r="C404" s="27">
        <v>0</v>
      </c>
      <c r="D404" s="27">
        <v>1</v>
      </c>
      <c r="E404" s="27">
        <v>1082</v>
      </c>
      <c r="F404" s="27">
        <v>1</v>
      </c>
      <c r="G404" s="27">
        <v>12</v>
      </c>
      <c r="H404" s="27">
        <v>3</v>
      </c>
      <c r="I404" s="27">
        <v>5</v>
      </c>
      <c r="J404" s="27">
        <v>1</v>
      </c>
      <c r="K404" s="27">
        <v>533</v>
      </c>
      <c r="L404" s="27">
        <v>2</v>
      </c>
      <c r="M404" s="27">
        <v>0</v>
      </c>
      <c r="N404" s="27">
        <v>83</v>
      </c>
      <c r="O404" s="27">
        <v>3</v>
      </c>
      <c r="P404" s="27">
        <v>2</v>
      </c>
      <c r="Q404" s="27">
        <v>1</v>
      </c>
      <c r="R404" s="27">
        <v>3</v>
      </c>
      <c r="S404" s="27">
        <v>1</v>
      </c>
      <c r="T404" s="27">
        <v>6577</v>
      </c>
      <c r="U404" s="27">
        <v>19558</v>
      </c>
      <c r="V404" s="27">
        <v>0</v>
      </c>
      <c r="W404" s="27">
        <v>0</v>
      </c>
      <c r="X404" s="27">
        <v>11</v>
      </c>
      <c r="Y404" s="27">
        <v>3</v>
      </c>
      <c r="Z404" s="27">
        <v>2</v>
      </c>
      <c r="AA404" s="27">
        <v>80</v>
      </c>
      <c r="AB404" s="27">
        <v>0</v>
      </c>
      <c r="AC404" s="27">
        <v>6</v>
      </c>
      <c r="AD404" s="27">
        <v>6</v>
      </c>
      <c r="AE404" s="27">
        <v>3</v>
      </c>
      <c r="AF404" s="27">
        <v>5</v>
      </c>
      <c r="AG404" s="27">
        <v>4</v>
      </c>
      <c r="AH404" s="27">
        <v>4</v>
      </c>
      <c r="AI404" s="28">
        <v>4</v>
      </c>
      <c r="AK404" s="36">
        <v>371</v>
      </c>
      <c r="AL404" s="33">
        <v>12</v>
      </c>
      <c r="AM404" s="33">
        <v>1</v>
      </c>
      <c r="AN404" s="33">
        <v>2</v>
      </c>
      <c r="AO404" s="33">
        <v>1</v>
      </c>
      <c r="AP404" s="33">
        <v>0</v>
      </c>
      <c r="AQ404" s="33">
        <v>0</v>
      </c>
      <c r="AR404" s="33">
        <v>3</v>
      </c>
      <c r="AS404" s="33">
        <v>1</v>
      </c>
      <c r="AT404" s="33">
        <v>0</v>
      </c>
      <c r="AU404" s="43">
        <v>0.23583817519198103</v>
      </c>
      <c r="AV404" s="33">
        <v>0</v>
      </c>
      <c r="AW404" s="33">
        <v>1</v>
      </c>
      <c r="AY404" s="36">
        <v>376</v>
      </c>
      <c r="AZ404" s="33">
        <v>3</v>
      </c>
      <c r="BA404" s="33">
        <v>3</v>
      </c>
      <c r="BB404" s="33">
        <v>0</v>
      </c>
      <c r="BC404" s="33">
        <v>0</v>
      </c>
      <c r="BD404" s="43">
        <v>7.0406776741937793E-2</v>
      </c>
      <c r="BE404" s="33">
        <v>0</v>
      </c>
      <c r="BF404" s="33">
        <v>0</v>
      </c>
      <c r="CE404" s="36">
        <v>370</v>
      </c>
      <c r="CF404" s="33">
        <v>9</v>
      </c>
      <c r="CG404" s="33">
        <v>1</v>
      </c>
      <c r="CH404" s="33">
        <v>2</v>
      </c>
      <c r="CI404" s="33">
        <v>1</v>
      </c>
      <c r="CJ404" s="33">
        <v>0</v>
      </c>
      <c r="CK404" s="33">
        <v>1</v>
      </c>
      <c r="CL404" s="33">
        <v>0</v>
      </c>
      <c r="CM404" s="33">
        <v>3</v>
      </c>
      <c r="CN404" s="33">
        <v>2</v>
      </c>
      <c r="CO404" s="33">
        <v>2</v>
      </c>
      <c r="CP404" s="43">
        <v>0.62035687134588602</v>
      </c>
      <c r="CQ404" s="33">
        <v>1</v>
      </c>
      <c r="CR404" s="33">
        <v>0</v>
      </c>
    </row>
    <row r="405" spans="1:96" ht="15" customHeight="1" x14ac:dyDescent="0.25">
      <c r="A405" s="26">
        <v>403</v>
      </c>
      <c r="B405" s="27">
        <v>41</v>
      </c>
      <c r="C405" s="27">
        <v>0</v>
      </c>
      <c r="D405" s="27">
        <v>1</v>
      </c>
      <c r="E405" s="27">
        <v>645</v>
      </c>
      <c r="F405" s="27">
        <v>1</v>
      </c>
      <c r="G405" s="27">
        <v>1</v>
      </c>
      <c r="H405" s="27">
        <v>3</v>
      </c>
      <c r="I405" s="27">
        <v>4</v>
      </c>
      <c r="J405" s="27">
        <v>1</v>
      </c>
      <c r="K405" s="27">
        <v>534</v>
      </c>
      <c r="L405" s="27">
        <v>2</v>
      </c>
      <c r="M405" s="27">
        <v>1</v>
      </c>
      <c r="N405" s="27">
        <v>49</v>
      </c>
      <c r="O405" s="27">
        <v>4</v>
      </c>
      <c r="P405" s="27">
        <v>3</v>
      </c>
      <c r="Q405" s="27">
        <v>1</v>
      </c>
      <c r="R405" s="27">
        <v>1</v>
      </c>
      <c r="S405" s="27">
        <v>2</v>
      </c>
      <c r="T405" s="27">
        <v>8392</v>
      </c>
      <c r="U405" s="27">
        <v>19566</v>
      </c>
      <c r="V405" s="27">
        <v>1</v>
      </c>
      <c r="W405" s="27">
        <v>0</v>
      </c>
      <c r="X405" s="27">
        <v>16</v>
      </c>
      <c r="Y405" s="27">
        <v>3</v>
      </c>
      <c r="Z405" s="27">
        <v>3</v>
      </c>
      <c r="AA405" s="27">
        <v>80</v>
      </c>
      <c r="AB405" s="27">
        <v>1</v>
      </c>
      <c r="AC405" s="27">
        <v>10</v>
      </c>
      <c r="AD405" s="27">
        <v>2</v>
      </c>
      <c r="AE405" s="27">
        <v>3</v>
      </c>
      <c r="AF405" s="27">
        <v>10</v>
      </c>
      <c r="AG405" s="27">
        <v>7</v>
      </c>
      <c r="AH405" s="27">
        <v>0</v>
      </c>
      <c r="AI405" s="28">
        <v>7</v>
      </c>
      <c r="AK405" s="36">
        <v>372</v>
      </c>
      <c r="AL405" s="33">
        <v>23</v>
      </c>
      <c r="AM405" s="33">
        <v>1</v>
      </c>
      <c r="AN405" s="33">
        <v>4</v>
      </c>
      <c r="AO405" s="33">
        <v>9</v>
      </c>
      <c r="AP405" s="33">
        <v>0</v>
      </c>
      <c r="AQ405" s="33">
        <v>0</v>
      </c>
      <c r="AR405" s="33">
        <v>3</v>
      </c>
      <c r="AS405" s="33">
        <v>3</v>
      </c>
      <c r="AT405" s="33">
        <v>1</v>
      </c>
      <c r="AU405" s="43">
        <v>0.32111445974694275</v>
      </c>
      <c r="AV405" s="33">
        <v>0</v>
      </c>
      <c r="AW405" s="33">
        <v>0</v>
      </c>
      <c r="AY405" s="36">
        <v>377</v>
      </c>
      <c r="AZ405" s="33">
        <v>2</v>
      </c>
      <c r="BA405" s="33">
        <v>4</v>
      </c>
      <c r="BB405" s="33">
        <v>0</v>
      </c>
      <c r="BC405" s="33">
        <v>1</v>
      </c>
      <c r="BD405" s="43">
        <v>5.5093218126976727E-2</v>
      </c>
      <c r="BE405" s="33">
        <v>0</v>
      </c>
      <c r="BF405" s="33">
        <v>0</v>
      </c>
      <c r="CE405" s="36">
        <v>371</v>
      </c>
      <c r="CF405" s="33">
        <v>12</v>
      </c>
      <c r="CG405" s="33">
        <v>1</v>
      </c>
      <c r="CH405" s="33">
        <v>2</v>
      </c>
      <c r="CI405" s="33">
        <v>1</v>
      </c>
      <c r="CJ405" s="33">
        <v>1</v>
      </c>
      <c r="CK405" s="33">
        <v>0</v>
      </c>
      <c r="CL405" s="33">
        <v>0</v>
      </c>
      <c r="CM405" s="33">
        <v>3</v>
      </c>
      <c r="CN405" s="33">
        <v>1</v>
      </c>
      <c r="CO405" s="33">
        <v>0</v>
      </c>
      <c r="CP405" s="43">
        <v>0.26911099930467758</v>
      </c>
      <c r="CQ405" s="33">
        <v>0</v>
      </c>
      <c r="CR405" s="33">
        <v>1</v>
      </c>
    </row>
    <row r="406" spans="1:96" ht="15" customHeight="1" x14ac:dyDescent="0.25">
      <c r="A406" s="26">
        <v>404</v>
      </c>
      <c r="B406" s="27">
        <v>28</v>
      </c>
      <c r="C406" s="27">
        <v>0</v>
      </c>
      <c r="D406" s="27">
        <v>1</v>
      </c>
      <c r="E406" s="27">
        <v>1300</v>
      </c>
      <c r="F406" s="27">
        <v>2</v>
      </c>
      <c r="G406" s="27">
        <v>17</v>
      </c>
      <c r="H406" s="27">
        <v>2</v>
      </c>
      <c r="I406" s="27">
        <v>3</v>
      </c>
      <c r="J406" s="27">
        <v>1</v>
      </c>
      <c r="K406" s="27">
        <v>536</v>
      </c>
      <c r="L406" s="27">
        <v>3</v>
      </c>
      <c r="M406" s="27">
        <v>1</v>
      </c>
      <c r="N406" s="27">
        <v>79</v>
      </c>
      <c r="O406" s="27">
        <v>3</v>
      </c>
      <c r="P406" s="27">
        <v>2</v>
      </c>
      <c r="Q406" s="27">
        <v>3</v>
      </c>
      <c r="R406" s="27">
        <v>1</v>
      </c>
      <c r="S406" s="27">
        <v>3</v>
      </c>
      <c r="T406" s="27">
        <v>4558</v>
      </c>
      <c r="U406" s="27">
        <v>13535</v>
      </c>
      <c r="V406" s="27">
        <v>1</v>
      </c>
      <c r="W406" s="27">
        <v>0</v>
      </c>
      <c r="X406" s="27">
        <v>12</v>
      </c>
      <c r="Y406" s="27">
        <v>3</v>
      </c>
      <c r="Z406" s="27">
        <v>4</v>
      </c>
      <c r="AA406" s="27">
        <v>80</v>
      </c>
      <c r="AB406" s="27">
        <v>1</v>
      </c>
      <c r="AC406" s="27">
        <v>10</v>
      </c>
      <c r="AD406" s="27">
        <v>2</v>
      </c>
      <c r="AE406" s="27">
        <v>3</v>
      </c>
      <c r="AF406" s="27">
        <v>10</v>
      </c>
      <c r="AG406" s="27">
        <v>0</v>
      </c>
      <c r="AH406" s="27">
        <v>1</v>
      </c>
      <c r="AI406" s="28">
        <v>8</v>
      </c>
      <c r="AK406" s="36">
        <v>373</v>
      </c>
      <c r="AL406" s="33">
        <v>9</v>
      </c>
      <c r="AM406" s="33">
        <v>2</v>
      </c>
      <c r="AN406" s="33">
        <v>2</v>
      </c>
      <c r="AO406" s="33">
        <v>9</v>
      </c>
      <c r="AP406" s="33">
        <v>0</v>
      </c>
      <c r="AQ406" s="33">
        <v>0</v>
      </c>
      <c r="AR406" s="33">
        <v>3</v>
      </c>
      <c r="AS406" s="33">
        <v>1</v>
      </c>
      <c r="AT406" s="33">
        <v>0</v>
      </c>
      <c r="AU406" s="43">
        <v>0.23935301189208177</v>
      </c>
      <c r="AV406" s="33">
        <v>0</v>
      </c>
      <c r="AW406" s="33">
        <v>0</v>
      </c>
      <c r="AY406" s="36">
        <v>378</v>
      </c>
      <c r="AZ406" s="33">
        <v>1</v>
      </c>
      <c r="BA406" s="33">
        <v>3</v>
      </c>
      <c r="BB406" s="33">
        <v>0</v>
      </c>
      <c r="BC406" s="33">
        <v>1</v>
      </c>
      <c r="BD406" s="43">
        <v>0.12012271365792118</v>
      </c>
      <c r="BE406" s="33">
        <v>0</v>
      </c>
      <c r="BF406" s="33">
        <v>0</v>
      </c>
      <c r="CE406" s="36">
        <v>372</v>
      </c>
      <c r="CF406" s="33">
        <v>23</v>
      </c>
      <c r="CG406" s="33">
        <v>1</v>
      </c>
      <c r="CH406" s="33">
        <v>4</v>
      </c>
      <c r="CI406" s="33">
        <v>1</v>
      </c>
      <c r="CJ406" s="33">
        <v>9</v>
      </c>
      <c r="CK406" s="33">
        <v>0</v>
      </c>
      <c r="CL406" s="33">
        <v>0</v>
      </c>
      <c r="CM406" s="33">
        <v>3</v>
      </c>
      <c r="CN406" s="33">
        <v>3</v>
      </c>
      <c r="CO406" s="33">
        <v>1</v>
      </c>
      <c r="CP406" s="43">
        <v>0.35477337153964322</v>
      </c>
      <c r="CQ406" s="33">
        <v>0</v>
      </c>
      <c r="CR406" s="33">
        <v>0</v>
      </c>
    </row>
    <row r="407" spans="1:96" ht="15" customHeight="1" x14ac:dyDescent="0.25">
      <c r="A407" s="26">
        <v>405</v>
      </c>
      <c r="B407" s="27">
        <v>25</v>
      </c>
      <c r="C407" s="27">
        <v>1</v>
      </c>
      <c r="D407" s="27">
        <v>1</v>
      </c>
      <c r="E407" s="27">
        <v>688</v>
      </c>
      <c r="F407" s="27">
        <v>2</v>
      </c>
      <c r="G407" s="27">
        <v>3</v>
      </c>
      <c r="H407" s="27">
        <v>3</v>
      </c>
      <c r="I407" s="27">
        <v>3</v>
      </c>
      <c r="J407" s="27">
        <v>1</v>
      </c>
      <c r="K407" s="27">
        <v>538</v>
      </c>
      <c r="L407" s="27">
        <v>1</v>
      </c>
      <c r="M407" s="27">
        <v>1</v>
      </c>
      <c r="N407" s="27">
        <v>91</v>
      </c>
      <c r="O407" s="27">
        <v>3</v>
      </c>
      <c r="P407" s="27">
        <v>1</v>
      </c>
      <c r="Q407" s="27">
        <v>3</v>
      </c>
      <c r="R407" s="27">
        <v>1</v>
      </c>
      <c r="S407" s="27">
        <v>2</v>
      </c>
      <c r="T407" s="27">
        <v>4031</v>
      </c>
      <c r="U407" s="27">
        <v>9396</v>
      </c>
      <c r="V407" s="27">
        <v>5</v>
      </c>
      <c r="W407" s="27">
        <v>0</v>
      </c>
      <c r="X407" s="27">
        <v>13</v>
      </c>
      <c r="Y407" s="27">
        <v>3</v>
      </c>
      <c r="Z407" s="27">
        <v>3</v>
      </c>
      <c r="AA407" s="27">
        <v>80</v>
      </c>
      <c r="AB407" s="27">
        <v>1</v>
      </c>
      <c r="AC407" s="27">
        <v>6</v>
      </c>
      <c r="AD407" s="27">
        <v>5</v>
      </c>
      <c r="AE407" s="27">
        <v>3</v>
      </c>
      <c r="AF407" s="27">
        <v>2</v>
      </c>
      <c r="AG407" s="27">
        <v>2</v>
      </c>
      <c r="AH407" s="27">
        <v>0</v>
      </c>
      <c r="AI407" s="28">
        <v>2</v>
      </c>
      <c r="AK407" s="36">
        <v>374</v>
      </c>
      <c r="AL407" s="33">
        <v>1</v>
      </c>
      <c r="AM407" s="33">
        <v>1</v>
      </c>
      <c r="AN407" s="33">
        <v>2</v>
      </c>
      <c r="AO407" s="33">
        <v>1</v>
      </c>
      <c r="AP407" s="33">
        <v>0</v>
      </c>
      <c r="AQ407" s="33">
        <v>1</v>
      </c>
      <c r="AR407" s="33">
        <v>3</v>
      </c>
      <c r="AS407" s="33">
        <v>5</v>
      </c>
      <c r="AT407" s="33">
        <v>0</v>
      </c>
      <c r="AU407" s="43">
        <v>8.3083002697388816E-2</v>
      </c>
      <c r="AV407" s="33">
        <v>0</v>
      </c>
      <c r="AW407" s="33">
        <v>0</v>
      </c>
      <c r="AY407" s="36">
        <v>379</v>
      </c>
      <c r="AZ407" s="33">
        <v>2</v>
      </c>
      <c r="BA407" s="33">
        <v>4</v>
      </c>
      <c r="BB407" s="33">
        <v>1</v>
      </c>
      <c r="BC407" s="33">
        <v>0</v>
      </c>
      <c r="BD407" s="43">
        <v>0.29698480921718856</v>
      </c>
      <c r="BE407" s="33">
        <v>0</v>
      </c>
      <c r="BF407" s="33">
        <v>1</v>
      </c>
      <c r="CE407" s="36">
        <v>373</v>
      </c>
      <c r="CF407" s="33">
        <v>9</v>
      </c>
      <c r="CG407" s="33">
        <v>2</v>
      </c>
      <c r="CH407" s="33">
        <v>2</v>
      </c>
      <c r="CI407" s="33">
        <v>1</v>
      </c>
      <c r="CJ407" s="33">
        <v>9</v>
      </c>
      <c r="CK407" s="33">
        <v>0</v>
      </c>
      <c r="CL407" s="33">
        <v>0</v>
      </c>
      <c r="CM407" s="33">
        <v>3</v>
      </c>
      <c r="CN407" s="33">
        <v>1</v>
      </c>
      <c r="CO407" s="33">
        <v>0</v>
      </c>
      <c r="CP407" s="43">
        <v>0.2778276974900708</v>
      </c>
      <c r="CQ407" s="33">
        <v>0</v>
      </c>
      <c r="CR407" s="33">
        <v>0</v>
      </c>
    </row>
    <row r="408" spans="1:96" ht="15" customHeight="1" x14ac:dyDescent="0.25">
      <c r="A408" s="26">
        <v>406</v>
      </c>
      <c r="B408" s="27">
        <v>52</v>
      </c>
      <c r="C408" s="27">
        <v>0</v>
      </c>
      <c r="D408" s="27">
        <v>1</v>
      </c>
      <c r="E408" s="27">
        <v>319</v>
      </c>
      <c r="F408" s="27">
        <v>2</v>
      </c>
      <c r="G408" s="27">
        <v>3</v>
      </c>
      <c r="H408" s="27">
        <v>3</v>
      </c>
      <c r="I408" s="27">
        <v>3</v>
      </c>
      <c r="J408" s="27">
        <v>1</v>
      </c>
      <c r="K408" s="27">
        <v>543</v>
      </c>
      <c r="L408" s="27">
        <v>4</v>
      </c>
      <c r="M408" s="27">
        <v>1</v>
      </c>
      <c r="N408" s="27">
        <v>39</v>
      </c>
      <c r="O408" s="27">
        <v>2</v>
      </c>
      <c r="P408" s="27">
        <v>3</v>
      </c>
      <c r="Q408" s="27">
        <v>4</v>
      </c>
      <c r="R408" s="27">
        <v>3</v>
      </c>
      <c r="S408" s="27">
        <v>2</v>
      </c>
      <c r="T408" s="27">
        <v>7969</v>
      </c>
      <c r="U408" s="27">
        <v>19609</v>
      </c>
      <c r="V408" s="27">
        <v>2</v>
      </c>
      <c r="W408" s="27">
        <v>1</v>
      </c>
      <c r="X408" s="27">
        <v>14</v>
      </c>
      <c r="Y408" s="27">
        <v>3</v>
      </c>
      <c r="Z408" s="27">
        <v>3</v>
      </c>
      <c r="AA408" s="27">
        <v>80</v>
      </c>
      <c r="AB408" s="27">
        <v>0</v>
      </c>
      <c r="AC408" s="27">
        <v>28</v>
      </c>
      <c r="AD408" s="27">
        <v>4</v>
      </c>
      <c r="AE408" s="27">
        <v>3</v>
      </c>
      <c r="AF408" s="27">
        <v>5</v>
      </c>
      <c r="AG408" s="27">
        <v>4</v>
      </c>
      <c r="AH408" s="27">
        <v>0</v>
      </c>
      <c r="AI408" s="28">
        <v>4</v>
      </c>
      <c r="AK408" s="36">
        <v>375</v>
      </c>
      <c r="AL408" s="33">
        <v>9</v>
      </c>
      <c r="AM408" s="33">
        <v>2</v>
      </c>
      <c r="AN408" s="33">
        <v>4</v>
      </c>
      <c r="AO408" s="33">
        <v>1</v>
      </c>
      <c r="AP408" s="33">
        <v>0</v>
      </c>
      <c r="AQ408" s="33">
        <v>0</v>
      </c>
      <c r="AR408" s="33">
        <v>3</v>
      </c>
      <c r="AS408" s="33">
        <v>7</v>
      </c>
      <c r="AT408" s="33">
        <v>0</v>
      </c>
      <c r="AU408" s="43">
        <v>5.4950263953761021E-2</v>
      </c>
      <c r="AV408" s="33">
        <v>0</v>
      </c>
      <c r="AW408" s="33">
        <v>0</v>
      </c>
      <c r="AY408" s="36">
        <v>380</v>
      </c>
      <c r="AZ408" s="33">
        <v>4</v>
      </c>
      <c r="BA408" s="33">
        <v>4</v>
      </c>
      <c r="BB408" s="33">
        <v>1</v>
      </c>
      <c r="BC408" s="33">
        <v>0</v>
      </c>
      <c r="BD408" s="43">
        <v>0.12147634917774761</v>
      </c>
      <c r="BE408" s="33">
        <v>0</v>
      </c>
      <c r="BF408" s="33">
        <v>0</v>
      </c>
      <c r="CE408" s="36">
        <v>374</v>
      </c>
      <c r="CF408" s="33">
        <v>1</v>
      </c>
      <c r="CG408" s="33">
        <v>1</v>
      </c>
      <c r="CH408" s="33">
        <v>2</v>
      </c>
      <c r="CI408" s="33">
        <v>3</v>
      </c>
      <c r="CJ408" s="33">
        <v>1</v>
      </c>
      <c r="CK408" s="33">
        <v>0</v>
      </c>
      <c r="CL408" s="33">
        <v>1</v>
      </c>
      <c r="CM408" s="33">
        <v>3</v>
      </c>
      <c r="CN408" s="33">
        <v>5</v>
      </c>
      <c r="CO408" s="33">
        <v>0</v>
      </c>
      <c r="CP408" s="43">
        <v>4.7983640814753835E-2</v>
      </c>
      <c r="CQ408" s="33">
        <v>0</v>
      </c>
      <c r="CR408" s="33">
        <v>0</v>
      </c>
    </row>
    <row r="409" spans="1:96" ht="15" customHeight="1" x14ac:dyDescent="0.25">
      <c r="A409" s="26">
        <v>407</v>
      </c>
      <c r="B409" s="27">
        <v>45</v>
      </c>
      <c r="C409" s="27">
        <v>0</v>
      </c>
      <c r="D409" s="27">
        <v>1</v>
      </c>
      <c r="E409" s="27">
        <v>192</v>
      </c>
      <c r="F409" s="27">
        <v>2</v>
      </c>
      <c r="G409" s="27">
        <v>10</v>
      </c>
      <c r="H409" s="27">
        <v>2</v>
      </c>
      <c r="I409" s="27">
        <v>1</v>
      </c>
      <c r="J409" s="27">
        <v>1</v>
      </c>
      <c r="K409" s="27">
        <v>544</v>
      </c>
      <c r="L409" s="27">
        <v>1</v>
      </c>
      <c r="M409" s="27">
        <v>1</v>
      </c>
      <c r="N409" s="27">
        <v>69</v>
      </c>
      <c r="O409" s="27">
        <v>3</v>
      </c>
      <c r="P409" s="27">
        <v>1</v>
      </c>
      <c r="Q409" s="27">
        <v>2</v>
      </c>
      <c r="R409" s="27">
        <v>4</v>
      </c>
      <c r="S409" s="27">
        <v>2</v>
      </c>
      <c r="T409" s="27">
        <v>2654</v>
      </c>
      <c r="U409" s="27">
        <v>9655</v>
      </c>
      <c r="V409" s="27">
        <v>3</v>
      </c>
      <c r="W409" s="27">
        <v>0</v>
      </c>
      <c r="X409" s="27">
        <v>21</v>
      </c>
      <c r="Y409" s="27">
        <v>4</v>
      </c>
      <c r="Z409" s="27">
        <v>4</v>
      </c>
      <c r="AA409" s="27">
        <v>80</v>
      </c>
      <c r="AB409" s="27">
        <v>2</v>
      </c>
      <c r="AC409" s="27">
        <v>8</v>
      </c>
      <c r="AD409" s="27">
        <v>3</v>
      </c>
      <c r="AE409" s="27">
        <v>2</v>
      </c>
      <c r="AF409" s="27">
        <v>2</v>
      </c>
      <c r="AG409" s="27">
        <v>2</v>
      </c>
      <c r="AH409" s="27">
        <v>0</v>
      </c>
      <c r="AI409" s="28">
        <v>2</v>
      </c>
      <c r="AK409" s="36">
        <v>376</v>
      </c>
      <c r="AL409" s="33">
        <v>7</v>
      </c>
      <c r="AM409" s="33">
        <v>3</v>
      </c>
      <c r="AN409" s="33">
        <v>3</v>
      </c>
      <c r="AO409" s="33">
        <v>8</v>
      </c>
      <c r="AP409" s="33">
        <v>0</v>
      </c>
      <c r="AQ409" s="33">
        <v>0</v>
      </c>
      <c r="AR409" s="33">
        <v>3</v>
      </c>
      <c r="AS409" s="33">
        <v>5</v>
      </c>
      <c r="AT409" s="33">
        <v>0</v>
      </c>
      <c r="AU409" s="43">
        <v>8.0208412028069248E-2</v>
      </c>
      <c r="AV409" s="33">
        <v>0</v>
      </c>
      <c r="AW409" s="33">
        <v>0</v>
      </c>
      <c r="AY409" s="36">
        <v>381</v>
      </c>
      <c r="AZ409" s="33">
        <v>2</v>
      </c>
      <c r="BA409" s="33">
        <v>3</v>
      </c>
      <c r="BB409" s="33">
        <v>1</v>
      </c>
      <c r="BC409" s="33">
        <v>1</v>
      </c>
      <c r="BD409" s="43">
        <v>0.25031066197755131</v>
      </c>
      <c r="BE409" s="33">
        <v>0</v>
      </c>
      <c r="BF409" s="33">
        <v>0</v>
      </c>
      <c r="CE409" s="36">
        <v>375</v>
      </c>
      <c r="CF409" s="33">
        <v>9</v>
      </c>
      <c r="CG409" s="33">
        <v>2</v>
      </c>
      <c r="CH409" s="33">
        <v>4</v>
      </c>
      <c r="CI409" s="33">
        <v>1</v>
      </c>
      <c r="CJ409" s="33">
        <v>1</v>
      </c>
      <c r="CK409" s="33">
        <v>0</v>
      </c>
      <c r="CL409" s="33">
        <v>0</v>
      </c>
      <c r="CM409" s="33">
        <v>3</v>
      </c>
      <c r="CN409" s="33">
        <v>7</v>
      </c>
      <c r="CO409" s="33">
        <v>0</v>
      </c>
      <c r="CP409" s="43">
        <v>6.3222860624768867E-2</v>
      </c>
      <c r="CQ409" s="33">
        <v>0</v>
      </c>
      <c r="CR409" s="33">
        <v>0</v>
      </c>
    </row>
    <row r="410" spans="1:96" ht="15" customHeight="1" x14ac:dyDescent="0.25">
      <c r="A410" s="26">
        <v>408</v>
      </c>
      <c r="B410" s="27">
        <v>52</v>
      </c>
      <c r="C410" s="27">
        <v>0</v>
      </c>
      <c r="D410" s="27">
        <v>1</v>
      </c>
      <c r="E410" s="27">
        <v>1490</v>
      </c>
      <c r="F410" s="27">
        <v>2</v>
      </c>
      <c r="G410" s="27">
        <v>4</v>
      </c>
      <c r="H410" s="27">
        <v>2</v>
      </c>
      <c r="I410" s="27">
        <v>1</v>
      </c>
      <c r="J410" s="27">
        <v>1</v>
      </c>
      <c r="K410" s="27">
        <v>546</v>
      </c>
      <c r="L410" s="27">
        <v>4</v>
      </c>
      <c r="M410" s="27">
        <v>0</v>
      </c>
      <c r="N410" s="27">
        <v>30</v>
      </c>
      <c r="O410" s="27">
        <v>3</v>
      </c>
      <c r="P410" s="27">
        <v>4</v>
      </c>
      <c r="Q410" s="27">
        <v>6</v>
      </c>
      <c r="R410" s="27">
        <v>4</v>
      </c>
      <c r="S410" s="27">
        <v>2</v>
      </c>
      <c r="T410" s="27">
        <v>16555</v>
      </c>
      <c r="U410" s="27">
        <v>10310</v>
      </c>
      <c r="V410" s="27">
        <v>2</v>
      </c>
      <c r="W410" s="27">
        <v>0</v>
      </c>
      <c r="X410" s="27">
        <v>13</v>
      </c>
      <c r="Y410" s="27">
        <v>3</v>
      </c>
      <c r="Z410" s="27">
        <v>4</v>
      </c>
      <c r="AA410" s="27">
        <v>80</v>
      </c>
      <c r="AB410" s="27">
        <v>0</v>
      </c>
      <c r="AC410" s="27">
        <v>31</v>
      </c>
      <c r="AD410" s="27">
        <v>2</v>
      </c>
      <c r="AE410" s="27">
        <v>1</v>
      </c>
      <c r="AF410" s="27">
        <v>5</v>
      </c>
      <c r="AG410" s="27">
        <v>2</v>
      </c>
      <c r="AH410" s="27">
        <v>1</v>
      </c>
      <c r="AI410" s="28">
        <v>4</v>
      </c>
      <c r="AK410" s="36">
        <v>377</v>
      </c>
      <c r="AL410" s="33">
        <v>14</v>
      </c>
      <c r="AM410" s="33">
        <v>2</v>
      </c>
      <c r="AN410" s="33">
        <v>4</v>
      </c>
      <c r="AO410" s="33">
        <v>4</v>
      </c>
      <c r="AP410" s="33">
        <v>0</v>
      </c>
      <c r="AQ410" s="33">
        <v>1</v>
      </c>
      <c r="AR410" s="33">
        <v>2</v>
      </c>
      <c r="AS410" s="33">
        <v>7</v>
      </c>
      <c r="AT410" s="33">
        <v>0</v>
      </c>
      <c r="AU410" s="43">
        <v>5.956614764731441E-2</v>
      </c>
      <c r="AV410" s="33">
        <v>0</v>
      </c>
      <c r="AW410" s="33">
        <v>0</v>
      </c>
      <c r="AY410" s="36">
        <v>382</v>
      </c>
      <c r="AZ410" s="33">
        <v>1</v>
      </c>
      <c r="BA410" s="33">
        <v>2</v>
      </c>
      <c r="BB410" s="33">
        <v>0</v>
      </c>
      <c r="BC410" s="33">
        <v>1</v>
      </c>
      <c r="BD410" s="43">
        <v>0.15461023487664</v>
      </c>
      <c r="BE410" s="33">
        <v>0</v>
      </c>
      <c r="BF410" s="33">
        <v>0</v>
      </c>
      <c r="CE410" s="36">
        <v>376</v>
      </c>
      <c r="CF410" s="33">
        <v>7</v>
      </c>
      <c r="CG410" s="33">
        <v>3</v>
      </c>
      <c r="CH410" s="33">
        <v>3</v>
      </c>
      <c r="CI410" s="33">
        <v>1</v>
      </c>
      <c r="CJ410" s="33">
        <v>8</v>
      </c>
      <c r="CK410" s="33">
        <v>0</v>
      </c>
      <c r="CL410" s="33">
        <v>0</v>
      </c>
      <c r="CM410" s="33">
        <v>3</v>
      </c>
      <c r="CN410" s="33">
        <v>5</v>
      </c>
      <c r="CO410" s="33">
        <v>0</v>
      </c>
      <c r="CP410" s="43">
        <v>9.5479877789688222E-2</v>
      </c>
      <c r="CQ410" s="33">
        <v>0</v>
      </c>
      <c r="CR410" s="33">
        <v>0</v>
      </c>
    </row>
    <row r="411" spans="1:96" ht="15" customHeight="1" x14ac:dyDescent="0.25">
      <c r="A411" s="26">
        <v>409</v>
      </c>
      <c r="B411" s="27">
        <v>42</v>
      </c>
      <c r="C411" s="27">
        <v>0</v>
      </c>
      <c r="D411" s="27">
        <v>2</v>
      </c>
      <c r="E411" s="27">
        <v>532</v>
      </c>
      <c r="F411" s="27">
        <v>2</v>
      </c>
      <c r="G411" s="27">
        <v>29</v>
      </c>
      <c r="H411" s="27">
        <v>2</v>
      </c>
      <c r="I411" s="27">
        <v>1</v>
      </c>
      <c r="J411" s="27">
        <v>1</v>
      </c>
      <c r="K411" s="27">
        <v>547</v>
      </c>
      <c r="L411" s="27">
        <v>1</v>
      </c>
      <c r="M411" s="27">
        <v>0</v>
      </c>
      <c r="N411" s="27">
        <v>92</v>
      </c>
      <c r="O411" s="27">
        <v>3</v>
      </c>
      <c r="P411" s="27">
        <v>2</v>
      </c>
      <c r="Q411" s="27">
        <v>2</v>
      </c>
      <c r="R411" s="27">
        <v>3</v>
      </c>
      <c r="S411" s="27">
        <v>3</v>
      </c>
      <c r="T411" s="27">
        <v>4556</v>
      </c>
      <c r="U411" s="27">
        <v>12932</v>
      </c>
      <c r="V411" s="27">
        <v>2</v>
      </c>
      <c r="W411" s="27">
        <v>0</v>
      </c>
      <c r="X411" s="27">
        <v>11</v>
      </c>
      <c r="Y411" s="27">
        <v>3</v>
      </c>
      <c r="Z411" s="27">
        <v>2</v>
      </c>
      <c r="AA411" s="27">
        <v>80</v>
      </c>
      <c r="AB411" s="27">
        <v>1</v>
      </c>
      <c r="AC411" s="27">
        <v>19</v>
      </c>
      <c r="AD411" s="27">
        <v>3</v>
      </c>
      <c r="AE411" s="27">
        <v>3</v>
      </c>
      <c r="AF411" s="27">
        <v>5</v>
      </c>
      <c r="AG411" s="27">
        <v>4</v>
      </c>
      <c r="AH411" s="27">
        <v>0</v>
      </c>
      <c r="AI411" s="28">
        <v>2</v>
      </c>
      <c r="AK411" s="36">
        <v>378</v>
      </c>
      <c r="AL411" s="33">
        <v>2</v>
      </c>
      <c r="AM411" s="33">
        <v>1</v>
      </c>
      <c r="AN411" s="33">
        <v>3</v>
      </c>
      <c r="AO411" s="33">
        <v>4</v>
      </c>
      <c r="AP411" s="33">
        <v>0</v>
      </c>
      <c r="AQ411" s="33">
        <v>1</v>
      </c>
      <c r="AR411" s="33">
        <v>3</v>
      </c>
      <c r="AS411" s="33">
        <v>2</v>
      </c>
      <c r="AT411" s="33">
        <v>2</v>
      </c>
      <c r="AU411" s="43">
        <v>0.12297104820629097</v>
      </c>
      <c r="AV411" s="33">
        <v>0</v>
      </c>
      <c r="AW411" s="33">
        <v>0</v>
      </c>
      <c r="AY411" s="36">
        <v>383</v>
      </c>
      <c r="AZ411" s="33">
        <v>1</v>
      </c>
      <c r="BA411" s="33">
        <v>1</v>
      </c>
      <c r="BB411" s="33">
        <v>0</v>
      </c>
      <c r="BC411" s="33">
        <v>0</v>
      </c>
      <c r="BD411" s="43">
        <v>0.29341085656570393</v>
      </c>
      <c r="BE411" s="33">
        <v>0</v>
      </c>
      <c r="BF411" s="33">
        <v>1</v>
      </c>
      <c r="CE411" s="36">
        <v>377</v>
      </c>
      <c r="CF411" s="33">
        <v>14</v>
      </c>
      <c r="CG411" s="33">
        <v>2</v>
      </c>
      <c r="CH411" s="33">
        <v>4</v>
      </c>
      <c r="CI411" s="33">
        <v>2</v>
      </c>
      <c r="CJ411" s="33">
        <v>4</v>
      </c>
      <c r="CK411" s="33">
        <v>0</v>
      </c>
      <c r="CL411" s="33">
        <v>1</v>
      </c>
      <c r="CM411" s="33">
        <v>2</v>
      </c>
      <c r="CN411" s="33">
        <v>7</v>
      </c>
      <c r="CO411" s="33">
        <v>0</v>
      </c>
      <c r="CP411" s="43">
        <v>5.7259738193884809E-2</v>
      </c>
      <c r="CQ411" s="33">
        <v>0</v>
      </c>
      <c r="CR411" s="33">
        <v>0</v>
      </c>
    </row>
    <row r="412" spans="1:96" ht="15" customHeight="1" x14ac:dyDescent="0.25">
      <c r="A412" s="26">
        <v>410</v>
      </c>
      <c r="B412" s="27">
        <v>30</v>
      </c>
      <c r="C412" s="27">
        <v>0</v>
      </c>
      <c r="D412" s="27">
        <v>1</v>
      </c>
      <c r="E412" s="27">
        <v>317</v>
      </c>
      <c r="F412" s="27">
        <v>2</v>
      </c>
      <c r="G412" s="27">
        <v>2</v>
      </c>
      <c r="H412" s="27">
        <v>3</v>
      </c>
      <c r="I412" s="27">
        <v>1</v>
      </c>
      <c r="J412" s="27">
        <v>1</v>
      </c>
      <c r="K412" s="27">
        <v>548</v>
      </c>
      <c r="L412" s="27">
        <v>3</v>
      </c>
      <c r="M412" s="27">
        <v>0</v>
      </c>
      <c r="N412" s="27">
        <v>43</v>
      </c>
      <c r="O412" s="27">
        <v>1</v>
      </c>
      <c r="P412" s="27">
        <v>2</v>
      </c>
      <c r="Q412" s="27">
        <v>4</v>
      </c>
      <c r="R412" s="27">
        <v>4</v>
      </c>
      <c r="S412" s="27">
        <v>1</v>
      </c>
      <c r="T412" s="27">
        <v>6091</v>
      </c>
      <c r="U412" s="27">
        <v>24793</v>
      </c>
      <c r="V412" s="27">
        <v>2</v>
      </c>
      <c r="W412" s="27">
        <v>0</v>
      </c>
      <c r="X412" s="27">
        <v>20</v>
      </c>
      <c r="Y412" s="27">
        <v>4</v>
      </c>
      <c r="Z412" s="27">
        <v>3</v>
      </c>
      <c r="AA412" s="27">
        <v>80</v>
      </c>
      <c r="AB412" s="27">
        <v>0</v>
      </c>
      <c r="AC412" s="27">
        <v>11</v>
      </c>
      <c r="AD412" s="27">
        <v>2</v>
      </c>
      <c r="AE412" s="27">
        <v>3</v>
      </c>
      <c r="AF412" s="27">
        <v>5</v>
      </c>
      <c r="AG412" s="27">
        <v>4</v>
      </c>
      <c r="AH412" s="27">
        <v>0</v>
      </c>
      <c r="AI412" s="28">
        <v>2</v>
      </c>
      <c r="AK412" s="36">
        <v>379</v>
      </c>
      <c r="AL412" s="33">
        <v>19</v>
      </c>
      <c r="AM412" s="33">
        <v>2</v>
      </c>
      <c r="AN412" s="33">
        <v>4</v>
      </c>
      <c r="AO412" s="33">
        <v>8</v>
      </c>
      <c r="AP412" s="33">
        <v>1</v>
      </c>
      <c r="AQ412" s="33">
        <v>0</v>
      </c>
      <c r="AR412" s="33">
        <v>2</v>
      </c>
      <c r="AS412" s="33">
        <v>5</v>
      </c>
      <c r="AT412" s="33">
        <v>0</v>
      </c>
      <c r="AU412" s="43">
        <v>0.48287988942990318</v>
      </c>
      <c r="AV412" s="33">
        <v>0</v>
      </c>
      <c r="AW412" s="33">
        <v>1</v>
      </c>
      <c r="AY412" s="36">
        <v>384</v>
      </c>
      <c r="AZ412" s="33">
        <v>1</v>
      </c>
      <c r="BA412" s="33">
        <v>2</v>
      </c>
      <c r="BB412" s="33">
        <v>0</v>
      </c>
      <c r="BC412" s="33">
        <v>1</v>
      </c>
      <c r="BD412" s="43">
        <v>0.15461023487664</v>
      </c>
      <c r="BE412" s="33">
        <v>0</v>
      </c>
      <c r="BF412" s="33">
        <v>0</v>
      </c>
      <c r="CE412" s="36">
        <v>378</v>
      </c>
      <c r="CF412" s="33">
        <v>2</v>
      </c>
      <c r="CG412" s="33">
        <v>1</v>
      </c>
      <c r="CH412" s="33">
        <v>3</v>
      </c>
      <c r="CI412" s="33">
        <v>2</v>
      </c>
      <c r="CJ412" s="33">
        <v>4</v>
      </c>
      <c r="CK412" s="33">
        <v>0</v>
      </c>
      <c r="CL412" s="33">
        <v>1</v>
      </c>
      <c r="CM412" s="33">
        <v>3</v>
      </c>
      <c r="CN412" s="33">
        <v>2</v>
      </c>
      <c r="CO412" s="33">
        <v>2</v>
      </c>
      <c r="CP412" s="43">
        <v>0.11884295860560506</v>
      </c>
      <c r="CQ412" s="33">
        <v>0</v>
      </c>
      <c r="CR412" s="33">
        <v>0</v>
      </c>
    </row>
    <row r="413" spans="1:96" ht="15" customHeight="1" x14ac:dyDescent="0.25">
      <c r="A413" s="26">
        <v>411</v>
      </c>
      <c r="B413" s="27">
        <v>60</v>
      </c>
      <c r="C413" s="27">
        <v>0</v>
      </c>
      <c r="D413" s="27">
        <v>1</v>
      </c>
      <c r="E413" s="27">
        <v>422</v>
      </c>
      <c r="F413" s="27">
        <v>2</v>
      </c>
      <c r="G413" s="27">
        <v>7</v>
      </c>
      <c r="H413" s="27">
        <v>3</v>
      </c>
      <c r="I413" s="27">
        <v>1</v>
      </c>
      <c r="J413" s="27">
        <v>1</v>
      </c>
      <c r="K413" s="27">
        <v>549</v>
      </c>
      <c r="L413" s="27">
        <v>1</v>
      </c>
      <c r="M413" s="27">
        <v>0</v>
      </c>
      <c r="N413" s="27">
        <v>41</v>
      </c>
      <c r="O413" s="27">
        <v>3</v>
      </c>
      <c r="P413" s="27">
        <v>5</v>
      </c>
      <c r="Q413" s="27">
        <v>6</v>
      </c>
      <c r="R413" s="27">
        <v>1</v>
      </c>
      <c r="S413" s="27">
        <v>2</v>
      </c>
      <c r="T413" s="27">
        <v>19566</v>
      </c>
      <c r="U413" s="27">
        <v>3854</v>
      </c>
      <c r="V413" s="27">
        <v>5</v>
      </c>
      <c r="W413" s="27">
        <v>0</v>
      </c>
      <c r="X413" s="27">
        <v>11</v>
      </c>
      <c r="Y413" s="27">
        <v>3</v>
      </c>
      <c r="Z413" s="27">
        <v>4</v>
      </c>
      <c r="AA413" s="27">
        <v>80</v>
      </c>
      <c r="AB413" s="27">
        <v>0</v>
      </c>
      <c r="AC413" s="27">
        <v>33</v>
      </c>
      <c r="AD413" s="27">
        <v>5</v>
      </c>
      <c r="AE413" s="27">
        <v>1</v>
      </c>
      <c r="AF413" s="27">
        <v>29</v>
      </c>
      <c r="AG413" s="27">
        <v>8</v>
      </c>
      <c r="AH413" s="27">
        <v>11</v>
      </c>
      <c r="AI413" s="28">
        <v>10</v>
      </c>
      <c r="AK413" s="36">
        <v>380</v>
      </c>
      <c r="AL413" s="33">
        <v>2</v>
      </c>
      <c r="AM413" s="33">
        <v>4</v>
      </c>
      <c r="AN413" s="33">
        <v>4</v>
      </c>
      <c r="AO413" s="33">
        <v>2</v>
      </c>
      <c r="AP413" s="33">
        <v>1</v>
      </c>
      <c r="AQ413" s="33">
        <v>0</v>
      </c>
      <c r="AR413" s="33">
        <v>3</v>
      </c>
      <c r="AS413" s="33">
        <v>5</v>
      </c>
      <c r="AT413" s="33">
        <v>1</v>
      </c>
      <c r="AU413" s="43">
        <v>8.5755791477951954E-2</v>
      </c>
      <c r="AV413" s="33">
        <v>0</v>
      </c>
      <c r="AW413" s="33">
        <v>0</v>
      </c>
      <c r="AY413" s="36">
        <v>385</v>
      </c>
      <c r="AZ413" s="33">
        <v>3</v>
      </c>
      <c r="BA413" s="33">
        <v>3</v>
      </c>
      <c r="BB413" s="33">
        <v>0</v>
      </c>
      <c r="BC413" s="33">
        <v>2</v>
      </c>
      <c r="BD413" s="43">
        <v>2.5687411947183297E-2</v>
      </c>
      <c r="BE413" s="33">
        <v>0</v>
      </c>
      <c r="BF413" s="33">
        <v>0</v>
      </c>
      <c r="CE413" s="36">
        <v>379</v>
      </c>
      <c r="CF413" s="33">
        <v>19</v>
      </c>
      <c r="CG413" s="33">
        <v>2</v>
      </c>
      <c r="CH413" s="33">
        <v>4</v>
      </c>
      <c r="CI413" s="33">
        <v>1</v>
      </c>
      <c r="CJ413" s="33">
        <v>8</v>
      </c>
      <c r="CK413" s="33">
        <v>1</v>
      </c>
      <c r="CL413" s="33">
        <v>0</v>
      </c>
      <c r="CM413" s="33">
        <v>2</v>
      </c>
      <c r="CN413" s="33">
        <v>5</v>
      </c>
      <c r="CO413" s="33">
        <v>0</v>
      </c>
      <c r="CP413" s="43">
        <v>0.53634236336473085</v>
      </c>
      <c r="CQ413" s="33">
        <v>1</v>
      </c>
      <c r="CR413" s="33">
        <v>1</v>
      </c>
    </row>
    <row r="414" spans="1:96" ht="15" customHeight="1" x14ac:dyDescent="0.25">
      <c r="A414" s="26">
        <v>412</v>
      </c>
      <c r="B414" s="27">
        <v>46</v>
      </c>
      <c r="C414" s="27">
        <v>0</v>
      </c>
      <c r="D414" s="27">
        <v>1</v>
      </c>
      <c r="E414" s="27">
        <v>1485</v>
      </c>
      <c r="F414" s="27">
        <v>2</v>
      </c>
      <c r="G414" s="27">
        <v>18</v>
      </c>
      <c r="H414" s="27">
        <v>3</v>
      </c>
      <c r="I414" s="27">
        <v>3</v>
      </c>
      <c r="J414" s="27">
        <v>1</v>
      </c>
      <c r="K414" s="27">
        <v>550</v>
      </c>
      <c r="L414" s="27">
        <v>3</v>
      </c>
      <c r="M414" s="27">
        <v>0</v>
      </c>
      <c r="N414" s="27">
        <v>87</v>
      </c>
      <c r="O414" s="27">
        <v>3</v>
      </c>
      <c r="P414" s="27">
        <v>2</v>
      </c>
      <c r="Q414" s="27">
        <v>4</v>
      </c>
      <c r="R414" s="27">
        <v>3</v>
      </c>
      <c r="S414" s="27">
        <v>3</v>
      </c>
      <c r="T414" s="27">
        <v>4810</v>
      </c>
      <c r="U414" s="27">
        <v>26314</v>
      </c>
      <c r="V414" s="27">
        <v>2</v>
      </c>
      <c r="W414" s="27">
        <v>0</v>
      </c>
      <c r="X414" s="27">
        <v>14</v>
      </c>
      <c r="Y414" s="27">
        <v>3</v>
      </c>
      <c r="Z414" s="27">
        <v>3</v>
      </c>
      <c r="AA414" s="27">
        <v>80</v>
      </c>
      <c r="AB414" s="27">
        <v>1</v>
      </c>
      <c r="AC414" s="27">
        <v>19</v>
      </c>
      <c r="AD414" s="27">
        <v>5</v>
      </c>
      <c r="AE414" s="27">
        <v>2</v>
      </c>
      <c r="AF414" s="27">
        <v>10</v>
      </c>
      <c r="AG414" s="27">
        <v>7</v>
      </c>
      <c r="AH414" s="27">
        <v>0</v>
      </c>
      <c r="AI414" s="28">
        <v>8</v>
      </c>
      <c r="AK414" s="36">
        <v>381</v>
      </c>
      <c r="AL414" s="33">
        <v>10</v>
      </c>
      <c r="AM414" s="33">
        <v>2</v>
      </c>
      <c r="AN414" s="33">
        <v>3</v>
      </c>
      <c r="AO414" s="33">
        <v>1</v>
      </c>
      <c r="AP414" s="33">
        <v>1</v>
      </c>
      <c r="AQ414" s="33">
        <v>1</v>
      </c>
      <c r="AR414" s="33">
        <v>4</v>
      </c>
      <c r="AS414" s="33">
        <v>5</v>
      </c>
      <c r="AT414" s="33">
        <v>0</v>
      </c>
      <c r="AU414" s="43">
        <v>0.15455528182919911</v>
      </c>
      <c r="AV414" s="33">
        <v>0</v>
      </c>
      <c r="AW414" s="33">
        <v>0</v>
      </c>
      <c r="AY414" s="36">
        <v>386</v>
      </c>
      <c r="AZ414" s="33">
        <v>1</v>
      </c>
      <c r="BA414" s="33">
        <v>4</v>
      </c>
      <c r="BB414" s="33">
        <v>1</v>
      </c>
      <c r="BC414" s="33">
        <v>0</v>
      </c>
      <c r="BD414" s="43">
        <v>0.42475472169672474</v>
      </c>
      <c r="BE414" s="33">
        <v>0</v>
      </c>
      <c r="BF414" s="33">
        <v>1</v>
      </c>
      <c r="CE414" s="36">
        <v>380</v>
      </c>
      <c r="CF414" s="33">
        <v>2</v>
      </c>
      <c r="CG414" s="33">
        <v>4</v>
      </c>
      <c r="CH414" s="33">
        <v>4</v>
      </c>
      <c r="CI414" s="33">
        <v>1</v>
      </c>
      <c r="CJ414" s="33">
        <v>2</v>
      </c>
      <c r="CK414" s="33">
        <v>1</v>
      </c>
      <c r="CL414" s="33">
        <v>0</v>
      </c>
      <c r="CM414" s="33">
        <v>3</v>
      </c>
      <c r="CN414" s="33">
        <v>5</v>
      </c>
      <c r="CO414" s="33">
        <v>1</v>
      </c>
      <c r="CP414" s="43">
        <v>0.10463301547117944</v>
      </c>
      <c r="CQ414" s="33">
        <v>0</v>
      </c>
      <c r="CR414" s="33">
        <v>0</v>
      </c>
    </row>
    <row r="415" spans="1:96" ht="15" customHeight="1" x14ac:dyDescent="0.25">
      <c r="A415" s="26">
        <v>413</v>
      </c>
      <c r="B415" s="27">
        <v>42</v>
      </c>
      <c r="C415" s="27">
        <v>0</v>
      </c>
      <c r="D415" s="27">
        <v>2</v>
      </c>
      <c r="E415" s="27">
        <v>1368</v>
      </c>
      <c r="F415" s="27">
        <v>2</v>
      </c>
      <c r="G415" s="27">
        <v>28</v>
      </c>
      <c r="H415" s="27">
        <v>4</v>
      </c>
      <c r="I415" s="27">
        <v>5</v>
      </c>
      <c r="J415" s="27">
        <v>1</v>
      </c>
      <c r="K415" s="27">
        <v>551</v>
      </c>
      <c r="L415" s="27">
        <v>4</v>
      </c>
      <c r="M415" s="27">
        <v>0</v>
      </c>
      <c r="N415" s="27">
        <v>88</v>
      </c>
      <c r="O415" s="27">
        <v>2</v>
      </c>
      <c r="P415" s="27">
        <v>2</v>
      </c>
      <c r="Q415" s="27">
        <v>5</v>
      </c>
      <c r="R415" s="27">
        <v>4</v>
      </c>
      <c r="S415" s="27">
        <v>2</v>
      </c>
      <c r="T415" s="27">
        <v>4523</v>
      </c>
      <c r="U415" s="27">
        <v>4386</v>
      </c>
      <c r="V415" s="27">
        <v>0</v>
      </c>
      <c r="W415" s="27">
        <v>0</v>
      </c>
      <c r="X415" s="27">
        <v>11</v>
      </c>
      <c r="Y415" s="27">
        <v>3</v>
      </c>
      <c r="Z415" s="27">
        <v>4</v>
      </c>
      <c r="AA415" s="27">
        <v>80</v>
      </c>
      <c r="AB415" s="27">
        <v>3</v>
      </c>
      <c r="AC415" s="27">
        <v>7</v>
      </c>
      <c r="AD415" s="27">
        <v>4</v>
      </c>
      <c r="AE415" s="27">
        <v>4</v>
      </c>
      <c r="AF415" s="27">
        <v>6</v>
      </c>
      <c r="AG415" s="27">
        <v>5</v>
      </c>
      <c r="AH415" s="27">
        <v>0</v>
      </c>
      <c r="AI415" s="28">
        <v>4</v>
      </c>
      <c r="AK415" s="36">
        <v>382</v>
      </c>
      <c r="AL415" s="33">
        <v>2</v>
      </c>
      <c r="AM415" s="33">
        <v>1</v>
      </c>
      <c r="AN415" s="33">
        <v>2</v>
      </c>
      <c r="AO415" s="33">
        <v>1</v>
      </c>
      <c r="AP415" s="33">
        <v>0</v>
      </c>
      <c r="AQ415" s="33">
        <v>1</v>
      </c>
      <c r="AR415" s="33">
        <v>3</v>
      </c>
      <c r="AS415" s="33">
        <v>1</v>
      </c>
      <c r="AT415" s="33">
        <v>0</v>
      </c>
      <c r="AU415" s="43">
        <v>0.11114298553783343</v>
      </c>
      <c r="AV415" s="33">
        <v>0</v>
      </c>
      <c r="AW415" s="33">
        <v>0</v>
      </c>
      <c r="AY415" s="36">
        <v>387</v>
      </c>
      <c r="AZ415" s="33">
        <v>1</v>
      </c>
      <c r="BA415" s="33">
        <v>1</v>
      </c>
      <c r="BB415" s="33">
        <v>0</v>
      </c>
      <c r="BC415" s="33">
        <v>1</v>
      </c>
      <c r="BD415" s="43">
        <v>0.19678474515944386</v>
      </c>
      <c r="BE415" s="33">
        <v>0</v>
      </c>
      <c r="BF415" s="33">
        <v>0</v>
      </c>
      <c r="CE415" s="36">
        <v>381</v>
      </c>
      <c r="CF415" s="33">
        <v>10</v>
      </c>
      <c r="CG415" s="33">
        <v>2</v>
      </c>
      <c r="CH415" s="33">
        <v>3</v>
      </c>
      <c r="CI415" s="33">
        <v>3</v>
      </c>
      <c r="CJ415" s="33">
        <v>1</v>
      </c>
      <c r="CK415" s="33">
        <v>1</v>
      </c>
      <c r="CL415" s="33">
        <v>1</v>
      </c>
      <c r="CM415" s="33">
        <v>4</v>
      </c>
      <c r="CN415" s="33">
        <v>5</v>
      </c>
      <c r="CO415" s="33">
        <v>0</v>
      </c>
      <c r="CP415" s="43">
        <v>9.3500192982480412E-2</v>
      </c>
      <c r="CQ415" s="33">
        <v>0</v>
      </c>
      <c r="CR415" s="33">
        <v>0</v>
      </c>
    </row>
    <row r="416" spans="1:96" ht="15" customHeight="1" x14ac:dyDescent="0.25">
      <c r="A416" s="26">
        <v>414</v>
      </c>
      <c r="B416" s="27">
        <v>24</v>
      </c>
      <c r="C416" s="27">
        <v>1</v>
      </c>
      <c r="D416" s="27">
        <v>1</v>
      </c>
      <c r="E416" s="27">
        <v>1448</v>
      </c>
      <c r="F416" s="27">
        <v>1</v>
      </c>
      <c r="G416" s="27">
        <v>1</v>
      </c>
      <c r="H416" s="27">
        <v>1</v>
      </c>
      <c r="I416" s="27">
        <v>5</v>
      </c>
      <c r="J416" s="27">
        <v>1</v>
      </c>
      <c r="K416" s="27">
        <v>554</v>
      </c>
      <c r="L416" s="27">
        <v>1</v>
      </c>
      <c r="M416" s="27">
        <v>0</v>
      </c>
      <c r="N416" s="27">
        <v>62</v>
      </c>
      <c r="O416" s="27">
        <v>3</v>
      </c>
      <c r="P416" s="27">
        <v>1</v>
      </c>
      <c r="Q416" s="27">
        <v>7</v>
      </c>
      <c r="R416" s="27">
        <v>2</v>
      </c>
      <c r="S416" s="27">
        <v>1</v>
      </c>
      <c r="T416" s="27">
        <v>3202</v>
      </c>
      <c r="U416" s="27">
        <v>21972</v>
      </c>
      <c r="V416" s="27">
        <v>1</v>
      </c>
      <c r="W416" s="27">
        <v>1</v>
      </c>
      <c r="X416" s="27">
        <v>16</v>
      </c>
      <c r="Y416" s="27">
        <v>3</v>
      </c>
      <c r="Z416" s="27">
        <v>2</v>
      </c>
      <c r="AA416" s="27">
        <v>80</v>
      </c>
      <c r="AB416" s="27">
        <v>0</v>
      </c>
      <c r="AC416" s="27">
        <v>6</v>
      </c>
      <c r="AD416" s="27">
        <v>4</v>
      </c>
      <c r="AE416" s="27">
        <v>3</v>
      </c>
      <c r="AF416" s="27">
        <v>5</v>
      </c>
      <c r="AG416" s="27">
        <v>3</v>
      </c>
      <c r="AH416" s="27">
        <v>1</v>
      </c>
      <c r="AI416" s="28">
        <v>4</v>
      </c>
      <c r="AK416" s="36">
        <v>383</v>
      </c>
      <c r="AL416" s="33">
        <v>3</v>
      </c>
      <c r="AM416" s="33">
        <v>1</v>
      </c>
      <c r="AN416" s="33">
        <v>1</v>
      </c>
      <c r="AO416" s="33">
        <v>0</v>
      </c>
      <c r="AP416" s="33">
        <v>0</v>
      </c>
      <c r="AQ416" s="33">
        <v>0</v>
      </c>
      <c r="AR416" s="33">
        <v>3</v>
      </c>
      <c r="AS416" s="33">
        <v>6</v>
      </c>
      <c r="AT416" s="33">
        <v>0</v>
      </c>
      <c r="AU416" s="43">
        <v>0.1637143119934783</v>
      </c>
      <c r="AV416" s="33">
        <v>0</v>
      </c>
      <c r="AW416" s="33">
        <v>1</v>
      </c>
      <c r="AY416" s="36">
        <v>388</v>
      </c>
      <c r="AZ416" s="33">
        <v>2</v>
      </c>
      <c r="BA416" s="33">
        <v>2</v>
      </c>
      <c r="BB416" s="33">
        <v>0</v>
      </c>
      <c r="BC416" s="33">
        <v>2</v>
      </c>
      <c r="BD416" s="43">
        <v>5.8143431646637607E-2</v>
      </c>
      <c r="BE416" s="33">
        <v>0</v>
      </c>
      <c r="BF416" s="33">
        <v>0</v>
      </c>
      <c r="CE416" s="36">
        <v>382</v>
      </c>
      <c r="CF416" s="33">
        <v>2</v>
      </c>
      <c r="CG416" s="33">
        <v>1</v>
      </c>
      <c r="CH416" s="33">
        <v>2</v>
      </c>
      <c r="CI416" s="33">
        <v>2</v>
      </c>
      <c r="CJ416" s="33">
        <v>1</v>
      </c>
      <c r="CK416" s="33">
        <v>0</v>
      </c>
      <c r="CL416" s="33">
        <v>1</v>
      </c>
      <c r="CM416" s="33">
        <v>3</v>
      </c>
      <c r="CN416" s="33">
        <v>1</v>
      </c>
      <c r="CO416" s="33">
        <v>0</v>
      </c>
      <c r="CP416" s="43">
        <v>0.10815680997949306</v>
      </c>
      <c r="CQ416" s="33">
        <v>0</v>
      </c>
      <c r="CR416" s="33">
        <v>0</v>
      </c>
    </row>
    <row r="417" spans="1:96" ht="15" customHeight="1" x14ac:dyDescent="0.25">
      <c r="A417" s="26">
        <v>415</v>
      </c>
      <c r="B417" s="27">
        <v>34</v>
      </c>
      <c r="C417" s="27">
        <v>1</v>
      </c>
      <c r="D417" s="27">
        <v>2</v>
      </c>
      <c r="E417" s="27">
        <v>296</v>
      </c>
      <c r="F417" s="27">
        <v>1</v>
      </c>
      <c r="G417" s="27">
        <v>6</v>
      </c>
      <c r="H417" s="27">
        <v>2</v>
      </c>
      <c r="I417" s="27">
        <v>4</v>
      </c>
      <c r="J417" s="27">
        <v>1</v>
      </c>
      <c r="K417" s="27">
        <v>555</v>
      </c>
      <c r="L417" s="27">
        <v>4</v>
      </c>
      <c r="M417" s="27">
        <v>0</v>
      </c>
      <c r="N417" s="27">
        <v>33</v>
      </c>
      <c r="O417" s="27">
        <v>1</v>
      </c>
      <c r="P417" s="27">
        <v>1</v>
      </c>
      <c r="Q417" s="27">
        <v>7</v>
      </c>
      <c r="R417" s="27">
        <v>3</v>
      </c>
      <c r="S417" s="27">
        <v>3</v>
      </c>
      <c r="T417" s="27">
        <v>2351</v>
      </c>
      <c r="U417" s="27">
        <v>12253</v>
      </c>
      <c r="V417" s="27">
        <v>0</v>
      </c>
      <c r="W417" s="27">
        <v>0</v>
      </c>
      <c r="X417" s="27">
        <v>16</v>
      </c>
      <c r="Y417" s="27">
        <v>3</v>
      </c>
      <c r="Z417" s="27">
        <v>4</v>
      </c>
      <c r="AA417" s="27">
        <v>80</v>
      </c>
      <c r="AB417" s="27">
        <v>1</v>
      </c>
      <c r="AC417" s="27">
        <v>3</v>
      </c>
      <c r="AD417" s="27">
        <v>3</v>
      </c>
      <c r="AE417" s="27">
        <v>2</v>
      </c>
      <c r="AF417" s="27">
        <v>2</v>
      </c>
      <c r="AG417" s="27">
        <v>2</v>
      </c>
      <c r="AH417" s="27">
        <v>1</v>
      </c>
      <c r="AI417" s="28">
        <v>0</v>
      </c>
      <c r="AK417" s="36">
        <v>384</v>
      </c>
      <c r="AL417" s="33">
        <v>11</v>
      </c>
      <c r="AM417" s="33">
        <v>1</v>
      </c>
      <c r="AN417" s="33">
        <v>2</v>
      </c>
      <c r="AO417" s="33">
        <v>1</v>
      </c>
      <c r="AP417" s="33">
        <v>0</v>
      </c>
      <c r="AQ417" s="33">
        <v>1</v>
      </c>
      <c r="AR417" s="33">
        <v>3</v>
      </c>
      <c r="AS417" s="33">
        <v>2</v>
      </c>
      <c r="AT417" s="33">
        <v>1</v>
      </c>
      <c r="AU417" s="43">
        <v>0.14993017633144828</v>
      </c>
      <c r="AV417" s="33">
        <v>0</v>
      </c>
      <c r="AW417" s="33">
        <v>0</v>
      </c>
      <c r="AY417" s="36">
        <v>389</v>
      </c>
      <c r="AZ417" s="33">
        <v>1</v>
      </c>
      <c r="BA417" s="33">
        <v>1</v>
      </c>
      <c r="BB417" s="33">
        <v>0</v>
      </c>
      <c r="BC417" s="33">
        <v>1</v>
      </c>
      <c r="BD417" s="43">
        <v>0.19678474515944386</v>
      </c>
      <c r="BE417" s="33">
        <v>0</v>
      </c>
      <c r="BF417" s="33">
        <v>0</v>
      </c>
      <c r="CE417" s="36">
        <v>383</v>
      </c>
      <c r="CF417" s="33">
        <v>3</v>
      </c>
      <c r="CG417" s="33">
        <v>1</v>
      </c>
      <c r="CH417" s="33">
        <v>1</v>
      </c>
      <c r="CI417" s="33">
        <v>1</v>
      </c>
      <c r="CJ417" s="33">
        <v>0</v>
      </c>
      <c r="CK417" s="33">
        <v>0</v>
      </c>
      <c r="CL417" s="33">
        <v>0</v>
      </c>
      <c r="CM417" s="33">
        <v>3</v>
      </c>
      <c r="CN417" s="33">
        <v>6</v>
      </c>
      <c r="CO417" s="33">
        <v>0</v>
      </c>
      <c r="CP417" s="43">
        <v>0.19195951388134871</v>
      </c>
      <c r="CQ417" s="33">
        <v>0</v>
      </c>
      <c r="CR417" s="33">
        <v>1</v>
      </c>
    </row>
    <row r="418" spans="1:96" ht="15" customHeight="1" x14ac:dyDescent="0.25">
      <c r="A418" s="26">
        <v>416</v>
      </c>
      <c r="B418" s="27">
        <v>38</v>
      </c>
      <c r="C418" s="27">
        <v>0</v>
      </c>
      <c r="D418" s="27">
        <v>2</v>
      </c>
      <c r="E418" s="27">
        <v>1490</v>
      </c>
      <c r="F418" s="27">
        <v>2</v>
      </c>
      <c r="G418" s="27">
        <v>2</v>
      </c>
      <c r="H418" s="27">
        <v>2</v>
      </c>
      <c r="I418" s="27">
        <v>1</v>
      </c>
      <c r="J418" s="27">
        <v>1</v>
      </c>
      <c r="K418" s="27">
        <v>556</v>
      </c>
      <c r="L418" s="27">
        <v>4</v>
      </c>
      <c r="M418" s="27">
        <v>1</v>
      </c>
      <c r="N418" s="27">
        <v>42</v>
      </c>
      <c r="O418" s="27">
        <v>3</v>
      </c>
      <c r="P418" s="27">
        <v>1</v>
      </c>
      <c r="Q418" s="27">
        <v>3</v>
      </c>
      <c r="R418" s="27">
        <v>4</v>
      </c>
      <c r="S418" s="27">
        <v>2</v>
      </c>
      <c r="T418" s="27">
        <v>1702</v>
      </c>
      <c r="U418" s="27">
        <v>12106</v>
      </c>
      <c r="V418" s="27">
        <v>1</v>
      </c>
      <c r="W418" s="27">
        <v>1</v>
      </c>
      <c r="X418" s="27">
        <v>23</v>
      </c>
      <c r="Y418" s="27">
        <v>4</v>
      </c>
      <c r="Z418" s="27">
        <v>3</v>
      </c>
      <c r="AA418" s="27">
        <v>80</v>
      </c>
      <c r="AB418" s="27">
        <v>1</v>
      </c>
      <c r="AC418" s="27">
        <v>1</v>
      </c>
      <c r="AD418" s="27">
        <v>3</v>
      </c>
      <c r="AE418" s="27">
        <v>3</v>
      </c>
      <c r="AF418" s="27">
        <v>1</v>
      </c>
      <c r="AG418" s="27">
        <v>0</v>
      </c>
      <c r="AH418" s="27">
        <v>0</v>
      </c>
      <c r="AI418" s="28">
        <v>0</v>
      </c>
      <c r="AK418" s="36">
        <v>385</v>
      </c>
      <c r="AL418" s="33">
        <v>2</v>
      </c>
      <c r="AM418" s="33">
        <v>3</v>
      </c>
      <c r="AN418" s="33">
        <v>3</v>
      </c>
      <c r="AO418" s="33">
        <v>1</v>
      </c>
      <c r="AP418" s="33">
        <v>0</v>
      </c>
      <c r="AQ418" s="33">
        <v>2</v>
      </c>
      <c r="AR418" s="33">
        <v>3</v>
      </c>
      <c r="AS418" s="33">
        <v>10</v>
      </c>
      <c r="AT418" s="33">
        <v>9</v>
      </c>
      <c r="AU418" s="43">
        <v>2.4837868919898708E-2</v>
      </c>
      <c r="AV418" s="33">
        <v>0</v>
      </c>
      <c r="AW418" s="33">
        <v>0</v>
      </c>
      <c r="AY418" s="36">
        <v>390</v>
      </c>
      <c r="AZ418" s="33">
        <v>2</v>
      </c>
      <c r="BA418" s="33">
        <v>2</v>
      </c>
      <c r="BB418" s="33">
        <v>1</v>
      </c>
      <c r="BC418" s="33">
        <v>0</v>
      </c>
      <c r="BD418" s="43">
        <v>0.4312038484945574</v>
      </c>
      <c r="BE418" s="33">
        <v>0</v>
      </c>
      <c r="BF418" s="33">
        <v>0</v>
      </c>
      <c r="CE418" s="36">
        <v>384</v>
      </c>
      <c r="CF418" s="33">
        <v>11</v>
      </c>
      <c r="CG418" s="33">
        <v>1</v>
      </c>
      <c r="CH418" s="33">
        <v>2</v>
      </c>
      <c r="CI418" s="33">
        <v>2</v>
      </c>
      <c r="CJ418" s="33">
        <v>1</v>
      </c>
      <c r="CK418" s="33">
        <v>0</v>
      </c>
      <c r="CL418" s="33">
        <v>1</v>
      </c>
      <c r="CM418" s="33">
        <v>3</v>
      </c>
      <c r="CN418" s="33">
        <v>2</v>
      </c>
      <c r="CO418" s="33">
        <v>1</v>
      </c>
      <c r="CP418" s="43">
        <v>0.14603107481130737</v>
      </c>
      <c r="CQ418" s="33">
        <v>0</v>
      </c>
      <c r="CR418" s="33">
        <v>0</v>
      </c>
    </row>
    <row r="419" spans="1:96" ht="15" customHeight="1" x14ac:dyDescent="0.25">
      <c r="A419" s="26">
        <v>417</v>
      </c>
      <c r="B419" s="27">
        <v>40</v>
      </c>
      <c r="C419" s="27">
        <v>0</v>
      </c>
      <c r="D419" s="27">
        <v>1</v>
      </c>
      <c r="E419" s="27">
        <v>1398</v>
      </c>
      <c r="F419" s="27">
        <v>1</v>
      </c>
      <c r="G419" s="27">
        <v>2</v>
      </c>
      <c r="H419" s="27">
        <v>4</v>
      </c>
      <c r="I419" s="27">
        <v>1</v>
      </c>
      <c r="J419" s="27">
        <v>1</v>
      </c>
      <c r="K419" s="27">
        <v>558</v>
      </c>
      <c r="L419" s="27">
        <v>3</v>
      </c>
      <c r="M419" s="27">
        <v>0</v>
      </c>
      <c r="N419" s="27">
        <v>79</v>
      </c>
      <c r="O419" s="27">
        <v>3</v>
      </c>
      <c r="P419" s="27">
        <v>5</v>
      </c>
      <c r="Q419" s="27">
        <v>6</v>
      </c>
      <c r="R419" s="27">
        <v>3</v>
      </c>
      <c r="S419" s="27">
        <v>2</v>
      </c>
      <c r="T419" s="27">
        <v>18041</v>
      </c>
      <c r="U419" s="27">
        <v>13022</v>
      </c>
      <c r="V419" s="27">
        <v>0</v>
      </c>
      <c r="W419" s="27">
        <v>0</v>
      </c>
      <c r="X419" s="27">
        <v>14</v>
      </c>
      <c r="Y419" s="27">
        <v>3</v>
      </c>
      <c r="Z419" s="27">
        <v>4</v>
      </c>
      <c r="AA419" s="27">
        <v>80</v>
      </c>
      <c r="AB419" s="27">
        <v>0</v>
      </c>
      <c r="AC419" s="27">
        <v>21</v>
      </c>
      <c r="AD419" s="27">
        <v>2</v>
      </c>
      <c r="AE419" s="27">
        <v>3</v>
      </c>
      <c r="AF419" s="27">
        <v>20</v>
      </c>
      <c r="AG419" s="27">
        <v>15</v>
      </c>
      <c r="AH419" s="27">
        <v>1</v>
      </c>
      <c r="AI419" s="28">
        <v>12</v>
      </c>
      <c r="AK419" s="36">
        <v>386</v>
      </c>
      <c r="AL419" s="33">
        <v>4</v>
      </c>
      <c r="AM419" s="33">
        <v>1</v>
      </c>
      <c r="AN419" s="33">
        <v>4</v>
      </c>
      <c r="AO419" s="33">
        <v>9</v>
      </c>
      <c r="AP419" s="33">
        <v>1</v>
      </c>
      <c r="AQ419" s="33">
        <v>0</v>
      </c>
      <c r="AR419" s="33">
        <v>3</v>
      </c>
      <c r="AS419" s="33">
        <v>1</v>
      </c>
      <c r="AT419" s="33">
        <v>0</v>
      </c>
      <c r="AU419" s="43">
        <v>0.52956620856404168</v>
      </c>
      <c r="AV419" s="33">
        <v>1</v>
      </c>
      <c r="AW419" s="33">
        <v>1</v>
      </c>
      <c r="AY419" s="36">
        <v>391</v>
      </c>
      <c r="AZ419" s="33">
        <v>4</v>
      </c>
      <c r="BA419" s="33">
        <v>2</v>
      </c>
      <c r="BB419" s="33">
        <v>0</v>
      </c>
      <c r="BC419" s="33">
        <v>1</v>
      </c>
      <c r="BD419" s="43">
        <v>3.3113852747679105E-2</v>
      </c>
      <c r="BE419" s="33">
        <v>0</v>
      </c>
      <c r="BF419" s="33">
        <v>0</v>
      </c>
      <c r="CE419" s="36">
        <v>385</v>
      </c>
      <c r="CF419" s="33">
        <v>2</v>
      </c>
      <c r="CG419" s="33">
        <v>3</v>
      </c>
      <c r="CH419" s="33">
        <v>3</v>
      </c>
      <c r="CI419" s="33">
        <v>2</v>
      </c>
      <c r="CJ419" s="33">
        <v>1</v>
      </c>
      <c r="CK419" s="33">
        <v>0</v>
      </c>
      <c r="CL419" s="33">
        <v>2</v>
      </c>
      <c r="CM419" s="33">
        <v>3</v>
      </c>
      <c r="CN419" s="33">
        <v>10</v>
      </c>
      <c r="CO419" s="33">
        <v>9</v>
      </c>
      <c r="CP419" s="43">
        <v>3.4555083876442814E-2</v>
      </c>
      <c r="CQ419" s="33">
        <v>0</v>
      </c>
      <c r="CR419" s="33">
        <v>0</v>
      </c>
    </row>
    <row r="420" spans="1:96" ht="15" customHeight="1" x14ac:dyDescent="0.25">
      <c r="A420" s="26">
        <v>418</v>
      </c>
      <c r="B420" s="27">
        <v>26</v>
      </c>
      <c r="C420" s="27">
        <v>0</v>
      </c>
      <c r="D420" s="27">
        <v>1</v>
      </c>
      <c r="E420" s="27">
        <v>1349</v>
      </c>
      <c r="F420" s="27">
        <v>2</v>
      </c>
      <c r="G420" s="27">
        <v>23</v>
      </c>
      <c r="H420" s="27">
        <v>3</v>
      </c>
      <c r="I420" s="27">
        <v>1</v>
      </c>
      <c r="J420" s="27">
        <v>1</v>
      </c>
      <c r="K420" s="27">
        <v>560</v>
      </c>
      <c r="L420" s="27">
        <v>1</v>
      </c>
      <c r="M420" s="27">
        <v>0</v>
      </c>
      <c r="N420" s="27">
        <v>90</v>
      </c>
      <c r="O420" s="27">
        <v>3</v>
      </c>
      <c r="P420" s="27">
        <v>1</v>
      </c>
      <c r="Q420" s="27">
        <v>2</v>
      </c>
      <c r="R420" s="27">
        <v>4</v>
      </c>
      <c r="S420" s="27">
        <v>3</v>
      </c>
      <c r="T420" s="27">
        <v>2886</v>
      </c>
      <c r="U420" s="27">
        <v>3032</v>
      </c>
      <c r="V420" s="27">
        <v>1</v>
      </c>
      <c r="W420" s="27">
        <v>0</v>
      </c>
      <c r="X420" s="27">
        <v>22</v>
      </c>
      <c r="Y420" s="27">
        <v>4</v>
      </c>
      <c r="Z420" s="27">
        <v>2</v>
      </c>
      <c r="AA420" s="27">
        <v>80</v>
      </c>
      <c r="AB420" s="27">
        <v>2</v>
      </c>
      <c r="AC420" s="27">
        <v>3</v>
      </c>
      <c r="AD420" s="27">
        <v>3</v>
      </c>
      <c r="AE420" s="27">
        <v>1</v>
      </c>
      <c r="AF420" s="27">
        <v>3</v>
      </c>
      <c r="AG420" s="27">
        <v>2</v>
      </c>
      <c r="AH420" s="27">
        <v>0</v>
      </c>
      <c r="AI420" s="28">
        <v>2</v>
      </c>
      <c r="AK420" s="36">
        <v>387</v>
      </c>
      <c r="AL420" s="33">
        <v>14</v>
      </c>
      <c r="AM420" s="33">
        <v>1</v>
      </c>
      <c r="AN420" s="33">
        <v>1</v>
      </c>
      <c r="AO420" s="33">
        <v>1</v>
      </c>
      <c r="AP420" s="33">
        <v>0</v>
      </c>
      <c r="AQ420" s="33">
        <v>1</v>
      </c>
      <c r="AR420" s="33">
        <v>2</v>
      </c>
      <c r="AS420" s="33">
        <v>18</v>
      </c>
      <c r="AT420" s="33">
        <v>12</v>
      </c>
      <c r="AU420" s="43">
        <v>0.26570602859494591</v>
      </c>
      <c r="AV420" s="33">
        <v>0</v>
      </c>
      <c r="AW420" s="33">
        <v>0</v>
      </c>
      <c r="AY420" s="36">
        <v>392</v>
      </c>
      <c r="AZ420" s="33">
        <v>2</v>
      </c>
      <c r="BA420" s="33">
        <v>3</v>
      </c>
      <c r="BB420" s="33">
        <v>0</v>
      </c>
      <c r="BC420" s="33">
        <v>1</v>
      </c>
      <c r="BD420" s="43">
        <v>7.244788656931947E-2</v>
      </c>
      <c r="BE420" s="33">
        <v>0</v>
      </c>
      <c r="BF420" s="33">
        <v>0</v>
      </c>
      <c r="CE420" s="36">
        <v>386</v>
      </c>
      <c r="CF420" s="33">
        <v>4</v>
      </c>
      <c r="CG420" s="33">
        <v>1</v>
      </c>
      <c r="CH420" s="33">
        <v>4</v>
      </c>
      <c r="CI420" s="33">
        <v>1</v>
      </c>
      <c r="CJ420" s="33">
        <v>9</v>
      </c>
      <c r="CK420" s="33">
        <v>1</v>
      </c>
      <c r="CL420" s="33">
        <v>0</v>
      </c>
      <c r="CM420" s="33">
        <v>3</v>
      </c>
      <c r="CN420" s="33">
        <v>1</v>
      </c>
      <c r="CO420" s="33">
        <v>0</v>
      </c>
      <c r="CP420" s="43">
        <v>0.57767282508829221</v>
      </c>
      <c r="CQ420" s="33">
        <v>1</v>
      </c>
      <c r="CR420" s="33">
        <v>1</v>
      </c>
    </row>
    <row r="421" spans="1:96" ht="15" customHeight="1" x14ac:dyDescent="0.25">
      <c r="A421" s="26">
        <v>419</v>
      </c>
      <c r="B421" s="27">
        <v>30</v>
      </c>
      <c r="C421" s="27">
        <v>0</v>
      </c>
      <c r="D421" s="27">
        <v>3</v>
      </c>
      <c r="E421" s="27">
        <v>1400</v>
      </c>
      <c r="F421" s="27">
        <v>2</v>
      </c>
      <c r="G421" s="27">
        <v>3</v>
      </c>
      <c r="H421" s="27">
        <v>3</v>
      </c>
      <c r="I421" s="27">
        <v>1</v>
      </c>
      <c r="J421" s="27">
        <v>1</v>
      </c>
      <c r="K421" s="27">
        <v>562</v>
      </c>
      <c r="L421" s="27">
        <v>3</v>
      </c>
      <c r="M421" s="27">
        <v>1</v>
      </c>
      <c r="N421" s="27">
        <v>53</v>
      </c>
      <c r="O421" s="27">
        <v>3</v>
      </c>
      <c r="P421" s="27">
        <v>1</v>
      </c>
      <c r="Q421" s="27">
        <v>3</v>
      </c>
      <c r="R421" s="27">
        <v>4</v>
      </c>
      <c r="S421" s="27">
        <v>2</v>
      </c>
      <c r="T421" s="27">
        <v>2097</v>
      </c>
      <c r="U421" s="27">
        <v>16734</v>
      </c>
      <c r="V421" s="27">
        <v>4</v>
      </c>
      <c r="W421" s="27">
        <v>0</v>
      </c>
      <c r="X421" s="27">
        <v>15</v>
      </c>
      <c r="Y421" s="27">
        <v>3</v>
      </c>
      <c r="Z421" s="27">
        <v>3</v>
      </c>
      <c r="AA421" s="27">
        <v>80</v>
      </c>
      <c r="AB421" s="27">
        <v>1</v>
      </c>
      <c r="AC421" s="27">
        <v>9</v>
      </c>
      <c r="AD421" s="27">
        <v>3</v>
      </c>
      <c r="AE421" s="27">
        <v>1</v>
      </c>
      <c r="AF421" s="27">
        <v>5</v>
      </c>
      <c r="AG421" s="27">
        <v>3</v>
      </c>
      <c r="AH421" s="27">
        <v>1</v>
      </c>
      <c r="AI421" s="28">
        <v>4</v>
      </c>
      <c r="AK421" s="36">
        <v>388</v>
      </c>
      <c r="AL421" s="33">
        <v>2</v>
      </c>
      <c r="AM421" s="33">
        <v>2</v>
      </c>
      <c r="AN421" s="33">
        <v>2</v>
      </c>
      <c r="AO421" s="33">
        <v>7</v>
      </c>
      <c r="AP421" s="33">
        <v>0</v>
      </c>
      <c r="AQ421" s="33">
        <v>2</v>
      </c>
      <c r="AR421" s="33">
        <v>3</v>
      </c>
      <c r="AS421" s="33">
        <v>5</v>
      </c>
      <c r="AT421" s="33">
        <v>1</v>
      </c>
      <c r="AU421" s="43">
        <v>5.370871781262547E-2</v>
      </c>
      <c r="AV421" s="33">
        <v>0</v>
      </c>
      <c r="AW421" s="33">
        <v>0</v>
      </c>
      <c r="AY421" s="36">
        <v>393</v>
      </c>
      <c r="AZ421" s="33">
        <v>5</v>
      </c>
      <c r="BA421" s="33">
        <v>1</v>
      </c>
      <c r="BB421" s="33">
        <v>0</v>
      </c>
      <c r="BC421" s="33">
        <v>1</v>
      </c>
      <c r="BD421" s="43">
        <v>2.5576707213389786E-2</v>
      </c>
      <c r="BE421" s="33">
        <v>0</v>
      </c>
      <c r="BF421" s="33">
        <v>0</v>
      </c>
      <c r="CE421" s="36">
        <v>387</v>
      </c>
      <c r="CF421" s="33">
        <v>14</v>
      </c>
      <c r="CG421" s="33">
        <v>1</v>
      </c>
      <c r="CH421" s="33">
        <v>1</v>
      </c>
      <c r="CI421" s="33">
        <v>3</v>
      </c>
      <c r="CJ421" s="33">
        <v>1</v>
      </c>
      <c r="CK421" s="33">
        <v>0</v>
      </c>
      <c r="CL421" s="33">
        <v>1</v>
      </c>
      <c r="CM421" s="33">
        <v>2</v>
      </c>
      <c r="CN421" s="33">
        <v>18</v>
      </c>
      <c r="CO421" s="33">
        <v>12</v>
      </c>
      <c r="CP421" s="43">
        <v>0.17607481040743367</v>
      </c>
      <c r="CQ421" s="33">
        <v>0</v>
      </c>
      <c r="CR421" s="33">
        <v>0</v>
      </c>
    </row>
    <row r="422" spans="1:96" ht="15" customHeight="1" x14ac:dyDescent="0.25">
      <c r="A422" s="26">
        <v>420</v>
      </c>
      <c r="B422" s="27">
        <v>29</v>
      </c>
      <c r="C422" s="27">
        <v>0</v>
      </c>
      <c r="D422" s="27">
        <v>1</v>
      </c>
      <c r="E422" s="27">
        <v>986</v>
      </c>
      <c r="F422" s="27">
        <v>2</v>
      </c>
      <c r="G422" s="27">
        <v>3</v>
      </c>
      <c r="H422" s="27">
        <v>4</v>
      </c>
      <c r="I422" s="27">
        <v>3</v>
      </c>
      <c r="J422" s="27">
        <v>1</v>
      </c>
      <c r="K422" s="27">
        <v>564</v>
      </c>
      <c r="L422" s="27">
        <v>2</v>
      </c>
      <c r="M422" s="27">
        <v>1</v>
      </c>
      <c r="N422" s="27">
        <v>93</v>
      </c>
      <c r="O422" s="27">
        <v>2</v>
      </c>
      <c r="P422" s="27">
        <v>3</v>
      </c>
      <c r="Q422" s="27">
        <v>8</v>
      </c>
      <c r="R422" s="27">
        <v>3</v>
      </c>
      <c r="S422" s="27">
        <v>2</v>
      </c>
      <c r="T422" s="27">
        <v>11935</v>
      </c>
      <c r="U422" s="27">
        <v>21526</v>
      </c>
      <c r="V422" s="27">
        <v>1</v>
      </c>
      <c r="W422" s="27">
        <v>0</v>
      </c>
      <c r="X422" s="27">
        <v>18</v>
      </c>
      <c r="Y422" s="27">
        <v>3</v>
      </c>
      <c r="Z422" s="27">
        <v>3</v>
      </c>
      <c r="AA422" s="27">
        <v>80</v>
      </c>
      <c r="AB422" s="27">
        <v>0</v>
      </c>
      <c r="AC422" s="27">
        <v>10</v>
      </c>
      <c r="AD422" s="27">
        <v>2</v>
      </c>
      <c r="AE422" s="27">
        <v>3</v>
      </c>
      <c r="AF422" s="27">
        <v>10</v>
      </c>
      <c r="AG422" s="27">
        <v>2</v>
      </c>
      <c r="AH422" s="27">
        <v>0</v>
      </c>
      <c r="AI422" s="28">
        <v>7</v>
      </c>
      <c r="AK422" s="36">
        <v>389</v>
      </c>
      <c r="AL422" s="33">
        <v>1</v>
      </c>
      <c r="AM422" s="33">
        <v>1</v>
      </c>
      <c r="AN422" s="33">
        <v>1</v>
      </c>
      <c r="AO422" s="33">
        <v>3</v>
      </c>
      <c r="AP422" s="33">
        <v>0</v>
      </c>
      <c r="AQ422" s="33">
        <v>1</v>
      </c>
      <c r="AR422" s="33">
        <v>3</v>
      </c>
      <c r="AS422" s="33">
        <v>5</v>
      </c>
      <c r="AT422" s="33">
        <v>1</v>
      </c>
      <c r="AU422" s="43">
        <v>0.13849728356532562</v>
      </c>
      <c r="AV422" s="33">
        <v>0</v>
      </c>
      <c r="AW422" s="33">
        <v>0</v>
      </c>
      <c r="AY422" s="36">
        <v>394</v>
      </c>
      <c r="AZ422" s="33">
        <v>2</v>
      </c>
      <c r="BA422" s="33">
        <v>3</v>
      </c>
      <c r="BB422" s="33">
        <v>0</v>
      </c>
      <c r="BC422" s="33">
        <v>1</v>
      </c>
      <c r="BD422" s="43">
        <v>7.244788656931947E-2</v>
      </c>
      <c r="BE422" s="33">
        <v>0</v>
      </c>
      <c r="BF422" s="33">
        <v>0</v>
      </c>
      <c r="CE422" s="36">
        <v>388</v>
      </c>
      <c r="CF422" s="33">
        <v>2</v>
      </c>
      <c r="CG422" s="33">
        <v>2</v>
      </c>
      <c r="CH422" s="33">
        <v>2</v>
      </c>
      <c r="CI422" s="33">
        <v>3</v>
      </c>
      <c r="CJ422" s="33">
        <v>7</v>
      </c>
      <c r="CK422" s="33">
        <v>0</v>
      </c>
      <c r="CL422" s="33">
        <v>2</v>
      </c>
      <c r="CM422" s="33">
        <v>3</v>
      </c>
      <c r="CN422" s="33">
        <v>5</v>
      </c>
      <c r="CO422" s="33">
        <v>1</v>
      </c>
      <c r="CP422" s="43">
        <v>4.358915434066879E-2</v>
      </c>
      <c r="CQ422" s="33">
        <v>0</v>
      </c>
      <c r="CR422" s="33">
        <v>0</v>
      </c>
    </row>
    <row r="423" spans="1:96" ht="15" customHeight="1" x14ac:dyDescent="0.25">
      <c r="A423" s="26">
        <v>421</v>
      </c>
      <c r="B423" s="27">
        <v>29</v>
      </c>
      <c r="C423" s="27">
        <v>1</v>
      </c>
      <c r="D423" s="27">
        <v>1</v>
      </c>
      <c r="E423" s="27">
        <v>408</v>
      </c>
      <c r="F423" s="27">
        <v>2</v>
      </c>
      <c r="G423" s="27">
        <v>25</v>
      </c>
      <c r="H423" s="27">
        <v>5</v>
      </c>
      <c r="I423" s="27">
        <v>5</v>
      </c>
      <c r="J423" s="27">
        <v>1</v>
      </c>
      <c r="K423" s="27">
        <v>565</v>
      </c>
      <c r="L423" s="27">
        <v>3</v>
      </c>
      <c r="M423" s="27">
        <v>0</v>
      </c>
      <c r="N423" s="27">
        <v>71</v>
      </c>
      <c r="O423" s="27">
        <v>2</v>
      </c>
      <c r="P423" s="27">
        <v>1</v>
      </c>
      <c r="Q423" s="27">
        <v>2</v>
      </c>
      <c r="R423" s="27">
        <v>2</v>
      </c>
      <c r="S423" s="27">
        <v>2</v>
      </c>
      <c r="T423" s="27">
        <v>2546</v>
      </c>
      <c r="U423" s="27">
        <v>18300</v>
      </c>
      <c r="V423" s="27">
        <v>5</v>
      </c>
      <c r="W423" s="27">
        <v>0</v>
      </c>
      <c r="X423" s="27">
        <v>16</v>
      </c>
      <c r="Y423" s="27">
        <v>3</v>
      </c>
      <c r="Z423" s="27">
        <v>2</v>
      </c>
      <c r="AA423" s="27">
        <v>80</v>
      </c>
      <c r="AB423" s="27">
        <v>0</v>
      </c>
      <c r="AC423" s="27">
        <v>6</v>
      </c>
      <c r="AD423" s="27">
        <v>2</v>
      </c>
      <c r="AE423" s="27">
        <v>4</v>
      </c>
      <c r="AF423" s="27">
        <v>2</v>
      </c>
      <c r="AG423" s="27">
        <v>2</v>
      </c>
      <c r="AH423" s="27">
        <v>1</v>
      </c>
      <c r="AI423" s="28">
        <v>1</v>
      </c>
      <c r="AK423" s="36">
        <v>390</v>
      </c>
      <c r="AL423" s="33">
        <v>10</v>
      </c>
      <c r="AM423" s="33">
        <v>2</v>
      </c>
      <c r="AN423" s="33">
        <v>2</v>
      </c>
      <c r="AO423" s="33">
        <v>2</v>
      </c>
      <c r="AP423" s="33">
        <v>1</v>
      </c>
      <c r="AQ423" s="33">
        <v>0</v>
      </c>
      <c r="AR423" s="33">
        <v>2</v>
      </c>
      <c r="AS423" s="33">
        <v>1</v>
      </c>
      <c r="AT423" s="33">
        <v>0</v>
      </c>
      <c r="AU423" s="43">
        <v>0.49933009694493063</v>
      </c>
      <c r="AV423" s="33">
        <v>0</v>
      </c>
      <c r="AW423" s="33">
        <v>0</v>
      </c>
      <c r="AY423" s="36">
        <v>395</v>
      </c>
      <c r="AZ423" s="33">
        <v>2</v>
      </c>
      <c r="BA423" s="33">
        <v>1</v>
      </c>
      <c r="BB423" s="33">
        <v>0</v>
      </c>
      <c r="BC423" s="33">
        <v>1</v>
      </c>
      <c r="BD423" s="43">
        <v>0.12293502213131684</v>
      </c>
      <c r="BE423" s="33">
        <v>0</v>
      </c>
      <c r="BF423" s="33">
        <v>0</v>
      </c>
      <c r="CE423" s="36">
        <v>389</v>
      </c>
      <c r="CF423" s="33">
        <v>1</v>
      </c>
      <c r="CG423" s="33">
        <v>1</v>
      </c>
      <c r="CH423" s="33">
        <v>1</v>
      </c>
      <c r="CI423" s="33">
        <v>3</v>
      </c>
      <c r="CJ423" s="33">
        <v>3</v>
      </c>
      <c r="CK423" s="33">
        <v>0</v>
      </c>
      <c r="CL423" s="33">
        <v>1</v>
      </c>
      <c r="CM423" s="33">
        <v>3</v>
      </c>
      <c r="CN423" s="33">
        <v>5</v>
      </c>
      <c r="CO423" s="33">
        <v>1</v>
      </c>
      <c r="CP423" s="43">
        <v>8.3938756698172454E-2</v>
      </c>
      <c r="CQ423" s="33">
        <v>0</v>
      </c>
      <c r="CR423" s="33">
        <v>0</v>
      </c>
    </row>
    <row r="424" spans="1:96" ht="15" customHeight="1" x14ac:dyDescent="0.25">
      <c r="A424" s="26">
        <v>422</v>
      </c>
      <c r="B424" s="27">
        <v>19</v>
      </c>
      <c r="C424" s="27">
        <v>1</v>
      </c>
      <c r="D424" s="27">
        <v>1</v>
      </c>
      <c r="E424" s="27">
        <v>489</v>
      </c>
      <c r="F424" s="27">
        <v>3</v>
      </c>
      <c r="G424" s="27">
        <v>2</v>
      </c>
      <c r="H424" s="27">
        <v>2</v>
      </c>
      <c r="I424" s="27">
        <v>5</v>
      </c>
      <c r="J424" s="27">
        <v>1</v>
      </c>
      <c r="K424" s="27">
        <v>566</v>
      </c>
      <c r="L424" s="27">
        <v>1</v>
      </c>
      <c r="M424" s="27">
        <v>1</v>
      </c>
      <c r="N424" s="27">
        <v>52</v>
      </c>
      <c r="O424" s="27">
        <v>2</v>
      </c>
      <c r="P424" s="27">
        <v>1</v>
      </c>
      <c r="Q424" s="27">
        <v>9</v>
      </c>
      <c r="R424" s="27">
        <v>4</v>
      </c>
      <c r="S424" s="27">
        <v>1</v>
      </c>
      <c r="T424" s="27">
        <v>2564</v>
      </c>
      <c r="U424" s="27">
        <v>18437</v>
      </c>
      <c r="V424" s="27">
        <v>1</v>
      </c>
      <c r="W424" s="27">
        <v>0</v>
      </c>
      <c r="X424" s="27">
        <v>12</v>
      </c>
      <c r="Y424" s="27">
        <v>3</v>
      </c>
      <c r="Z424" s="27">
        <v>3</v>
      </c>
      <c r="AA424" s="27">
        <v>80</v>
      </c>
      <c r="AB424" s="27">
        <v>0</v>
      </c>
      <c r="AC424" s="27">
        <v>1</v>
      </c>
      <c r="AD424" s="27">
        <v>3</v>
      </c>
      <c r="AE424" s="27">
        <v>4</v>
      </c>
      <c r="AF424" s="27">
        <v>1</v>
      </c>
      <c r="AG424" s="27">
        <v>0</v>
      </c>
      <c r="AH424" s="27">
        <v>0</v>
      </c>
      <c r="AI424" s="28">
        <v>0</v>
      </c>
      <c r="AK424" s="36">
        <v>391</v>
      </c>
      <c r="AL424" s="33">
        <v>12</v>
      </c>
      <c r="AM424" s="33">
        <v>4</v>
      </c>
      <c r="AN424" s="33">
        <v>2</v>
      </c>
      <c r="AO424" s="33">
        <v>1</v>
      </c>
      <c r="AP424" s="33">
        <v>0</v>
      </c>
      <c r="AQ424" s="33">
        <v>1</v>
      </c>
      <c r="AR424" s="33">
        <v>3</v>
      </c>
      <c r="AS424" s="33">
        <v>25</v>
      </c>
      <c r="AT424" s="33">
        <v>3</v>
      </c>
      <c r="AU424" s="43">
        <v>8.260432884115718E-3</v>
      </c>
      <c r="AV424" s="33">
        <v>0</v>
      </c>
      <c r="AW424" s="33">
        <v>0</v>
      </c>
      <c r="AY424" s="36">
        <v>396</v>
      </c>
      <c r="AZ424" s="33">
        <v>1</v>
      </c>
      <c r="BA424" s="33">
        <v>4</v>
      </c>
      <c r="BB424" s="33">
        <v>0</v>
      </c>
      <c r="BC424" s="33">
        <v>1</v>
      </c>
      <c r="BD424" s="43">
        <v>9.2486413274924434E-2</v>
      </c>
      <c r="BE424" s="33">
        <v>0</v>
      </c>
      <c r="BF424" s="33">
        <v>0</v>
      </c>
      <c r="CE424" s="36">
        <v>390</v>
      </c>
      <c r="CF424" s="33">
        <v>10</v>
      </c>
      <c r="CG424" s="33">
        <v>2</v>
      </c>
      <c r="CH424" s="33">
        <v>2</v>
      </c>
      <c r="CI424" s="33">
        <v>1</v>
      </c>
      <c r="CJ424" s="33">
        <v>2</v>
      </c>
      <c r="CK424" s="33">
        <v>1</v>
      </c>
      <c r="CL424" s="33">
        <v>0</v>
      </c>
      <c r="CM424" s="33">
        <v>2</v>
      </c>
      <c r="CN424" s="33">
        <v>1</v>
      </c>
      <c r="CO424" s="33">
        <v>0</v>
      </c>
      <c r="CP424" s="43">
        <v>0.56067127115501081</v>
      </c>
      <c r="CQ424" s="33">
        <v>1</v>
      </c>
      <c r="CR424" s="33">
        <v>0</v>
      </c>
    </row>
    <row r="425" spans="1:96" ht="15" customHeight="1" x14ac:dyDescent="0.25">
      <c r="A425" s="26">
        <v>423</v>
      </c>
      <c r="B425" s="27">
        <v>30</v>
      </c>
      <c r="C425" s="27">
        <v>0</v>
      </c>
      <c r="D425" s="27">
        <v>3</v>
      </c>
      <c r="E425" s="27">
        <v>1398</v>
      </c>
      <c r="F425" s="27">
        <v>1</v>
      </c>
      <c r="G425" s="27">
        <v>22</v>
      </c>
      <c r="H425" s="27">
        <v>4</v>
      </c>
      <c r="I425" s="27">
        <v>6</v>
      </c>
      <c r="J425" s="27">
        <v>1</v>
      </c>
      <c r="K425" s="27">
        <v>567</v>
      </c>
      <c r="L425" s="27">
        <v>3</v>
      </c>
      <c r="M425" s="27">
        <v>0</v>
      </c>
      <c r="N425" s="27">
        <v>69</v>
      </c>
      <c r="O425" s="27">
        <v>3</v>
      </c>
      <c r="P425" s="27">
        <v>3</v>
      </c>
      <c r="Q425" s="27">
        <v>1</v>
      </c>
      <c r="R425" s="27">
        <v>1</v>
      </c>
      <c r="S425" s="27">
        <v>2</v>
      </c>
      <c r="T425" s="27">
        <v>8412</v>
      </c>
      <c r="U425" s="27">
        <v>2890</v>
      </c>
      <c r="V425" s="27">
        <v>0</v>
      </c>
      <c r="W425" s="27">
        <v>0</v>
      </c>
      <c r="X425" s="27">
        <v>11</v>
      </c>
      <c r="Y425" s="27">
        <v>3</v>
      </c>
      <c r="Z425" s="27">
        <v>3</v>
      </c>
      <c r="AA425" s="27">
        <v>80</v>
      </c>
      <c r="AB425" s="27">
        <v>0</v>
      </c>
      <c r="AC425" s="27">
        <v>10</v>
      </c>
      <c r="AD425" s="27">
        <v>3</v>
      </c>
      <c r="AE425" s="27">
        <v>3</v>
      </c>
      <c r="AF425" s="27">
        <v>9</v>
      </c>
      <c r="AG425" s="27">
        <v>8</v>
      </c>
      <c r="AH425" s="27">
        <v>7</v>
      </c>
      <c r="AI425" s="28">
        <v>8</v>
      </c>
      <c r="AK425" s="36">
        <v>392</v>
      </c>
      <c r="AL425" s="33">
        <v>2</v>
      </c>
      <c r="AM425" s="33">
        <v>2</v>
      </c>
      <c r="AN425" s="33">
        <v>3</v>
      </c>
      <c r="AO425" s="33">
        <v>6</v>
      </c>
      <c r="AP425" s="33">
        <v>0</v>
      </c>
      <c r="AQ425" s="33">
        <v>1</v>
      </c>
      <c r="AR425" s="33">
        <v>3</v>
      </c>
      <c r="AS425" s="33">
        <v>1</v>
      </c>
      <c r="AT425" s="33">
        <v>0</v>
      </c>
      <c r="AU425" s="43">
        <v>7.5662619395631264E-2</v>
      </c>
      <c r="AV425" s="33">
        <v>0</v>
      </c>
      <c r="AW425" s="33">
        <v>0</v>
      </c>
      <c r="AY425" s="36">
        <v>397</v>
      </c>
      <c r="AZ425" s="33">
        <v>2</v>
      </c>
      <c r="BA425" s="33">
        <v>3</v>
      </c>
      <c r="BB425" s="33">
        <v>1</v>
      </c>
      <c r="BC425" s="33">
        <v>0</v>
      </c>
      <c r="BD425" s="43">
        <v>0.36139389867144694</v>
      </c>
      <c r="BE425" s="33">
        <v>0</v>
      </c>
      <c r="BF425" s="33">
        <v>0</v>
      </c>
      <c r="CE425" s="36">
        <v>391</v>
      </c>
      <c r="CF425" s="33">
        <v>12</v>
      </c>
      <c r="CG425" s="33">
        <v>4</v>
      </c>
      <c r="CH425" s="33">
        <v>2</v>
      </c>
      <c r="CI425" s="33">
        <v>3</v>
      </c>
      <c r="CJ425" s="33">
        <v>1</v>
      </c>
      <c r="CK425" s="33">
        <v>0</v>
      </c>
      <c r="CL425" s="33">
        <v>1</v>
      </c>
      <c r="CM425" s="33">
        <v>3</v>
      </c>
      <c r="CN425" s="33">
        <v>25</v>
      </c>
      <c r="CO425" s="33">
        <v>3</v>
      </c>
      <c r="CP425" s="43">
        <v>4.7479227518392548E-3</v>
      </c>
      <c r="CQ425" s="33">
        <v>0</v>
      </c>
      <c r="CR425" s="33">
        <v>0</v>
      </c>
    </row>
    <row r="426" spans="1:96" ht="15" customHeight="1" x14ac:dyDescent="0.25">
      <c r="A426" s="26">
        <v>424</v>
      </c>
      <c r="B426" s="27">
        <v>57</v>
      </c>
      <c r="C426" s="27">
        <v>0</v>
      </c>
      <c r="D426" s="27">
        <v>1</v>
      </c>
      <c r="E426" s="27">
        <v>210</v>
      </c>
      <c r="F426" s="27">
        <v>1</v>
      </c>
      <c r="G426" s="27">
        <v>29</v>
      </c>
      <c r="H426" s="27">
        <v>3</v>
      </c>
      <c r="I426" s="27">
        <v>4</v>
      </c>
      <c r="J426" s="27">
        <v>1</v>
      </c>
      <c r="K426" s="27">
        <v>568</v>
      </c>
      <c r="L426" s="27">
        <v>1</v>
      </c>
      <c r="M426" s="27">
        <v>1</v>
      </c>
      <c r="N426" s="27">
        <v>56</v>
      </c>
      <c r="O426" s="27">
        <v>2</v>
      </c>
      <c r="P426" s="27">
        <v>4</v>
      </c>
      <c r="Q426" s="27">
        <v>6</v>
      </c>
      <c r="R426" s="27">
        <v>4</v>
      </c>
      <c r="S426" s="27">
        <v>3</v>
      </c>
      <c r="T426" s="27">
        <v>14118</v>
      </c>
      <c r="U426" s="27">
        <v>22102</v>
      </c>
      <c r="V426" s="27">
        <v>3</v>
      </c>
      <c r="W426" s="27">
        <v>0</v>
      </c>
      <c r="X426" s="27">
        <v>12</v>
      </c>
      <c r="Y426" s="27">
        <v>3</v>
      </c>
      <c r="Z426" s="27">
        <v>3</v>
      </c>
      <c r="AA426" s="27">
        <v>80</v>
      </c>
      <c r="AB426" s="27">
        <v>1</v>
      </c>
      <c r="AC426" s="27">
        <v>32</v>
      </c>
      <c r="AD426" s="27">
        <v>3</v>
      </c>
      <c r="AE426" s="27">
        <v>2</v>
      </c>
      <c r="AF426" s="27">
        <v>1</v>
      </c>
      <c r="AG426" s="27">
        <v>0</v>
      </c>
      <c r="AH426" s="27">
        <v>0</v>
      </c>
      <c r="AI426" s="28">
        <v>0</v>
      </c>
      <c r="AK426" s="36">
        <v>393</v>
      </c>
      <c r="AL426" s="33">
        <v>5</v>
      </c>
      <c r="AM426" s="33">
        <v>5</v>
      </c>
      <c r="AN426" s="33">
        <v>1</v>
      </c>
      <c r="AO426" s="33">
        <v>4</v>
      </c>
      <c r="AP426" s="33">
        <v>0</v>
      </c>
      <c r="AQ426" s="33">
        <v>1</v>
      </c>
      <c r="AR426" s="33">
        <v>2</v>
      </c>
      <c r="AS426" s="33">
        <v>4</v>
      </c>
      <c r="AT426" s="33">
        <v>1</v>
      </c>
      <c r="AU426" s="43">
        <v>2.9001415106482398E-2</v>
      </c>
      <c r="AV426" s="33">
        <v>0</v>
      </c>
      <c r="AW426" s="33">
        <v>0</v>
      </c>
      <c r="AY426" s="36">
        <v>398</v>
      </c>
      <c r="AZ426" s="33">
        <v>2</v>
      </c>
      <c r="BA426" s="33">
        <v>4</v>
      </c>
      <c r="BB426" s="33">
        <v>1</v>
      </c>
      <c r="BC426" s="33">
        <v>0</v>
      </c>
      <c r="BD426" s="43">
        <v>0.29698480921718856</v>
      </c>
      <c r="BE426" s="33">
        <v>0</v>
      </c>
      <c r="BF426" s="33">
        <v>0</v>
      </c>
      <c r="CE426" s="36">
        <v>392</v>
      </c>
      <c r="CF426" s="33">
        <v>2</v>
      </c>
      <c r="CG426" s="33">
        <v>2</v>
      </c>
      <c r="CH426" s="33">
        <v>3</v>
      </c>
      <c r="CI426" s="33">
        <v>2</v>
      </c>
      <c r="CJ426" s="33">
        <v>6</v>
      </c>
      <c r="CK426" s="33">
        <v>0</v>
      </c>
      <c r="CL426" s="33">
        <v>1</v>
      </c>
      <c r="CM426" s="33">
        <v>3</v>
      </c>
      <c r="CN426" s="33">
        <v>1</v>
      </c>
      <c r="CO426" s="33">
        <v>0</v>
      </c>
      <c r="CP426" s="43">
        <v>7.359473865568178E-2</v>
      </c>
      <c r="CQ426" s="33">
        <v>0</v>
      </c>
      <c r="CR426" s="33">
        <v>0</v>
      </c>
    </row>
    <row r="427" spans="1:96" ht="15" customHeight="1" x14ac:dyDescent="0.25">
      <c r="A427" s="26">
        <v>425</v>
      </c>
      <c r="B427" s="27">
        <v>50</v>
      </c>
      <c r="C427" s="27">
        <v>0</v>
      </c>
      <c r="D427" s="27">
        <v>1</v>
      </c>
      <c r="E427" s="27">
        <v>1099</v>
      </c>
      <c r="F427" s="27">
        <v>2</v>
      </c>
      <c r="G427" s="27">
        <v>29</v>
      </c>
      <c r="H427" s="27">
        <v>4</v>
      </c>
      <c r="I427" s="27">
        <v>1</v>
      </c>
      <c r="J427" s="27">
        <v>1</v>
      </c>
      <c r="K427" s="27">
        <v>569</v>
      </c>
      <c r="L427" s="27">
        <v>2</v>
      </c>
      <c r="M427" s="27">
        <v>1</v>
      </c>
      <c r="N427" s="27">
        <v>88</v>
      </c>
      <c r="O427" s="27">
        <v>2</v>
      </c>
      <c r="P427" s="27">
        <v>4</v>
      </c>
      <c r="Q427" s="27">
        <v>6</v>
      </c>
      <c r="R427" s="27">
        <v>3</v>
      </c>
      <c r="S427" s="27">
        <v>2</v>
      </c>
      <c r="T427" s="27">
        <v>17046</v>
      </c>
      <c r="U427" s="27">
        <v>9314</v>
      </c>
      <c r="V427" s="27">
        <v>0</v>
      </c>
      <c r="W427" s="27">
        <v>0</v>
      </c>
      <c r="X427" s="27">
        <v>15</v>
      </c>
      <c r="Y427" s="27">
        <v>3</v>
      </c>
      <c r="Z427" s="27">
        <v>2</v>
      </c>
      <c r="AA427" s="27">
        <v>80</v>
      </c>
      <c r="AB427" s="27">
        <v>1</v>
      </c>
      <c r="AC427" s="27">
        <v>28</v>
      </c>
      <c r="AD427" s="27">
        <v>2</v>
      </c>
      <c r="AE427" s="27">
        <v>3</v>
      </c>
      <c r="AF427" s="27">
        <v>27</v>
      </c>
      <c r="AG427" s="27">
        <v>10</v>
      </c>
      <c r="AH427" s="27">
        <v>15</v>
      </c>
      <c r="AI427" s="28">
        <v>7</v>
      </c>
      <c r="AK427" s="36">
        <v>394</v>
      </c>
      <c r="AL427" s="33">
        <v>4</v>
      </c>
      <c r="AM427" s="33">
        <v>2</v>
      </c>
      <c r="AN427" s="33">
        <v>3</v>
      </c>
      <c r="AO427" s="33">
        <v>9</v>
      </c>
      <c r="AP427" s="33">
        <v>0</v>
      </c>
      <c r="AQ427" s="33">
        <v>1</v>
      </c>
      <c r="AR427" s="33">
        <v>3</v>
      </c>
      <c r="AS427" s="33">
        <v>3</v>
      </c>
      <c r="AT427" s="33">
        <v>1</v>
      </c>
      <c r="AU427" s="43">
        <v>9.8462891567598437E-2</v>
      </c>
      <c r="AV427" s="33">
        <v>0</v>
      </c>
      <c r="AW427" s="33">
        <v>0</v>
      </c>
      <c r="AY427" s="36">
        <v>399</v>
      </c>
      <c r="AZ427" s="33">
        <v>2</v>
      </c>
      <c r="BA427" s="33">
        <v>3</v>
      </c>
      <c r="BB427" s="33">
        <v>1</v>
      </c>
      <c r="BC427" s="33">
        <v>2</v>
      </c>
      <c r="BD427" s="43">
        <v>0.16457242924360335</v>
      </c>
      <c r="BE427" s="33">
        <v>0</v>
      </c>
      <c r="BF427" s="33">
        <v>0</v>
      </c>
      <c r="CE427" s="36">
        <v>393</v>
      </c>
      <c r="CF427" s="33">
        <v>5</v>
      </c>
      <c r="CG427" s="33">
        <v>5</v>
      </c>
      <c r="CH427" s="33">
        <v>1</v>
      </c>
      <c r="CI427" s="33">
        <v>2</v>
      </c>
      <c r="CJ427" s="33">
        <v>4</v>
      </c>
      <c r="CK427" s="33">
        <v>0</v>
      </c>
      <c r="CL427" s="33">
        <v>1</v>
      </c>
      <c r="CM427" s="33">
        <v>2</v>
      </c>
      <c r="CN427" s="33">
        <v>4</v>
      </c>
      <c r="CO427" s="33">
        <v>1</v>
      </c>
      <c r="CP427" s="43">
        <v>3.057667533215621E-2</v>
      </c>
      <c r="CQ427" s="33">
        <v>0</v>
      </c>
      <c r="CR427" s="33">
        <v>0</v>
      </c>
    </row>
    <row r="428" spans="1:96" ht="15" customHeight="1" x14ac:dyDescent="0.25">
      <c r="A428" s="26">
        <v>426</v>
      </c>
      <c r="B428" s="27">
        <v>30</v>
      </c>
      <c r="C428" s="27">
        <v>0</v>
      </c>
      <c r="D428" s="27">
        <v>3</v>
      </c>
      <c r="E428" s="27">
        <v>1116</v>
      </c>
      <c r="F428" s="27">
        <v>2</v>
      </c>
      <c r="G428" s="27">
        <v>2</v>
      </c>
      <c r="H428" s="27">
        <v>3</v>
      </c>
      <c r="I428" s="27">
        <v>3</v>
      </c>
      <c r="J428" s="27">
        <v>1</v>
      </c>
      <c r="K428" s="27">
        <v>571</v>
      </c>
      <c r="L428" s="27">
        <v>3</v>
      </c>
      <c r="M428" s="27">
        <v>0</v>
      </c>
      <c r="N428" s="27">
        <v>49</v>
      </c>
      <c r="O428" s="27">
        <v>3</v>
      </c>
      <c r="P428" s="27">
        <v>1</v>
      </c>
      <c r="Q428" s="27">
        <v>3</v>
      </c>
      <c r="R428" s="27">
        <v>4</v>
      </c>
      <c r="S428" s="27">
        <v>1</v>
      </c>
      <c r="T428" s="27">
        <v>2564</v>
      </c>
      <c r="U428" s="27">
        <v>7181</v>
      </c>
      <c r="V428" s="27">
        <v>0</v>
      </c>
      <c r="W428" s="27">
        <v>0</v>
      </c>
      <c r="X428" s="27">
        <v>14</v>
      </c>
      <c r="Y428" s="27">
        <v>3</v>
      </c>
      <c r="Z428" s="27">
        <v>3</v>
      </c>
      <c r="AA428" s="27">
        <v>80</v>
      </c>
      <c r="AB428" s="27">
        <v>0</v>
      </c>
      <c r="AC428" s="27">
        <v>12</v>
      </c>
      <c r="AD428" s="27">
        <v>2</v>
      </c>
      <c r="AE428" s="27">
        <v>2</v>
      </c>
      <c r="AF428" s="27">
        <v>11</v>
      </c>
      <c r="AG428" s="27">
        <v>7</v>
      </c>
      <c r="AH428" s="27">
        <v>6</v>
      </c>
      <c r="AI428" s="28">
        <v>7</v>
      </c>
      <c r="AK428" s="36">
        <v>395</v>
      </c>
      <c r="AL428" s="33">
        <v>7</v>
      </c>
      <c r="AM428" s="33">
        <v>2</v>
      </c>
      <c r="AN428" s="33">
        <v>1</v>
      </c>
      <c r="AO428" s="33">
        <v>1</v>
      </c>
      <c r="AP428" s="33">
        <v>0</v>
      </c>
      <c r="AQ428" s="33">
        <v>1</v>
      </c>
      <c r="AR428" s="33">
        <v>1</v>
      </c>
      <c r="AS428" s="33">
        <v>13</v>
      </c>
      <c r="AT428" s="33">
        <v>3</v>
      </c>
      <c r="AU428" s="43">
        <v>9.7032884227789773E-2</v>
      </c>
      <c r="AV428" s="33">
        <v>0</v>
      </c>
      <c r="AW428" s="33">
        <v>0</v>
      </c>
      <c r="AY428" s="36">
        <v>400</v>
      </c>
      <c r="AZ428" s="33">
        <v>1</v>
      </c>
      <c r="BA428" s="33">
        <v>1</v>
      </c>
      <c r="BB428" s="33">
        <v>0</v>
      </c>
      <c r="BC428" s="33">
        <v>1</v>
      </c>
      <c r="BD428" s="43">
        <v>0.19678474515944386</v>
      </c>
      <c r="BE428" s="33">
        <v>0</v>
      </c>
      <c r="BF428" s="33">
        <v>0</v>
      </c>
      <c r="CE428" s="36">
        <v>394</v>
      </c>
      <c r="CF428" s="33">
        <v>4</v>
      </c>
      <c r="CG428" s="33">
        <v>2</v>
      </c>
      <c r="CH428" s="33">
        <v>3</v>
      </c>
      <c r="CI428" s="33">
        <v>2</v>
      </c>
      <c r="CJ428" s="33">
        <v>9</v>
      </c>
      <c r="CK428" s="33">
        <v>0</v>
      </c>
      <c r="CL428" s="33">
        <v>1</v>
      </c>
      <c r="CM428" s="33">
        <v>3</v>
      </c>
      <c r="CN428" s="33">
        <v>3</v>
      </c>
      <c r="CO428" s="33">
        <v>1</v>
      </c>
      <c r="CP428" s="43">
        <v>9.6349372217993709E-2</v>
      </c>
      <c r="CQ428" s="33">
        <v>0</v>
      </c>
      <c r="CR428" s="33">
        <v>0</v>
      </c>
    </row>
    <row r="429" spans="1:96" ht="15" customHeight="1" x14ac:dyDescent="0.25">
      <c r="A429" s="26">
        <v>427</v>
      </c>
      <c r="B429" s="27">
        <v>60</v>
      </c>
      <c r="C429" s="27">
        <v>0</v>
      </c>
      <c r="D429" s="27">
        <v>2</v>
      </c>
      <c r="E429" s="27">
        <v>1499</v>
      </c>
      <c r="F429" s="27">
        <v>1</v>
      </c>
      <c r="G429" s="27">
        <v>28</v>
      </c>
      <c r="H429" s="27">
        <v>3</v>
      </c>
      <c r="I429" s="27">
        <v>4</v>
      </c>
      <c r="J429" s="27">
        <v>1</v>
      </c>
      <c r="K429" s="27">
        <v>573</v>
      </c>
      <c r="L429" s="27">
        <v>3</v>
      </c>
      <c r="M429" s="27">
        <v>0</v>
      </c>
      <c r="N429" s="27">
        <v>80</v>
      </c>
      <c r="O429" s="27">
        <v>2</v>
      </c>
      <c r="P429" s="27">
        <v>3</v>
      </c>
      <c r="Q429" s="27">
        <v>1</v>
      </c>
      <c r="R429" s="27">
        <v>1</v>
      </c>
      <c r="S429" s="27">
        <v>2</v>
      </c>
      <c r="T429" s="27">
        <v>10266</v>
      </c>
      <c r="U429" s="27">
        <v>2845</v>
      </c>
      <c r="V429" s="27">
        <v>4</v>
      </c>
      <c r="W429" s="27">
        <v>0</v>
      </c>
      <c r="X429" s="27">
        <v>19</v>
      </c>
      <c r="Y429" s="27">
        <v>3</v>
      </c>
      <c r="Z429" s="27">
        <v>4</v>
      </c>
      <c r="AA429" s="27">
        <v>80</v>
      </c>
      <c r="AB429" s="27">
        <v>0</v>
      </c>
      <c r="AC429" s="27">
        <v>22</v>
      </c>
      <c r="AD429" s="27">
        <v>5</v>
      </c>
      <c r="AE429" s="27">
        <v>4</v>
      </c>
      <c r="AF429" s="27">
        <v>18</v>
      </c>
      <c r="AG429" s="27">
        <v>13</v>
      </c>
      <c r="AH429" s="27">
        <v>13</v>
      </c>
      <c r="AI429" s="28">
        <v>11</v>
      </c>
      <c r="AK429" s="36">
        <v>396</v>
      </c>
      <c r="AL429" s="33">
        <v>21</v>
      </c>
      <c r="AM429" s="33">
        <v>1</v>
      </c>
      <c r="AN429" s="33">
        <v>4</v>
      </c>
      <c r="AO429" s="33">
        <v>7</v>
      </c>
      <c r="AP429" s="33">
        <v>0</v>
      </c>
      <c r="AQ429" s="33">
        <v>1</v>
      </c>
      <c r="AR429" s="33">
        <v>3</v>
      </c>
      <c r="AS429" s="33">
        <v>3</v>
      </c>
      <c r="AT429" s="33">
        <v>1</v>
      </c>
      <c r="AU429" s="43">
        <v>0.17493843671531054</v>
      </c>
      <c r="AV429" s="33">
        <v>0</v>
      </c>
      <c r="AW429" s="33">
        <v>0</v>
      </c>
      <c r="AY429" s="36">
        <v>401</v>
      </c>
      <c r="AZ429" s="33">
        <v>5</v>
      </c>
      <c r="BA429" s="33">
        <v>3</v>
      </c>
      <c r="BB429" s="33">
        <v>1</v>
      </c>
      <c r="BC429" s="33">
        <v>1</v>
      </c>
      <c r="BD429" s="43">
        <v>5.8845347099450079E-2</v>
      </c>
      <c r="BE429" s="33">
        <v>0</v>
      </c>
      <c r="BF429" s="33">
        <v>0</v>
      </c>
      <c r="CE429" s="36">
        <v>395</v>
      </c>
      <c r="CF429" s="33">
        <v>7</v>
      </c>
      <c r="CG429" s="33">
        <v>2</v>
      </c>
      <c r="CH429" s="33">
        <v>1</v>
      </c>
      <c r="CI429" s="33">
        <v>2</v>
      </c>
      <c r="CJ429" s="33">
        <v>1</v>
      </c>
      <c r="CK429" s="33">
        <v>0</v>
      </c>
      <c r="CL429" s="33">
        <v>1</v>
      </c>
      <c r="CM429" s="33">
        <v>1</v>
      </c>
      <c r="CN429" s="33">
        <v>13</v>
      </c>
      <c r="CO429" s="33">
        <v>3</v>
      </c>
      <c r="CP429" s="43">
        <v>9.9949234544664936E-2</v>
      </c>
      <c r="CQ429" s="33">
        <v>0</v>
      </c>
      <c r="CR429" s="33">
        <v>0</v>
      </c>
    </row>
    <row r="430" spans="1:96" ht="15" customHeight="1" x14ac:dyDescent="0.25">
      <c r="A430" s="26">
        <v>428</v>
      </c>
      <c r="B430" s="27">
        <v>47</v>
      </c>
      <c r="C430" s="27">
        <v>0</v>
      </c>
      <c r="D430" s="27">
        <v>1</v>
      </c>
      <c r="E430" s="27">
        <v>983</v>
      </c>
      <c r="F430" s="27">
        <v>2</v>
      </c>
      <c r="G430" s="27">
        <v>2</v>
      </c>
      <c r="H430" s="27">
        <v>2</v>
      </c>
      <c r="I430" s="27">
        <v>3</v>
      </c>
      <c r="J430" s="27">
        <v>1</v>
      </c>
      <c r="K430" s="27">
        <v>574</v>
      </c>
      <c r="L430" s="27">
        <v>1</v>
      </c>
      <c r="M430" s="27">
        <v>0</v>
      </c>
      <c r="N430" s="27">
        <v>65</v>
      </c>
      <c r="O430" s="27">
        <v>3</v>
      </c>
      <c r="P430" s="27">
        <v>2</v>
      </c>
      <c r="Q430" s="27">
        <v>4</v>
      </c>
      <c r="R430" s="27">
        <v>4</v>
      </c>
      <c r="S430" s="27">
        <v>3</v>
      </c>
      <c r="T430" s="27">
        <v>5070</v>
      </c>
      <c r="U430" s="27">
        <v>7389</v>
      </c>
      <c r="V430" s="27">
        <v>5</v>
      </c>
      <c r="W430" s="27">
        <v>0</v>
      </c>
      <c r="X430" s="27">
        <v>13</v>
      </c>
      <c r="Y430" s="27">
        <v>3</v>
      </c>
      <c r="Z430" s="27">
        <v>3</v>
      </c>
      <c r="AA430" s="27">
        <v>80</v>
      </c>
      <c r="AB430" s="27">
        <v>3</v>
      </c>
      <c r="AC430" s="27">
        <v>20</v>
      </c>
      <c r="AD430" s="27">
        <v>2</v>
      </c>
      <c r="AE430" s="27">
        <v>3</v>
      </c>
      <c r="AF430" s="27">
        <v>5</v>
      </c>
      <c r="AG430" s="27">
        <v>0</v>
      </c>
      <c r="AH430" s="27">
        <v>0</v>
      </c>
      <c r="AI430" s="28">
        <v>4</v>
      </c>
      <c r="AK430" s="36">
        <v>397</v>
      </c>
      <c r="AL430" s="33">
        <v>8</v>
      </c>
      <c r="AM430" s="33">
        <v>2</v>
      </c>
      <c r="AN430" s="33">
        <v>3</v>
      </c>
      <c r="AO430" s="33">
        <v>4</v>
      </c>
      <c r="AP430" s="33">
        <v>1</v>
      </c>
      <c r="AQ430" s="33">
        <v>0</v>
      </c>
      <c r="AR430" s="33">
        <v>3</v>
      </c>
      <c r="AS430" s="33">
        <v>5</v>
      </c>
      <c r="AT430" s="33">
        <v>0</v>
      </c>
      <c r="AU430" s="43">
        <v>0.32850307176179627</v>
      </c>
      <c r="AV430" s="33">
        <v>0</v>
      </c>
      <c r="AW430" s="33">
        <v>0</v>
      </c>
      <c r="AY430" s="36">
        <v>402</v>
      </c>
      <c r="AZ430" s="33">
        <v>4</v>
      </c>
      <c r="BA430" s="33">
        <v>1</v>
      </c>
      <c r="BB430" s="33">
        <v>0</v>
      </c>
      <c r="BC430" s="33">
        <v>3</v>
      </c>
      <c r="BD430" s="43">
        <v>1.5719260520681594E-2</v>
      </c>
      <c r="BE430" s="33">
        <v>0</v>
      </c>
      <c r="BF430" s="33">
        <v>0</v>
      </c>
      <c r="CE430" s="36">
        <v>396</v>
      </c>
      <c r="CF430" s="33">
        <v>21</v>
      </c>
      <c r="CG430" s="33">
        <v>1</v>
      </c>
      <c r="CH430" s="33">
        <v>4</v>
      </c>
      <c r="CI430" s="33">
        <v>2</v>
      </c>
      <c r="CJ430" s="33">
        <v>7</v>
      </c>
      <c r="CK430" s="33">
        <v>0</v>
      </c>
      <c r="CL430" s="33">
        <v>1</v>
      </c>
      <c r="CM430" s="33">
        <v>3</v>
      </c>
      <c r="CN430" s="33">
        <v>3</v>
      </c>
      <c r="CO430" s="33">
        <v>1</v>
      </c>
      <c r="CP430" s="43">
        <v>0.16615398144939705</v>
      </c>
      <c r="CQ430" s="33">
        <v>0</v>
      </c>
      <c r="CR430" s="33">
        <v>0</v>
      </c>
    </row>
    <row r="431" spans="1:96" ht="15" customHeight="1" x14ac:dyDescent="0.25">
      <c r="A431" s="26">
        <v>429</v>
      </c>
      <c r="B431" s="27">
        <v>46</v>
      </c>
      <c r="C431" s="27">
        <v>0</v>
      </c>
      <c r="D431" s="27">
        <v>1</v>
      </c>
      <c r="E431" s="27">
        <v>1009</v>
      </c>
      <c r="F431" s="27">
        <v>2</v>
      </c>
      <c r="G431" s="27">
        <v>2</v>
      </c>
      <c r="H431" s="27">
        <v>3</v>
      </c>
      <c r="I431" s="27">
        <v>1</v>
      </c>
      <c r="J431" s="27">
        <v>1</v>
      </c>
      <c r="K431" s="27">
        <v>575</v>
      </c>
      <c r="L431" s="27">
        <v>1</v>
      </c>
      <c r="M431" s="27">
        <v>1</v>
      </c>
      <c r="N431" s="27">
        <v>51</v>
      </c>
      <c r="O431" s="27">
        <v>3</v>
      </c>
      <c r="P431" s="27">
        <v>4</v>
      </c>
      <c r="Q431" s="27">
        <v>8</v>
      </c>
      <c r="R431" s="27">
        <v>3</v>
      </c>
      <c r="S431" s="27">
        <v>2</v>
      </c>
      <c r="T431" s="27">
        <v>17861</v>
      </c>
      <c r="U431" s="27">
        <v>2288</v>
      </c>
      <c r="V431" s="27">
        <v>6</v>
      </c>
      <c r="W431" s="27">
        <v>0</v>
      </c>
      <c r="X431" s="27">
        <v>13</v>
      </c>
      <c r="Y431" s="27">
        <v>3</v>
      </c>
      <c r="Z431" s="27">
        <v>3</v>
      </c>
      <c r="AA431" s="27">
        <v>80</v>
      </c>
      <c r="AB431" s="27">
        <v>0</v>
      </c>
      <c r="AC431" s="27">
        <v>26</v>
      </c>
      <c r="AD431" s="27">
        <v>2</v>
      </c>
      <c r="AE431" s="27">
        <v>1</v>
      </c>
      <c r="AF431" s="27">
        <v>3</v>
      </c>
      <c r="AG431" s="27">
        <v>2</v>
      </c>
      <c r="AH431" s="27">
        <v>0</v>
      </c>
      <c r="AI431" s="28">
        <v>1</v>
      </c>
      <c r="AK431" s="36">
        <v>398</v>
      </c>
      <c r="AL431" s="33">
        <v>4</v>
      </c>
      <c r="AM431" s="33">
        <v>2</v>
      </c>
      <c r="AN431" s="33">
        <v>4</v>
      </c>
      <c r="AO431" s="33">
        <v>1</v>
      </c>
      <c r="AP431" s="33">
        <v>1</v>
      </c>
      <c r="AQ431" s="33">
        <v>0</v>
      </c>
      <c r="AR431" s="33">
        <v>3</v>
      </c>
      <c r="AS431" s="33">
        <v>5</v>
      </c>
      <c r="AT431" s="33">
        <v>1</v>
      </c>
      <c r="AU431" s="43">
        <v>0.21752553109736103</v>
      </c>
      <c r="AV431" s="33">
        <v>0</v>
      </c>
      <c r="AW431" s="33">
        <v>0</v>
      </c>
      <c r="AY431" s="36">
        <v>403</v>
      </c>
      <c r="AZ431" s="33">
        <v>2</v>
      </c>
      <c r="BA431" s="33">
        <v>3</v>
      </c>
      <c r="BB431" s="33">
        <v>0</v>
      </c>
      <c r="BC431" s="33">
        <v>0</v>
      </c>
      <c r="BD431" s="43">
        <v>0.11690772887050198</v>
      </c>
      <c r="BE431" s="33">
        <v>0</v>
      </c>
      <c r="BF431" s="33">
        <v>0</v>
      </c>
      <c r="CE431" s="36">
        <v>397</v>
      </c>
      <c r="CF431" s="33">
        <v>8</v>
      </c>
      <c r="CG431" s="33">
        <v>2</v>
      </c>
      <c r="CH431" s="33">
        <v>3</v>
      </c>
      <c r="CI431" s="33">
        <v>3</v>
      </c>
      <c r="CJ431" s="33">
        <v>4</v>
      </c>
      <c r="CK431" s="33">
        <v>1</v>
      </c>
      <c r="CL431" s="33">
        <v>0</v>
      </c>
      <c r="CM431" s="33">
        <v>3</v>
      </c>
      <c r="CN431" s="33">
        <v>5</v>
      </c>
      <c r="CO431" s="33">
        <v>0</v>
      </c>
      <c r="CP431" s="43">
        <v>0.16662007820737382</v>
      </c>
      <c r="CQ431" s="33">
        <v>0</v>
      </c>
      <c r="CR431" s="33">
        <v>0</v>
      </c>
    </row>
    <row r="432" spans="1:96" ht="15" customHeight="1" x14ac:dyDescent="0.25">
      <c r="A432" s="26">
        <v>430</v>
      </c>
      <c r="B432" s="27">
        <v>35</v>
      </c>
      <c r="C432" s="27">
        <v>0</v>
      </c>
      <c r="D432" s="27">
        <v>1</v>
      </c>
      <c r="E432" s="27">
        <v>144</v>
      </c>
      <c r="F432" s="27">
        <v>2</v>
      </c>
      <c r="G432" s="27">
        <v>22</v>
      </c>
      <c r="H432" s="27">
        <v>3</v>
      </c>
      <c r="I432" s="27">
        <v>1</v>
      </c>
      <c r="J432" s="27">
        <v>1</v>
      </c>
      <c r="K432" s="27">
        <v>577</v>
      </c>
      <c r="L432" s="27">
        <v>4</v>
      </c>
      <c r="M432" s="27">
        <v>1</v>
      </c>
      <c r="N432" s="27">
        <v>46</v>
      </c>
      <c r="O432" s="27">
        <v>1</v>
      </c>
      <c r="P432" s="27">
        <v>1</v>
      </c>
      <c r="Q432" s="27">
        <v>3</v>
      </c>
      <c r="R432" s="27">
        <v>3</v>
      </c>
      <c r="S432" s="27">
        <v>1</v>
      </c>
      <c r="T432" s="27">
        <v>4230</v>
      </c>
      <c r="U432" s="27">
        <v>19225</v>
      </c>
      <c r="V432" s="27">
        <v>0</v>
      </c>
      <c r="W432" s="27">
        <v>0</v>
      </c>
      <c r="X432" s="27">
        <v>15</v>
      </c>
      <c r="Y432" s="27">
        <v>3</v>
      </c>
      <c r="Z432" s="27">
        <v>3</v>
      </c>
      <c r="AA432" s="27">
        <v>80</v>
      </c>
      <c r="AB432" s="27">
        <v>0</v>
      </c>
      <c r="AC432" s="27">
        <v>6</v>
      </c>
      <c r="AD432" s="27">
        <v>2</v>
      </c>
      <c r="AE432" s="27">
        <v>3</v>
      </c>
      <c r="AF432" s="27">
        <v>5</v>
      </c>
      <c r="AG432" s="27">
        <v>4</v>
      </c>
      <c r="AH432" s="27">
        <v>4</v>
      </c>
      <c r="AI432" s="28">
        <v>3</v>
      </c>
      <c r="AK432" s="36">
        <v>399</v>
      </c>
      <c r="AL432" s="33">
        <v>25</v>
      </c>
      <c r="AM432" s="33">
        <v>2</v>
      </c>
      <c r="AN432" s="33">
        <v>3</v>
      </c>
      <c r="AO432" s="33">
        <v>3</v>
      </c>
      <c r="AP432" s="33">
        <v>1</v>
      </c>
      <c r="AQ432" s="33">
        <v>2</v>
      </c>
      <c r="AR432" s="33">
        <v>3</v>
      </c>
      <c r="AS432" s="33">
        <v>13</v>
      </c>
      <c r="AT432" s="33">
        <v>10</v>
      </c>
      <c r="AU432" s="43">
        <v>0.30901501401181797</v>
      </c>
      <c r="AV432" s="33">
        <v>0</v>
      </c>
      <c r="AW432" s="33">
        <v>0</v>
      </c>
      <c r="AY432" s="36">
        <v>404</v>
      </c>
      <c r="AZ432" s="33">
        <v>3</v>
      </c>
      <c r="BA432" s="33">
        <v>1</v>
      </c>
      <c r="BB432" s="33">
        <v>0</v>
      </c>
      <c r="BC432" s="33">
        <v>1</v>
      </c>
      <c r="BD432" s="43">
        <v>7.4238208059117641E-2</v>
      </c>
      <c r="BE432" s="33">
        <v>0</v>
      </c>
      <c r="BF432" s="33">
        <v>0</v>
      </c>
      <c r="CE432" s="36">
        <v>398</v>
      </c>
      <c r="CF432" s="33">
        <v>4</v>
      </c>
      <c r="CG432" s="33">
        <v>2</v>
      </c>
      <c r="CH432" s="33">
        <v>4</v>
      </c>
      <c r="CI432" s="33">
        <v>1</v>
      </c>
      <c r="CJ432" s="33">
        <v>1</v>
      </c>
      <c r="CK432" s="33">
        <v>1</v>
      </c>
      <c r="CL432" s="33">
        <v>0</v>
      </c>
      <c r="CM432" s="33">
        <v>3</v>
      </c>
      <c r="CN432" s="33">
        <v>5</v>
      </c>
      <c r="CO432" s="33">
        <v>1</v>
      </c>
      <c r="CP432" s="43">
        <v>0.25252367105577922</v>
      </c>
      <c r="CQ432" s="33">
        <v>0</v>
      </c>
      <c r="CR432" s="33">
        <v>0</v>
      </c>
    </row>
    <row r="433" spans="1:96" ht="15" customHeight="1" x14ac:dyDescent="0.25">
      <c r="A433" s="26">
        <v>431</v>
      </c>
      <c r="B433" s="27">
        <v>54</v>
      </c>
      <c r="C433" s="27">
        <v>0</v>
      </c>
      <c r="D433" s="27">
        <v>1</v>
      </c>
      <c r="E433" s="27">
        <v>548</v>
      </c>
      <c r="F433" s="27">
        <v>2</v>
      </c>
      <c r="G433" s="27">
        <v>8</v>
      </c>
      <c r="H433" s="27">
        <v>4</v>
      </c>
      <c r="I433" s="27">
        <v>1</v>
      </c>
      <c r="J433" s="27">
        <v>1</v>
      </c>
      <c r="K433" s="27">
        <v>578</v>
      </c>
      <c r="L433" s="27">
        <v>3</v>
      </c>
      <c r="M433" s="27">
        <v>0</v>
      </c>
      <c r="N433" s="27">
        <v>42</v>
      </c>
      <c r="O433" s="27">
        <v>3</v>
      </c>
      <c r="P433" s="27">
        <v>2</v>
      </c>
      <c r="Q433" s="27">
        <v>3</v>
      </c>
      <c r="R433" s="27">
        <v>3</v>
      </c>
      <c r="S433" s="27">
        <v>1</v>
      </c>
      <c r="T433" s="27">
        <v>3780</v>
      </c>
      <c r="U433" s="27">
        <v>23428</v>
      </c>
      <c r="V433" s="27">
        <v>7</v>
      </c>
      <c r="W433" s="27">
        <v>0</v>
      </c>
      <c r="X433" s="27">
        <v>11</v>
      </c>
      <c r="Y433" s="27">
        <v>3</v>
      </c>
      <c r="Z433" s="27">
        <v>3</v>
      </c>
      <c r="AA433" s="27">
        <v>80</v>
      </c>
      <c r="AB433" s="27">
        <v>0</v>
      </c>
      <c r="AC433" s="27">
        <v>19</v>
      </c>
      <c r="AD433" s="27">
        <v>3</v>
      </c>
      <c r="AE433" s="27">
        <v>3</v>
      </c>
      <c r="AF433" s="27">
        <v>1</v>
      </c>
      <c r="AG433" s="27">
        <v>0</v>
      </c>
      <c r="AH433" s="27">
        <v>0</v>
      </c>
      <c r="AI433" s="28">
        <v>0</v>
      </c>
      <c r="AK433" s="36">
        <v>400</v>
      </c>
      <c r="AL433" s="33">
        <v>1</v>
      </c>
      <c r="AM433" s="33">
        <v>1</v>
      </c>
      <c r="AN433" s="33">
        <v>1</v>
      </c>
      <c r="AO433" s="33">
        <v>1</v>
      </c>
      <c r="AP433" s="33">
        <v>0</v>
      </c>
      <c r="AQ433" s="33">
        <v>1</v>
      </c>
      <c r="AR433" s="33">
        <v>3</v>
      </c>
      <c r="AS433" s="33">
        <v>4</v>
      </c>
      <c r="AT433" s="33">
        <v>3</v>
      </c>
      <c r="AU433" s="43">
        <v>0.15485795019217896</v>
      </c>
      <c r="AV433" s="33">
        <v>0</v>
      </c>
      <c r="AW433" s="33">
        <v>0</v>
      </c>
      <c r="AY433" s="36">
        <v>405</v>
      </c>
      <c r="AZ433" s="33">
        <v>2</v>
      </c>
      <c r="BA433" s="33">
        <v>1</v>
      </c>
      <c r="BB433" s="33">
        <v>0</v>
      </c>
      <c r="BC433" s="33">
        <v>1</v>
      </c>
      <c r="BD433" s="43">
        <v>0.12293502213131684</v>
      </c>
      <c r="BE433" s="33">
        <v>0</v>
      </c>
      <c r="BF433" s="33">
        <v>0</v>
      </c>
      <c r="CE433" s="36">
        <v>399</v>
      </c>
      <c r="CF433" s="33">
        <v>25</v>
      </c>
      <c r="CG433" s="33">
        <v>2</v>
      </c>
      <c r="CH433" s="33">
        <v>3</v>
      </c>
      <c r="CI433" s="33">
        <v>2</v>
      </c>
      <c r="CJ433" s="33">
        <v>3</v>
      </c>
      <c r="CK433" s="33">
        <v>1</v>
      </c>
      <c r="CL433" s="33">
        <v>2</v>
      </c>
      <c r="CM433" s="33">
        <v>3</v>
      </c>
      <c r="CN433" s="33">
        <v>13</v>
      </c>
      <c r="CO433" s="33">
        <v>10</v>
      </c>
      <c r="CP433" s="43">
        <v>0.39213648226426451</v>
      </c>
      <c r="CQ433" s="33">
        <v>0</v>
      </c>
      <c r="CR433" s="33">
        <v>0</v>
      </c>
    </row>
    <row r="434" spans="1:96" ht="15" customHeight="1" x14ac:dyDescent="0.25">
      <c r="A434" s="26">
        <v>432</v>
      </c>
      <c r="B434" s="27">
        <v>34</v>
      </c>
      <c r="C434" s="27">
        <v>0</v>
      </c>
      <c r="D434" s="27">
        <v>1</v>
      </c>
      <c r="E434" s="27">
        <v>1303</v>
      </c>
      <c r="F434" s="27">
        <v>2</v>
      </c>
      <c r="G434" s="27">
        <v>2</v>
      </c>
      <c r="H434" s="27">
        <v>4</v>
      </c>
      <c r="I434" s="27">
        <v>1</v>
      </c>
      <c r="J434" s="27">
        <v>1</v>
      </c>
      <c r="K434" s="27">
        <v>579</v>
      </c>
      <c r="L434" s="27">
        <v>4</v>
      </c>
      <c r="M434" s="27">
        <v>1</v>
      </c>
      <c r="N434" s="27">
        <v>62</v>
      </c>
      <c r="O434" s="27">
        <v>2</v>
      </c>
      <c r="P434" s="27">
        <v>1</v>
      </c>
      <c r="Q434" s="27">
        <v>2</v>
      </c>
      <c r="R434" s="27">
        <v>3</v>
      </c>
      <c r="S434" s="27">
        <v>3</v>
      </c>
      <c r="T434" s="27">
        <v>2768</v>
      </c>
      <c r="U434" s="27">
        <v>8416</v>
      </c>
      <c r="V434" s="27">
        <v>3</v>
      </c>
      <c r="W434" s="27">
        <v>0</v>
      </c>
      <c r="X434" s="27">
        <v>12</v>
      </c>
      <c r="Y434" s="27">
        <v>3</v>
      </c>
      <c r="Z434" s="27">
        <v>3</v>
      </c>
      <c r="AA434" s="27">
        <v>80</v>
      </c>
      <c r="AB434" s="27">
        <v>1</v>
      </c>
      <c r="AC434" s="27">
        <v>14</v>
      </c>
      <c r="AD434" s="27">
        <v>3</v>
      </c>
      <c r="AE434" s="27">
        <v>3</v>
      </c>
      <c r="AF434" s="27">
        <v>7</v>
      </c>
      <c r="AG434" s="27">
        <v>3</v>
      </c>
      <c r="AH434" s="27">
        <v>5</v>
      </c>
      <c r="AI434" s="28">
        <v>7</v>
      </c>
      <c r="AK434" s="36">
        <v>401</v>
      </c>
      <c r="AL434" s="33">
        <v>1</v>
      </c>
      <c r="AM434" s="33">
        <v>5</v>
      </c>
      <c r="AN434" s="33">
        <v>3</v>
      </c>
      <c r="AO434" s="33">
        <v>1</v>
      </c>
      <c r="AP434" s="33">
        <v>1</v>
      </c>
      <c r="AQ434" s="33">
        <v>1</v>
      </c>
      <c r="AR434" s="33">
        <v>3</v>
      </c>
      <c r="AS434" s="33">
        <v>21</v>
      </c>
      <c r="AT434" s="33">
        <v>1</v>
      </c>
      <c r="AU434" s="43">
        <v>1.1378538189052175E-2</v>
      </c>
      <c r="AV434" s="33">
        <v>0</v>
      </c>
      <c r="AW434" s="33">
        <v>0</v>
      </c>
      <c r="AY434" s="36">
        <v>406</v>
      </c>
      <c r="AZ434" s="33">
        <v>1</v>
      </c>
      <c r="BA434" s="33">
        <v>1</v>
      </c>
      <c r="BB434" s="33">
        <v>0</v>
      </c>
      <c r="BC434" s="33">
        <v>1</v>
      </c>
      <c r="BD434" s="43">
        <v>0.19678474515944386</v>
      </c>
      <c r="BE434" s="33">
        <v>0</v>
      </c>
      <c r="BF434" s="33">
        <v>1</v>
      </c>
      <c r="CE434" s="36">
        <v>400</v>
      </c>
      <c r="CF434" s="33">
        <v>1</v>
      </c>
      <c r="CG434" s="33">
        <v>1</v>
      </c>
      <c r="CH434" s="33">
        <v>1</v>
      </c>
      <c r="CI434" s="33">
        <v>2</v>
      </c>
      <c r="CJ434" s="33">
        <v>1</v>
      </c>
      <c r="CK434" s="33">
        <v>0</v>
      </c>
      <c r="CL434" s="33">
        <v>1</v>
      </c>
      <c r="CM434" s="33">
        <v>3</v>
      </c>
      <c r="CN434" s="33">
        <v>4</v>
      </c>
      <c r="CO434" s="33">
        <v>3</v>
      </c>
      <c r="CP434" s="43">
        <v>0.154273063754788</v>
      </c>
      <c r="CQ434" s="33">
        <v>0</v>
      </c>
      <c r="CR434" s="33">
        <v>0</v>
      </c>
    </row>
    <row r="435" spans="1:96" ht="15" customHeight="1" x14ac:dyDescent="0.25">
      <c r="A435" s="26">
        <v>433</v>
      </c>
      <c r="B435" s="27">
        <v>46</v>
      </c>
      <c r="C435" s="27">
        <v>0</v>
      </c>
      <c r="D435" s="27">
        <v>1</v>
      </c>
      <c r="E435" s="27">
        <v>1125</v>
      </c>
      <c r="F435" s="27">
        <v>1</v>
      </c>
      <c r="G435" s="27">
        <v>10</v>
      </c>
      <c r="H435" s="27">
        <v>3</v>
      </c>
      <c r="I435" s="27">
        <v>4</v>
      </c>
      <c r="J435" s="27">
        <v>1</v>
      </c>
      <c r="K435" s="27">
        <v>580</v>
      </c>
      <c r="L435" s="27">
        <v>3</v>
      </c>
      <c r="M435" s="27">
        <v>0</v>
      </c>
      <c r="N435" s="27">
        <v>94</v>
      </c>
      <c r="O435" s="27">
        <v>2</v>
      </c>
      <c r="P435" s="27">
        <v>3</v>
      </c>
      <c r="Q435" s="27">
        <v>1</v>
      </c>
      <c r="R435" s="27">
        <v>4</v>
      </c>
      <c r="S435" s="27">
        <v>2</v>
      </c>
      <c r="T435" s="27">
        <v>9071</v>
      </c>
      <c r="U435" s="27">
        <v>11563</v>
      </c>
      <c r="V435" s="27">
        <v>2</v>
      </c>
      <c r="W435" s="27">
        <v>1</v>
      </c>
      <c r="X435" s="27">
        <v>19</v>
      </c>
      <c r="Y435" s="27">
        <v>3</v>
      </c>
      <c r="Z435" s="27">
        <v>3</v>
      </c>
      <c r="AA435" s="27">
        <v>80</v>
      </c>
      <c r="AB435" s="27">
        <v>1</v>
      </c>
      <c r="AC435" s="27">
        <v>15</v>
      </c>
      <c r="AD435" s="27">
        <v>3</v>
      </c>
      <c r="AE435" s="27">
        <v>3</v>
      </c>
      <c r="AF435" s="27">
        <v>3</v>
      </c>
      <c r="AG435" s="27">
        <v>2</v>
      </c>
      <c r="AH435" s="27">
        <v>1</v>
      </c>
      <c r="AI435" s="28">
        <v>2</v>
      </c>
      <c r="AK435" s="36">
        <v>402</v>
      </c>
      <c r="AL435" s="33">
        <v>6</v>
      </c>
      <c r="AM435" s="33">
        <v>4</v>
      </c>
      <c r="AN435" s="33">
        <v>1</v>
      </c>
      <c r="AO435" s="33">
        <v>9</v>
      </c>
      <c r="AP435" s="33">
        <v>0</v>
      </c>
      <c r="AQ435" s="33">
        <v>3</v>
      </c>
      <c r="AR435" s="33">
        <v>2</v>
      </c>
      <c r="AS435" s="33">
        <v>7</v>
      </c>
      <c r="AT435" s="33">
        <v>7</v>
      </c>
      <c r="AU435" s="43">
        <v>4.0067649265520984E-2</v>
      </c>
      <c r="AV435" s="33">
        <v>0</v>
      </c>
      <c r="AW435" s="33">
        <v>0</v>
      </c>
      <c r="AY435" s="36">
        <v>407</v>
      </c>
      <c r="AZ435" s="33">
        <v>3</v>
      </c>
      <c r="BA435" s="33">
        <v>3</v>
      </c>
      <c r="BB435" s="33">
        <v>1</v>
      </c>
      <c r="BC435" s="33">
        <v>0</v>
      </c>
      <c r="BD435" s="43">
        <v>0.24457985721149755</v>
      </c>
      <c r="BE435" s="33">
        <v>0</v>
      </c>
      <c r="BF435" s="33">
        <v>0</v>
      </c>
      <c r="CE435" s="36">
        <v>401</v>
      </c>
      <c r="CF435" s="33">
        <v>1</v>
      </c>
      <c r="CG435" s="33">
        <v>5</v>
      </c>
      <c r="CH435" s="33">
        <v>3</v>
      </c>
      <c r="CI435" s="33">
        <v>3</v>
      </c>
      <c r="CJ435" s="33">
        <v>1</v>
      </c>
      <c r="CK435" s="33">
        <v>1</v>
      </c>
      <c r="CL435" s="33">
        <v>1</v>
      </c>
      <c r="CM435" s="33">
        <v>3</v>
      </c>
      <c r="CN435" s="33">
        <v>21</v>
      </c>
      <c r="CO435" s="33">
        <v>1</v>
      </c>
      <c r="CP435" s="43">
        <v>6.7660909603674381E-3</v>
      </c>
      <c r="CQ435" s="33">
        <v>0</v>
      </c>
      <c r="CR435" s="33">
        <v>0</v>
      </c>
    </row>
    <row r="436" spans="1:96" ht="15" customHeight="1" x14ac:dyDescent="0.25">
      <c r="A436" s="26">
        <v>434</v>
      </c>
      <c r="B436" s="27">
        <v>31</v>
      </c>
      <c r="C436" s="27">
        <v>0</v>
      </c>
      <c r="D436" s="27">
        <v>1</v>
      </c>
      <c r="E436" s="27">
        <v>1274</v>
      </c>
      <c r="F436" s="27">
        <v>2</v>
      </c>
      <c r="G436" s="27">
        <v>9</v>
      </c>
      <c r="H436" s="27">
        <v>1</v>
      </c>
      <c r="I436" s="27">
        <v>1</v>
      </c>
      <c r="J436" s="27">
        <v>1</v>
      </c>
      <c r="K436" s="27">
        <v>581</v>
      </c>
      <c r="L436" s="27">
        <v>3</v>
      </c>
      <c r="M436" s="27">
        <v>1</v>
      </c>
      <c r="N436" s="27">
        <v>33</v>
      </c>
      <c r="O436" s="27">
        <v>3</v>
      </c>
      <c r="P436" s="27">
        <v>3</v>
      </c>
      <c r="Q436" s="27">
        <v>4</v>
      </c>
      <c r="R436" s="27">
        <v>2</v>
      </c>
      <c r="S436" s="27">
        <v>3</v>
      </c>
      <c r="T436" s="27">
        <v>10648</v>
      </c>
      <c r="U436" s="27">
        <v>14394</v>
      </c>
      <c r="V436" s="27">
        <v>1</v>
      </c>
      <c r="W436" s="27">
        <v>0</v>
      </c>
      <c r="X436" s="27">
        <v>25</v>
      </c>
      <c r="Y436" s="27">
        <v>4</v>
      </c>
      <c r="Z436" s="27">
        <v>4</v>
      </c>
      <c r="AA436" s="27">
        <v>80</v>
      </c>
      <c r="AB436" s="27">
        <v>1</v>
      </c>
      <c r="AC436" s="27">
        <v>13</v>
      </c>
      <c r="AD436" s="27">
        <v>6</v>
      </c>
      <c r="AE436" s="27">
        <v>4</v>
      </c>
      <c r="AF436" s="27">
        <v>13</v>
      </c>
      <c r="AG436" s="27">
        <v>8</v>
      </c>
      <c r="AH436" s="27">
        <v>0</v>
      </c>
      <c r="AI436" s="28">
        <v>8</v>
      </c>
      <c r="AK436" s="36">
        <v>403</v>
      </c>
      <c r="AL436" s="33">
        <v>12</v>
      </c>
      <c r="AM436" s="33">
        <v>2</v>
      </c>
      <c r="AN436" s="33">
        <v>3</v>
      </c>
      <c r="AO436" s="33">
        <v>0</v>
      </c>
      <c r="AP436" s="33">
        <v>0</v>
      </c>
      <c r="AQ436" s="33">
        <v>0</v>
      </c>
      <c r="AR436" s="33">
        <v>3</v>
      </c>
      <c r="AS436" s="33">
        <v>5</v>
      </c>
      <c r="AT436" s="33">
        <v>4</v>
      </c>
      <c r="AU436" s="43">
        <v>0.12584003361009491</v>
      </c>
      <c r="AV436" s="33">
        <v>0</v>
      </c>
      <c r="AW436" s="33">
        <v>0</v>
      </c>
      <c r="AY436" s="36">
        <v>408</v>
      </c>
      <c r="AZ436" s="33">
        <v>1</v>
      </c>
      <c r="BA436" s="33">
        <v>4</v>
      </c>
      <c r="BB436" s="33">
        <v>0</v>
      </c>
      <c r="BC436" s="33">
        <v>2</v>
      </c>
      <c r="BD436" s="43">
        <v>5.6717470552978752E-2</v>
      </c>
      <c r="BE436" s="33">
        <v>0</v>
      </c>
      <c r="BF436" s="33">
        <v>0</v>
      </c>
      <c r="CE436" s="36">
        <v>402</v>
      </c>
      <c r="CF436" s="33">
        <v>6</v>
      </c>
      <c r="CG436" s="33">
        <v>4</v>
      </c>
      <c r="CH436" s="33">
        <v>1</v>
      </c>
      <c r="CI436" s="33">
        <v>2</v>
      </c>
      <c r="CJ436" s="33">
        <v>9</v>
      </c>
      <c r="CK436" s="33">
        <v>0</v>
      </c>
      <c r="CL436" s="33">
        <v>3</v>
      </c>
      <c r="CM436" s="33">
        <v>2</v>
      </c>
      <c r="CN436" s="33">
        <v>7</v>
      </c>
      <c r="CO436" s="33">
        <v>7</v>
      </c>
      <c r="CP436" s="43">
        <v>8.1553946040972713E-2</v>
      </c>
      <c r="CQ436" s="33">
        <v>0</v>
      </c>
      <c r="CR436" s="33">
        <v>0</v>
      </c>
    </row>
    <row r="437" spans="1:96" ht="15" customHeight="1" x14ac:dyDescent="0.25">
      <c r="A437" s="26">
        <v>435</v>
      </c>
      <c r="B437" s="27">
        <v>33</v>
      </c>
      <c r="C437" s="27">
        <v>1</v>
      </c>
      <c r="D437" s="27">
        <v>1</v>
      </c>
      <c r="E437" s="27">
        <v>1277</v>
      </c>
      <c r="F437" s="27">
        <v>2</v>
      </c>
      <c r="G437" s="27">
        <v>15</v>
      </c>
      <c r="H437" s="27">
        <v>1</v>
      </c>
      <c r="I437" s="27">
        <v>3</v>
      </c>
      <c r="J437" s="27">
        <v>1</v>
      </c>
      <c r="K437" s="27">
        <v>582</v>
      </c>
      <c r="L437" s="27">
        <v>2</v>
      </c>
      <c r="M437" s="27">
        <v>1</v>
      </c>
      <c r="N437" s="27">
        <v>56</v>
      </c>
      <c r="O437" s="27">
        <v>3</v>
      </c>
      <c r="P437" s="27">
        <v>3</v>
      </c>
      <c r="Q437" s="27">
        <v>6</v>
      </c>
      <c r="R437" s="27">
        <v>3</v>
      </c>
      <c r="S437" s="27">
        <v>2</v>
      </c>
      <c r="T437" s="27">
        <v>13610</v>
      </c>
      <c r="U437" s="27">
        <v>24619</v>
      </c>
      <c r="V437" s="27">
        <v>7</v>
      </c>
      <c r="W437" s="27">
        <v>1</v>
      </c>
      <c r="X437" s="27">
        <v>12</v>
      </c>
      <c r="Y437" s="27">
        <v>3</v>
      </c>
      <c r="Z437" s="27">
        <v>4</v>
      </c>
      <c r="AA437" s="27">
        <v>80</v>
      </c>
      <c r="AB437" s="27">
        <v>0</v>
      </c>
      <c r="AC437" s="27">
        <v>15</v>
      </c>
      <c r="AD437" s="27">
        <v>2</v>
      </c>
      <c r="AE437" s="27">
        <v>4</v>
      </c>
      <c r="AF437" s="27">
        <v>7</v>
      </c>
      <c r="AG437" s="27">
        <v>6</v>
      </c>
      <c r="AH437" s="27">
        <v>7</v>
      </c>
      <c r="AI437" s="28">
        <v>7</v>
      </c>
      <c r="AK437" s="36">
        <v>404</v>
      </c>
      <c r="AL437" s="33">
        <v>1</v>
      </c>
      <c r="AM437" s="33">
        <v>3</v>
      </c>
      <c r="AN437" s="33">
        <v>1</v>
      </c>
      <c r="AO437" s="33">
        <v>1</v>
      </c>
      <c r="AP437" s="33">
        <v>0</v>
      </c>
      <c r="AQ437" s="33">
        <v>1</v>
      </c>
      <c r="AR437" s="33">
        <v>3</v>
      </c>
      <c r="AS437" s="33">
        <v>10</v>
      </c>
      <c r="AT437" s="33">
        <v>0</v>
      </c>
      <c r="AU437" s="43">
        <v>2.7309238539808035E-2</v>
      </c>
      <c r="AV437" s="33">
        <v>0</v>
      </c>
      <c r="AW437" s="33">
        <v>0</v>
      </c>
      <c r="AY437" s="36">
        <v>409</v>
      </c>
      <c r="AZ437" s="33">
        <v>4</v>
      </c>
      <c r="BA437" s="33">
        <v>4</v>
      </c>
      <c r="BB437" s="33">
        <v>0</v>
      </c>
      <c r="BC437" s="33">
        <v>0</v>
      </c>
      <c r="BD437" s="43">
        <v>3.1333013053779842E-2</v>
      </c>
      <c r="BE437" s="33">
        <v>0</v>
      </c>
      <c r="BF437" s="33">
        <v>0</v>
      </c>
      <c r="CE437" s="36">
        <v>403</v>
      </c>
      <c r="CF437" s="33">
        <v>12</v>
      </c>
      <c r="CG437" s="33">
        <v>2</v>
      </c>
      <c r="CH437" s="33">
        <v>3</v>
      </c>
      <c r="CI437" s="33">
        <v>1</v>
      </c>
      <c r="CJ437" s="33">
        <v>0</v>
      </c>
      <c r="CK437" s="33">
        <v>0</v>
      </c>
      <c r="CL437" s="33">
        <v>0</v>
      </c>
      <c r="CM437" s="33">
        <v>3</v>
      </c>
      <c r="CN437" s="33">
        <v>5</v>
      </c>
      <c r="CO437" s="33">
        <v>4</v>
      </c>
      <c r="CP437" s="43">
        <v>0.14675693688497027</v>
      </c>
      <c r="CQ437" s="33">
        <v>0</v>
      </c>
      <c r="CR437" s="33">
        <v>0</v>
      </c>
    </row>
    <row r="438" spans="1:96" ht="15" customHeight="1" x14ac:dyDescent="0.25">
      <c r="A438" s="26">
        <v>436</v>
      </c>
      <c r="B438" s="27">
        <v>33</v>
      </c>
      <c r="C438" s="27">
        <v>1</v>
      </c>
      <c r="D438" s="27">
        <v>1</v>
      </c>
      <c r="E438" s="27">
        <v>587</v>
      </c>
      <c r="F438" s="27">
        <v>2</v>
      </c>
      <c r="G438" s="27">
        <v>10</v>
      </c>
      <c r="H438" s="27">
        <v>1</v>
      </c>
      <c r="I438" s="27">
        <v>3</v>
      </c>
      <c r="J438" s="27">
        <v>1</v>
      </c>
      <c r="K438" s="27">
        <v>584</v>
      </c>
      <c r="L438" s="27">
        <v>1</v>
      </c>
      <c r="M438" s="27">
        <v>1</v>
      </c>
      <c r="N438" s="27">
        <v>38</v>
      </c>
      <c r="O438" s="27">
        <v>1</v>
      </c>
      <c r="P438" s="27">
        <v>1</v>
      </c>
      <c r="Q438" s="27">
        <v>3</v>
      </c>
      <c r="R438" s="27">
        <v>4</v>
      </c>
      <c r="S438" s="27">
        <v>3</v>
      </c>
      <c r="T438" s="27">
        <v>3408</v>
      </c>
      <c r="U438" s="27">
        <v>6705</v>
      </c>
      <c r="V438" s="27">
        <v>7</v>
      </c>
      <c r="W438" s="27">
        <v>0</v>
      </c>
      <c r="X438" s="27">
        <v>13</v>
      </c>
      <c r="Y438" s="27">
        <v>3</v>
      </c>
      <c r="Z438" s="27">
        <v>1</v>
      </c>
      <c r="AA438" s="27">
        <v>80</v>
      </c>
      <c r="AB438" s="27">
        <v>3</v>
      </c>
      <c r="AC438" s="27">
        <v>8</v>
      </c>
      <c r="AD438" s="27">
        <v>2</v>
      </c>
      <c r="AE438" s="27">
        <v>3</v>
      </c>
      <c r="AF438" s="27">
        <v>4</v>
      </c>
      <c r="AG438" s="27">
        <v>3</v>
      </c>
      <c r="AH438" s="27">
        <v>1</v>
      </c>
      <c r="AI438" s="28">
        <v>3</v>
      </c>
      <c r="AK438" s="36">
        <v>405</v>
      </c>
      <c r="AL438" s="33">
        <v>17</v>
      </c>
      <c r="AM438" s="33">
        <v>2</v>
      </c>
      <c r="AN438" s="33">
        <v>1</v>
      </c>
      <c r="AO438" s="33">
        <v>1</v>
      </c>
      <c r="AP438" s="33">
        <v>0</v>
      </c>
      <c r="AQ438" s="33">
        <v>1</v>
      </c>
      <c r="AR438" s="33">
        <v>3</v>
      </c>
      <c r="AS438" s="33">
        <v>10</v>
      </c>
      <c r="AT438" s="33">
        <v>1</v>
      </c>
      <c r="AU438" s="43">
        <v>8.5510213141464078E-2</v>
      </c>
      <c r="AV438" s="33">
        <v>0</v>
      </c>
      <c r="AW438" s="33">
        <v>0</v>
      </c>
      <c r="AY438" s="36">
        <v>410</v>
      </c>
      <c r="AZ438" s="33">
        <v>2</v>
      </c>
      <c r="BA438" s="33">
        <v>3</v>
      </c>
      <c r="BB438" s="33">
        <v>0</v>
      </c>
      <c r="BC438" s="33">
        <v>1</v>
      </c>
      <c r="BD438" s="43">
        <v>7.244788656931947E-2</v>
      </c>
      <c r="BE438" s="33">
        <v>0</v>
      </c>
      <c r="BF438" s="33">
        <v>0</v>
      </c>
      <c r="CE438" s="36">
        <v>404</v>
      </c>
      <c r="CF438" s="33">
        <v>1</v>
      </c>
      <c r="CG438" s="33">
        <v>3</v>
      </c>
      <c r="CH438" s="33">
        <v>1</v>
      </c>
      <c r="CI438" s="33">
        <v>2</v>
      </c>
      <c r="CJ438" s="33">
        <v>1</v>
      </c>
      <c r="CK438" s="33">
        <v>0</v>
      </c>
      <c r="CL438" s="33">
        <v>1</v>
      </c>
      <c r="CM438" s="33">
        <v>3</v>
      </c>
      <c r="CN438" s="33">
        <v>10</v>
      </c>
      <c r="CO438" s="33">
        <v>0</v>
      </c>
      <c r="CP438" s="43">
        <v>2.7471127374299281E-2</v>
      </c>
      <c r="CQ438" s="33">
        <v>0</v>
      </c>
      <c r="CR438" s="33">
        <v>0</v>
      </c>
    </row>
    <row r="439" spans="1:96" ht="15" customHeight="1" x14ac:dyDescent="0.25">
      <c r="A439" s="26">
        <v>437</v>
      </c>
      <c r="B439" s="27">
        <v>30</v>
      </c>
      <c r="C439" s="27">
        <v>0</v>
      </c>
      <c r="D439" s="27">
        <v>1</v>
      </c>
      <c r="E439" s="27">
        <v>413</v>
      </c>
      <c r="F439" s="27">
        <v>1</v>
      </c>
      <c r="G439" s="27">
        <v>7</v>
      </c>
      <c r="H439" s="27">
        <v>1</v>
      </c>
      <c r="I439" s="27">
        <v>4</v>
      </c>
      <c r="J439" s="27">
        <v>1</v>
      </c>
      <c r="K439" s="27">
        <v>585</v>
      </c>
      <c r="L439" s="27">
        <v>4</v>
      </c>
      <c r="M439" s="27">
        <v>1</v>
      </c>
      <c r="N439" s="27">
        <v>57</v>
      </c>
      <c r="O439" s="27">
        <v>3</v>
      </c>
      <c r="P439" s="27">
        <v>1</v>
      </c>
      <c r="Q439" s="27">
        <v>7</v>
      </c>
      <c r="R439" s="27">
        <v>2</v>
      </c>
      <c r="S439" s="27">
        <v>1</v>
      </c>
      <c r="T439" s="27">
        <v>2983</v>
      </c>
      <c r="U439" s="27">
        <v>18398</v>
      </c>
      <c r="V439" s="27">
        <v>0</v>
      </c>
      <c r="W439" s="27">
        <v>0</v>
      </c>
      <c r="X439" s="27">
        <v>14</v>
      </c>
      <c r="Y439" s="27">
        <v>3</v>
      </c>
      <c r="Z439" s="27">
        <v>1</v>
      </c>
      <c r="AA439" s="27">
        <v>80</v>
      </c>
      <c r="AB439" s="27">
        <v>0</v>
      </c>
      <c r="AC439" s="27">
        <v>4</v>
      </c>
      <c r="AD439" s="27">
        <v>3</v>
      </c>
      <c r="AE439" s="27">
        <v>3</v>
      </c>
      <c r="AF439" s="27">
        <v>3</v>
      </c>
      <c r="AG439" s="27">
        <v>2</v>
      </c>
      <c r="AH439" s="27">
        <v>1</v>
      </c>
      <c r="AI439" s="28">
        <v>2</v>
      </c>
      <c r="AK439" s="36">
        <v>406</v>
      </c>
      <c r="AL439" s="33">
        <v>3</v>
      </c>
      <c r="AM439" s="33">
        <v>1</v>
      </c>
      <c r="AN439" s="33">
        <v>1</v>
      </c>
      <c r="AO439" s="33">
        <v>5</v>
      </c>
      <c r="AP439" s="33">
        <v>0</v>
      </c>
      <c r="AQ439" s="33">
        <v>1</v>
      </c>
      <c r="AR439" s="33">
        <v>3</v>
      </c>
      <c r="AS439" s="33">
        <v>2</v>
      </c>
      <c r="AT439" s="33">
        <v>0</v>
      </c>
      <c r="AU439" s="43">
        <v>0.18397955337247524</v>
      </c>
      <c r="AV439" s="33">
        <v>0</v>
      </c>
      <c r="AW439" s="33">
        <v>1</v>
      </c>
      <c r="AY439" s="36">
        <v>411</v>
      </c>
      <c r="AZ439" s="33">
        <v>2</v>
      </c>
      <c r="BA439" s="33">
        <v>4</v>
      </c>
      <c r="BB439" s="33">
        <v>0</v>
      </c>
      <c r="BC439" s="33">
        <v>0</v>
      </c>
      <c r="BD439" s="43">
        <v>8.9935487507215722E-2</v>
      </c>
      <c r="BE439" s="33">
        <v>0</v>
      </c>
      <c r="BF439" s="33">
        <v>0</v>
      </c>
      <c r="CE439" s="36">
        <v>405</v>
      </c>
      <c r="CF439" s="33">
        <v>17</v>
      </c>
      <c r="CG439" s="33">
        <v>2</v>
      </c>
      <c r="CH439" s="33">
        <v>1</v>
      </c>
      <c r="CI439" s="33">
        <v>3</v>
      </c>
      <c r="CJ439" s="33">
        <v>1</v>
      </c>
      <c r="CK439" s="33">
        <v>0</v>
      </c>
      <c r="CL439" s="33">
        <v>1</v>
      </c>
      <c r="CM439" s="33">
        <v>3</v>
      </c>
      <c r="CN439" s="33">
        <v>10</v>
      </c>
      <c r="CO439" s="33">
        <v>1</v>
      </c>
      <c r="CP439" s="43">
        <v>5.0631814753910556E-2</v>
      </c>
      <c r="CQ439" s="33">
        <v>0</v>
      </c>
      <c r="CR439" s="33">
        <v>0</v>
      </c>
    </row>
    <row r="440" spans="1:96" ht="15" customHeight="1" x14ac:dyDescent="0.25">
      <c r="A440" s="26">
        <v>438</v>
      </c>
      <c r="B440" s="27">
        <v>35</v>
      </c>
      <c r="C440" s="27">
        <v>0</v>
      </c>
      <c r="D440" s="27">
        <v>1</v>
      </c>
      <c r="E440" s="27">
        <v>1276</v>
      </c>
      <c r="F440" s="27">
        <v>2</v>
      </c>
      <c r="G440" s="27">
        <v>16</v>
      </c>
      <c r="H440" s="27">
        <v>3</v>
      </c>
      <c r="I440" s="27">
        <v>1</v>
      </c>
      <c r="J440" s="27">
        <v>1</v>
      </c>
      <c r="K440" s="27">
        <v>586</v>
      </c>
      <c r="L440" s="27">
        <v>4</v>
      </c>
      <c r="M440" s="27">
        <v>1</v>
      </c>
      <c r="N440" s="27">
        <v>72</v>
      </c>
      <c r="O440" s="27">
        <v>3</v>
      </c>
      <c r="P440" s="27">
        <v>3</v>
      </c>
      <c r="Q440" s="27">
        <v>5</v>
      </c>
      <c r="R440" s="27">
        <v>3</v>
      </c>
      <c r="S440" s="27">
        <v>2</v>
      </c>
      <c r="T440" s="27">
        <v>7632</v>
      </c>
      <c r="U440" s="27">
        <v>14295</v>
      </c>
      <c r="V440" s="27">
        <v>4</v>
      </c>
      <c r="W440" s="27">
        <v>1</v>
      </c>
      <c r="X440" s="27">
        <v>12</v>
      </c>
      <c r="Y440" s="27">
        <v>3</v>
      </c>
      <c r="Z440" s="27">
        <v>3</v>
      </c>
      <c r="AA440" s="27">
        <v>80</v>
      </c>
      <c r="AB440" s="27">
        <v>0</v>
      </c>
      <c r="AC440" s="27">
        <v>10</v>
      </c>
      <c r="AD440" s="27">
        <v>2</v>
      </c>
      <c r="AE440" s="27">
        <v>3</v>
      </c>
      <c r="AF440" s="27">
        <v>8</v>
      </c>
      <c r="AG440" s="27">
        <v>7</v>
      </c>
      <c r="AH440" s="27">
        <v>0</v>
      </c>
      <c r="AI440" s="28">
        <v>0</v>
      </c>
      <c r="AK440" s="36">
        <v>407</v>
      </c>
      <c r="AL440" s="33">
        <v>3</v>
      </c>
      <c r="AM440" s="33">
        <v>3</v>
      </c>
      <c r="AN440" s="33">
        <v>3</v>
      </c>
      <c r="AO440" s="33">
        <v>2</v>
      </c>
      <c r="AP440" s="33">
        <v>1</v>
      </c>
      <c r="AQ440" s="33">
        <v>0</v>
      </c>
      <c r="AR440" s="33">
        <v>3</v>
      </c>
      <c r="AS440" s="33">
        <v>5</v>
      </c>
      <c r="AT440" s="33">
        <v>0</v>
      </c>
      <c r="AU440" s="43">
        <v>0.16760465317421036</v>
      </c>
      <c r="AV440" s="33">
        <v>0</v>
      </c>
      <c r="AW440" s="33">
        <v>0</v>
      </c>
      <c r="AY440" s="36">
        <v>412</v>
      </c>
      <c r="AZ440" s="33">
        <v>5</v>
      </c>
      <c r="BA440" s="33">
        <v>1</v>
      </c>
      <c r="BB440" s="33">
        <v>0</v>
      </c>
      <c r="BC440" s="33">
        <v>0</v>
      </c>
      <c r="BD440" s="43">
        <v>4.2593477146653583E-2</v>
      </c>
      <c r="BE440" s="33">
        <v>0</v>
      </c>
      <c r="BF440" s="33">
        <v>0</v>
      </c>
      <c r="CE440" s="36">
        <v>406</v>
      </c>
      <c r="CF440" s="33">
        <v>3</v>
      </c>
      <c r="CG440" s="33">
        <v>1</v>
      </c>
      <c r="CH440" s="33">
        <v>1</v>
      </c>
      <c r="CI440" s="33">
        <v>2</v>
      </c>
      <c r="CJ440" s="33">
        <v>5</v>
      </c>
      <c r="CK440" s="33">
        <v>0</v>
      </c>
      <c r="CL440" s="33">
        <v>1</v>
      </c>
      <c r="CM440" s="33">
        <v>3</v>
      </c>
      <c r="CN440" s="33">
        <v>2</v>
      </c>
      <c r="CO440" s="33">
        <v>0</v>
      </c>
      <c r="CP440" s="43">
        <v>0.18292792476254055</v>
      </c>
      <c r="CQ440" s="33">
        <v>0</v>
      </c>
      <c r="CR440" s="33">
        <v>1</v>
      </c>
    </row>
    <row r="441" spans="1:96" ht="15" customHeight="1" x14ac:dyDescent="0.25">
      <c r="A441" s="26">
        <v>439</v>
      </c>
      <c r="B441" s="27">
        <v>31</v>
      </c>
      <c r="C441" s="27">
        <v>1</v>
      </c>
      <c r="D441" s="27">
        <v>2</v>
      </c>
      <c r="E441" s="27">
        <v>534</v>
      </c>
      <c r="F441" s="27">
        <v>2</v>
      </c>
      <c r="G441" s="27">
        <v>20</v>
      </c>
      <c r="H441" s="27">
        <v>3</v>
      </c>
      <c r="I441" s="27">
        <v>1</v>
      </c>
      <c r="J441" s="27">
        <v>1</v>
      </c>
      <c r="K441" s="27">
        <v>587</v>
      </c>
      <c r="L441" s="27">
        <v>1</v>
      </c>
      <c r="M441" s="27">
        <v>1</v>
      </c>
      <c r="N441" s="27">
        <v>66</v>
      </c>
      <c r="O441" s="27">
        <v>3</v>
      </c>
      <c r="P441" s="27">
        <v>3</v>
      </c>
      <c r="Q441" s="27">
        <v>5</v>
      </c>
      <c r="R441" s="27">
        <v>3</v>
      </c>
      <c r="S441" s="27">
        <v>2</v>
      </c>
      <c r="T441" s="27">
        <v>9824</v>
      </c>
      <c r="U441" s="27">
        <v>22908</v>
      </c>
      <c r="V441" s="27">
        <v>3</v>
      </c>
      <c r="W441" s="27">
        <v>0</v>
      </c>
      <c r="X441" s="27">
        <v>12</v>
      </c>
      <c r="Y441" s="27">
        <v>3</v>
      </c>
      <c r="Z441" s="27">
        <v>1</v>
      </c>
      <c r="AA441" s="27">
        <v>80</v>
      </c>
      <c r="AB441" s="27">
        <v>0</v>
      </c>
      <c r="AC441" s="27">
        <v>12</v>
      </c>
      <c r="AD441" s="27">
        <v>2</v>
      </c>
      <c r="AE441" s="27">
        <v>3</v>
      </c>
      <c r="AF441" s="27">
        <v>1</v>
      </c>
      <c r="AG441" s="27">
        <v>0</v>
      </c>
      <c r="AH441" s="27">
        <v>0</v>
      </c>
      <c r="AI441" s="28">
        <v>0</v>
      </c>
      <c r="AK441" s="36">
        <v>408</v>
      </c>
      <c r="AL441" s="33">
        <v>10</v>
      </c>
      <c r="AM441" s="33">
        <v>1</v>
      </c>
      <c r="AN441" s="33">
        <v>4</v>
      </c>
      <c r="AO441" s="33">
        <v>3</v>
      </c>
      <c r="AP441" s="33">
        <v>0</v>
      </c>
      <c r="AQ441" s="33">
        <v>2</v>
      </c>
      <c r="AR441" s="33">
        <v>2</v>
      </c>
      <c r="AS441" s="33">
        <v>2</v>
      </c>
      <c r="AT441" s="33">
        <v>0</v>
      </c>
      <c r="AU441" s="43">
        <v>6.7057090397689437E-2</v>
      </c>
      <c r="AV441" s="33">
        <v>0</v>
      </c>
      <c r="AW441" s="33">
        <v>0</v>
      </c>
      <c r="AY441" s="36">
        <v>413</v>
      </c>
      <c r="AZ441" s="33">
        <v>2</v>
      </c>
      <c r="BA441" s="33">
        <v>3</v>
      </c>
      <c r="BB441" s="33">
        <v>0</v>
      </c>
      <c r="BC441" s="33">
        <v>1</v>
      </c>
      <c r="BD441" s="43">
        <v>7.244788656931947E-2</v>
      </c>
      <c r="BE441" s="33">
        <v>0</v>
      </c>
      <c r="BF441" s="33">
        <v>0</v>
      </c>
      <c r="CE441" s="36">
        <v>407</v>
      </c>
      <c r="CF441" s="33">
        <v>3</v>
      </c>
      <c r="CG441" s="33">
        <v>3</v>
      </c>
      <c r="CH441" s="33">
        <v>3</v>
      </c>
      <c r="CI441" s="33">
        <v>2</v>
      </c>
      <c r="CJ441" s="33">
        <v>2</v>
      </c>
      <c r="CK441" s="33">
        <v>1</v>
      </c>
      <c r="CL441" s="33">
        <v>0</v>
      </c>
      <c r="CM441" s="33">
        <v>3</v>
      </c>
      <c r="CN441" s="33">
        <v>5</v>
      </c>
      <c r="CO441" s="33">
        <v>0</v>
      </c>
      <c r="CP441" s="43">
        <v>0.1263710788530808</v>
      </c>
      <c r="CQ441" s="33">
        <v>0</v>
      </c>
      <c r="CR441" s="33">
        <v>0</v>
      </c>
    </row>
    <row r="442" spans="1:96" ht="15" customHeight="1" x14ac:dyDescent="0.25">
      <c r="A442" s="26">
        <v>440</v>
      </c>
      <c r="B442" s="27">
        <v>34</v>
      </c>
      <c r="C442" s="27">
        <v>1</v>
      </c>
      <c r="D442" s="27">
        <v>2</v>
      </c>
      <c r="E442" s="27">
        <v>988</v>
      </c>
      <c r="F442" s="27">
        <v>3</v>
      </c>
      <c r="G442" s="27">
        <v>23</v>
      </c>
      <c r="H442" s="27">
        <v>3</v>
      </c>
      <c r="I442" s="27">
        <v>2</v>
      </c>
      <c r="J442" s="27">
        <v>1</v>
      </c>
      <c r="K442" s="27">
        <v>590</v>
      </c>
      <c r="L442" s="27">
        <v>2</v>
      </c>
      <c r="M442" s="27">
        <v>0</v>
      </c>
      <c r="N442" s="27">
        <v>43</v>
      </c>
      <c r="O442" s="27">
        <v>3</v>
      </c>
      <c r="P442" s="27">
        <v>3</v>
      </c>
      <c r="Q442" s="27">
        <v>9</v>
      </c>
      <c r="R442" s="27">
        <v>1</v>
      </c>
      <c r="S442" s="27">
        <v>3</v>
      </c>
      <c r="T442" s="27">
        <v>9950</v>
      </c>
      <c r="U442" s="27">
        <v>11533</v>
      </c>
      <c r="V442" s="27">
        <v>9</v>
      </c>
      <c r="W442" s="27">
        <v>1</v>
      </c>
      <c r="X442" s="27">
        <v>15</v>
      </c>
      <c r="Y442" s="27">
        <v>3</v>
      </c>
      <c r="Z442" s="27">
        <v>3</v>
      </c>
      <c r="AA442" s="27">
        <v>80</v>
      </c>
      <c r="AB442" s="27">
        <v>3</v>
      </c>
      <c r="AC442" s="27">
        <v>11</v>
      </c>
      <c r="AD442" s="27">
        <v>2</v>
      </c>
      <c r="AE442" s="27">
        <v>3</v>
      </c>
      <c r="AF442" s="27">
        <v>3</v>
      </c>
      <c r="AG442" s="27">
        <v>2</v>
      </c>
      <c r="AH442" s="27">
        <v>0</v>
      </c>
      <c r="AI442" s="28">
        <v>2</v>
      </c>
      <c r="AK442" s="36">
        <v>409</v>
      </c>
      <c r="AL442" s="33">
        <v>4</v>
      </c>
      <c r="AM442" s="33">
        <v>4</v>
      </c>
      <c r="AN442" s="33">
        <v>4</v>
      </c>
      <c r="AO442" s="33">
        <v>2</v>
      </c>
      <c r="AP442" s="33">
        <v>0</v>
      </c>
      <c r="AQ442" s="33">
        <v>0</v>
      </c>
      <c r="AR442" s="33">
        <v>1</v>
      </c>
      <c r="AS442" s="33">
        <v>5</v>
      </c>
      <c r="AT442" s="33">
        <v>1</v>
      </c>
      <c r="AU442" s="43">
        <v>3.5245605052337127E-2</v>
      </c>
      <c r="AV442" s="33">
        <v>0</v>
      </c>
      <c r="AW442" s="33">
        <v>0</v>
      </c>
      <c r="AY442" s="36">
        <v>414</v>
      </c>
      <c r="AZ442" s="33">
        <v>2</v>
      </c>
      <c r="BA442" s="33">
        <v>4</v>
      </c>
      <c r="BB442" s="33">
        <v>0</v>
      </c>
      <c r="BC442" s="33">
        <v>3</v>
      </c>
      <c r="BD442" s="43">
        <v>1.9892232637238622E-2</v>
      </c>
      <c r="BE442" s="33">
        <v>0</v>
      </c>
      <c r="BF442" s="33">
        <v>0</v>
      </c>
      <c r="CE442" s="36">
        <v>408</v>
      </c>
      <c r="CF442" s="33">
        <v>10</v>
      </c>
      <c r="CG442" s="33">
        <v>1</v>
      </c>
      <c r="CH442" s="33">
        <v>4</v>
      </c>
      <c r="CI442" s="33">
        <v>2</v>
      </c>
      <c r="CJ442" s="33">
        <v>3</v>
      </c>
      <c r="CK442" s="33">
        <v>0</v>
      </c>
      <c r="CL442" s="33">
        <v>2</v>
      </c>
      <c r="CM442" s="33">
        <v>2</v>
      </c>
      <c r="CN442" s="33">
        <v>2</v>
      </c>
      <c r="CO442" s="33">
        <v>0</v>
      </c>
      <c r="CP442" s="43">
        <v>8.7879854350596268E-2</v>
      </c>
      <c r="CQ442" s="33">
        <v>0</v>
      </c>
      <c r="CR442" s="33">
        <v>0</v>
      </c>
    </row>
    <row r="443" spans="1:96" ht="15" customHeight="1" x14ac:dyDescent="0.25">
      <c r="A443" s="26">
        <v>441</v>
      </c>
      <c r="B443" s="27">
        <v>42</v>
      </c>
      <c r="C443" s="27">
        <v>0</v>
      </c>
      <c r="D443" s="27">
        <v>2</v>
      </c>
      <c r="E443" s="27">
        <v>1474</v>
      </c>
      <c r="F443" s="27">
        <v>2</v>
      </c>
      <c r="G443" s="27">
        <v>5</v>
      </c>
      <c r="H443" s="27">
        <v>2</v>
      </c>
      <c r="I443" s="27">
        <v>6</v>
      </c>
      <c r="J443" s="27">
        <v>1</v>
      </c>
      <c r="K443" s="27">
        <v>591</v>
      </c>
      <c r="L443" s="27">
        <v>2</v>
      </c>
      <c r="M443" s="27">
        <v>1</v>
      </c>
      <c r="N443" s="27">
        <v>97</v>
      </c>
      <c r="O443" s="27">
        <v>3</v>
      </c>
      <c r="P443" s="27">
        <v>1</v>
      </c>
      <c r="Q443" s="27">
        <v>3</v>
      </c>
      <c r="R443" s="27">
        <v>3</v>
      </c>
      <c r="S443" s="27">
        <v>2</v>
      </c>
      <c r="T443" s="27">
        <v>2093</v>
      </c>
      <c r="U443" s="27">
        <v>9260</v>
      </c>
      <c r="V443" s="27">
        <v>4</v>
      </c>
      <c r="W443" s="27">
        <v>0</v>
      </c>
      <c r="X443" s="27">
        <v>17</v>
      </c>
      <c r="Y443" s="27">
        <v>3</v>
      </c>
      <c r="Z443" s="27">
        <v>4</v>
      </c>
      <c r="AA443" s="27">
        <v>80</v>
      </c>
      <c r="AB443" s="27">
        <v>1</v>
      </c>
      <c r="AC443" s="27">
        <v>8</v>
      </c>
      <c r="AD443" s="27">
        <v>4</v>
      </c>
      <c r="AE443" s="27">
        <v>3</v>
      </c>
      <c r="AF443" s="27">
        <v>2</v>
      </c>
      <c r="AG443" s="27">
        <v>2</v>
      </c>
      <c r="AH443" s="27">
        <v>2</v>
      </c>
      <c r="AI443" s="28">
        <v>0</v>
      </c>
      <c r="AK443" s="36">
        <v>410</v>
      </c>
      <c r="AL443" s="33">
        <v>29</v>
      </c>
      <c r="AM443" s="33">
        <v>2</v>
      </c>
      <c r="AN443" s="33">
        <v>3</v>
      </c>
      <c r="AO443" s="33">
        <v>2</v>
      </c>
      <c r="AP443" s="33">
        <v>0</v>
      </c>
      <c r="AQ443" s="33">
        <v>1</v>
      </c>
      <c r="AR443" s="33">
        <v>3</v>
      </c>
      <c r="AS443" s="33">
        <v>5</v>
      </c>
      <c r="AT443" s="33">
        <v>0</v>
      </c>
      <c r="AU443" s="43">
        <v>9.8058631164964896E-2</v>
      </c>
      <c r="AV443" s="33">
        <v>0</v>
      </c>
      <c r="AW443" s="33">
        <v>0</v>
      </c>
      <c r="AY443" s="36">
        <v>415</v>
      </c>
      <c r="AZ443" s="33">
        <v>1</v>
      </c>
      <c r="BA443" s="33">
        <v>2</v>
      </c>
      <c r="BB443" s="33">
        <v>1</v>
      </c>
      <c r="BC443" s="33">
        <v>0</v>
      </c>
      <c r="BD443" s="43">
        <v>0.56990699338636852</v>
      </c>
      <c r="BE443" s="33">
        <v>1</v>
      </c>
      <c r="BF443" s="33">
        <v>1</v>
      </c>
      <c r="CE443" s="36">
        <v>409</v>
      </c>
      <c r="CF443" s="33">
        <v>4</v>
      </c>
      <c r="CG443" s="33">
        <v>4</v>
      </c>
      <c r="CH443" s="33">
        <v>4</v>
      </c>
      <c r="CI443" s="33">
        <v>2</v>
      </c>
      <c r="CJ443" s="33">
        <v>2</v>
      </c>
      <c r="CK443" s="33">
        <v>0</v>
      </c>
      <c r="CL443" s="33">
        <v>0</v>
      </c>
      <c r="CM443" s="33">
        <v>1</v>
      </c>
      <c r="CN443" s="33">
        <v>5</v>
      </c>
      <c r="CO443" s="33">
        <v>1</v>
      </c>
      <c r="CP443" s="43">
        <v>2.5276579582333248E-2</v>
      </c>
      <c r="CQ443" s="33">
        <v>0</v>
      </c>
      <c r="CR443" s="33">
        <v>0</v>
      </c>
    </row>
    <row r="444" spans="1:96" ht="15" customHeight="1" x14ac:dyDescent="0.25">
      <c r="A444" s="26">
        <v>442</v>
      </c>
      <c r="B444" s="27">
        <v>36</v>
      </c>
      <c r="C444" s="27">
        <v>0</v>
      </c>
      <c r="D444" s="27">
        <v>3</v>
      </c>
      <c r="E444" s="27">
        <v>635</v>
      </c>
      <c r="F444" s="27">
        <v>1</v>
      </c>
      <c r="G444" s="27">
        <v>10</v>
      </c>
      <c r="H444" s="27">
        <v>4</v>
      </c>
      <c r="I444" s="27">
        <v>3</v>
      </c>
      <c r="J444" s="27">
        <v>1</v>
      </c>
      <c r="K444" s="27">
        <v>592</v>
      </c>
      <c r="L444" s="27">
        <v>2</v>
      </c>
      <c r="M444" s="27">
        <v>1</v>
      </c>
      <c r="N444" s="27">
        <v>32</v>
      </c>
      <c r="O444" s="27">
        <v>3</v>
      </c>
      <c r="P444" s="27">
        <v>3</v>
      </c>
      <c r="Q444" s="27">
        <v>1</v>
      </c>
      <c r="R444" s="27">
        <v>4</v>
      </c>
      <c r="S444" s="27">
        <v>1</v>
      </c>
      <c r="T444" s="27">
        <v>9980</v>
      </c>
      <c r="U444" s="27">
        <v>15318</v>
      </c>
      <c r="V444" s="27">
        <v>1</v>
      </c>
      <c r="W444" s="27">
        <v>0</v>
      </c>
      <c r="X444" s="27">
        <v>14</v>
      </c>
      <c r="Y444" s="27">
        <v>3</v>
      </c>
      <c r="Z444" s="27">
        <v>4</v>
      </c>
      <c r="AA444" s="27">
        <v>80</v>
      </c>
      <c r="AB444" s="27">
        <v>0</v>
      </c>
      <c r="AC444" s="27">
        <v>10</v>
      </c>
      <c r="AD444" s="27">
        <v>3</v>
      </c>
      <c r="AE444" s="27">
        <v>2</v>
      </c>
      <c r="AF444" s="27">
        <v>10</v>
      </c>
      <c r="AG444" s="27">
        <v>3</v>
      </c>
      <c r="AH444" s="27">
        <v>9</v>
      </c>
      <c r="AI444" s="28">
        <v>7</v>
      </c>
      <c r="AK444" s="36">
        <v>411</v>
      </c>
      <c r="AL444" s="33">
        <v>2</v>
      </c>
      <c r="AM444" s="33">
        <v>2</v>
      </c>
      <c r="AN444" s="33">
        <v>4</v>
      </c>
      <c r="AO444" s="33">
        <v>2</v>
      </c>
      <c r="AP444" s="33">
        <v>0</v>
      </c>
      <c r="AQ444" s="33">
        <v>0</v>
      </c>
      <c r="AR444" s="33">
        <v>3</v>
      </c>
      <c r="AS444" s="33">
        <v>5</v>
      </c>
      <c r="AT444" s="33">
        <v>0</v>
      </c>
      <c r="AU444" s="43">
        <v>5.4574676504825448E-2</v>
      </c>
      <c r="AV444" s="33">
        <v>0</v>
      </c>
      <c r="AW444" s="33">
        <v>0</v>
      </c>
      <c r="AY444" s="36">
        <v>416</v>
      </c>
      <c r="AZ444" s="33">
        <v>1</v>
      </c>
      <c r="BA444" s="33">
        <v>3</v>
      </c>
      <c r="BB444" s="33">
        <v>0</v>
      </c>
      <c r="BC444" s="33">
        <v>1</v>
      </c>
      <c r="BD444" s="43">
        <v>0.12012271365792118</v>
      </c>
      <c r="BE444" s="33">
        <v>0</v>
      </c>
      <c r="BF444" s="33">
        <v>1</v>
      </c>
      <c r="CE444" s="36">
        <v>410</v>
      </c>
      <c r="CF444" s="33">
        <v>29</v>
      </c>
      <c r="CG444" s="33">
        <v>2</v>
      </c>
      <c r="CH444" s="33">
        <v>3</v>
      </c>
      <c r="CI444" s="33">
        <v>3</v>
      </c>
      <c r="CJ444" s="33">
        <v>2</v>
      </c>
      <c r="CK444" s="33">
        <v>0</v>
      </c>
      <c r="CL444" s="33">
        <v>1</v>
      </c>
      <c r="CM444" s="33">
        <v>3</v>
      </c>
      <c r="CN444" s="33">
        <v>5</v>
      </c>
      <c r="CO444" s="33">
        <v>0</v>
      </c>
      <c r="CP444" s="43">
        <v>5.626502564243923E-2</v>
      </c>
      <c r="CQ444" s="33">
        <v>0</v>
      </c>
      <c r="CR444" s="33">
        <v>0</v>
      </c>
    </row>
    <row r="445" spans="1:96" ht="15" customHeight="1" x14ac:dyDescent="0.25">
      <c r="A445" s="26">
        <v>443</v>
      </c>
      <c r="B445" s="27">
        <v>22</v>
      </c>
      <c r="C445" s="27">
        <v>1</v>
      </c>
      <c r="D445" s="27">
        <v>2</v>
      </c>
      <c r="E445" s="27">
        <v>1368</v>
      </c>
      <c r="F445" s="27">
        <v>2</v>
      </c>
      <c r="G445" s="27">
        <v>4</v>
      </c>
      <c r="H445" s="27">
        <v>1</v>
      </c>
      <c r="I445" s="27">
        <v>5</v>
      </c>
      <c r="J445" s="27">
        <v>1</v>
      </c>
      <c r="K445" s="27">
        <v>593</v>
      </c>
      <c r="L445" s="27">
        <v>3</v>
      </c>
      <c r="M445" s="27">
        <v>1</v>
      </c>
      <c r="N445" s="27">
        <v>99</v>
      </c>
      <c r="O445" s="27">
        <v>2</v>
      </c>
      <c r="P445" s="27">
        <v>1</v>
      </c>
      <c r="Q445" s="27">
        <v>3</v>
      </c>
      <c r="R445" s="27">
        <v>3</v>
      </c>
      <c r="S445" s="27">
        <v>1</v>
      </c>
      <c r="T445" s="27">
        <v>3894</v>
      </c>
      <c r="U445" s="27">
        <v>9129</v>
      </c>
      <c r="V445" s="27">
        <v>5</v>
      </c>
      <c r="W445" s="27">
        <v>0</v>
      </c>
      <c r="X445" s="27">
        <v>16</v>
      </c>
      <c r="Y445" s="27">
        <v>3</v>
      </c>
      <c r="Z445" s="27">
        <v>3</v>
      </c>
      <c r="AA445" s="27">
        <v>80</v>
      </c>
      <c r="AB445" s="27">
        <v>0</v>
      </c>
      <c r="AC445" s="27">
        <v>4</v>
      </c>
      <c r="AD445" s="27">
        <v>3</v>
      </c>
      <c r="AE445" s="27">
        <v>3</v>
      </c>
      <c r="AF445" s="27">
        <v>2</v>
      </c>
      <c r="AG445" s="27">
        <v>2</v>
      </c>
      <c r="AH445" s="27">
        <v>1</v>
      </c>
      <c r="AI445" s="28">
        <v>2</v>
      </c>
      <c r="AK445" s="36">
        <v>412</v>
      </c>
      <c r="AL445" s="33">
        <v>7</v>
      </c>
      <c r="AM445" s="33">
        <v>5</v>
      </c>
      <c r="AN445" s="33">
        <v>1</v>
      </c>
      <c r="AO445" s="33">
        <v>5</v>
      </c>
      <c r="AP445" s="33">
        <v>0</v>
      </c>
      <c r="AQ445" s="33">
        <v>0</v>
      </c>
      <c r="AR445" s="33">
        <v>1</v>
      </c>
      <c r="AS445" s="33">
        <v>29</v>
      </c>
      <c r="AT445" s="33">
        <v>11</v>
      </c>
      <c r="AU445" s="43">
        <v>3.808148128243273E-2</v>
      </c>
      <c r="AV445" s="33">
        <v>0</v>
      </c>
      <c r="AW445" s="33">
        <v>0</v>
      </c>
      <c r="AY445" s="36">
        <v>417</v>
      </c>
      <c r="AZ445" s="33">
        <v>1</v>
      </c>
      <c r="BA445" s="33">
        <v>4</v>
      </c>
      <c r="BB445" s="33">
        <v>1</v>
      </c>
      <c r="BC445" s="33">
        <v>1</v>
      </c>
      <c r="BD445" s="43">
        <v>0.30345027699196836</v>
      </c>
      <c r="BE445" s="33">
        <v>0</v>
      </c>
      <c r="BF445" s="33">
        <v>0</v>
      </c>
      <c r="CE445" s="36">
        <v>411</v>
      </c>
      <c r="CF445" s="33">
        <v>2</v>
      </c>
      <c r="CG445" s="33">
        <v>2</v>
      </c>
      <c r="CH445" s="33">
        <v>4</v>
      </c>
      <c r="CI445" s="33">
        <v>1</v>
      </c>
      <c r="CJ445" s="33">
        <v>2</v>
      </c>
      <c r="CK445" s="33">
        <v>0</v>
      </c>
      <c r="CL445" s="33">
        <v>0</v>
      </c>
      <c r="CM445" s="33">
        <v>3</v>
      </c>
      <c r="CN445" s="33">
        <v>5</v>
      </c>
      <c r="CO445" s="33">
        <v>0</v>
      </c>
      <c r="CP445" s="43">
        <v>6.3075464867354991E-2</v>
      </c>
      <c r="CQ445" s="33">
        <v>0</v>
      </c>
      <c r="CR445" s="33">
        <v>0</v>
      </c>
    </row>
    <row r="446" spans="1:96" ht="15" customHeight="1" x14ac:dyDescent="0.25">
      <c r="A446" s="26">
        <v>444</v>
      </c>
      <c r="B446" s="27">
        <v>48</v>
      </c>
      <c r="C446" s="27">
        <v>0</v>
      </c>
      <c r="D446" s="27">
        <v>1</v>
      </c>
      <c r="E446" s="27">
        <v>163</v>
      </c>
      <c r="F446" s="27">
        <v>1</v>
      </c>
      <c r="G446" s="27">
        <v>2</v>
      </c>
      <c r="H446" s="27">
        <v>5</v>
      </c>
      <c r="I446" s="27">
        <v>4</v>
      </c>
      <c r="J446" s="27">
        <v>1</v>
      </c>
      <c r="K446" s="27">
        <v>595</v>
      </c>
      <c r="L446" s="27">
        <v>2</v>
      </c>
      <c r="M446" s="27">
        <v>0</v>
      </c>
      <c r="N446" s="27">
        <v>37</v>
      </c>
      <c r="O446" s="27">
        <v>3</v>
      </c>
      <c r="P446" s="27">
        <v>2</v>
      </c>
      <c r="Q446" s="27">
        <v>1</v>
      </c>
      <c r="R446" s="27">
        <v>4</v>
      </c>
      <c r="S446" s="27">
        <v>2</v>
      </c>
      <c r="T446" s="27">
        <v>4051</v>
      </c>
      <c r="U446" s="27">
        <v>19658</v>
      </c>
      <c r="V446" s="27">
        <v>2</v>
      </c>
      <c r="W446" s="27">
        <v>0</v>
      </c>
      <c r="X446" s="27">
        <v>14</v>
      </c>
      <c r="Y446" s="27">
        <v>3</v>
      </c>
      <c r="Z446" s="27">
        <v>1</v>
      </c>
      <c r="AA446" s="27">
        <v>80</v>
      </c>
      <c r="AB446" s="27">
        <v>1</v>
      </c>
      <c r="AC446" s="27">
        <v>14</v>
      </c>
      <c r="AD446" s="27">
        <v>2</v>
      </c>
      <c r="AE446" s="27">
        <v>3</v>
      </c>
      <c r="AF446" s="27">
        <v>9</v>
      </c>
      <c r="AG446" s="27">
        <v>7</v>
      </c>
      <c r="AH446" s="27">
        <v>6</v>
      </c>
      <c r="AI446" s="28">
        <v>7</v>
      </c>
      <c r="AK446" s="36">
        <v>413</v>
      </c>
      <c r="AL446" s="33">
        <v>18</v>
      </c>
      <c r="AM446" s="33">
        <v>2</v>
      </c>
      <c r="AN446" s="33">
        <v>3</v>
      </c>
      <c r="AO446" s="33">
        <v>2</v>
      </c>
      <c r="AP446" s="33">
        <v>0</v>
      </c>
      <c r="AQ446" s="33">
        <v>1</v>
      </c>
      <c r="AR446" s="33">
        <v>2</v>
      </c>
      <c r="AS446" s="33">
        <v>10</v>
      </c>
      <c r="AT446" s="33">
        <v>0</v>
      </c>
      <c r="AU446" s="43">
        <v>6.1979234947444811E-2</v>
      </c>
      <c r="AV446" s="33">
        <v>0</v>
      </c>
      <c r="AW446" s="33">
        <v>0</v>
      </c>
      <c r="AY446" s="36">
        <v>418</v>
      </c>
      <c r="AZ446" s="33">
        <v>5</v>
      </c>
      <c r="BA446" s="33">
        <v>3</v>
      </c>
      <c r="BB446" s="33">
        <v>0</v>
      </c>
      <c r="BC446" s="33">
        <v>0</v>
      </c>
      <c r="BD446" s="43">
        <v>2.4191068412310078E-2</v>
      </c>
      <c r="BE446" s="33">
        <v>0</v>
      </c>
      <c r="BF446" s="33">
        <v>0</v>
      </c>
      <c r="CE446" s="36">
        <v>412</v>
      </c>
      <c r="CF446" s="33">
        <v>7</v>
      </c>
      <c r="CG446" s="33">
        <v>5</v>
      </c>
      <c r="CH446" s="33">
        <v>1</v>
      </c>
      <c r="CI446" s="33">
        <v>2</v>
      </c>
      <c r="CJ446" s="33">
        <v>5</v>
      </c>
      <c r="CK446" s="33">
        <v>0</v>
      </c>
      <c r="CL446" s="33">
        <v>0</v>
      </c>
      <c r="CM446" s="33">
        <v>1</v>
      </c>
      <c r="CN446" s="33">
        <v>29</v>
      </c>
      <c r="CO446" s="33">
        <v>11</v>
      </c>
      <c r="CP446" s="43">
        <v>2.9760151864281836E-2</v>
      </c>
      <c r="CQ446" s="33">
        <v>0</v>
      </c>
      <c r="CR446" s="33">
        <v>0</v>
      </c>
    </row>
    <row r="447" spans="1:96" ht="15" customHeight="1" x14ac:dyDescent="0.25">
      <c r="A447" s="26">
        <v>445</v>
      </c>
      <c r="B447" s="27">
        <v>55</v>
      </c>
      <c r="C447" s="27">
        <v>0</v>
      </c>
      <c r="D447" s="27">
        <v>1</v>
      </c>
      <c r="E447" s="27">
        <v>1117</v>
      </c>
      <c r="F447" s="27">
        <v>1</v>
      </c>
      <c r="G447" s="27">
        <v>18</v>
      </c>
      <c r="H447" s="27">
        <v>5</v>
      </c>
      <c r="I447" s="27">
        <v>1</v>
      </c>
      <c r="J447" s="27">
        <v>1</v>
      </c>
      <c r="K447" s="27">
        <v>597</v>
      </c>
      <c r="L447" s="27">
        <v>1</v>
      </c>
      <c r="M447" s="27">
        <v>0</v>
      </c>
      <c r="N447" s="27">
        <v>83</v>
      </c>
      <c r="O447" s="27">
        <v>3</v>
      </c>
      <c r="P447" s="27">
        <v>4</v>
      </c>
      <c r="Q447" s="27">
        <v>6</v>
      </c>
      <c r="R447" s="27">
        <v>2</v>
      </c>
      <c r="S447" s="27">
        <v>1</v>
      </c>
      <c r="T447" s="27">
        <v>16835</v>
      </c>
      <c r="U447" s="27">
        <v>9873</v>
      </c>
      <c r="V447" s="27">
        <v>3</v>
      </c>
      <c r="W447" s="27">
        <v>0</v>
      </c>
      <c r="X447" s="27">
        <v>23</v>
      </c>
      <c r="Y447" s="27">
        <v>4</v>
      </c>
      <c r="Z447" s="27">
        <v>4</v>
      </c>
      <c r="AA447" s="27">
        <v>80</v>
      </c>
      <c r="AB447" s="27">
        <v>0</v>
      </c>
      <c r="AC447" s="27">
        <v>37</v>
      </c>
      <c r="AD447" s="27">
        <v>2</v>
      </c>
      <c r="AE447" s="27">
        <v>3</v>
      </c>
      <c r="AF447" s="27">
        <v>10</v>
      </c>
      <c r="AG447" s="27">
        <v>9</v>
      </c>
      <c r="AH447" s="27">
        <v>7</v>
      </c>
      <c r="AI447" s="28">
        <v>7</v>
      </c>
      <c r="AK447" s="36">
        <v>414</v>
      </c>
      <c r="AL447" s="33">
        <v>28</v>
      </c>
      <c r="AM447" s="33">
        <v>2</v>
      </c>
      <c r="AN447" s="33">
        <v>4</v>
      </c>
      <c r="AO447" s="33">
        <v>0</v>
      </c>
      <c r="AP447" s="33">
        <v>0</v>
      </c>
      <c r="AQ447" s="33">
        <v>3</v>
      </c>
      <c r="AR447" s="33">
        <v>4</v>
      </c>
      <c r="AS447" s="33">
        <v>6</v>
      </c>
      <c r="AT447" s="33">
        <v>0</v>
      </c>
      <c r="AU447" s="43">
        <v>1.5496730597880736E-2</v>
      </c>
      <c r="AV447" s="33">
        <v>0</v>
      </c>
      <c r="AW447" s="33">
        <v>0</v>
      </c>
      <c r="AY447" s="36">
        <v>419</v>
      </c>
      <c r="AZ447" s="33">
        <v>1</v>
      </c>
      <c r="BA447" s="33">
        <v>4</v>
      </c>
      <c r="BB447" s="33">
        <v>0</v>
      </c>
      <c r="BC447" s="33">
        <v>2</v>
      </c>
      <c r="BD447" s="43">
        <v>5.6717470552978752E-2</v>
      </c>
      <c r="BE447" s="33">
        <v>0</v>
      </c>
      <c r="BF447" s="33">
        <v>0</v>
      </c>
      <c r="CE447" s="36">
        <v>413</v>
      </c>
      <c r="CF447" s="33">
        <v>18</v>
      </c>
      <c r="CG447" s="33">
        <v>2</v>
      </c>
      <c r="CH447" s="33">
        <v>3</v>
      </c>
      <c r="CI447" s="33">
        <v>3</v>
      </c>
      <c r="CJ447" s="33">
        <v>2</v>
      </c>
      <c r="CK447" s="33">
        <v>0</v>
      </c>
      <c r="CL447" s="33">
        <v>1</v>
      </c>
      <c r="CM447" s="33">
        <v>2</v>
      </c>
      <c r="CN447" s="33">
        <v>10</v>
      </c>
      <c r="CO447" s="33">
        <v>0</v>
      </c>
      <c r="CP447" s="43">
        <v>3.554928210585772E-2</v>
      </c>
      <c r="CQ447" s="33">
        <v>0</v>
      </c>
      <c r="CR447" s="33">
        <v>0</v>
      </c>
    </row>
    <row r="448" spans="1:96" ht="15" customHeight="1" x14ac:dyDescent="0.25">
      <c r="A448" s="26">
        <v>446</v>
      </c>
      <c r="B448" s="27">
        <v>41</v>
      </c>
      <c r="C448" s="27">
        <v>0</v>
      </c>
      <c r="D448" s="27">
        <v>3</v>
      </c>
      <c r="E448" s="27">
        <v>267</v>
      </c>
      <c r="F448" s="27">
        <v>1</v>
      </c>
      <c r="G448" s="27">
        <v>10</v>
      </c>
      <c r="H448" s="27">
        <v>2</v>
      </c>
      <c r="I448" s="27">
        <v>1</v>
      </c>
      <c r="J448" s="27">
        <v>1</v>
      </c>
      <c r="K448" s="27">
        <v>599</v>
      </c>
      <c r="L448" s="27">
        <v>4</v>
      </c>
      <c r="M448" s="27">
        <v>1</v>
      </c>
      <c r="N448" s="27">
        <v>56</v>
      </c>
      <c r="O448" s="27">
        <v>3</v>
      </c>
      <c r="P448" s="27">
        <v>2</v>
      </c>
      <c r="Q448" s="27">
        <v>1</v>
      </c>
      <c r="R448" s="27">
        <v>4</v>
      </c>
      <c r="S448" s="27">
        <v>1</v>
      </c>
      <c r="T448" s="27">
        <v>6230</v>
      </c>
      <c r="U448" s="27">
        <v>13430</v>
      </c>
      <c r="V448" s="27">
        <v>7</v>
      </c>
      <c r="W448" s="27">
        <v>0</v>
      </c>
      <c r="X448" s="27">
        <v>14</v>
      </c>
      <c r="Y448" s="27">
        <v>3</v>
      </c>
      <c r="Z448" s="27">
        <v>4</v>
      </c>
      <c r="AA448" s="27">
        <v>80</v>
      </c>
      <c r="AB448" s="27">
        <v>0</v>
      </c>
      <c r="AC448" s="27">
        <v>16</v>
      </c>
      <c r="AD448" s="27">
        <v>3</v>
      </c>
      <c r="AE448" s="27">
        <v>3</v>
      </c>
      <c r="AF448" s="27">
        <v>14</v>
      </c>
      <c r="AG448" s="27">
        <v>3</v>
      </c>
      <c r="AH448" s="27">
        <v>1</v>
      </c>
      <c r="AI448" s="28">
        <v>10</v>
      </c>
      <c r="AK448" s="36">
        <v>415</v>
      </c>
      <c r="AL448" s="33">
        <v>1</v>
      </c>
      <c r="AM448" s="33">
        <v>1</v>
      </c>
      <c r="AN448" s="33">
        <v>2</v>
      </c>
      <c r="AO448" s="33">
        <v>1</v>
      </c>
      <c r="AP448" s="33">
        <v>1</v>
      </c>
      <c r="AQ448" s="33">
        <v>0</v>
      </c>
      <c r="AR448" s="33">
        <v>3</v>
      </c>
      <c r="AS448" s="33">
        <v>5</v>
      </c>
      <c r="AT448" s="33">
        <v>1</v>
      </c>
      <c r="AU448" s="43">
        <v>0.43895121003411264</v>
      </c>
      <c r="AV448" s="33">
        <v>0</v>
      </c>
      <c r="AW448" s="33">
        <v>1</v>
      </c>
      <c r="AY448" s="36">
        <v>420</v>
      </c>
      <c r="AZ448" s="33">
        <v>1</v>
      </c>
      <c r="BA448" s="33">
        <v>4</v>
      </c>
      <c r="BB448" s="33">
        <v>0</v>
      </c>
      <c r="BC448" s="33">
        <v>1</v>
      </c>
      <c r="BD448" s="43">
        <v>9.2486413274924434E-2</v>
      </c>
      <c r="BE448" s="33">
        <v>0</v>
      </c>
      <c r="BF448" s="33">
        <v>0</v>
      </c>
      <c r="CE448" s="36">
        <v>414</v>
      </c>
      <c r="CF448" s="33">
        <v>28</v>
      </c>
      <c r="CG448" s="33">
        <v>2</v>
      </c>
      <c r="CH448" s="33">
        <v>4</v>
      </c>
      <c r="CI448" s="33">
        <v>2</v>
      </c>
      <c r="CJ448" s="33">
        <v>0</v>
      </c>
      <c r="CK448" s="33">
        <v>0</v>
      </c>
      <c r="CL448" s="33">
        <v>3</v>
      </c>
      <c r="CM448" s="33">
        <v>4</v>
      </c>
      <c r="CN448" s="33">
        <v>6</v>
      </c>
      <c r="CO448" s="33">
        <v>0</v>
      </c>
      <c r="CP448" s="43">
        <v>2.7975796693018772E-2</v>
      </c>
      <c r="CQ448" s="33">
        <v>0</v>
      </c>
      <c r="CR448" s="33">
        <v>0</v>
      </c>
    </row>
    <row r="449" spans="1:96" ht="15" customHeight="1" x14ac:dyDescent="0.25">
      <c r="A449" s="26">
        <v>447</v>
      </c>
      <c r="B449" s="27">
        <v>35</v>
      </c>
      <c r="C449" s="27">
        <v>0</v>
      </c>
      <c r="D449" s="27">
        <v>1</v>
      </c>
      <c r="E449" s="27">
        <v>619</v>
      </c>
      <c r="F449" s="27">
        <v>1</v>
      </c>
      <c r="G449" s="27">
        <v>1</v>
      </c>
      <c r="H449" s="27">
        <v>3</v>
      </c>
      <c r="I449" s="27">
        <v>4</v>
      </c>
      <c r="J449" s="27">
        <v>1</v>
      </c>
      <c r="K449" s="27">
        <v>600</v>
      </c>
      <c r="L449" s="27">
        <v>2</v>
      </c>
      <c r="M449" s="27">
        <v>1</v>
      </c>
      <c r="N449" s="27">
        <v>85</v>
      </c>
      <c r="O449" s="27">
        <v>3</v>
      </c>
      <c r="P449" s="27">
        <v>2</v>
      </c>
      <c r="Q449" s="27">
        <v>1</v>
      </c>
      <c r="R449" s="27">
        <v>3</v>
      </c>
      <c r="S449" s="27">
        <v>2</v>
      </c>
      <c r="T449" s="27">
        <v>4717</v>
      </c>
      <c r="U449" s="27">
        <v>18659</v>
      </c>
      <c r="V449" s="27">
        <v>9</v>
      </c>
      <c r="W449" s="27">
        <v>0</v>
      </c>
      <c r="X449" s="27">
        <v>11</v>
      </c>
      <c r="Y449" s="27">
        <v>3</v>
      </c>
      <c r="Z449" s="27">
        <v>3</v>
      </c>
      <c r="AA449" s="27">
        <v>80</v>
      </c>
      <c r="AB449" s="27">
        <v>0</v>
      </c>
      <c r="AC449" s="27">
        <v>15</v>
      </c>
      <c r="AD449" s="27">
        <v>2</v>
      </c>
      <c r="AE449" s="27">
        <v>3</v>
      </c>
      <c r="AF449" s="27">
        <v>11</v>
      </c>
      <c r="AG449" s="27">
        <v>9</v>
      </c>
      <c r="AH449" s="27">
        <v>6</v>
      </c>
      <c r="AI449" s="28">
        <v>9</v>
      </c>
      <c r="AK449" s="36">
        <v>416</v>
      </c>
      <c r="AL449" s="33">
        <v>6</v>
      </c>
      <c r="AM449" s="33">
        <v>1</v>
      </c>
      <c r="AN449" s="33">
        <v>3</v>
      </c>
      <c r="AO449" s="33">
        <v>0</v>
      </c>
      <c r="AP449" s="33">
        <v>0</v>
      </c>
      <c r="AQ449" s="33">
        <v>1</v>
      </c>
      <c r="AR449" s="33">
        <v>2</v>
      </c>
      <c r="AS449" s="33">
        <v>2</v>
      </c>
      <c r="AT449" s="33">
        <v>1</v>
      </c>
      <c r="AU449" s="43">
        <v>0.11437551030446079</v>
      </c>
      <c r="AV449" s="33">
        <v>0</v>
      </c>
      <c r="AW449" s="33">
        <v>1</v>
      </c>
      <c r="AY449" s="36">
        <v>421</v>
      </c>
      <c r="AZ449" s="33">
        <v>3</v>
      </c>
      <c r="BA449" s="33">
        <v>3</v>
      </c>
      <c r="BB449" s="33">
        <v>0</v>
      </c>
      <c r="BC449" s="33">
        <v>0</v>
      </c>
      <c r="BD449" s="43">
        <v>7.0406776741937793E-2</v>
      </c>
      <c r="BE449" s="33">
        <v>0</v>
      </c>
      <c r="BF449" s="33">
        <v>0</v>
      </c>
      <c r="CE449" s="36">
        <v>415</v>
      </c>
      <c r="CF449" s="33">
        <v>1</v>
      </c>
      <c r="CG449" s="33">
        <v>1</v>
      </c>
      <c r="CH449" s="33">
        <v>2</v>
      </c>
      <c r="CI449" s="33">
        <v>1</v>
      </c>
      <c r="CJ449" s="33">
        <v>1</v>
      </c>
      <c r="CK449" s="33">
        <v>1</v>
      </c>
      <c r="CL449" s="33">
        <v>0</v>
      </c>
      <c r="CM449" s="33">
        <v>3</v>
      </c>
      <c r="CN449" s="33">
        <v>5</v>
      </c>
      <c r="CO449" s="33">
        <v>1</v>
      </c>
      <c r="CP449" s="43">
        <v>0.49393847432967108</v>
      </c>
      <c r="CQ449" s="33">
        <v>0</v>
      </c>
      <c r="CR449" s="33">
        <v>1</v>
      </c>
    </row>
    <row r="450" spans="1:96" ht="15" customHeight="1" x14ac:dyDescent="0.25">
      <c r="A450" s="26">
        <v>448</v>
      </c>
      <c r="B450" s="27">
        <v>40</v>
      </c>
      <c r="C450" s="27">
        <v>0</v>
      </c>
      <c r="D450" s="27">
        <v>1</v>
      </c>
      <c r="E450" s="27">
        <v>302</v>
      </c>
      <c r="F450" s="27">
        <v>2</v>
      </c>
      <c r="G450" s="27">
        <v>6</v>
      </c>
      <c r="H450" s="27">
        <v>3</v>
      </c>
      <c r="I450" s="27">
        <v>1</v>
      </c>
      <c r="J450" s="27">
        <v>1</v>
      </c>
      <c r="K450" s="27">
        <v>601</v>
      </c>
      <c r="L450" s="27">
        <v>2</v>
      </c>
      <c r="M450" s="27">
        <v>0</v>
      </c>
      <c r="N450" s="27">
        <v>75</v>
      </c>
      <c r="O450" s="27">
        <v>3</v>
      </c>
      <c r="P450" s="27">
        <v>4</v>
      </c>
      <c r="Q450" s="27">
        <v>4</v>
      </c>
      <c r="R450" s="27">
        <v>3</v>
      </c>
      <c r="S450" s="27">
        <v>1</v>
      </c>
      <c r="T450" s="27">
        <v>13237</v>
      </c>
      <c r="U450" s="27">
        <v>20364</v>
      </c>
      <c r="V450" s="27">
        <v>7</v>
      </c>
      <c r="W450" s="27">
        <v>0</v>
      </c>
      <c r="X450" s="27">
        <v>15</v>
      </c>
      <c r="Y450" s="27">
        <v>3</v>
      </c>
      <c r="Z450" s="27">
        <v>3</v>
      </c>
      <c r="AA450" s="27">
        <v>80</v>
      </c>
      <c r="AB450" s="27">
        <v>0</v>
      </c>
      <c r="AC450" s="27">
        <v>22</v>
      </c>
      <c r="AD450" s="27">
        <v>3</v>
      </c>
      <c r="AE450" s="27">
        <v>3</v>
      </c>
      <c r="AF450" s="27">
        <v>20</v>
      </c>
      <c r="AG450" s="27">
        <v>6</v>
      </c>
      <c r="AH450" s="27">
        <v>5</v>
      </c>
      <c r="AI450" s="28">
        <v>13</v>
      </c>
      <c r="AK450" s="36">
        <v>417</v>
      </c>
      <c r="AL450" s="33">
        <v>2</v>
      </c>
      <c r="AM450" s="33">
        <v>1</v>
      </c>
      <c r="AN450" s="33">
        <v>4</v>
      </c>
      <c r="AO450" s="33">
        <v>1</v>
      </c>
      <c r="AP450" s="33">
        <v>1</v>
      </c>
      <c r="AQ450" s="33">
        <v>1</v>
      </c>
      <c r="AR450" s="33">
        <v>3</v>
      </c>
      <c r="AS450" s="33">
        <v>1</v>
      </c>
      <c r="AT450" s="33">
        <v>0</v>
      </c>
      <c r="AU450" s="43">
        <v>0.23363712320573948</v>
      </c>
      <c r="AV450" s="33">
        <v>0</v>
      </c>
      <c r="AW450" s="33">
        <v>0</v>
      </c>
      <c r="AY450" s="36">
        <v>422</v>
      </c>
      <c r="AZ450" s="33">
        <v>1</v>
      </c>
      <c r="BA450" s="33">
        <v>2</v>
      </c>
      <c r="BB450" s="33">
        <v>0</v>
      </c>
      <c r="BC450" s="33">
        <v>0</v>
      </c>
      <c r="BD450" s="43">
        <v>0.23662845161334917</v>
      </c>
      <c r="BE450" s="33">
        <v>0</v>
      </c>
      <c r="BF450" s="33">
        <v>1</v>
      </c>
      <c r="CE450" s="36">
        <v>416</v>
      </c>
      <c r="CF450" s="33">
        <v>6</v>
      </c>
      <c r="CG450" s="33">
        <v>1</v>
      </c>
      <c r="CH450" s="33">
        <v>3</v>
      </c>
      <c r="CI450" s="33">
        <v>3</v>
      </c>
      <c r="CJ450" s="33">
        <v>0</v>
      </c>
      <c r="CK450" s="33">
        <v>0</v>
      </c>
      <c r="CL450" s="33">
        <v>1</v>
      </c>
      <c r="CM450" s="33">
        <v>2</v>
      </c>
      <c r="CN450" s="33">
        <v>2</v>
      </c>
      <c r="CO450" s="33">
        <v>1</v>
      </c>
      <c r="CP450" s="43">
        <v>6.6987192846654678E-2</v>
      </c>
      <c r="CQ450" s="33">
        <v>0</v>
      </c>
      <c r="CR450" s="33">
        <v>1</v>
      </c>
    </row>
    <row r="451" spans="1:96" ht="15" customHeight="1" x14ac:dyDescent="0.25">
      <c r="A451" s="26">
        <v>449</v>
      </c>
      <c r="B451" s="27">
        <v>39</v>
      </c>
      <c r="C451" s="27">
        <v>0</v>
      </c>
      <c r="D451" s="27">
        <v>2</v>
      </c>
      <c r="E451" s="27">
        <v>443</v>
      </c>
      <c r="F451" s="27">
        <v>2</v>
      </c>
      <c r="G451" s="27">
        <v>8</v>
      </c>
      <c r="H451" s="27">
        <v>1</v>
      </c>
      <c r="I451" s="27">
        <v>1</v>
      </c>
      <c r="J451" s="27">
        <v>1</v>
      </c>
      <c r="K451" s="27">
        <v>602</v>
      </c>
      <c r="L451" s="27">
        <v>3</v>
      </c>
      <c r="M451" s="27">
        <v>0</v>
      </c>
      <c r="N451" s="27">
        <v>48</v>
      </c>
      <c r="O451" s="27">
        <v>3</v>
      </c>
      <c r="P451" s="27">
        <v>1</v>
      </c>
      <c r="Q451" s="27">
        <v>3</v>
      </c>
      <c r="R451" s="27">
        <v>3</v>
      </c>
      <c r="S451" s="27">
        <v>2</v>
      </c>
      <c r="T451" s="27">
        <v>3755</v>
      </c>
      <c r="U451" s="27">
        <v>17872</v>
      </c>
      <c r="V451" s="27">
        <v>1</v>
      </c>
      <c r="W451" s="27">
        <v>0</v>
      </c>
      <c r="X451" s="27">
        <v>11</v>
      </c>
      <c r="Y451" s="27">
        <v>3</v>
      </c>
      <c r="Z451" s="27">
        <v>1</v>
      </c>
      <c r="AA451" s="27">
        <v>80</v>
      </c>
      <c r="AB451" s="27">
        <v>1</v>
      </c>
      <c r="AC451" s="27">
        <v>8</v>
      </c>
      <c r="AD451" s="27">
        <v>3</v>
      </c>
      <c r="AE451" s="27">
        <v>3</v>
      </c>
      <c r="AF451" s="27">
        <v>8</v>
      </c>
      <c r="AG451" s="27">
        <v>3</v>
      </c>
      <c r="AH451" s="27">
        <v>0</v>
      </c>
      <c r="AI451" s="28">
        <v>7</v>
      </c>
      <c r="AK451" s="36">
        <v>418</v>
      </c>
      <c r="AL451" s="33">
        <v>2</v>
      </c>
      <c r="AM451" s="33">
        <v>5</v>
      </c>
      <c r="AN451" s="33">
        <v>3</v>
      </c>
      <c r="AO451" s="33">
        <v>0</v>
      </c>
      <c r="AP451" s="33">
        <v>0</v>
      </c>
      <c r="AQ451" s="33">
        <v>0</v>
      </c>
      <c r="AR451" s="33">
        <v>3</v>
      </c>
      <c r="AS451" s="33">
        <v>20</v>
      </c>
      <c r="AT451" s="33">
        <v>1</v>
      </c>
      <c r="AU451" s="43">
        <v>4.7210618209147896E-3</v>
      </c>
      <c r="AV451" s="33">
        <v>0</v>
      </c>
      <c r="AW451" s="33">
        <v>0</v>
      </c>
      <c r="AY451" s="36">
        <v>423</v>
      </c>
      <c r="AZ451" s="33">
        <v>1</v>
      </c>
      <c r="BA451" s="33">
        <v>4</v>
      </c>
      <c r="BB451" s="33">
        <v>0</v>
      </c>
      <c r="BC451" s="33">
        <v>0</v>
      </c>
      <c r="BD451" s="43">
        <v>0.1472907617042678</v>
      </c>
      <c r="BE451" s="33">
        <v>0</v>
      </c>
      <c r="BF451" s="33">
        <v>1</v>
      </c>
      <c r="CE451" s="36">
        <v>417</v>
      </c>
      <c r="CF451" s="33">
        <v>2</v>
      </c>
      <c r="CG451" s="33">
        <v>1</v>
      </c>
      <c r="CH451" s="33">
        <v>4</v>
      </c>
      <c r="CI451" s="33">
        <v>2</v>
      </c>
      <c r="CJ451" s="33">
        <v>1</v>
      </c>
      <c r="CK451" s="33">
        <v>1</v>
      </c>
      <c r="CL451" s="33">
        <v>1</v>
      </c>
      <c r="CM451" s="33">
        <v>3</v>
      </c>
      <c r="CN451" s="33">
        <v>1</v>
      </c>
      <c r="CO451" s="33">
        <v>0</v>
      </c>
      <c r="CP451" s="43">
        <v>0.22884760885950073</v>
      </c>
      <c r="CQ451" s="33">
        <v>0</v>
      </c>
      <c r="CR451" s="33">
        <v>0</v>
      </c>
    </row>
    <row r="452" spans="1:96" ht="15" customHeight="1" x14ac:dyDescent="0.25">
      <c r="A452" s="26">
        <v>450</v>
      </c>
      <c r="B452" s="27">
        <v>31</v>
      </c>
      <c r="C452" s="27">
        <v>0</v>
      </c>
      <c r="D452" s="27">
        <v>1</v>
      </c>
      <c r="E452" s="27">
        <v>828</v>
      </c>
      <c r="F452" s="27">
        <v>1</v>
      </c>
      <c r="G452" s="27">
        <v>2</v>
      </c>
      <c r="H452" s="27">
        <v>1</v>
      </c>
      <c r="I452" s="27">
        <v>1</v>
      </c>
      <c r="J452" s="27">
        <v>1</v>
      </c>
      <c r="K452" s="27">
        <v>604</v>
      </c>
      <c r="L452" s="27">
        <v>2</v>
      </c>
      <c r="M452" s="27">
        <v>1</v>
      </c>
      <c r="N452" s="27">
        <v>77</v>
      </c>
      <c r="O452" s="27">
        <v>3</v>
      </c>
      <c r="P452" s="27">
        <v>2</v>
      </c>
      <c r="Q452" s="27">
        <v>1</v>
      </c>
      <c r="R452" s="27">
        <v>4</v>
      </c>
      <c r="S452" s="27">
        <v>1</v>
      </c>
      <c r="T452" s="27">
        <v>6582</v>
      </c>
      <c r="U452" s="27">
        <v>8346</v>
      </c>
      <c r="V452" s="27">
        <v>4</v>
      </c>
      <c r="W452" s="27">
        <v>1</v>
      </c>
      <c r="X452" s="27">
        <v>13</v>
      </c>
      <c r="Y452" s="27">
        <v>3</v>
      </c>
      <c r="Z452" s="27">
        <v>3</v>
      </c>
      <c r="AA452" s="27">
        <v>80</v>
      </c>
      <c r="AB452" s="27">
        <v>0</v>
      </c>
      <c r="AC452" s="27">
        <v>10</v>
      </c>
      <c r="AD452" s="27">
        <v>2</v>
      </c>
      <c r="AE452" s="27">
        <v>4</v>
      </c>
      <c r="AF452" s="27">
        <v>6</v>
      </c>
      <c r="AG452" s="27">
        <v>5</v>
      </c>
      <c r="AH452" s="27">
        <v>0</v>
      </c>
      <c r="AI452" s="28">
        <v>5</v>
      </c>
      <c r="AK452" s="36">
        <v>419</v>
      </c>
      <c r="AL452" s="33">
        <v>23</v>
      </c>
      <c r="AM452" s="33">
        <v>1</v>
      </c>
      <c r="AN452" s="33">
        <v>4</v>
      </c>
      <c r="AO452" s="33">
        <v>1</v>
      </c>
      <c r="AP452" s="33">
        <v>0</v>
      </c>
      <c r="AQ452" s="33">
        <v>2</v>
      </c>
      <c r="AR452" s="33">
        <v>1</v>
      </c>
      <c r="AS452" s="33">
        <v>3</v>
      </c>
      <c r="AT452" s="33">
        <v>0</v>
      </c>
      <c r="AU452" s="43">
        <v>9.9475046546889101E-2</v>
      </c>
      <c r="AV452" s="33">
        <v>0</v>
      </c>
      <c r="AW452" s="33">
        <v>0</v>
      </c>
      <c r="AY452" s="36">
        <v>424</v>
      </c>
      <c r="AZ452" s="33">
        <v>3</v>
      </c>
      <c r="BA452" s="33">
        <v>1</v>
      </c>
      <c r="BB452" s="33">
        <v>0</v>
      </c>
      <c r="BC452" s="33">
        <v>0</v>
      </c>
      <c r="BD452" s="43">
        <v>0.11965500412792122</v>
      </c>
      <c r="BE452" s="33">
        <v>0</v>
      </c>
      <c r="BF452" s="33">
        <v>0</v>
      </c>
      <c r="CE452" s="36">
        <v>418</v>
      </c>
      <c r="CF452" s="33">
        <v>2</v>
      </c>
      <c r="CG452" s="33">
        <v>5</v>
      </c>
      <c r="CH452" s="33">
        <v>3</v>
      </c>
      <c r="CI452" s="33">
        <v>2</v>
      </c>
      <c r="CJ452" s="33">
        <v>0</v>
      </c>
      <c r="CK452" s="33">
        <v>0</v>
      </c>
      <c r="CL452" s="33">
        <v>0</v>
      </c>
      <c r="CM452" s="33">
        <v>3</v>
      </c>
      <c r="CN452" s="33">
        <v>20</v>
      </c>
      <c r="CO452" s="33">
        <v>1</v>
      </c>
      <c r="CP452" s="43">
        <v>3.3122065772209345E-3</v>
      </c>
      <c r="CQ452" s="33">
        <v>0</v>
      </c>
      <c r="CR452" s="33">
        <v>0</v>
      </c>
    </row>
    <row r="453" spans="1:96" ht="15" customHeight="1" x14ac:dyDescent="0.25">
      <c r="A453" s="26">
        <v>451</v>
      </c>
      <c r="B453" s="27">
        <v>42</v>
      </c>
      <c r="C453" s="27">
        <v>0</v>
      </c>
      <c r="D453" s="27">
        <v>1</v>
      </c>
      <c r="E453" s="27">
        <v>319</v>
      </c>
      <c r="F453" s="27">
        <v>2</v>
      </c>
      <c r="G453" s="27">
        <v>24</v>
      </c>
      <c r="H453" s="27">
        <v>3</v>
      </c>
      <c r="I453" s="27">
        <v>3</v>
      </c>
      <c r="J453" s="27">
        <v>1</v>
      </c>
      <c r="K453" s="27">
        <v>605</v>
      </c>
      <c r="L453" s="27">
        <v>4</v>
      </c>
      <c r="M453" s="27">
        <v>1</v>
      </c>
      <c r="N453" s="27">
        <v>56</v>
      </c>
      <c r="O453" s="27">
        <v>3</v>
      </c>
      <c r="P453" s="27">
        <v>3</v>
      </c>
      <c r="Q453" s="27">
        <v>4</v>
      </c>
      <c r="R453" s="27">
        <v>1</v>
      </c>
      <c r="S453" s="27">
        <v>2</v>
      </c>
      <c r="T453" s="27">
        <v>7406</v>
      </c>
      <c r="U453" s="27">
        <v>6950</v>
      </c>
      <c r="V453" s="27">
        <v>1</v>
      </c>
      <c r="W453" s="27">
        <v>1</v>
      </c>
      <c r="X453" s="27">
        <v>21</v>
      </c>
      <c r="Y453" s="27">
        <v>4</v>
      </c>
      <c r="Z453" s="27">
        <v>4</v>
      </c>
      <c r="AA453" s="27">
        <v>80</v>
      </c>
      <c r="AB453" s="27">
        <v>1</v>
      </c>
      <c r="AC453" s="27">
        <v>10</v>
      </c>
      <c r="AD453" s="27">
        <v>5</v>
      </c>
      <c r="AE453" s="27">
        <v>2</v>
      </c>
      <c r="AF453" s="27">
        <v>10</v>
      </c>
      <c r="AG453" s="27">
        <v>9</v>
      </c>
      <c r="AH453" s="27">
        <v>5</v>
      </c>
      <c r="AI453" s="28">
        <v>8</v>
      </c>
      <c r="AK453" s="36">
        <v>420</v>
      </c>
      <c r="AL453" s="33">
        <v>3</v>
      </c>
      <c r="AM453" s="33">
        <v>1</v>
      </c>
      <c r="AN453" s="33">
        <v>4</v>
      </c>
      <c r="AO453" s="33">
        <v>4</v>
      </c>
      <c r="AP453" s="33">
        <v>0</v>
      </c>
      <c r="AQ453" s="33">
        <v>1</v>
      </c>
      <c r="AR453" s="33">
        <v>1</v>
      </c>
      <c r="AS453" s="33">
        <v>5</v>
      </c>
      <c r="AT453" s="33">
        <v>1</v>
      </c>
      <c r="AU453" s="43">
        <v>0.11031050805812563</v>
      </c>
      <c r="AV453" s="33">
        <v>0</v>
      </c>
      <c r="AW453" s="33">
        <v>0</v>
      </c>
      <c r="AY453" s="36">
        <v>425</v>
      </c>
      <c r="AZ453" s="33">
        <v>4</v>
      </c>
      <c r="BA453" s="33">
        <v>4</v>
      </c>
      <c r="BB453" s="33">
        <v>0</v>
      </c>
      <c r="BC453" s="33">
        <v>1</v>
      </c>
      <c r="BD453" s="43">
        <v>1.872698143618769E-2</v>
      </c>
      <c r="BE453" s="33">
        <v>0</v>
      </c>
      <c r="BF453" s="33">
        <v>0</v>
      </c>
      <c r="CE453" s="36">
        <v>419</v>
      </c>
      <c r="CF453" s="33">
        <v>23</v>
      </c>
      <c r="CG453" s="33">
        <v>1</v>
      </c>
      <c r="CH453" s="33">
        <v>4</v>
      </c>
      <c r="CI453" s="33">
        <v>3</v>
      </c>
      <c r="CJ453" s="33">
        <v>1</v>
      </c>
      <c r="CK453" s="33">
        <v>0</v>
      </c>
      <c r="CL453" s="33">
        <v>2</v>
      </c>
      <c r="CM453" s="33">
        <v>1</v>
      </c>
      <c r="CN453" s="33">
        <v>3</v>
      </c>
      <c r="CO453" s="33">
        <v>0</v>
      </c>
      <c r="CP453" s="43">
        <v>7.9027256367918325E-2</v>
      </c>
      <c r="CQ453" s="33">
        <v>0</v>
      </c>
      <c r="CR453" s="33">
        <v>0</v>
      </c>
    </row>
    <row r="454" spans="1:96" ht="15" customHeight="1" x14ac:dyDescent="0.25">
      <c r="A454" s="26">
        <v>452</v>
      </c>
      <c r="B454" s="27">
        <v>45</v>
      </c>
      <c r="C454" s="27">
        <v>0</v>
      </c>
      <c r="D454" s="27">
        <v>1</v>
      </c>
      <c r="E454" s="27">
        <v>561</v>
      </c>
      <c r="F454" s="27">
        <v>1</v>
      </c>
      <c r="G454" s="27">
        <v>2</v>
      </c>
      <c r="H454" s="27">
        <v>3</v>
      </c>
      <c r="I454" s="27">
        <v>6</v>
      </c>
      <c r="J454" s="27">
        <v>1</v>
      </c>
      <c r="K454" s="27">
        <v>606</v>
      </c>
      <c r="L454" s="27">
        <v>4</v>
      </c>
      <c r="M454" s="27">
        <v>1</v>
      </c>
      <c r="N454" s="27">
        <v>61</v>
      </c>
      <c r="O454" s="27">
        <v>3</v>
      </c>
      <c r="P454" s="27">
        <v>2</v>
      </c>
      <c r="Q454" s="27">
        <v>1</v>
      </c>
      <c r="R454" s="27">
        <v>2</v>
      </c>
      <c r="S454" s="27">
        <v>2</v>
      </c>
      <c r="T454" s="27">
        <v>4805</v>
      </c>
      <c r="U454" s="27">
        <v>16177</v>
      </c>
      <c r="V454" s="27">
        <v>0</v>
      </c>
      <c r="W454" s="27">
        <v>0</v>
      </c>
      <c r="X454" s="27">
        <v>19</v>
      </c>
      <c r="Y454" s="27">
        <v>3</v>
      </c>
      <c r="Z454" s="27">
        <v>2</v>
      </c>
      <c r="AA454" s="27">
        <v>80</v>
      </c>
      <c r="AB454" s="27">
        <v>1</v>
      </c>
      <c r="AC454" s="27">
        <v>9</v>
      </c>
      <c r="AD454" s="27">
        <v>3</v>
      </c>
      <c r="AE454" s="27">
        <v>4</v>
      </c>
      <c r="AF454" s="27">
        <v>8</v>
      </c>
      <c r="AG454" s="27">
        <v>7</v>
      </c>
      <c r="AH454" s="27">
        <v>3</v>
      </c>
      <c r="AI454" s="28">
        <v>7</v>
      </c>
      <c r="AK454" s="36">
        <v>421</v>
      </c>
      <c r="AL454" s="33">
        <v>3</v>
      </c>
      <c r="AM454" s="33">
        <v>3</v>
      </c>
      <c r="AN454" s="33">
        <v>3</v>
      </c>
      <c r="AO454" s="33">
        <v>1</v>
      </c>
      <c r="AP454" s="33">
        <v>0</v>
      </c>
      <c r="AQ454" s="33">
        <v>0</v>
      </c>
      <c r="AR454" s="33">
        <v>3</v>
      </c>
      <c r="AS454" s="33">
        <v>10</v>
      </c>
      <c r="AT454" s="33">
        <v>0</v>
      </c>
      <c r="AU454" s="43">
        <v>2.8678824733007122E-2</v>
      </c>
      <c r="AV454" s="33">
        <v>0</v>
      </c>
      <c r="AW454" s="33">
        <v>0</v>
      </c>
      <c r="AY454" s="36">
        <v>426</v>
      </c>
      <c r="AZ454" s="33">
        <v>4</v>
      </c>
      <c r="BA454" s="33">
        <v>3</v>
      </c>
      <c r="BB454" s="33">
        <v>0</v>
      </c>
      <c r="BC454" s="33">
        <v>1</v>
      </c>
      <c r="BD454" s="43">
        <v>2.4928302134756671E-2</v>
      </c>
      <c r="BE454" s="33">
        <v>0</v>
      </c>
      <c r="BF454" s="33">
        <v>0</v>
      </c>
      <c r="CE454" s="36">
        <v>420</v>
      </c>
      <c r="CF454" s="33">
        <v>3</v>
      </c>
      <c r="CG454" s="33">
        <v>1</v>
      </c>
      <c r="CH454" s="33">
        <v>4</v>
      </c>
      <c r="CI454" s="33">
        <v>2</v>
      </c>
      <c r="CJ454" s="33">
        <v>4</v>
      </c>
      <c r="CK454" s="33">
        <v>0</v>
      </c>
      <c r="CL454" s="33">
        <v>1</v>
      </c>
      <c r="CM454" s="33">
        <v>1</v>
      </c>
      <c r="CN454" s="33">
        <v>5</v>
      </c>
      <c r="CO454" s="33">
        <v>1</v>
      </c>
      <c r="CP454" s="43">
        <v>0.10744699045916613</v>
      </c>
      <c r="CQ454" s="33">
        <v>0</v>
      </c>
      <c r="CR454" s="33">
        <v>0</v>
      </c>
    </row>
    <row r="455" spans="1:96" ht="15" customHeight="1" x14ac:dyDescent="0.25">
      <c r="A455" s="26">
        <v>453</v>
      </c>
      <c r="B455" s="27">
        <v>26</v>
      </c>
      <c r="C455" s="27">
        <v>1</v>
      </c>
      <c r="D455" s="27">
        <v>2</v>
      </c>
      <c r="E455" s="27">
        <v>426</v>
      </c>
      <c r="F455" s="27">
        <v>3</v>
      </c>
      <c r="G455" s="27">
        <v>17</v>
      </c>
      <c r="H455" s="27">
        <v>4</v>
      </c>
      <c r="I455" s="27">
        <v>1</v>
      </c>
      <c r="J455" s="27">
        <v>1</v>
      </c>
      <c r="K455" s="27">
        <v>608</v>
      </c>
      <c r="L455" s="27">
        <v>2</v>
      </c>
      <c r="M455" s="27">
        <v>0</v>
      </c>
      <c r="N455" s="27">
        <v>58</v>
      </c>
      <c r="O455" s="27">
        <v>3</v>
      </c>
      <c r="P455" s="27">
        <v>1</v>
      </c>
      <c r="Q455" s="27">
        <v>9</v>
      </c>
      <c r="R455" s="27">
        <v>3</v>
      </c>
      <c r="S455" s="27">
        <v>3</v>
      </c>
      <c r="T455" s="27">
        <v>2741</v>
      </c>
      <c r="U455" s="27">
        <v>22808</v>
      </c>
      <c r="V455" s="27">
        <v>0</v>
      </c>
      <c r="W455" s="27">
        <v>1</v>
      </c>
      <c r="X455" s="27">
        <v>11</v>
      </c>
      <c r="Y455" s="27">
        <v>3</v>
      </c>
      <c r="Z455" s="27">
        <v>2</v>
      </c>
      <c r="AA455" s="27">
        <v>80</v>
      </c>
      <c r="AB455" s="27">
        <v>1</v>
      </c>
      <c r="AC455" s="27">
        <v>8</v>
      </c>
      <c r="AD455" s="27">
        <v>2</v>
      </c>
      <c r="AE455" s="27">
        <v>2</v>
      </c>
      <c r="AF455" s="27">
        <v>7</v>
      </c>
      <c r="AG455" s="27">
        <v>7</v>
      </c>
      <c r="AH455" s="27">
        <v>1</v>
      </c>
      <c r="AI455" s="28">
        <v>0</v>
      </c>
      <c r="AK455" s="36">
        <v>422</v>
      </c>
      <c r="AL455" s="33">
        <v>25</v>
      </c>
      <c r="AM455" s="33">
        <v>1</v>
      </c>
      <c r="AN455" s="33">
        <v>2</v>
      </c>
      <c r="AO455" s="33">
        <v>5</v>
      </c>
      <c r="AP455" s="33">
        <v>0</v>
      </c>
      <c r="AQ455" s="33">
        <v>0</v>
      </c>
      <c r="AR455" s="33">
        <v>4</v>
      </c>
      <c r="AS455" s="33">
        <v>2</v>
      </c>
      <c r="AT455" s="33">
        <v>1</v>
      </c>
      <c r="AU455" s="43">
        <v>0.35578440303978737</v>
      </c>
      <c r="AV455" s="33">
        <v>0</v>
      </c>
      <c r="AW455" s="33">
        <v>1</v>
      </c>
      <c r="AY455" s="36">
        <v>427</v>
      </c>
      <c r="AZ455" s="33">
        <v>1</v>
      </c>
      <c r="BA455" s="33">
        <v>4</v>
      </c>
      <c r="BB455" s="33">
        <v>0</v>
      </c>
      <c r="BC455" s="33">
        <v>0</v>
      </c>
      <c r="BD455" s="43">
        <v>0.1472907617042678</v>
      </c>
      <c r="BE455" s="33">
        <v>0</v>
      </c>
      <c r="BF455" s="33">
        <v>0</v>
      </c>
      <c r="CE455" s="36">
        <v>421</v>
      </c>
      <c r="CF455" s="33">
        <v>3</v>
      </c>
      <c r="CG455" s="33">
        <v>3</v>
      </c>
      <c r="CH455" s="33">
        <v>3</v>
      </c>
      <c r="CI455" s="33">
        <v>2</v>
      </c>
      <c r="CJ455" s="33">
        <v>1</v>
      </c>
      <c r="CK455" s="33">
        <v>0</v>
      </c>
      <c r="CL455" s="33">
        <v>0</v>
      </c>
      <c r="CM455" s="33">
        <v>3</v>
      </c>
      <c r="CN455" s="33">
        <v>10</v>
      </c>
      <c r="CO455" s="33">
        <v>0</v>
      </c>
      <c r="CP455" s="43">
        <v>1.9886089150587958E-2</v>
      </c>
      <c r="CQ455" s="33">
        <v>0</v>
      </c>
      <c r="CR455" s="33">
        <v>0</v>
      </c>
    </row>
    <row r="456" spans="1:96" ht="15" customHeight="1" x14ac:dyDescent="0.25">
      <c r="A456" s="26">
        <v>454</v>
      </c>
      <c r="B456" s="27">
        <v>29</v>
      </c>
      <c r="C456" s="27">
        <v>0</v>
      </c>
      <c r="D456" s="27">
        <v>1</v>
      </c>
      <c r="E456" s="27">
        <v>232</v>
      </c>
      <c r="F456" s="27">
        <v>2</v>
      </c>
      <c r="G456" s="27">
        <v>19</v>
      </c>
      <c r="H456" s="27">
        <v>3</v>
      </c>
      <c r="I456" s="27">
        <v>5</v>
      </c>
      <c r="J456" s="27">
        <v>1</v>
      </c>
      <c r="K456" s="27">
        <v>611</v>
      </c>
      <c r="L456" s="27">
        <v>4</v>
      </c>
      <c r="M456" s="27">
        <v>1</v>
      </c>
      <c r="N456" s="27">
        <v>34</v>
      </c>
      <c r="O456" s="27">
        <v>3</v>
      </c>
      <c r="P456" s="27">
        <v>2</v>
      </c>
      <c r="Q456" s="27">
        <v>4</v>
      </c>
      <c r="R456" s="27">
        <v>4</v>
      </c>
      <c r="S456" s="27">
        <v>3</v>
      </c>
      <c r="T456" s="27">
        <v>4262</v>
      </c>
      <c r="U456" s="27">
        <v>22645</v>
      </c>
      <c r="V456" s="27">
        <v>4</v>
      </c>
      <c r="W456" s="27">
        <v>0</v>
      </c>
      <c r="X456" s="27">
        <v>12</v>
      </c>
      <c r="Y456" s="27">
        <v>3</v>
      </c>
      <c r="Z456" s="27">
        <v>2</v>
      </c>
      <c r="AA456" s="27">
        <v>80</v>
      </c>
      <c r="AB456" s="27">
        <v>2</v>
      </c>
      <c r="AC456" s="27">
        <v>8</v>
      </c>
      <c r="AD456" s="27">
        <v>2</v>
      </c>
      <c r="AE456" s="27">
        <v>4</v>
      </c>
      <c r="AF456" s="27">
        <v>3</v>
      </c>
      <c r="AG456" s="27">
        <v>2</v>
      </c>
      <c r="AH456" s="27">
        <v>1</v>
      </c>
      <c r="AI456" s="28">
        <v>2</v>
      </c>
      <c r="AK456" s="36">
        <v>423</v>
      </c>
      <c r="AL456" s="33">
        <v>2</v>
      </c>
      <c r="AM456" s="33">
        <v>1</v>
      </c>
      <c r="AN456" s="33">
        <v>4</v>
      </c>
      <c r="AO456" s="33">
        <v>1</v>
      </c>
      <c r="AP456" s="33">
        <v>0</v>
      </c>
      <c r="AQ456" s="33">
        <v>0</v>
      </c>
      <c r="AR456" s="33">
        <v>4</v>
      </c>
      <c r="AS456" s="33">
        <v>1</v>
      </c>
      <c r="AT456" s="33">
        <v>0</v>
      </c>
      <c r="AU456" s="43">
        <v>8.8783065664179789E-2</v>
      </c>
      <c r="AV456" s="33">
        <v>0</v>
      </c>
      <c r="AW456" s="33">
        <v>1</v>
      </c>
      <c r="AY456" s="36">
        <v>428</v>
      </c>
      <c r="AZ456" s="33">
        <v>3</v>
      </c>
      <c r="BA456" s="33">
        <v>1</v>
      </c>
      <c r="BB456" s="33">
        <v>0</v>
      </c>
      <c r="BC456" s="33">
        <v>0</v>
      </c>
      <c r="BD456" s="43">
        <v>0.11965500412792122</v>
      </c>
      <c r="BE456" s="33">
        <v>0</v>
      </c>
      <c r="BF456" s="33">
        <v>0</v>
      </c>
      <c r="CE456" s="36">
        <v>422</v>
      </c>
      <c r="CF456" s="33">
        <v>25</v>
      </c>
      <c r="CG456" s="33">
        <v>1</v>
      </c>
      <c r="CH456" s="33">
        <v>2</v>
      </c>
      <c r="CI456" s="33">
        <v>2</v>
      </c>
      <c r="CJ456" s="33">
        <v>5</v>
      </c>
      <c r="CK456" s="33">
        <v>0</v>
      </c>
      <c r="CL456" s="33">
        <v>0</v>
      </c>
      <c r="CM456" s="33">
        <v>4</v>
      </c>
      <c r="CN456" s="33">
        <v>2</v>
      </c>
      <c r="CO456" s="33">
        <v>1</v>
      </c>
      <c r="CP456" s="43">
        <v>0.27226139576387165</v>
      </c>
      <c r="CQ456" s="33">
        <v>0</v>
      </c>
      <c r="CR456" s="33">
        <v>1</v>
      </c>
    </row>
    <row r="457" spans="1:96" ht="15" customHeight="1" x14ac:dyDescent="0.25">
      <c r="A457" s="26">
        <v>455</v>
      </c>
      <c r="B457" s="27">
        <v>33</v>
      </c>
      <c r="C457" s="27">
        <v>0</v>
      </c>
      <c r="D457" s="27">
        <v>1</v>
      </c>
      <c r="E457" s="27">
        <v>922</v>
      </c>
      <c r="F457" s="27">
        <v>2</v>
      </c>
      <c r="G457" s="27">
        <v>1</v>
      </c>
      <c r="H457" s="27">
        <v>5</v>
      </c>
      <c r="I457" s="27">
        <v>3</v>
      </c>
      <c r="J457" s="27">
        <v>1</v>
      </c>
      <c r="K457" s="27">
        <v>612</v>
      </c>
      <c r="L457" s="27">
        <v>1</v>
      </c>
      <c r="M457" s="27">
        <v>0</v>
      </c>
      <c r="N457" s="27">
        <v>95</v>
      </c>
      <c r="O457" s="27">
        <v>4</v>
      </c>
      <c r="P457" s="27">
        <v>4</v>
      </c>
      <c r="Q457" s="27">
        <v>8</v>
      </c>
      <c r="R457" s="27">
        <v>3</v>
      </c>
      <c r="S457" s="27">
        <v>3</v>
      </c>
      <c r="T457" s="27">
        <v>16184</v>
      </c>
      <c r="U457" s="27">
        <v>22578</v>
      </c>
      <c r="V457" s="27">
        <v>4</v>
      </c>
      <c r="W457" s="27">
        <v>0</v>
      </c>
      <c r="X457" s="27">
        <v>19</v>
      </c>
      <c r="Y457" s="27">
        <v>3</v>
      </c>
      <c r="Z457" s="27">
        <v>3</v>
      </c>
      <c r="AA457" s="27">
        <v>80</v>
      </c>
      <c r="AB457" s="27">
        <v>1</v>
      </c>
      <c r="AC457" s="27">
        <v>10</v>
      </c>
      <c r="AD457" s="27">
        <v>2</v>
      </c>
      <c r="AE457" s="27">
        <v>3</v>
      </c>
      <c r="AF457" s="27">
        <v>6</v>
      </c>
      <c r="AG457" s="27">
        <v>1</v>
      </c>
      <c r="AH457" s="27">
        <v>0</v>
      </c>
      <c r="AI457" s="28">
        <v>5</v>
      </c>
      <c r="AK457" s="36">
        <v>424</v>
      </c>
      <c r="AL457" s="33">
        <v>22</v>
      </c>
      <c r="AM457" s="33">
        <v>3</v>
      </c>
      <c r="AN457" s="33">
        <v>1</v>
      </c>
      <c r="AO457" s="33">
        <v>0</v>
      </c>
      <c r="AP457" s="33">
        <v>0</v>
      </c>
      <c r="AQ457" s="33">
        <v>0</v>
      </c>
      <c r="AR457" s="33">
        <v>3</v>
      </c>
      <c r="AS457" s="33">
        <v>9</v>
      </c>
      <c r="AT457" s="33">
        <v>7</v>
      </c>
      <c r="AU457" s="43">
        <v>0.17978688302974405</v>
      </c>
      <c r="AV457" s="33">
        <v>0</v>
      </c>
      <c r="AW457" s="33">
        <v>0</v>
      </c>
      <c r="AY457" s="36">
        <v>429</v>
      </c>
      <c r="AZ457" s="33">
        <v>2</v>
      </c>
      <c r="BA457" s="33">
        <v>4</v>
      </c>
      <c r="BB457" s="33">
        <v>0</v>
      </c>
      <c r="BC457" s="33">
        <v>3</v>
      </c>
      <c r="BD457" s="43">
        <v>1.9892232637238622E-2</v>
      </c>
      <c r="BE457" s="33">
        <v>0</v>
      </c>
      <c r="BF457" s="33">
        <v>0</v>
      </c>
      <c r="CE457" s="36">
        <v>423</v>
      </c>
      <c r="CF457" s="33">
        <v>2</v>
      </c>
      <c r="CG457" s="33">
        <v>1</v>
      </c>
      <c r="CH457" s="33">
        <v>4</v>
      </c>
      <c r="CI457" s="33">
        <v>1</v>
      </c>
      <c r="CJ457" s="33">
        <v>1</v>
      </c>
      <c r="CK457" s="33">
        <v>0</v>
      </c>
      <c r="CL457" s="33">
        <v>0</v>
      </c>
      <c r="CM457" s="33">
        <v>4</v>
      </c>
      <c r="CN457" s="33">
        <v>1</v>
      </c>
      <c r="CO457" s="33">
        <v>0</v>
      </c>
      <c r="CP457" s="43">
        <v>9.9583759220728943E-2</v>
      </c>
      <c r="CQ457" s="33">
        <v>0</v>
      </c>
      <c r="CR457" s="33">
        <v>1</v>
      </c>
    </row>
    <row r="458" spans="1:96" ht="15" customHeight="1" x14ac:dyDescent="0.25">
      <c r="A458" s="26">
        <v>456</v>
      </c>
      <c r="B458" s="27">
        <v>31</v>
      </c>
      <c r="C458" s="27">
        <v>0</v>
      </c>
      <c r="D458" s="27">
        <v>1</v>
      </c>
      <c r="E458" s="27">
        <v>688</v>
      </c>
      <c r="F458" s="27">
        <v>1</v>
      </c>
      <c r="G458" s="27">
        <v>7</v>
      </c>
      <c r="H458" s="27">
        <v>3</v>
      </c>
      <c r="I458" s="27">
        <v>1</v>
      </c>
      <c r="J458" s="27">
        <v>1</v>
      </c>
      <c r="K458" s="27">
        <v>613</v>
      </c>
      <c r="L458" s="27">
        <v>3</v>
      </c>
      <c r="M458" s="27">
        <v>1</v>
      </c>
      <c r="N458" s="27">
        <v>44</v>
      </c>
      <c r="O458" s="27">
        <v>2</v>
      </c>
      <c r="P458" s="27">
        <v>3</v>
      </c>
      <c r="Q458" s="27">
        <v>6</v>
      </c>
      <c r="R458" s="27">
        <v>4</v>
      </c>
      <c r="S458" s="27">
        <v>3</v>
      </c>
      <c r="T458" s="27">
        <v>11557</v>
      </c>
      <c r="U458" s="27">
        <v>25291</v>
      </c>
      <c r="V458" s="27">
        <v>9</v>
      </c>
      <c r="W458" s="27">
        <v>0</v>
      </c>
      <c r="X458" s="27">
        <v>21</v>
      </c>
      <c r="Y458" s="27">
        <v>4</v>
      </c>
      <c r="Z458" s="27">
        <v>3</v>
      </c>
      <c r="AA458" s="27">
        <v>80</v>
      </c>
      <c r="AB458" s="27">
        <v>1</v>
      </c>
      <c r="AC458" s="27">
        <v>10</v>
      </c>
      <c r="AD458" s="27">
        <v>3</v>
      </c>
      <c r="AE458" s="27">
        <v>2</v>
      </c>
      <c r="AF458" s="27">
        <v>5</v>
      </c>
      <c r="AG458" s="27">
        <v>4</v>
      </c>
      <c r="AH458" s="27">
        <v>0</v>
      </c>
      <c r="AI458" s="28">
        <v>1</v>
      </c>
      <c r="AK458" s="36">
        <v>425</v>
      </c>
      <c r="AL458" s="33">
        <v>29</v>
      </c>
      <c r="AM458" s="33">
        <v>4</v>
      </c>
      <c r="AN458" s="33">
        <v>4</v>
      </c>
      <c r="AO458" s="33">
        <v>3</v>
      </c>
      <c r="AP458" s="33">
        <v>0</v>
      </c>
      <c r="AQ458" s="33">
        <v>1</v>
      </c>
      <c r="AR458" s="33">
        <v>2</v>
      </c>
      <c r="AS458" s="33">
        <v>1</v>
      </c>
      <c r="AT458" s="33">
        <v>0</v>
      </c>
      <c r="AU458" s="43">
        <v>4.7010710317413343E-2</v>
      </c>
      <c r="AV458" s="33">
        <v>0</v>
      </c>
      <c r="AW458" s="33">
        <v>0</v>
      </c>
      <c r="AY458" s="36">
        <v>430</v>
      </c>
      <c r="AZ458" s="33">
        <v>4</v>
      </c>
      <c r="BA458" s="33">
        <v>3</v>
      </c>
      <c r="BB458" s="33">
        <v>0</v>
      </c>
      <c r="BC458" s="33">
        <v>0</v>
      </c>
      <c r="BD458" s="43">
        <v>4.1532060460370328E-2</v>
      </c>
      <c r="BE458" s="33">
        <v>0</v>
      </c>
      <c r="BF458" s="33">
        <v>0</v>
      </c>
      <c r="CE458" s="36">
        <v>424</v>
      </c>
      <c r="CF458" s="33">
        <v>22</v>
      </c>
      <c r="CG458" s="33">
        <v>3</v>
      </c>
      <c r="CH458" s="33">
        <v>1</v>
      </c>
      <c r="CI458" s="33">
        <v>2</v>
      </c>
      <c r="CJ458" s="33">
        <v>0</v>
      </c>
      <c r="CK458" s="33">
        <v>0</v>
      </c>
      <c r="CL458" s="33">
        <v>0</v>
      </c>
      <c r="CM458" s="33">
        <v>3</v>
      </c>
      <c r="CN458" s="33">
        <v>9</v>
      </c>
      <c r="CO458" s="33">
        <v>7</v>
      </c>
      <c r="CP458" s="43">
        <v>0.13679418099984175</v>
      </c>
      <c r="CQ458" s="33">
        <v>0</v>
      </c>
      <c r="CR458" s="33">
        <v>0</v>
      </c>
    </row>
    <row r="459" spans="1:96" ht="15" customHeight="1" x14ac:dyDescent="0.25">
      <c r="A459" s="26">
        <v>457</v>
      </c>
      <c r="B459" s="27">
        <v>18</v>
      </c>
      <c r="C459" s="27">
        <v>1</v>
      </c>
      <c r="D459" s="27">
        <v>2</v>
      </c>
      <c r="E459" s="27">
        <v>1306</v>
      </c>
      <c r="F459" s="27">
        <v>1</v>
      </c>
      <c r="G459" s="27">
        <v>5</v>
      </c>
      <c r="H459" s="27">
        <v>3</v>
      </c>
      <c r="I459" s="27">
        <v>4</v>
      </c>
      <c r="J459" s="27">
        <v>1</v>
      </c>
      <c r="K459" s="27">
        <v>614</v>
      </c>
      <c r="L459" s="27">
        <v>2</v>
      </c>
      <c r="M459" s="27">
        <v>1</v>
      </c>
      <c r="N459" s="27">
        <v>69</v>
      </c>
      <c r="O459" s="27">
        <v>3</v>
      </c>
      <c r="P459" s="27">
        <v>1</v>
      </c>
      <c r="Q459" s="27">
        <v>7</v>
      </c>
      <c r="R459" s="27">
        <v>2</v>
      </c>
      <c r="S459" s="27">
        <v>1</v>
      </c>
      <c r="T459" s="27">
        <v>1878</v>
      </c>
      <c r="U459" s="27">
        <v>8059</v>
      </c>
      <c r="V459" s="27">
        <v>1</v>
      </c>
      <c r="W459" s="27">
        <v>1</v>
      </c>
      <c r="X459" s="27">
        <v>14</v>
      </c>
      <c r="Y459" s="27">
        <v>3</v>
      </c>
      <c r="Z459" s="27">
        <v>4</v>
      </c>
      <c r="AA459" s="27">
        <v>80</v>
      </c>
      <c r="AB459" s="27">
        <v>0</v>
      </c>
      <c r="AC459" s="27">
        <v>0</v>
      </c>
      <c r="AD459" s="27">
        <v>3</v>
      </c>
      <c r="AE459" s="27">
        <v>3</v>
      </c>
      <c r="AF459" s="27">
        <v>0</v>
      </c>
      <c r="AG459" s="27">
        <v>0</v>
      </c>
      <c r="AH459" s="27">
        <v>0</v>
      </c>
      <c r="AI459" s="28">
        <v>0</v>
      </c>
      <c r="AK459" s="36">
        <v>426</v>
      </c>
      <c r="AL459" s="33">
        <v>29</v>
      </c>
      <c r="AM459" s="33">
        <v>4</v>
      </c>
      <c r="AN459" s="33">
        <v>3</v>
      </c>
      <c r="AO459" s="33">
        <v>0</v>
      </c>
      <c r="AP459" s="33">
        <v>0</v>
      </c>
      <c r="AQ459" s="33">
        <v>1</v>
      </c>
      <c r="AR459" s="33">
        <v>3</v>
      </c>
      <c r="AS459" s="33">
        <v>27</v>
      </c>
      <c r="AT459" s="33">
        <v>15</v>
      </c>
      <c r="AU459" s="43">
        <v>3.3047706824216129E-2</v>
      </c>
      <c r="AV459" s="33">
        <v>0</v>
      </c>
      <c r="AW459" s="33">
        <v>0</v>
      </c>
      <c r="AY459" s="36">
        <v>431</v>
      </c>
      <c r="AZ459" s="33">
        <v>1</v>
      </c>
      <c r="BA459" s="33">
        <v>3</v>
      </c>
      <c r="BB459" s="33">
        <v>0</v>
      </c>
      <c r="BC459" s="33">
        <v>0</v>
      </c>
      <c r="BD459" s="43">
        <v>0.18791247240909698</v>
      </c>
      <c r="BE459" s="33">
        <v>0</v>
      </c>
      <c r="BF459" s="33">
        <v>0</v>
      </c>
      <c r="CE459" s="36">
        <v>425</v>
      </c>
      <c r="CF459" s="33">
        <v>29</v>
      </c>
      <c r="CG459" s="33">
        <v>4</v>
      </c>
      <c r="CH459" s="33">
        <v>4</v>
      </c>
      <c r="CI459" s="33">
        <v>3</v>
      </c>
      <c r="CJ459" s="33">
        <v>3</v>
      </c>
      <c r="CK459" s="33">
        <v>0</v>
      </c>
      <c r="CL459" s="33">
        <v>1</v>
      </c>
      <c r="CM459" s="33">
        <v>2</v>
      </c>
      <c r="CN459" s="33">
        <v>1</v>
      </c>
      <c r="CO459" s="33">
        <v>0</v>
      </c>
      <c r="CP459" s="43">
        <v>2.6968708829841242E-2</v>
      </c>
      <c r="CQ459" s="33">
        <v>0</v>
      </c>
      <c r="CR459" s="33">
        <v>0</v>
      </c>
    </row>
    <row r="460" spans="1:96" ht="15" customHeight="1" x14ac:dyDescent="0.25">
      <c r="A460" s="26">
        <v>458</v>
      </c>
      <c r="B460" s="27">
        <v>40</v>
      </c>
      <c r="C460" s="27">
        <v>0</v>
      </c>
      <c r="D460" s="27">
        <v>3</v>
      </c>
      <c r="E460" s="27">
        <v>1094</v>
      </c>
      <c r="F460" s="27">
        <v>1</v>
      </c>
      <c r="G460" s="27">
        <v>28</v>
      </c>
      <c r="H460" s="27">
        <v>3</v>
      </c>
      <c r="I460" s="27">
        <v>6</v>
      </c>
      <c r="J460" s="27">
        <v>1</v>
      </c>
      <c r="K460" s="27">
        <v>615</v>
      </c>
      <c r="L460" s="27">
        <v>3</v>
      </c>
      <c r="M460" s="27">
        <v>1</v>
      </c>
      <c r="N460" s="27">
        <v>58</v>
      </c>
      <c r="O460" s="27">
        <v>1</v>
      </c>
      <c r="P460" s="27">
        <v>3</v>
      </c>
      <c r="Q460" s="27">
        <v>1</v>
      </c>
      <c r="R460" s="27">
        <v>1</v>
      </c>
      <c r="S460" s="27">
        <v>3</v>
      </c>
      <c r="T460" s="27">
        <v>10932</v>
      </c>
      <c r="U460" s="27">
        <v>11373</v>
      </c>
      <c r="V460" s="27">
        <v>3</v>
      </c>
      <c r="W460" s="27">
        <v>0</v>
      </c>
      <c r="X460" s="27">
        <v>15</v>
      </c>
      <c r="Y460" s="27">
        <v>3</v>
      </c>
      <c r="Z460" s="27">
        <v>3</v>
      </c>
      <c r="AA460" s="27">
        <v>80</v>
      </c>
      <c r="AB460" s="27">
        <v>1</v>
      </c>
      <c r="AC460" s="27">
        <v>20</v>
      </c>
      <c r="AD460" s="27">
        <v>2</v>
      </c>
      <c r="AE460" s="27">
        <v>3</v>
      </c>
      <c r="AF460" s="27">
        <v>1</v>
      </c>
      <c r="AG460" s="27">
        <v>0</v>
      </c>
      <c r="AH460" s="27">
        <v>0</v>
      </c>
      <c r="AI460" s="28">
        <v>1</v>
      </c>
      <c r="AK460" s="36">
        <v>427</v>
      </c>
      <c r="AL460" s="33">
        <v>2</v>
      </c>
      <c r="AM460" s="33">
        <v>1</v>
      </c>
      <c r="AN460" s="33">
        <v>4</v>
      </c>
      <c r="AO460" s="33">
        <v>0</v>
      </c>
      <c r="AP460" s="33">
        <v>0</v>
      </c>
      <c r="AQ460" s="33">
        <v>0</v>
      </c>
      <c r="AR460" s="33">
        <v>2</v>
      </c>
      <c r="AS460" s="33">
        <v>11</v>
      </c>
      <c r="AT460" s="33">
        <v>6</v>
      </c>
      <c r="AU460" s="43">
        <v>0.12042038937868009</v>
      </c>
      <c r="AV460" s="33">
        <v>0</v>
      </c>
      <c r="AW460" s="33">
        <v>0</v>
      </c>
      <c r="AY460" s="36">
        <v>432</v>
      </c>
      <c r="AZ460" s="33">
        <v>2</v>
      </c>
      <c r="BA460" s="33">
        <v>3</v>
      </c>
      <c r="BB460" s="33">
        <v>0</v>
      </c>
      <c r="BC460" s="33">
        <v>0</v>
      </c>
      <c r="BD460" s="43">
        <v>0.11690772887050198</v>
      </c>
      <c r="BE460" s="33">
        <v>0</v>
      </c>
      <c r="BF460" s="33">
        <v>0</v>
      </c>
      <c r="CE460" s="36">
        <v>426</v>
      </c>
      <c r="CF460" s="33">
        <v>29</v>
      </c>
      <c r="CG460" s="33">
        <v>4</v>
      </c>
      <c r="CH460" s="33">
        <v>3</v>
      </c>
      <c r="CI460" s="33">
        <v>2</v>
      </c>
      <c r="CJ460" s="33">
        <v>0</v>
      </c>
      <c r="CK460" s="33">
        <v>0</v>
      </c>
      <c r="CL460" s="33">
        <v>1</v>
      </c>
      <c r="CM460" s="33">
        <v>3</v>
      </c>
      <c r="CN460" s="33">
        <v>27</v>
      </c>
      <c r="CO460" s="33">
        <v>15</v>
      </c>
      <c r="CP460" s="43">
        <v>3.326621416328026E-2</v>
      </c>
      <c r="CQ460" s="33">
        <v>0</v>
      </c>
      <c r="CR460" s="33">
        <v>0</v>
      </c>
    </row>
    <row r="461" spans="1:96" ht="15" customHeight="1" x14ac:dyDescent="0.25">
      <c r="A461" s="26">
        <v>459</v>
      </c>
      <c r="B461" s="27">
        <v>41</v>
      </c>
      <c r="C461" s="27">
        <v>0</v>
      </c>
      <c r="D461" s="27">
        <v>3</v>
      </c>
      <c r="E461" s="27">
        <v>509</v>
      </c>
      <c r="F461" s="27">
        <v>2</v>
      </c>
      <c r="G461" s="27">
        <v>2</v>
      </c>
      <c r="H461" s="27">
        <v>4</v>
      </c>
      <c r="I461" s="27">
        <v>6</v>
      </c>
      <c r="J461" s="27">
        <v>1</v>
      </c>
      <c r="K461" s="27">
        <v>616</v>
      </c>
      <c r="L461" s="27">
        <v>1</v>
      </c>
      <c r="M461" s="27">
        <v>0</v>
      </c>
      <c r="N461" s="27">
        <v>62</v>
      </c>
      <c r="O461" s="27">
        <v>2</v>
      </c>
      <c r="P461" s="27">
        <v>2</v>
      </c>
      <c r="Q461" s="27">
        <v>5</v>
      </c>
      <c r="R461" s="27">
        <v>3</v>
      </c>
      <c r="S461" s="27">
        <v>1</v>
      </c>
      <c r="T461" s="27">
        <v>6811</v>
      </c>
      <c r="U461" s="27">
        <v>2112</v>
      </c>
      <c r="V461" s="27">
        <v>2</v>
      </c>
      <c r="W461" s="27">
        <v>1</v>
      </c>
      <c r="X461" s="27">
        <v>17</v>
      </c>
      <c r="Y461" s="27">
        <v>3</v>
      </c>
      <c r="Z461" s="27">
        <v>1</v>
      </c>
      <c r="AA461" s="27">
        <v>80</v>
      </c>
      <c r="AB461" s="27">
        <v>0</v>
      </c>
      <c r="AC461" s="27">
        <v>10</v>
      </c>
      <c r="AD461" s="27">
        <v>3</v>
      </c>
      <c r="AE461" s="27">
        <v>3</v>
      </c>
      <c r="AF461" s="27">
        <v>8</v>
      </c>
      <c r="AG461" s="27">
        <v>7</v>
      </c>
      <c r="AH461" s="27">
        <v>0</v>
      </c>
      <c r="AI461" s="28">
        <v>7</v>
      </c>
      <c r="AK461" s="36">
        <v>428</v>
      </c>
      <c r="AL461" s="33">
        <v>28</v>
      </c>
      <c r="AM461" s="33">
        <v>3</v>
      </c>
      <c r="AN461" s="33">
        <v>1</v>
      </c>
      <c r="AO461" s="33">
        <v>4</v>
      </c>
      <c r="AP461" s="33">
        <v>0</v>
      </c>
      <c r="AQ461" s="33">
        <v>0</v>
      </c>
      <c r="AR461" s="33">
        <v>4</v>
      </c>
      <c r="AS461" s="33">
        <v>18</v>
      </c>
      <c r="AT461" s="33">
        <v>13</v>
      </c>
      <c r="AU461" s="43">
        <v>0.23479769011333895</v>
      </c>
      <c r="AV461" s="33">
        <v>0</v>
      </c>
      <c r="AW461" s="33">
        <v>0</v>
      </c>
      <c r="AY461" s="36">
        <v>433</v>
      </c>
      <c r="AZ461" s="33">
        <v>1</v>
      </c>
      <c r="BA461" s="33">
        <v>3</v>
      </c>
      <c r="BB461" s="33">
        <v>0</v>
      </c>
      <c r="BC461" s="33">
        <v>1</v>
      </c>
      <c r="BD461" s="43">
        <v>0.12012271365792118</v>
      </c>
      <c r="BE461" s="33">
        <v>0</v>
      </c>
      <c r="BF461" s="33">
        <v>0</v>
      </c>
      <c r="CE461" s="36">
        <v>427</v>
      </c>
      <c r="CF461" s="33">
        <v>2</v>
      </c>
      <c r="CG461" s="33">
        <v>1</v>
      </c>
      <c r="CH461" s="33">
        <v>4</v>
      </c>
      <c r="CI461" s="33">
        <v>1</v>
      </c>
      <c r="CJ461" s="33">
        <v>0</v>
      </c>
      <c r="CK461" s="33">
        <v>0</v>
      </c>
      <c r="CL461" s="33">
        <v>0</v>
      </c>
      <c r="CM461" s="33">
        <v>2</v>
      </c>
      <c r="CN461" s="33">
        <v>11</v>
      </c>
      <c r="CO461" s="33">
        <v>6</v>
      </c>
      <c r="CP461" s="43">
        <v>0.1396934320847231</v>
      </c>
      <c r="CQ461" s="33">
        <v>0</v>
      </c>
      <c r="CR461" s="33">
        <v>0</v>
      </c>
    </row>
    <row r="462" spans="1:96" ht="15" customHeight="1" x14ac:dyDescent="0.25">
      <c r="A462" s="26">
        <v>460</v>
      </c>
      <c r="B462" s="27">
        <v>26</v>
      </c>
      <c r="C462" s="27">
        <v>0</v>
      </c>
      <c r="D462" s="27">
        <v>1</v>
      </c>
      <c r="E462" s="27">
        <v>775</v>
      </c>
      <c r="F462" s="27">
        <v>1</v>
      </c>
      <c r="G462" s="27">
        <v>29</v>
      </c>
      <c r="H462" s="27">
        <v>2</v>
      </c>
      <c r="I462" s="27">
        <v>3</v>
      </c>
      <c r="J462" s="27">
        <v>1</v>
      </c>
      <c r="K462" s="27">
        <v>618</v>
      </c>
      <c r="L462" s="27">
        <v>1</v>
      </c>
      <c r="M462" s="27">
        <v>1</v>
      </c>
      <c r="N462" s="27">
        <v>45</v>
      </c>
      <c r="O462" s="27">
        <v>3</v>
      </c>
      <c r="P462" s="27">
        <v>2</v>
      </c>
      <c r="Q462" s="27">
        <v>1</v>
      </c>
      <c r="R462" s="27">
        <v>3</v>
      </c>
      <c r="S462" s="27">
        <v>3</v>
      </c>
      <c r="T462" s="27">
        <v>4306</v>
      </c>
      <c r="U462" s="27">
        <v>4267</v>
      </c>
      <c r="V462" s="27">
        <v>5</v>
      </c>
      <c r="W462" s="27">
        <v>0</v>
      </c>
      <c r="X462" s="27">
        <v>12</v>
      </c>
      <c r="Y462" s="27">
        <v>3</v>
      </c>
      <c r="Z462" s="27">
        <v>1</v>
      </c>
      <c r="AA462" s="27">
        <v>80</v>
      </c>
      <c r="AB462" s="27">
        <v>2</v>
      </c>
      <c r="AC462" s="27">
        <v>8</v>
      </c>
      <c r="AD462" s="27">
        <v>5</v>
      </c>
      <c r="AE462" s="27">
        <v>3</v>
      </c>
      <c r="AF462" s="27">
        <v>0</v>
      </c>
      <c r="AG462" s="27">
        <v>0</v>
      </c>
      <c r="AH462" s="27">
        <v>0</v>
      </c>
      <c r="AI462" s="28">
        <v>0</v>
      </c>
      <c r="AK462" s="36">
        <v>429</v>
      </c>
      <c r="AL462" s="33">
        <v>2</v>
      </c>
      <c r="AM462" s="33">
        <v>2</v>
      </c>
      <c r="AN462" s="33">
        <v>4</v>
      </c>
      <c r="AO462" s="33">
        <v>5</v>
      </c>
      <c r="AP462" s="33">
        <v>0</v>
      </c>
      <c r="AQ462" s="33">
        <v>3</v>
      </c>
      <c r="AR462" s="33">
        <v>3</v>
      </c>
      <c r="AS462" s="33">
        <v>5</v>
      </c>
      <c r="AT462" s="33">
        <v>0</v>
      </c>
      <c r="AU462" s="43">
        <v>1.3367468537903901E-2</v>
      </c>
      <c r="AV462" s="33">
        <v>0</v>
      </c>
      <c r="AW462" s="33">
        <v>0</v>
      </c>
      <c r="AY462" s="36">
        <v>434</v>
      </c>
      <c r="AZ462" s="33">
        <v>3</v>
      </c>
      <c r="BA462" s="33">
        <v>4</v>
      </c>
      <c r="BB462" s="33">
        <v>1</v>
      </c>
      <c r="BC462" s="33">
        <v>1</v>
      </c>
      <c r="BD462" s="43">
        <v>0.12479921665315721</v>
      </c>
      <c r="BE462" s="33">
        <v>0</v>
      </c>
      <c r="BF462" s="33">
        <v>0</v>
      </c>
      <c r="CE462" s="36">
        <v>428</v>
      </c>
      <c r="CF462" s="33">
        <v>28</v>
      </c>
      <c r="CG462" s="33">
        <v>3</v>
      </c>
      <c r="CH462" s="33">
        <v>1</v>
      </c>
      <c r="CI462" s="33">
        <v>2</v>
      </c>
      <c r="CJ462" s="33">
        <v>4</v>
      </c>
      <c r="CK462" s="33">
        <v>0</v>
      </c>
      <c r="CL462" s="33">
        <v>0</v>
      </c>
      <c r="CM462" s="33">
        <v>4</v>
      </c>
      <c r="CN462" s="33">
        <v>18</v>
      </c>
      <c r="CO462" s="33">
        <v>13</v>
      </c>
      <c r="CP462" s="43">
        <v>0.18175801214670242</v>
      </c>
      <c r="CQ462" s="33">
        <v>0</v>
      </c>
      <c r="CR462" s="33">
        <v>0</v>
      </c>
    </row>
    <row r="463" spans="1:96" ht="15" customHeight="1" x14ac:dyDescent="0.25">
      <c r="A463" s="26">
        <v>461</v>
      </c>
      <c r="B463" s="27">
        <v>35</v>
      </c>
      <c r="C463" s="27">
        <v>0</v>
      </c>
      <c r="D463" s="27">
        <v>1</v>
      </c>
      <c r="E463" s="27">
        <v>195</v>
      </c>
      <c r="F463" s="27">
        <v>1</v>
      </c>
      <c r="G463" s="27">
        <v>1</v>
      </c>
      <c r="H463" s="27">
        <v>3</v>
      </c>
      <c r="I463" s="27">
        <v>3</v>
      </c>
      <c r="J463" s="27">
        <v>1</v>
      </c>
      <c r="K463" s="27">
        <v>620</v>
      </c>
      <c r="L463" s="27">
        <v>1</v>
      </c>
      <c r="M463" s="27">
        <v>0</v>
      </c>
      <c r="N463" s="27">
        <v>80</v>
      </c>
      <c r="O463" s="27">
        <v>3</v>
      </c>
      <c r="P463" s="27">
        <v>2</v>
      </c>
      <c r="Q463" s="27">
        <v>1</v>
      </c>
      <c r="R463" s="27">
        <v>3</v>
      </c>
      <c r="S463" s="27">
        <v>1</v>
      </c>
      <c r="T463" s="27">
        <v>4859</v>
      </c>
      <c r="U463" s="27">
        <v>6698</v>
      </c>
      <c r="V463" s="27">
        <v>1</v>
      </c>
      <c r="W463" s="27">
        <v>0</v>
      </c>
      <c r="X463" s="27">
        <v>16</v>
      </c>
      <c r="Y463" s="27">
        <v>3</v>
      </c>
      <c r="Z463" s="27">
        <v>4</v>
      </c>
      <c r="AA463" s="27">
        <v>80</v>
      </c>
      <c r="AB463" s="27">
        <v>0</v>
      </c>
      <c r="AC463" s="27">
        <v>5</v>
      </c>
      <c r="AD463" s="27">
        <v>3</v>
      </c>
      <c r="AE463" s="27">
        <v>3</v>
      </c>
      <c r="AF463" s="27">
        <v>5</v>
      </c>
      <c r="AG463" s="27">
        <v>4</v>
      </c>
      <c r="AH463" s="27">
        <v>0</v>
      </c>
      <c r="AI463" s="28">
        <v>3</v>
      </c>
      <c r="AK463" s="36">
        <v>430</v>
      </c>
      <c r="AL463" s="33">
        <v>2</v>
      </c>
      <c r="AM463" s="33">
        <v>4</v>
      </c>
      <c r="AN463" s="33">
        <v>3</v>
      </c>
      <c r="AO463" s="33">
        <v>6</v>
      </c>
      <c r="AP463" s="33">
        <v>0</v>
      </c>
      <c r="AQ463" s="33">
        <v>0</v>
      </c>
      <c r="AR463" s="33">
        <v>1</v>
      </c>
      <c r="AS463" s="33">
        <v>3</v>
      </c>
      <c r="AT463" s="33">
        <v>0</v>
      </c>
      <c r="AU463" s="43">
        <v>6.1921246608552173E-2</v>
      </c>
      <c r="AV463" s="33">
        <v>0</v>
      </c>
      <c r="AW463" s="33">
        <v>0</v>
      </c>
      <c r="AY463" s="36">
        <v>435</v>
      </c>
      <c r="AZ463" s="33">
        <v>3</v>
      </c>
      <c r="BA463" s="33">
        <v>2</v>
      </c>
      <c r="BB463" s="33">
        <v>0</v>
      </c>
      <c r="BC463" s="33">
        <v>1</v>
      </c>
      <c r="BD463" s="43">
        <v>5.6480788250011953E-2</v>
      </c>
      <c r="BE463" s="33">
        <v>0</v>
      </c>
      <c r="BF463" s="33">
        <v>0</v>
      </c>
      <c r="CE463" s="36">
        <v>429</v>
      </c>
      <c r="CF463" s="33">
        <v>2</v>
      </c>
      <c r="CG463" s="33">
        <v>2</v>
      </c>
      <c r="CH463" s="33">
        <v>4</v>
      </c>
      <c r="CI463" s="33">
        <v>3</v>
      </c>
      <c r="CJ463" s="33">
        <v>5</v>
      </c>
      <c r="CK463" s="33">
        <v>0</v>
      </c>
      <c r="CL463" s="33">
        <v>3</v>
      </c>
      <c r="CM463" s="33">
        <v>3</v>
      </c>
      <c r="CN463" s="33">
        <v>5</v>
      </c>
      <c r="CO463" s="33">
        <v>0</v>
      </c>
      <c r="CP463" s="43">
        <v>1.4491139296349971E-2</v>
      </c>
      <c r="CQ463" s="33">
        <v>0</v>
      </c>
      <c r="CR463" s="33">
        <v>0</v>
      </c>
    </row>
    <row r="464" spans="1:96" ht="15" customHeight="1" x14ac:dyDescent="0.25">
      <c r="A464" s="26">
        <v>462</v>
      </c>
      <c r="B464" s="27">
        <v>34</v>
      </c>
      <c r="C464" s="27">
        <v>0</v>
      </c>
      <c r="D464" s="27">
        <v>1</v>
      </c>
      <c r="E464" s="27">
        <v>258</v>
      </c>
      <c r="F464" s="27">
        <v>1</v>
      </c>
      <c r="G464" s="27">
        <v>21</v>
      </c>
      <c r="H464" s="27">
        <v>4</v>
      </c>
      <c r="I464" s="27">
        <v>1</v>
      </c>
      <c r="J464" s="27">
        <v>1</v>
      </c>
      <c r="K464" s="27">
        <v>621</v>
      </c>
      <c r="L464" s="27">
        <v>4</v>
      </c>
      <c r="M464" s="27">
        <v>1</v>
      </c>
      <c r="N464" s="27">
        <v>74</v>
      </c>
      <c r="O464" s="27">
        <v>4</v>
      </c>
      <c r="P464" s="27">
        <v>2</v>
      </c>
      <c r="Q464" s="27">
        <v>1</v>
      </c>
      <c r="R464" s="27">
        <v>4</v>
      </c>
      <c r="S464" s="27">
        <v>1</v>
      </c>
      <c r="T464" s="27">
        <v>5337</v>
      </c>
      <c r="U464" s="27">
        <v>19921</v>
      </c>
      <c r="V464" s="27">
        <v>1</v>
      </c>
      <c r="W464" s="27">
        <v>0</v>
      </c>
      <c r="X464" s="27">
        <v>12</v>
      </c>
      <c r="Y464" s="27">
        <v>3</v>
      </c>
      <c r="Z464" s="27">
        <v>4</v>
      </c>
      <c r="AA464" s="27">
        <v>80</v>
      </c>
      <c r="AB464" s="27">
        <v>0</v>
      </c>
      <c r="AC464" s="27">
        <v>10</v>
      </c>
      <c r="AD464" s="27">
        <v>3</v>
      </c>
      <c r="AE464" s="27">
        <v>3</v>
      </c>
      <c r="AF464" s="27">
        <v>10</v>
      </c>
      <c r="AG464" s="27">
        <v>7</v>
      </c>
      <c r="AH464" s="27">
        <v>5</v>
      </c>
      <c r="AI464" s="28">
        <v>7</v>
      </c>
      <c r="AK464" s="36">
        <v>431</v>
      </c>
      <c r="AL464" s="33">
        <v>22</v>
      </c>
      <c r="AM464" s="33">
        <v>1</v>
      </c>
      <c r="AN464" s="33">
        <v>3</v>
      </c>
      <c r="AO464" s="33">
        <v>0</v>
      </c>
      <c r="AP464" s="33">
        <v>0</v>
      </c>
      <c r="AQ464" s="33">
        <v>0</v>
      </c>
      <c r="AR464" s="33">
        <v>3</v>
      </c>
      <c r="AS464" s="33">
        <v>5</v>
      </c>
      <c r="AT464" s="33">
        <v>4</v>
      </c>
      <c r="AU464" s="43">
        <v>0.25916595480364185</v>
      </c>
      <c r="AV464" s="33">
        <v>0</v>
      </c>
      <c r="AW464" s="33">
        <v>0</v>
      </c>
      <c r="AY464" s="36">
        <v>436</v>
      </c>
      <c r="AZ464" s="33">
        <v>3</v>
      </c>
      <c r="BA464" s="33">
        <v>3</v>
      </c>
      <c r="BB464" s="33">
        <v>1</v>
      </c>
      <c r="BC464" s="33">
        <v>0</v>
      </c>
      <c r="BD464" s="43">
        <v>0.24457985721149755</v>
      </c>
      <c r="BE464" s="33">
        <v>0</v>
      </c>
      <c r="BF464" s="33">
        <v>1</v>
      </c>
      <c r="CE464" s="36">
        <v>430</v>
      </c>
      <c r="CF464" s="33">
        <v>2</v>
      </c>
      <c r="CG464" s="33">
        <v>4</v>
      </c>
      <c r="CH464" s="33">
        <v>3</v>
      </c>
      <c r="CI464" s="33">
        <v>2</v>
      </c>
      <c r="CJ464" s="33">
        <v>6</v>
      </c>
      <c r="CK464" s="33">
        <v>0</v>
      </c>
      <c r="CL464" s="33">
        <v>0</v>
      </c>
      <c r="CM464" s="33">
        <v>1</v>
      </c>
      <c r="CN464" s="33">
        <v>3</v>
      </c>
      <c r="CO464" s="33">
        <v>0</v>
      </c>
      <c r="CP464" s="43">
        <v>4.5753623970062246E-2</v>
      </c>
      <c r="CQ464" s="33">
        <v>0</v>
      </c>
      <c r="CR464" s="33">
        <v>0</v>
      </c>
    </row>
    <row r="465" spans="1:96" ht="15" customHeight="1" x14ac:dyDescent="0.25">
      <c r="A465" s="26">
        <v>463</v>
      </c>
      <c r="B465" s="27">
        <v>26</v>
      </c>
      <c r="C465" s="27">
        <v>1</v>
      </c>
      <c r="D465" s="27">
        <v>1</v>
      </c>
      <c r="E465" s="27">
        <v>471</v>
      </c>
      <c r="F465" s="27">
        <v>2</v>
      </c>
      <c r="G465" s="27">
        <v>24</v>
      </c>
      <c r="H465" s="27">
        <v>3</v>
      </c>
      <c r="I465" s="27">
        <v>5</v>
      </c>
      <c r="J465" s="27">
        <v>1</v>
      </c>
      <c r="K465" s="27">
        <v>622</v>
      </c>
      <c r="L465" s="27">
        <v>3</v>
      </c>
      <c r="M465" s="27">
        <v>1</v>
      </c>
      <c r="N465" s="27">
        <v>66</v>
      </c>
      <c r="O465" s="27">
        <v>1</v>
      </c>
      <c r="P465" s="27">
        <v>1</v>
      </c>
      <c r="Q465" s="27">
        <v>3</v>
      </c>
      <c r="R465" s="27">
        <v>4</v>
      </c>
      <c r="S465" s="27">
        <v>1</v>
      </c>
      <c r="T465" s="27">
        <v>2340</v>
      </c>
      <c r="U465" s="27">
        <v>23213</v>
      </c>
      <c r="V465" s="27">
        <v>1</v>
      </c>
      <c r="W465" s="27">
        <v>1</v>
      </c>
      <c r="X465" s="27">
        <v>18</v>
      </c>
      <c r="Y465" s="27">
        <v>3</v>
      </c>
      <c r="Z465" s="27">
        <v>2</v>
      </c>
      <c r="AA465" s="27">
        <v>80</v>
      </c>
      <c r="AB465" s="27">
        <v>0</v>
      </c>
      <c r="AC465" s="27">
        <v>1</v>
      </c>
      <c r="AD465" s="27">
        <v>3</v>
      </c>
      <c r="AE465" s="27">
        <v>1</v>
      </c>
      <c r="AF465" s="27">
        <v>1</v>
      </c>
      <c r="AG465" s="27">
        <v>0</v>
      </c>
      <c r="AH465" s="27">
        <v>0</v>
      </c>
      <c r="AI465" s="28">
        <v>0</v>
      </c>
      <c r="AK465" s="36">
        <v>432</v>
      </c>
      <c r="AL465" s="33">
        <v>8</v>
      </c>
      <c r="AM465" s="33">
        <v>2</v>
      </c>
      <c r="AN465" s="33">
        <v>3</v>
      </c>
      <c r="AO465" s="33">
        <v>7</v>
      </c>
      <c r="AP465" s="33">
        <v>0</v>
      </c>
      <c r="AQ465" s="33">
        <v>0</v>
      </c>
      <c r="AR465" s="33">
        <v>3</v>
      </c>
      <c r="AS465" s="33">
        <v>1</v>
      </c>
      <c r="AT465" s="33">
        <v>0</v>
      </c>
      <c r="AU465" s="43">
        <v>0.16112708296475947</v>
      </c>
      <c r="AV465" s="33">
        <v>0</v>
      </c>
      <c r="AW465" s="33">
        <v>0</v>
      </c>
      <c r="AY465" s="36">
        <v>437</v>
      </c>
      <c r="AZ465" s="33">
        <v>1</v>
      </c>
      <c r="BA465" s="33">
        <v>4</v>
      </c>
      <c r="BB465" s="33">
        <v>0</v>
      </c>
      <c r="BC465" s="33">
        <v>3</v>
      </c>
      <c r="BD465" s="43">
        <v>3.425986181697948E-2</v>
      </c>
      <c r="BE465" s="33">
        <v>0</v>
      </c>
      <c r="BF465" s="33">
        <v>1</v>
      </c>
      <c r="CE465" s="36">
        <v>431</v>
      </c>
      <c r="CF465" s="33">
        <v>22</v>
      </c>
      <c r="CG465" s="33">
        <v>1</v>
      </c>
      <c r="CH465" s="33">
        <v>3</v>
      </c>
      <c r="CI465" s="33">
        <v>1</v>
      </c>
      <c r="CJ465" s="33">
        <v>0</v>
      </c>
      <c r="CK465" s="33">
        <v>0</v>
      </c>
      <c r="CL465" s="33">
        <v>0</v>
      </c>
      <c r="CM465" s="33">
        <v>3</v>
      </c>
      <c r="CN465" s="33">
        <v>5</v>
      </c>
      <c r="CO465" s="33">
        <v>4</v>
      </c>
      <c r="CP465" s="43">
        <v>0.29176478713098708</v>
      </c>
      <c r="CQ465" s="33">
        <v>0</v>
      </c>
      <c r="CR465" s="33">
        <v>0</v>
      </c>
    </row>
    <row r="466" spans="1:96" ht="15" customHeight="1" x14ac:dyDescent="0.25">
      <c r="A466" s="26">
        <v>464</v>
      </c>
      <c r="B466" s="27">
        <v>37</v>
      </c>
      <c r="C466" s="27">
        <v>0</v>
      </c>
      <c r="D466" s="27">
        <v>1</v>
      </c>
      <c r="E466" s="27">
        <v>799</v>
      </c>
      <c r="F466" s="27">
        <v>2</v>
      </c>
      <c r="G466" s="27">
        <v>1</v>
      </c>
      <c r="H466" s="27">
        <v>3</v>
      </c>
      <c r="I466" s="27">
        <v>5</v>
      </c>
      <c r="J466" s="27">
        <v>1</v>
      </c>
      <c r="K466" s="27">
        <v>623</v>
      </c>
      <c r="L466" s="27">
        <v>2</v>
      </c>
      <c r="M466" s="27">
        <v>0</v>
      </c>
      <c r="N466" s="27">
        <v>59</v>
      </c>
      <c r="O466" s="27">
        <v>3</v>
      </c>
      <c r="P466" s="27">
        <v>3</v>
      </c>
      <c r="Q466" s="27">
        <v>4</v>
      </c>
      <c r="R466" s="27">
        <v>4</v>
      </c>
      <c r="S466" s="27">
        <v>1</v>
      </c>
      <c r="T466" s="27">
        <v>7491</v>
      </c>
      <c r="U466" s="27">
        <v>23848</v>
      </c>
      <c r="V466" s="27">
        <v>4</v>
      </c>
      <c r="W466" s="27">
        <v>0</v>
      </c>
      <c r="X466" s="27">
        <v>17</v>
      </c>
      <c r="Y466" s="27">
        <v>3</v>
      </c>
      <c r="Z466" s="27">
        <v>4</v>
      </c>
      <c r="AA466" s="27">
        <v>80</v>
      </c>
      <c r="AB466" s="27">
        <v>0</v>
      </c>
      <c r="AC466" s="27">
        <v>12</v>
      </c>
      <c r="AD466" s="27">
        <v>3</v>
      </c>
      <c r="AE466" s="27">
        <v>4</v>
      </c>
      <c r="AF466" s="27">
        <v>6</v>
      </c>
      <c r="AG466" s="27">
        <v>5</v>
      </c>
      <c r="AH466" s="27">
        <v>1</v>
      </c>
      <c r="AI466" s="28">
        <v>2</v>
      </c>
      <c r="AK466" s="36">
        <v>433</v>
      </c>
      <c r="AL466" s="33">
        <v>2</v>
      </c>
      <c r="AM466" s="33">
        <v>1</v>
      </c>
      <c r="AN466" s="33">
        <v>3</v>
      </c>
      <c r="AO466" s="33">
        <v>3</v>
      </c>
      <c r="AP466" s="33">
        <v>0</v>
      </c>
      <c r="AQ466" s="33">
        <v>1</v>
      </c>
      <c r="AR466" s="33">
        <v>3</v>
      </c>
      <c r="AS466" s="33">
        <v>7</v>
      </c>
      <c r="AT466" s="33">
        <v>5</v>
      </c>
      <c r="AU466" s="43">
        <v>0.11214096260715979</v>
      </c>
      <c r="AV466" s="33">
        <v>0</v>
      </c>
      <c r="AW466" s="33">
        <v>0</v>
      </c>
      <c r="AY466" s="36">
        <v>438</v>
      </c>
      <c r="AZ466" s="33">
        <v>1</v>
      </c>
      <c r="BA466" s="33">
        <v>2</v>
      </c>
      <c r="BB466" s="33">
        <v>0</v>
      </c>
      <c r="BC466" s="33">
        <v>0</v>
      </c>
      <c r="BD466" s="43">
        <v>0.23662845161334917</v>
      </c>
      <c r="BE466" s="33">
        <v>0</v>
      </c>
      <c r="BF466" s="33">
        <v>0</v>
      </c>
      <c r="CE466" s="36">
        <v>432</v>
      </c>
      <c r="CF466" s="33">
        <v>8</v>
      </c>
      <c r="CG466" s="33">
        <v>2</v>
      </c>
      <c r="CH466" s="33">
        <v>3</v>
      </c>
      <c r="CI466" s="33">
        <v>1</v>
      </c>
      <c r="CJ466" s="33">
        <v>7</v>
      </c>
      <c r="CK466" s="33">
        <v>0</v>
      </c>
      <c r="CL466" s="33">
        <v>0</v>
      </c>
      <c r="CM466" s="33">
        <v>3</v>
      </c>
      <c r="CN466" s="33">
        <v>1</v>
      </c>
      <c r="CO466" s="33">
        <v>0</v>
      </c>
      <c r="CP466" s="43">
        <v>0.18695062506667498</v>
      </c>
      <c r="CQ466" s="33">
        <v>0</v>
      </c>
      <c r="CR466" s="33">
        <v>0</v>
      </c>
    </row>
    <row r="467" spans="1:96" ht="15" customHeight="1" x14ac:dyDescent="0.25">
      <c r="A467" s="26">
        <v>465</v>
      </c>
      <c r="B467" s="27">
        <v>46</v>
      </c>
      <c r="C467" s="27">
        <v>0</v>
      </c>
      <c r="D467" s="27">
        <v>2</v>
      </c>
      <c r="E467" s="27">
        <v>1034</v>
      </c>
      <c r="F467" s="27">
        <v>2</v>
      </c>
      <c r="G467" s="27">
        <v>18</v>
      </c>
      <c r="H467" s="27">
        <v>1</v>
      </c>
      <c r="I467" s="27">
        <v>3</v>
      </c>
      <c r="J467" s="27">
        <v>1</v>
      </c>
      <c r="K467" s="27">
        <v>624</v>
      </c>
      <c r="L467" s="27">
        <v>1</v>
      </c>
      <c r="M467" s="27">
        <v>0</v>
      </c>
      <c r="N467" s="27">
        <v>86</v>
      </c>
      <c r="O467" s="27">
        <v>3</v>
      </c>
      <c r="P467" s="27">
        <v>3</v>
      </c>
      <c r="Q467" s="27">
        <v>5</v>
      </c>
      <c r="R467" s="27">
        <v>3</v>
      </c>
      <c r="S467" s="27">
        <v>2</v>
      </c>
      <c r="T467" s="27">
        <v>10527</v>
      </c>
      <c r="U467" s="27">
        <v>8984</v>
      </c>
      <c r="V467" s="27">
        <v>5</v>
      </c>
      <c r="W467" s="27">
        <v>0</v>
      </c>
      <c r="X467" s="27">
        <v>11</v>
      </c>
      <c r="Y467" s="27">
        <v>3</v>
      </c>
      <c r="Z467" s="27">
        <v>4</v>
      </c>
      <c r="AA467" s="27">
        <v>80</v>
      </c>
      <c r="AB467" s="27">
        <v>0</v>
      </c>
      <c r="AC467" s="27">
        <v>28</v>
      </c>
      <c r="AD467" s="27">
        <v>3</v>
      </c>
      <c r="AE467" s="27">
        <v>2</v>
      </c>
      <c r="AF467" s="27">
        <v>2</v>
      </c>
      <c r="AG467" s="27">
        <v>2</v>
      </c>
      <c r="AH467" s="27">
        <v>1</v>
      </c>
      <c r="AI467" s="28">
        <v>2</v>
      </c>
      <c r="AK467" s="36">
        <v>434</v>
      </c>
      <c r="AL467" s="33">
        <v>10</v>
      </c>
      <c r="AM467" s="33">
        <v>3</v>
      </c>
      <c r="AN467" s="33">
        <v>4</v>
      </c>
      <c r="AO467" s="33">
        <v>2</v>
      </c>
      <c r="AP467" s="33">
        <v>1</v>
      </c>
      <c r="AQ467" s="33">
        <v>1</v>
      </c>
      <c r="AR467" s="33">
        <v>3</v>
      </c>
      <c r="AS467" s="33">
        <v>3</v>
      </c>
      <c r="AT467" s="33">
        <v>1</v>
      </c>
      <c r="AU467" s="43">
        <v>0.1225140927018545</v>
      </c>
      <c r="AV467" s="33">
        <v>0</v>
      </c>
      <c r="AW467" s="33">
        <v>0</v>
      </c>
      <c r="AY467" s="36">
        <v>439</v>
      </c>
      <c r="AZ467" s="33">
        <v>3</v>
      </c>
      <c r="BA467" s="33">
        <v>3</v>
      </c>
      <c r="BB467" s="33">
        <v>1</v>
      </c>
      <c r="BC467" s="33">
        <v>0</v>
      </c>
      <c r="BD467" s="43">
        <v>0.24457985721149755</v>
      </c>
      <c r="BE467" s="33">
        <v>0</v>
      </c>
      <c r="BF467" s="33">
        <v>0</v>
      </c>
      <c r="CE467" s="36">
        <v>433</v>
      </c>
      <c r="CF467" s="33">
        <v>2</v>
      </c>
      <c r="CG467" s="33">
        <v>1</v>
      </c>
      <c r="CH467" s="33">
        <v>3</v>
      </c>
      <c r="CI467" s="33">
        <v>3</v>
      </c>
      <c r="CJ467" s="33">
        <v>3</v>
      </c>
      <c r="CK467" s="33">
        <v>0</v>
      </c>
      <c r="CL467" s="33">
        <v>1</v>
      </c>
      <c r="CM467" s="33">
        <v>3</v>
      </c>
      <c r="CN467" s="33">
        <v>7</v>
      </c>
      <c r="CO467" s="33">
        <v>5</v>
      </c>
      <c r="CP467" s="43">
        <v>6.554851996308067E-2</v>
      </c>
      <c r="CQ467" s="33">
        <v>0</v>
      </c>
      <c r="CR467" s="33">
        <v>0</v>
      </c>
    </row>
    <row r="468" spans="1:96" ht="15" customHeight="1" x14ac:dyDescent="0.25">
      <c r="A468" s="26">
        <v>466</v>
      </c>
      <c r="B468" s="27">
        <v>41</v>
      </c>
      <c r="C468" s="27">
        <v>0</v>
      </c>
      <c r="D468" s="27">
        <v>1</v>
      </c>
      <c r="E468" s="27">
        <v>1276</v>
      </c>
      <c r="F468" s="27">
        <v>1</v>
      </c>
      <c r="G468" s="27">
        <v>2</v>
      </c>
      <c r="H468" s="27">
        <v>5</v>
      </c>
      <c r="I468" s="27">
        <v>1</v>
      </c>
      <c r="J468" s="27">
        <v>1</v>
      </c>
      <c r="K468" s="27">
        <v>625</v>
      </c>
      <c r="L468" s="27">
        <v>2</v>
      </c>
      <c r="M468" s="27">
        <v>0</v>
      </c>
      <c r="N468" s="27">
        <v>91</v>
      </c>
      <c r="O468" s="27">
        <v>3</v>
      </c>
      <c r="P468" s="27">
        <v>4</v>
      </c>
      <c r="Q468" s="27">
        <v>6</v>
      </c>
      <c r="R468" s="27">
        <v>1</v>
      </c>
      <c r="S468" s="27">
        <v>2</v>
      </c>
      <c r="T468" s="27">
        <v>16595</v>
      </c>
      <c r="U468" s="27">
        <v>5626</v>
      </c>
      <c r="V468" s="27">
        <v>7</v>
      </c>
      <c r="W468" s="27">
        <v>0</v>
      </c>
      <c r="X468" s="27">
        <v>16</v>
      </c>
      <c r="Y468" s="27">
        <v>3</v>
      </c>
      <c r="Z468" s="27">
        <v>2</v>
      </c>
      <c r="AA468" s="27">
        <v>80</v>
      </c>
      <c r="AB468" s="27">
        <v>1</v>
      </c>
      <c r="AC468" s="27">
        <v>22</v>
      </c>
      <c r="AD468" s="27">
        <v>2</v>
      </c>
      <c r="AE468" s="27">
        <v>3</v>
      </c>
      <c r="AF468" s="27">
        <v>18</v>
      </c>
      <c r="AG468" s="27">
        <v>16</v>
      </c>
      <c r="AH468" s="27">
        <v>11</v>
      </c>
      <c r="AI468" s="28">
        <v>8</v>
      </c>
      <c r="AK468" s="36">
        <v>435</v>
      </c>
      <c r="AL468" s="33">
        <v>9</v>
      </c>
      <c r="AM468" s="33">
        <v>3</v>
      </c>
      <c r="AN468" s="33">
        <v>2</v>
      </c>
      <c r="AO468" s="33">
        <v>1</v>
      </c>
      <c r="AP468" s="33">
        <v>0</v>
      </c>
      <c r="AQ468" s="33">
        <v>1</v>
      </c>
      <c r="AR468" s="33">
        <v>4</v>
      </c>
      <c r="AS468" s="33">
        <v>13</v>
      </c>
      <c r="AT468" s="33">
        <v>0</v>
      </c>
      <c r="AU468" s="43">
        <v>1.721463659185659E-2</v>
      </c>
      <c r="AV468" s="33">
        <v>0</v>
      </c>
      <c r="AW468" s="33">
        <v>0</v>
      </c>
      <c r="AY468" s="36">
        <v>440</v>
      </c>
      <c r="AZ468" s="33">
        <v>3</v>
      </c>
      <c r="BA468" s="33">
        <v>3</v>
      </c>
      <c r="BB468" s="33">
        <v>0</v>
      </c>
      <c r="BC468" s="33">
        <v>0</v>
      </c>
      <c r="BD468" s="43">
        <v>7.0406776741937793E-2</v>
      </c>
      <c r="BE468" s="33">
        <v>0</v>
      </c>
      <c r="BF468" s="33">
        <v>1</v>
      </c>
      <c r="CE468" s="36">
        <v>434</v>
      </c>
      <c r="CF468" s="33">
        <v>10</v>
      </c>
      <c r="CG468" s="33">
        <v>3</v>
      </c>
      <c r="CH468" s="33">
        <v>4</v>
      </c>
      <c r="CI468" s="33">
        <v>2</v>
      </c>
      <c r="CJ468" s="33">
        <v>2</v>
      </c>
      <c r="CK468" s="33">
        <v>1</v>
      </c>
      <c r="CL468" s="33">
        <v>1</v>
      </c>
      <c r="CM468" s="33">
        <v>3</v>
      </c>
      <c r="CN468" s="33">
        <v>3</v>
      </c>
      <c r="CO468" s="33">
        <v>1</v>
      </c>
      <c r="CP468" s="43">
        <v>0.12216578726830127</v>
      </c>
      <c r="CQ468" s="33">
        <v>0</v>
      </c>
      <c r="CR468" s="33">
        <v>0</v>
      </c>
    </row>
    <row r="469" spans="1:96" ht="15" customHeight="1" x14ac:dyDescent="0.25">
      <c r="A469" s="26">
        <v>467</v>
      </c>
      <c r="B469" s="27">
        <v>37</v>
      </c>
      <c r="C469" s="27">
        <v>0</v>
      </c>
      <c r="D469" s="27">
        <v>3</v>
      </c>
      <c r="E469" s="27">
        <v>142</v>
      </c>
      <c r="F469" s="27">
        <v>1</v>
      </c>
      <c r="G469" s="27">
        <v>9</v>
      </c>
      <c r="H469" s="27">
        <v>4</v>
      </c>
      <c r="I469" s="27">
        <v>3</v>
      </c>
      <c r="J469" s="27">
        <v>1</v>
      </c>
      <c r="K469" s="27">
        <v>626</v>
      </c>
      <c r="L469" s="27">
        <v>1</v>
      </c>
      <c r="M469" s="27">
        <v>1</v>
      </c>
      <c r="N469" s="27">
        <v>69</v>
      </c>
      <c r="O469" s="27">
        <v>3</v>
      </c>
      <c r="P469" s="27">
        <v>3</v>
      </c>
      <c r="Q469" s="27">
        <v>1</v>
      </c>
      <c r="R469" s="27">
        <v>2</v>
      </c>
      <c r="S469" s="27">
        <v>3</v>
      </c>
      <c r="T469" s="27">
        <v>8834</v>
      </c>
      <c r="U469" s="27">
        <v>24666</v>
      </c>
      <c r="V469" s="27">
        <v>1</v>
      </c>
      <c r="W469" s="27">
        <v>0</v>
      </c>
      <c r="X469" s="27">
        <v>13</v>
      </c>
      <c r="Y469" s="27">
        <v>3</v>
      </c>
      <c r="Z469" s="27">
        <v>4</v>
      </c>
      <c r="AA469" s="27">
        <v>80</v>
      </c>
      <c r="AB469" s="27">
        <v>1</v>
      </c>
      <c r="AC469" s="27">
        <v>9</v>
      </c>
      <c r="AD469" s="27">
        <v>6</v>
      </c>
      <c r="AE469" s="27">
        <v>3</v>
      </c>
      <c r="AF469" s="27">
        <v>9</v>
      </c>
      <c r="AG469" s="27">
        <v>5</v>
      </c>
      <c r="AH469" s="27">
        <v>7</v>
      </c>
      <c r="AI469" s="28">
        <v>7</v>
      </c>
      <c r="AK469" s="36">
        <v>436</v>
      </c>
      <c r="AL469" s="33">
        <v>15</v>
      </c>
      <c r="AM469" s="33">
        <v>3</v>
      </c>
      <c r="AN469" s="33">
        <v>3</v>
      </c>
      <c r="AO469" s="33">
        <v>7</v>
      </c>
      <c r="AP469" s="33">
        <v>1</v>
      </c>
      <c r="AQ469" s="33">
        <v>0</v>
      </c>
      <c r="AR469" s="33">
        <v>4</v>
      </c>
      <c r="AS469" s="33">
        <v>7</v>
      </c>
      <c r="AT469" s="33">
        <v>7</v>
      </c>
      <c r="AU469" s="43">
        <v>0.41037101208852739</v>
      </c>
      <c r="AV469" s="33">
        <v>0</v>
      </c>
      <c r="AW469" s="33">
        <v>1</v>
      </c>
      <c r="AY469" s="36">
        <v>441</v>
      </c>
      <c r="AZ469" s="33">
        <v>3</v>
      </c>
      <c r="BA469" s="33">
        <v>1</v>
      </c>
      <c r="BB469" s="33">
        <v>1</v>
      </c>
      <c r="BC469" s="33">
        <v>3</v>
      </c>
      <c r="BD469" s="43">
        <v>0.10660616384241882</v>
      </c>
      <c r="BE469" s="33">
        <v>0</v>
      </c>
      <c r="BF469" s="33">
        <v>1</v>
      </c>
      <c r="CE469" s="36">
        <v>435</v>
      </c>
      <c r="CF469" s="33">
        <v>9</v>
      </c>
      <c r="CG469" s="33">
        <v>3</v>
      </c>
      <c r="CH469" s="33">
        <v>2</v>
      </c>
      <c r="CI469" s="33">
        <v>3</v>
      </c>
      <c r="CJ469" s="33">
        <v>1</v>
      </c>
      <c r="CK469" s="33">
        <v>0</v>
      </c>
      <c r="CL469" s="33">
        <v>1</v>
      </c>
      <c r="CM469" s="33">
        <v>4</v>
      </c>
      <c r="CN469" s="33">
        <v>13</v>
      </c>
      <c r="CO469" s="33">
        <v>0</v>
      </c>
      <c r="CP469" s="43">
        <v>9.6470433613887775E-3</v>
      </c>
      <c r="CQ469" s="33">
        <v>0</v>
      </c>
      <c r="CR469" s="33">
        <v>0</v>
      </c>
    </row>
    <row r="470" spans="1:96" ht="15" customHeight="1" x14ac:dyDescent="0.25">
      <c r="A470" s="26">
        <v>468</v>
      </c>
      <c r="B470" s="27">
        <v>52</v>
      </c>
      <c r="C470" s="27">
        <v>0</v>
      </c>
      <c r="D470" s="27">
        <v>1</v>
      </c>
      <c r="E470" s="27">
        <v>956</v>
      </c>
      <c r="F470" s="27">
        <v>2</v>
      </c>
      <c r="G470" s="27">
        <v>6</v>
      </c>
      <c r="H470" s="27">
        <v>2</v>
      </c>
      <c r="I470" s="27">
        <v>5</v>
      </c>
      <c r="J470" s="27">
        <v>1</v>
      </c>
      <c r="K470" s="27">
        <v>630</v>
      </c>
      <c r="L470" s="27">
        <v>4</v>
      </c>
      <c r="M470" s="27">
        <v>1</v>
      </c>
      <c r="N470" s="27">
        <v>78</v>
      </c>
      <c r="O470" s="27">
        <v>3</v>
      </c>
      <c r="P470" s="27">
        <v>2</v>
      </c>
      <c r="Q470" s="27">
        <v>2</v>
      </c>
      <c r="R470" s="27">
        <v>1</v>
      </c>
      <c r="S470" s="27">
        <v>3</v>
      </c>
      <c r="T470" s="27">
        <v>5577</v>
      </c>
      <c r="U470" s="27">
        <v>22087</v>
      </c>
      <c r="V470" s="27">
        <v>3</v>
      </c>
      <c r="W470" s="27">
        <v>1</v>
      </c>
      <c r="X470" s="27">
        <v>12</v>
      </c>
      <c r="Y470" s="27">
        <v>3</v>
      </c>
      <c r="Z470" s="27">
        <v>2</v>
      </c>
      <c r="AA470" s="27">
        <v>80</v>
      </c>
      <c r="AB470" s="27">
        <v>2</v>
      </c>
      <c r="AC470" s="27">
        <v>18</v>
      </c>
      <c r="AD470" s="27">
        <v>3</v>
      </c>
      <c r="AE470" s="27">
        <v>3</v>
      </c>
      <c r="AF470" s="27">
        <v>10</v>
      </c>
      <c r="AG470" s="27">
        <v>9</v>
      </c>
      <c r="AH470" s="27">
        <v>6</v>
      </c>
      <c r="AI470" s="28">
        <v>9</v>
      </c>
      <c r="AK470" s="36">
        <v>437</v>
      </c>
      <c r="AL470" s="33">
        <v>10</v>
      </c>
      <c r="AM470" s="33">
        <v>1</v>
      </c>
      <c r="AN470" s="33">
        <v>4</v>
      </c>
      <c r="AO470" s="33">
        <v>7</v>
      </c>
      <c r="AP470" s="33">
        <v>0</v>
      </c>
      <c r="AQ470" s="33">
        <v>3</v>
      </c>
      <c r="AR470" s="33">
        <v>3</v>
      </c>
      <c r="AS470" s="33">
        <v>4</v>
      </c>
      <c r="AT470" s="33">
        <v>1</v>
      </c>
      <c r="AU470" s="43">
        <v>4.199213360888223E-2</v>
      </c>
      <c r="AV470" s="33">
        <v>0</v>
      </c>
      <c r="AW470" s="33">
        <v>1</v>
      </c>
      <c r="AY470" s="36">
        <v>442</v>
      </c>
      <c r="AZ470" s="33">
        <v>1</v>
      </c>
      <c r="BA470" s="33">
        <v>3</v>
      </c>
      <c r="BB470" s="33">
        <v>0</v>
      </c>
      <c r="BC470" s="33">
        <v>1</v>
      </c>
      <c r="BD470" s="43">
        <v>0.12012271365792118</v>
      </c>
      <c r="BE470" s="33">
        <v>0</v>
      </c>
      <c r="BF470" s="33">
        <v>0</v>
      </c>
      <c r="CE470" s="36">
        <v>436</v>
      </c>
      <c r="CF470" s="33">
        <v>15</v>
      </c>
      <c r="CG470" s="33">
        <v>3</v>
      </c>
      <c r="CH470" s="33">
        <v>3</v>
      </c>
      <c r="CI470" s="33">
        <v>2</v>
      </c>
      <c r="CJ470" s="33">
        <v>7</v>
      </c>
      <c r="CK470" s="33">
        <v>1</v>
      </c>
      <c r="CL470" s="33">
        <v>0</v>
      </c>
      <c r="CM470" s="33">
        <v>4</v>
      </c>
      <c r="CN470" s="33">
        <v>7</v>
      </c>
      <c r="CO470" s="33">
        <v>7</v>
      </c>
      <c r="CP470" s="43">
        <v>0.33502371742920961</v>
      </c>
      <c r="CQ470" s="33">
        <v>0</v>
      </c>
      <c r="CR470" s="33">
        <v>1</v>
      </c>
    </row>
    <row r="471" spans="1:96" ht="15" customHeight="1" x14ac:dyDescent="0.25">
      <c r="A471" s="26">
        <v>469</v>
      </c>
      <c r="B471" s="27">
        <v>32</v>
      </c>
      <c r="C471" s="27">
        <v>1</v>
      </c>
      <c r="D471" s="27">
        <v>3</v>
      </c>
      <c r="E471" s="27">
        <v>1474</v>
      </c>
      <c r="F471" s="27">
        <v>1</v>
      </c>
      <c r="G471" s="27">
        <v>11</v>
      </c>
      <c r="H471" s="27">
        <v>4</v>
      </c>
      <c r="I471" s="27">
        <v>6</v>
      </c>
      <c r="J471" s="27">
        <v>1</v>
      </c>
      <c r="K471" s="27">
        <v>631</v>
      </c>
      <c r="L471" s="27">
        <v>4</v>
      </c>
      <c r="M471" s="27">
        <v>1</v>
      </c>
      <c r="N471" s="27">
        <v>60</v>
      </c>
      <c r="O471" s="27">
        <v>4</v>
      </c>
      <c r="P471" s="27">
        <v>2</v>
      </c>
      <c r="Q471" s="27">
        <v>1</v>
      </c>
      <c r="R471" s="27">
        <v>3</v>
      </c>
      <c r="S471" s="27">
        <v>2</v>
      </c>
      <c r="T471" s="27">
        <v>4707</v>
      </c>
      <c r="U471" s="27">
        <v>23914</v>
      </c>
      <c r="V471" s="27">
        <v>8</v>
      </c>
      <c r="W471" s="27">
        <v>0</v>
      </c>
      <c r="X471" s="27">
        <v>12</v>
      </c>
      <c r="Y471" s="27">
        <v>3</v>
      </c>
      <c r="Z471" s="27">
        <v>4</v>
      </c>
      <c r="AA471" s="27">
        <v>80</v>
      </c>
      <c r="AB471" s="27">
        <v>0</v>
      </c>
      <c r="AC471" s="27">
        <v>6</v>
      </c>
      <c r="AD471" s="27">
        <v>2</v>
      </c>
      <c r="AE471" s="27">
        <v>3</v>
      </c>
      <c r="AF471" s="27">
        <v>4</v>
      </c>
      <c r="AG471" s="27">
        <v>2</v>
      </c>
      <c r="AH471" s="27">
        <v>1</v>
      </c>
      <c r="AI471" s="28">
        <v>2</v>
      </c>
      <c r="AK471" s="36">
        <v>438</v>
      </c>
      <c r="AL471" s="33">
        <v>7</v>
      </c>
      <c r="AM471" s="33">
        <v>1</v>
      </c>
      <c r="AN471" s="33">
        <v>2</v>
      </c>
      <c r="AO471" s="33">
        <v>0</v>
      </c>
      <c r="AP471" s="33">
        <v>0</v>
      </c>
      <c r="AQ471" s="33">
        <v>0</v>
      </c>
      <c r="AR471" s="33">
        <v>3</v>
      </c>
      <c r="AS471" s="33">
        <v>3</v>
      </c>
      <c r="AT471" s="33">
        <v>1</v>
      </c>
      <c r="AU471" s="43">
        <v>0.18867192291226767</v>
      </c>
      <c r="AV471" s="33">
        <v>0</v>
      </c>
      <c r="AW471" s="33">
        <v>0</v>
      </c>
      <c r="AY471" s="36">
        <v>443</v>
      </c>
      <c r="AZ471" s="33">
        <v>3</v>
      </c>
      <c r="BA471" s="33">
        <v>4</v>
      </c>
      <c r="BB471" s="33">
        <v>0</v>
      </c>
      <c r="BC471" s="33">
        <v>0</v>
      </c>
      <c r="BD471" s="43">
        <v>5.3512841598087578E-2</v>
      </c>
      <c r="BE471" s="33">
        <v>0</v>
      </c>
      <c r="BF471" s="33">
        <v>0</v>
      </c>
      <c r="CE471" s="36">
        <v>437</v>
      </c>
      <c r="CF471" s="33">
        <v>10</v>
      </c>
      <c r="CG471" s="33">
        <v>1</v>
      </c>
      <c r="CH471" s="33">
        <v>4</v>
      </c>
      <c r="CI471" s="33">
        <v>3</v>
      </c>
      <c r="CJ471" s="33">
        <v>7</v>
      </c>
      <c r="CK471" s="33">
        <v>0</v>
      </c>
      <c r="CL471" s="33">
        <v>3</v>
      </c>
      <c r="CM471" s="33">
        <v>3</v>
      </c>
      <c r="CN471" s="33">
        <v>4</v>
      </c>
      <c r="CO471" s="33">
        <v>1</v>
      </c>
      <c r="CP471" s="43">
        <v>4.5095861591948755E-2</v>
      </c>
      <c r="CQ471" s="33">
        <v>0</v>
      </c>
      <c r="CR471" s="33">
        <v>1</v>
      </c>
    </row>
    <row r="472" spans="1:96" ht="15" customHeight="1" x14ac:dyDescent="0.25">
      <c r="A472" s="26">
        <v>470</v>
      </c>
      <c r="B472" s="27">
        <v>24</v>
      </c>
      <c r="C472" s="27">
        <v>0</v>
      </c>
      <c r="D472" s="27">
        <v>2</v>
      </c>
      <c r="E472" s="27">
        <v>535</v>
      </c>
      <c r="F472" s="27">
        <v>1</v>
      </c>
      <c r="G472" s="27">
        <v>24</v>
      </c>
      <c r="H472" s="27">
        <v>3</v>
      </c>
      <c r="I472" s="27">
        <v>3</v>
      </c>
      <c r="J472" s="27">
        <v>1</v>
      </c>
      <c r="K472" s="27">
        <v>632</v>
      </c>
      <c r="L472" s="27">
        <v>4</v>
      </c>
      <c r="M472" s="27">
        <v>1</v>
      </c>
      <c r="N472" s="27">
        <v>38</v>
      </c>
      <c r="O472" s="27">
        <v>3</v>
      </c>
      <c r="P472" s="27">
        <v>1</v>
      </c>
      <c r="Q472" s="27">
        <v>7</v>
      </c>
      <c r="R472" s="27">
        <v>4</v>
      </c>
      <c r="S472" s="27">
        <v>2</v>
      </c>
      <c r="T472" s="27">
        <v>2400</v>
      </c>
      <c r="U472" s="27">
        <v>5530</v>
      </c>
      <c r="V472" s="27">
        <v>0</v>
      </c>
      <c r="W472" s="27">
        <v>0</v>
      </c>
      <c r="X472" s="27">
        <v>13</v>
      </c>
      <c r="Y472" s="27">
        <v>3</v>
      </c>
      <c r="Z472" s="27">
        <v>3</v>
      </c>
      <c r="AA472" s="27">
        <v>80</v>
      </c>
      <c r="AB472" s="27">
        <v>2</v>
      </c>
      <c r="AC472" s="27">
        <v>3</v>
      </c>
      <c r="AD472" s="27">
        <v>3</v>
      </c>
      <c r="AE472" s="27">
        <v>3</v>
      </c>
      <c r="AF472" s="27">
        <v>2</v>
      </c>
      <c r="AG472" s="27">
        <v>2</v>
      </c>
      <c r="AH472" s="27">
        <v>2</v>
      </c>
      <c r="AI472" s="28">
        <v>1</v>
      </c>
      <c r="AK472" s="36">
        <v>439</v>
      </c>
      <c r="AL472" s="33">
        <v>16</v>
      </c>
      <c r="AM472" s="33">
        <v>3</v>
      </c>
      <c r="AN472" s="33">
        <v>3</v>
      </c>
      <c r="AO472" s="33">
        <v>4</v>
      </c>
      <c r="AP472" s="33">
        <v>1</v>
      </c>
      <c r="AQ472" s="33">
        <v>0</v>
      </c>
      <c r="AR472" s="33">
        <v>3</v>
      </c>
      <c r="AS472" s="33">
        <v>8</v>
      </c>
      <c r="AT472" s="33">
        <v>0</v>
      </c>
      <c r="AU472" s="43">
        <v>0.22903440171177009</v>
      </c>
      <c r="AV472" s="33">
        <v>0</v>
      </c>
      <c r="AW472" s="33">
        <v>0</v>
      </c>
      <c r="AY472" s="36">
        <v>444</v>
      </c>
      <c r="AZ472" s="33">
        <v>1</v>
      </c>
      <c r="BA472" s="33">
        <v>3</v>
      </c>
      <c r="BB472" s="33">
        <v>0</v>
      </c>
      <c r="BC472" s="33">
        <v>0</v>
      </c>
      <c r="BD472" s="43">
        <v>0.18791247240909698</v>
      </c>
      <c r="BE472" s="33">
        <v>0</v>
      </c>
      <c r="BF472" s="33">
        <v>1</v>
      </c>
      <c r="CE472" s="36">
        <v>438</v>
      </c>
      <c r="CF472" s="33">
        <v>7</v>
      </c>
      <c r="CG472" s="33">
        <v>1</v>
      </c>
      <c r="CH472" s="33">
        <v>2</v>
      </c>
      <c r="CI472" s="33">
        <v>1</v>
      </c>
      <c r="CJ472" s="33">
        <v>0</v>
      </c>
      <c r="CK472" s="33">
        <v>0</v>
      </c>
      <c r="CL472" s="33">
        <v>0</v>
      </c>
      <c r="CM472" s="33">
        <v>3</v>
      </c>
      <c r="CN472" s="33">
        <v>3</v>
      </c>
      <c r="CO472" s="33">
        <v>1</v>
      </c>
      <c r="CP472" s="43">
        <v>0.2175256481150396</v>
      </c>
      <c r="CQ472" s="33">
        <v>0</v>
      </c>
      <c r="CR472" s="33">
        <v>0</v>
      </c>
    </row>
    <row r="473" spans="1:96" ht="15" customHeight="1" x14ac:dyDescent="0.25">
      <c r="A473" s="26">
        <v>471</v>
      </c>
      <c r="B473" s="27">
        <v>38</v>
      </c>
      <c r="C473" s="27">
        <v>0</v>
      </c>
      <c r="D473" s="27">
        <v>1</v>
      </c>
      <c r="E473" s="27">
        <v>1495</v>
      </c>
      <c r="F473" s="27">
        <v>2</v>
      </c>
      <c r="G473" s="27">
        <v>10</v>
      </c>
      <c r="H473" s="27">
        <v>3</v>
      </c>
      <c r="I473" s="27">
        <v>3</v>
      </c>
      <c r="J473" s="27">
        <v>1</v>
      </c>
      <c r="K473" s="27">
        <v>634</v>
      </c>
      <c r="L473" s="27">
        <v>3</v>
      </c>
      <c r="M473" s="27">
        <v>0</v>
      </c>
      <c r="N473" s="27">
        <v>76</v>
      </c>
      <c r="O473" s="27">
        <v>3</v>
      </c>
      <c r="P473" s="27">
        <v>2</v>
      </c>
      <c r="Q473" s="27">
        <v>5</v>
      </c>
      <c r="R473" s="27">
        <v>3</v>
      </c>
      <c r="S473" s="27">
        <v>2</v>
      </c>
      <c r="T473" s="27">
        <v>9824</v>
      </c>
      <c r="U473" s="27">
        <v>22174</v>
      </c>
      <c r="V473" s="27">
        <v>3</v>
      </c>
      <c r="W473" s="27">
        <v>0</v>
      </c>
      <c r="X473" s="27">
        <v>19</v>
      </c>
      <c r="Y473" s="27">
        <v>3</v>
      </c>
      <c r="Z473" s="27">
        <v>3</v>
      </c>
      <c r="AA473" s="27">
        <v>80</v>
      </c>
      <c r="AB473" s="27">
        <v>1</v>
      </c>
      <c r="AC473" s="27">
        <v>18</v>
      </c>
      <c r="AD473" s="27">
        <v>4</v>
      </c>
      <c r="AE473" s="27">
        <v>3</v>
      </c>
      <c r="AF473" s="27">
        <v>1</v>
      </c>
      <c r="AG473" s="27">
        <v>0</v>
      </c>
      <c r="AH473" s="27">
        <v>0</v>
      </c>
      <c r="AI473" s="28">
        <v>0</v>
      </c>
      <c r="AK473" s="36">
        <v>440</v>
      </c>
      <c r="AL473" s="33">
        <v>20</v>
      </c>
      <c r="AM473" s="33">
        <v>3</v>
      </c>
      <c r="AN473" s="33">
        <v>3</v>
      </c>
      <c r="AO473" s="33">
        <v>3</v>
      </c>
      <c r="AP473" s="33">
        <v>0</v>
      </c>
      <c r="AQ473" s="33">
        <v>0</v>
      </c>
      <c r="AR473" s="33">
        <v>3</v>
      </c>
      <c r="AS473" s="33">
        <v>1</v>
      </c>
      <c r="AT473" s="33">
        <v>0</v>
      </c>
      <c r="AU473" s="43">
        <v>0.10585856687164201</v>
      </c>
      <c r="AV473" s="33">
        <v>0</v>
      </c>
      <c r="AW473" s="33">
        <v>1</v>
      </c>
      <c r="AY473" s="36">
        <v>445</v>
      </c>
      <c r="AZ473" s="33">
        <v>2</v>
      </c>
      <c r="BA473" s="33">
        <v>4</v>
      </c>
      <c r="BB473" s="33">
        <v>0</v>
      </c>
      <c r="BC473" s="33">
        <v>1</v>
      </c>
      <c r="BD473" s="43">
        <v>5.5093218126976727E-2</v>
      </c>
      <c r="BE473" s="33">
        <v>0</v>
      </c>
      <c r="BF473" s="33">
        <v>0</v>
      </c>
      <c r="CE473" s="36">
        <v>439</v>
      </c>
      <c r="CF473" s="33">
        <v>16</v>
      </c>
      <c r="CG473" s="33">
        <v>3</v>
      </c>
      <c r="CH473" s="33">
        <v>3</v>
      </c>
      <c r="CI473" s="33">
        <v>2</v>
      </c>
      <c r="CJ473" s="33">
        <v>4</v>
      </c>
      <c r="CK473" s="33">
        <v>1</v>
      </c>
      <c r="CL473" s="33">
        <v>0</v>
      </c>
      <c r="CM473" s="33">
        <v>3</v>
      </c>
      <c r="CN473" s="33">
        <v>8</v>
      </c>
      <c r="CO473" s="33">
        <v>0</v>
      </c>
      <c r="CP473" s="43">
        <v>0.17550337158312412</v>
      </c>
      <c r="CQ473" s="33">
        <v>0</v>
      </c>
      <c r="CR473" s="33">
        <v>0</v>
      </c>
    </row>
    <row r="474" spans="1:96" ht="15" customHeight="1" x14ac:dyDescent="0.25">
      <c r="A474" s="26">
        <v>472</v>
      </c>
      <c r="B474" s="27">
        <v>37</v>
      </c>
      <c r="C474" s="27">
        <v>0</v>
      </c>
      <c r="D474" s="27">
        <v>1</v>
      </c>
      <c r="E474" s="27">
        <v>446</v>
      </c>
      <c r="F474" s="27">
        <v>2</v>
      </c>
      <c r="G474" s="27">
        <v>1</v>
      </c>
      <c r="H474" s="27">
        <v>4</v>
      </c>
      <c r="I474" s="27">
        <v>1</v>
      </c>
      <c r="J474" s="27">
        <v>1</v>
      </c>
      <c r="K474" s="27">
        <v>635</v>
      </c>
      <c r="L474" s="27">
        <v>2</v>
      </c>
      <c r="M474" s="27">
        <v>0</v>
      </c>
      <c r="N474" s="27">
        <v>65</v>
      </c>
      <c r="O474" s="27">
        <v>3</v>
      </c>
      <c r="P474" s="27">
        <v>2</v>
      </c>
      <c r="Q474" s="27">
        <v>4</v>
      </c>
      <c r="R474" s="27">
        <v>2</v>
      </c>
      <c r="S474" s="27">
        <v>2</v>
      </c>
      <c r="T474" s="27">
        <v>6447</v>
      </c>
      <c r="U474" s="27">
        <v>15701</v>
      </c>
      <c r="V474" s="27">
        <v>6</v>
      </c>
      <c r="W474" s="27">
        <v>0</v>
      </c>
      <c r="X474" s="27">
        <v>12</v>
      </c>
      <c r="Y474" s="27">
        <v>3</v>
      </c>
      <c r="Z474" s="27">
        <v>2</v>
      </c>
      <c r="AA474" s="27">
        <v>80</v>
      </c>
      <c r="AB474" s="27">
        <v>1</v>
      </c>
      <c r="AC474" s="27">
        <v>8</v>
      </c>
      <c r="AD474" s="27">
        <v>2</v>
      </c>
      <c r="AE474" s="27">
        <v>2</v>
      </c>
      <c r="AF474" s="27">
        <v>6</v>
      </c>
      <c r="AG474" s="27">
        <v>5</v>
      </c>
      <c r="AH474" s="27">
        <v>4</v>
      </c>
      <c r="AI474" s="28">
        <v>3</v>
      </c>
      <c r="AK474" s="36">
        <v>441</v>
      </c>
      <c r="AL474" s="33">
        <v>23</v>
      </c>
      <c r="AM474" s="33">
        <v>3</v>
      </c>
      <c r="AN474" s="33">
        <v>1</v>
      </c>
      <c r="AO474" s="33">
        <v>9</v>
      </c>
      <c r="AP474" s="33">
        <v>1</v>
      </c>
      <c r="AQ474" s="33">
        <v>3</v>
      </c>
      <c r="AR474" s="33">
        <v>3</v>
      </c>
      <c r="AS474" s="33">
        <v>3</v>
      </c>
      <c r="AT474" s="33">
        <v>0</v>
      </c>
      <c r="AU474" s="43">
        <v>0.21162240244010863</v>
      </c>
      <c r="AV474" s="33">
        <v>0</v>
      </c>
      <c r="AW474" s="33">
        <v>1</v>
      </c>
      <c r="AY474" s="36">
        <v>446</v>
      </c>
      <c r="AZ474" s="33">
        <v>4</v>
      </c>
      <c r="BA474" s="33">
        <v>2</v>
      </c>
      <c r="BB474" s="33">
        <v>0</v>
      </c>
      <c r="BC474" s="33">
        <v>0</v>
      </c>
      <c r="BD474" s="43">
        <v>5.4862919617085948E-2</v>
      </c>
      <c r="BE474" s="33">
        <v>0</v>
      </c>
      <c r="BF474" s="33">
        <v>0</v>
      </c>
      <c r="CE474" s="36">
        <v>440</v>
      </c>
      <c r="CF474" s="33">
        <v>20</v>
      </c>
      <c r="CG474" s="33">
        <v>3</v>
      </c>
      <c r="CH474" s="33">
        <v>3</v>
      </c>
      <c r="CI474" s="33">
        <v>2</v>
      </c>
      <c r="CJ474" s="33">
        <v>3</v>
      </c>
      <c r="CK474" s="33">
        <v>0</v>
      </c>
      <c r="CL474" s="33">
        <v>0</v>
      </c>
      <c r="CM474" s="33">
        <v>3</v>
      </c>
      <c r="CN474" s="33">
        <v>1</v>
      </c>
      <c r="CO474" s="33">
        <v>0</v>
      </c>
      <c r="CP474" s="43">
        <v>7.5402253614365186E-2</v>
      </c>
      <c r="CQ474" s="33">
        <v>0</v>
      </c>
      <c r="CR474" s="33">
        <v>1</v>
      </c>
    </row>
    <row r="475" spans="1:96" ht="15" customHeight="1" x14ac:dyDescent="0.25">
      <c r="A475" s="26">
        <v>473</v>
      </c>
      <c r="B475" s="27">
        <v>49</v>
      </c>
      <c r="C475" s="27">
        <v>0</v>
      </c>
      <c r="D475" s="27">
        <v>1</v>
      </c>
      <c r="E475" s="27">
        <v>1245</v>
      </c>
      <c r="F475" s="27">
        <v>2</v>
      </c>
      <c r="G475" s="27">
        <v>18</v>
      </c>
      <c r="H475" s="27">
        <v>4</v>
      </c>
      <c r="I475" s="27">
        <v>1</v>
      </c>
      <c r="J475" s="27">
        <v>1</v>
      </c>
      <c r="K475" s="27">
        <v>638</v>
      </c>
      <c r="L475" s="27">
        <v>4</v>
      </c>
      <c r="M475" s="27">
        <v>1</v>
      </c>
      <c r="N475" s="27">
        <v>58</v>
      </c>
      <c r="O475" s="27">
        <v>2</v>
      </c>
      <c r="P475" s="27">
        <v>5</v>
      </c>
      <c r="Q475" s="27">
        <v>8</v>
      </c>
      <c r="R475" s="27">
        <v>3</v>
      </c>
      <c r="S475" s="27">
        <v>3</v>
      </c>
      <c r="T475" s="27">
        <v>19502</v>
      </c>
      <c r="U475" s="27">
        <v>2125</v>
      </c>
      <c r="V475" s="27">
        <v>1</v>
      </c>
      <c r="W475" s="27">
        <v>1</v>
      </c>
      <c r="X475" s="27">
        <v>17</v>
      </c>
      <c r="Y475" s="27">
        <v>3</v>
      </c>
      <c r="Z475" s="27">
        <v>3</v>
      </c>
      <c r="AA475" s="27">
        <v>80</v>
      </c>
      <c r="AB475" s="27">
        <v>1</v>
      </c>
      <c r="AC475" s="27">
        <v>31</v>
      </c>
      <c r="AD475" s="27">
        <v>5</v>
      </c>
      <c r="AE475" s="27">
        <v>3</v>
      </c>
      <c r="AF475" s="27">
        <v>31</v>
      </c>
      <c r="AG475" s="27">
        <v>9</v>
      </c>
      <c r="AH475" s="27">
        <v>0</v>
      </c>
      <c r="AI475" s="28">
        <v>9</v>
      </c>
      <c r="AK475" s="36">
        <v>442</v>
      </c>
      <c r="AL475" s="33">
        <v>5</v>
      </c>
      <c r="AM475" s="33">
        <v>1</v>
      </c>
      <c r="AN475" s="33">
        <v>3</v>
      </c>
      <c r="AO475" s="33">
        <v>4</v>
      </c>
      <c r="AP475" s="33">
        <v>0</v>
      </c>
      <c r="AQ475" s="33">
        <v>1</v>
      </c>
      <c r="AR475" s="33">
        <v>3</v>
      </c>
      <c r="AS475" s="33">
        <v>2</v>
      </c>
      <c r="AT475" s="33">
        <v>2</v>
      </c>
      <c r="AU475" s="43">
        <v>0.13427441367700682</v>
      </c>
      <c r="AV475" s="33">
        <v>0</v>
      </c>
      <c r="AW475" s="33">
        <v>0</v>
      </c>
      <c r="AY475" s="36">
        <v>447</v>
      </c>
      <c r="AZ475" s="33">
        <v>2</v>
      </c>
      <c r="BA475" s="33">
        <v>4</v>
      </c>
      <c r="BB475" s="33">
        <v>0</v>
      </c>
      <c r="BC475" s="33">
        <v>0</v>
      </c>
      <c r="BD475" s="43">
        <v>8.9935487507215722E-2</v>
      </c>
      <c r="BE475" s="33">
        <v>0</v>
      </c>
      <c r="BF475" s="33">
        <v>0</v>
      </c>
      <c r="CE475" s="36">
        <v>441</v>
      </c>
      <c r="CF475" s="33">
        <v>23</v>
      </c>
      <c r="CG475" s="33">
        <v>3</v>
      </c>
      <c r="CH475" s="33">
        <v>1</v>
      </c>
      <c r="CI475" s="33">
        <v>3</v>
      </c>
      <c r="CJ475" s="33">
        <v>9</v>
      </c>
      <c r="CK475" s="33">
        <v>1</v>
      </c>
      <c r="CL475" s="33">
        <v>3</v>
      </c>
      <c r="CM475" s="33">
        <v>3</v>
      </c>
      <c r="CN475" s="33">
        <v>3</v>
      </c>
      <c r="CO475" s="33">
        <v>0</v>
      </c>
      <c r="CP475" s="43">
        <v>0.24486625640312268</v>
      </c>
      <c r="CQ475" s="33">
        <v>0</v>
      </c>
      <c r="CR475" s="33">
        <v>1</v>
      </c>
    </row>
    <row r="476" spans="1:96" ht="15" customHeight="1" x14ac:dyDescent="0.25">
      <c r="A476" s="26">
        <v>474</v>
      </c>
      <c r="B476" s="27">
        <v>24</v>
      </c>
      <c r="C476" s="27">
        <v>0</v>
      </c>
      <c r="D476" s="27">
        <v>1</v>
      </c>
      <c r="E476" s="27">
        <v>691</v>
      </c>
      <c r="F476" s="27">
        <v>2</v>
      </c>
      <c r="G476" s="27">
        <v>23</v>
      </c>
      <c r="H476" s="27">
        <v>3</v>
      </c>
      <c r="I476" s="27">
        <v>3</v>
      </c>
      <c r="J476" s="27">
        <v>1</v>
      </c>
      <c r="K476" s="27">
        <v>639</v>
      </c>
      <c r="L476" s="27">
        <v>2</v>
      </c>
      <c r="M476" s="27">
        <v>1</v>
      </c>
      <c r="N476" s="27">
        <v>89</v>
      </c>
      <c r="O476" s="27">
        <v>4</v>
      </c>
      <c r="P476" s="27">
        <v>1</v>
      </c>
      <c r="Q476" s="27">
        <v>2</v>
      </c>
      <c r="R476" s="27">
        <v>4</v>
      </c>
      <c r="S476" s="27">
        <v>2</v>
      </c>
      <c r="T476" s="27">
        <v>2725</v>
      </c>
      <c r="U476" s="27">
        <v>21630</v>
      </c>
      <c r="V476" s="27">
        <v>1</v>
      </c>
      <c r="W476" s="27">
        <v>1</v>
      </c>
      <c r="X476" s="27">
        <v>11</v>
      </c>
      <c r="Y476" s="27">
        <v>3</v>
      </c>
      <c r="Z476" s="27">
        <v>2</v>
      </c>
      <c r="AA476" s="27">
        <v>80</v>
      </c>
      <c r="AB476" s="27">
        <v>2</v>
      </c>
      <c r="AC476" s="27">
        <v>6</v>
      </c>
      <c r="AD476" s="27">
        <v>3</v>
      </c>
      <c r="AE476" s="27">
        <v>3</v>
      </c>
      <c r="AF476" s="27">
        <v>6</v>
      </c>
      <c r="AG476" s="27">
        <v>5</v>
      </c>
      <c r="AH476" s="27">
        <v>1</v>
      </c>
      <c r="AI476" s="28">
        <v>4</v>
      </c>
      <c r="AK476" s="36">
        <v>443</v>
      </c>
      <c r="AL476" s="33">
        <v>10</v>
      </c>
      <c r="AM476" s="33">
        <v>3</v>
      </c>
      <c r="AN476" s="33">
        <v>4</v>
      </c>
      <c r="AO476" s="33">
        <v>1</v>
      </c>
      <c r="AP476" s="33">
        <v>0</v>
      </c>
      <c r="AQ476" s="33">
        <v>0</v>
      </c>
      <c r="AR476" s="33">
        <v>2</v>
      </c>
      <c r="AS476" s="33">
        <v>10</v>
      </c>
      <c r="AT476" s="33">
        <v>9</v>
      </c>
      <c r="AU476" s="43">
        <v>8.8960972562922583E-2</v>
      </c>
      <c r="AV476" s="33">
        <v>0</v>
      </c>
      <c r="AW476" s="33">
        <v>0</v>
      </c>
      <c r="AY476" s="36">
        <v>448</v>
      </c>
      <c r="AZ476" s="33">
        <v>2</v>
      </c>
      <c r="BA476" s="33">
        <v>3</v>
      </c>
      <c r="BB476" s="33">
        <v>0</v>
      </c>
      <c r="BC476" s="33">
        <v>0</v>
      </c>
      <c r="BD476" s="43">
        <v>0.11690772887050198</v>
      </c>
      <c r="BE476" s="33">
        <v>0</v>
      </c>
      <c r="BF476" s="33">
        <v>0</v>
      </c>
      <c r="CE476" s="36">
        <v>442</v>
      </c>
      <c r="CF476" s="33">
        <v>5</v>
      </c>
      <c r="CG476" s="33">
        <v>1</v>
      </c>
      <c r="CH476" s="33">
        <v>3</v>
      </c>
      <c r="CI476" s="33">
        <v>2</v>
      </c>
      <c r="CJ476" s="33">
        <v>4</v>
      </c>
      <c r="CK476" s="33">
        <v>0</v>
      </c>
      <c r="CL476" s="33">
        <v>1</v>
      </c>
      <c r="CM476" s="33">
        <v>3</v>
      </c>
      <c r="CN476" s="33">
        <v>2</v>
      </c>
      <c r="CO476" s="33">
        <v>2</v>
      </c>
      <c r="CP476" s="43">
        <v>0.1297165219649033</v>
      </c>
      <c r="CQ476" s="33">
        <v>0</v>
      </c>
      <c r="CR476" s="33">
        <v>0</v>
      </c>
    </row>
    <row r="477" spans="1:96" ht="15" customHeight="1" x14ac:dyDescent="0.25">
      <c r="A477" s="26">
        <v>475</v>
      </c>
      <c r="B477" s="27">
        <v>26</v>
      </c>
      <c r="C477" s="27">
        <v>0</v>
      </c>
      <c r="D477" s="27">
        <v>1</v>
      </c>
      <c r="E477" s="27">
        <v>703</v>
      </c>
      <c r="F477" s="27">
        <v>1</v>
      </c>
      <c r="G477" s="27">
        <v>28</v>
      </c>
      <c r="H477" s="27">
        <v>2</v>
      </c>
      <c r="I477" s="27">
        <v>4</v>
      </c>
      <c r="J477" s="27">
        <v>1</v>
      </c>
      <c r="K477" s="27">
        <v>641</v>
      </c>
      <c r="L477" s="27">
        <v>1</v>
      </c>
      <c r="M477" s="27">
        <v>1</v>
      </c>
      <c r="N477" s="27">
        <v>66</v>
      </c>
      <c r="O477" s="27">
        <v>3</v>
      </c>
      <c r="P477" s="27">
        <v>2</v>
      </c>
      <c r="Q477" s="27">
        <v>1</v>
      </c>
      <c r="R477" s="27">
        <v>2</v>
      </c>
      <c r="S477" s="27">
        <v>2</v>
      </c>
      <c r="T477" s="27">
        <v>6272</v>
      </c>
      <c r="U477" s="27">
        <v>7428</v>
      </c>
      <c r="V477" s="27">
        <v>1</v>
      </c>
      <c r="W477" s="27">
        <v>0</v>
      </c>
      <c r="X477" s="27">
        <v>20</v>
      </c>
      <c r="Y477" s="27">
        <v>4</v>
      </c>
      <c r="Z477" s="27">
        <v>4</v>
      </c>
      <c r="AA477" s="27">
        <v>80</v>
      </c>
      <c r="AB477" s="27">
        <v>2</v>
      </c>
      <c r="AC477" s="27">
        <v>6</v>
      </c>
      <c r="AD477" s="27">
        <v>5</v>
      </c>
      <c r="AE477" s="27">
        <v>4</v>
      </c>
      <c r="AF477" s="27">
        <v>5</v>
      </c>
      <c r="AG477" s="27">
        <v>3</v>
      </c>
      <c r="AH477" s="27">
        <v>1</v>
      </c>
      <c r="AI477" s="28">
        <v>4</v>
      </c>
      <c r="AK477" s="36">
        <v>444</v>
      </c>
      <c r="AL477" s="33">
        <v>4</v>
      </c>
      <c r="AM477" s="33">
        <v>1</v>
      </c>
      <c r="AN477" s="33">
        <v>3</v>
      </c>
      <c r="AO477" s="33">
        <v>5</v>
      </c>
      <c r="AP477" s="33">
        <v>0</v>
      </c>
      <c r="AQ477" s="33">
        <v>0</v>
      </c>
      <c r="AR477" s="33">
        <v>3</v>
      </c>
      <c r="AS477" s="33">
        <v>2</v>
      </c>
      <c r="AT477" s="33">
        <v>1</v>
      </c>
      <c r="AU477" s="43">
        <v>0.20431208017761737</v>
      </c>
      <c r="AV477" s="33">
        <v>0</v>
      </c>
      <c r="AW477" s="33">
        <v>1</v>
      </c>
      <c r="AY477" s="36">
        <v>449</v>
      </c>
      <c r="AZ477" s="33">
        <v>4</v>
      </c>
      <c r="BA477" s="33">
        <v>3</v>
      </c>
      <c r="BB477" s="33">
        <v>0</v>
      </c>
      <c r="BC477" s="33">
        <v>0</v>
      </c>
      <c r="BD477" s="43">
        <v>4.1532060460370328E-2</v>
      </c>
      <c r="BE477" s="33">
        <v>0</v>
      </c>
      <c r="BF477" s="33">
        <v>0</v>
      </c>
      <c r="CE477" s="36">
        <v>443</v>
      </c>
      <c r="CF477" s="33">
        <v>10</v>
      </c>
      <c r="CG477" s="33">
        <v>3</v>
      </c>
      <c r="CH477" s="33">
        <v>4</v>
      </c>
      <c r="CI477" s="33">
        <v>1</v>
      </c>
      <c r="CJ477" s="33">
        <v>1</v>
      </c>
      <c r="CK477" s="33">
        <v>0</v>
      </c>
      <c r="CL477" s="33">
        <v>0</v>
      </c>
      <c r="CM477" s="33">
        <v>2</v>
      </c>
      <c r="CN477" s="33">
        <v>10</v>
      </c>
      <c r="CO477" s="33">
        <v>9</v>
      </c>
      <c r="CP477" s="43">
        <v>0.10674012773653883</v>
      </c>
      <c r="CQ477" s="33">
        <v>0</v>
      </c>
      <c r="CR477" s="33">
        <v>0</v>
      </c>
    </row>
    <row r="478" spans="1:96" ht="15" customHeight="1" x14ac:dyDescent="0.25">
      <c r="A478" s="26">
        <v>476</v>
      </c>
      <c r="B478" s="27">
        <v>24</v>
      </c>
      <c r="C478" s="27">
        <v>0</v>
      </c>
      <c r="D478" s="27">
        <v>1</v>
      </c>
      <c r="E478" s="27">
        <v>823</v>
      </c>
      <c r="F478" s="27">
        <v>2</v>
      </c>
      <c r="G478" s="27">
        <v>17</v>
      </c>
      <c r="H478" s="27">
        <v>2</v>
      </c>
      <c r="I478" s="27">
        <v>6</v>
      </c>
      <c r="J478" s="27">
        <v>1</v>
      </c>
      <c r="K478" s="27">
        <v>643</v>
      </c>
      <c r="L478" s="27">
        <v>4</v>
      </c>
      <c r="M478" s="27">
        <v>1</v>
      </c>
      <c r="N478" s="27">
        <v>94</v>
      </c>
      <c r="O478" s="27">
        <v>2</v>
      </c>
      <c r="P478" s="27">
        <v>1</v>
      </c>
      <c r="Q478" s="27">
        <v>3</v>
      </c>
      <c r="R478" s="27">
        <v>2</v>
      </c>
      <c r="S478" s="27">
        <v>2</v>
      </c>
      <c r="T478" s="27">
        <v>2127</v>
      </c>
      <c r="U478" s="27">
        <v>9100</v>
      </c>
      <c r="V478" s="27">
        <v>1</v>
      </c>
      <c r="W478" s="27">
        <v>0</v>
      </c>
      <c r="X478" s="27">
        <v>21</v>
      </c>
      <c r="Y478" s="27">
        <v>4</v>
      </c>
      <c r="Z478" s="27">
        <v>4</v>
      </c>
      <c r="AA478" s="27">
        <v>80</v>
      </c>
      <c r="AB478" s="27">
        <v>1</v>
      </c>
      <c r="AC478" s="27">
        <v>1</v>
      </c>
      <c r="AD478" s="27">
        <v>2</v>
      </c>
      <c r="AE478" s="27">
        <v>3</v>
      </c>
      <c r="AF478" s="27">
        <v>1</v>
      </c>
      <c r="AG478" s="27">
        <v>0</v>
      </c>
      <c r="AH478" s="27">
        <v>0</v>
      </c>
      <c r="AI478" s="28">
        <v>0</v>
      </c>
      <c r="AK478" s="36">
        <v>445</v>
      </c>
      <c r="AL478" s="33">
        <v>2</v>
      </c>
      <c r="AM478" s="33">
        <v>2</v>
      </c>
      <c r="AN478" s="33">
        <v>4</v>
      </c>
      <c r="AO478" s="33">
        <v>2</v>
      </c>
      <c r="AP478" s="33">
        <v>0</v>
      </c>
      <c r="AQ478" s="33">
        <v>1</v>
      </c>
      <c r="AR478" s="33">
        <v>3</v>
      </c>
      <c r="AS478" s="33">
        <v>9</v>
      </c>
      <c r="AT478" s="33">
        <v>6</v>
      </c>
      <c r="AU478" s="43">
        <v>4.6198321956601611E-2</v>
      </c>
      <c r="AV478" s="33">
        <v>0</v>
      </c>
      <c r="AW478" s="33">
        <v>0</v>
      </c>
      <c r="AY478" s="36">
        <v>450</v>
      </c>
      <c r="AZ478" s="33">
        <v>1</v>
      </c>
      <c r="BA478" s="33">
        <v>3</v>
      </c>
      <c r="BB478" s="33">
        <v>0</v>
      </c>
      <c r="BC478" s="33">
        <v>1</v>
      </c>
      <c r="BD478" s="43">
        <v>0.12012271365792118</v>
      </c>
      <c r="BE478" s="33">
        <v>0</v>
      </c>
      <c r="BF478" s="33">
        <v>0</v>
      </c>
      <c r="CE478" s="36">
        <v>444</v>
      </c>
      <c r="CF478" s="33">
        <v>4</v>
      </c>
      <c r="CG478" s="33">
        <v>1</v>
      </c>
      <c r="CH478" s="33">
        <v>3</v>
      </c>
      <c r="CI478" s="33">
        <v>1</v>
      </c>
      <c r="CJ478" s="33">
        <v>5</v>
      </c>
      <c r="CK478" s="33">
        <v>0</v>
      </c>
      <c r="CL478" s="33">
        <v>0</v>
      </c>
      <c r="CM478" s="33">
        <v>3</v>
      </c>
      <c r="CN478" s="33">
        <v>2</v>
      </c>
      <c r="CO478" s="33">
        <v>1</v>
      </c>
      <c r="CP478" s="43">
        <v>0.23320661050251495</v>
      </c>
      <c r="CQ478" s="33">
        <v>0</v>
      </c>
      <c r="CR478" s="33">
        <v>1</v>
      </c>
    </row>
    <row r="479" spans="1:96" ht="15" customHeight="1" x14ac:dyDescent="0.25">
      <c r="A479" s="26">
        <v>477</v>
      </c>
      <c r="B479" s="27">
        <v>50</v>
      </c>
      <c r="C479" s="27">
        <v>0</v>
      </c>
      <c r="D479" s="27">
        <v>2</v>
      </c>
      <c r="E479" s="27">
        <v>1246</v>
      </c>
      <c r="F479" s="27">
        <v>3</v>
      </c>
      <c r="G479" s="27">
        <v>3</v>
      </c>
      <c r="H479" s="27">
        <v>3</v>
      </c>
      <c r="I479" s="27">
        <v>3</v>
      </c>
      <c r="J479" s="27">
        <v>1</v>
      </c>
      <c r="K479" s="27">
        <v>644</v>
      </c>
      <c r="L479" s="27">
        <v>1</v>
      </c>
      <c r="M479" s="27">
        <v>1</v>
      </c>
      <c r="N479" s="27">
        <v>99</v>
      </c>
      <c r="O479" s="27">
        <v>3</v>
      </c>
      <c r="P479" s="27">
        <v>5</v>
      </c>
      <c r="Q479" s="27">
        <v>6</v>
      </c>
      <c r="R479" s="27">
        <v>2</v>
      </c>
      <c r="S479" s="27">
        <v>2</v>
      </c>
      <c r="T479" s="27">
        <v>18200</v>
      </c>
      <c r="U479" s="27">
        <v>7999</v>
      </c>
      <c r="V479" s="27">
        <v>1</v>
      </c>
      <c r="W479" s="27">
        <v>0</v>
      </c>
      <c r="X479" s="27">
        <v>11</v>
      </c>
      <c r="Y479" s="27">
        <v>3</v>
      </c>
      <c r="Z479" s="27">
        <v>3</v>
      </c>
      <c r="AA479" s="27">
        <v>80</v>
      </c>
      <c r="AB479" s="27">
        <v>1</v>
      </c>
      <c r="AC479" s="27">
        <v>32</v>
      </c>
      <c r="AD479" s="27">
        <v>2</v>
      </c>
      <c r="AE479" s="27">
        <v>3</v>
      </c>
      <c r="AF479" s="27">
        <v>32</v>
      </c>
      <c r="AG479" s="27">
        <v>5</v>
      </c>
      <c r="AH479" s="27">
        <v>10</v>
      </c>
      <c r="AI479" s="28">
        <v>7</v>
      </c>
      <c r="AK479" s="36">
        <v>446</v>
      </c>
      <c r="AL479" s="33">
        <v>18</v>
      </c>
      <c r="AM479" s="33">
        <v>4</v>
      </c>
      <c r="AN479" s="33">
        <v>2</v>
      </c>
      <c r="AO479" s="33">
        <v>3</v>
      </c>
      <c r="AP479" s="33">
        <v>0</v>
      </c>
      <c r="AQ479" s="33">
        <v>0</v>
      </c>
      <c r="AR479" s="33">
        <v>3</v>
      </c>
      <c r="AS479" s="33">
        <v>10</v>
      </c>
      <c r="AT479" s="33">
        <v>7</v>
      </c>
      <c r="AU479" s="43">
        <v>8.9799138837563061E-2</v>
      </c>
      <c r="AV479" s="33">
        <v>0</v>
      </c>
      <c r="AW479" s="33">
        <v>0</v>
      </c>
      <c r="AY479" s="36">
        <v>451</v>
      </c>
      <c r="AZ479" s="33">
        <v>2</v>
      </c>
      <c r="BA479" s="33">
        <v>4</v>
      </c>
      <c r="BB479" s="33">
        <v>1</v>
      </c>
      <c r="BC479" s="33">
        <v>0</v>
      </c>
      <c r="BD479" s="43">
        <v>0.29698480921718856</v>
      </c>
      <c r="BE479" s="33">
        <v>0</v>
      </c>
      <c r="BF479" s="33">
        <v>0</v>
      </c>
      <c r="CE479" s="36">
        <v>445</v>
      </c>
      <c r="CF479" s="33">
        <v>2</v>
      </c>
      <c r="CG479" s="33">
        <v>2</v>
      </c>
      <c r="CH479" s="33">
        <v>4</v>
      </c>
      <c r="CI479" s="33">
        <v>2</v>
      </c>
      <c r="CJ479" s="33">
        <v>2</v>
      </c>
      <c r="CK479" s="33">
        <v>0</v>
      </c>
      <c r="CL479" s="33">
        <v>1</v>
      </c>
      <c r="CM479" s="33">
        <v>3</v>
      </c>
      <c r="CN479" s="33">
        <v>9</v>
      </c>
      <c r="CO479" s="33">
        <v>6</v>
      </c>
      <c r="CP479" s="43">
        <v>4.4448820046687827E-2</v>
      </c>
      <c r="CQ479" s="33">
        <v>0</v>
      </c>
      <c r="CR479" s="33">
        <v>0</v>
      </c>
    </row>
    <row r="480" spans="1:96" ht="15" customHeight="1" x14ac:dyDescent="0.25">
      <c r="A480" s="26">
        <v>478</v>
      </c>
      <c r="B480" s="27">
        <v>25</v>
      </c>
      <c r="C480" s="27">
        <v>0</v>
      </c>
      <c r="D480" s="27">
        <v>1</v>
      </c>
      <c r="E480" s="27">
        <v>622</v>
      </c>
      <c r="F480" s="27">
        <v>1</v>
      </c>
      <c r="G480" s="27">
        <v>13</v>
      </c>
      <c r="H480" s="27">
        <v>1</v>
      </c>
      <c r="I480" s="27">
        <v>3</v>
      </c>
      <c r="J480" s="27">
        <v>1</v>
      </c>
      <c r="K480" s="27">
        <v>645</v>
      </c>
      <c r="L480" s="27">
        <v>2</v>
      </c>
      <c r="M480" s="27">
        <v>1</v>
      </c>
      <c r="N480" s="27">
        <v>40</v>
      </c>
      <c r="O480" s="27">
        <v>3</v>
      </c>
      <c r="P480" s="27">
        <v>1</v>
      </c>
      <c r="Q480" s="27">
        <v>7</v>
      </c>
      <c r="R480" s="27">
        <v>3</v>
      </c>
      <c r="S480" s="27">
        <v>2</v>
      </c>
      <c r="T480" s="27">
        <v>2096</v>
      </c>
      <c r="U480" s="27">
        <v>26376</v>
      </c>
      <c r="V480" s="27">
        <v>1</v>
      </c>
      <c r="W480" s="27">
        <v>0</v>
      </c>
      <c r="X480" s="27">
        <v>11</v>
      </c>
      <c r="Y480" s="27">
        <v>3</v>
      </c>
      <c r="Z480" s="27">
        <v>3</v>
      </c>
      <c r="AA480" s="27">
        <v>80</v>
      </c>
      <c r="AB480" s="27">
        <v>0</v>
      </c>
      <c r="AC480" s="27">
        <v>7</v>
      </c>
      <c r="AD480" s="27">
        <v>1</v>
      </c>
      <c r="AE480" s="27">
        <v>3</v>
      </c>
      <c r="AF480" s="27">
        <v>7</v>
      </c>
      <c r="AG480" s="27">
        <v>4</v>
      </c>
      <c r="AH480" s="27">
        <v>0</v>
      </c>
      <c r="AI480" s="28">
        <v>6</v>
      </c>
      <c r="AK480" s="36">
        <v>447</v>
      </c>
      <c r="AL480" s="33">
        <v>10</v>
      </c>
      <c r="AM480" s="33">
        <v>2</v>
      </c>
      <c r="AN480" s="33">
        <v>4</v>
      </c>
      <c r="AO480" s="33">
        <v>7</v>
      </c>
      <c r="AP480" s="33">
        <v>0</v>
      </c>
      <c r="AQ480" s="33">
        <v>0</v>
      </c>
      <c r="AR480" s="33">
        <v>3</v>
      </c>
      <c r="AS480" s="33">
        <v>14</v>
      </c>
      <c r="AT480" s="33">
        <v>1</v>
      </c>
      <c r="AU480" s="43">
        <v>6.3053611648471591E-2</v>
      </c>
      <c r="AV480" s="33">
        <v>0</v>
      </c>
      <c r="AW480" s="33">
        <v>0</v>
      </c>
      <c r="AY480" s="36">
        <v>452</v>
      </c>
      <c r="AZ480" s="33">
        <v>3</v>
      </c>
      <c r="BA480" s="33">
        <v>1</v>
      </c>
      <c r="BB480" s="33">
        <v>1</v>
      </c>
      <c r="BC480" s="33">
        <v>1</v>
      </c>
      <c r="BD480" s="43">
        <v>0.25528659551539534</v>
      </c>
      <c r="BE480" s="33">
        <v>0</v>
      </c>
      <c r="BF480" s="33">
        <v>0</v>
      </c>
      <c r="CE480" s="36">
        <v>446</v>
      </c>
      <c r="CF480" s="33">
        <v>18</v>
      </c>
      <c r="CG480" s="33">
        <v>4</v>
      </c>
      <c r="CH480" s="33">
        <v>2</v>
      </c>
      <c r="CI480" s="33">
        <v>1</v>
      </c>
      <c r="CJ480" s="33">
        <v>3</v>
      </c>
      <c r="CK480" s="33">
        <v>0</v>
      </c>
      <c r="CL480" s="33">
        <v>0</v>
      </c>
      <c r="CM480" s="33">
        <v>3</v>
      </c>
      <c r="CN480" s="33">
        <v>10</v>
      </c>
      <c r="CO480" s="33">
        <v>7</v>
      </c>
      <c r="CP480" s="43">
        <v>0.11027355267457262</v>
      </c>
      <c r="CQ480" s="33">
        <v>0</v>
      </c>
      <c r="CR480" s="33">
        <v>0</v>
      </c>
    </row>
    <row r="481" spans="1:96" ht="15" customHeight="1" x14ac:dyDescent="0.25">
      <c r="A481" s="26">
        <v>479</v>
      </c>
      <c r="B481" s="27">
        <v>24</v>
      </c>
      <c r="C481" s="27">
        <v>1</v>
      </c>
      <c r="D481" s="27">
        <v>2</v>
      </c>
      <c r="E481" s="27">
        <v>1287</v>
      </c>
      <c r="F481" s="27">
        <v>2</v>
      </c>
      <c r="G481" s="27">
        <v>7</v>
      </c>
      <c r="H481" s="27">
        <v>3</v>
      </c>
      <c r="I481" s="27">
        <v>1</v>
      </c>
      <c r="J481" s="27">
        <v>1</v>
      </c>
      <c r="K481" s="27">
        <v>647</v>
      </c>
      <c r="L481" s="27">
        <v>1</v>
      </c>
      <c r="M481" s="27">
        <v>0</v>
      </c>
      <c r="N481" s="27">
        <v>55</v>
      </c>
      <c r="O481" s="27">
        <v>3</v>
      </c>
      <c r="P481" s="27">
        <v>1</v>
      </c>
      <c r="Q481" s="27">
        <v>3</v>
      </c>
      <c r="R481" s="27">
        <v>3</v>
      </c>
      <c r="S481" s="27">
        <v>2</v>
      </c>
      <c r="T481" s="27">
        <v>2886</v>
      </c>
      <c r="U481" s="27">
        <v>14168</v>
      </c>
      <c r="V481" s="27">
        <v>1</v>
      </c>
      <c r="W481" s="27">
        <v>1</v>
      </c>
      <c r="X481" s="27">
        <v>16</v>
      </c>
      <c r="Y481" s="27">
        <v>3</v>
      </c>
      <c r="Z481" s="27">
        <v>4</v>
      </c>
      <c r="AA481" s="27">
        <v>80</v>
      </c>
      <c r="AB481" s="27">
        <v>1</v>
      </c>
      <c r="AC481" s="27">
        <v>6</v>
      </c>
      <c r="AD481" s="27">
        <v>4</v>
      </c>
      <c r="AE481" s="27">
        <v>3</v>
      </c>
      <c r="AF481" s="27">
        <v>6</v>
      </c>
      <c r="AG481" s="27">
        <v>3</v>
      </c>
      <c r="AH481" s="27">
        <v>1</v>
      </c>
      <c r="AI481" s="28">
        <v>2</v>
      </c>
      <c r="AK481" s="36">
        <v>448</v>
      </c>
      <c r="AL481" s="33">
        <v>1</v>
      </c>
      <c r="AM481" s="33">
        <v>2</v>
      </c>
      <c r="AN481" s="33">
        <v>3</v>
      </c>
      <c r="AO481" s="33">
        <v>9</v>
      </c>
      <c r="AP481" s="33">
        <v>0</v>
      </c>
      <c r="AQ481" s="33">
        <v>0</v>
      </c>
      <c r="AR481" s="33">
        <v>3</v>
      </c>
      <c r="AS481" s="33">
        <v>11</v>
      </c>
      <c r="AT481" s="33">
        <v>6</v>
      </c>
      <c r="AU481" s="43">
        <v>0.14700303365559639</v>
      </c>
      <c r="AV481" s="33">
        <v>0</v>
      </c>
      <c r="AW481" s="33">
        <v>0</v>
      </c>
      <c r="AY481" s="36">
        <v>453</v>
      </c>
      <c r="AZ481" s="33">
        <v>2</v>
      </c>
      <c r="BA481" s="33">
        <v>2</v>
      </c>
      <c r="BB481" s="33">
        <v>0</v>
      </c>
      <c r="BC481" s="33">
        <v>1</v>
      </c>
      <c r="BD481" s="43">
        <v>9.4721355311452843E-2</v>
      </c>
      <c r="BE481" s="33">
        <v>0</v>
      </c>
      <c r="BF481" s="33">
        <v>0</v>
      </c>
      <c r="CE481" s="36">
        <v>447</v>
      </c>
      <c r="CF481" s="33">
        <v>10</v>
      </c>
      <c r="CG481" s="33">
        <v>2</v>
      </c>
      <c r="CH481" s="33">
        <v>4</v>
      </c>
      <c r="CI481" s="33">
        <v>1</v>
      </c>
      <c r="CJ481" s="33">
        <v>7</v>
      </c>
      <c r="CK481" s="33">
        <v>0</v>
      </c>
      <c r="CL481" s="33">
        <v>0</v>
      </c>
      <c r="CM481" s="33">
        <v>3</v>
      </c>
      <c r="CN481" s="33">
        <v>14</v>
      </c>
      <c r="CO481" s="33">
        <v>1</v>
      </c>
      <c r="CP481" s="43">
        <v>7.300393521290835E-2</v>
      </c>
      <c r="CQ481" s="33">
        <v>0</v>
      </c>
      <c r="CR481" s="33">
        <v>0</v>
      </c>
    </row>
    <row r="482" spans="1:96" ht="15" customHeight="1" x14ac:dyDescent="0.25">
      <c r="A482" s="26">
        <v>480</v>
      </c>
      <c r="B482" s="27">
        <v>30</v>
      </c>
      <c r="C482" s="27">
        <v>1</v>
      </c>
      <c r="D482" s="27">
        <v>2</v>
      </c>
      <c r="E482" s="27">
        <v>448</v>
      </c>
      <c r="F482" s="27">
        <v>1</v>
      </c>
      <c r="G482" s="27">
        <v>12</v>
      </c>
      <c r="H482" s="27">
        <v>4</v>
      </c>
      <c r="I482" s="27">
        <v>1</v>
      </c>
      <c r="J482" s="27">
        <v>1</v>
      </c>
      <c r="K482" s="27">
        <v>648</v>
      </c>
      <c r="L482" s="27">
        <v>2</v>
      </c>
      <c r="M482" s="27">
        <v>1</v>
      </c>
      <c r="N482" s="27">
        <v>74</v>
      </c>
      <c r="O482" s="27">
        <v>2</v>
      </c>
      <c r="P482" s="27">
        <v>1</v>
      </c>
      <c r="Q482" s="27">
        <v>7</v>
      </c>
      <c r="R482" s="27">
        <v>1</v>
      </c>
      <c r="S482" s="27">
        <v>2</v>
      </c>
      <c r="T482" s="27">
        <v>2033</v>
      </c>
      <c r="U482" s="27">
        <v>14470</v>
      </c>
      <c r="V482" s="27">
        <v>1</v>
      </c>
      <c r="W482" s="27">
        <v>0</v>
      </c>
      <c r="X482" s="27">
        <v>18</v>
      </c>
      <c r="Y482" s="27">
        <v>3</v>
      </c>
      <c r="Z482" s="27">
        <v>3</v>
      </c>
      <c r="AA482" s="27">
        <v>80</v>
      </c>
      <c r="AB482" s="27">
        <v>1</v>
      </c>
      <c r="AC482" s="27">
        <v>1</v>
      </c>
      <c r="AD482" s="27">
        <v>2</v>
      </c>
      <c r="AE482" s="27">
        <v>4</v>
      </c>
      <c r="AF482" s="27">
        <v>1</v>
      </c>
      <c r="AG482" s="27">
        <v>0</v>
      </c>
      <c r="AH482" s="27">
        <v>0</v>
      </c>
      <c r="AI482" s="28">
        <v>0</v>
      </c>
      <c r="AK482" s="36">
        <v>449</v>
      </c>
      <c r="AL482" s="33">
        <v>6</v>
      </c>
      <c r="AM482" s="33">
        <v>4</v>
      </c>
      <c r="AN482" s="33">
        <v>3</v>
      </c>
      <c r="AO482" s="33">
        <v>7</v>
      </c>
      <c r="AP482" s="33">
        <v>0</v>
      </c>
      <c r="AQ482" s="33">
        <v>0</v>
      </c>
      <c r="AR482" s="33">
        <v>3</v>
      </c>
      <c r="AS482" s="33">
        <v>20</v>
      </c>
      <c r="AT482" s="33">
        <v>5</v>
      </c>
      <c r="AU482" s="43">
        <v>2.5993863764066181E-2</v>
      </c>
      <c r="AV482" s="33">
        <v>0</v>
      </c>
      <c r="AW482" s="33">
        <v>0</v>
      </c>
      <c r="AY482" s="36">
        <v>454</v>
      </c>
      <c r="AZ482" s="33">
        <v>1</v>
      </c>
      <c r="BA482" s="33">
        <v>3</v>
      </c>
      <c r="BB482" s="33">
        <v>1</v>
      </c>
      <c r="BC482" s="33">
        <v>1</v>
      </c>
      <c r="BD482" s="43">
        <v>0.36852652578740397</v>
      </c>
      <c r="BE482" s="33">
        <v>0</v>
      </c>
      <c r="BF482" s="33">
        <v>1</v>
      </c>
      <c r="CE482" s="36">
        <v>448</v>
      </c>
      <c r="CF482" s="33">
        <v>1</v>
      </c>
      <c r="CG482" s="33">
        <v>2</v>
      </c>
      <c r="CH482" s="33">
        <v>3</v>
      </c>
      <c r="CI482" s="33">
        <v>2</v>
      </c>
      <c r="CJ482" s="33">
        <v>9</v>
      </c>
      <c r="CK482" s="33">
        <v>0</v>
      </c>
      <c r="CL482" s="33">
        <v>0</v>
      </c>
      <c r="CM482" s="33">
        <v>3</v>
      </c>
      <c r="CN482" s="33">
        <v>11</v>
      </c>
      <c r="CO482" s="33">
        <v>6</v>
      </c>
      <c r="CP482" s="43">
        <v>0.10769962113456509</v>
      </c>
      <c r="CQ482" s="33">
        <v>0</v>
      </c>
      <c r="CR482" s="33">
        <v>0</v>
      </c>
    </row>
    <row r="483" spans="1:96" ht="15" customHeight="1" x14ac:dyDescent="0.25">
      <c r="A483" s="26">
        <v>481</v>
      </c>
      <c r="B483" s="27">
        <v>34</v>
      </c>
      <c r="C483" s="27">
        <v>0</v>
      </c>
      <c r="D483" s="27">
        <v>1</v>
      </c>
      <c r="E483" s="27">
        <v>254</v>
      </c>
      <c r="F483" s="27">
        <v>2</v>
      </c>
      <c r="G483" s="27">
        <v>1</v>
      </c>
      <c r="H483" s="27">
        <v>2</v>
      </c>
      <c r="I483" s="27">
        <v>1</v>
      </c>
      <c r="J483" s="27">
        <v>1</v>
      </c>
      <c r="K483" s="27">
        <v>649</v>
      </c>
      <c r="L483" s="27">
        <v>2</v>
      </c>
      <c r="M483" s="27">
        <v>1</v>
      </c>
      <c r="N483" s="27">
        <v>83</v>
      </c>
      <c r="O483" s="27">
        <v>2</v>
      </c>
      <c r="P483" s="27">
        <v>1</v>
      </c>
      <c r="Q483" s="27">
        <v>2</v>
      </c>
      <c r="R483" s="27">
        <v>4</v>
      </c>
      <c r="S483" s="27">
        <v>2</v>
      </c>
      <c r="T483" s="27">
        <v>3622</v>
      </c>
      <c r="U483" s="27">
        <v>22794</v>
      </c>
      <c r="V483" s="27">
        <v>1</v>
      </c>
      <c r="W483" s="27">
        <v>1</v>
      </c>
      <c r="X483" s="27">
        <v>13</v>
      </c>
      <c r="Y483" s="27">
        <v>3</v>
      </c>
      <c r="Z483" s="27">
        <v>4</v>
      </c>
      <c r="AA483" s="27">
        <v>80</v>
      </c>
      <c r="AB483" s="27">
        <v>1</v>
      </c>
      <c r="AC483" s="27">
        <v>6</v>
      </c>
      <c r="AD483" s="27">
        <v>3</v>
      </c>
      <c r="AE483" s="27">
        <v>3</v>
      </c>
      <c r="AF483" s="27">
        <v>6</v>
      </c>
      <c r="AG483" s="27">
        <v>5</v>
      </c>
      <c r="AH483" s="27">
        <v>1</v>
      </c>
      <c r="AI483" s="28">
        <v>3</v>
      </c>
      <c r="AK483" s="36">
        <v>450</v>
      </c>
      <c r="AL483" s="33">
        <v>8</v>
      </c>
      <c r="AM483" s="33">
        <v>1</v>
      </c>
      <c r="AN483" s="33">
        <v>3</v>
      </c>
      <c r="AO483" s="33">
        <v>1</v>
      </c>
      <c r="AP483" s="33">
        <v>0</v>
      </c>
      <c r="AQ483" s="33">
        <v>1</v>
      </c>
      <c r="AR483" s="33">
        <v>3</v>
      </c>
      <c r="AS483" s="33">
        <v>8</v>
      </c>
      <c r="AT483" s="33">
        <v>0</v>
      </c>
      <c r="AU483" s="43">
        <v>6.4521127702354936E-2</v>
      </c>
      <c r="AV483" s="33">
        <v>0</v>
      </c>
      <c r="AW483" s="33">
        <v>0</v>
      </c>
      <c r="AY483" s="36">
        <v>455</v>
      </c>
      <c r="AZ483" s="33">
        <v>2</v>
      </c>
      <c r="BA483" s="33">
        <v>4</v>
      </c>
      <c r="BB483" s="33">
        <v>0</v>
      </c>
      <c r="BC483" s="33">
        <v>2</v>
      </c>
      <c r="BD483" s="43">
        <v>3.3256067423154199E-2</v>
      </c>
      <c r="BE483" s="33">
        <v>0</v>
      </c>
      <c r="BF483" s="33">
        <v>0</v>
      </c>
      <c r="CE483" s="36">
        <v>449</v>
      </c>
      <c r="CF483" s="33">
        <v>6</v>
      </c>
      <c r="CG483" s="33">
        <v>4</v>
      </c>
      <c r="CH483" s="33">
        <v>3</v>
      </c>
      <c r="CI483" s="33">
        <v>1</v>
      </c>
      <c r="CJ483" s="33">
        <v>7</v>
      </c>
      <c r="CK483" s="33">
        <v>0</v>
      </c>
      <c r="CL483" s="33">
        <v>0</v>
      </c>
      <c r="CM483" s="33">
        <v>3</v>
      </c>
      <c r="CN483" s="33">
        <v>20</v>
      </c>
      <c r="CO483" s="33">
        <v>5</v>
      </c>
      <c r="CP483" s="43">
        <v>3.1826152246632197E-2</v>
      </c>
      <c r="CQ483" s="33">
        <v>0</v>
      </c>
      <c r="CR483" s="33">
        <v>0</v>
      </c>
    </row>
    <row r="484" spans="1:96" ht="15" customHeight="1" x14ac:dyDescent="0.25">
      <c r="A484" s="26">
        <v>482</v>
      </c>
      <c r="B484" s="27">
        <v>31</v>
      </c>
      <c r="C484" s="27">
        <v>1</v>
      </c>
      <c r="D484" s="27">
        <v>1</v>
      </c>
      <c r="E484" s="27">
        <v>1365</v>
      </c>
      <c r="F484" s="27">
        <v>1</v>
      </c>
      <c r="G484" s="27">
        <v>13</v>
      </c>
      <c r="H484" s="27">
        <v>4</v>
      </c>
      <c r="I484" s="27">
        <v>3</v>
      </c>
      <c r="J484" s="27">
        <v>1</v>
      </c>
      <c r="K484" s="27">
        <v>650</v>
      </c>
      <c r="L484" s="27">
        <v>2</v>
      </c>
      <c r="M484" s="27">
        <v>1</v>
      </c>
      <c r="N484" s="27">
        <v>46</v>
      </c>
      <c r="O484" s="27">
        <v>3</v>
      </c>
      <c r="P484" s="27">
        <v>2</v>
      </c>
      <c r="Q484" s="27">
        <v>1</v>
      </c>
      <c r="R484" s="27">
        <v>1</v>
      </c>
      <c r="S484" s="27">
        <v>3</v>
      </c>
      <c r="T484" s="27">
        <v>4233</v>
      </c>
      <c r="U484" s="27">
        <v>11512</v>
      </c>
      <c r="V484" s="27">
        <v>2</v>
      </c>
      <c r="W484" s="27">
        <v>0</v>
      </c>
      <c r="X484" s="27">
        <v>17</v>
      </c>
      <c r="Y484" s="27">
        <v>3</v>
      </c>
      <c r="Z484" s="27">
        <v>3</v>
      </c>
      <c r="AA484" s="27">
        <v>80</v>
      </c>
      <c r="AB484" s="27">
        <v>0</v>
      </c>
      <c r="AC484" s="27">
        <v>9</v>
      </c>
      <c r="AD484" s="27">
        <v>2</v>
      </c>
      <c r="AE484" s="27">
        <v>1</v>
      </c>
      <c r="AF484" s="27">
        <v>3</v>
      </c>
      <c r="AG484" s="27">
        <v>1</v>
      </c>
      <c r="AH484" s="27">
        <v>1</v>
      </c>
      <c r="AI484" s="28">
        <v>2</v>
      </c>
      <c r="AK484" s="36">
        <v>451</v>
      </c>
      <c r="AL484" s="33">
        <v>2</v>
      </c>
      <c r="AM484" s="33">
        <v>2</v>
      </c>
      <c r="AN484" s="33">
        <v>4</v>
      </c>
      <c r="AO484" s="33">
        <v>4</v>
      </c>
      <c r="AP484" s="33">
        <v>1</v>
      </c>
      <c r="AQ484" s="33">
        <v>0</v>
      </c>
      <c r="AR484" s="33">
        <v>4</v>
      </c>
      <c r="AS484" s="33">
        <v>6</v>
      </c>
      <c r="AT484" s="33">
        <v>0</v>
      </c>
      <c r="AU484" s="43">
        <v>0.18042821657969649</v>
      </c>
      <c r="AV484" s="33">
        <v>0</v>
      </c>
      <c r="AW484" s="33">
        <v>0</v>
      </c>
      <c r="AY484" s="36">
        <v>456</v>
      </c>
      <c r="AZ484" s="33">
        <v>4</v>
      </c>
      <c r="BA484" s="33">
        <v>3</v>
      </c>
      <c r="BB484" s="33">
        <v>0</v>
      </c>
      <c r="BC484" s="33">
        <v>1</v>
      </c>
      <c r="BD484" s="43">
        <v>2.4928302134756671E-2</v>
      </c>
      <c r="BE484" s="33">
        <v>0</v>
      </c>
      <c r="BF484" s="33">
        <v>0</v>
      </c>
      <c r="CE484" s="36">
        <v>450</v>
      </c>
      <c r="CF484" s="33">
        <v>8</v>
      </c>
      <c r="CG484" s="33">
        <v>1</v>
      </c>
      <c r="CH484" s="33">
        <v>3</v>
      </c>
      <c r="CI484" s="33">
        <v>2</v>
      </c>
      <c r="CJ484" s="33">
        <v>1</v>
      </c>
      <c r="CK484" s="33">
        <v>0</v>
      </c>
      <c r="CL484" s="33">
        <v>1</v>
      </c>
      <c r="CM484" s="33">
        <v>3</v>
      </c>
      <c r="CN484" s="33">
        <v>8</v>
      </c>
      <c r="CO484" s="33">
        <v>0</v>
      </c>
      <c r="CP484" s="43">
        <v>6.1311717259547122E-2</v>
      </c>
      <c r="CQ484" s="33">
        <v>0</v>
      </c>
      <c r="CR484" s="33">
        <v>0</v>
      </c>
    </row>
    <row r="485" spans="1:96" ht="15" customHeight="1" x14ac:dyDescent="0.25">
      <c r="A485" s="26">
        <v>483</v>
      </c>
      <c r="B485" s="27">
        <v>35</v>
      </c>
      <c r="C485" s="27">
        <v>0</v>
      </c>
      <c r="D485" s="27">
        <v>1</v>
      </c>
      <c r="E485" s="27">
        <v>538</v>
      </c>
      <c r="F485" s="27">
        <v>2</v>
      </c>
      <c r="G485" s="27">
        <v>25</v>
      </c>
      <c r="H485" s="27">
        <v>2</v>
      </c>
      <c r="I485" s="27">
        <v>6</v>
      </c>
      <c r="J485" s="27">
        <v>1</v>
      </c>
      <c r="K485" s="27">
        <v>652</v>
      </c>
      <c r="L485" s="27">
        <v>1</v>
      </c>
      <c r="M485" s="27">
        <v>1</v>
      </c>
      <c r="N485" s="27">
        <v>54</v>
      </c>
      <c r="O485" s="27">
        <v>2</v>
      </c>
      <c r="P485" s="27">
        <v>2</v>
      </c>
      <c r="Q485" s="27">
        <v>3</v>
      </c>
      <c r="R485" s="27">
        <v>4</v>
      </c>
      <c r="S485" s="27">
        <v>1</v>
      </c>
      <c r="T485" s="27">
        <v>3681</v>
      </c>
      <c r="U485" s="27">
        <v>14004</v>
      </c>
      <c r="V485" s="27">
        <v>4</v>
      </c>
      <c r="W485" s="27">
        <v>0</v>
      </c>
      <c r="X485" s="27">
        <v>14</v>
      </c>
      <c r="Y485" s="27">
        <v>3</v>
      </c>
      <c r="Z485" s="27">
        <v>4</v>
      </c>
      <c r="AA485" s="27">
        <v>80</v>
      </c>
      <c r="AB485" s="27">
        <v>0</v>
      </c>
      <c r="AC485" s="27">
        <v>9</v>
      </c>
      <c r="AD485" s="27">
        <v>3</v>
      </c>
      <c r="AE485" s="27">
        <v>3</v>
      </c>
      <c r="AF485" s="27">
        <v>3</v>
      </c>
      <c r="AG485" s="27">
        <v>2</v>
      </c>
      <c r="AH485" s="27">
        <v>0</v>
      </c>
      <c r="AI485" s="28">
        <v>2</v>
      </c>
      <c r="AK485" s="36">
        <v>452</v>
      </c>
      <c r="AL485" s="33">
        <v>24</v>
      </c>
      <c r="AM485" s="33">
        <v>3</v>
      </c>
      <c r="AN485" s="33">
        <v>1</v>
      </c>
      <c r="AO485" s="33">
        <v>1</v>
      </c>
      <c r="AP485" s="33">
        <v>1</v>
      </c>
      <c r="AQ485" s="33">
        <v>1</v>
      </c>
      <c r="AR485" s="33">
        <v>2</v>
      </c>
      <c r="AS485" s="33">
        <v>10</v>
      </c>
      <c r="AT485" s="33">
        <v>5</v>
      </c>
      <c r="AU485" s="43">
        <v>0.3717681289210672</v>
      </c>
      <c r="AV485" s="33">
        <v>0</v>
      </c>
      <c r="AW485" s="33">
        <v>0</v>
      </c>
      <c r="AY485" s="36">
        <v>457</v>
      </c>
      <c r="AZ485" s="33">
        <v>3</v>
      </c>
      <c r="BA485" s="33">
        <v>4</v>
      </c>
      <c r="BB485" s="33">
        <v>0</v>
      </c>
      <c r="BC485" s="33">
        <v>1</v>
      </c>
      <c r="BD485" s="43">
        <v>3.2280700557178299E-2</v>
      </c>
      <c r="BE485" s="33">
        <v>0</v>
      </c>
      <c r="BF485" s="33">
        <v>0</v>
      </c>
      <c r="CE485" s="36">
        <v>451</v>
      </c>
      <c r="CF485" s="33">
        <v>2</v>
      </c>
      <c r="CG485" s="33">
        <v>2</v>
      </c>
      <c r="CH485" s="33">
        <v>4</v>
      </c>
      <c r="CI485" s="33">
        <v>1</v>
      </c>
      <c r="CJ485" s="33">
        <v>4</v>
      </c>
      <c r="CK485" s="33">
        <v>1</v>
      </c>
      <c r="CL485" s="33">
        <v>0</v>
      </c>
      <c r="CM485" s="33">
        <v>4</v>
      </c>
      <c r="CN485" s="33">
        <v>6</v>
      </c>
      <c r="CO485" s="33">
        <v>0</v>
      </c>
      <c r="CP485" s="43">
        <v>0.20864445280399047</v>
      </c>
      <c r="CQ485" s="33">
        <v>0</v>
      </c>
      <c r="CR485" s="33">
        <v>0</v>
      </c>
    </row>
    <row r="486" spans="1:96" ht="15" customHeight="1" x14ac:dyDescent="0.25">
      <c r="A486" s="26">
        <v>484</v>
      </c>
      <c r="B486" s="27">
        <v>31</v>
      </c>
      <c r="C486" s="27">
        <v>0</v>
      </c>
      <c r="D486" s="27">
        <v>1</v>
      </c>
      <c r="E486" s="27">
        <v>525</v>
      </c>
      <c r="F486" s="27">
        <v>1</v>
      </c>
      <c r="G486" s="27">
        <v>6</v>
      </c>
      <c r="H486" s="27">
        <v>4</v>
      </c>
      <c r="I486" s="27">
        <v>3</v>
      </c>
      <c r="J486" s="27">
        <v>1</v>
      </c>
      <c r="K486" s="27">
        <v>653</v>
      </c>
      <c r="L486" s="27">
        <v>1</v>
      </c>
      <c r="M486" s="27">
        <v>1</v>
      </c>
      <c r="N486" s="27">
        <v>66</v>
      </c>
      <c r="O486" s="27">
        <v>4</v>
      </c>
      <c r="P486" s="27">
        <v>2</v>
      </c>
      <c r="Q486" s="27">
        <v>1</v>
      </c>
      <c r="R486" s="27">
        <v>4</v>
      </c>
      <c r="S486" s="27">
        <v>3</v>
      </c>
      <c r="T486" s="27">
        <v>5460</v>
      </c>
      <c r="U486" s="27">
        <v>6219</v>
      </c>
      <c r="V486" s="27">
        <v>4</v>
      </c>
      <c r="W486" s="27">
        <v>0</v>
      </c>
      <c r="X486" s="27">
        <v>22</v>
      </c>
      <c r="Y486" s="27">
        <v>4</v>
      </c>
      <c r="Z486" s="27">
        <v>4</v>
      </c>
      <c r="AA486" s="27">
        <v>80</v>
      </c>
      <c r="AB486" s="27">
        <v>2</v>
      </c>
      <c r="AC486" s="27">
        <v>13</v>
      </c>
      <c r="AD486" s="27">
        <v>4</v>
      </c>
      <c r="AE486" s="27">
        <v>4</v>
      </c>
      <c r="AF486" s="27">
        <v>7</v>
      </c>
      <c r="AG486" s="27">
        <v>7</v>
      </c>
      <c r="AH486" s="27">
        <v>5</v>
      </c>
      <c r="AI486" s="28">
        <v>7</v>
      </c>
      <c r="AK486" s="36">
        <v>453</v>
      </c>
      <c r="AL486" s="33">
        <v>2</v>
      </c>
      <c r="AM486" s="33">
        <v>2</v>
      </c>
      <c r="AN486" s="33">
        <v>2</v>
      </c>
      <c r="AO486" s="33">
        <v>0</v>
      </c>
      <c r="AP486" s="33">
        <v>0</v>
      </c>
      <c r="AQ486" s="33">
        <v>1</v>
      </c>
      <c r="AR486" s="33">
        <v>4</v>
      </c>
      <c r="AS486" s="33">
        <v>8</v>
      </c>
      <c r="AT486" s="33">
        <v>3</v>
      </c>
      <c r="AU486" s="43">
        <v>4.261850215248289E-2</v>
      </c>
      <c r="AV486" s="33">
        <v>0</v>
      </c>
      <c r="AW486" s="33">
        <v>0</v>
      </c>
      <c r="AY486" s="36">
        <v>458</v>
      </c>
      <c r="AZ486" s="33">
        <v>1</v>
      </c>
      <c r="BA486" s="33">
        <v>2</v>
      </c>
      <c r="BB486" s="33">
        <v>1</v>
      </c>
      <c r="BC486" s="33">
        <v>0</v>
      </c>
      <c r="BD486" s="43">
        <v>0.56990699338636852</v>
      </c>
      <c r="BE486" s="33">
        <v>1</v>
      </c>
      <c r="BF486" s="33">
        <v>1</v>
      </c>
      <c r="CE486" s="36">
        <v>452</v>
      </c>
      <c r="CF486" s="33">
        <v>24</v>
      </c>
      <c r="CG486" s="33">
        <v>3</v>
      </c>
      <c r="CH486" s="33">
        <v>1</v>
      </c>
      <c r="CI486" s="33">
        <v>2</v>
      </c>
      <c r="CJ486" s="33">
        <v>1</v>
      </c>
      <c r="CK486" s="33">
        <v>1</v>
      </c>
      <c r="CL486" s="33">
        <v>1</v>
      </c>
      <c r="CM486" s="33">
        <v>2</v>
      </c>
      <c r="CN486" s="33">
        <v>10</v>
      </c>
      <c r="CO486" s="33">
        <v>5</v>
      </c>
      <c r="CP486" s="43">
        <v>0.38837101001463192</v>
      </c>
      <c r="CQ486" s="33">
        <v>0</v>
      </c>
      <c r="CR486" s="33">
        <v>0</v>
      </c>
    </row>
    <row r="487" spans="1:96" ht="15" customHeight="1" x14ac:dyDescent="0.25">
      <c r="A487" s="26">
        <v>485</v>
      </c>
      <c r="B487" s="27">
        <v>27</v>
      </c>
      <c r="C487" s="27">
        <v>0</v>
      </c>
      <c r="D487" s="27">
        <v>1</v>
      </c>
      <c r="E487" s="27">
        <v>798</v>
      </c>
      <c r="F487" s="27">
        <v>2</v>
      </c>
      <c r="G487" s="27">
        <v>6</v>
      </c>
      <c r="H487" s="27">
        <v>4</v>
      </c>
      <c r="I487" s="27">
        <v>3</v>
      </c>
      <c r="J487" s="27">
        <v>1</v>
      </c>
      <c r="K487" s="27">
        <v>655</v>
      </c>
      <c r="L487" s="27">
        <v>1</v>
      </c>
      <c r="M487" s="27">
        <v>0</v>
      </c>
      <c r="N487" s="27">
        <v>66</v>
      </c>
      <c r="O487" s="27">
        <v>2</v>
      </c>
      <c r="P487" s="27">
        <v>1</v>
      </c>
      <c r="Q487" s="27">
        <v>2</v>
      </c>
      <c r="R487" s="27">
        <v>3</v>
      </c>
      <c r="S487" s="27">
        <v>3</v>
      </c>
      <c r="T487" s="27">
        <v>2187</v>
      </c>
      <c r="U487" s="27">
        <v>5013</v>
      </c>
      <c r="V487" s="27">
        <v>0</v>
      </c>
      <c r="W487" s="27">
        <v>0</v>
      </c>
      <c r="X487" s="27">
        <v>12</v>
      </c>
      <c r="Y487" s="27">
        <v>3</v>
      </c>
      <c r="Z487" s="27">
        <v>3</v>
      </c>
      <c r="AA487" s="27">
        <v>80</v>
      </c>
      <c r="AB487" s="27">
        <v>2</v>
      </c>
      <c r="AC487" s="27">
        <v>6</v>
      </c>
      <c r="AD487" s="27">
        <v>5</v>
      </c>
      <c r="AE487" s="27">
        <v>2</v>
      </c>
      <c r="AF487" s="27">
        <v>5</v>
      </c>
      <c r="AG487" s="27">
        <v>3</v>
      </c>
      <c r="AH487" s="27">
        <v>0</v>
      </c>
      <c r="AI487" s="28">
        <v>3</v>
      </c>
      <c r="AK487" s="36">
        <v>454</v>
      </c>
      <c r="AL487" s="33">
        <v>17</v>
      </c>
      <c r="AM487" s="33">
        <v>1</v>
      </c>
      <c r="AN487" s="33">
        <v>3</v>
      </c>
      <c r="AO487" s="33">
        <v>0</v>
      </c>
      <c r="AP487" s="33">
        <v>1</v>
      </c>
      <c r="AQ487" s="33">
        <v>1</v>
      </c>
      <c r="AR487" s="33">
        <v>2</v>
      </c>
      <c r="AS487" s="33">
        <v>7</v>
      </c>
      <c r="AT487" s="33">
        <v>1</v>
      </c>
      <c r="AU487" s="43">
        <v>0.36307320837309165</v>
      </c>
      <c r="AV487" s="33">
        <v>0</v>
      </c>
      <c r="AW487" s="33">
        <v>1</v>
      </c>
      <c r="AY487" s="36">
        <v>459</v>
      </c>
      <c r="AZ487" s="33">
        <v>3</v>
      </c>
      <c r="BA487" s="33">
        <v>1</v>
      </c>
      <c r="BB487" s="33">
        <v>0</v>
      </c>
      <c r="BC487" s="33">
        <v>1</v>
      </c>
      <c r="BD487" s="43">
        <v>7.4238208059117641E-2</v>
      </c>
      <c r="BE487" s="33">
        <v>0</v>
      </c>
      <c r="BF487" s="33">
        <v>0</v>
      </c>
      <c r="CE487" s="36">
        <v>453</v>
      </c>
      <c r="CF487" s="33">
        <v>2</v>
      </c>
      <c r="CG487" s="33">
        <v>2</v>
      </c>
      <c r="CH487" s="33">
        <v>2</v>
      </c>
      <c r="CI487" s="33">
        <v>2</v>
      </c>
      <c r="CJ487" s="33">
        <v>0</v>
      </c>
      <c r="CK487" s="33">
        <v>0</v>
      </c>
      <c r="CL487" s="33">
        <v>1</v>
      </c>
      <c r="CM487" s="33">
        <v>4</v>
      </c>
      <c r="CN487" s="33">
        <v>8</v>
      </c>
      <c r="CO487" s="33">
        <v>3</v>
      </c>
      <c r="CP487" s="43">
        <v>4.1346556677748794E-2</v>
      </c>
      <c r="CQ487" s="33">
        <v>0</v>
      </c>
      <c r="CR487" s="33">
        <v>0</v>
      </c>
    </row>
    <row r="488" spans="1:96" ht="15" customHeight="1" x14ac:dyDescent="0.25">
      <c r="A488" s="26">
        <v>486</v>
      </c>
      <c r="B488" s="27">
        <v>37</v>
      </c>
      <c r="C488" s="27">
        <v>0</v>
      </c>
      <c r="D488" s="27">
        <v>1</v>
      </c>
      <c r="E488" s="27">
        <v>558</v>
      </c>
      <c r="F488" s="27">
        <v>1</v>
      </c>
      <c r="G488" s="27">
        <v>2</v>
      </c>
      <c r="H488" s="27">
        <v>3</v>
      </c>
      <c r="I488" s="27">
        <v>4</v>
      </c>
      <c r="J488" s="27">
        <v>1</v>
      </c>
      <c r="K488" s="27">
        <v>656</v>
      </c>
      <c r="L488" s="27">
        <v>4</v>
      </c>
      <c r="M488" s="27">
        <v>1</v>
      </c>
      <c r="N488" s="27">
        <v>75</v>
      </c>
      <c r="O488" s="27">
        <v>3</v>
      </c>
      <c r="P488" s="27">
        <v>2</v>
      </c>
      <c r="Q488" s="27">
        <v>1</v>
      </c>
      <c r="R488" s="27">
        <v>3</v>
      </c>
      <c r="S488" s="27">
        <v>2</v>
      </c>
      <c r="T488" s="27">
        <v>9602</v>
      </c>
      <c r="U488" s="27">
        <v>3010</v>
      </c>
      <c r="V488" s="27">
        <v>4</v>
      </c>
      <c r="W488" s="27">
        <v>1</v>
      </c>
      <c r="X488" s="27">
        <v>11</v>
      </c>
      <c r="Y488" s="27">
        <v>3</v>
      </c>
      <c r="Z488" s="27">
        <v>3</v>
      </c>
      <c r="AA488" s="27">
        <v>80</v>
      </c>
      <c r="AB488" s="27">
        <v>1</v>
      </c>
      <c r="AC488" s="27">
        <v>17</v>
      </c>
      <c r="AD488" s="27">
        <v>3</v>
      </c>
      <c r="AE488" s="27">
        <v>2</v>
      </c>
      <c r="AF488" s="27">
        <v>3</v>
      </c>
      <c r="AG488" s="27">
        <v>0</v>
      </c>
      <c r="AH488" s="27">
        <v>1</v>
      </c>
      <c r="AI488" s="28">
        <v>0</v>
      </c>
      <c r="AK488" s="36">
        <v>455</v>
      </c>
      <c r="AL488" s="33">
        <v>19</v>
      </c>
      <c r="AM488" s="33">
        <v>2</v>
      </c>
      <c r="AN488" s="33">
        <v>4</v>
      </c>
      <c r="AO488" s="33">
        <v>4</v>
      </c>
      <c r="AP488" s="33">
        <v>0</v>
      </c>
      <c r="AQ488" s="33">
        <v>2</v>
      </c>
      <c r="AR488" s="33">
        <v>4</v>
      </c>
      <c r="AS488" s="33">
        <v>3</v>
      </c>
      <c r="AT488" s="33">
        <v>1</v>
      </c>
      <c r="AU488" s="43">
        <v>3.8364677565048806E-2</v>
      </c>
      <c r="AV488" s="33">
        <v>0</v>
      </c>
      <c r="AW488" s="33">
        <v>0</v>
      </c>
      <c r="AY488" s="36">
        <v>460</v>
      </c>
      <c r="AZ488" s="33">
        <v>2</v>
      </c>
      <c r="BA488" s="33">
        <v>3</v>
      </c>
      <c r="BB488" s="33">
        <v>1</v>
      </c>
      <c r="BC488" s="33">
        <v>0</v>
      </c>
      <c r="BD488" s="43">
        <v>0.36139389867144694</v>
      </c>
      <c r="BE488" s="33">
        <v>0</v>
      </c>
      <c r="BF488" s="33">
        <v>0</v>
      </c>
      <c r="CE488" s="36">
        <v>454</v>
      </c>
      <c r="CF488" s="33">
        <v>17</v>
      </c>
      <c r="CG488" s="33">
        <v>1</v>
      </c>
      <c r="CH488" s="33">
        <v>3</v>
      </c>
      <c r="CI488" s="33">
        <v>3</v>
      </c>
      <c r="CJ488" s="33">
        <v>0</v>
      </c>
      <c r="CK488" s="33">
        <v>1</v>
      </c>
      <c r="CL488" s="33">
        <v>1</v>
      </c>
      <c r="CM488" s="33">
        <v>2</v>
      </c>
      <c r="CN488" s="33">
        <v>7</v>
      </c>
      <c r="CO488" s="33">
        <v>1</v>
      </c>
      <c r="CP488" s="43">
        <v>0.24695148182548032</v>
      </c>
      <c r="CQ488" s="33">
        <v>0</v>
      </c>
      <c r="CR488" s="33">
        <v>1</v>
      </c>
    </row>
    <row r="489" spans="1:96" ht="15" customHeight="1" x14ac:dyDescent="0.25">
      <c r="A489" s="26">
        <v>487</v>
      </c>
      <c r="B489" s="27">
        <v>20</v>
      </c>
      <c r="C489" s="27">
        <v>0</v>
      </c>
      <c r="D489" s="27">
        <v>1</v>
      </c>
      <c r="E489" s="27">
        <v>959</v>
      </c>
      <c r="F489" s="27">
        <v>2</v>
      </c>
      <c r="G489" s="27">
        <v>1</v>
      </c>
      <c r="H489" s="27">
        <v>3</v>
      </c>
      <c r="I489" s="27">
        <v>1</v>
      </c>
      <c r="J489" s="27">
        <v>1</v>
      </c>
      <c r="K489" s="27">
        <v>657</v>
      </c>
      <c r="L489" s="27">
        <v>4</v>
      </c>
      <c r="M489" s="27">
        <v>0</v>
      </c>
      <c r="N489" s="27">
        <v>83</v>
      </c>
      <c r="O489" s="27">
        <v>2</v>
      </c>
      <c r="P489" s="27">
        <v>1</v>
      </c>
      <c r="Q489" s="27">
        <v>2</v>
      </c>
      <c r="R489" s="27">
        <v>2</v>
      </c>
      <c r="S489" s="27">
        <v>1</v>
      </c>
      <c r="T489" s="27">
        <v>2836</v>
      </c>
      <c r="U489" s="27">
        <v>11757</v>
      </c>
      <c r="V489" s="27">
        <v>1</v>
      </c>
      <c r="W489" s="27">
        <v>0</v>
      </c>
      <c r="X489" s="27">
        <v>13</v>
      </c>
      <c r="Y489" s="27">
        <v>3</v>
      </c>
      <c r="Z489" s="27">
        <v>4</v>
      </c>
      <c r="AA489" s="27">
        <v>80</v>
      </c>
      <c r="AB489" s="27">
        <v>0</v>
      </c>
      <c r="AC489" s="27">
        <v>1</v>
      </c>
      <c r="AD489" s="27">
        <v>0</v>
      </c>
      <c r="AE489" s="27">
        <v>4</v>
      </c>
      <c r="AF489" s="27">
        <v>1</v>
      </c>
      <c r="AG489" s="27">
        <v>0</v>
      </c>
      <c r="AH489" s="27">
        <v>0</v>
      </c>
      <c r="AI489" s="28">
        <v>0</v>
      </c>
      <c r="AK489" s="36">
        <v>456</v>
      </c>
      <c r="AL489" s="33">
        <v>1</v>
      </c>
      <c r="AM489" s="33">
        <v>4</v>
      </c>
      <c r="AN489" s="33">
        <v>3</v>
      </c>
      <c r="AO489" s="33">
        <v>4</v>
      </c>
      <c r="AP489" s="33">
        <v>0</v>
      </c>
      <c r="AQ489" s="33">
        <v>1</v>
      </c>
      <c r="AR489" s="33">
        <v>3</v>
      </c>
      <c r="AS489" s="33">
        <v>6</v>
      </c>
      <c r="AT489" s="33">
        <v>0</v>
      </c>
      <c r="AU489" s="43">
        <v>1.5245721985238202E-2</v>
      </c>
      <c r="AV489" s="33">
        <v>0</v>
      </c>
      <c r="AW489" s="33">
        <v>0</v>
      </c>
      <c r="AY489" s="36">
        <v>461</v>
      </c>
      <c r="AZ489" s="33">
        <v>2</v>
      </c>
      <c r="BA489" s="33">
        <v>3</v>
      </c>
      <c r="BB489" s="33">
        <v>0</v>
      </c>
      <c r="BC489" s="33">
        <v>2</v>
      </c>
      <c r="BD489" s="43">
        <v>4.4052611042036123E-2</v>
      </c>
      <c r="BE489" s="33">
        <v>0</v>
      </c>
      <c r="BF489" s="33">
        <v>0</v>
      </c>
      <c r="CE489" s="36">
        <v>455</v>
      </c>
      <c r="CF489" s="33">
        <v>19</v>
      </c>
      <c r="CG489" s="33">
        <v>2</v>
      </c>
      <c r="CH489" s="33">
        <v>4</v>
      </c>
      <c r="CI489" s="33">
        <v>3</v>
      </c>
      <c r="CJ489" s="33">
        <v>4</v>
      </c>
      <c r="CK489" s="33">
        <v>0</v>
      </c>
      <c r="CL489" s="33">
        <v>2</v>
      </c>
      <c r="CM489" s="33">
        <v>4</v>
      </c>
      <c r="CN489" s="33">
        <v>3</v>
      </c>
      <c r="CO489" s="33">
        <v>1</v>
      </c>
      <c r="CP489" s="43">
        <v>2.9236062683787256E-2</v>
      </c>
      <c r="CQ489" s="33">
        <v>0</v>
      </c>
      <c r="CR489" s="33">
        <v>0</v>
      </c>
    </row>
    <row r="490" spans="1:96" ht="15" customHeight="1" x14ac:dyDescent="0.25">
      <c r="A490" s="26">
        <v>488</v>
      </c>
      <c r="B490" s="27">
        <v>42</v>
      </c>
      <c r="C490" s="27">
        <v>0</v>
      </c>
      <c r="D490" s="27">
        <v>1</v>
      </c>
      <c r="E490" s="27">
        <v>622</v>
      </c>
      <c r="F490" s="27">
        <v>2</v>
      </c>
      <c r="G490" s="27">
        <v>2</v>
      </c>
      <c r="H490" s="27">
        <v>4</v>
      </c>
      <c r="I490" s="27">
        <v>1</v>
      </c>
      <c r="J490" s="27">
        <v>1</v>
      </c>
      <c r="K490" s="27">
        <v>659</v>
      </c>
      <c r="L490" s="27">
        <v>3</v>
      </c>
      <c r="M490" s="27">
        <v>0</v>
      </c>
      <c r="N490" s="27">
        <v>81</v>
      </c>
      <c r="O490" s="27">
        <v>3</v>
      </c>
      <c r="P490" s="27">
        <v>2</v>
      </c>
      <c r="Q490" s="27">
        <v>5</v>
      </c>
      <c r="R490" s="27">
        <v>4</v>
      </c>
      <c r="S490" s="27">
        <v>2</v>
      </c>
      <c r="T490" s="27">
        <v>4089</v>
      </c>
      <c r="U490" s="27">
        <v>5718</v>
      </c>
      <c r="V490" s="27">
        <v>1</v>
      </c>
      <c r="W490" s="27">
        <v>0</v>
      </c>
      <c r="X490" s="27">
        <v>13</v>
      </c>
      <c r="Y490" s="27">
        <v>3</v>
      </c>
      <c r="Z490" s="27">
        <v>2</v>
      </c>
      <c r="AA490" s="27">
        <v>80</v>
      </c>
      <c r="AB490" s="27">
        <v>2</v>
      </c>
      <c r="AC490" s="27">
        <v>10</v>
      </c>
      <c r="AD490" s="27">
        <v>4</v>
      </c>
      <c r="AE490" s="27">
        <v>3</v>
      </c>
      <c r="AF490" s="27">
        <v>10</v>
      </c>
      <c r="AG490" s="27">
        <v>2</v>
      </c>
      <c r="AH490" s="27">
        <v>2</v>
      </c>
      <c r="AI490" s="28">
        <v>2</v>
      </c>
      <c r="AK490" s="36">
        <v>457</v>
      </c>
      <c r="AL490" s="33">
        <v>7</v>
      </c>
      <c r="AM490" s="33">
        <v>3</v>
      </c>
      <c r="AN490" s="33">
        <v>4</v>
      </c>
      <c r="AO490" s="33">
        <v>9</v>
      </c>
      <c r="AP490" s="33">
        <v>0</v>
      </c>
      <c r="AQ490" s="33">
        <v>1</v>
      </c>
      <c r="AR490" s="33">
        <v>2</v>
      </c>
      <c r="AS490" s="33">
        <v>5</v>
      </c>
      <c r="AT490" s="33">
        <v>0</v>
      </c>
      <c r="AU490" s="43">
        <v>4.8239081515911594E-2</v>
      </c>
      <c r="AV490" s="33">
        <v>0</v>
      </c>
      <c r="AW490" s="33">
        <v>0</v>
      </c>
      <c r="AY490" s="36">
        <v>462</v>
      </c>
      <c r="AZ490" s="33">
        <v>2</v>
      </c>
      <c r="BA490" s="33">
        <v>3</v>
      </c>
      <c r="BB490" s="33">
        <v>0</v>
      </c>
      <c r="BC490" s="33">
        <v>0</v>
      </c>
      <c r="BD490" s="43">
        <v>0.11690772887050198</v>
      </c>
      <c r="BE490" s="33">
        <v>0</v>
      </c>
      <c r="BF490" s="33">
        <v>0</v>
      </c>
      <c r="CE490" s="36">
        <v>456</v>
      </c>
      <c r="CF490" s="33">
        <v>1</v>
      </c>
      <c r="CG490" s="33">
        <v>4</v>
      </c>
      <c r="CH490" s="33">
        <v>3</v>
      </c>
      <c r="CI490" s="33">
        <v>3</v>
      </c>
      <c r="CJ490" s="33">
        <v>4</v>
      </c>
      <c r="CK490" s="33">
        <v>0</v>
      </c>
      <c r="CL490" s="33">
        <v>1</v>
      </c>
      <c r="CM490" s="33">
        <v>3</v>
      </c>
      <c r="CN490" s="33">
        <v>6</v>
      </c>
      <c r="CO490" s="33">
        <v>0</v>
      </c>
      <c r="CP490" s="43">
        <v>8.7074127753732581E-3</v>
      </c>
      <c r="CQ490" s="33">
        <v>0</v>
      </c>
      <c r="CR490" s="33">
        <v>0</v>
      </c>
    </row>
    <row r="491" spans="1:96" ht="15" customHeight="1" x14ac:dyDescent="0.25">
      <c r="A491" s="26">
        <v>489</v>
      </c>
      <c r="B491" s="27">
        <v>43</v>
      </c>
      <c r="C491" s="27">
        <v>0</v>
      </c>
      <c r="D491" s="27">
        <v>1</v>
      </c>
      <c r="E491" s="27">
        <v>782</v>
      </c>
      <c r="F491" s="27">
        <v>2</v>
      </c>
      <c r="G491" s="27">
        <v>6</v>
      </c>
      <c r="H491" s="27">
        <v>4</v>
      </c>
      <c r="I491" s="27">
        <v>6</v>
      </c>
      <c r="J491" s="27">
        <v>1</v>
      </c>
      <c r="K491" s="27">
        <v>661</v>
      </c>
      <c r="L491" s="27">
        <v>2</v>
      </c>
      <c r="M491" s="27">
        <v>1</v>
      </c>
      <c r="N491" s="27">
        <v>50</v>
      </c>
      <c r="O491" s="27">
        <v>2</v>
      </c>
      <c r="P491" s="27">
        <v>4</v>
      </c>
      <c r="Q491" s="27">
        <v>8</v>
      </c>
      <c r="R491" s="27">
        <v>4</v>
      </c>
      <c r="S491" s="27">
        <v>3</v>
      </c>
      <c r="T491" s="27">
        <v>16627</v>
      </c>
      <c r="U491" s="27">
        <v>2671</v>
      </c>
      <c r="V491" s="27">
        <v>4</v>
      </c>
      <c r="W491" s="27">
        <v>1</v>
      </c>
      <c r="X491" s="27">
        <v>14</v>
      </c>
      <c r="Y491" s="27">
        <v>3</v>
      </c>
      <c r="Z491" s="27">
        <v>3</v>
      </c>
      <c r="AA491" s="27">
        <v>80</v>
      </c>
      <c r="AB491" s="27">
        <v>1</v>
      </c>
      <c r="AC491" s="27">
        <v>21</v>
      </c>
      <c r="AD491" s="27">
        <v>3</v>
      </c>
      <c r="AE491" s="27">
        <v>2</v>
      </c>
      <c r="AF491" s="27">
        <v>1</v>
      </c>
      <c r="AG491" s="27">
        <v>0</v>
      </c>
      <c r="AH491" s="27">
        <v>0</v>
      </c>
      <c r="AI491" s="28">
        <v>0</v>
      </c>
      <c r="AK491" s="36">
        <v>458</v>
      </c>
      <c r="AL491" s="33">
        <v>5</v>
      </c>
      <c r="AM491" s="33">
        <v>1</v>
      </c>
      <c r="AN491" s="33">
        <v>2</v>
      </c>
      <c r="AO491" s="33">
        <v>1</v>
      </c>
      <c r="AP491" s="33">
        <v>1</v>
      </c>
      <c r="AQ491" s="33">
        <v>0</v>
      </c>
      <c r="AR491" s="33">
        <v>3</v>
      </c>
      <c r="AS491" s="33">
        <v>0</v>
      </c>
      <c r="AT491" s="33">
        <v>0</v>
      </c>
      <c r="AU491" s="43">
        <v>0.5340230589019247</v>
      </c>
      <c r="AV491" s="33">
        <v>1</v>
      </c>
      <c r="AW491" s="33">
        <v>1</v>
      </c>
      <c r="AY491" s="36">
        <v>463</v>
      </c>
      <c r="AZ491" s="33">
        <v>2</v>
      </c>
      <c r="BA491" s="33">
        <v>4</v>
      </c>
      <c r="BB491" s="33">
        <v>0</v>
      </c>
      <c r="BC491" s="33">
        <v>0</v>
      </c>
      <c r="BD491" s="43">
        <v>8.9935487507215722E-2</v>
      </c>
      <c r="BE491" s="33">
        <v>0</v>
      </c>
      <c r="BF491" s="33">
        <v>0</v>
      </c>
      <c r="CE491" s="36">
        <v>457</v>
      </c>
      <c r="CF491" s="33">
        <v>7</v>
      </c>
      <c r="CG491" s="33">
        <v>3</v>
      </c>
      <c r="CH491" s="33">
        <v>4</v>
      </c>
      <c r="CI491" s="33">
        <v>3</v>
      </c>
      <c r="CJ491" s="33">
        <v>9</v>
      </c>
      <c r="CK491" s="33">
        <v>0</v>
      </c>
      <c r="CL491" s="33">
        <v>1</v>
      </c>
      <c r="CM491" s="33">
        <v>2</v>
      </c>
      <c r="CN491" s="33">
        <v>5</v>
      </c>
      <c r="CO491" s="33">
        <v>0</v>
      </c>
      <c r="CP491" s="43">
        <v>2.7758571130638166E-2</v>
      </c>
      <c r="CQ491" s="33">
        <v>0</v>
      </c>
      <c r="CR491" s="33">
        <v>0</v>
      </c>
    </row>
    <row r="492" spans="1:96" ht="15" customHeight="1" x14ac:dyDescent="0.25">
      <c r="A492" s="26">
        <v>490</v>
      </c>
      <c r="B492" s="27">
        <v>38</v>
      </c>
      <c r="C492" s="27">
        <v>0</v>
      </c>
      <c r="D492" s="27">
        <v>1</v>
      </c>
      <c r="E492" s="27">
        <v>362</v>
      </c>
      <c r="F492" s="27">
        <v>2</v>
      </c>
      <c r="G492" s="27">
        <v>1</v>
      </c>
      <c r="H492" s="27">
        <v>1</v>
      </c>
      <c r="I492" s="27">
        <v>1</v>
      </c>
      <c r="J492" s="27">
        <v>1</v>
      </c>
      <c r="K492" s="27">
        <v>662</v>
      </c>
      <c r="L492" s="27">
        <v>3</v>
      </c>
      <c r="M492" s="27">
        <v>0</v>
      </c>
      <c r="N492" s="27">
        <v>43</v>
      </c>
      <c r="O492" s="27">
        <v>3</v>
      </c>
      <c r="P492" s="27">
        <v>1</v>
      </c>
      <c r="Q492" s="27">
        <v>2</v>
      </c>
      <c r="R492" s="27">
        <v>1</v>
      </c>
      <c r="S492" s="27">
        <v>1</v>
      </c>
      <c r="T492" s="27">
        <v>2619</v>
      </c>
      <c r="U492" s="27">
        <v>14561</v>
      </c>
      <c r="V492" s="27">
        <v>3</v>
      </c>
      <c r="W492" s="27">
        <v>0</v>
      </c>
      <c r="X492" s="27">
        <v>17</v>
      </c>
      <c r="Y492" s="27">
        <v>3</v>
      </c>
      <c r="Z492" s="27">
        <v>4</v>
      </c>
      <c r="AA492" s="27">
        <v>80</v>
      </c>
      <c r="AB492" s="27">
        <v>0</v>
      </c>
      <c r="AC492" s="27">
        <v>8</v>
      </c>
      <c r="AD492" s="27">
        <v>3</v>
      </c>
      <c r="AE492" s="27">
        <v>2</v>
      </c>
      <c r="AF492" s="27">
        <v>0</v>
      </c>
      <c r="AG492" s="27">
        <v>0</v>
      </c>
      <c r="AH492" s="27">
        <v>0</v>
      </c>
      <c r="AI492" s="28">
        <v>0</v>
      </c>
      <c r="AK492" s="36">
        <v>459</v>
      </c>
      <c r="AL492" s="33">
        <v>28</v>
      </c>
      <c r="AM492" s="33">
        <v>3</v>
      </c>
      <c r="AN492" s="33">
        <v>1</v>
      </c>
      <c r="AO492" s="33">
        <v>3</v>
      </c>
      <c r="AP492" s="33">
        <v>0</v>
      </c>
      <c r="AQ492" s="33">
        <v>1</v>
      </c>
      <c r="AR492" s="33">
        <v>3</v>
      </c>
      <c r="AS492" s="33">
        <v>1</v>
      </c>
      <c r="AT492" s="33">
        <v>0</v>
      </c>
      <c r="AU492" s="43">
        <v>0.13613835844503847</v>
      </c>
      <c r="AV492" s="33">
        <v>0</v>
      </c>
      <c r="AW492" s="33">
        <v>0</v>
      </c>
      <c r="AY492" s="36">
        <v>464</v>
      </c>
      <c r="AZ492" s="33">
        <v>1</v>
      </c>
      <c r="BA492" s="33">
        <v>4</v>
      </c>
      <c r="BB492" s="33">
        <v>1</v>
      </c>
      <c r="BC492" s="33">
        <v>0</v>
      </c>
      <c r="BD492" s="43">
        <v>0.42475472169672474</v>
      </c>
      <c r="BE492" s="33">
        <v>0</v>
      </c>
      <c r="BF492" s="33">
        <v>1</v>
      </c>
      <c r="CE492" s="36">
        <v>458</v>
      </c>
      <c r="CF492" s="33">
        <v>5</v>
      </c>
      <c r="CG492" s="33">
        <v>1</v>
      </c>
      <c r="CH492" s="33">
        <v>2</v>
      </c>
      <c r="CI492" s="33">
        <v>1</v>
      </c>
      <c r="CJ492" s="33">
        <v>1</v>
      </c>
      <c r="CK492" s="33">
        <v>1</v>
      </c>
      <c r="CL492" s="33">
        <v>0</v>
      </c>
      <c r="CM492" s="33">
        <v>3</v>
      </c>
      <c r="CN492" s="33">
        <v>0</v>
      </c>
      <c r="CO492" s="33">
        <v>0</v>
      </c>
      <c r="CP492" s="43">
        <v>0.58802585641914507</v>
      </c>
      <c r="CQ492" s="33">
        <v>1</v>
      </c>
      <c r="CR492" s="33">
        <v>1</v>
      </c>
    </row>
    <row r="493" spans="1:96" ht="15" customHeight="1" x14ac:dyDescent="0.25">
      <c r="A493" s="26">
        <v>491</v>
      </c>
      <c r="B493" s="27">
        <v>43</v>
      </c>
      <c r="C493" s="27">
        <v>0</v>
      </c>
      <c r="D493" s="27">
        <v>2</v>
      </c>
      <c r="E493" s="27">
        <v>1001</v>
      </c>
      <c r="F493" s="27">
        <v>2</v>
      </c>
      <c r="G493" s="27">
        <v>9</v>
      </c>
      <c r="H493" s="27">
        <v>5</v>
      </c>
      <c r="I493" s="27">
        <v>3</v>
      </c>
      <c r="J493" s="27">
        <v>1</v>
      </c>
      <c r="K493" s="27">
        <v>663</v>
      </c>
      <c r="L493" s="27">
        <v>4</v>
      </c>
      <c r="M493" s="27">
        <v>1</v>
      </c>
      <c r="N493" s="27">
        <v>72</v>
      </c>
      <c r="O493" s="27">
        <v>3</v>
      </c>
      <c r="P493" s="27">
        <v>2</v>
      </c>
      <c r="Q493" s="27">
        <v>3</v>
      </c>
      <c r="R493" s="27">
        <v>3</v>
      </c>
      <c r="S493" s="27">
        <v>3</v>
      </c>
      <c r="T493" s="27">
        <v>5679</v>
      </c>
      <c r="U493" s="27">
        <v>19627</v>
      </c>
      <c r="V493" s="27">
        <v>3</v>
      </c>
      <c r="W493" s="27">
        <v>1</v>
      </c>
      <c r="X493" s="27">
        <v>13</v>
      </c>
      <c r="Y493" s="27">
        <v>3</v>
      </c>
      <c r="Z493" s="27">
        <v>2</v>
      </c>
      <c r="AA493" s="27">
        <v>80</v>
      </c>
      <c r="AB493" s="27">
        <v>1</v>
      </c>
      <c r="AC493" s="27">
        <v>10</v>
      </c>
      <c r="AD493" s="27">
        <v>3</v>
      </c>
      <c r="AE493" s="27">
        <v>3</v>
      </c>
      <c r="AF493" s="27">
        <v>8</v>
      </c>
      <c r="AG493" s="27">
        <v>7</v>
      </c>
      <c r="AH493" s="27">
        <v>4</v>
      </c>
      <c r="AI493" s="28">
        <v>7</v>
      </c>
      <c r="AK493" s="36">
        <v>460</v>
      </c>
      <c r="AL493" s="33">
        <v>2</v>
      </c>
      <c r="AM493" s="33">
        <v>2</v>
      </c>
      <c r="AN493" s="33">
        <v>3</v>
      </c>
      <c r="AO493" s="33">
        <v>2</v>
      </c>
      <c r="AP493" s="33">
        <v>1</v>
      </c>
      <c r="AQ493" s="33">
        <v>0</v>
      </c>
      <c r="AR493" s="33">
        <v>3</v>
      </c>
      <c r="AS493" s="33">
        <v>8</v>
      </c>
      <c r="AT493" s="33">
        <v>0</v>
      </c>
      <c r="AU493" s="43">
        <v>0.21398492755133849</v>
      </c>
      <c r="AV493" s="33">
        <v>0</v>
      </c>
      <c r="AW493" s="33">
        <v>0</v>
      </c>
      <c r="AY493" s="36">
        <v>465</v>
      </c>
      <c r="AZ493" s="33">
        <v>3</v>
      </c>
      <c r="BA493" s="33">
        <v>4</v>
      </c>
      <c r="BB493" s="33">
        <v>0</v>
      </c>
      <c r="BC493" s="33">
        <v>0</v>
      </c>
      <c r="BD493" s="43">
        <v>5.3512841598087578E-2</v>
      </c>
      <c r="BE493" s="33">
        <v>0</v>
      </c>
      <c r="BF493" s="33">
        <v>0</v>
      </c>
      <c r="CE493" s="36">
        <v>459</v>
      </c>
      <c r="CF493" s="33">
        <v>28</v>
      </c>
      <c r="CG493" s="33">
        <v>3</v>
      </c>
      <c r="CH493" s="33">
        <v>1</v>
      </c>
      <c r="CI493" s="33">
        <v>3</v>
      </c>
      <c r="CJ493" s="33">
        <v>3</v>
      </c>
      <c r="CK493" s="33">
        <v>0</v>
      </c>
      <c r="CL493" s="33">
        <v>1</v>
      </c>
      <c r="CM493" s="33">
        <v>3</v>
      </c>
      <c r="CN493" s="33">
        <v>1</v>
      </c>
      <c r="CO493" s="33">
        <v>0</v>
      </c>
      <c r="CP493" s="43">
        <v>8.3431987154290913E-2</v>
      </c>
      <c r="CQ493" s="33">
        <v>0</v>
      </c>
      <c r="CR493" s="33">
        <v>0</v>
      </c>
    </row>
    <row r="494" spans="1:96" ht="15" customHeight="1" x14ac:dyDescent="0.25">
      <c r="A494" s="26">
        <v>492</v>
      </c>
      <c r="B494" s="27">
        <v>48</v>
      </c>
      <c r="C494" s="27">
        <v>0</v>
      </c>
      <c r="D494" s="27">
        <v>1</v>
      </c>
      <c r="E494" s="27">
        <v>1236</v>
      </c>
      <c r="F494" s="27">
        <v>2</v>
      </c>
      <c r="G494" s="27">
        <v>1</v>
      </c>
      <c r="H494" s="27">
        <v>4</v>
      </c>
      <c r="I494" s="27">
        <v>1</v>
      </c>
      <c r="J494" s="27">
        <v>1</v>
      </c>
      <c r="K494" s="27">
        <v>664</v>
      </c>
      <c r="L494" s="27">
        <v>4</v>
      </c>
      <c r="M494" s="27">
        <v>0</v>
      </c>
      <c r="N494" s="27">
        <v>40</v>
      </c>
      <c r="O494" s="27">
        <v>2</v>
      </c>
      <c r="P494" s="27">
        <v>4</v>
      </c>
      <c r="Q494" s="27">
        <v>6</v>
      </c>
      <c r="R494" s="27">
        <v>1</v>
      </c>
      <c r="S494" s="27">
        <v>2</v>
      </c>
      <c r="T494" s="27">
        <v>15402</v>
      </c>
      <c r="U494" s="27">
        <v>17997</v>
      </c>
      <c r="V494" s="27">
        <v>7</v>
      </c>
      <c r="W494" s="27">
        <v>0</v>
      </c>
      <c r="X494" s="27">
        <v>11</v>
      </c>
      <c r="Y494" s="27">
        <v>3</v>
      </c>
      <c r="Z494" s="27">
        <v>1</v>
      </c>
      <c r="AA494" s="27">
        <v>80</v>
      </c>
      <c r="AB494" s="27">
        <v>1</v>
      </c>
      <c r="AC494" s="27">
        <v>21</v>
      </c>
      <c r="AD494" s="27">
        <v>3</v>
      </c>
      <c r="AE494" s="27">
        <v>1</v>
      </c>
      <c r="AF494" s="27">
        <v>3</v>
      </c>
      <c r="AG494" s="27">
        <v>2</v>
      </c>
      <c r="AH494" s="27">
        <v>0</v>
      </c>
      <c r="AI494" s="28">
        <v>2</v>
      </c>
      <c r="AK494" s="36">
        <v>461</v>
      </c>
      <c r="AL494" s="33">
        <v>29</v>
      </c>
      <c r="AM494" s="33">
        <v>2</v>
      </c>
      <c r="AN494" s="33">
        <v>3</v>
      </c>
      <c r="AO494" s="33">
        <v>5</v>
      </c>
      <c r="AP494" s="33">
        <v>0</v>
      </c>
      <c r="AQ494" s="33">
        <v>2</v>
      </c>
      <c r="AR494" s="33">
        <v>3</v>
      </c>
      <c r="AS494" s="33">
        <v>0</v>
      </c>
      <c r="AT494" s="33">
        <v>0</v>
      </c>
      <c r="AU494" s="43">
        <v>0.10214461136170977</v>
      </c>
      <c r="AV494" s="33">
        <v>0</v>
      </c>
      <c r="AW494" s="33">
        <v>0</v>
      </c>
      <c r="AY494" s="36">
        <v>466</v>
      </c>
      <c r="AZ494" s="33">
        <v>3</v>
      </c>
      <c r="BA494" s="33">
        <v>3</v>
      </c>
      <c r="BB494" s="33">
        <v>0</v>
      </c>
      <c r="BC494" s="33">
        <v>0</v>
      </c>
      <c r="BD494" s="43">
        <v>7.0406776741937793E-2</v>
      </c>
      <c r="BE494" s="33">
        <v>0</v>
      </c>
      <c r="BF494" s="33">
        <v>0</v>
      </c>
      <c r="CE494" s="36">
        <v>460</v>
      </c>
      <c r="CF494" s="33">
        <v>2</v>
      </c>
      <c r="CG494" s="33">
        <v>2</v>
      </c>
      <c r="CH494" s="33">
        <v>3</v>
      </c>
      <c r="CI494" s="33">
        <v>1</v>
      </c>
      <c r="CJ494" s="33">
        <v>2</v>
      </c>
      <c r="CK494" s="33">
        <v>1</v>
      </c>
      <c r="CL494" s="33">
        <v>0</v>
      </c>
      <c r="CM494" s="33">
        <v>3</v>
      </c>
      <c r="CN494" s="33">
        <v>8</v>
      </c>
      <c r="CO494" s="33">
        <v>0</v>
      </c>
      <c r="CP494" s="43">
        <v>0.25157501894150075</v>
      </c>
      <c r="CQ494" s="33">
        <v>0</v>
      </c>
      <c r="CR494" s="33">
        <v>0</v>
      </c>
    </row>
    <row r="495" spans="1:96" ht="15" customHeight="1" x14ac:dyDescent="0.25">
      <c r="A495" s="26">
        <v>493</v>
      </c>
      <c r="B495" s="27">
        <v>44</v>
      </c>
      <c r="C495" s="27">
        <v>0</v>
      </c>
      <c r="D495" s="27">
        <v>1</v>
      </c>
      <c r="E495" s="27">
        <v>1112</v>
      </c>
      <c r="F495" s="27">
        <v>3</v>
      </c>
      <c r="G495" s="27">
        <v>1</v>
      </c>
      <c r="H495" s="27">
        <v>4</v>
      </c>
      <c r="I495" s="27">
        <v>1</v>
      </c>
      <c r="J495" s="27">
        <v>1</v>
      </c>
      <c r="K495" s="27">
        <v>665</v>
      </c>
      <c r="L495" s="27">
        <v>1</v>
      </c>
      <c r="M495" s="27">
        <v>0</v>
      </c>
      <c r="N495" s="27">
        <v>50</v>
      </c>
      <c r="O495" s="27">
        <v>2</v>
      </c>
      <c r="P495" s="27">
        <v>2</v>
      </c>
      <c r="Q495" s="27">
        <v>9</v>
      </c>
      <c r="R495" s="27">
        <v>3</v>
      </c>
      <c r="S495" s="27">
        <v>1</v>
      </c>
      <c r="T495" s="27">
        <v>5985</v>
      </c>
      <c r="U495" s="27">
        <v>26894</v>
      </c>
      <c r="V495" s="27">
        <v>4</v>
      </c>
      <c r="W495" s="27">
        <v>0</v>
      </c>
      <c r="X495" s="27">
        <v>11</v>
      </c>
      <c r="Y495" s="27">
        <v>3</v>
      </c>
      <c r="Z495" s="27">
        <v>2</v>
      </c>
      <c r="AA495" s="27">
        <v>80</v>
      </c>
      <c r="AB495" s="27">
        <v>0</v>
      </c>
      <c r="AC495" s="27">
        <v>10</v>
      </c>
      <c r="AD495" s="27">
        <v>1</v>
      </c>
      <c r="AE495" s="27">
        <v>4</v>
      </c>
      <c r="AF495" s="27">
        <v>2</v>
      </c>
      <c r="AG495" s="27">
        <v>2</v>
      </c>
      <c r="AH495" s="27">
        <v>0</v>
      </c>
      <c r="AI495" s="28">
        <v>2</v>
      </c>
      <c r="AK495" s="36">
        <v>462</v>
      </c>
      <c r="AL495" s="33">
        <v>1</v>
      </c>
      <c r="AM495" s="33">
        <v>2</v>
      </c>
      <c r="AN495" s="33">
        <v>3</v>
      </c>
      <c r="AO495" s="33">
        <v>1</v>
      </c>
      <c r="AP495" s="33">
        <v>0</v>
      </c>
      <c r="AQ495" s="33">
        <v>0</v>
      </c>
      <c r="AR495" s="33">
        <v>3</v>
      </c>
      <c r="AS495" s="33">
        <v>5</v>
      </c>
      <c r="AT495" s="33">
        <v>0</v>
      </c>
      <c r="AU495" s="43">
        <v>6.4304426868020029E-2</v>
      </c>
      <c r="AV495" s="33">
        <v>0</v>
      </c>
      <c r="AW495" s="33">
        <v>0</v>
      </c>
      <c r="AY495" s="36">
        <v>467</v>
      </c>
      <c r="AZ495" s="33">
        <v>4</v>
      </c>
      <c r="BA495" s="33">
        <v>1</v>
      </c>
      <c r="BB495" s="33">
        <v>0</v>
      </c>
      <c r="BC495" s="33">
        <v>1</v>
      </c>
      <c r="BD495" s="43">
        <v>4.3866321508597754E-2</v>
      </c>
      <c r="BE495" s="33">
        <v>0</v>
      </c>
      <c r="BF495" s="33">
        <v>0</v>
      </c>
      <c r="CE495" s="36">
        <v>461</v>
      </c>
      <c r="CF495" s="33">
        <v>29</v>
      </c>
      <c r="CG495" s="33">
        <v>2</v>
      </c>
      <c r="CH495" s="33">
        <v>3</v>
      </c>
      <c r="CI495" s="33">
        <v>3</v>
      </c>
      <c r="CJ495" s="33">
        <v>5</v>
      </c>
      <c r="CK495" s="33">
        <v>0</v>
      </c>
      <c r="CL495" s="33">
        <v>2</v>
      </c>
      <c r="CM495" s="33">
        <v>3</v>
      </c>
      <c r="CN495" s="33">
        <v>0</v>
      </c>
      <c r="CO495" s="33">
        <v>0</v>
      </c>
      <c r="CP495" s="43">
        <v>8.1414385904987563E-2</v>
      </c>
      <c r="CQ495" s="33">
        <v>0</v>
      </c>
      <c r="CR495" s="33">
        <v>0</v>
      </c>
    </row>
    <row r="496" spans="1:96" ht="15" customHeight="1" x14ac:dyDescent="0.25">
      <c r="A496" s="26">
        <v>494</v>
      </c>
      <c r="B496" s="27">
        <v>34</v>
      </c>
      <c r="C496" s="27">
        <v>0</v>
      </c>
      <c r="D496" s="27">
        <v>1</v>
      </c>
      <c r="E496" s="27">
        <v>204</v>
      </c>
      <c r="F496" s="27">
        <v>1</v>
      </c>
      <c r="G496" s="27">
        <v>14</v>
      </c>
      <c r="H496" s="27">
        <v>3</v>
      </c>
      <c r="I496" s="27">
        <v>5</v>
      </c>
      <c r="J496" s="27">
        <v>1</v>
      </c>
      <c r="K496" s="27">
        <v>666</v>
      </c>
      <c r="L496" s="27">
        <v>3</v>
      </c>
      <c r="M496" s="27">
        <v>0</v>
      </c>
      <c r="N496" s="27">
        <v>31</v>
      </c>
      <c r="O496" s="27">
        <v>3</v>
      </c>
      <c r="P496" s="27">
        <v>1</v>
      </c>
      <c r="Q496" s="27">
        <v>7</v>
      </c>
      <c r="R496" s="27">
        <v>3</v>
      </c>
      <c r="S496" s="27">
        <v>3</v>
      </c>
      <c r="T496" s="27">
        <v>2579</v>
      </c>
      <c r="U496" s="27">
        <v>2912</v>
      </c>
      <c r="V496" s="27">
        <v>1</v>
      </c>
      <c r="W496" s="27">
        <v>1</v>
      </c>
      <c r="X496" s="27">
        <v>18</v>
      </c>
      <c r="Y496" s="27">
        <v>3</v>
      </c>
      <c r="Z496" s="27">
        <v>4</v>
      </c>
      <c r="AA496" s="27">
        <v>80</v>
      </c>
      <c r="AB496" s="27">
        <v>2</v>
      </c>
      <c r="AC496" s="27">
        <v>8</v>
      </c>
      <c r="AD496" s="27">
        <v>3</v>
      </c>
      <c r="AE496" s="27">
        <v>3</v>
      </c>
      <c r="AF496" s="27">
        <v>8</v>
      </c>
      <c r="AG496" s="27">
        <v>2</v>
      </c>
      <c r="AH496" s="27">
        <v>0</v>
      </c>
      <c r="AI496" s="28">
        <v>6</v>
      </c>
      <c r="AK496" s="36">
        <v>463</v>
      </c>
      <c r="AL496" s="33">
        <v>21</v>
      </c>
      <c r="AM496" s="33">
        <v>2</v>
      </c>
      <c r="AN496" s="33">
        <v>4</v>
      </c>
      <c r="AO496" s="33">
        <v>1</v>
      </c>
      <c r="AP496" s="33">
        <v>0</v>
      </c>
      <c r="AQ496" s="33">
        <v>0</v>
      </c>
      <c r="AR496" s="33">
        <v>3</v>
      </c>
      <c r="AS496" s="33">
        <v>10</v>
      </c>
      <c r="AT496" s="33">
        <v>5</v>
      </c>
      <c r="AU496" s="43">
        <v>0.10999981498691785</v>
      </c>
      <c r="AV496" s="33">
        <v>0</v>
      </c>
      <c r="AW496" s="33">
        <v>0</v>
      </c>
      <c r="AY496" s="36">
        <v>468</v>
      </c>
      <c r="AZ496" s="33">
        <v>3</v>
      </c>
      <c r="BA496" s="33">
        <v>2</v>
      </c>
      <c r="BB496" s="33">
        <v>0</v>
      </c>
      <c r="BC496" s="33">
        <v>1</v>
      </c>
      <c r="BD496" s="43">
        <v>5.6480788250011953E-2</v>
      </c>
      <c r="BE496" s="33">
        <v>0</v>
      </c>
      <c r="BF496" s="33">
        <v>0</v>
      </c>
      <c r="CE496" s="36">
        <v>462</v>
      </c>
      <c r="CF496" s="33">
        <v>1</v>
      </c>
      <c r="CG496" s="33">
        <v>2</v>
      </c>
      <c r="CH496" s="33">
        <v>3</v>
      </c>
      <c r="CI496" s="33">
        <v>1</v>
      </c>
      <c r="CJ496" s="33">
        <v>1</v>
      </c>
      <c r="CK496" s="33">
        <v>0</v>
      </c>
      <c r="CL496" s="33">
        <v>0</v>
      </c>
      <c r="CM496" s="33">
        <v>3</v>
      </c>
      <c r="CN496" s="33">
        <v>5</v>
      </c>
      <c r="CO496" s="33">
        <v>0</v>
      </c>
      <c r="CP496" s="43">
        <v>7.5386148855033946E-2</v>
      </c>
      <c r="CQ496" s="33">
        <v>0</v>
      </c>
      <c r="CR496" s="33">
        <v>0</v>
      </c>
    </row>
    <row r="497" spans="1:96" ht="15" customHeight="1" x14ac:dyDescent="0.25">
      <c r="A497" s="26">
        <v>495</v>
      </c>
      <c r="B497" s="27">
        <v>27</v>
      </c>
      <c r="C497" s="27">
        <v>1</v>
      </c>
      <c r="D497" s="27">
        <v>1</v>
      </c>
      <c r="E497" s="27">
        <v>1420</v>
      </c>
      <c r="F497" s="27">
        <v>1</v>
      </c>
      <c r="G497" s="27">
        <v>2</v>
      </c>
      <c r="H497" s="27">
        <v>1</v>
      </c>
      <c r="I497" s="27">
        <v>4</v>
      </c>
      <c r="J497" s="27">
        <v>1</v>
      </c>
      <c r="K497" s="27">
        <v>667</v>
      </c>
      <c r="L497" s="27">
        <v>3</v>
      </c>
      <c r="M497" s="27">
        <v>1</v>
      </c>
      <c r="N497" s="27">
        <v>85</v>
      </c>
      <c r="O497" s="27">
        <v>3</v>
      </c>
      <c r="P497" s="27">
        <v>1</v>
      </c>
      <c r="Q497" s="27">
        <v>7</v>
      </c>
      <c r="R497" s="27">
        <v>1</v>
      </c>
      <c r="S497" s="27">
        <v>3</v>
      </c>
      <c r="T497" s="27">
        <v>3041</v>
      </c>
      <c r="U497" s="27">
        <v>16346</v>
      </c>
      <c r="V497" s="27">
        <v>0</v>
      </c>
      <c r="W497" s="27">
        <v>0</v>
      </c>
      <c r="X497" s="27">
        <v>11</v>
      </c>
      <c r="Y497" s="27">
        <v>3</v>
      </c>
      <c r="Z497" s="27">
        <v>2</v>
      </c>
      <c r="AA497" s="27">
        <v>80</v>
      </c>
      <c r="AB497" s="27">
        <v>1</v>
      </c>
      <c r="AC497" s="27">
        <v>5</v>
      </c>
      <c r="AD497" s="27">
        <v>3</v>
      </c>
      <c r="AE497" s="27">
        <v>3</v>
      </c>
      <c r="AF497" s="27">
        <v>4</v>
      </c>
      <c r="AG497" s="27">
        <v>3</v>
      </c>
      <c r="AH497" s="27">
        <v>0</v>
      </c>
      <c r="AI497" s="28">
        <v>2</v>
      </c>
      <c r="AK497" s="36">
        <v>464</v>
      </c>
      <c r="AL497" s="33">
        <v>24</v>
      </c>
      <c r="AM497" s="33">
        <v>1</v>
      </c>
      <c r="AN497" s="33">
        <v>4</v>
      </c>
      <c r="AO497" s="33">
        <v>1</v>
      </c>
      <c r="AP497" s="33">
        <v>1</v>
      </c>
      <c r="AQ497" s="33">
        <v>0</v>
      </c>
      <c r="AR497" s="33">
        <v>1</v>
      </c>
      <c r="AS497" s="33">
        <v>1</v>
      </c>
      <c r="AT497" s="33">
        <v>0</v>
      </c>
      <c r="AU497" s="43">
        <v>0.64205777089908489</v>
      </c>
      <c r="AV497" s="33">
        <v>1</v>
      </c>
      <c r="AW497" s="33">
        <v>1</v>
      </c>
      <c r="AY497" s="36">
        <v>469</v>
      </c>
      <c r="AZ497" s="33">
        <v>2</v>
      </c>
      <c r="BA497" s="33">
        <v>1</v>
      </c>
      <c r="BB497" s="33">
        <v>1</v>
      </c>
      <c r="BC497" s="33">
        <v>2</v>
      </c>
      <c r="BD497" s="43">
        <v>0.26118153491158147</v>
      </c>
      <c r="BE497" s="33">
        <v>0</v>
      </c>
      <c r="BF497" s="33">
        <v>0</v>
      </c>
      <c r="CE497" s="36">
        <v>463</v>
      </c>
      <c r="CF497" s="33">
        <v>21</v>
      </c>
      <c r="CG497" s="33">
        <v>2</v>
      </c>
      <c r="CH497" s="33">
        <v>4</v>
      </c>
      <c r="CI497" s="33">
        <v>1</v>
      </c>
      <c r="CJ497" s="33">
        <v>1</v>
      </c>
      <c r="CK497" s="33">
        <v>0</v>
      </c>
      <c r="CL497" s="33">
        <v>0</v>
      </c>
      <c r="CM497" s="33">
        <v>3</v>
      </c>
      <c r="CN497" s="33">
        <v>10</v>
      </c>
      <c r="CO497" s="33">
        <v>5</v>
      </c>
      <c r="CP497" s="43">
        <v>0.12653147263219405</v>
      </c>
      <c r="CQ497" s="33">
        <v>0</v>
      </c>
      <c r="CR497" s="33">
        <v>0</v>
      </c>
    </row>
    <row r="498" spans="1:96" ht="15" customHeight="1" x14ac:dyDescent="0.25">
      <c r="A498" s="26">
        <v>496</v>
      </c>
      <c r="B498" s="27">
        <v>21</v>
      </c>
      <c r="C498" s="27">
        <v>0</v>
      </c>
      <c r="D498" s="27">
        <v>1</v>
      </c>
      <c r="E498" s="27">
        <v>1343</v>
      </c>
      <c r="F498" s="27">
        <v>1</v>
      </c>
      <c r="G498" s="27">
        <v>22</v>
      </c>
      <c r="H498" s="27">
        <v>1</v>
      </c>
      <c r="I498" s="27">
        <v>5</v>
      </c>
      <c r="J498" s="27">
        <v>1</v>
      </c>
      <c r="K498" s="27">
        <v>669</v>
      </c>
      <c r="L498" s="27">
        <v>3</v>
      </c>
      <c r="M498" s="27">
        <v>1</v>
      </c>
      <c r="N498" s="27">
        <v>49</v>
      </c>
      <c r="O498" s="27">
        <v>3</v>
      </c>
      <c r="P498" s="27">
        <v>1</v>
      </c>
      <c r="Q498" s="27">
        <v>7</v>
      </c>
      <c r="R498" s="27">
        <v>3</v>
      </c>
      <c r="S498" s="27">
        <v>1</v>
      </c>
      <c r="T498" s="27">
        <v>3447</v>
      </c>
      <c r="U498" s="27">
        <v>24444</v>
      </c>
      <c r="V498" s="27">
        <v>1</v>
      </c>
      <c r="W498" s="27">
        <v>0</v>
      </c>
      <c r="X498" s="27">
        <v>11</v>
      </c>
      <c r="Y498" s="27">
        <v>3</v>
      </c>
      <c r="Z498" s="27">
        <v>3</v>
      </c>
      <c r="AA498" s="27">
        <v>80</v>
      </c>
      <c r="AB498" s="27">
        <v>0</v>
      </c>
      <c r="AC498" s="27">
        <v>3</v>
      </c>
      <c r="AD498" s="27">
        <v>2</v>
      </c>
      <c r="AE498" s="27">
        <v>3</v>
      </c>
      <c r="AF498" s="27">
        <v>3</v>
      </c>
      <c r="AG498" s="27">
        <v>2</v>
      </c>
      <c r="AH498" s="27">
        <v>1</v>
      </c>
      <c r="AI498" s="28">
        <v>2</v>
      </c>
      <c r="AK498" s="36">
        <v>465</v>
      </c>
      <c r="AL498" s="33">
        <v>1</v>
      </c>
      <c r="AM498" s="33">
        <v>3</v>
      </c>
      <c r="AN498" s="33">
        <v>4</v>
      </c>
      <c r="AO498" s="33">
        <v>4</v>
      </c>
      <c r="AP498" s="33">
        <v>0</v>
      </c>
      <c r="AQ498" s="33">
        <v>0</v>
      </c>
      <c r="AR498" s="33">
        <v>4</v>
      </c>
      <c r="AS498" s="33">
        <v>6</v>
      </c>
      <c r="AT498" s="33">
        <v>1</v>
      </c>
      <c r="AU498" s="43">
        <v>3.045425429746295E-2</v>
      </c>
      <c r="AV498" s="33">
        <v>0</v>
      </c>
      <c r="AW498" s="33">
        <v>0</v>
      </c>
      <c r="AY498" s="36">
        <v>470</v>
      </c>
      <c r="AZ498" s="33">
        <v>2</v>
      </c>
      <c r="BA498" s="33">
        <v>3</v>
      </c>
      <c r="BB498" s="33">
        <v>0</v>
      </c>
      <c r="BC498" s="33">
        <v>0</v>
      </c>
      <c r="BD498" s="43">
        <v>0.11690772887050198</v>
      </c>
      <c r="BE498" s="33">
        <v>0</v>
      </c>
      <c r="BF498" s="33">
        <v>1</v>
      </c>
      <c r="CE498" s="36">
        <v>464</v>
      </c>
      <c r="CF498" s="33">
        <v>24</v>
      </c>
      <c r="CG498" s="33">
        <v>1</v>
      </c>
      <c r="CH498" s="33">
        <v>4</v>
      </c>
      <c r="CI498" s="33">
        <v>1</v>
      </c>
      <c r="CJ498" s="33">
        <v>1</v>
      </c>
      <c r="CK498" s="33">
        <v>1</v>
      </c>
      <c r="CL498" s="33">
        <v>0</v>
      </c>
      <c r="CM498" s="33">
        <v>1</v>
      </c>
      <c r="CN498" s="33">
        <v>1</v>
      </c>
      <c r="CO498" s="33">
        <v>0</v>
      </c>
      <c r="CP498" s="43">
        <v>0.68852158858393986</v>
      </c>
      <c r="CQ498" s="33">
        <v>1</v>
      </c>
      <c r="CR498" s="33">
        <v>1</v>
      </c>
    </row>
    <row r="499" spans="1:96" ht="15" customHeight="1" x14ac:dyDescent="0.25">
      <c r="A499" s="26">
        <v>497</v>
      </c>
      <c r="B499" s="27">
        <v>44</v>
      </c>
      <c r="C499" s="27">
        <v>0</v>
      </c>
      <c r="D499" s="27">
        <v>1</v>
      </c>
      <c r="E499" s="27">
        <v>1315</v>
      </c>
      <c r="F499" s="27">
        <v>2</v>
      </c>
      <c r="G499" s="27">
        <v>3</v>
      </c>
      <c r="H499" s="27">
        <v>4</v>
      </c>
      <c r="I499" s="27">
        <v>6</v>
      </c>
      <c r="J499" s="27">
        <v>1</v>
      </c>
      <c r="K499" s="27">
        <v>671</v>
      </c>
      <c r="L499" s="27">
        <v>4</v>
      </c>
      <c r="M499" s="27">
        <v>1</v>
      </c>
      <c r="N499" s="27">
        <v>35</v>
      </c>
      <c r="O499" s="27">
        <v>3</v>
      </c>
      <c r="P499" s="27">
        <v>5</v>
      </c>
      <c r="Q499" s="27">
        <v>6</v>
      </c>
      <c r="R499" s="27">
        <v>4</v>
      </c>
      <c r="S499" s="27">
        <v>2</v>
      </c>
      <c r="T499" s="27">
        <v>19513</v>
      </c>
      <c r="U499" s="27">
        <v>9358</v>
      </c>
      <c r="V499" s="27">
        <v>4</v>
      </c>
      <c r="W499" s="27">
        <v>1</v>
      </c>
      <c r="X499" s="27">
        <v>12</v>
      </c>
      <c r="Y499" s="27">
        <v>3</v>
      </c>
      <c r="Z499" s="27">
        <v>1</v>
      </c>
      <c r="AA499" s="27">
        <v>80</v>
      </c>
      <c r="AB499" s="27">
        <v>1</v>
      </c>
      <c r="AC499" s="27">
        <v>26</v>
      </c>
      <c r="AD499" s="27">
        <v>2</v>
      </c>
      <c r="AE499" s="27">
        <v>4</v>
      </c>
      <c r="AF499" s="27">
        <v>2</v>
      </c>
      <c r="AG499" s="27">
        <v>2</v>
      </c>
      <c r="AH499" s="27">
        <v>0</v>
      </c>
      <c r="AI499" s="28">
        <v>1</v>
      </c>
      <c r="AK499" s="36">
        <v>466</v>
      </c>
      <c r="AL499" s="33">
        <v>18</v>
      </c>
      <c r="AM499" s="33">
        <v>3</v>
      </c>
      <c r="AN499" s="33">
        <v>3</v>
      </c>
      <c r="AO499" s="33">
        <v>5</v>
      </c>
      <c r="AP499" s="33">
        <v>0</v>
      </c>
      <c r="AQ499" s="33">
        <v>0</v>
      </c>
      <c r="AR499" s="33">
        <v>2</v>
      </c>
      <c r="AS499" s="33">
        <v>2</v>
      </c>
      <c r="AT499" s="33">
        <v>1</v>
      </c>
      <c r="AU499" s="43">
        <v>0.14688078872867888</v>
      </c>
      <c r="AV499" s="33">
        <v>0</v>
      </c>
      <c r="AW499" s="33">
        <v>0</v>
      </c>
      <c r="AY499" s="36">
        <v>471</v>
      </c>
      <c r="AZ499" s="33">
        <v>1</v>
      </c>
      <c r="BA499" s="33">
        <v>4</v>
      </c>
      <c r="BB499" s="33">
        <v>0</v>
      </c>
      <c r="BC499" s="33">
        <v>2</v>
      </c>
      <c r="BD499" s="43">
        <v>5.6717470552978752E-2</v>
      </c>
      <c r="BE499" s="33">
        <v>0</v>
      </c>
      <c r="BF499" s="33">
        <v>0</v>
      </c>
      <c r="CE499" s="36">
        <v>465</v>
      </c>
      <c r="CF499" s="33">
        <v>1</v>
      </c>
      <c r="CG499" s="33">
        <v>3</v>
      </c>
      <c r="CH499" s="33">
        <v>4</v>
      </c>
      <c r="CI499" s="33">
        <v>1</v>
      </c>
      <c r="CJ499" s="33">
        <v>4</v>
      </c>
      <c r="CK499" s="33">
        <v>0</v>
      </c>
      <c r="CL499" s="33">
        <v>0</v>
      </c>
      <c r="CM499" s="33">
        <v>4</v>
      </c>
      <c r="CN499" s="33">
        <v>6</v>
      </c>
      <c r="CO499" s="33">
        <v>1</v>
      </c>
      <c r="CP499" s="43">
        <v>3.537041784965294E-2</v>
      </c>
      <c r="CQ499" s="33">
        <v>0</v>
      </c>
      <c r="CR499" s="33">
        <v>0</v>
      </c>
    </row>
    <row r="500" spans="1:96" ht="15" customHeight="1" x14ac:dyDescent="0.25">
      <c r="A500" s="26">
        <v>498</v>
      </c>
      <c r="B500" s="27">
        <v>22</v>
      </c>
      <c r="C500" s="27">
        <v>0</v>
      </c>
      <c r="D500" s="27">
        <v>1</v>
      </c>
      <c r="E500" s="27">
        <v>604</v>
      </c>
      <c r="F500" s="27">
        <v>2</v>
      </c>
      <c r="G500" s="27">
        <v>6</v>
      </c>
      <c r="H500" s="27">
        <v>1</v>
      </c>
      <c r="I500" s="27">
        <v>3</v>
      </c>
      <c r="J500" s="27">
        <v>1</v>
      </c>
      <c r="K500" s="27">
        <v>675</v>
      </c>
      <c r="L500" s="27">
        <v>1</v>
      </c>
      <c r="M500" s="27">
        <v>1</v>
      </c>
      <c r="N500" s="27">
        <v>69</v>
      </c>
      <c r="O500" s="27">
        <v>3</v>
      </c>
      <c r="P500" s="27">
        <v>1</v>
      </c>
      <c r="Q500" s="27">
        <v>2</v>
      </c>
      <c r="R500" s="27">
        <v>3</v>
      </c>
      <c r="S500" s="27">
        <v>2</v>
      </c>
      <c r="T500" s="27">
        <v>2773</v>
      </c>
      <c r="U500" s="27">
        <v>12145</v>
      </c>
      <c r="V500" s="27">
        <v>0</v>
      </c>
      <c r="W500" s="27">
        <v>0</v>
      </c>
      <c r="X500" s="27">
        <v>20</v>
      </c>
      <c r="Y500" s="27">
        <v>4</v>
      </c>
      <c r="Z500" s="27">
        <v>4</v>
      </c>
      <c r="AA500" s="27">
        <v>80</v>
      </c>
      <c r="AB500" s="27">
        <v>0</v>
      </c>
      <c r="AC500" s="27">
        <v>3</v>
      </c>
      <c r="AD500" s="27">
        <v>3</v>
      </c>
      <c r="AE500" s="27">
        <v>3</v>
      </c>
      <c r="AF500" s="27">
        <v>2</v>
      </c>
      <c r="AG500" s="27">
        <v>2</v>
      </c>
      <c r="AH500" s="27">
        <v>2</v>
      </c>
      <c r="AI500" s="28">
        <v>2</v>
      </c>
      <c r="AK500" s="36">
        <v>467</v>
      </c>
      <c r="AL500" s="33">
        <v>2</v>
      </c>
      <c r="AM500" s="33">
        <v>4</v>
      </c>
      <c r="AN500" s="33">
        <v>1</v>
      </c>
      <c r="AO500" s="33">
        <v>7</v>
      </c>
      <c r="AP500" s="33">
        <v>0</v>
      </c>
      <c r="AQ500" s="33">
        <v>1</v>
      </c>
      <c r="AR500" s="33">
        <v>3</v>
      </c>
      <c r="AS500" s="33">
        <v>18</v>
      </c>
      <c r="AT500" s="33">
        <v>11</v>
      </c>
      <c r="AU500" s="43">
        <v>5.1326169862988352E-2</v>
      </c>
      <c r="AV500" s="33">
        <v>0</v>
      </c>
      <c r="AW500" s="33">
        <v>0</v>
      </c>
      <c r="AY500" s="36">
        <v>472</v>
      </c>
      <c r="AZ500" s="33">
        <v>2</v>
      </c>
      <c r="BA500" s="33">
        <v>3</v>
      </c>
      <c r="BB500" s="33">
        <v>0</v>
      </c>
      <c r="BC500" s="33">
        <v>1</v>
      </c>
      <c r="BD500" s="43">
        <v>7.244788656931947E-2</v>
      </c>
      <c r="BE500" s="33">
        <v>0</v>
      </c>
      <c r="BF500" s="33">
        <v>0</v>
      </c>
      <c r="CE500" s="36">
        <v>466</v>
      </c>
      <c r="CF500" s="33">
        <v>18</v>
      </c>
      <c r="CG500" s="33">
        <v>3</v>
      </c>
      <c r="CH500" s="33">
        <v>3</v>
      </c>
      <c r="CI500" s="33">
        <v>2</v>
      </c>
      <c r="CJ500" s="33">
        <v>5</v>
      </c>
      <c r="CK500" s="33">
        <v>0</v>
      </c>
      <c r="CL500" s="33">
        <v>0</v>
      </c>
      <c r="CM500" s="33">
        <v>2</v>
      </c>
      <c r="CN500" s="33">
        <v>2</v>
      </c>
      <c r="CO500" s="33">
        <v>1</v>
      </c>
      <c r="CP500" s="43">
        <v>0.10816664917420026</v>
      </c>
      <c r="CQ500" s="33">
        <v>0</v>
      </c>
      <c r="CR500" s="33">
        <v>0</v>
      </c>
    </row>
    <row r="501" spans="1:96" ht="15" customHeight="1" x14ac:dyDescent="0.25">
      <c r="A501" s="26">
        <v>499</v>
      </c>
      <c r="B501" s="27">
        <v>33</v>
      </c>
      <c r="C501" s="27">
        <v>0</v>
      </c>
      <c r="D501" s="27">
        <v>1</v>
      </c>
      <c r="E501" s="27">
        <v>1216</v>
      </c>
      <c r="F501" s="27">
        <v>1</v>
      </c>
      <c r="G501" s="27">
        <v>8</v>
      </c>
      <c r="H501" s="27">
        <v>4</v>
      </c>
      <c r="I501" s="27">
        <v>4</v>
      </c>
      <c r="J501" s="27">
        <v>1</v>
      </c>
      <c r="K501" s="27">
        <v>677</v>
      </c>
      <c r="L501" s="27">
        <v>3</v>
      </c>
      <c r="M501" s="27">
        <v>1</v>
      </c>
      <c r="N501" s="27">
        <v>39</v>
      </c>
      <c r="O501" s="27">
        <v>3</v>
      </c>
      <c r="P501" s="27">
        <v>2</v>
      </c>
      <c r="Q501" s="27">
        <v>1</v>
      </c>
      <c r="R501" s="27">
        <v>3</v>
      </c>
      <c r="S501" s="27">
        <v>3</v>
      </c>
      <c r="T501" s="27">
        <v>7104</v>
      </c>
      <c r="U501" s="27">
        <v>20431</v>
      </c>
      <c r="V501" s="27">
        <v>0</v>
      </c>
      <c r="W501" s="27">
        <v>0</v>
      </c>
      <c r="X501" s="27">
        <v>12</v>
      </c>
      <c r="Y501" s="27">
        <v>3</v>
      </c>
      <c r="Z501" s="27">
        <v>4</v>
      </c>
      <c r="AA501" s="27">
        <v>80</v>
      </c>
      <c r="AB501" s="27">
        <v>0</v>
      </c>
      <c r="AC501" s="27">
        <v>6</v>
      </c>
      <c r="AD501" s="27">
        <v>3</v>
      </c>
      <c r="AE501" s="27">
        <v>3</v>
      </c>
      <c r="AF501" s="27">
        <v>5</v>
      </c>
      <c r="AG501" s="27">
        <v>0</v>
      </c>
      <c r="AH501" s="27">
        <v>1</v>
      </c>
      <c r="AI501" s="28">
        <v>2</v>
      </c>
      <c r="AK501" s="36">
        <v>468</v>
      </c>
      <c r="AL501" s="33">
        <v>9</v>
      </c>
      <c r="AM501" s="33">
        <v>3</v>
      </c>
      <c r="AN501" s="33">
        <v>2</v>
      </c>
      <c r="AO501" s="33">
        <v>1</v>
      </c>
      <c r="AP501" s="33">
        <v>0</v>
      </c>
      <c r="AQ501" s="33">
        <v>1</v>
      </c>
      <c r="AR501" s="33">
        <v>3</v>
      </c>
      <c r="AS501" s="33">
        <v>9</v>
      </c>
      <c r="AT501" s="33">
        <v>7</v>
      </c>
      <c r="AU501" s="43">
        <v>6.1213216394468965E-2</v>
      </c>
      <c r="AV501" s="33">
        <v>0</v>
      </c>
      <c r="AW501" s="33">
        <v>0</v>
      </c>
      <c r="AY501" s="36">
        <v>473</v>
      </c>
      <c r="AZ501" s="33">
        <v>2</v>
      </c>
      <c r="BA501" s="33">
        <v>2</v>
      </c>
      <c r="BB501" s="33">
        <v>0</v>
      </c>
      <c r="BC501" s="33">
        <v>1</v>
      </c>
      <c r="BD501" s="43">
        <v>9.4721355311452843E-2</v>
      </c>
      <c r="BE501" s="33">
        <v>0</v>
      </c>
      <c r="BF501" s="33">
        <v>0</v>
      </c>
      <c r="CE501" s="36">
        <v>467</v>
      </c>
      <c r="CF501" s="33">
        <v>2</v>
      </c>
      <c r="CG501" s="33">
        <v>4</v>
      </c>
      <c r="CH501" s="33">
        <v>1</v>
      </c>
      <c r="CI501" s="33">
        <v>2</v>
      </c>
      <c r="CJ501" s="33">
        <v>7</v>
      </c>
      <c r="CK501" s="33">
        <v>0</v>
      </c>
      <c r="CL501" s="33">
        <v>1</v>
      </c>
      <c r="CM501" s="33">
        <v>3</v>
      </c>
      <c r="CN501" s="33">
        <v>18</v>
      </c>
      <c r="CO501" s="33">
        <v>11</v>
      </c>
      <c r="CP501" s="43">
        <v>5.4083067731377443E-2</v>
      </c>
      <c r="CQ501" s="33">
        <v>0</v>
      </c>
      <c r="CR501" s="33">
        <v>0</v>
      </c>
    </row>
    <row r="502" spans="1:96" ht="15" customHeight="1" x14ac:dyDescent="0.25">
      <c r="A502" s="26">
        <v>500</v>
      </c>
      <c r="B502" s="27">
        <v>32</v>
      </c>
      <c r="C502" s="27">
        <v>0</v>
      </c>
      <c r="D502" s="27">
        <v>1</v>
      </c>
      <c r="E502" s="27">
        <v>646</v>
      </c>
      <c r="F502" s="27">
        <v>2</v>
      </c>
      <c r="G502" s="27">
        <v>9</v>
      </c>
      <c r="H502" s="27">
        <v>4</v>
      </c>
      <c r="I502" s="27">
        <v>1</v>
      </c>
      <c r="J502" s="27">
        <v>1</v>
      </c>
      <c r="K502" s="27">
        <v>679</v>
      </c>
      <c r="L502" s="27">
        <v>1</v>
      </c>
      <c r="M502" s="27">
        <v>0</v>
      </c>
      <c r="N502" s="27">
        <v>92</v>
      </c>
      <c r="O502" s="27">
        <v>3</v>
      </c>
      <c r="P502" s="27">
        <v>2</v>
      </c>
      <c r="Q502" s="27">
        <v>2</v>
      </c>
      <c r="R502" s="27">
        <v>4</v>
      </c>
      <c r="S502" s="27">
        <v>2</v>
      </c>
      <c r="T502" s="27">
        <v>6322</v>
      </c>
      <c r="U502" s="27">
        <v>18089</v>
      </c>
      <c r="V502" s="27">
        <v>1</v>
      </c>
      <c r="W502" s="27">
        <v>1</v>
      </c>
      <c r="X502" s="27">
        <v>12</v>
      </c>
      <c r="Y502" s="27">
        <v>3</v>
      </c>
      <c r="Z502" s="27">
        <v>4</v>
      </c>
      <c r="AA502" s="27">
        <v>80</v>
      </c>
      <c r="AB502" s="27">
        <v>1</v>
      </c>
      <c r="AC502" s="27">
        <v>6</v>
      </c>
      <c r="AD502" s="27">
        <v>2</v>
      </c>
      <c r="AE502" s="27">
        <v>2</v>
      </c>
      <c r="AF502" s="27">
        <v>6</v>
      </c>
      <c r="AG502" s="27">
        <v>4</v>
      </c>
      <c r="AH502" s="27">
        <v>0</v>
      </c>
      <c r="AI502" s="28">
        <v>5</v>
      </c>
      <c r="AK502" s="36">
        <v>469</v>
      </c>
      <c r="AL502" s="33">
        <v>6</v>
      </c>
      <c r="AM502" s="33">
        <v>2</v>
      </c>
      <c r="AN502" s="33">
        <v>1</v>
      </c>
      <c r="AO502" s="33">
        <v>3</v>
      </c>
      <c r="AP502" s="33">
        <v>1</v>
      </c>
      <c r="AQ502" s="33">
        <v>2</v>
      </c>
      <c r="AR502" s="33">
        <v>3</v>
      </c>
      <c r="AS502" s="33">
        <v>10</v>
      </c>
      <c r="AT502" s="33">
        <v>6</v>
      </c>
      <c r="AU502" s="43">
        <v>0.25033135656254879</v>
      </c>
      <c r="AV502" s="33">
        <v>0</v>
      </c>
      <c r="AW502" s="33">
        <v>0</v>
      </c>
      <c r="AY502" s="36">
        <v>474</v>
      </c>
      <c r="AZ502" s="33">
        <v>5</v>
      </c>
      <c r="BA502" s="33">
        <v>3</v>
      </c>
      <c r="BB502" s="33">
        <v>1</v>
      </c>
      <c r="BC502" s="33">
        <v>1</v>
      </c>
      <c r="BD502" s="43">
        <v>5.8845347099450079E-2</v>
      </c>
      <c r="BE502" s="33">
        <v>0</v>
      </c>
      <c r="BF502" s="33">
        <v>0</v>
      </c>
      <c r="CE502" s="36">
        <v>468</v>
      </c>
      <c r="CF502" s="33">
        <v>9</v>
      </c>
      <c r="CG502" s="33">
        <v>3</v>
      </c>
      <c r="CH502" s="33">
        <v>2</v>
      </c>
      <c r="CI502" s="33">
        <v>3</v>
      </c>
      <c r="CJ502" s="33">
        <v>1</v>
      </c>
      <c r="CK502" s="33">
        <v>0</v>
      </c>
      <c r="CL502" s="33">
        <v>1</v>
      </c>
      <c r="CM502" s="33">
        <v>3</v>
      </c>
      <c r="CN502" s="33">
        <v>9</v>
      </c>
      <c r="CO502" s="33">
        <v>7</v>
      </c>
      <c r="CP502" s="43">
        <v>3.6349380241704421E-2</v>
      </c>
      <c r="CQ502" s="33">
        <v>0</v>
      </c>
      <c r="CR502" s="33">
        <v>0</v>
      </c>
    </row>
    <row r="503" spans="1:96" ht="15" customHeight="1" x14ac:dyDescent="0.25">
      <c r="A503" s="26">
        <v>501</v>
      </c>
      <c r="B503" s="27">
        <v>30</v>
      </c>
      <c r="C503" s="27">
        <v>0</v>
      </c>
      <c r="D503" s="27">
        <v>2</v>
      </c>
      <c r="E503" s="27">
        <v>160</v>
      </c>
      <c r="F503" s="27">
        <v>2</v>
      </c>
      <c r="G503" s="27">
        <v>3</v>
      </c>
      <c r="H503" s="27">
        <v>3</v>
      </c>
      <c r="I503" s="27">
        <v>3</v>
      </c>
      <c r="J503" s="27">
        <v>1</v>
      </c>
      <c r="K503" s="27">
        <v>680</v>
      </c>
      <c r="L503" s="27">
        <v>3</v>
      </c>
      <c r="M503" s="27">
        <v>0</v>
      </c>
      <c r="N503" s="27">
        <v>71</v>
      </c>
      <c r="O503" s="27">
        <v>3</v>
      </c>
      <c r="P503" s="27">
        <v>1</v>
      </c>
      <c r="Q503" s="27">
        <v>2</v>
      </c>
      <c r="R503" s="27">
        <v>3</v>
      </c>
      <c r="S503" s="27">
        <v>3</v>
      </c>
      <c r="T503" s="27">
        <v>2083</v>
      </c>
      <c r="U503" s="27">
        <v>22653</v>
      </c>
      <c r="V503" s="27">
        <v>1</v>
      </c>
      <c r="W503" s="27">
        <v>0</v>
      </c>
      <c r="X503" s="27">
        <v>20</v>
      </c>
      <c r="Y503" s="27">
        <v>4</v>
      </c>
      <c r="Z503" s="27">
        <v>3</v>
      </c>
      <c r="AA503" s="27">
        <v>80</v>
      </c>
      <c r="AB503" s="27">
        <v>1</v>
      </c>
      <c r="AC503" s="27">
        <v>1</v>
      </c>
      <c r="AD503" s="27">
        <v>2</v>
      </c>
      <c r="AE503" s="27">
        <v>3</v>
      </c>
      <c r="AF503" s="27">
        <v>1</v>
      </c>
      <c r="AG503" s="27">
        <v>0</v>
      </c>
      <c r="AH503" s="27">
        <v>0</v>
      </c>
      <c r="AI503" s="28">
        <v>0</v>
      </c>
      <c r="AK503" s="36">
        <v>470</v>
      </c>
      <c r="AL503" s="33">
        <v>11</v>
      </c>
      <c r="AM503" s="33">
        <v>2</v>
      </c>
      <c r="AN503" s="33">
        <v>3</v>
      </c>
      <c r="AO503" s="33">
        <v>8</v>
      </c>
      <c r="AP503" s="33">
        <v>0</v>
      </c>
      <c r="AQ503" s="33">
        <v>0</v>
      </c>
      <c r="AR503" s="33">
        <v>3</v>
      </c>
      <c r="AS503" s="33">
        <v>4</v>
      </c>
      <c r="AT503" s="33">
        <v>1</v>
      </c>
      <c r="AU503" s="43">
        <v>0.17251066380214519</v>
      </c>
      <c r="AV503" s="33">
        <v>0</v>
      </c>
      <c r="AW503" s="33">
        <v>1</v>
      </c>
      <c r="AY503" s="36">
        <v>475</v>
      </c>
      <c r="AZ503" s="33">
        <v>1</v>
      </c>
      <c r="BA503" s="33">
        <v>4</v>
      </c>
      <c r="BB503" s="33">
        <v>1</v>
      </c>
      <c r="BC503" s="33">
        <v>2</v>
      </c>
      <c r="BD503" s="43">
        <v>0.20447473461892657</v>
      </c>
      <c r="BE503" s="33">
        <v>0</v>
      </c>
      <c r="BF503" s="33">
        <v>0</v>
      </c>
      <c r="CE503" s="36">
        <v>469</v>
      </c>
      <c r="CF503" s="33">
        <v>6</v>
      </c>
      <c r="CG503" s="33">
        <v>2</v>
      </c>
      <c r="CH503" s="33">
        <v>1</v>
      </c>
      <c r="CI503" s="33">
        <v>3</v>
      </c>
      <c r="CJ503" s="33">
        <v>3</v>
      </c>
      <c r="CK503" s="33">
        <v>1</v>
      </c>
      <c r="CL503" s="33">
        <v>2</v>
      </c>
      <c r="CM503" s="33">
        <v>3</v>
      </c>
      <c r="CN503" s="33">
        <v>10</v>
      </c>
      <c r="CO503" s="33">
        <v>6</v>
      </c>
      <c r="CP503" s="43">
        <v>0.22226461824012442</v>
      </c>
      <c r="CQ503" s="33">
        <v>0</v>
      </c>
      <c r="CR503" s="33">
        <v>0</v>
      </c>
    </row>
    <row r="504" spans="1:96" ht="15" customHeight="1" x14ac:dyDescent="0.25">
      <c r="A504" s="26">
        <v>502</v>
      </c>
      <c r="B504" s="27">
        <v>53</v>
      </c>
      <c r="C504" s="27">
        <v>0</v>
      </c>
      <c r="D504" s="27">
        <v>1</v>
      </c>
      <c r="E504" s="27">
        <v>238</v>
      </c>
      <c r="F504" s="27">
        <v>1</v>
      </c>
      <c r="G504" s="27">
        <v>1</v>
      </c>
      <c r="H504" s="27">
        <v>1</v>
      </c>
      <c r="I504" s="27">
        <v>3</v>
      </c>
      <c r="J504" s="27">
        <v>1</v>
      </c>
      <c r="K504" s="27">
        <v>682</v>
      </c>
      <c r="L504" s="27">
        <v>4</v>
      </c>
      <c r="M504" s="27">
        <v>0</v>
      </c>
      <c r="N504" s="27">
        <v>34</v>
      </c>
      <c r="O504" s="27">
        <v>3</v>
      </c>
      <c r="P504" s="27">
        <v>2</v>
      </c>
      <c r="Q504" s="27">
        <v>1</v>
      </c>
      <c r="R504" s="27">
        <v>1</v>
      </c>
      <c r="S504" s="27">
        <v>1</v>
      </c>
      <c r="T504" s="27">
        <v>8381</v>
      </c>
      <c r="U504" s="27">
        <v>7507</v>
      </c>
      <c r="V504" s="27">
        <v>7</v>
      </c>
      <c r="W504" s="27">
        <v>0</v>
      </c>
      <c r="X504" s="27">
        <v>20</v>
      </c>
      <c r="Y504" s="27">
        <v>4</v>
      </c>
      <c r="Z504" s="27">
        <v>4</v>
      </c>
      <c r="AA504" s="27">
        <v>80</v>
      </c>
      <c r="AB504" s="27">
        <v>0</v>
      </c>
      <c r="AC504" s="27">
        <v>18</v>
      </c>
      <c r="AD504" s="27">
        <v>2</v>
      </c>
      <c r="AE504" s="27">
        <v>4</v>
      </c>
      <c r="AF504" s="27">
        <v>14</v>
      </c>
      <c r="AG504" s="27">
        <v>7</v>
      </c>
      <c r="AH504" s="27">
        <v>8</v>
      </c>
      <c r="AI504" s="28">
        <v>10</v>
      </c>
      <c r="AK504" s="36">
        <v>471</v>
      </c>
      <c r="AL504" s="33">
        <v>24</v>
      </c>
      <c r="AM504" s="33">
        <v>1</v>
      </c>
      <c r="AN504" s="33">
        <v>4</v>
      </c>
      <c r="AO504" s="33">
        <v>0</v>
      </c>
      <c r="AP504" s="33">
        <v>0</v>
      </c>
      <c r="AQ504" s="33">
        <v>2</v>
      </c>
      <c r="AR504" s="33">
        <v>3</v>
      </c>
      <c r="AS504" s="33">
        <v>2</v>
      </c>
      <c r="AT504" s="33">
        <v>2</v>
      </c>
      <c r="AU504" s="43">
        <v>8.168345797383092E-2</v>
      </c>
      <c r="AV504" s="33">
        <v>0</v>
      </c>
      <c r="AW504" s="33">
        <v>0</v>
      </c>
      <c r="AY504" s="36">
        <v>476</v>
      </c>
      <c r="AZ504" s="33">
        <v>2</v>
      </c>
      <c r="BA504" s="33">
        <v>2</v>
      </c>
      <c r="BB504" s="33">
        <v>0</v>
      </c>
      <c r="BC504" s="33">
        <v>2</v>
      </c>
      <c r="BD504" s="43">
        <v>5.8143431646637607E-2</v>
      </c>
      <c r="BE504" s="33">
        <v>0</v>
      </c>
      <c r="BF504" s="33">
        <v>0</v>
      </c>
      <c r="CE504" s="36">
        <v>470</v>
      </c>
      <c r="CF504" s="33">
        <v>11</v>
      </c>
      <c r="CG504" s="33">
        <v>2</v>
      </c>
      <c r="CH504" s="33">
        <v>3</v>
      </c>
      <c r="CI504" s="33">
        <v>2</v>
      </c>
      <c r="CJ504" s="33">
        <v>8</v>
      </c>
      <c r="CK504" s="33">
        <v>0</v>
      </c>
      <c r="CL504" s="33">
        <v>0</v>
      </c>
      <c r="CM504" s="33">
        <v>3</v>
      </c>
      <c r="CN504" s="33">
        <v>4</v>
      </c>
      <c r="CO504" s="33">
        <v>1</v>
      </c>
      <c r="CP504" s="43">
        <v>0.12562850440977405</v>
      </c>
      <c r="CQ504" s="33">
        <v>0</v>
      </c>
      <c r="CR504" s="33">
        <v>1</v>
      </c>
    </row>
    <row r="505" spans="1:96" ht="15" customHeight="1" x14ac:dyDescent="0.25">
      <c r="A505" s="26">
        <v>503</v>
      </c>
      <c r="B505" s="27">
        <v>34</v>
      </c>
      <c r="C505" s="27">
        <v>0</v>
      </c>
      <c r="D505" s="27">
        <v>1</v>
      </c>
      <c r="E505" s="27">
        <v>1397</v>
      </c>
      <c r="F505" s="27">
        <v>2</v>
      </c>
      <c r="G505" s="27">
        <v>1</v>
      </c>
      <c r="H505" s="27">
        <v>5</v>
      </c>
      <c r="I505" s="27">
        <v>1</v>
      </c>
      <c r="J505" s="27">
        <v>1</v>
      </c>
      <c r="K505" s="27">
        <v>683</v>
      </c>
      <c r="L505" s="27">
        <v>2</v>
      </c>
      <c r="M505" s="27">
        <v>1</v>
      </c>
      <c r="N505" s="27">
        <v>42</v>
      </c>
      <c r="O505" s="27">
        <v>3</v>
      </c>
      <c r="P505" s="27">
        <v>1</v>
      </c>
      <c r="Q505" s="27">
        <v>2</v>
      </c>
      <c r="R505" s="27">
        <v>4</v>
      </c>
      <c r="S505" s="27">
        <v>2</v>
      </c>
      <c r="T505" s="27">
        <v>2691</v>
      </c>
      <c r="U505" s="27">
        <v>7660</v>
      </c>
      <c r="V505" s="27">
        <v>1</v>
      </c>
      <c r="W505" s="27">
        <v>0</v>
      </c>
      <c r="X505" s="27">
        <v>12</v>
      </c>
      <c r="Y505" s="27">
        <v>3</v>
      </c>
      <c r="Z505" s="27">
        <v>4</v>
      </c>
      <c r="AA505" s="27">
        <v>80</v>
      </c>
      <c r="AB505" s="27">
        <v>1</v>
      </c>
      <c r="AC505" s="27">
        <v>10</v>
      </c>
      <c r="AD505" s="27">
        <v>4</v>
      </c>
      <c r="AE505" s="27">
        <v>2</v>
      </c>
      <c r="AF505" s="27">
        <v>10</v>
      </c>
      <c r="AG505" s="27">
        <v>9</v>
      </c>
      <c r="AH505" s="27">
        <v>8</v>
      </c>
      <c r="AI505" s="28">
        <v>8</v>
      </c>
      <c r="AK505" s="36">
        <v>472</v>
      </c>
      <c r="AL505" s="33">
        <v>10</v>
      </c>
      <c r="AM505" s="33">
        <v>2</v>
      </c>
      <c r="AN505" s="33">
        <v>3</v>
      </c>
      <c r="AO505" s="33">
        <v>3</v>
      </c>
      <c r="AP505" s="33">
        <v>0</v>
      </c>
      <c r="AQ505" s="33">
        <v>1</v>
      </c>
      <c r="AR505" s="33">
        <v>3</v>
      </c>
      <c r="AS505" s="33">
        <v>1</v>
      </c>
      <c r="AT505" s="33">
        <v>0</v>
      </c>
      <c r="AU505" s="43">
        <v>7.6869353646579291E-2</v>
      </c>
      <c r="AV505" s="33">
        <v>0</v>
      </c>
      <c r="AW505" s="33">
        <v>0</v>
      </c>
      <c r="AY505" s="36">
        <v>477</v>
      </c>
      <c r="AZ505" s="33">
        <v>1</v>
      </c>
      <c r="BA505" s="33">
        <v>2</v>
      </c>
      <c r="BB505" s="33">
        <v>0</v>
      </c>
      <c r="BC505" s="33">
        <v>1</v>
      </c>
      <c r="BD505" s="43">
        <v>0.15461023487664</v>
      </c>
      <c r="BE505" s="33">
        <v>0</v>
      </c>
      <c r="BF505" s="33">
        <v>0</v>
      </c>
      <c r="CE505" s="36">
        <v>471</v>
      </c>
      <c r="CF505" s="33">
        <v>24</v>
      </c>
      <c r="CG505" s="33">
        <v>1</v>
      </c>
      <c r="CH505" s="33">
        <v>4</v>
      </c>
      <c r="CI505" s="33">
        <v>2</v>
      </c>
      <c r="CJ505" s="33">
        <v>0</v>
      </c>
      <c r="CK505" s="33">
        <v>0</v>
      </c>
      <c r="CL505" s="33">
        <v>2</v>
      </c>
      <c r="CM505" s="33">
        <v>3</v>
      </c>
      <c r="CN505" s="33">
        <v>2</v>
      </c>
      <c r="CO505" s="33">
        <v>2</v>
      </c>
      <c r="CP505" s="43">
        <v>0.10471506408120183</v>
      </c>
      <c r="CQ505" s="33">
        <v>0</v>
      </c>
      <c r="CR505" s="33">
        <v>0</v>
      </c>
    </row>
    <row r="506" spans="1:96" ht="15" customHeight="1" x14ac:dyDescent="0.25">
      <c r="A506" s="26">
        <v>504</v>
      </c>
      <c r="B506" s="27">
        <v>45</v>
      </c>
      <c r="C506" s="27">
        <v>1</v>
      </c>
      <c r="D506" s="27">
        <v>2</v>
      </c>
      <c r="E506" s="27">
        <v>306</v>
      </c>
      <c r="F506" s="27">
        <v>1</v>
      </c>
      <c r="G506" s="27">
        <v>26</v>
      </c>
      <c r="H506" s="27">
        <v>4</v>
      </c>
      <c r="I506" s="27">
        <v>1</v>
      </c>
      <c r="J506" s="27">
        <v>1</v>
      </c>
      <c r="K506" s="27">
        <v>684</v>
      </c>
      <c r="L506" s="27">
        <v>1</v>
      </c>
      <c r="M506" s="27">
        <v>0</v>
      </c>
      <c r="N506" s="27">
        <v>100</v>
      </c>
      <c r="O506" s="27">
        <v>3</v>
      </c>
      <c r="P506" s="27">
        <v>2</v>
      </c>
      <c r="Q506" s="27">
        <v>1</v>
      </c>
      <c r="R506" s="27">
        <v>1</v>
      </c>
      <c r="S506" s="27">
        <v>2</v>
      </c>
      <c r="T506" s="27">
        <v>4286</v>
      </c>
      <c r="U506" s="27">
        <v>5630</v>
      </c>
      <c r="V506" s="27">
        <v>2</v>
      </c>
      <c r="W506" s="27">
        <v>0</v>
      </c>
      <c r="X506" s="27">
        <v>14</v>
      </c>
      <c r="Y506" s="27">
        <v>3</v>
      </c>
      <c r="Z506" s="27">
        <v>4</v>
      </c>
      <c r="AA506" s="27">
        <v>80</v>
      </c>
      <c r="AB506" s="27">
        <v>2</v>
      </c>
      <c r="AC506" s="27">
        <v>5</v>
      </c>
      <c r="AD506" s="27">
        <v>4</v>
      </c>
      <c r="AE506" s="27">
        <v>3</v>
      </c>
      <c r="AF506" s="27">
        <v>1</v>
      </c>
      <c r="AG506" s="27">
        <v>1</v>
      </c>
      <c r="AH506" s="27">
        <v>0</v>
      </c>
      <c r="AI506" s="28">
        <v>0</v>
      </c>
      <c r="AK506" s="36">
        <v>473</v>
      </c>
      <c r="AL506" s="33">
        <v>1</v>
      </c>
      <c r="AM506" s="33">
        <v>2</v>
      </c>
      <c r="AN506" s="33">
        <v>2</v>
      </c>
      <c r="AO506" s="33">
        <v>6</v>
      </c>
      <c r="AP506" s="33">
        <v>0</v>
      </c>
      <c r="AQ506" s="33">
        <v>1</v>
      </c>
      <c r="AR506" s="33">
        <v>2</v>
      </c>
      <c r="AS506" s="33">
        <v>6</v>
      </c>
      <c r="AT506" s="33">
        <v>4</v>
      </c>
      <c r="AU506" s="43">
        <v>0.12797367606030671</v>
      </c>
      <c r="AV506" s="33">
        <v>0</v>
      </c>
      <c r="AW506" s="33">
        <v>0</v>
      </c>
      <c r="AY506" s="36">
        <v>478</v>
      </c>
      <c r="AZ506" s="33">
        <v>5</v>
      </c>
      <c r="BA506" s="33">
        <v>2</v>
      </c>
      <c r="BB506" s="33">
        <v>0</v>
      </c>
      <c r="BC506" s="33">
        <v>1</v>
      </c>
      <c r="BD506" s="43">
        <v>1.9217264220459749E-2</v>
      </c>
      <c r="BE506" s="33">
        <v>0</v>
      </c>
      <c r="BF506" s="33">
        <v>0</v>
      </c>
      <c r="CE506" s="36">
        <v>472</v>
      </c>
      <c r="CF506" s="33">
        <v>10</v>
      </c>
      <c r="CG506" s="33">
        <v>2</v>
      </c>
      <c r="CH506" s="33">
        <v>3</v>
      </c>
      <c r="CI506" s="33">
        <v>2</v>
      </c>
      <c r="CJ506" s="33">
        <v>3</v>
      </c>
      <c r="CK506" s="33">
        <v>0</v>
      </c>
      <c r="CL506" s="33">
        <v>1</v>
      </c>
      <c r="CM506" s="33">
        <v>3</v>
      </c>
      <c r="CN506" s="33">
        <v>1</v>
      </c>
      <c r="CO506" s="33">
        <v>0</v>
      </c>
      <c r="CP506" s="43">
        <v>7.4282982461283689E-2</v>
      </c>
      <c r="CQ506" s="33">
        <v>0</v>
      </c>
      <c r="CR506" s="33">
        <v>0</v>
      </c>
    </row>
    <row r="507" spans="1:96" ht="15" customHeight="1" x14ac:dyDescent="0.25">
      <c r="A507" s="26">
        <v>505</v>
      </c>
      <c r="B507" s="27">
        <v>26</v>
      </c>
      <c r="C507" s="27">
        <v>0</v>
      </c>
      <c r="D507" s="27">
        <v>1</v>
      </c>
      <c r="E507" s="27">
        <v>991</v>
      </c>
      <c r="F507" s="27">
        <v>2</v>
      </c>
      <c r="G507" s="27">
        <v>6</v>
      </c>
      <c r="H507" s="27">
        <v>3</v>
      </c>
      <c r="I507" s="27">
        <v>1</v>
      </c>
      <c r="J507" s="27">
        <v>1</v>
      </c>
      <c r="K507" s="27">
        <v>686</v>
      </c>
      <c r="L507" s="27">
        <v>3</v>
      </c>
      <c r="M507" s="27">
        <v>0</v>
      </c>
      <c r="N507" s="27">
        <v>71</v>
      </c>
      <c r="O507" s="27">
        <v>3</v>
      </c>
      <c r="P507" s="27">
        <v>1</v>
      </c>
      <c r="Q507" s="27">
        <v>3</v>
      </c>
      <c r="R507" s="27">
        <v>4</v>
      </c>
      <c r="S507" s="27">
        <v>2</v>
      </c>
      <c r="T507" s="27">
        <v>2659</v>
      </c>
      <c r="U507" s="27">
        <v>17759</v>
      </c>
      <c r="V507" s="27">
        <v>1</v>
      </c>
      <c r="W507" s="27">
        <v>1</v>
      </c>
      <c r="X507" s="27">
        <v>13</v>
      </c>
      <c r="Y507" s="27">
        <v>3</v>
      </c>
      <c r="Z507" s="27">
        <v>3</v>
      </c>
      <c r="AA507" s="27">
        <v>80</v>
      </c>
      <c r="AB507" s="27">
        <v>1</v>
      </c>
      <c r="AC507" s="27">
        <v>3</v>
      </c>
      <c r="AD507" s="27">
        <v>2</v>
      </c>
      <c r="AE507" s="27">
        <v>3</v>
      </c>
      <c r="AF507" s="27">
        <v>3</v>
      </c>
      <c r="AG507" s="27">
        <v>2</v>
      </c>
      <c r="AH507" s="27">
        <v>0</v>
      </c>
      <c r="AI507" s="28">
        <v>2</v>
      </c>
      <c r="AK507" s="36">
        <v>474</v>
      </c>
      <c r="AL507" s="33">
        <v>18</v>
      </c>
      <c r="AM507" s="33">
        <v>5</v>
      </c>
      <c r="AN507" s="33">
        <v>3</v>
      </c>
      <c r="AO507" s="33">
        <v>1</v>
      </c>
      <c r="AP507" s="33">
        <v>1</v>
      </c>
      <c r="AQ507" s="33">
        <v>1</v>
      </c>
      <c r="AR507" s="33">
        <v>3</v>
      </c>
      <c r="AS507" s="33">
        <v>31</v>
      </c>
      <c r="AT507" s="33">
        <v>0</v>
      </c>
      <c r="AU507" s="43">
        <v>8.773816762008781E-3</v>
      </c>
      <c r="AV507" s="33">
        <v>0</v>
      </c>
      <c r="AW507" s="33">
        <v>0</v>
      </c>
      <c r="AY507" s="36">
        <v>479</v>
      </c>
      <c r="AZ507" s="33">
        <v>1</v>
      </c>
      <c r="BA507" s="33">
        <v>3</v>
      </c>
      <c r="BB507" s="33">
        <v>0</v>
      </c>
      <c r="BC507" s="33">
        <v>0</v>
      </c>
      <c r="BD507" s="43">
        <v>0.18791247240909698</v>
      </c>
      <c r="BE507" s="33">
        <v>0</v>
      </c>
      <c r="BF507" s="33">
        <v>0</v>
      </c>
      <c r="CE507" s="36">
        <v>473</v>
      </c>
      <c r="CF507" s="33">
        <v>1</v>
      </c>
      <c r="CG507" s="33">
        <v>2</v>
      </c>
      <c r="CH507" s="33">
        <v>2</v>
      </c>
      <c r="CI507" s="33">
        <v>2</v>
      </c>
      <c r="CJ507" s="33">
        <v>6</v>
      </c>
      <c r="CK507" s="33">
        <v>0</v>
      </c>
      <c r="CL507" s="33">
        <v>1</v>
      </c>
      <c r="CM507" s="33">
        <v>2</v>
      </c>
      <c r="CN507" s="33">
        <v>6</v>
      </c>
      <c r="CO507" s="33">
        <v>4</v>
      </c>
      <c r="CP507" s="43">
        <v>0.12959037691425296</v>
      </c>
      <c r="CQ507" s="33">
        <v>0</v>
      </c>
      <c r="CR507" s="33">
        <v>0</v>
      </c>
    </row>
    <row r="508" spans="1:96" ht="15" customHeight="1" x14ac:dyDescent="0.25">
      <c r="A508" s="26">
        <v>506</v>
      </c>
      <c r="B508" s="27">
        <v>37</v>
      </c>
      <c r="C508" s="27">
        <v>0</v>
      </c>
      <c r="D508" s="27">
        <v>1</v>
      </c>
      <c r="E508" s="27">
        <v>482</v>
      </c>
      <c r="F508" s="27">
        <v>2</v>
      </c>
      <c r="G508" s="27">
        <v>3</v>
      </c>
      <c r="H508" s="27">
        <v>3</v>
      </c>
      <c r="I508" s="27">
        <v>6</v>
      </c>
      <c r="J508" s="27">
        <v>1</v>
      </c>
      <c r="K508" s="27">
        <v>689</v>
      </c>
      <c r="L508" s="27">
        <v>3</v>
      </c>
      <c r="M508" s="27">
        <v>1</v>
      </c>
      <c r="N508" s="27">
        <v>36</v>
      </c>
      <c r="O508" s="27">
        <v>3</v>
      </c>
      <c r="P508" s="27">
        <v>3</v>
      </c>
      <c r="Q508" s="27">
        <v>4</v>
      </c>
      <c r="R508" s="27">
        <v>3</v>
      </c>
      <c r="S508" s="27">
        <v>2</v>
      </c>
      <c r="T508" s="27">
        <v>9434</v>
      </c>
      <c r="U508" s="27">
        <v>9606</v>
      </c>
      <c r="V508" s="27">
        <v>1</v>
      </c>
      <c r="W508" s="27">
        <v>0</v>
      </c>
      <c r="X508" s="27">
        <v>15</v>
      </c>
      <c r="Y508" s="27">
        <v>3</v>
      </c>
      <c r="Z508" s="27">
        <v>3</v>
      </c>
      <c r="AA508" s="27">
        <v>80</v>
      </c>
      <c r="AB508" s="27">
        <v>1</v>
      </c>
      <c r="AC508" s="27">
        <v>10</v>
      </c>
      <c r="AD508" s="27">
        <v>2</v>
      </c>
      <c r="AE508" s="27">
        <v>3</v>
      </c>
      <c r="AF508" s="27">
        <v>10</v>
      </c>
      <c r="AG508" s="27">
        <v>7</v>
      </c>
      <c r="AH508" s="27">
        <v>7</v>
      </c>
      <c r="AI508" s="28">
        <v>8</v>
      </c>
      <c r="AK508" s="36">
        <v>475</v>
      </c>
      <c r="AL508" s="33">
        <v>23</v>
      </c>
      <c r="AM508" s="33">
        <v>1</v>
      </c>
      <c r="AN508" s="33">
        <v>4</v>
      </c>
      <c r="AO508" s="33">
        <v>1</v>
      </c>
      <c r="AP508" s="33">
        <v>1</v>
      </c>
      <c r="AQ508" s="33">
        <v>2</v>
      </c>
      <c r="AR508" s="33">
        <v>3</v>
      </c>
      <c r="AS508" s="33">
        <v>6</v>
      </c>
      <c r="AT508" s="33">
        <v>1</v>
      </c>
      <c r="AU508" s="43">
        <v>0.21486820564838302</v>
      </c>
      <c r="AV508" s="33">
        <v>0</v>
      </c>
      <c r="AW508" s="33">
        <v>0</v>
      </c>
      <c r="AY508" s="36">
        <v>480</v>
      </c>
      <c r="AZ508" s="33">
        <v>1</v>
      </c>
      <c r="BA508" s="33">
        <v>3</v>
      </c>
      <c r="BB508" s="33">
        <v>1</v>
      </c>
      <c r="BC508" s="33">
        <v>1</v>
      </c>
      <c r="BD508" s="43">
        <v>0.36852652578740397</v>
      </c>
      <c r="BE508" s="33">
        <v>0</v>
      </c>
      <c r="BF508" s="33">
        <v>1</v>
      </c>
      <c r="CE508" s="36">
        <v>474</v>
      </c>
      <c r="CF508" s="33">
        <v>18</v>
      </c>
      <c r="CG508" s="33">
        <v>5</v>
      </c>
      <c r="CH508" s="33">
        <v>3</v>
      </c>
      <c r="CI508" s="33">
        <v>3</v>
      </c>
      <c r="CJ508" s="33">
        <v>1</v>
      </c>
      <c r="CK508" s="33">
        <v>1</v>
      </c>
      <c r="CL508" s="33">
        <v>1</v>
      </c>
      <c r="CM508" s="33">
        <v>3</v>
      </c>
      <c r="CN508" s="33">
        <v>31</v>
      </c>
      <c r="CO508" s="33">
        <v>0</v>
      </c>
      <c r="CP508" s="43">
        <v>5.1417677483416276E-3</v>
      </c>
      <c r="CQ508" s="33">
        <v>0</v>
      </c>
      <c r="CR508" s="33">
        <v>0</v>
      </c>
    </row>
    <row r="509" spans="1:96" ht="15" customHeight="1" x14ac:dyDescent="0.25">
      <c r="A509" s="26">
        <v>507</v>
      </c>
      <c r="B509" s="27">
        <v>29</v>
      </c>
      <c r="C509" s="27">
        <v>0</v>
      </c>
      <c r="D509" s="27">
        <v>1</v>
      </c>
      <c r="E509" s="27">
        <v>1176</v>
      </c>
      <c r="F509" s="27">
        <v>1</v>
      </c>
      <c r="G509" s="27">
        <v>3</v>
      </c>
      <c r="H509" s="27">
        <v>2</v>
      </c>
      <c r="I509" s="27">
        <v>3</v>
      </c>
      <c r="J509" s="27">
        <v>1</v>
      </c>
      <c r="K509" s="27">
        <v>690</v>
      </c>
      <c r="L509" s="27">
        <v>2</v>
      </c>
      <c r="M509" s="27">
        <v>0</v>
      </c>
      <c r="N509" s="27">
        <v>62</v>
      </c>
      <c r="O509" s="27">
        <v>3</v>
      </c>
      <c r="P509" s="27">
        <v>2</v>
      </c>
      <c r="Q509" s="27">
        <v>1</v>
      </c>
      <c r="R509" s="27">
        <v>3</v>
      </c>
      <c r="S509" s="27">
        <v>2</v>
      </c>
      <c r="T509" s="27">
        <v>5561</v>
      </c>
      <c r="U509" s="27">
        <v>3487</v>
      </c>
      <c r="V509" s="27">
        <v>1</v>
      </c>
      <c r="W509" s="27">
        <v>0</v>
      </c>
      <c r="X509" s="27">
        <v>14</v>
      </c>
      <c r="Y509" s="27">
        <v>3</v>
      </c>
      <c r="Z509" s="27">
        <v>1</v>
      </c>
      <c r="AA509" s="27">
        <v>80</v>
      </c>
      <c r="AB509" s="27">
        <v>1</v>
      </c>
      <c r="AC509" s="27">
        <v>6</v>
      </c>
      <c r="AD509" s="27">
        <v>5</v>
      </c>
      <c r="AE509" s="27">
        <v>2</v>
      </c>
      <c r="AF509" s="27">
        <v>6</v>
      </c>
      <c r="AG509" s="27">
        <v>0</v>
      </c>
      <c r="AH509" s="27">
        <v>1</v>
      </c>
      <c r="AI509" s="28">
        <v>2</v>
      </c>
      <c r="AK509" s="36">
        <v>476</v>
      </c>
      <c r="AL509" s="33">
        <v>28</v>
      </c>
      <c r="AM509" s="33">
        <v>2</v>
      </c>
      <c r="AN509" s="33">
        <v>2</v>
      </c>
      <c r="AO509" s="33">
        <v>1</v>
      </c>
      <c r="AP509" s="33">
        <v>0</v>
      </c>
      <c r="AQ509" s="33">
        <v>2</v>
      </c>
      <c r="AR509" s="33">
        <v>4</v>
      </c>
      <c r="AS509" s="33">
        <v>5</v>
      </c>
      <c r="AT509" s="33">
        <v>1</v>
      </c>
      <c r="AU509" s="43">
        <v>6.1174973034075493E-2</v>
      </c>
      <c r="AV509" s="33">
        <v>0</v>
      </c>
      <c r="AW509" s="33">
        <v>0</v>
      </c>
      <c r="AY509" s="36">
        <v>481</v>
      </c>
      <c r="AZ509" s="33">
        <v>1</v>
      </c>
      <c r="BA509" s="33">
        <v>1</v>
      </c>
      <c r="BB509" s="33">
        <v>0</v>
      </c>
      <c r="BC509" s="33">
        <v>1</v>
      </c>
      <c r="BD509" s="43">
        <v>0.19678474515944386</v>
      </c>
      <c r="BE509" s="33">
        <v>0</v>
      </c>
      <c r="BF509" s="33">
        <v>1</v>
      </c>
      <c r="CE509" s="36">
        <v>475</v>
      </c>
      <c r="CF509" s="33">
        <v>23</v>
      </c>
      <c r="CG509" s="33">
        <v>1</v>
      </c>
      <c r="CH509" s="33">
        <v>4</v>
      </c>
      <c r="CI509" s="33">
        <v>2</v>
      </c>
      <c r="CJ509" s="33">
        <v>1</v>
      </c>
      <c r="CK509" s="33">
        <v>1</v>
      </c>
      <c r="CL509" s="33">
        <v>2</v>
      </c>
      <c r="CM509" s="33">
        <v>3</v>
      </c>
      <c r="CN509" s="33">
        <v>6</v>
      </c>
      <c r="CO509" s="33">
        <v>1</v>
      </c>
      <c r="CP509" s="43">
        <v>0.27189883054195663</v>
      </c>
      <c r="CQ509" s="33">
        <v>0</v>
      </c>
      <c r="CR509" s="33">
        <v>0</v>
      </c>
    </row>
    <row r="510" spans="1:96" ht="15" customHeight="1" x14ac:dyDescent="0.25">
      <c r="A510" s="26">
        <v>508</v>
      </c>
      <c r="B510" s="27">
        <v>35</v>
      </c>
      <c r="C510" s="27">
        <v>0</v>
      </c>
      <c r="D510" s="27">
        <v>1</v>
      </c>
      <c r="E510" s="27">
        <v>1017</v>
      </c>
      <c r="F510" s="27">
        <v>2</v>
      </c>
      <c r="G510" s="27">
        <v>6</v>
      </c>
      <c r="H510" s="27">
        <v>4</v>
      </c>
      <c r="I510" s="27">
        <v>1</v>
      </c>
      <c r="J510" s="27">
        <v>1</v>
      </c>
      <c r="K510" s="27">
        <v>691</v>
      </c>
      <c r="L510" s="27">
        <v>2</v>
      </c>
      <c r="M510" s="27">
        <v>1</v>
      </c>
      <c r="N510" s="27">
        <v>82</v>
      </c>
      <c r="O510" s="27">
        <v>1</v>
      </c>
      <c r="P510" s="27">
        <v>2</v>
      </c>
      <c r="Q510" s="27">
        <v>2</v>
      </c>
      <c r="R510" s="27">
        <v>4</v>
      </c>
      <c r="S510" s="27">
        <v>1</v>
      </c>
      <c r="T510" s="27">
        <v>6646</v>
      </c>
      <c r="U510" s="27">
        <v>19368</v>
      </c>
      <c r="V510" s="27">
        <v>1</v>
      </c>
      <c r="W510" s="27">
        <v>0</v>
      </c>
      <c r="X510" s="27">
        <v>13</v>
      </c>
      <c r="Y510" s="27">
        <v>3</v>
      </c>
      <c r="Z510" s="27">
        <v>2</v>
      </c>
      <c r="AA510" s="27">
        <v>80</v>
      </c>
      <c r="AB510" s="27">
        <v>0</v>
      </c>
      <c r="AC510" s="27">
        <v>17</v>
      </c>
      <c r="AD510" s="27">
        <v>3</v>
      </c>
      <c r="AE510" s="27">
        <v>3</v>
      </c>
      <c r="AF510" s="27">
        <v>17</v>
      </c>
      <c r="AG510" s="27">
        <v>11</v>
      </c>
      <c r="AH510" s="27">
        <v>11</v>
      </c>
      <c r="AI510" s="28">
        <v>8</v>
      </c>
      <c r="AK510" s="36">
        <v>477</v>
      </c>
      <c r="AL510" s="33">
        <v>17</v>
      </c>
      <c r="AM510" s="33">
        <v>1</v>
      </c>
      <c r="AN510" s="33">
        <v>2</v>
      </c>
      <c r="AO510" s="33">
        <v>1</v>
      </c>
      <c r="AP510" s="33">
        <v>0</v>
      </c>
      <c r="AQ510" s="33">
        <v>1</v>
      </c>
      <c r="AR510" s="33">
        <v>3</v>
      </c>
      <c r="AS510" s="33">
        <v>1</v>
      </c>
      <c r="AT510" s="33">
        <v>0</v>
      </c>
      <c r="AU510" s="43">
        <v>0.17156507603421456</v>
      </c>
      <c r="AV510" s="33">
        <v>0</v>
      </c>
      <c r="AW510" s="33">
        <v>0</v>
      </c>
      <c r="AY510" s="36">
        <v>482</v>
      </c>
      <c r="AZ510" s="33">
        <v>1</v>
      </c>
      <c r="BA510" s="33">
        <v>4</v>
      </c>
      <c r="BB510" s="33">
        <v>1</v>
      </c>
      <c r="BC510" s="33">
        <v>1</v>
      </c>
      <c r="BD510" s="43">
        <v>0.30345027699196836</v>
      </c>
      <c r="BE510" s="33">
        <v>0</v>
      </c>
      <c r="BF510" s="33">
        <v>0</v>
      </c>
      <c r="CE510" s="36">
        <v>476</v>
      </c>
      <c r="CF510" s="33">
        <v>28</v>
      </c>
      <c r="CG510" s="33">
        <v>2</v>
      </c>
      <c r="CH510" s="33">
        <v>2</v>
      </c>
      <c r="CI510" s="33">
        <v>2</v>
      </c>
      <c r="CJ510" s="33">
        <v>1</v>
      </c>
      <c r="CK510" s="33">
        <v>0</v>
      </c>
      <c r="CL510" s="33">
        <v>2</v>
      </c>
      <c r="CM510" s="33">
        <v>4</v>
      </c>
      <c r="CN510" s="33">
        <v>5</v>
      </c>
      <c r="CO510" s="33">
        <v>1</v>
      </c>
      <c r="CP510" s="43">
        <v>8.0937246794412152E-2</v>
      </c>
      <c r="CQ510" s="33">
        <v>0</v>
      </c>
      <c r="CR510" s="33">
        <v>0</v>
      </c>
    </row>
    <row r="511" spans="1:96" ht="15" customHeight="1" x14ac:dyDescent="0.25">
      <c r="A511" s="26">
        <v>509</v>
      </c>
      <c r="B511" s="27">
        <v>33</v>
      </c>
      <c r="C511" s="27">
        <v>0</v>
      </c>
      <c r="D511" s="27">
        <v>2</v>
      </c>
      <c r="E511" s="27">
        <v>1296</v>
      </c>
      <c r="F511" s="27">
        <v>2</v>
      </c>
      <c r="G511" s="27">
        <v>6</v>
      </c>
      <c r="H511" s="27">
        <v>3</v>
      </c>
      <c r="I511" s="27">
        <v>1</v>
      </c>
      <c r="J511" s="27">
        <v>1</v>
      </c>
      <c r="K511" s="27">
        <v>692</v>
      </c>
      <c r="L511" s="27">
        <v>3</v>
      </c>
      <c r="M511" s="27">
        <v>1</v>
      </c>
      <c r="N511" s="27">
        <v>30</v>
      </c>
      <c r="O511" s="27">
        <v>3</v>
      </c>
      <c r="P511" s="27">
        <v>2</v>
      </c>
      <c r="Q511" s="27">
        <v>5</v>
      </c>
      <c r="R511" s="27">
        <v>4</v>
      </c>
      <c r="S511" s="27">
        <v>3</v>
      </c>
      <c r="T511" s="27">
        <v>7725</v>
      </c>
      <c r="U511" s="27">
        <v>5335</v>
      </c>
      <c r="V511" s="27">
        <v>3</v>
      </c>
      <c r="W511" s="27">
        <v>0</v>
      </c>
      <c r="X511" s="27">
        <v>23</v>
      </c>
      <c r="Y511" s="27">
        <v>4</v>
      </c>
      <c r="Z511" s="27">
        <v>3</v>
      </c>
      <c r="AA511" s="27">
        <v>80</v>
      </c>
      <c r="AB511" s="27">
        <v>1</v>
      </c>
      <c r="AC511" s="27">
        <v>15</v>
      </c>
      <c r="AD511" s="27">
        <v>2</v>
      </c>
      <c r="AE511" s="27">
        <v>1</v>
      </c>
      <c r="AF511" s="27">
        <v>13</v>
      </c>
      <c r="AG511" s="27">
        <v>11</v>
      </c>
      <c r="AH511" s="27">
        <v>4</v>
      </c>
      <c r="AI511" s="28">
        <v>7</v>
      </c>
      <c r="AK511" s="36">
        <v>478</v>
      </c>
      <c r="AL511" s="33">
        <v>3</v>
      </c>
      <c r="AM511" s="33">
        <v>5</v>
      </c>
      <c r="AN511" s="33">
        <v>2</v>
      </c>
      <c r="AO511" s="33">
        <v>1</v>
      </c>
      <c r="AP511" s="33">
        <v>0</v>
      </c>
      <c r="AQ511" s="33">
        <v>1</v>
      </c>
      <c r="AR511" s="33">
        <v>3</v>
      </c>
      <c r="AS511" s="33">
        <v>32</v>
      </c>
      <c r="AT511" s="33">
        <v>10</v>
      </c>
      <c r="AU511" s="43">
        <v>4.7088937204702863E-3</v>
      </c>
      <c r="AV511" s="33">
        <v>0</v>
      </c>
      <c r="AW511" s="33">
        <v>0</v>
      </c>
      <c r="AY511" s="36">
        <v>483</v>
      </c>
      <c r="AZ511" s="33">
        <v>2</v>
      </c>
      <c r="BA511" s="33">
        <v>1</v>
      </c>
      <c r="BB511" s="33">
        <v>0</v>
      </c>
      <c r="BC511" s="33">
        <v>0</v>
      </c>
      <c r="BD511" s="43">
        <v>0.19196561144667343</v>
      </c>
      <c r="BE511" s="33">
        <v>0</v>
      </c>
      <c r="BF511" s="33">
        <v>1</v>
      </c>
      <c r="CE511" s="36">
        <v>477</v>
      </c>
      <c r="CF511" s="33">
        <v>17</v>
      </c>
      <c r="CG511" s="33">
        <v>1</v>
      </c>
      <c r="CH511" s="33">
        <v>2</v>
      </c>
      <c r="CI511" s="33">
        <v>2</v>
      </c>
      <c r="CJ511" s="33">
        <v>1</v>
      </c>
      <c r="CK511" s="33">
        <v>0</v>
      </c>
      <c r="CL511" s="33">
        <v>1</v>
      </c>
      <c r="CM511" s="33">
        <v>3</v>
      </c>
      <c r="CN511" s="33">
        <v>1</v>
      </c>
      <c r="CO511" s="33">
        <v>0</v>
      </c>
      <c r="CP511" s="43">
        <v>0.16660510171223425</v>
      </c>
      <c r="CQ511" s="33">
        <v>0</v>
      </c>
      <c r="CR511" s="33">
        <v>0</v>
      </c>
    </row>
    <row r="512" spans="1:96" ht="15" customHeight="1" x14ac:dyDescent="0.25">
      <c r="A512" s="26">
        <v>510</v>
      </c>
      <c r="B512" s="27">
        <v>54</v>
      </c>
      <c r="C512" s="27">
        <v>0</v>
      </c>
      <c r="D512" s="27">
        <v>1</v>
      </c>
      <c r="E512" s="27">
        <v>397</v>
      </c>
      <c r="F512" s="27">
        <v>3</v>
      </c>
      <c r="G512" s="27">
        <v>19</v>
      </c>
      <c r="H512" s="27">
        <v>4</v>
      </c>
      <c r="I512" s="27">
        <v>3</v>
      </c>
      <c r="J512" s="27">
        <v>1</v>
      </c>
      <c r="K512" s="27">
        <v>698</v>
      </c>
      <c r="L512" s="27">
        <v>3</v>
      </c>
      <c r="M512" s="27">
        <v>1</v>
      </c>
      <c r="N512" s="27">
        <v>88</v>
      </c>
      <c r="O512" s="27">
        <v>3</v>
      </c>
      <c r="P512" s="27">
        <v>3</v>
      </c>
      <c r="Q512" s="27">
        <v>9</v>
      </c>
      <c r="R512" s="27">
        <v>2</v>
      </c>
      <c r="S512" s="27">
        <v>2</v>
      </c>
      <c r="T512" s="27">
        <v>10725</v>
      </c>
      <c r="U512" s="27">
        <v>6729</v>
      </c>
      <c r="V512" s="27">
        <v>2</v>
      </c>
      <c r="W512" s="27">
        <v>0</v>
      </c>
      <c r="X512" s="27">
        <v>15</v>
      </c>
      <c r="Y512" s="27">
        <v>3</v>
      </c>
      <c r="Z512" s="27">
        <v>3</v>
      </c>
      <c r="AA512" s="27">
        <v>80</v>
      </c>
      <c r="AB512" s="27">
        <v>1</v>
      </c>
      <c r="AC512" s="27">
        <v>16</v>
      </c>
      <c r="AD512" s="27">
        <v>1</v>
      </c>
      <c r="AE512" s="27">
        <v>4</v>
      </c>
      <c r="AF512" s="27">
        <v>9</v>
      </c>
      <c r="AG512" s="27">
        <v>7</v>
      </c>
      <c r="AH512" s="27">
        <v>7</v>
      </c>
      <c r="AI512" s="28">
        <v>1</v>
      </c>
      <c r="AK512" s="36">
        <v>479</v>
      </c>
      <c r="AL512" s="33">
        <v>13</v>
      </c>
      <c r="AM512" s="33">
        <v>1</v>
      </c>
      <c r="AN512" s="33">
        <v>3</v>
      </c>
      <c r="AO512" s="33">
        <v>1</v>
      </c>
      <c r="AP512" s="33">
        <v>0</v>
      </c>
      <c r="AQ512" s="33">
        <v>0</v>
      </c>
      <c r="AR512" s="33">
        <v>3</v>
      </c>
      <c r="AS512" s="33">
        <v>7</v>
      </c>
      <c r="AT512" s="33">
        <v>0</v>
      </c>
      <c r="AU512" s="43">
        <v>0.13392908857868061</v>
      </c>
      <c r="AV512" s="33">
        <v>0</v>
      </c>
      <c r="AW512" s="33">
        <v>0</v>
      </c>
      <c r="AY512" s="36">
        <v>484</v>
      </c>
      <c r="AZ512" s="33">
        <v>2</v>
      </c>
      <c r="BA512" s="33">
        <v>4</v>
      </c>
      <c r="BB512" s="33">
        <v>0</v>
      </c>
      <c r="BC512" s="33">
        <v>0</v>
      </c>
      <c r="BD512" s="43">
        <v>8.9935487507215722E-2</v>
      </c>
      <c r="BE512" s="33">
        <v>0</v>
      </c>
      <c r="BF512" s="33">
        <v>0</v>
      </c>
      <c r="CE512" s="36">
        <v>478</v>
      </c>
      <c r="CF512" s="33">
        <v>3</v>
      </c>
      <c r="CG512" s="33">
        <v>5</v>
      </c>
      <c r="CH512" s="33">
        <v>2</v>
      </c>
      <c r="CI512" s="33">
        <v>2</v>
      </c>
      <c r="CJ512" s="33">
        <v>1</v>
      </c>
      <c r="CK512" s="33">
        <v>0</v>
      </c>
      <c r="CL512" s="33">
        <v>1</v>
      </c>
      <c r="CM512" s="33">
        <v>3</v>
      </c>
      <c r="CN512" s="33">
        <v>32</v>
      </c>
      <c r="CO512" s="33">
        <v>10</v>
      </c>
      <c r="CP512" s="43">
        <v>4.8444572050012529E-3</v>
      </c>
      <c r="CQ512" s="33">
        <v>0</v>
      </c>
      <c r="CR512" s="33">
        <v>0</v>
      </c>
    </row>
    <row r="513" spans="1:96" ht="15" customHeight="1" x14ac:dyDescent="0.25">
      <c r="A513" s="26">
        <v>511</v>
      </c>
      <c r="B513" s="27">
        <v>36</v>
      </c>
      <c r="C513" s="27">
        <v>0</v>
      </c>
      <c r="D513" s="27">
        <v>1</v>
      </c>
      <c r="E513" s="27">
        <v>913</v>
      </c>
      <c r="F513" s="27">
        <v>2</v>
      </c>
      <c r="G513" s="27">
        <v>9</v>
      </c>
      <c r="H513" s="27">
        <v>2</v>
      </c>
      <c r="I513" s="27">
        <v>3</v>
      </c>
      <c r="J513" s="27">
        <v>1</v>
      </c>
      <c r="K513" s="27">
        <v>699</v>
      </c>
      <c r="L513" s="27">
        <v>2</v>
      </c>
      <c r="M513" s="27">
        <v>1</v>
      </c>
      <c r="N513" s="27">
        <v>48</v>
      </c>
      <c r="O513" s="27">
        <v>2</v>
      </c>
      <c r="P513" s="27">
        <v>2</v>
      </c>
      <c r="Q513" s="27">
        <v>4</v>
      </c>
      <c r="R513" s="27">
        <v>2</v>
      </c>
      <c r="S513" s="27">
        <v>3</v>
      </c>
      <c r="T513" s="27">
        <v>8847</v>
      </c>
      <c r="U513" s="27">
        <v>13934</v>
      </c>
      <c r="V513" s="27">
        <v>2</v>
      </c>
      <c r="W513" s="27">
        <v>1</v>
      </c>
      <c r="X513" s="27">
        <v>11</v>
      </c>
      <c r="Y513" s="27">
        <v>3</v>
      </c>
      <c r="Z513" s="27">
        <v>3</v>
      </c>
      <c r="AA513" s="27">
        <v>80</v>
      </c>
      <c r="AB513" s="27">
        <v>1</v>
      </c>
      <c r="AC513" s="27">
        <v>13</v>
      </c>
      <c r="AD513" s="27">
        <v>2</v>
      </c>
      <c r="AE513" s="27">
        <v>3</v>
      </c>
      <c r="AF513" s="27">
        <v>3</v>
      </c>
      <c r="AG513" s="27">
        <v>2</v>
      </c>
      <c r="AH513" s="27">
        <v>0</v>
      </c>
      <c r="AI513" s="28">
        <v>2</v>
      </c>
      <c r="AK513" s="36">
        <v>480</v>
      </c>
      <c r="AL513" s="33">
        <v>7</v>
      </c>
      <c r="AM513" s="33">
        <v>1</v>
      </c>
      <c r="AN513" s="33">
        <v>3</v>
      </c>
      <c r="AO513" s="33">
        <v>1</v>
      </c>
      <c r="AP513" s="33">
        <v>1</v>
      </c>
      <c r="AQ513" s="33">
        <v>1</v>
      </c>
      <c r="AR513" s="33">
        <v>3</v>
      </c>
      <c r="AS513" s="33">
        <v>6</v>
      </c>
      <c r="AT513" s="33">
        <v>1</v>
      </c>
      <c r="AU513" s="43">
        <v>0.27391346501379232</v>
      </c>
      <c r="AV513" s="33">
        <v>0</v>
      </c>
      <c r="AW513" s="33">
        <v>1</v>
      </c>
      <c r="AY513" s="36">
        <v>485</v>
      </c>
      <c r="AZ513" s="33">
        <v>2</v>
      </c>
      <c r="BA513" s="33">
        <v>4</v>
      </c>
      <c r="BB513" s="33">
        <v>0</v>
      </c>
      <c r="BC513" s="33">
        <v>2</v>
      </c>
      <c r="BD513" s="43">
        <v>3.3256067423154199E-2</v>
      </c>
      <c r="BE513" s="33">
        <v>0</v>
      </c>
      <c r="BF513" s="33">
        <v>0</v>
      </c>
      <c r="CE513" s="36">
        <v>479</v>
      </c>
      <c r="CF513" s="33">
        <v>13</v>
      </c>
      <c r="CG513" s="33">
        <v>1</v>
      </c>
      <c r="CH513" s="33">
        <v>3</v>
      </c>
      <c r="CI513" s="33">
        <v>2</v>
      </c>
      <c r="CJ513" s="33">
        <v>1</v>
      </c>
      <c r="CK513" s="33">
        <v>0</v>
      </c>
      <c r="CL513" s="33">
        <v>0</v>
      </c>
      <c r="CM513" s="33">
        <v>3</v>
      </c>
      <c r="CN513" s="33">
        <v>7</v>
      </c>
      <c r="CO513" s="33">
        <v>0</v>
      </c>
      <c r="CP513" s="43">
        <v>9.3968951420488958E-2</v>
      </c>
      <c r="CQ513" s="33">
        <v>0</v>
      </c>
      <c r="CR513" s="33">
        <v>0</v>
      </c>
    </row>
    <row r="514" spans="1:96" ht="15" customHeight="1" x14ac:dyDescent="0.25">
      <c r="A514" s="26">
        <v>512</v>
      </c>
      <c r="B514" s="27">
        <v>27</v>
      </c>
      <c r="C514" s="27">
        <v>0</v>
      </c>
      <c r="D514" s="27">
        <v>1</v>
      </c>
      <c r="E514" s="27">
        <v>1115</v>
      </c>
      <c r="F514" s="27">
        <v>2</v>
      </c>
      <c r="G514" s="27">
        <v>3</v>
      </c>
      <c r="H514" s="27">
        <v>4</v>
      </c>
      <c r="I514" s="27">
        <v>3</v>
      </c>
      <c r="J514" s="27">
        <v>1</v>
      </c>
      <c r="K514" s="27">
        <v>700</v>
      </c>
      <c r="L514" s="27">
        <v>1</v>
      </c>
      <c r="M514" s="27">
        <v>1</v>
      </c>
      <c r="N514" s="27">
        <v>54</v>
      </c>
      <c r="O514" s="27">
        <v>2</v>
      </c>
      <c r="P514" s="27">
        <v>1</v>
      </c>
      <c r="Q514" s="27">
        <v>2</v>
      </c>
      <c r="R514" s="27">
        <v>4</v>
      </c>
      <c r="S514" s="27">
        <v>1</v>
      </c>
      <c r="T514" s="27">
        <v>2045</v>
      </c>
      <c r="U514" s="27">
        <v>15174</v>
      </c>
      <c r="V514" s="27">
        <v>0</v>
      </c>
      <c r="W514" s="27">
        <v>0</v>
      </c>
      <c r="X514" s="27">
        <v>13</v>
      </c>
      <c r="Y514" s="27">
        <v>3</v>
      </c>
      <c r="Z514" s="27">
        <v>4</v>
      </c>
      <c r="AA514" s="27">
        <v>80</v>
      </c>
      <c r="AB514" s="27">
        <v>0</v>
      </c>
      <c r="AC514" s="27">
        <v>5</v>
      </c>
      <c r="AD514" s="27">
        <v>0</v>
      </c>
      <c r="AE514" s="27">
        <v>3</v>
      </c>
      <c r="AF514" s="27">
        <v>4</v>
      </c>
      <c r="AG514" s="27">
        <v>2</v>
      </c>
      <c r="AH514" s="27">
        <v>1</v>
      </c>
      <c r="AI514" s="28">
        <v>1</v>
      </c>
      <c r="AK514" s="36">
        <v>481</v>
      </c>
      <c r="AL514" s="33">
        <v>12</v>
      </c>
      <c r="AM514" s="33">
        <v>1</v>
      </c>
      <c r="AN514" s="33">
        <v>1</v>
      </c>
      <c r="AO514" s="33">
        <v>1</v>
      </c>
      <c r="AP514" s="33">
        <v>0</v>
      </c>
      <c r="AQ514" s="33">
        <v>1</v>
      </c>
      <c r="AR514" s="33">
        <v>4</v>
      </c>
      <c r="AS514" s="33">
        <v>1</v>
      </c>
      <c r="AT514" s="33">
        <v>0</v>
      </c>
      <c r="AU514" s="43">
        <v>0.15666330890252544</v>
      </c>
      <c r="AV514" s="33">
        <v>0</v>
      </c>
      <c r="AW514" s="33">
        <v>1</v>
      </c>
      <c r="AY514" s="36">
        <v>486</v>
      </c>
      <c r="AZ514" s="33">
        <v>1</v>
      </c>
      <c r="BA514" s="33">
        <v>3</v>
      </c>
      <c r="BB514" s="33">
        <v>0</v>
      </c>
      <c r="BC514" s="33">
        <v>2</v>
      </c>
      <c r="BD514" s="43">
        <v>7.4543423691031577E-2</v>
      </c>
      <c r="BE514" s="33">
        <v>0</v>
      </c>
      <c r="BF514" s="33">
        <v>0</v>
      </c>
      <c r="CE514" s="36">
        <v>480</v>
      </c>
      <c r="CF514" s="33">
        <v>7</v>
      </c>
      <c r="CG514" s="33">
        <v>1</v>
      </c>
      <c r="CH514" s="33">
        <v>3</v>
      </c>
      <c r="CI514" s="33">
        <v>2</v>
      </c>
      <c r="CJ514" s="33">
        <v>1</v>
      </c>
      <c r="CK514" s="33">
        <v>1</v>
      </c>
      <c r="CL514" s="33">
        <v>1</v>
      </c>
      <c r="CM514" s="33">
        <v>3</v>
      </c>
      <c r="CN514" s="33">
        <v>6</v>
      </c>
      <c r="CO514" s="33">
        <v>1</v>
      </c>
      <c r="CP514" s="43">
        <v>0.27197138612238414</v>
      </c>
      <c r="CQ514" s="33">
        <v>0</v>
      </c>
      <c r="CR514" s="33">
        <v>1</v>
      </c>
    </row>
    <row r="515" spans="1:96" ht="15" customHeight="1" x14ac:dyDescent="0.25">
      <c r="A515" s="26">
        <v>513</v>
      </c>
      <c r="B515" s="27">
        <v>20</v>
      </c>
      <c r="C515" s="27">
        <v>1</v>
      </c>
      <c r="D515" s="27">
        <v>1</v>
      </c>
      <c r="E515" s="27">
        <v>1362</v>
      </c>
      <c r="F515" s="27">
        <v>2</v>
      </c>
      <c r="G515" s="27">
        <v>10</v>
      </c>
      <c r="H515" s="27">
        <v>1</v>
      </c>
      <c r="I515" s="27">
        <v>3</v>
      </c>
      <c r="J515" s="27">
        <v>1</v>
      </c>
      <c r="K515" s="27">
        <v>701</v>
      </c>
      <c r="L515" s="27">
        <v>4</v>
      </c>
      <c r="M515" s="27">
        <v>1</v>
      </c>
      <c r="N515" s="27">
        <v>32</v>
      </c>
      <c r="O515" s="27">
        <v>3</v>
      </c>
      <c r="P515" s="27">
        <v>1</v>
      </c>
      <c r="Q515" s="27">
        <v>2</v>
      </c>
      <c r="R515" s="27">
        <v>3</v>
      </c>
      <c r="S515" s="27">
        <v>1</v>
      </c>
      <c r="T515" s="27">
        <v>1009</v>
      </c>
      <c r="U515" s="27">
        <v>26999</v>
      </c>
      <c r="V515" s="27">
        <v>1</v>
      </c>
      <c r="W515" s="27">
        <v>1</v>
      </c>
      <c r="X515" s="27">
        <v>11</v>
      </c>
      <c r="Y515" s="27">
        <v>3</v>
      </c>
      <c r="Z515" s="27">
        <v>4</v>
      </c>
      <c r="AA515" s="27">
        <v>80</v>
      </c>
      <c r="AB515" s="27">
        <v>0</v>
      </c>
      <c r="AC515" s="27">
        <v>1</v>
      </c>
      <c r="AD515" s="27">
        <v>5</v>
      </c>
      <c r="AE515" s="27">
        <v>3</v>
      </c>
      <c r="AF515" s="27">
        <v>1</v>
      </c>
      <c r="AG515" s="27">
        <v>0</v>
      </c>
      <c r="AH515" s="27">
        <v>1</v>
      </c>
      <c r="AI515" s="28">
        <v>1</v>
      </c>
      <c r="AK515" s="36">
        <v>482</v>
      </c>
      <c r="AL515" s="33">
        <v>1</v>
      </c>
      <c r="AM515" s="33">
        <v>1</v>
      </c>
      <c r="AN515" s="33">
        <v>4</v>
      </c>
      <c r="AO515" s="33">
        <v>1</v>
      </c>
      <c r="AP515" s="33">
        <v>1</v>
      </c>
      <c r="AQ515" s="33">
        <v>1</v>
      </c>
      <c r="AR515" s="33">
        <v>3</v>
      </c>
      <c r="AS515" s="33">
        <v>6</v>
      </c>
      <c r="AT515" s="33">
        <v>1</v>
      </c>
      <c r="AU515" s="43">
        <v>0.18714021788789217</v>
      </c>
      <c r="AV515" s="33">
        <v>0</v>
      </c>
      <c r="AW515" s="33">
        <v>0</v>
      </c>
      <c r="AY515" s="36">
        <v>487</v>
      </c>
      <c r="AZ515" s="33">
        <v>2</v>
      </c>
      <c r="BA515" s="33">
        <v>3</v>
      </c>
      <c r="BB515" s="33">
        <v>1</v>
      </c>
      <c r="BC515" s="33">
        <v>1</v>
      </c>
      <c r="BD515" s="43">
        <v>0.25031066197755131</v>
      </c>
      <c r="BE515" s="33">
        <v>0</v>
      </c>
      <c r="BF515" s="33">
        <v>0</v>
      </c>
      <c r="CE515" s="36">
        <v>481</v>
      </c>
      <c r="CF515" s="33">
        <v>12</v>
      </c>
      <c r="CG515" s="33">
        <v>1</v>
      </c>
      <c r="CH515" s="33">
        <v>1</v>
      </c>
      <c r="CI515" s="33">
        <v>2</v>
      </c>
      <c r="CJ515" s="33">
        <v>1</v>
      </c>
      <c r="CK515" s="33">
        <v>0</v>
      </c>
      <c r="CL515" s="33">
        <v>1</v>
      </c>
      <c r="CM515" s="33">
        <v>4</v>
      </c>
      <c r="CN515" s="33">
        <v>1</v>
      </c>
      <c r="CO515" s="33">
        <v>0</v>
      </c>
      <c r="CP515" s="43">
        <v>0.15252281833220019</v>
      </c>
      <c r="CQ515" s="33">
        <v>0</v>
      </c>
      <c r="CR515" s="33">
        <v>1</v>
      </c>
    </row>
    <row r="516" spans="1:96" ht="15" customHeight="1" x14ac:dyDescent="0.25">
      <c r="A516" s="26">
        <v>514</v>
      </c>
      <c r="B516" s="27">
        <v>33</v>
      </c>
      <c r="C516" s="27">
        <v>1</v>
      </c>
      <c r="D516" s="27">
        <v>2</v>
      </c>
      <c r="E516" s="27">
        <v>1076</v>
      </c>
      <c r="F516" s="27">
        <v>2</v>
      </c>
      <c r="G516" s="27">
        <v>3</v>
      </c>
      <c r="H516" s="27">
        <v>3</v>
      </c>
      <c r="I516" s="27">
        <v>1</v>
      </c>
      <c r="J516" s="27">
        <v>1</v>
      </c>
      <c r="K516" s="27">
        <v>702</v>
      </c>
      <c r="L516" s="27">
        <v>1</v>
      </c>
      <c r="M516" s="27">
        <v>1</v>
      </c>
      <c r="N516" s="27">
        <v>70</v>
      </c>
      <c r="O516" s="27">
        <v>3</v>
      </c>
      <c r="P516" s="27">
        <v>1</v>
      </c>
      <c r="Q516" s="27">
        <v>2</v>
      </c>
      <c r="R516" s="27">
        <v>1</v>
      </c>
      <c r="S516" s="27">
        <v>1</v>
      </c>
      <c r="T516" s="27">
        <v>3348</v>
      </c>
      <c r="U516" s="27">
        <v>3164</v>
      </c>
      <c r="V516" s="27">
        <v>1</v>
      </c>
      <c r="W516" s="27">
        <v>1</v>
      </c>
      <c r="X516" s="27">
        <v>11</v>
      </c>
      <c r="Y516" s="27">
        <v>3</v>
      </c>
      <c r="Z516" s="27">
        <v>1</v>
      </c>
      <c r="AA516" s="27">
        <v>80</v>
      </c>
      <c r="AB516" s="27">
        <v>0</v>
      </c>
      <c r="AC516" s="27">
        <v>10</v>
      </c>
      <c r="AD516" s="27">
        <v>3</v>
      </c>
      <c r="AE516" s="27">
        <v>3</v>
      </c>
      <c r="AF516" s="27">
        <v>10</v>
      </c>
      <c r="AG516" s="27">
        <v>8</v>
      </c>
      <c r="AH516" s="27">
        <v>9</v>
      </c>
      <c r="AI516" s="28">
        <v>7</v>
      </c>
      <c r="AK516" s="36">
        <v>483</v>
      </c>
      <c r="AL516" s="33">
        <v>13</v>
      </c>
      <c r="AM516" s="33">
        <v>2</v>
      </c>
      <c r="AN516" s="33">
        <v>1</v>
      </c>
      <c r="AO516" s="33">
        <v>2</v>
      </c>
      <c r="AP516" s="33">
        <v>0</v>
      </c>
      <c r="AQ516" s="33">
        <v>0</v>
      </c>
      <c r="AR516" s="33">
        <v>1</v>
      </c>
      <c r="AS516" s="33">
        <v>3</v>
      </c>
      <c r="AT516" s="33">
        <v>1</v>
      </c>
      <c r="AU516" s="43">
        <v>0.29248324848732976</v>
      </c>
      <c r="AV516" s="33">
        <v>0</v>
      </c>
      <c r="AW516" s="33">
        <v>1</v>
      </c>
      <c r="AY516" s="36">
        <v>488</v>
      </c>
      <c r="AZ516" s="33">
        <v>1</v>
      </c>
      <c r="BA516" s="33">
        <v>2</v>
      </c>
      <c r="BB516" s="33">
        <v>0</v>
      </c>
      <c r="BC516" s="33">
        <v>0</v>
      </c>
      <c r="BD516" s="43">
        <v>0.23662845161334917</v>
      </c>
      <c r="BE516" s="33">
        <v>0</v>
      </c>
      <c r="BF516" s="33">
        <v>0</v>
      </c>
      <c r="CE516" s="36">
        <v>482</v>
      </c>
      <c r="CF516" s="33">
        <v>1</v>
      </c>
      <c r="CG516" s="33">
        <v>1</v>
      </c>
      <c r="CH516" s="33">
        <v>4</v>
      </c>
      <c r="CI516" s="33">
        <v>2</v>
      </c>
      <c r="CJ516" s="33">
        <v>1</v>
      </c>
      <c r="CK516" s="33">
        <v>1</v>
      </c>
      <c r="CL516" s="33">
        <v>1</v>
      </c>
      <c r="CM516" s="33">
        <v>3</v>
      </c>
      <c r="CN516" s="33">
        <v>6</v>
      </c>
      <c r="CO516" s="33">
        <v>1</v>
      </c>
      <c r="CP516" s="43">
        <v>0.18318412318097876</v>
      </c>
      <c r="CQ516" s="33">
        <v>0</v>
      </c>
      <c r="CR516" s="33">
        <v>0</v>
      </c>
    </row>
    <row r="517" spans="1:96" ht="15" customHeight="1" x14ac:dyDescent="0.25">
      <c r="A517" s="26">
        <v>515</v>
      </c>
      <c r="B517" s="27">
        <v>35</v>
      </c>
      <c r="C517" s="27">
        <v>0</v>
      </c>
      <c r="D517" s="27">
        <v>3</v>
      </c>
      <c r="E517" s="27">
        <v>727</v>
      </c>
      <c r="F517" s="27">
        <v>2</v>
      </c>
      <c r="G517" s="27">
        <v>3</v>
      </c>
      <c r="H517" s="27">
        <v>3</v>
      </c>
      <c r="I517" s="27">
        <v>1</v>
      </c>
      <c r="J517" s="27">
        <v>1</v>
      </c>
      <c r="K517" s="27">
        <v>704</v>
      </c>
      <c r="L517" s="27">
        <v>3</v>
      </c>
      <c r="M517" s="27">
        <v>1</v>
      </c>
      <c r="N517" s="27">
        <v>41</v>
      </c>
      <c r="O517" s="27">
        <v>2</v>
      </c>
      <c r="P517" s="27">
        <v>1</v>
      </c>
      <c r="Q517" s="27">
        <v>3</v>
      </c>
      <c r="R517" s="27">
        <v>3</v>
      </c>
      <c r="S517" s="27">
        <v>2</v>
      </c>
      <c r="T517" s="27">
        <v>1281</v>
      </c>
      <c r="U517" s="27">
        <v>16900</v>
      </c>
      <c r="V517" s="27">
        <v>1</v>
      </c>
      <c r="W517" s="27">
        <v>0</v>
      </c>
      <c r="X517" s="27">
        <v>18</v>
      </c>
      <c r="Y517" s="27">
        <v>3</v>
      </c>
      <c r="Z517" s="27">
        <v>3</v>
      </c>
      <c r="AA517" s="27">
        <v>80</v>
      </c>
      <c r="AB517" s="27">
        <v>2</v>
      </c>
      <c r="AC517" s="27">
        <v>1</v>
      </c>
      <c r="AD517" s="27">
        <v>3</v>
      </c>
      <c r="AE517" s="27">
        <v>3</v>
      </c>
      <c r="AF517" s="27">
        <v>1</v>
      </c>
      <c r="AG517" s="27">
        <v>0</v>
      </c>
      <c r="AH517" s="27">
        <v>0</v>
      </c>
      <c r="AI517" s="28">
        <v>0</v>
      </c>
      <c r="AK517" s="36">
        <v>484</v>
      </c>
      <c r="AL517" s="33">
        <v>25</v>
      </c>
      <c r="AM517" s="33">
        <v>2</v>
      </c>
      <c r="AN517" s="33">
        <v>4</v>
      </c>
      <c r="AO517" s="33">
        <v>4</v>
      </c>
      <c r="AP517" s="33">
        <v>0</v>
      </c>
      <c r="AQ517" s="33">
        <v>0</v>
      </c>
      <c r="AR517" s="33">
        <v>3</v>
      </c>
      <c r="AS517" s="33">
        <v>3</v>
      </c>
      <c r="AT517" s="33">
        <v>0</v>
      </c>
      <c r="AU517" s="43">
        <v>0.14600959891356186</v>
      </c>
      <c r="AV517" s="33">
        <v>0</v>
      </c>
      <c r="AW517" s="33">
        <v>0</v>
      </c>
      <c r="AY517" s="36">
        <v>489</v>
      </c>
      <c r="AZ517" s="33">
        <v>2</v>
      </c>
      <c r="BA517" s="33">
        <v>4</v>
      </c>
      <c r="BB517" s="33">
        <v>0</v>
      </c>
      <c r="BC517" s="33">
        <v>2</v>
      </c>
      <c r="BD517" s="43">
        <v>3.3256067423154199E-2</v>
      </c>
      <c r="BE517" s="33">
        <v>0</v>
      </c>
      <c r="BF517" s="33">
        <v>0</v>
      </c>
      <c r="CE517" s="36">
        <v>483</v>
      </c>
      <c r="CF517" s="33">
        <v>13</v>
      </c>
      <c r="CG517" s="33">
        <v>2</v>
      </c>
      <c r="CH517" s="33">
        <v>1</v>
      </c>
      <c r="CI517" s="33">
        <v>3</v>
      </c>
      <c r="CJ517" s="33">
        <v>2</v>
      </c>
      <c r="CK517" s="33">
        <v>0</v>
      </c>
      <c r="CL517" s="33">
        <v>0</v>
      </c>
      <c r="CM517" s="33">
        <v>1</v>
      </c>
      <c r="CN517" s="33">
        <v>3</v>
      </c>
      <c r="CO517" s="33">
        <v>1</v>
      </c>
      <c r="CP517" s="43">
        <v>0.14806903028223156</v>
      </c>
      <c r="CQ517" s="33">
        <v>0</v>
      </c>
      <c r="CR517" s="33">
        <v>1</v>
      </c>
    </row>
    <row r="518" spans="1:96" ht="15" customHeight="1" x14ac:dyDescent="0.25">
      <c r="A518" s="26">
        <v>516</v>
      </c>
      <c r="B518" s="27">
        <v>23</v>
      </c>
      <c r="C518" s="27">
        <v>0</v>
      </c>
      <c r="D518" s="27">
        <v>1</v>
      </c>
      <c r="E518" s="27">
        <v>885</v>
      </c>
      <c r="F518" s="27">
        <v>2</v>
      </c>
      <c r="G518" s="27">
        <v>4</v>
      </c>
      <c r="H518" s="27">
        <v>3</v>
      </c>
      <c r="I518" s="27">
        <v>3</v>
      </c>
      <c r="J518" s="27">
        <v>1</v>
      </c>
      <c r="K518" s="27">
        <v>705</v>
      </c>
      <c r="L518" s="27">
        <v>1</v>
      </c>
      <c r="M518" s="27">
        <v>1</v>
      </c>
      <c r="N518" s="27">
        <v>58</v>
      </c>
      <c r="O518" s="27">
        <v>4</v>
      </c>
      <c r="P518" s="27">
        <v>1</v>
      </c>
      <c r="Q518" s="27">
        <v>2</v>
      </c>
      <c r="R518" s="27">
        <v>1</v>
      </c>
      <c r="S518" s="27">
        <v>2</v>
      </c>
      <c r="T518" s="27">
        <v>2819</v>
      </c>
      <c r="U518" s="27">
        <v>8544</v>
      </c>
      <c r="V518" s="27">
        <v>2</v>
      </c>
      <c r="W518" s="27">
        <v>0</v>
      </c>
      <c r="X518" s="27">
        <v>16</v>
      </c>
      <c r="Y518" s="27">
        <v>3</v>
      </c>
      <c r="Z518" s="27">
        <v>1</v>
      </c>
      <c r="AA518" s="27">
        <v>80</v>
      </c>
      <c r="AB518" s="27">
        <v>1</v>
      </c>
      <c r="AC518" s="27">
        <v>5</v>
      </c>
      <c r="AD518" s="27">
        <v>3</v>
      </c>
      <c r="AE518" s="27">
        <v>4</v>
      </c>
      <c r="AF518" s="27">
        <v>3</v>
      </c>
      <c r="AG518" s="27">
        <v>2</v>
      </c>
      <c r="AH518" s="27">
        <v>0</v>
      </c>
      <c r="AI518" s="28">
        <v>2</v>
      </c>
      <c r="AK518" s="36">
        <v>485</v>
      </c>
      <c r="AL518" s="33">
        <v>6</v>
      </c>
      <c r="AM518" s="33">
        <v>2</v>
      </c>
      <c r="AN518" s="33">
        <v>4</v>
      </c>
      <c r="AO518" s="33">
        <v>4</v>
      </c>
      <c r="AP518" s="33">
        <v>0</v>
      </c>
      <c r="AQ518" s="33">
        <v>2</v>
      </c>
      <c r="AR518" s="33">
        <v>4</v>
      </c>
      <c r="AS518" s="33">
        <v>7</v>
      </c>
      <c r="AT518" s="33">
        <v>5</v>
      </c>
      <c r="AU518" s="43">
        <v>2.9489373169897349E-2</v>
      </c>
      <c r="AV518" s="33">
        <v>0</v>
      </c>
      <c r="AW518" s="33">
        <v>0</v>
      </c>
      <c r="AY518" s="36">
        <v>490</v>
      </c>
      <c r="AZ518" s="33">
        <v>4</v>
      </c>
      <c r="BA518" s="33">
        <v>4</v>
      </c>
      <c r="BB518" s="33">
        <v>1</v>
      </c>
      <c r="BC518" s="33">
        <v>1</v>
      </c>
      <c r="BD518" s="43">
        <v>7.5427466859562448E-2</v>
      </c>
      <c r="BE518" s="33">
        <v>0</v>
      </c>
      <c r="BF518" s="33">
        <v>0</v>
      </c>
      <c r="CE518" s="36">
        <v>484</v>
      </c>
      <c r="CF518" s="33">
        <v>25</v>
      </c>
      <c r="CG518" s="33">
        <v>2</v>
      </c>
      <c r="CH518" s="33">
        <v>4</v>
      </c>
      <c r="CI518" s="33">
        <v>1</v>
      </c>
      <c r="CJ518" s="33">
        <v>4</v>
      </c>
      <c r="CK518" s="33">
        <v>0</v>
      </c>
      <c r="CL518" s="33">
        <v>0</v>
      </c>
      <c r="CM518" s="33">
        <v>3</v>
      </c>
      <c r="CN518" s="33">
        <v>3</v>
      </c>
      <c r="CO518" s="33">
        <v>0</v>
      </c>
      <c r="CP518" s="43">
        <v>0.16581247151649162</v>
      </c>
      <c r="CQ518" s="33">
        <v>0</v>
      </c>
      <c r="CR518" s="33">
        <v>0</v>
      </c>
    </row>
    <row r="519" spans="1:96" ht="15" customHeight="1" x14ac:dyDescent="0.25">
      <c r="A519" s="26">
        <v>517</v>
      </c>
      <c r="B519" s="27">
        <v>25</v>
      </c>
      <c r="C519" s="27">
        <v>0</v>
      </c>
      <c r="D519" s="27">
        <v>1</v>
      </c>
      <c r="E519" s="27">
        <v>810</v>
      </c>
      <c r="F519" s="27">
        <v>1</v>
      </c>
      <c r="G519" s="27">
        <v>8</v>
      </c>
      <c r="H519" s="27">
        <v>3</v>
      </c>
      <c r="I519" s="27">
        <v>1</v>
      </c>
      <c r="J519" s="27">
        <v>1</v>
      </c>
      <c r="K519" s="27">
        <v>707</v>
      </c>
      <c r="L519" s="27">
        <v>4</v>
      </c>
      <c r="M519" s="27">
        <v>1</v>
      </c>
      <c r="N519" s="27">
        <v>57</v>
      </c>
      <c r="O519" s="27">
        <v>4</v>
      </c>
      <c r="P519" s="27">
        <v>2</v>
      </c>
      <c r="Q519" s="27">
        <v>1</v>
      </c>
      <c r="R519" s="27">
        <v>2</v>
      </c>
      <c r="S519" s="27">
        <v>2</v>
      </c>
      <c r="T519" s="27">
        <v>4851</v>
      </c>
      <c r="U519" s="27">
        <v>15678</v>
      </c>
      <c r="V519" s="27">
        <v>0</v>
      </c>
      <c r="W519" s="27">
        <v>0</v>
      </c>
      <c r="X519" s="27">
        <v>22</v>
      </c>
      <c r="Y519" s="27">
        <v>4</v>
      </c>
      <c r="Z519" s="27">
        <v>3</v>
      </c>
      <c r="AA519" s="27">
        <v>80</v>
      </c>
      <c r="AB519" s="27">
        <v>1</v>
      </c>
      <c r="AC519" s="27">
        <v>4</v>
      </c>
      <c r="AD519" s="27">
        <v>4</v>
      </c>
      <c r="AE519" s="27">
        <v>3</v>
      </c>
      <c r="AF519" s="27">
        <v>3</v>
      </c>
      <c r="AG519" s="27">
        <v>2</v>
      </c>
      <c r="AH519" s="27">
        <v>1</v>
      </c>
      <c r="AI519" s="28">
        <v>2</v>
      </c>
      <c r="AK519" s="36">
        <v>486</v>
      </c>
      <c r="AL519" s="33">
        <v>6</v>
      </c>
      <c r="AM519" s="33">
        <v>1</v>
      </c>
      <c r="AN519" s="33">
        <v>3</v>
      </c>
      <c r="AO519" s="33">
        <v>0</v>
      </c>
      <c r="AP519" s="33">
        <v>0</v>
      </c>
      <c r="AQ519" s="33">
        <v>2</v>
      </c>
      <c r="AR519" s="33">
        <v>2</v>
      </c>
      <c r="AS519" s="33">
        <v>5</v>
      </c>
      <c r="AT519" s="33">
        <v>0</v>
      </c>
      <c r="AU519" s="43">
        <v>5.0040107788071227E-2</v>
      </c>
      <c r="AV519" s="33">
        <v>0</v>
      </c>
      <c r="AW519" s="33">
        <v>0</v>
      </c>
      <c r="AY519" s="36">
        <v>491</v>
      </c>
      <c r="AZ519" s="33">
        <v>1</v>
      </c>
      <c r="BA519" s="33">
        <v>1</v>
      </c>
      <c r="BB519" s="33">
        <v>0</v>
      </c>
      <c r="BC519" s="33">
        <v>0</v>
      </c>
      <c r="BD519" s="43">
        <v>0.29341085656570393</v>
      </c>
      <c r="BE519" s="33">
        <v>0</v>
      </c>
      <c r="BF519" s="33">
        <v>0</v>
      </c>
      <c r="CE519" s="36">
        <v>485</v>
      </c>
      <c r="CF519" s="33">
        <v>6</v>
      </c>
      <c r="CG519" s="33">
        <v>2</v>
      </c>
      <c r="CH519" s="33">
        <v>4</v>
      </c>
      <c r="CI519" s="33">
        <v>3</v>
      </c>
      <c r="CJ519" s="33">
        <v>4</v>
      </c>
      <c r="CK519" s="33">
        <v>0</v>
      </c>
      <c r="CL519" s="33">
        <v>2</v>
      </c>
      <c r="CM519" s="33">
        <v>4</v>
      </c>
      <c r="CN519" s="33">
        <v>7</v>
      </c>
      <c r="CO519" s="33">
        <v>5</v>
      </c>
      <c r="CP519" s="43">
        <v>2.2733560319008025E-2</v>
      </c>
      <c r="CQ519" s="33">
        <v>0</v>
      </c>
      <c r="CR519" s="33">
        <v>0</v>
      </c>
    </row>
    <row r="520" spans="1:96" ht="15" customHeight="1" x14ac:dyDescent="0.25">
      <c r="A520" s="26">
        <v>518</v>
      </c>
      <c r="B520" s="27">
        <v>38</v>
      </c>
      <c r="C520" s="27">
        <v>0</v>
      </c>
      <c r="D520" s="27">
        <v>1</v>
      </c>
      <c r="E520" s="27">
        <v>243</v>
      </c>
      <c r="F520" s="27">
        <v>1</v>
      </c>
      <c r="G520" s="27">
        <v>7</v>
      </c>
      <c r="H520" s="27">
        <v>4</v>
      </c>
      <c r="I520" s="27">
        <v>4</v>
      </c>
      <c r="J520" s="27">
        <v>1</v>
      </c>
      <c r="K520" s="27">
        <v>709</v>
      </c>
      <c r="L520" s="27">
        <v>4</v>
      </c>
      <c r="M520" s="27">
        <v>0</v>
      </c>
      <c r="N520" s="27">
        <v>46</v>
      </c>
      <c r="O520" s="27">
        <v>2</v>
      </c>
      <c r="P520" s="27">
        <v>2</v>
      </c>
      <c r="Q520" s="27">
        <v>1</v>
      </c>
      <c r="R520" s="27">
        <v>4</v>
      </c>
      <c r="S520" s="27">
        <v>1</v>
      </c>
      <c r="T520" s="27">
        <v>4028</v>
      </c>
      <c r="U520" s="27">
        <v>7791</v>
      </c>
      <c r="V520" s="27">
        <v>0</v>
      </c>
      <c r="W520" s="27">
        <v>0</v>
      </c>
      <c r="X520" s="27">
        <v>20</v>
      </c>
      <c r="Y520" s="27">
        <v>4</v>
      </c>
      <c r="Z520" s="27">
        <v>1</v>
      </c>
      <c r="AA520" s="27">
        <v>80</v>
      </c>
      <c r="AB520" s="27">
        <v>0</v>
      </c>
      <c r="AC520" s="27">
        <v>8</v>
      </c>
      <c r="AD520" s="27">
        <v>2</v>
      </c>
      <c r="AE520" s="27">
        <v>3</v>
      </c>
      <c r="AF520" s="27">
        <v>7</v>
      </c>
      <c r="AG520" s="27">
        <v>7</v>
      </c>
      <c r="AH520" s="27">
        <v>0</v>
      </c>
      <c r="AI520" s="28">
        <v>5</v>
      </c>
      <c r="AK520" s="36">
        <v>487</v>
      </c>
      <c r="AL520" s="33">
        <v>2</v>
      </c>
      <c r="AM520" s="33">
        <v>2</v>
      </c>
      <c r="AN520" s="33">
        <v>3</v>
      </c>
      <c r="AO520" s="33">
        <v>4</v>
      </c>
      <c r="AP520" s="33">
        <v>1</v>
      </c>
      <c r="AQ520" s="33">
        <v>1</v>
      </c>
      <c r="AR520" s="33">
        <v>2</v>
      </c>
      <c r="AS520" s="33">
        <v>3</v>
      </c>
      <c r="AT520" s="33">
        <v>1</v>
      </c>
      <c r="AU520" s="43">
        <v>0.27016091685785976</v>
      </c>
      <c r="AV520" s="33">
        <v>0</v>
      </c>
      <c r="AW520" s="33">
        <v>0</v>
      </c>
      <c r="AY520" s="36">
        <v>492</v>
      </c>
      <c r="AZ520" s="33">
        <v>2</v>
      </c>
      <c r="BA520" s="33">
        <v>3</v>
      </c>
      <c r="BB520" s="33">
        <v>1</v>
      </c>
      <c r="BC520" s="33">
        <v>1</v>
      </c>
      <c r="BD520" s="43">
        <v>0.25031066197755131</v>
      </c>
      <c r="BE520" s="33">
        <v>0</v>
      </c>
      <c r="BF520" s="33">
        <v>0</v>
      </c>
      <c r="CE520" s="36">
        <v>486</v>
      </c>
      <c r="CF520" s="33">
        <v>6</v>
      </c>
      <c r="CG520" s="33">
        <v>1</v>
      </c>
      <c r="CH520" s="33">
        <v>3</v>
      </c>
      <c r="CI520" s="33">
        <v>3</v>
      </c>
      <c r="CJ520" s="33">
        <v>0</v>
      </c>
      <c r="CK520" s="33">
        <v>0</v>
      </c>
      <c r="CL520" s="33">
        <v>2</v>
      </c>
      <c r="CM520" s="33">
        <v>2</v>
      </c>
      <c r="CN520" s="33">
        <v>5</v>
      </c>
      <c r="CO520" s="33">
        <v>0</v>
      </c>
      <c r="CP520" s="43">
        <v>3.9493342055970486E-2</v>
      </c>
      <c r="CQ520" s="33">
        <v>0</v>
      </c>
      <c r="CR520" s="33">
        <v>0</v>
      </c>
    </row>
    <row r="521" spans="1:96" ht="15" customHeight="1" x14ac:dyDescent="0.25">
      <c r="A521" s="26">
        <v>519</v>
      </c>
      <c r="B521" s="27">
        <v>29</v>
      </c>
      <c r="C521" s="27">
        <v>0</v>
      </c>
      <c r="D521" s="27">
        <v>2</v>
      </c>
      <c r="E521" s="27">
        <v>806</v>
      </c>
      <c r="F521" s="27">
        <v>2</v>
      </c>
      <c r="G521" s="27">
        <v>1</v>
      </c>
      <c r="H521" s="27">
        <v>4</v>
      </c>
      <c r="I521" s="27">
        <v>1</v>
      </c>
      <c r="J521" s="27">
        <v>1</v>
      </c>
      <c r="K521" s="27">
        <v>710</v>
      </c>
      <c r="L521" s="27">
        <v>2</v>
      </c>
      <c r="M521" s="27">
        <v>1</v>
      </c>
      <c r="N521" s="27">
        <v>76</v>
      </c>
      <c r="O521" s="27">
        <v>1</v>
      </c>
      <c r="P521" s="27">
        <v>1</v>
      </c>
      <c r="Q521" s="27">
        <v>2</v>
      </c>
      <c r="R521" s="27">
        <v>4</v>
      </c>
      <c r="S521" s="27">
        <v>3</v>
      </c>
      <c r="T521" s="27">
        <v>2720</v>
      </c>
      <c r="U521" s="27">
        <v>18959</v>
      </c>
      <c r="V521" s="27">
        <v>1</v>
      </c>
      <c r="W521" s="27">
        <v>0</v>
      </c>
      <c r="X521" s="27">
        <v>18</v>
      </c>
      <c r="Y521" s="27">
        <v>3</v>
      </c>
      <c r="Z521" s="27">
        <v>4</v>
      </c>
      <c r="AA521" s="27">
        <v>80</v>
      </c>
      <c r="AB521" s="27">
        <v>1</v>
      </c>
      <c r="AC521" s="27">
        <v>10</v>
      </c>
      <c r="AD521" s="27">
        <v>5</v>
      </c>
      <c r="AE521" s="27">
        <v>3</v>
      </c>
      <c r="AF521" s="27">
        <v>10</v>
      </c>
      <c r="AG521" s="27">
        <v>7</v>
      </c>
      <c r="AH521" s="27">
        <v>2</v>
      </c>
      <c r="AI521" s="28">
        <v>8</v>
      </c>
      <c r="AK521" s="36">
        <v>488</v>
      </c>
      <c r="AL521" s="33">
        <v>1</v>
      </c>
      <c r="AM521" s="33">
        <v>1</v>
      </c>
      <c r="AN521" s="33">
        <v>2</v>
      </c>
      <c r="AO521" s="33">
        <v>1</v>
      </c>
      <c r="AP521" s="33">
        <v>0</v>
      </c>
      <c r="AQ521" s="33">
        <v>0</v>
      </c>
      <c r="AR521" s="33">
        <v>4</v>
      </c>
      <c r="AS521" s="33">
        <v>1</v>
      </c>
      <c r="AT521" s="33">
        <v>0</v>
      </c>
      <c r="AU521" s="43">
        <v>0.14452938969393325</v>
      </c>
      <c r="AV521" s="33">
        <v>0</v>
      </c>
      <c r="AW521" s="33">
        <v>0</v>
      </c>
      <c r="AY521" s="36">
        <v>493</v>
      </c>
      <c r="AZ521" s="33">
        <v>4</v>
      </c>
      <c r="BA521" s="33">
        <v>1</v>
      </c>
      <c r="BB521" s="33">
        <v>0</v>
      </c>
      <c r="BC521" s="33">
        <v>1</v>
      </c>
      <c r="BD521" s="43">
        <v>4.3866321508597754E-2</v>
      </c>
      <c r="BE521" s="33">
        <v>0</v>
      </c>
      <c r="BF521" s="33">
        <v>0</v>
      </c>
      <c r="CE521" s="36">
        <v>487</v>
      </c>
      <c r="CF521" s="33">
        <v>2</v>
      </c>
      <c r="CG521" s="33">
        <v>2</v>
      </c>
      <c r="CH521" s="33">
        <v>3</v>
      </c>
      <c r="CI521" s="33">
        <v>2</v>
      </c>
      <c r="CJ521" s="33">
        <v>4</v>
      </c>
      <c r="CK521" s="33">
        <v>1</v>
      </c>
      <c r="CL521" s="33">
        <v>1</v>
      </c>
      <c r="CM521" s="33">
        <v>2</v>
      </c>
      <c r="CN521" s="33">
        <v>3</v>
      </c>
      <c r="CO521" s="33">
        <v>1</v>
      </c>
      <c r="CP521" s="43">
        <v>0.27522692719563047</v>
      </c>
      <c r="CQ521" s="33">
        <v>0</v>
      </c>
      <c r="CR521" s="33">
        <v>0</v>
      </c>
    </row>
    <row r="522" spans="1:96" ht="15" customHeight="1" x14ac:dyDescent="0.25">
      <c r="A522" s="26">
        <v>520</v>
      </c>
      <c r="B522" s="27">
        <v>48</v>
      </c>
      <c r="C522" s="27">
        <v>0</v>
      </c>
      <c r="D522" s="27">
        <v>1</v>
      </c>
      <c r="E522" s="27">
        <v>817</v>
      </c>
      <c r="F522" s="27">
        <v>1</v>
      </c>
      <c r="G522" s="27">
        <v>2</v>
      </c>
      <c r="H522" s="27">
        <v>1</v>
      </c>
      <c r="I522" s="27">
        <v>4</v>
      </c>
      <c r="J522" s="27">
        <v>1</v>
      </c>
      <c r="K522" s="27">
        <v>712</v>
      </c>
      <c r="L522" s="27">
        <v>2</v>
      </c>
      <c r="M522" s="27">
        <v>1</v>
      </c>
      <c r="N522" s="27">
        <v>56</v>
      </c>
      <c r="O522" s="27">
        <v>4</v>
      </c>
      <c r="P522" s="27">
        <v>2</v>
      </c>
      <c r="Q522" s="27">
        <v>1</v>
      </c>
      <c r="R522" s="27">
        <v>2</v>
      </c>
      <c r="S522" s="27">
        <v>2</v>
      </c>
      <c r="T522" s="27">
        <v>8120</v>
      </c>
      <c r="U522" s="27">
        <v>18597</v>
      </c>
      <c r="V522" s="27">
        <v>3</v>
      </c>
      <c r="W522" s="27">
        <v>0</v>
      </c>
      <c r="X522" s="27">
        <v>12</v>
      </c>
      <c r="Y522" s="27">
        <v>3</v>
      </c>
      <c r="Z522" s="27">
        <v>4</v>
      </c>
      <c r="AA522" s="27">
        <v>80</v>
      </c>
      <c r="AB522" s="27">
        <v>0</v>
      </c>
      <c r="AC522" s="27">
        <v>12</v>
      </c>
      <c r="AD522" s="27">
        <v>3</v>
      </c>
      <c r="AE522" s="27">
        <v>3</v>
      </c>
      <c r="AF522" s="27">
        <v>2</v>
      </c>
      <c r="AG522" s="27">
        <v>2</v>
      </c>
      <c r="AH522" s="27">
        <v>2</v>
      </c>
      <c r="AI522" s="28">
        <v>2</v>
      </c>
      <c r="AK522" s="36">
        <v>489</v>
      </c>
      <c r="AL522" s="33">
        <v>2</v>
      </c>
      <c r="AM522" s="33">
        <v>2</v>
      </c>
      <c r="AN522" s="33">
        <v>4</v>
      </c>
      <c r="AO522" s="33">
        <v>1</v>
      </c>
      <c r="AP522" s="33">
        <v>0</v>
      </c>
      <c r="AQ522" s="33">
        <v>2</v>
      </c>
      <c r="AR522" s="33">
        <v>3</v>
      </c>
      <c r="AS522" s="33">
        <v>10</v>
      </c>
      <c r="AT522" s="33">
        <v>2</v>
      </c>
      <c r="AU522" s="43">
        <v>1.4714098218298598E-2</v>
      </c>
      <c r="AV522" s="33">
        <v>0</v>
      </c>
      <c r="AW522" s="33">
        <v>0</v>
      </c>
      <c r="AY522" s="36">
        <v>494</v>
      </c>
      <c r="AZ522" s="33">
        <v>2</v>
      </c>
      <c r="BA522" s="33">
        <v>3</v>
      </c>
      <c r="BB522" s="33">
        <v>0</v>
      </c>
      <c r="BC522" s="33">
        <v>0</v>
      </c>
      <c r="BD522" s="43">
        <v>0.11690772887050198</v>
      </c>
      <c r="BE522" s="33">
        <v>0</v>
      </c>
      <c r="BF522" s="33">
        <v>0</v>
      </c>
      <c r="CE522" s="36">
        <v>488</v>
      </c>
      <c r="CF522" s="33">
        <v>1</v>
      </c>
      <c r="CG522" s="33">
        <v>1</v>
      </c>
      <c r="CH522" s="33">
        <v>2</v>
      </c>
      <c r="CI522" s="33">
        <v>1</v>
      </c>
      <c r="CJ522" s="33">
        <v>1</v>
      </c>
      <c r="CK522" s="33">
        <v>0</v>
      </c>
      <c r="CL522" s="33">
        <v>0</v>
      </c>
      <c r="CM522" s="33">
        <v>4</v>
      </c>
      <c r="CN522" s="33">
        <v>1</v>
      </c>
      <c r="CO522" s="33">
        <v>0</v>
      </c>
      <c r="CP522" s="43">
        <v>0.16596692239508848</v>
      </c>
      <c r="CQ522" s="33">
        <v>0</v>
      </c>
      <c r="CR522" s="33">
        <v>0</v>
      </c>
    </row>
    <row r="523" spans="1:96" ht="15" customHeight="1" x14ac:dyDescent="0.25">
      <c r="A523" s="26">
        <v>521</v>
      </c>
      <c r="B523" s="27">
        <v>27</v>
      </c>
      <c r="C523" s="27">
        <v>0</v>
      </c>
      <c r="D523" s="27">
        <v>2</v>
      </c>
      <c r="E523" s="27">
        <v>1410</v>
      </c>
      <c r="F523" s="27">
        <v>1</v>
      </c>
      <c r="G523" s="27">
        <v>3</v>
      </c>
      <c r="H523" s="27">
        <v>1</v>
      </c>
      <c r="I523" s="27">
        <v>3</v>
      </c>
      <c r="J523" s="27">
        <v>1</v>
      </c>
      <c r="K523" s="27">
        <v>714</v>
      </c>
      <c r="L523" s="27">
        <v>4</v>
      </c>
      <c r="M523" s="27">
        <v>0</v>
      </c>
      <c r="N523" s="27">
        <v>71</v>
      </c>
      <c r="O523" s="27">
        <v>4</v>
      </c>
      <c r="P523" s="27">
        <v>2</v>
      </c>
      <c r="Q523" s="27">
        <v>1</v>
      </c>
      <c r="R523" s="27">
        <v>4</v>
      </c>
      <c r="S523" s="27">
        <v>3</v>
      </c>
      <c r="T523" s="27">
        <v>4647</v>
      </c>
      <c r="U523" s="27">
        <v>16673</v>
      </c>
      <c r="V523" s="27">
        <v>1</v>
      </c>
      <c r="W523" s="27">
        <v>1</v>
      </c>
      <c r="X523" s="27">
        <v>20</v>
      </c>
      <c r="Y523" s="27">
        <v>4</v>
      </c>
      <c r="Z523" s="27">
        <v>2</v>
      </c>
      <c r="AA523" s="27">
        <v>80</v>
      </c>
      <c r="AB523" s="27">
        <v>2</v>
      </c>
      <c r="AC523" s="27">
        <v>6</v>
      </c>
      <c r="AD523" s="27">
        <v>3</v>
      </c>
      <c r="AE523" s="27">
        <v>3</v>
      </c>
      <c r="AF523" s="27">
        <v>6</v>
      </c>
      <c r="AG523" s="27">
        <v>5</v>
      </c>
      <c r="AH523" s="27">
        <v>0</v>
      </c>
      <c r="AI523" s="28">
        <v>4</v>
      </c>
      <c r="AK523" s="36">
        <v>490</v>
      </c>
      <c r="AL523" s="33">
        <v>6</v>
      </c>
      <c r="AM523" s="33">
        <v>4</v>
      </c>
      <c r="AN523" s="33">
        <v>4</v>
      </c>
      <c r="AO523" s="33">
        <v>4</v>
      </c>
      <c r="AP523" s="33">
        <v>1</v>
      </c>
      <c r="AQ523" s="33">
        <v>1</v>
      </c>
      <c r="AR523" s="33">
        <v>2</v>
      </c>
      <c r="AS523" s="33">
        <v>1</v>
      </c>
      <c r="AT523" s="33">
        <v>0</v>
      </c>
      <c r="AU523" s="43">
        <v>9.7652034410439251E-2</v>
      </c>
      <c r="AV523" s="33">
        <v>0</v>
      </c>
      <c r="AW523" s="33">
        <v>0</v>
      </c>
      <c r="AY523" s="36">
        <v>495</v>
      </c>
      <c r="AZ523" s="33">
        <v>1</v>
      </c>
      <c r="BA523" s="33">
        <v>3</v>
      </c>
      <c r="BB523" s="33">
        <v>1</v>
      </c>
      <c r="BC523" s="33">
        <v>2</v>
      </c>
      <c r="BD523" s="43">
        <v>0.25613021805548125</v>
      </c>
      <c r="BE523" s="33">
        <v>0</v>
      </c>
      <c r="BF523" s="33">
        <v>0</v>
      </c>
      <c r="CE523" s="36">
        <v>489</v>
      </c>
      <c r="CF523" s="33">
        <v>2</v>
      </c>
      <c r="CG523" s="33">
        <v>2</v>
      </c>
      <c r="CH523" s="33">
        <v>4</v>
      </c>
      <c r="CI523" s="33">
        <v>2</v>
      </c>
      <c r="CJ523" s="33">
        <v>1</v>
      </c>
      <c r="CK523" s="33">
        <v>0</v>
      </c>
      <c r="CL523" s="33">
        <v>2</v>
      </c>
      <c r="CM523" s="33">
        <v>3</v>
      </c>
      <c r="CN523" s="33">
        <v>10</v>
      </c>
      <c r="CO523" s="33">
        <v>2</v>
      </c>
      <c r="CP523" s="43">
        <v>1.9556340680693406E-2</v>
      </c>
      <c r="CQ523" s="33">
        <v>0</v>
      </c>
      <c r="CR523" s="33">
        <v>0</v>
      </c>
    </row>
    <row r="524" spans="1:96" ht="15" customHeight="1" x14ac:dyDescent="0.25">
      <c r="A524" s="26">
        <v>522</v>
      </c>
      <c r="B524" s="27">
        <v>37</v>
      </c>
      <c r="C524" s="27">
        <v>0</v>
      </c>
      <c r="D524" s="27">
        <v>1</v>
      </c>
      <c r="E524" s="27">
        <v>1225</v>
      </c>
      <c r="F524" s="27">
        <v>2</v>
      </c>
      <c r="G524" s="27">
        <v>10</v>
      </c>
      <c r="H524" s="27">
        <v>2</v>
      </c>
      <c r="I524" s="27">
        <v>1</v>
      </c>
      <c r="J524" s="27">
        <v>1</v>
      </c>
      <c r="K524" s="27">
        <v>715</v>
      </c>
      <c r="L524" s="27">
        <v>4</v>
      </c>
      <c r="M524" s="27">
        <v>1</v>
      </c>
      <c r="N524" s="27">
        <v>80</v>
      </c>
      <c r="O524" s="27">
        <v>4</v>
      </c>
      <c r="P524" s="27">
        <v>1</v>
      </c>
      <c r="Q524" s="27">
        <v>2</v>
      </c>
      <c r="R524" s="27">
        <v>4</v>
      </c>
      <c r="S524" s="27">
        <v>1</v>
      </c>
      <c r="T524" s="27">
        <v>4680</v>
      </c>
      <c r="U524" s="27">
        <v>15232</v>
      </c>
      <c r="V524" s="27">
        <v>3</v>
      </c>
      <c r="W524" s="27">
        <v>0</v>
      </c>
      <c r="X524" s="27">
        <v>17</v>
      </c>
      <c r="Y524" s="27">
        <v>3</v>
      </c>
      <c r="Z524" s="27">
        <v>1</v>
      </c>
      <c r="AA524" s="27">
        <v>80</v>
      </c>
      <c r="AB524" s="27">
        <v>0</v>
      </c>
      <c r="AC524" s="27">
        <v>4</v>
      </c>
      <c r="AD524" s="27">
        <v>2</v>
      </c>
      <c r="AE524" s="27">
        <v>3</v>
      </c>
      <c r="AF524" s="27">
        <v>1</v>
      </c>
      <c r="AG524" s="27">
        <v>0</v>
      </c>
      <c r="AH524" s="27">
        <v>0</v>
      </c>
      <c r="AI524" s="28">
        <v>0</v>
      </c>
      <c r="AK524" s="36">
        <v>491</v>
      </c>
      <c r="AL524" s="33">
        <v>1</v>
      </c>
      <c r="AM524" s="33">
        <v>1</v>
      </c>
      <c r="AN524" s="33">
        <v>1</v>
      </c>
      <c r="AO524" s="33">
        <v>3</v>
      </c>
      <c r="AP524" s="33">
        <v>0</v>
      </c>
      <c r="AQ524" s="33">
        <v>0</v>
      </c>
      <c r="AR524" s="33">
        <v>2</v>
      </c>
      <c r="AS524" s="33">
        <v>0</v>
      </c>
      <c r="AT524" s="33">
        <v>0</v>
      </c>
      <c r="AU524" s="43">
        <v>0.31410654064178883</v>
      </c>
      <c r="AV524" s="33">
        <v>0</v>
      </c>
      <c r="AW524" s="33">
        <v>0</v>
      </c>
      <c r="AY524" s="36">
        <v>496</v>
      </c>
      <c r="AZ524" s="33">
        <v>1</v>
      </c>
      <c r="BA524" s="33">
        <v>1</v>
      </c>
      <c r="BB524" s="33">
        <v>0</v>
      </c>
      <c r="BC524" s="33">
        <v>1</v>
      </c>
      <c r="BD524" s="43">
        <v>0.19678474515944386</v>
      </c>
      <c r="BE524" s="33">
        <v>0</v>
      </c>
      <c r="BF524" s="33">
        <v>1</v>
      </c>
      <c r="CE524" s="36">
        <v>490</v>
      </c>
      <c r="CF524" s="33">
        <v>6</v>
      </c>
      <c r="CG524" s="33">
        <v>4</v>
      </c>
      <c r="CH524" s="33">
        <v>4</v>
      </c>
      <c r="CI524" s="33">
        <v>3</v>
      </c>
      <c r="CJ524" s="33">
        <v>4</v>
      </c>
      <c r="CK524" s="33">
        <v>1</v>
      </c>
      <c r="CL524" s="33">
        <v>1</v>
      </c>
      <c r="CM524" s="33">
        <v>2</v>
      </c>
      <c r="CN524" s="33">
        <v>1</v>
      </c>
      <c r="CO524" s="33">
        <v>0</v>
      </c>
      <c r="CP524" s="43">
        <v>6.0026875632150867E-2</v>
      </c>
      <c r="CQ524" s="33">
        <v>0</v>
      </c>
      <c r="CR524" s="33">
        <v>0</v>
      </c>
    </row>
    <row r="525" spans="1:96" ht="15" customHeight="1" x14ac:dyDescent="0.25">
      <c r="A525" s="26">
        <v>523</v>
      </c>
      <c r="B525" s="27">
        <v>50</v>
      </c>
      <c r="C525" s="27">
        <v>0</v>
      </c>
      <c r="D525" s="27">
        <v>1</v>
      </c>
      <c r="E525" s="27">
        <v>1207</v>
      </c>
      <c r="F525" s="27">
        <v>2</v>
      </c>
      <c r="G525" s="27">
        <v>28</v>
      </c>
      <c r="H525" s="27">
        <v>1</v>
      </c>
      <c r="I525" s="27">
        <v>3</v>
      </c>
      <c r="J525" s="27">
        <v>1</v>
      </c>
      <c r="K525" s="27">
        <v>716</v>
      </c>
      <c r="L525" s="27">
        <v>4</v>
      </c>
      <c r="M525" s="27">
        <v>1</v>
      </c>
      <c r="N525" s="27">
        <v>74</v>
      </c>
      <c r="O525" s="27">
        <v>4</v>
      </c>
      <c r="P525" s="27">
        <v>1</v>
      </c>
      <c r="Q525" s="27">
        <v>3</v>
      </c>
      <c r="R525" s="27">
        <v>3</v>
      </c>
      <c r="S525" s="27">
        <v>2</v>
      </c>
      <c r="T525" s="27">
        <v>3221</v>
      </c>
      <c r="U525" s="27">
        <v>3297</v>
      </c>
      <c r="V525" s="27">
        <v>1</v>
      </c>
      <c r="W525" s="27">
        <v>1</v>
      </c>
      <c r="X525" s="27">
        <v>11</v>
      </c>
      <c r="Y525" s="27">
        <v>3</v>
      </c>
      <c r="Z525" s="27">
        <v>3</v>
      </c>
      <c r="AA525" s="27">
        <v>80</v>
      </c>
      <c r="AB525" s="27">
        <v>3</v>
      </c>
      <c r="AC525" s="27">
        <v>20</v>
      </c>
      <c r="AD525" s="27">
        <v>3</v>
      </c>
      <c r="AE525" s="27">
        <v>3</v>
      </c>
      <c r="AF525" s="27">
        <v>20</v>
      </c>
      <c r="AG525" s="27">
        <v>8</v>
      </c>
      <c r="AH525" s="27">
        <v>3</v>
      </c>
      <c r="AI525" s="28">
        <v>8</v>
      </c>
      <c r="AK525" s="36">
        <v>492</v>
      </c>
      <c r="AL525" s="33">
        <v>9</v>
      </c>
      <c r="AM525" s="33">
        <v>2</v>
      </c>
      <c r="AN525" s="33">
        <v>3</v>
      </c>
      <c r="AO525" s="33">
        <v>3</v>
      </c>
      <c r="AP525" s="33">
        <v>1</v>
      </c>
      <c r="AQ525" s="33">
        <v>1</v>
      </c>
      <c r="AR525" s="33">
        <v>3</v>
      </c>
      <c r="AS525" s="33">
        <v>8</v>
      </c>
      <c r="AT525" s="33">
        <v>4</v>
      </c>
      <c r="AU525" s="43">
        <v>0.25061126466476874</v>
      </c>
      <c r="AV525" s="33">
        <v>0</v>
      </c>
      <c r="AW525" s="33">
        <v>0</v>
      </c>
      <c r="AY525" s="36">
        <v>497</v>
      </c>
      <c r="AZ525" s="33">
        <v>1</v>
      </c>
      <c r="BA525" s="33">
        <v>3</v>
      </c>
      <c r="BB525" s="33">
        <v>0</v>
      </c>
      <c r="BC525" s="33">
        <v>0</v>
      </c>
      <c r="BD525" s="43">
        <v>0.18791247240909698</v>
      </c>
      <c r="BE525" s="33">
        <v>0</v>
      </c>
      <c r="BF525" s="33">
        <v>0</v>
      </c>
      <c r="CE525" s="36">
        <v>491</v>
      </c>
      <c r="CF525" s="33">
        <v>1</v>
      </c>
      <c r="CG525" s="33">
        <v>1</v>
      </c>
      <c r="CH525" s="33">
        <v>1</v>
      </c>
      <c r="CI525" s="33">
        <v>1</v>
      </c>
      <c r="CJ525" s="33">
        <v>3</v>
      </c>
      <c r="CK525" s="33">
        <v>0</v>
      </c>
      <c r="CL525" s="33">
        <v>0</v>
      </c>
      <c r="CM525" s="33">
        <v>2</v>
      </c>
      <c r="CN525" s="33">
        <v>0</v>
      </c>
      <c r="CO525" s="33">
        <v>0</v>
      </c>
      <c r="CP525" s="43">
        <v>0.36288118853715284</v>
      </c>
      <c r="CQ525" s="33">
        <v>0</v>
      </c>
      <c r="CR525" s="33">
        <v>0</v>
      </c>
    </row>
    <row r="526" spans="1:96" ht="15" customHeight="1" x14ac:dyDescent="0.25">
      <c r="A526" s="26">
        <v>524</v>
      </c>
      <c r="B526" s="27">
        <v>34</v>
      </c>
      <c r="C526" s="27">
        <v>0</v>
      </c>
      <c r="D526" s="27">
        <v>1</v>
      </c>
      <c r="E526" s="27">
        <v>1442</v>
      </c>
      <c r="F526" s="27">
        <v>2</v>
      </c>
      <c r="G526" s="27">
        <v>9</v>
      </c>
      <c r="H526" s="27">
        <v>3</v>
      </c>
      <c r="I526" s="27">
        <v>3</v>
      </c>
      <c r="J526" s="27">
        <v>1</v>
      </c>
      <c r="K526" s="27">
        <v>717</v>
      </c>
      <c r="L526" s="27">
        <v>4</v>
      </c>
      <c r="M526" s="27">
        <v>0</v>
      </c>
      <c r="N526" s="27">
        <v>46</v>
      </c>
      <c r="O526" s="27">
        <v>2</v>
      </c>
      <c r="P526" s="27">
        <v>3</v>
      </c>
      <c r="Q526" s="27">
        <v>5</v>
      </c>
      <c r="R526" s="27">
        <v>2</v>
      </c>
      <c r="S526" s="27">
        <v>1</v>
      </c>
      <c r="T526" s="27">
        <v>8621</v>
      </c>
      <c r="U526" s="27">
        <v>17654</v>
      </c>
      <c r="V526" s="27">
        <v>1</v>
      </c>
      <c r="W526" s="27">
        <v>0</v>
      </c>
      <c r="X526" s="27">
        <v>14</v>
      </c>
      <c r="Y526" s="27">
        <v>3</v>
      </c>
      <c r="Z526" s="27">
        <v>2</v>
      </c>
      <c r="AA526" s="27">
        <v>80</v>
      </c>
      <c r="AB526" s="27">
        <v>0</v>
      </c>
      <c r="AC526" s="27">
        <v>9</v>
      </c>
      <c r="AD526" s="27">
        <v>3</v>
      </c>
      <c r="AE526" s="27">
        <v>4</v>
      </c>
      <c r="AF526" s="27">
        <v>8</v>
      </c>
      <c r="AG526" s="27">
        <v>7</v>
      </c>
      <c r="AH526" s="27">
        <v>7</v>
      </c>
      <c r="AI526" s="28">
        <v>7</v>
      </c>
      <c r="AK526" s="36">
        <v>493</v>
      </c>
      <c r="AL526" s="33">
        <v>1</v>
      </c>
      <c r="AM526" s="33">
        <v>4</v>
      </c>
      <c r="AN526" s="33">
        <v>1</v>
      </c>
      <c r="AO526" s="33">
        <v>7</v>
      </c>
      <c r="AP526" s="33">
        <v>0</v>
      </c>
      <c r="AQ526" s="33">
        <v>1</v>
      </c>
      <c r="AR526" s="33">
        <v>1</v>
      </c>
      <c r="AS526" s="33">
        <v>3</v>
      </c>
      <c r="AT526" s="33">
        <v>0</v>
      </c>
      <c r="AU526" s="43">
        <v>6.594645922590793E-2</v>
      </c>
      <c r="AV526" s="33">
        <v>0</v>
      </c>
      <c r="AW526" s="33">
        <v>0</v>
      </c>
      <c r="AY526" s="36">
        <v>498</v>
      </c>
      <c r="AZ526" s="33">
        <v>5</v>
      </c>
      <c r="BA526" s="33">
        <v>4</v>
      </c>
      <c r="BB526" s="33">
        <v>1</v>
      </c>
      <c r="BC526" s="33">
        <v>1</v>
      </c>
      <c r="BD526" s="43">
        <v>4.4592473915788571E-2</v>
      </c>
      <c r="BE526" s="33">
        <v>0</v>
      </c>
      <c r="BF526" s="33">
        <v>0</v>
      </c>
      <c r="CE526" s="36">
        <v>492</v>
      </c>
      <c r="CF526" s="33">
        <v>9</v>
      </c>
      <c r="CG526" s="33">
        <v>2</v>
      </c>
      <c r="CH526" s="33">
        <v>3</v>
      </c>
      <c r="CI526" s="33">
        <v>3</v>
      </c>
      <c r="CJ526" s="33">
        <v>3</v>
      </c>
      <c r="CK526" s="33">
        <v>1</v>
      </c>
      <c r="CL526" s="33">
        <v>1</v>
      </c>
      <c r="CM526" s="33">
        <v>3</v>
      </c>
      <c r="CN526" s="33">
        <v>8</v>
      </c>
      <c r="CO526" s="33">
        <v>4</v>
      </c>
      <c r="CP526" s="43">
        <v>0.16279825378627022</v>
      </c>
      <c r="CQ526" s="33">
        <v>0</v>
      </c>
      <c r="CR526" s="33">
        <v>0</v>
      </c>
    </row>
    <row r="527" spans="1:96" ht="15" customHeight="1" x14ac:dyDescent="0.25">
      <c r="A527" s="26">
        <v>525</v>
      </c>
      <c r="B527" s="27">
        <v>24</v>
      </c>
      <c r="C527" s="27">
        <v>1</v>
      </c>
      <c r="D527" s="27">
        <v>1</v>
      </c>
      <c r="E527" s="27">
        <v>693</v>
      </c>
      <c r="F527" s="27">
        <v>1</v>
      </c>
      <c r="G527" s="27">
        <v>3</v>
      </c>
      <c r="H527" s="27">
        <v>2</v>
      </c>
      <c r="I527" s="27">
        <v>1</v>
      </c>
      <c r="J527" s="27">
        <v>1</v>
      </c>
      <c r="K527" s="27">
        <v>720</v>
      </c>
      <c r="L527" s="27">
        <v>1</v>
      </c>
      <c r="M527" s="27">
        <v>0</v>
      </c>
      <c r="N527" s="27">
        <v>65</v>
      </c>
      <c r="O527" s="27">
        <v>3</v>
      </c>
      <c r="P527" s="27">
        <v>2</v>
      </c>
      <c r="Q527" s="27">
        <v>1</v>
      </c>
      <c r="R527" s="27">
        <v>3</v>
      </c>
      <c r="S527" s="27">
        <v>1</v>
      </c>
      <c r="T527" s="27">
        <v>4577</v>
      </c>
      <c r="U527" s="27">
        <v>24785</v>
      </c>
      <c r="V527" s="27">
        <v>9</v>
      </c>
      <c r="W527" s="27">
        <v>0</v>
      </c>
      <c r="X527" s="27">
        <v>14</v>
      </c>
      <c r="Y527" s="27">
        <v>3</v>
      </c>
      <c r="Z527" s="27">
        <v>1</v>
      </c>
      <c r="AA527" s="27">
        <v>80</v>
      </c>
      <c r="AB527" s="27">
        <v>0</v>
      </c>
      <c r="AC527" s="27">
        <v>4</v>
      </c>
      <c r="AD527" s="27">
        <v>3</v>
      </c>
      <c r="AE527" s="27">
        <v>3</v>
      </c>
      <c r="AF527" s="27">
        <v>2</v>
      </c>
      <c r="AG527" s="27">
        <v>2</v>
      </c>
      <c r="AH527" s="27">
        <v>2</v>
      </c>
      <c r="AI527" s="28">
        <v>0</v>
      </c>
      <c r="AK527" s="36">
        <v>494</v>
      </c>
      <c r="AL527" s="33">
        <v>1</v>
      </c>
      <c r="AM527" s="33">
        <v>2</v>
      </c>
      <c r="AN527" s="33">
        <v>3</v>
      </c>
      <c r="AO527" s="33">
        <v>4</v>
      </c>
      <c r="AP527" s="33">
        <v>0</v>
      </c>
      <c r="AQ527" s="33">
        <v>0</v>
      </c>
      <c r="AR527" s="33">
        <v>4</v>
      </c>
      <c r="AS527" s="33">
        <v>2</v>
      </c>
      <c r="AT527" s="33">
        <v>0</v>
      </c>
      <c r="AU527" s="43">
        <v>8.0031296764160181E-2</v>
      </c>
      <c r="AV527" s="33">
        <v>0</v>
      </c>
      <c r="AW527" s="33">
        <v>0</v>
      </c>
      <c r="AY527" s="36">
        <v>499</v>
      </c>
      <c r="AZ527" s="33">
        <v>1</v>
      </c>
      <c r="BA527" s="33">
        <v>3</v>
      </c>
      <c r="BB527" s="33">
        <v>0</v>
      </c>
      <c r="BC527" s="33">
        <v>0</v>
      </c>
      <c r="BD527" s="43">
        <v>0.18791247240909698</v>
      </c>
      <c r="BE527" s="33">
        <v>0</v>
      </c>
      <c r="BF527" s="33">
        <v>0</v>
      </c>
      <c r="CE527" s="36">
        <v>493</v>
      </c>
      <c r="CF527" s="33">
        <v>1</v>
      </c>
      <c r="CG527" s="33">
        <v>4</v>
      </c>
      <c r="CH527" s="33">
        <v>1</v>
      </c>
      <c r="CI527" s="33">
        <v>2</v>
      </c>
      <c r="CJ527" s="33">
        <v>7</v>
      </c>
      <c r="CK527" s="33">
        <v>0</v>
      </c>
      <c r="CL527" s="33">
        <v>1</v>
      </c>
      <c r="CM527" s="33">
        <v>1</v>
      </c>
      <c r="CN527" s="33">
        <v>3</v>
      </c>
      <c r="CO527" s="33">
        <v>0</v>
      </c>
      <c r="CP527" s="43">
        <v>6.9918797839511312E-2</v>
      </c>
      <c r="CQ527" s="33">
        <v>0</v>
      </c>
      <c r="CR527" s="33">
        <v>0</v>
      </c>
    </row>
    <row r="528" spans="1:96" ht="15" customHeight="1" x14ac:dyDescent="0.25">
      <c r="A528" s="26">
        <v>526</v>
      </c>
      <c r="B528" s="27">
        <v>39</v>
      </c>
      <c r="C528" s="27">
        <v>0</v>
      </c>
      <c r="D528" s="27">
        <v>1</v>
      </c>
      <c r="E528" s="27">
        <v>408</v>
      </c>
      <c r="F528" s="27">
        <v>2</v>
      </c>
      <c r="G528" s="27">
        <v>2</v>
      </c>
      <c r="H528" s="27">
        <v>4</v>
      </c>
      <c r="I528" s="27">
        <v>5</v>
      </c>
      <c r="J528" s="27">
        <v>1</v>
      </c>
      <c r="K528" s="27">
        <v>721</v>
      </c>
      <c r="L528" s="27">
        <v>4</v>
      </c>
      <c r="M528" s="27">
        <v>0</v>
      </c>
      <c r="N528" s="27">
        <v>80</v>
      </c>
      <c r="O528" s="27">
        <v>2</v>
      </c>
      <c r="P528" s="27">
        <v>2</v>
      </c>
      <c r="Q528" s="27">
        <v>5</v>
      </c>
      <c r="R528" s="27">
        <v>3</v>
      </c>
      <c r="S528" s="27">
        <v>1</v>
      </c>
      <c r="T528" s="27">
        <v>4553</v>
      </c>
      <c r="U528" s="27">
        <v>20978</v>
      </c>
      <c r="V528" s="27">
        <v>1</v>
      </c>
      <c r="W528" s="27">
        <v>0</v>
      </c>
      <c r="X528" s="27">
        <v>11</v>
      </c>
      <c r="Y528" s="27">
        <v>3</v>
      </c>
      <c r="Z528" s="27">
        <v>1</v>
      </c>
      <c r="AA528" s="27">
        <v>80</v>
      </c>
      <c r="AB528" s="27">
        <v>0</v>
      </c>
      <c r="AC528" s="27">
        <v>20</v>
      </c>
      <c r="AD528" s="27">
        <v>4</v>
      </c>
      <c r="AE528" s="27">
        <v>3</v>
      </c>
      <c r="AF528" s="27">
        <v>20</v>
      </c>
      <c r="AG528" s="27">
        <v>7</v>
      </c>
      <c r="AH528" s="27">
        <v>11</v>
      </c>
      <c r="AI528" s="28">
        <v>10</v>
      </c>
      <c r="AK528" s="36">
        <v>495</v>
      </c>
      <c r="AL528" s="33">
        <v>14</v>
      </c>
      <c r="AM528" s="33">
        <v>1</v>
      </c>
      <c r="AN528" s="33">
        <v>3</v>
      </c>
      <c r="AO528" s="33">
        <v>1</v>
      </c>
      <c r="AP528" s="33">
        <v>1</v>
      </c>
      <c r="AQ528" s="33">
        <v>2</v>
      </c>
      <c r="AR528" s="33">
        <v>3</v>
      </c>
      <c r="AS528" s="33">
        <v>8</v>
      </c>
      <c r="AT528" s="33">
        <v>0</v>
      </c>
      <c r="AU528" s="43">
        <v>0.17306098439368148</v>
      </c>
      <c r="AV528" s="33">
        <v>0</v>
      </c>
      <c r="AW528" s="33">
        <v>0</v>
      </c>
      <c r="AY528" s="36">
        <v>500</v>
      </c>
      <c r="AZ528" s="33">
        <v>2</v>
      </c>
      <c r="BA528" s="33">
        <v>3</v>
      </c>
      <c r="BB528" s="33">
        <v>0</v>
      </c>
      <c r="BC528" s="33">
        <v>0</v>
      </c>
      <c r="BD528" s="43">
        <v>0.11690772887050198</v>
      </c>
      <c r="BE528" s="33">
        <v>0</v>
      </c>
      <c r="BF528" s="33">
        <v>0</v>
      </c>
      <c r="CE528" s="36">
        <v>494</v>
      </c>
      <c r="CF528" s="33">
        <v>1</v>
      </c>
      <c r="CG528" s="33">
        <v>2</v>
      </c>
      <c r="CH528" s="33">
        <v>3</v>
      </c>
      <c r="CI528" s="33">
        <v>1</v>
      </c>
      <c r="CJ528" s="33">
        <v>4</v>
      </c>
      <c r="CK528" s="33">
        <v>0</v>
      </c>
      <c r="CL528" s="33">
        <v>0</v>
      </c>
      <c r="CM528" s="33">
        <v>4</v>
      </c>
      <c r="CN528" s="33">
        <v>2</v>
      </c>
      <c r="CO528" s="33">
        <v>0</v>
      </c>
      <c r="CP528" s="43">
        <v>9.2695633680811657E-2</v>
      </c>
      <c r="CQ528" s="33">
        <v>0</v>
      </c>
      <c r="CR528" s="33">
        <v>0</v>
      </c>
    </row>
    <row r="529" spans="1:96" ht="15" customHeight="1" x14ac:dyDescent="0.25">
      <c r="A529" s="26">
        <v>527</v>
      </c>
      <c r="B529" s="27">
        <v>32</v>
      </c>
      <c r="C529" s="27">
        <v>0</v>
      </c>
      <c r="D529" s="27">
        <v>1</v>
      </c>
      <c r="E529" s="27">
        <v>929</v>
      </c>
      <c r="F529" s="27">
        <v>1</v>
      </c>
      <c r="G529" s="27">
        <v>10</v>
      </c>
      <c r="H529" s="27">
        <v>3</v>
      </c>
      <c r="I529" s="27">
        <v>4</v>
      </c>
      <c r="J529" s="27">
        <v>1</v>
      </c>
      <c r="K529" s="27">
        <v>722</v>
      </c>
      <c r="L529" s="27">
        <v>4</v>
      </c>
      <c r="M529" s="27">
        <v>1</v>
      </c>
      <c r="N529" s="27">
        <v>55</v>
      </c>
      <c r="O529" s="27">
        <v>3</v>
      </c>
      <c r="P529" s="27">
        <v>2</v>
      </c>
      <c r="Q529" s="27">
        <v>1</v>
      </c>
      <c r="R529" s="27">
        <v>4</v>
      </c>
      <c r="S529" s="27">
        <v>1</v>
      </c>
      <c r="T529" s="27">
        <v>5396</v>
      </c>
      <c r="U529" s="27">
        <v>21703</v>
      </c>
      <c r="V529" s="27">
        <v>1</v>
      </c>
      <c r="W529" s="27">
        <v>0</v>
      </c>
      <c r="X529" s="27">
        <v>12</v>
      </c>
      <c r="Y529" s="27">
        <v>3</v>
      </c>
      <c r="Z529" s="27">
        <v>4</v>
      </c>
      <c r="AA529" s="27">
        <v>80</v>
      </c>
      <c r="AB529" s="27">
        <v>0</v>
      </c>
      <c r="AC529" s="27">
        <v>10</v>
      </c>
      <c r="AD529" s="27">
        <v>2</v>
      </c>
      <c r="AE529" s="27">
        <v>2</v>
      </c>
      <c r="AF529" s="27">
        <v>10</v>
      </c>
      <c r="AG529" s="27">
        <v>7</v>
      </c>
      <c r="AH529" s="27">
        <v>0</v>
      </c>
      <c r="AI529" s="28">
        <v>8</v>
      </c>
      <c r="AK529" s="36">
        <v>496</v>
      </c>
      <c r="AL529" s="33">
        <v>2</v>
      </c>
      <c r="AM529" s="33">
        <v>1</v>
      </c>
      <c r="AN529" s="33">
        <v>1</v>
      </c>
      <c r="AO529" s="33">
        <v>0</v>
      </c>
      <c r="AP529" s="33">
        <v>0</v>
      </c>
      <c r="AQ529" s="33">
        <v>1</v>
      </c>
      <c r="AR529" s="33">
        <v>3</v>
      </c>
      <c r="AS529" s="33">
        <v>4</v>
      </c>
      <c r="AT529" s="33">
        <v>0</v>
      </c>
      <c r="AU529" s="43">
        <v>0.11032793959789716</v>
      </c>
      <c r="AV529" s="33">
        <v>0</v>
      </c>
      <c r="AW529" s="33">
        <v>1</v>
      </c>
      <c r="AY529" s="36">
        <v>501</v>
      </c>
      <c r="AZ529" s="33">
        <v>2</v>
      </c>
      <c r="BA529" s="33">
        <v>4</v>
      </c>
      <c r="BB529" s="33">
        <v>1</v>
      </c>
      <c r="BC529" s="33">
        <v>1</v>
      </c>
      <c r="BD529" s="43">
        <v>0.19951405628110813</v>
      </c>
      <c r="BE529" s="33">
        <v>0</v>
      </c>
      <c r="BF529" s="33">
        <v>0</v>
      </c>
      <c r="CE529" s="36">
        <v>495</v>
      </c>
      <c r="CF529" s="33">
        <v>14</v>
      </c>
      <c r="CG529" s="33">
        <v>1</v>
      </c>
      <c r="CH529" s="33">
        <v>3</v>
      </c>
      <c r="CI529" s="33">
        <v>3</v>
      </c>
      <c r="CJ529" s="33">
        <v>1</v>
      </c>
      <c r="CK529" s="33">
        <v>1</v>
      </c>
      <c r="CL529" s="33">
        <v>2</v>
      </c>
      <c r="CM529" s="33">
        <v>3</v>
      </c>
      <c r="CN529" s="33">
        <v>8</v>
      </c>
      <c r="CO529" s="33">
        <v>0</v>
      </c>
      <c r="CP529" s="43">
        <v>0.14302853632998425</v>
      </c>
      <c r="CQ529" s="33">
        <v>0</v>
      </c>
      <c r="CR529" s="33">
        <v>0</v>
      </c>
    </row>
    <row r="530" spans="1:96" ht="15" customHeight="1" x14ac:dyDescent="0.25">
      <c r="A530" s="26">
        <v>528</v>
      </c>
      <c r="B530" s="27">
        <v>50</v>
      </c>
      <c r="C530" s="27">
        <v>1</v>
      </c>
      <c r="D530" s="27">
        <v>2</v>
      </c>
      <c r="E530" s="27">
        <v>562</v>
      </c>
      <c r="F530" s="27">
        <v>1</v>
      </c>
      <c r="G530" s="27">
        <v>8</v>
      </c>
      <c r="H530" s="27">
        <v>2</v>
      </c>
      <c r="I530" s="27">
        <v>5</v>
      </c>
      <c r="J530" s="27">
        <v>1</v>
      </c>
      <c r="K530" s="27">
        <v>723</v>
      </c>
      <c r="L530" s="27">
        <v>2</v>
      </c>
      <c r="M530" s="27">
        <v>1</v>
      </c>
      <c r="N530" s="27">
        <v>50</v>
      </c>
      <c r="O530" s="27">
        <v>3</v>
      </c>
      <c r="P530" s="27">
        <v>2</v>
      </c>
      <c r="Q530" s="27">
        <v>1</v>
      </c>
      <c r="R530" s="27">
        <v>3</v>
      </c>
      <c r="S530" s="27">
        <v>2</v>
      </c>
      <c r="T530" s="27">
        <v>6796</v>
      </c>
      <c r="U530" s="27">
        <v>23452</v>
      </c>
      <c r="V530" s="27">
        <v>3</v>
      </c>
      <c r="W530" s="27">
        <v>1</v>
      </c>
      <c r="X530" s="27">
        <v>14</v>
      </c>
      <c r="Y530" s="27">
        <v>3</v>
      </c>
      <c r="Z530" s="27">
        <v>1</v>
      </c>
      <c r="AA530" s="27">
        <v>80</v>
      </c>
      <c r="AB530" s="27">
        <v>1</v>
      </c>
      <c r="AC530" s="27">
        <v>18</v>
      </c>
      <c r="AD530" s="27">
        <v>4</v>
      </c>
      <c r="AE530" s="27">
        <v>3</v>
      </c>
      <c r="AF530" s="27">
        <v>4</v>
      </c>
      <c r="AG530" s="27">
        <v>3</v>
      </c>
      <c r="AH530" s="27">
        <v>1</v>
      </c>
      <c r="AI530" s="28">
        <v>3</v>
      </c>
      <c r="AK530" s="36">
        <v>497</v>
      </c>
      <c r="AL530" s="33">
        <v>22</v>
      </c>
      <c r="AM530" s="33">
        <v>1</v>
      </c>
      <c r="AN530" s="33">
        <v>3</v>
      </c>
      <c r="AO530" s="33">
        <v>1</v>
      </c>
      <c r="AP530" s="33">
        <v>0</v>
      </c>
      <c r="AQ530" s="33">
        <v>0</v>
      </c>
      <c r="AR530" s="33">
        <v>3</v>
      </c>
      <c r="AS530" s="33">
        <v>3</v>
      </c>
      <c r="AT530" s="33">
        <v>1</v>
      </c>
      <c r="AU530" s="43">
        <v>0.23827519009464079</v>
      </c>
      <c r="AV530" s="33">
        <v>0</v>
      </c>
      <c r="AW530" s="33">
        <v>0</v>
      </c>
      <c r="AY530" s="36">
        <v>502</v>
      </c>
      <c r="AZ530" s="33">
        <v>1</v>
      </c>
      <c r="BA530" s="33">
        <v>3</v>
      </c>
      <c r="BB530" s="33">
        <v>0</v>
      </c>
      <c r="BC530" s="33">
        <v>1</v>
      </c>
      <c r="BD530" s="43">
        <v>0.12012271365792118</v>
      </c>
      <c r="BE530" s="33">
        <v>0</v>
      </c>
      <c r="BF530" s="33">
        <v>0</v>
      </c>
      <c r="CE530" s="36">
        <v>496</v>
      </c>
      <c r="CF530" s="33">
        <v>2</v>
      </c>
      <c r="CG530" s="33">
        <v>1</v>
      </c>
      <c r="CH530" s="33">
        <v>1</v>
      </c>
      <c r="CI530" s="33">
        <v>3</v>
      </c>
      <c r="CJ530" s="33">
        <v>0</v>
      </c>
      <c r="CK530" s="33">
        <v>0</v>
      </c>
      <c r="CL530" s="33">
        <v>1</v>
      </c>
      <c r="CM530" s="33">
        <v>3</v>
      </c>
      <c r="CN530" s="33">
        <v>4</v>
      </c>
      <c r="CO530" s="33">
        <v>0</v>
      </c>
      <c r="CP530" s="43">
        <v>6.5562952340013025E-2</v>
      </c>
      <c r="CQ530" s="33">
        <v>0</v>
      </c>
      <c r="CR530" s="33">
        <v>1</v>
      </c>
    </row>
    <row r="531" spans="1:96" ht="15" customHeight="1" x14ac:dyDescent="0.25">
      <c r="A531" s="26">
        <v>529</v>
      </c>
      <c r="B531" s="27">
        <v>38</v>
      </c>
      <c r="C531" s="27">
        <v>0</v>
      </c>
      <c r="D531" s="27">
        <v>1</v>
      </c>
      <c r="E531" s="27">
        <v>827</v>
      </c>
      <c r="F531" s="27">
        <v>2</v>
      </c>
      <c r="G531" s="27">
        <v>1</v>
      </c>
      <c r="H531" s="27">
        <v>4</v>
      </c>
      <c r="I531" s="27">
        <v>1</v>
      </c>
      <c r="J531" s="27">
        <v>1</v>
      </c>
      <c r="K531" s="27">
        <v>724</v>
      </c>
      <c r="L531" s="27">
        <v>2</v>
      </c>
      <c r="M531" s="27">
        <v>0</v>
      </c>
      <c r="N531" s="27">
        <v>33</v>
      </c>
      <c r="O531" s="27">
        <v>4</v>
      </c>
      <c r="P531" s="27">
        <v>2</v>
      </c>
      <c r="Q531" s="27">
        <v>5</v>
      </c>
      <c r="R531" s="27">
        <v>4</v>
      </c>
      <c r="S531" s="27">
        <v>1</v>
      </c>
      <c r="T531" s="27">
        <v>7625</v>
      </c>
      <c r="U531" s="27">
        <v>19383</v>
      </c>
      <c r="V531" s="27">
        <v>0</v>
      </c>
      <c r="W531" s="27">
        <v>0</v>
      </c>
      <c r="X531" s="27">
        <v>13</v>
      </c>
      <c r="Y531" s="27">
        <v>3</v>
      </c>
      <c r="Z531" s="27">
        <v>3</v>
      </c>
      <c r="AA531" s="27">
        <v>80</v>
      </c>
      <c r="AB531" s="27">
        <v>0</v>
      </c>
      <c r="AC531" s="27">
        <v>10</v>
      </c>
      <c r="AD531" s="27">
        <v>4</v>
      </c>
      <c r="AE531" s="27">
        <v>2</v>
      </c>
      <c r="AF531" s="27">
        <v>9</v>
      </c>
      <c r="AG531" s="27">
        <v>7</v>
      </c>
      <c r="AH531" s="27">
        <v>1</v>
      </c>
      <c r="AI531" s="28">
        <v>8</v>
      </c>
      <c r="AK531" s="36">
        <v>498</v>
      </c>
      <c r="AL531" s="33">
        <v>3</v>
      </c>
      <c r="AM531" s="33">
        <v>5</v>
      </c>
      <c r="AN531" s="33">
        <v>4</v>
      </c>
      <c r="AO531" s="33">
        <v>4</v>
      </c>
      <c r="AP531" s="33">
        <v>1</v>
      </c>
      <c r="AQ531" s="33">
        <v>1</v>
      </c>
      <c r="AR531" s="33">
        <v>4</v>
      </c>
      <c r="AS531" s="33">
        <v>2</v>
      </c>
      <c r="AT531" s="33">
        <v>0</v>
      </c>
      <c r="AU531" s="43">
        <v>3.1883645272516435E-2</v>
      </c>
      <c r="AV531" s="33">
        <v>0</v>
      </c>
      <c r="AW531" s="33">
        <v>0</v>
      </c>
      <c r="AY531" s="36">
        <v>503</v>
      </c>
      <c r="AZ531" s="33">
        <v>2</v>
      </c>
      <c r="BA531" s="33">
        <v>1</v>
      </c>
      <c r="BB531" s="33">
        <v>0</v>
      </c>
      <c r="BC531" s="33">
        <v>0</v>
      </c>
      <c r="BD531" s="43">
        <v>0.19196561144667343</v>
      </c>
      <c r="BE531" s="33">
        <v>0</v>
      </c>
      <c r="BF531" s="33">
        <v>0</v>
      </c>
      <c r="CE531" s="36">
        <v>497</v>
      </c>
      <c r="CF531" s="33">
        <v>22</v>
      </c>
      <c r="CG531" s="33">
        <v>1</v>
      </c>
      <c r="CH531" s="33">
        <v>3</v>
      </c>
      <c r="CI531" s="33">
        <v>1</v>
      </c>
      <c r="CJ531" s="33">
        <v>1</v>
      </c>
      <c r="CK531" s="33">
        <v>0</v>
      </c>
      <c r="CL531" s="33">
        <v>0</v>
      </c>
      <c r="CM531" s="33">
        <v>3</v>
      </c>
      <c r="CN531" s="33">
        <v>3</v>
      </c>
      <c r="CO531" s="33">
        <v>1</v>
      </c>
      <c r="CP531" s="43">
        <v>0.26792861274053409</v>
      </c>
      <c r="CQ531" s="33">
        <v>0</v>
      </c>
      <c r="CR531" s="33">
        <v>0</v>
      </c>
    </row>
    <row r="532" spans="1:96" ht="15" customHeight="1" x14ac:dyDescent="0.25">
      <c r="A532" s="26">
        <v>530</v>
      </c>
      <c r="B532" s="27">
        <v>27</v>
      </c>
      <c r="C532" s="27">
        <v>0</v>
      </c>
      <c r="D532" s="27">
        <v>1</v>
      </c>
      <c r="E532" s="27">
        <v>608</v>
      </c>
      <c r="F532" s="27">
        <v>2</v>
      </c>
      <c r="G532" s="27">
        <v>1</v>
      </c>
      <c r="H532" s="27">
        <v>2</v>
      </c>
      <c r="I532" s="27">
        <v>1</v>
      </c>
      <c r="J532" s="27">
        <v>1</v>
      </c>
      <c r="K532" s="27">
        <v>725</v>
      </c>
      <c r="L532" s="27">
        <v>3</v>
      </c>
      <c r="M532" s="27">
        <v>0</v>
      </c>
      <c r="N532" s="27">
        <v>68</v>
      </c>
      <c r="O532" s="27">
        <v>3</v>
      </c>
      <c r="P532" s="27">
        <v>3</v>
      </c>
      <c r="Q532" s="27">
        <v>4</v>
      </c>
      <c r="R532" s="27">
        <v>1</v>
      </c>
      <c r="S532" s="27">
        <v>2</v>
      </c>
      <c r="T532" s="27">
        <v>7412</v>
      </c>
      <c r="U532" s="27">
        <v>6009</v>
      </c>
      <c r="V532" s="27">
        <v>1</v>
      </c>
      <c r="W532" s="27">
        <v>0</v>
      </c>
      <c r="X532" s="27">
        <v>11</v>
      </c>
      <c r="Y532" s="27">
        <v>3</v>
      </c>
      <c r="Z532" s="27">
        <v>4</v>
      </c>
      <c r="AA532" s="27">
        <v>80</v>
      </c>
      <c r="AB532" s="27">
        <v>0</v>
      </c>
      <c r="AC532" s="27">
        <v>9</v>
      </c>
      <c r="AD532" s="27">
        <v>3</v>
      </c>
      <c r="AE532" s="27">
        <v>3</v>
      </c>
      <c r="AF532" s="27">
        <v>9</v>
      </c>
      <c r="AG532" s="27">
        <v>7</v>
      </c>
      <c r="AH532" s="27">
        <v>0</v>
      </c>
      <c r="AI532" s="28">
        <v>7</v>
      </c>
      <c r="AK532" s="36">
        <v>499</v>
      </c>
      <c r="AL532" s="33">
        <v>6</v>
      </c>
      <c r="AM532" s="33">
        <v>1</v>
      </c>
      <c r="AN532" s="33">
        <v>3</v>
      </c>
      <c r="AO532" s="33">
        <v>0</v>
      </c>
      <c r="AP532" s="33">
        <v>0</v>
      </c>
      <c r="AQ532" s="33">
        <v>0</v>
      </c>
      <c r="AR532" s="33">
        <v>3</v>
      </c>
      <c r="AS532" s="33">
        <v>2</v>
      </c>
      <c r="AT532" s="33">
        <v>2</v>
      </c>
      <c r="AU532" s="43">
        <v>0.16813956809401562</v>
      </c>
      <c r="AV532" s="33">
        <v>0</v>
      </c>
      <c r="AW532" s="33">
        <v>0</v>
      </c>
      <c r="AY532" s="36">
        <v>504</v>
      </c>
      <c r="AZ532" s="33">
        <v>1</v>
      </c>
      <c r="BA532" s="33">
        <v>4</v>
      </c>
      <c r="BB532" s="33">
        <v>0</v>
      </c>
      <c r="BC532" s="33">
        <v>1</v>
      </c>
      <c r="BD532" s="43">
        <v>9.2486413274924434E-2</v>
      </c>
      <c r="BE532" s="33">
        <v>0</v>
      </c>
      <c r="BF532" s="33">
        <v>0</v>
      </c>
      <c r="CE532" s="36">
        <v>498</v>
      </c>
      <c r="CF532" s="33">
        <v>3</v>
      </c>
      <c r="CG532" s="33">
        <v>5</v>
      </c>
      <c r="CH532" s="33">
        <v>4</v>
      </c>
      <c r="CI532" s="33">
        <v>2</v>
      </c>
      <c r="CJ532" s="33">
        <v>4</v>
      </c>
      <c r="CK532" s="33">
        <v>1</v>
      </c>
      <c r="CL532" s="33">
        <v>1</v>
      </c>
      <c r="CM532" s="33">
        <v>4</v>
      </c>
      <c r="CN532" s="33">
        <v>2</v>
      </c>
      <c r="CO532" s="33">
        <v>0</v>
      </c>
      <c r="CP532" s="43">
        <v>3.2068075329118061E-2</v>
      </c>
      <c r="CQ532" s="33">
        <v>0</v>
      </c>
      <c r="CR532" s="33">
        <v>0</v>
      </c>
    </row>
    <row r="533" spans="1:96" ht="15" customHeight="1" x14ac:dyDescent="0.25">
      <c r="A533" s="26">
        <v>531</v>
      </c>
      <c r="B533" s="27">
        <v>32</v>
      </c>
      <c r="C533" s="27">
        <v>0</v>
      </c>
      <c r="D533" s="27">
        <v>1</v>
      </c>
      <c r="E533" s="27">
        <v>1018</v>
      </c>
      <c r="F533" s="27">
        <v>2</v>
      </c>
      <c r="G533" s="27">
        <v>3</v>
      </c>
      <c r="H533" s="27">
        <v>2</v>
      </c>
      <c r="I533" s="27">
        <v>1</v>
      </c>
      <c r="J533" s="27">
        <v>1</v>
      </c>
      <c r="K533" s="27">
        <v>727</v>
      </c>
      <c r="L533" s="27">
        <v>3</v>
      </c>
      <c r="M533" s="27">
        <v>0</v>
      </c>
      <c r="N533" s="27">
        <v>39</v>
      </c>
      <c r="O533" s="27">
        <v>3</v>
      </c>
      <c r="P533" s="27">
        <v>3</v>
      </c>
      <c r="Q533" s="27">
        <v>8</v>
      </c>
      <c r="R533" s="27">
        <v>4</v>
      </c>
      <c r="S533" s="27">
        <v>1</v>
      </c>
      <c r="T533" s="27">
        <v>11159</v>
      </c>
      <c r="U533" s="27">
        <v>19373</v>
      </c>
      <c r="V533" s="27">
        <v>3</v>
      </c>
      <c r="W533" s="27">
        <v>0</v>
      </c>
      <c r="X533" s="27">
        <v>15</v>
      </c>
      <c r="Y533" s="27">
        <v>3</v>
      </c>
      <c r="Z533" s="27">
        <v>4</v>
      </c>
      <c r="AA533" s="27">
        <v>80</v>
      </c>
      <c r="AB533" s="27">
        <v>0</v>
      </c>
      <c r="AC533" s="27">
        <v>10</v>
      </c>
      <c r="AD533" s="27">
        <v>6</v>
      </c>
      <c r="AE533" s="27">
        <v>3</v>
      </c>
      <c r="AF533" s="27">
        <v>7</v>
      </c>
      <c r="AG533" s="27">
        <v>7</v>
      </c>
      <c r="AH533" s="27">
        <v>7</v>
      </c>
      <c r="AI533" s="28">
        <v>7</v>
      </c>
      <c r="AK533" s="36">
        <v>500</v>
      </c>
      <c r="AL533" s="33">
        <v>8</v>
      </c>
      <c r="AM533" s="33">
        <v>2</v>
      </c>
      <c r="AN533" s="33">
        <v>3</v>
      </c>
      <c r="AO533" s="33">
        <v>0</v>
      </c>
      <c r="AP533" s="33">
        <v>0</v>
      </c>
      <c r="AQ533" s="33">
        <v>0</v>
      </c>
      <c r="AR533" s="33">
        <v>3</v>
      </c>
      <c r="AS533" s="33">
        <v>5</v>
      </c>
      <c r="AT533" s="33">
        <v>1</v>
      </c>
      <c r="AU533" s="43">
        <v>8.2198399720457727E-2</v>
      </c>
      <c r="AV533" s="33">
        <v>0</v>
      </c>
      <c r="AW533" s="33">
        <v>0</v>
      </c>
      <c r="AY533" s="36">
        <v>505</v>
      </c>
      <c r="AZ533" s="33">
        <v>2</v>
      </c>
      <c r="BA533" s="33">
        <v>1</v>
      </c>
      <c r="BB533" s="33">
        <v>0</v>
      </c>
      <c r="BC533" s="33">
        <v>2</v>
      </c>
      <c r="BD533" s="43">
        <v>7.638126547101505E-2</v>
      </c>
      <c r="BE533" s="33">
        <v>0</v>
      </c>
      <c r="BF533" s="33">
        <v>1</v>
      </c>
      <c r="CE533" s="36">
        <v>499</v>
      </c>
      <c r="CF533" s="33">
        <v>6</v>
      </c>
      <c r="CG533" s="33">
        <v>1</v>
      </c>
      <c r="CH533" s="33">
        <v>3</v>
      </c>
      <c r="CI533" s="33">
        <v>2</v>
      </c>
      <c r="CJ533" s="33">
        <v>0</v>
      </c>
      <c r="CK533" s="33">
        <v>0</v>
      </c>
      <c r="CL533" s="33">
        <v>0</v>
      </c>
      <c r="CM533" s="33">
        <v>3</v>
      </c>
      <c r="CN533" s="33">
        <v>2</v>
      </c>
      <c r="CO533" s="33">
        <v>2</v>
      </c>
      <c r="CP533" s="43">
        <v>0.12036178747360832</v>
      </c>
      <c r="CQ533" s="33">
        <v>0</v>
      </c>
      <c r="CR533" s="33">
        <v>0</v>
      </c>
    </row>
    <row r="534" spans="1:96" ht="15" customHeight="1" x14ac:dyDescent="0.25">
      <c r="A534" s="26">
        <v>532</v>
      </c>
      <c r="B534" s="27">
        <v>47</v>
      </c>
      <c r="C534" s="27">
        <v>0</v>
      </c>
      <c r="D534" s="27">
        <v>1</v>
      </c>
      <c r="E534" s="27">
        <v>703</v>
      </c>
      <c r="F534" s="27">
        <v>1</v>
      </c>
      <c r="G534" s="27">
        <v>14</v>
      </c>
      <c r="H534" s="27">
        <v>4</v>
      </c>
      <c r="I534" s="27">
        <v>4</v>
      </c>
      <c r="J534" s="27">
        <v>1</v>
      </c>
      <c r="K534" s="27">
        <v>728</v>
      </c>
      <c r="L534" s="27">
        <v>4</v>
      </c>
      <c r="M534" s="27">
        <v>1</v>
      </c>
      <c r="N534" s="27">
        <v>42</v>
      </c>
      <c r="O534" s="27">
        <v>3</v>
      </c>
      <c r="P534" s="27">
        <v>2</v>
      </c>
      <c r="Q534" s="27">
        <v>1</v>
      </c>
      <c r="R534" s="27">
        <v>1</v>
      </c>
      <c r="S534" s="27">
        <v>1</v>
      </c>
      <c r="T534" s="27">
        <v>4960</v>
      </c>
      <c r="U534" s="27">
        <v>11825</v>
      </c>
      <c r="V534" s="27">
        <v>2</v>
      </c>
      <c r="W534" s="27">
        <v>0</v>
      </c>
      <c r="X534" s="27">
        <v>12</v>
      </c>
      <c r="Y534" s="27">
        <v>3</v>
      </c>
      <c r="Z534" s="27">
        <v>4</v>
      </c>
      <c r="AA534" s="27">
        <v>80</v>
      </c>
      <c r="AB534" s="27">
        <v>0</v>
      </c>
      <c r="AC534" s="27">
        <v>20</v>
      </c>
      <c r="AD534" s="27">
        <v>2</v>
      </c>
      <c r="AE534" s="27">
        <v>3</v>
      </c>
      <c r="AF534" s="27">
        <v>7</v>
      </c>
      <c r="AG534" s="27">
        <v>7</v>
      </c>
      <c r="AH534" s="27">
        <v>1</v>
      </c>
      <c r="AI534" s="28">
        <v>7</v>
      </c>
      <c r="AK534" s="36">
        <v>501</v>
      </c>
      <c r="AL534" s="33">
        <v>9</v>
      </c>
      <c r="AM534" s="33">
        <v>2</v>
      </c>
      <c r="AN534" s="33">
        <v>4</v>
      </c>
      <c r="AO534" s="33">
        <v>1</v>
      </c>
      <c r="AP534" s="33">
        <v>1</v>
      </c>
      <c r="AQ534" s="33">
        <v>1</v>
      </c>
      <c r="AR534" s="33">
        <v>2</v>
      </c>
      <c r="AS534" s="33">
        <v>6</v>
      </c>
      <c r="AT534" s="33">
        <v>0</v>
      </c>
      <c r="AU534" s="43">
        <v>0.16355585398757935</v>
      </c>
      <c r="AV534" s="33">
        <v>0</v>
      </c>
      <c r="AW534" s="33">
        <v>0</v>
      </c>
      <c r="AY534" s="36">
        <v>506</v>
      </c>
      <c r="AZ534" s="33">
        <v>1</v>
      </c>
      <c r="BA534" s="33">
        <v>4</v>
      </c>
      <c r="BB534" s="33">
        <v>1</v>
      </c>
      <c r="BC534" s="33">
        <v>1</v>
      </c>
      <c r="BD534" s="43">
        <v>0.30345027699196836</v>
      </c>
      <c r="BE534" s="33">
        <v>0</v>
      </c>
      <c r="BF534" s="33">
        <v>0</v>
      </c>
      <c r="CE534" s="36">
        <v>500</v>
      </c>
      <c r="CF534" s="33">
        <v>8</v>
      </c>
      <c r="CG534" s="33">
        <v>2</v>
      </c>
      <c r="CH534" s="33">
        <v>3</v>
      </c>
      <c r="CI534" s="33">
        <v>3</v>
      </c>
      <c r="CJ534" s="33">
        <v>0</v>
      </c>
      <c r="CK534" s="33">
        <v>0</v>
      </c>
      <c r="CL534" s="33">
        <v>0</v>
      </c>
      <c r="CM534" s="33">
        <v>3</v>
      </c>
      <c r="CN534" s="33">
        <v>5</v>
      </c>
      <c r="CO534" s="33">
        <v>1</v>
      </c>
      <c r="CP534" s="43">
        <v>3.386196852076144E-2</v>
      </c>
      <c r="CQ534" s="33">
        <v>0</v>
      </c>
      <c r="CR534" s="33">
        <v>0</v>
      </c>
    </row>
    <row r="535" spans="1:96" ht="15" customHeight="1" x14ac:dyDescent="0.25">
      <c r="A535" s="26">
        <v>533</v>
      </c>
      <c r="B535" s="27">
        <v>40</v>
      </c>
      <c r="C535" s="27">
        <v>0</v>
      </c>
      <c r="D535" s="27">
        <v>2</v>
      </c>
      <c r="E535" s="27">
        <v>580</v>
      </c>
      <c r="F535" s="27">
        <v>1</v>
      </c>
      <c r="G535" s="27">
        <v>5</v>
      </c>
      <c r="H535" s="27">
        <v>4</v>
      </c>
      <c r="I535" s="27">
        <v>1</v>
      </c>
      <c r="J535" s="27">
        <v>1</v>
      </c>
      <c r="K535" s="27">
        <v>729</v>
      </c>
      <c r="L535" s="27">
        <v>4</v>
      </c>
      <c r="M535" s="27">
        <v>1</v>
      </c>
      <c r="N535" s="27">
        <v>48</v>
      </c>
      <c r="O535" s="27">
        <v>2</v>
      </c>
      <c r="P535" s="27">
        <v>3</v>
      </c>
      <c r="Q535" s="27">
        <v>1</v>
      </c>
      <c r="R535" s="27">
        <v>1</v>
      </c>
      <c r="S535" s="27">
        <v>2</v>
      </c>
      <c r="T535" s="27">
        <v>10475</v>
      </c>
      <c r="U535" s="27">
        <v>23772</v>
      </c>
      <c r="V535" s="27">
        <v>5</v>
      </c>
      <c r="W535" s="27">
        <v>1</v>
      </c>
      <c r="X535" s="27">
        <v>21</v>
      </c>
      <c r="Y535" s="27">
        <v>4</v>
      </c>
      <c r="Z535" s="27">
        <v>3</v>
      </c>
      <c r="AA535" s="27">
        <v>80</v>
      </c>
      <c r="AB535" s="27">
        <v>1</v>
      </c>
      <c r="AC535" s="27">
        <v>20</v>
      </c>
      <c r="AD535" s="27">
        <v>2</v>
      </c>
      <c r="AE535" s="27">
        <v>3</v>
      </c>
      <c r="AF535" s="27">
        <v>18</v>
      </c>
      <c r="AG535" s="27">
        <v>13</v>
      </c>
      <c r="AH535" s="27">
        <v>1</v>
      </c>
      <c r="AI535" s="28">
        <v>12</v>
      </c>
      <c r="AK535" s="36">
        <v>502</v>
      </c>
      <c r="AL535" s="33">
        <v>3</v>
      </c>
      <c r="AM535" s="33">
        <v>1</v>
      </c>
      <c r="AN535" s="33">
        <v>3</v>
      </c>
      <c r="AO535" s="33">
        <v>1</v>
      </c>
      <c r="AP535" s="33">
        <v>0</v>
      </c>
      <c r="AQ535" s="33">
        <v>1</v>
      </c>
      <c r="AR535" s="33">
        <v>3</v>
      </c>
      <c r="AS535" s="33">
        <v>1</v>
      </c>
      <c r="AT535" s="33">
        <v>0</v>
      </c>
      <c r="AU535" s="43">
        <v>8.8063770397640864E-2</v>
      </c>
      <c r="AV535" s="33">
        <v>0</v>
      </c>
      <c r="AW535" s="33">
        <v>0</v>
      </c>
      <c r="AY535" s="36">
        <v>507</v>
      </c>
      <c r="AZ535" s="33">
        <v>3</v>
      </c>
      <c r="BA535" s="33">
        <v>3</v>
      </c>
      <c r="BB535" s="33">
        <v>0</v>
      </c>
      <c r="BC535" s="33">
        <v>1</v>
      </c>
      <c r="BD535" s="43">
        <v>4.2774603045834733E-2</v>
      </c>
      <c r="BE535" s="33">
        <v>0</v>
      </c>
      <c r="BF535" s="33">
        <v>0</v>
      </c>
      <c r="CE535" s="36">
        <v>501</v>
      </c>
      <c r="CF535" s="33">
        <v>9</v>
      </c>
      <c r="CG535" s="33">
        <v>2</v>
      </c>
      <c r="CH535" s="33">
        <v>4</v>
      </c>
      <c r="CI535" s="33">
        <v>2</v>
      </c>
      <c r="CJ535" s="33">
        <v>1</v>
      </c>
      <c r="CK535" s="33">
        <v>1</v>
      </c>
      <c r="CL535" s="33">
        <v>1</v>
      </c>
      <c r="CM535" s="33">
        <v>2</v>
      </c>
      <c r="CN535" s="33">
        <v>6</v>
      </c>
      <c r="CO535" s="33">
        <v>0</v>
      </c>
      <c r="CP535" s="43">
        <v>0.16299311781322962</v>
      </c>
      <c r="CQ535" s="33">
        <v>0</v>
      </c>
      <c r="CR535" s="33">
        <v>0</v>
      </c>
    </row>
    <row r="536" spans="1:96" ht="15" customHeight="1" x14ac:dyDescent="0.25">
      <c r="A536" s="26">
        <v>534</v>
      </c>
      <c r="B536" s="27">
        <v>53</v>
      </c>
      <c r="C536" s="27">
        <v>0</v>
      </c>
      <c r="D536" s="27">
        <v>1</v>
      </c>
      <c r="E536" s="27">
        <v>970</v>
      </c>
      <c r="F536" s="27">
        <v>2</v>
      </c>
      <c r="G536" s="27">
        <v>7</v>
      </c>
      <c r="H536" s="27">
        <v>3</v>
      </c>
      <c r="I536" s="27">
        <v>1</v>
      </c>
      <c r="J536" s="27">
        <v>1</v>
      </c>
      <c r="K536" s="27">
        <v>730</v>
      </c>
      <c r="L536" s="27">
        <v>3</v>
      </c>
      <c r="M536" s="27">
        <v>1</v>
      </c>
      <c r="N536" s="27">
        <v>59</v>
      </c>
      <c r="O536" s="27">
        <v>4</v>
      </c>
      <c r="P536" s="27">
        <v>4</v>
      </c>
      <c r="Q536" s="27">
        <v>8</v>
      </c>
      <c r="R536" s="27">
        <v>3</v>
      </c>
      <c r="S536" s="27">
        <v>2</v>
      </c>
      <c r="T536" s="27">
        <v>14814</v>
      </c>
      <c r="U536" s="27">
        <v>13514</v>
      </c>
      <c r="V536" s="27">
        <v>3</v>
      </c>
      <c r="W536" s="27">
        <v>0</v>
      </c>
      <c r="X536" s="27">
        <v>19</v>
      </c>
      <c r="Y536" s="27">
        <v>3</v>
      </c>
      <c r="Z536" s="27">
        <v>3</v>
      </c>
      <c r="AA536" s="27">
        <v>80</v>
      </c>
      <c r="AB536" s="27">
        <v>0</v>
      </c>
      <c r="AC536" s="27">
        <v>32</v>
      </c>
      <c r="AD536" s="27">
        <v>3</v>
      </c>
      <c r="AE536" s="27">
        <v>3</v>
      </c>
      <c r="AF536" s="27">
        <v>5</v>
      </c>
      <c r="AG536" s="27">
        <v>1</v>
      </c>
      <c r="AH536" s="27">
        <v>1</v>
      </c>
      <c r="AI536" s="28">
        <v>3</v>
      </c>
      <c r="AK536" s="36">
        <v>503</v>
      </c>
      <c r="AL536" s="33">
        <v>1</v>
      </c>
      <c r="AM536" s="33">
        <v>2</v>
      </c>
      <c r="AN536" s="33">
        <v>1</v>
      </c>
      <c r="AO536" s="33">
        <v>7</v>
      </c>
      <c r="AP536" s="33">
        <v>0</v>
      </c>
      <c r="AQ536" s="33">
        <v>0</v>
      </c>
      <c r="AR536" s="33">
        <v>4</v>
      </c>
      <c r="AS536" s="33">
        <v>14</v>
      </c>
      <c r="AT536" s="33">
        <v>8</v>
      </c>
      <c r="AU536" s="43">
        <v>0.17301934858295523</v>
      </c>
      <c r="AV536" s="33">
        <v>0</v>
      </c>
      <c r="AW536" s="33">
        <v>0</v>
      </c>
      <c r="AY536" s="36">
        <v>508</v>
      </c>
      <c r="AZ536" s="33">
        <v>2</v>
      </c>
      <c r="BA536" s="33">
        <v>3</v>
      </c>
      <c r="BB536" s="33">
        <v>0</v>
      </c>
      <c r="BC536" s="33">
        <v>1</v>
      </c>
      <c r="BD536" s="43">
        <v>7.244788656931947E-2</v>
      </c>
      <c r="BE536" s="33">
        <v>0</v>
      </c>
      <c r="BF536" s="33">
        <v>0</v>
      </c>
      <c r="CE536" s="36">
        <v>502</v>
      </c>
      <c r="CF536" s="33">
        <v>3</v>
      </c>
      <c r="CG536" s="33">
        <v>1</v>
      </c>
      <c r="CH536" s="33">
        <v>3</v>
      </c>
      <c r="CI536" s="33">
        <v>3</v>
      </c>
      <c r="CJ536" s="33">
        <v>1</v>
      </c>
      <c r="CK536" s="33">
        <v>0</v>
      </c>
      <c r="CL536" s="33">
        <v>1</v>
      </c>
      <c r="CM536" s="33">
        <v>3</v>
      </c>
      <c r="CN536" s="33">
        <v>1</v>
      </c>
      <c r="CO536" s="33">
        <v>0</v>
      </c>
      <c r="CP536" s="43">
        <v>5.0167462239557786E-2</v>
      </c>
      <c r="CQ536" s="33">
        <v>0</v>
      </c>
      <c r="CR536" s="33">
        <v>0</v>
      </c>
    </row>
    <row r="537" spans="1:96" ht="15" customHeight="1" x14ac:dyDescent="0.25">
      <c r="A537" s="26">
        <v>535</v>
      </c>
      <c r="B537" s="27">
        <v>41</v>
      </c>
      <c r="C537" s="27">
        <v>0</v>
      </c>
      <c r="D537" s="27">
        <v>1</v>
      </c>
      <c r="E537" s="27">
        <v>427</v>
      </c>
      <c r="F537" s="27">
        <v>3</v>
      </c>
      <c r="G537" s="27">
        <v>10</v>
      </c>
      <c r="H537" s="27">
        <v>4</v>
      </c>
      <c r="I537" s="27">
        <v>2</v>
      </c>
      <c r="J537" s="27">
        <v>1</v>
      </c>
      <c r="K537" s="27">
        <v>731</v>
      </c>
      <c r="L537" s="27">
        <v>2</v>
      </c>
      <c r="M537" s="27">
        <v>1</v>
      </c>
      <c r="N537" s="27">
        <v>73</v>
      </c>
      <c r="O537" s="27">
        <v>2</v>
      </c>
      <c r="P537" s="27">
        <v>5</v>
      </c>
      <c r="Q537" s="27">
        <v>6</v>
      </c>
      <c r="R537" s="27">
        <v>4</v>
      </c>
      <c r="S537" s="27">
        <v>3</v>
      </c>
      <c r="T537" s="27">
        <v>19141</v>
      </c>
      <c r="U537" s="27">
        <v>8861</v>
      </c>
      <c r="V537" s="27">
        <v>3</v>
      </c>
      <c r="W537" s="27">
        <v>0</v>
      </c>
      <c r="X537" s="27">
        <v>15</v>
      </c>
      <c r="Y537" s="27">
        <v>3</v>
      </c>
      <c r="Z537" s="27">
        <v>2</v>
      </c>
      <c r="AA537" s="27">
        <v>80</v>
      </c>
      <c r="AB537" s="27">
        <v>3</v>
      </c>
      <c r="AC537" s="27">
        <v>23</v>
      </c>
      <c r="AD537" s="27">
        <v>2</v>
      </c>
      <c r="AE537" s="27">
        <v>2</v>
      </c>
      <c r="AF537" s="27">
        <v>21</v>
      </c>
      <c r="AG537" s="27">
        <v>6</v>
      </c>
      <c r="AH537" s="27">
        <v>12</v>
      </c>
      <c r="AI537" s="28">
        <v>6</v>
      </c>
      <c r="AK537" s="36">
        <v>504</v>
      </c>
      <c r="AL537" s="33">
        <v>1</v>
      </c>
      <c r="AM537" s="33">
        <v>1</v>
      </c>
      <c r="AN537" s="33">
        <v>4</v>
      </c>
      <c r="AO537" s="33">
        <v>1</v>
      </c>
      <c r="AP537" s="33">
        <v>0</v>
      </c>
      <c r="AQ537" s="33">
        <v>1</v>
      </c>
      <c r="AR537" s="33">
        <v>2</v>
      </c>
      <c r="AS537" s="33">
        <v>10</v>
      </c>
      <c r="AT537" s="33">
        <v>8</v>
      </c>
      <c r="AU537" s="43">
        <v>9.9175174167735095E-2</v>
      </c>
      <c r="AV537" s="33">
        <v>0</v>
      </c>
      <c r="AW537" s="33">
        <v>0</v>
      </c>
      <c r="AY537" s="36">
        <v>509</v>
      </c>
      <c r="AZ537" s="33">
        <v>2</v>
      </c>
      <c r="BA537" s="33">
        <v>4</v>
      </c>
      <c r="BB537" s="33">
        <v>0</v>
      </c>
      <c r="BC537" s="33">
        <v>0</v>
      </c>
      <c r="BD537" s="43">
        <v>8.9935487507215722E-2</v>
      </c>
      <c r="BE537" s="33">
        <v>0</v>
      </c>
      <c r="BF537" s="33">
        <v>0</v>
      </c>
      <c r="CE537" s="36">
        <v>503</v>
      </c>
      <c r="CF537" s="33">
        <v>1</v>
      </c>
      <c r="CG537" s="33">
        <v>2</v>
      </c>
      <c r="CH537" s="33">
        <v>1</v>
      </c>
      <c r="CI537" s="33">
        <v>1</v>
      </c>
      <c r="CJ537" s="33">
        <v>7</v>
      </c>
      <c r="CK537" s="33">
        <v>0</v>
      </c>
      <c r="CL537" s="33">
        <v>0</v>
      </c>
      <c r="CM537" s="33">
        <v>4</v>
      </c>
      <c r="CN537" s="33">
        <v>14</v>
      </c>
      <c r="CO537" s="33">
        <v>8</v>
      </c>
      <c r="CP537" s="43">
        <v>0.20676243721109869</v>
      </c>
      <c r="CQ537" s="33">
        <v>0</v>
      </c>
      <c r="CR537" s="33">
        <v>0</v>
      </c>
    </row>
    <row r="538" spans="1:96" ht="15" customHeight="1" x14ac:dyDescent="0.25">
      <c r="A538" s="26">
        <v>536</v>
      </c>
      <c r="B538" s="27">
        <v>60</v>
      </c>
      <c r="C538" s="27">
        <v>0</v>
      </c>
      <c r="D538" s="27">
        <v>1</v>
      </c>
      <c r="E538" s="27">
        <v>1179</v>
      </c>
      <c r="F538" s="27">
        <v>1</v>
      </c>
      <c r="G538" s="27">
        <v>16</v>
      </c>
      <c r="H538" s="27">
        <v>4</v>
      </c>
      <c r="I538" s="27">
        <v>4</v>
      </c>
      <c r="J538" s="27">
        <v>1</v>
      </c>
      <c r="K538" s="27">
        <v>732</v>
      </c>
      <c r="L538" s="27">
        <v>1</v>
      </c>
      <c r="M538" s="27">
        <v>1</v>
      </c>
      <c r="N538" s="27">
        <v>84</v>
      </c>
      <c r="O538" s="27">
        <v>3</v>
      </c>
      <c r="P538" s="27">
        <v>2</v>
      </c>
      <c r="Q538" s="27">
        <v>1</v>
      </c>
      <c r="R538" s="27">
        <v>1</v>
      </c>
      <c r="S538" s="27">
        <v>1</v>
      </c>
      <c r="T538" s="27">
        <v>5405</v>
      </c>
      <c r="U538" s="27">
        <v>11924</v>
      </c>
      <c r="V538" s="27">
        <v>8</v>
      </c>
      <c r="W538" s="27">
        <v>0</v>
      </c>
      <c r="X538" s="27">
        <v>14</v>
      </c>
      <c r="Y538" s="27">
        <v>3</v>
      </c>
      <c r="Z538" s="27">
        <v>4</v>
      </c>
      <c r="AA538" s="27">
        <v>80</v>
      </c>
      <c r="AB538" s="27">
        <v>0</v>
      </c>
      <c r="AC538" s="27">
        <v>10</v>
      </c>
      <c r="AD538" s="27">
        <v>1</v>
      </c>
      <c r="AE538" s="27">
        <v>3</v>
      </c>
      <c r="AF538" s="27">
        <v>2</v>
      </c>
      <c r="AG538" s="27">
        <v>2</v>
      </c>
      <c r="AH538" s="27">
        <v>2</v>
      </c>
      <c r="AI538" s="28">
        <v>2</v>
      </c>
      <c r="AK538" s="36">
        <v>505</v>
      </c>
      <c r="AL538" s="33">
        <v>26</v>
      </c>
      <c r="AM538" s="33">
        <v>2</v>
      </c>
      <c r="AN538" s="33">
        <v>1</v>
      </c>
      <c r="AO538" s="33">
        <v>2</v>
      </c>
      <c r="AP538" s="33">
        <v>0</v>
      </c>
      <c r="AQ538" s="33">
        <v>2</v>
      </c>
      <c r="AR538" s="33">
        <v>3</v>
      </c>
      <c r="AS538" s="33">
        <v>1</v>
      </c>
      <c r="AT538" s="33">
        <v>0</v>
      </c>
      <c r="AU538" s="43">
        <v>0.11768460000659518</v>
      </c>
      <c r="AV538" s="33">
        <v>0</v>
      </c>
      <c r="AW538" s="33">
        <v>1</v>
      </c>
      <c r="AY538" s="36">
        <v>510</v>
      </c>
      <c r="AZ538" s="33">
        <v>2</v>
      </c>
      <c r="BA538" s="33">
        <v>4</v>
      </c>
      <c r="BB538" s="33">
        <v>0</v>
      </c>
      <c r="BC538" s="33">
        <v>1</v>
      </c>
      <c r="BD538" s="43">
        <v>5.5093218126976727E-2</v>
      </c>
      <c r="BE538" s="33">
        <v>0</v>
      </c>
      <c r="BF538" s="33">
        <v>0</v>
      </c>
      <c r="CE538" s="36">
        <v>504</v>
      </c>
      <c r="CF538" s="33">
        <v>1</v>
      </c>
      <c r="CG538" s="33">
        <v>1</v>
      </c>
      <c r="CH538" s="33">
        <v>4</v>
      </c>
      <c r="CI538" s="33">
        <v>2</v>
      </c>
      <c r="CJ538" s="33">
        <v>1</v>
      </c>
      <c r="CK538" s="33">
        <v>0</v>
      </c>
      <c r="CL538" s="33">
        <v>1</v>
      </c>
      <c r="CM538" s="33">
        <v>2</v>
      </c>
      <c r="CN538" s="33">
        <v>10</v>
      </c>
      <c r="CO538" s="33">
        <v>8</v>
      </c>
      <c r="CP538" s="43">
        <v>9.6419943721165649E-2</v>
      </c>
      <c r="CQ538" s="33">
        <v>0</v>
      </c>
      <c r="CR538" s="33">
        <v>0</v>
      </c>
    </row>
    <row r="539" spans="1:96" ht="15" customHeight="1" x14ac:dyDescent="0.25">
      <c r="A539" s="26">
        <v>537</v>
      </c>
      <c r="B539" s="27">
        <v>27</v>
      </c>
      <c r="C539" s="27">
        <v>0</v>
      </c>
      <c r="D539" s="27">
        <v>2</v>
      </c>
      <c r="E539" s="27">
        <v>294</v>
      </c>
      <c r="F539" s="27">
        <v>2</v>
      </c>
      <c r="G539" s="27">
        <v>10</v>
      </c>
      <c r="H539" s="27">
        <v>2</v>
      </c>
      <c r="I539" s="27">
        <v>1</v>
      </c>
      <c r="J539" s="27">
        <v>1</v>
      </c>
      <c r="K539" s="27">
        <v>733</v>
      </c>
      <c r="L539" s="27">
        <v>4</v>
      </c>
      <c r="M539" s="27">
        <v>1</v>
      </c>
      <c r="N539" s="27">
        <v>32</v>
      </c>
      <c r="O539" s="27">
        <v>3</v>
      </c>
      <c r="P539" s="27">
        <v>3</v>
      </c>
      <c r="Q539" s="27">
        <v>4</v>
      </c>
      <c r="R539" s="27">
        <v>1</v>
      </c>
      <c r="S539" s="27">
        <v>3</v>
      </c>
      <c r="T539" s="27">
        <v>8793</v>
      </c>
      <c r="U539" s="27">
        <v>4809</v>
      </c>
      <c r="V539" s="27">
        <v>1</v>
      </c>
      <c r="W539" s="27">
        <v>0</v>
      </c>
      <c r="X539" s="27">
        <v>21</v>
      </c>
      <c r="Y539" s="27">
        <v>4</v>
      </c>
      <c r="Z539" s="27">
        <v>3</v>
      </c>
      <c r="AA539" s="27">
        <v>80</v>
      </c>
      <c r="AB539" s="27">
        <v>2</v>
      </c>
      <c r="AC539" s="27">
        <v>9</v>
      </c>
      <c r="AD539" s="27">
        <v>4</v>
      </c>
      <c r="AE539" s="27">
        <v>2</v>
      </c>
      <c r="AF539" s="27">
        <v>9</v>
      </c>
      <c r="AG539" s="27">
        <v>7</v>
      </c>
      <c r="AH539" s="27">
        <v>1</v>
      </c>
      <c r="AI539" s="28">
        <v>7</v>
      </c>
      <c r="AK539" s="36">
        <v>506</v>
      </c>
      <c r="AL539" s="33">
        <v>6</v>
      </c>
      <c r="AM539" s="33">
        <v>1</v>
      </c>
      <c r="AN539" s="33">
        <v>4</v>
      </c>
      <c r="AO539" s="33">
        <v>1</v>
      </c>
      <c r="AP539" s="33">
        <v>1</v>
      </c>
      <c r="AQ539" s="33">
        <v>1</v>
      </c>
      <c r="AR539" s="33">
        <v>3</v>
      </c>
      <c r="AS539" s="33">
        <v>3</v>
      </c>
      <c r="AT539" s="33">
        <v>0</v>
      </c>
      <c r="AU539" s="43">
        <v>0.23191087323395604</v>
      </c>
      <c r="AV539" s="33">
        <v>0</v>
      </c>
      <c r="AW539" s="33">
        <v>0</v>
      </c>
      <c r="AY539" s="36">
        <v>511</v>
      </c>
      <c r="AZ539" s="33">
        <v>3</v>
      </c>
      <c r="BA539" s="33">
        <v>2</v>
      </c>
      <c r="BB539" s="33">
        <v>0</v>
      </c>
      <c r="BC539" s="33">
        <v>1</v>
      </c>
      <c r="BD539" s="43">
        <v>5.6480788250011953E-2</v>
      </c>
      <c r="BE539" s="33">
        <v>0</v>
      </c>
      <c r="BF539" s="33">
        <v>0</v>
      </c>
      <c r="CE539" s="36">
        <v>505</v>
      </c>
      <c r="CF539" s="33">
        <v>26</v>
      </c>
      <c r="CG539" s="33">
        <v>2</v>
      </c>
      <c r="CH539" s="33">
        <v>1</v>
      </c>
      <c r="CI539" s="33">
        <v>2</v>
      </c>
      <c r="CJ539" s="33">
        <v>2</v>
      </c>
      <c r="CK539" s="33">
        <v>0</v>
      </c>
      <c r="CL539" s="33">
        <v>2</v>
      </c>
      <c r="CM539" s="33">
        <v>3</v>
      </c>
      <c r="CN539" s="33">
        <v>1</v>
      </c>
      <c r="CO539" s="33">
        <v>0</v>
      </c>
      <c r="CP539" s="43">
        <v>0.15742442759681902</v>
      </c>
      <c r="CQ539" s="33">
        <v>0</v>
      </c>
      <c r="CR539" s="33">
        <v>1</v>
      </c>
    </row>
    <row r="540" spans="1:96" ht="15" customHeight="1" x14ac:dyDescent="0.25">
      <c r="A540" s="26">
        <v>538</v>
      </c>
      <c r="B540" s="27">
        <v>41</v>
      </c>
      <c r="C540" s="27">
        <v>0</v>
      </c>
      <c r="D540" s="27">
        <v>1</v>
      </c>
      <c r="E540" s="27">
        <v>314</v>
      </c>
      <c r="F540" s="27">
        <v>3</v>
      </c>
      <c r="G540" s="27">
        <v>1</v>
      </c>
      <c r="H540" s="27">
        <v>3</v>
      </c>
      <c r="I540" s="27">
        <v>2</v>
      </c>
      <c r="J540" s="27">
        <v>1</v>
      </c>
      <c r="K540" s="27">
        <v>734</v>
      </c>
      <c r="L540" s="27">
        <v>4</v>
      </c>
      <c r="M540" s="27">
        <v>1</v>
      </c>
      <c r="N540" s="27">
        <v>59</v>
      </c>
      <c r="O540" s="27">
        <v>2</v>
      </c>
      <c r="P540" s="27">
        <v>5</v>
      </c>
      <c r="Q540" s="27">
        <v>6</v>
      </c>
      <c r="R540" s="27">
        <v>3</v>
      </c>
      <c r="S540" s="27">
        <v>2</v>
      </c>
      <c r="T540" s="27">
        <v>19189</v>
      </c>
      <c r="U540" s="27">
        <v>19562</v>
      </c>
      <c r="V540" s="27">
        <v>1</v>
      </c>
      <c r="W540" s="27">
        <v>0</v>
      </c>
      <c r="X540" s="27">
        <v>12</v>
      </c>
      <c r="Y540" s="27">
        <v>3</v>
      </c>
      <c r="Z540" s="27">
        <v>2</v>
      </c>
      <c r="AA540" s="27">
        <v>80</v>
      </c>
      <c r="AB540" s="27">
        <v>1</v>
      </c>
      <c r="AC540" s="27">
        <v>22</v>
      </c>
      <c r="AD540" s="27">
        <v>3</v>
      </c>
      <c r="AE540" s="27">
        <v>3</v>
      </c>
      <c r="AF540" s="27">
        <v>22</v>
      </c>
      <c r="AG540" s="27">
        <v>7</v>
      </c>
      <c r="AH540" s="27">
        <v>2</v>
      </c>
      <c r="AI540" s="28">
        <v>10</v>
      </c>
      <c r="AK540" s="36">
        <v>507</v>
      </c>
      <c r="AL540" s="33">
        <v>3</v>
      </c>
      <c r="AM540" s="33">
        <v>3</v>
      </c>
      <c r="AN540" s="33">
        <v>3</v>
      </c>
      <c r="AO540" s="33">
        <v>1</v>
      </c>
      <c r="AP540" s="33">
        <v>0</v>
      </c>
      <c r="AQ540" s="33">
        <v>1</v>
      </c>
      <c r="AR540" s="33">
        <v>3</v>
      </c>
      <c r="AS540" s="33">
        <v>10</v>
      </c>
      <c r="AT540" s="33">
        <v>7</v>
      </c>
      <c r="AU540" s="43">
        <v>3.570267030573971E-2</v>
      </c>
      <c r="AV540" s="33">
        <v>0</v>
      </c>
      <c r="AW540" s="33">
        <v>0</v>
      </c>
      <c r="AY540" s="36">
        <v>512</v>
      </c>
      <c r="AZ540" s="33">
        <v>2</v>
      </c>
      <c r="BA540" s="33">
        <v>2</v>
      </c>
      <c r="BB540" s="33">
        <v>1</v>
      </c>
      <c r="BC540" s="33">
        <v>1</v>
      </c>
      <c r="BD540" s="43">
        <v>0.30904710588370227</v>
      </c>
      <c r="BE540" s="33">
        <v>0</v>
      </c>
      <c r="BF540" s="33">
        <v>0</v>
      </c>
      <c r="CE540" s="36">
        <v>506</v>
      </c>
      <c r="CF540" s="33">
        <v>6</v>
      </c>
      <c r="CG540" s="33">
        <v>1</v>
      </c>
      <c r="CH540" s="33">
        <v>4</v>
      </c>
      <c r="CI540" s="33">
        <v>2</v>
      </c>
      <c r="CJ540" s="33">
        <v>1</v>
      </c>
      <c r="CK540" s="33">
        <v>1</v>
      </c>
      <c r="CL540" s="33">
        <v>1</v>
      </c>
      <c r="CM540" s="33">
        <v>3</v>
      </c>
      <c r="CN540" s="33">
        <v>3</v>
      </c>
      <c r="CO540" s="33">
        <v>0</v>
      </c>
      <c r="CP540" s="43">
        <v>0.22674268401359277</v>
      </c>
      <c r="CQ540" s="33">
        <v>0</v>
      </c>
      <c r="CR540" s="33">
        <v>0</v>
      </c>
    </row>
    <row r="541" spans="1:96" ht="15" customHeight="1" x14ac:dyDescent="0.25">
      <c r="A541" s="26">
        <v>539</v>
      </c>
      <c r="B541" s="27">
        <v>50</v>
      </c>
      <c r="C541" s="27">
        <v>0</v>
      </c>
      <c r="D541" s="27">
        <v>1</v>
      </c>
      <c r="E541" s="27">
        <v>316</v>
      </c>
      <c r="F541" s="27">
        <v>1</v>
      </c>
      <c r="G541" s="27">
        <v>8</v>
      </c>
      <c r="H541" s="27">
        <v>4</v>
      </c>
      <c r="I541" s="27">
        <v>4</v>
      </c>
      <c r="J541" s="27">
        <v>1</v>
      </c>
      <c r="K541" s="27">
        <v>738</v>
      </c>
      <c r="L541" s="27">
        <v>4</v>
      </c>
      <c r="M541" s="27">
        <v>1</v>
      </c>
      <c r="N541" s="27">
        <v>54</v>
      </c>
      <c r="O541" s="27">
        <v>3</v>
      </c>
      <c r="P541" s="27">
        <v>1</v>
      </c>
      <c r="Q541" s="27">
        <v>7</v>
      </c>
      <c r="R541" s="27">
        <v>2</v>
      </c>
      <c r="S541" s="27">
        <v>2</v>
      </c>
      <c r="T541" s="27">
        <v>3875</v>
      </c>
      <c r="U541" s="27">
        <v>9983</v>
      </c>
      <c r="V541" s="27">
        <v>7</v>
      </c>
      <c r="W541" s="27">
        <v>0</v>
      </c>
      <c r="X541" s="27">
        <v>15</v>
      </c>
      <c r="Y541" s="27">
        <v>3</v>
      </c>
      <c r="Z541" s="27">
        <v>4</v>
      </c>
      <c r="AA541" s="27">
        <v>80</v>
      </c>
      <c r="AB541" s="27">
        <v>1</v>
      </c>
      <c r="AC541" s="27">
        <v>4</v>
      </c>
      <c r="AD541" s="27">
        <v>2</v>
      </c>
      <c r="AE541" s="27">
        <v>3</v>
      </c>
      <c r="AF541" s="27">
        <v>2</v>
      </c>
      <c r="AG541" s="27">
        <v>2</v>
      </c>
      <c r="AH541" s="27">
        <v>2</v>
      </c>
      <c r="AI541" s="28">
        <v>2</v>
      </c>
      <c r="AK541" s="36">
        <v>508</v>
      </c>
      <c r="AL541" s="33">
        <v>3</v>
      </c>
      <c r="AM541" s="33">
        <v>2</v>
      </c>
      <c r="AN541" s="33">
        <v>3</v>
      </c>
      <c r="AO541" s="33">
        <v>1</v>
      </c>
      <c r="AP541" s="33">
        <v>0</v>
      </c>
      <c r="AQ541" s="33">
        <v>1</v>
      </c>
      <c r="AR541" s="33">
        <v>2</v>
      </c>
      <c r="AS541" s="33">
        <v>6</v>
      </c>
      <c r="AT541" s="33">
        <v>1</v>
      </c>
      <c r="AU541" s="43">
        <v>5.1969416924745951E-2</v>
      </c>
      <c r="AV541" s="33">
        <v>0</v>
      </c>
      <c r="AW541" s="33">
        <v>0</v>
      </c>
      <c r="AY541" s="36">
        <v>513</v>
      </c>
      <c r="AZ541" s="33">
        <v>1</v>
      </c>
      <c r="BA541" s="33">
        <v>4</v>
      </c>
      <c r="BB541" s="33">
        <v>0</v>
      </c>
      <c r="BC541" s="33">
        <v>0</v>
      </c>
      <c r="BD541" s="43">
        <v>0.1472907617042678</v>
      </c>
      <c r="BE541" s="33">
        <v>0</v>
      </c>
      <c r="BF541" s="33">
        <v>0</v>
      </c>
      <c r="CE541" s="36">
        <v>507</v>
      </c>
      <c r="CF541" s="33">
        <v>3</v>
      </c>
      <c r="CG541" s="33">
        <v>3</v>
      </c>
      <c r="CH541" s="33">
        <v>3</v>
      </c>
      <c r="CI541" s="33">
        <v>2</v>
      </c>
      <c r="CJ541" s="33">
        <v>1</v>
      </c>
      <c r="CK541" s="33">
        <v>0</v>
      </c>
      <c r="CL541" s="33">
        <v>1</v>
      </c>
      <c r="CM541" s="33">
        <v>3</v>
      </c>
      <c r="CN541" s="33">
        <v>10</v>
      </c>
      <c r="CO541" s="33">
        <v>7</v>
      </c>
      <c r="CP541" s="43">
        <v>3.5356653011945904E-2</v>
      </c>
      <c r="CQ541" s="33">
        <v>0</v>
      </c>
      <c r="CR541" s="33">
        <v>0</v>
      </c>
    </row>
    <row r="542" spans="1:96" ht="15" customHeight="1" x14ac:dyDescent="0.25">
      <c r="A542" s="26">
        <v>540</v>
      </c>
      <c r="B542" s="27">
        <v>28</v>
      </c>
      <c r="C542" s="27">
        <v>1</v>
      </c>
      <c r="D542" s="27">
        <v>1</v>
      </c>
      <c r="E542" s="27">
        <v>654</v>
      </c>
      <c r="F542" s="27">
        <v>2</v>
      </c>
      <c r="G542" s="27">
        <v>1</v>
      </c>
      <c r="H542" s="27">
        <v>2</v>
      </c>
      <c r="I542" s="27">
        <v>1</v>
      </c>
      <c r="J542" s="27">
        <v>1</v>
      </c>
      <c r="K542" s="27">
        <v>741</v>
      </c>
      <c r="L542" s="27">
        <v>1</v>
      </c>
      <c r="M542" s="27">
        <v>0</v>
      </c>
      <c r="N542" s="27">
        <v>67</v>
      </c>
      <c r="O542" s="27">
        <v>1</v>
      </c>
      <c r="P542" s="27">
        <v>1</v>
      </c>
      <c r="Q542" s="27">
        <v>2</v>
      </c>
      <c r="R542" s="27">
        <v>2</v>
      </c>
      <c r="S542" s="27">
        <v>1</v>
      </c>
      <c r="T542" s="27">
        <v>2216</v>
      </c>
      <c r="U542" s="27">
        <v>3872</v>
      </c>
      <c r="V542" s="27">
        <v>7</v>
      </c>
      <c r="W542" s="27">
        <v>1</v>
      </c>
      <c r="X542" s="27">
        <v>13</v>
      </c>
      <c r="Y542" s="27">
        <v>3</v>
      </c>
      <c r="Z542" s="27">
        <v>4</v>
      </c>
      <c r="AA542" s="27">
        <v>80</v>
      </c>
      <c r="AB542" s="27">
        <v>0</v>
      </c>
      <c r="AC542" s="27">
        <v>10</v>
      </c>
      <c r="AD542" s="27">
        <v>4</v>
      </c>
      <c r="AE542" s="27">
        <v>3</v>
      </c>
      <c r="AF542" s="27">
        <v>7</v>
      </c>
      <c r="AG542" s="27">
        <v>7</v>
      </c>
      <c r="AH542" s="27">
        <v>3</v>
      </c>
      <c r="AI542" s="28">
        <v>7</v>
      </c>
      <c r="AK542" s="36">
        <v>509</v>
      </c>
      <c r="AL542" s="33">
        <v>6</v>
      </c>
      <c r="AM542" s="33">
        <v>2</v>
      </c>
      <c r="AN542" s="33">
        <v>4</v>
      </c>
      <c r="AO542" s="33">
        <v>1</v>
      </c>
      <c r="AP542" s="33">
        <v>0</v>
      </c>
      <c r="AQ542" s="33">
        <v>0</v>
      </c>
      <c r="AR542" s="33">
        <v>3</v>
      </c>
      <c r="AS542" s="33">
        <v>17</v>
      </c>
      <c r="AT542" s="33">
        <v>11</v>
      </c>
      <c r="AU542" s="43">
        <v>8.1665740182712221E-2</v>
      </c>
      <c r="AV542" s="33">
        <v>0</v>
      </c>
      <c r="AW542" s="33">
        <v>0</v>
      </c>
      <c r="AY542" s="36">
        <v>514</v>
      </c>
      <c r="AZ542" s="33">
        <v>1</v>
      </c>
      <c r="BA542" s="33">
        <v>3</v>
      </c>
      <c r="BB542" s="33">
        <v>1</v>
      </c>
      <c r="BC542" s="33">
        <v>0</v>
      </c>
      <c r="BD542" s="43">
        <v>0.49727340882350407</v>
      </c>
      <c r="BE542" s="33">
        <v>0</v>
      </c>
      <c r="BF542" s="33">
        <v>1</v>
      </c>
      <c r="CE542" s="36">
        <v>508</v>
      </c>
      <c r="CF542" s="33">
        <v>3</v>
      </c>
      <c r="CG542" s="33">
        <v>2</v>
      </c>
      <c r="CH542" s="33">
        <v>3</v>
      </c>
      <c r="CI542" s="33">
        <v>2</v>
      </c>
      <c r="CJ542" s="33">
        <v>1</v>
      </c>
      <c r="CK542" s="33">
        <v>0</v>
      </c>
      <c r="CL542" s="33">
        <v>1</v>
      </c>
      <c r="CM542" s="33">
        <v>2</v>
      </c>
      <c r="CN542" s="33">
        <v>6</v>
      </c>
      <c r="CO542" s="33">
        <v>1</v>
      </c>
      <c r="CP542" s="43">
        <v>5.093544268695506E-2</v>
      </c>
      <c r="CQ542" s="33">
        <v>0</v>
      </c>
      <c r="CR542" s="33">
        <v>0</v>
      </c>
    </row>
    <row r="543" spans="1:96" ht="15" customHeight="1" x14ac:dyDescent="0.25">
      <c r="A543" s="26">
        <v>541</v>
      </c>
      <c r="B543" s="27">
        <v>36</v>
      </c>
      <c r="C543" s="27">
        <v>0</v>
      </c>
      <c r="D543" s="27">
        <v>3</v>
      </c>
      <c r="E543" s="27">
        <v>427</v>
      </c>
      <c r="F543" s="27">
        <v>2</v>
      </c>
      <c r="G543" s="27">
        <v>8</v>
      </c>
      <c r="H543" s="27">
        <v>3</v>
      </c>
      <c r="I543" s="27">
        <v>1</v>
      </c>
      <c r="J543" s="27">
        <v>1</v>
      </c>
      <c r="K543" s="27">
        <v>742</v>
      </c>
      <c r="L543" s="27">
        <v>1</v>
      </c>
      <c r="M543" s="27">
        <v>0</v>
      </c>
      <c r="N543" s="27">
        <v>63</v>
      </c>
      <c r="O543" s="27">
        <v>4</v>
      </c>
      <c r="P543" s="27">
        <v>3</v>
      </c>
      <c r="Q543" s="27">
        <v>8</v>
      </c>
      <c r="R543" s="27">
        <v>1</v>
      </c>
      <c r="S543" s="27">
        <v>2</v>
      </c>
      <c r="T543" s="27">
        <v>11713</v>
      </c>
      <c r="U543" s="27">
        <v>20335</v>
      </c>
      <c r="V543" s="27">
        <v>9</v>
      </c>
      <c r="W543" s="27">
        <v>0</v>
      </c>
      <c r="X543" s="27">
        <v>14</v>
      </c>
      <c r="Y543" s="27">
        <v>3</v>
      </c>
      <c r="Z543" s="27">
        <v>1</v>
      </c>
      <c r="AA543" s="27">
        <v>80</v>
      </c>
      <c r="AB543" s="27">
        <v>1</v>
      </c>
      <c r="AC543" s="27">
        <v>10</v>
      </c>
      <c r="AD543" s="27">
        <v>2</v>
      </c>
      <c r="AE543" s="27">
        <v>3</v>
      </c>
      <c r="AF543" s="27">
        <v>8</v>
      </c>
      <c r="AG543" s="27">
        <v>7</v>
      </c>
      <c r="AH543" s="27">
        <v>0</v>
      </c>
      <c r="AI543" s="28">
        <v>5</v>
      </c>
      <c r="AK543" s="36">
        <v>510</v>
      </c>
      <c r="AL543" s="33">
        <v>6</v>
      </c>
      <c r="AM543" s="33">
        <v>2</v>
      </c>
      <c r="AN543" s="33">
        <v>4</v>
      </c>
      <c r="AO543" s="33">
        <v>3</v>
      </c>
      <c r="AP543" s="33">
        <v>0</v>
      </c>
      <c r="AQ543" s="33">
        <v>1</v>
      </c>
      <c r="AR543" s="33">
        <v>1</v>
      </c>
      <c r="AS543" s="33">
        <v>13</v>
      </c>
      <c r="AT543" s="33">
        <v>4</v>
      </c>
      <c r="AU543" s="43">
        <v>5.4216523443864469E-2</v>
      </c>
      <c r="AV543" s="33">
        <v>0</v>
      </c>
      <c r="AW543" s="33">
        <v>0</v>
      </c>
      <c r="AY543" s="36">
        <v>515</v>
      </c>
      <c r="AZ543" s="33">
        <v>1</v>
      </c>
      <c r="BA543" s="33">
        <v>1</v>
      </c>
      <c r="BB543" s="33">
        <v>1</v>
      </c>
      <c r="BC543" s="33">
        <v>0</v>
      </c>
      <c r="BD543" s="43">
        <v>0.63965103699986936</v>
      </c>
      <c r="BE543" s="33">
        <v>1</v>
      </c>
      <c r="BF543" s="33">
        <v>1</v>
      </c>
      <c r="CE543" s="36">
        <v>509</v>
      </c>
      <c r="CF543" s="33">
        <v>6</v>
      </c>
      <c r="CG543" s="33">
        <v>2</v>
      </c>
      <c r="CH543" s="33">
        <v>4</v>
      </c>
      <c r="CI543" s="33">
        <v>1</v>
      </c>
      <c r="CJ543" s="33">
        <v>1</v>
      </c>
      <c r="CK543" s="33">
        <v>0</v>
      </c>
      <c r="CL543" s="33">
        <v>0</v>
      </c>
      <c r="CM543" s="33">
        <v>3</v>
      </c>
      <c r="CN543" s="33">
        <v>17</v>
      </c>
      <c r="CO543" s="33">
        <v>11</v>
      </c>
      <c r="CP543" s="43">
        <v>9.604048280232122E-2</v>
      </c>
      <c r="CQ543" s="33">
        <v>0</v>
      </c>
      <c r="CR543" s="33">
        <v>0</v>
      </c>
    </row>
    <row r="544" spans="1:96" ht="15" customHeight="1" x14ac:dyDescent="0.25">
      <c r="A544" s="26">
        <v>542</v>
      </c>
      <c r="B544" s="27">
        <v>38</v>
      </c>
      <c r="C544" s="27">
        <v>0</v>
      </c>
      <c r="D544" s="27">
        <v>1</v>
      </c>
      <c r="E544" s="27">
        <v>168</v>
      </c>
      <c r="F544" s="27">
        <v>2</v>
      </c>
      <c r="G544" s="27">
        <v>1</v>
      </c>
      <c r="H544" s="27">
        <v>3</v>
      </c>
      <c r="I544" s="27">
        <v>1</v>
      </c>
      <c r="J544" s="27">
        <v>1</v>
      </c>
      <c r="K544" s="27">
        <v>743</v>
      </c>
      <c r="L544" s="27">
        <v>3</v>
      </c>
      <c r="M544" s="27">
        <v>0</v>
      </c>
      <c r="N544" s="27">
        <v>81</v>
      </c>
      <c r="O544" s="27">
        <v>3</v>
      </c>
      <c r="P544" s="27">
        <v>3</v>
      </c>
      <c r="Q544" s="27">
        <v>4</v>
      </c>
      <c r="R544" s="27">
        <v>3</v>
      </c>
      <c r="S544" s="27">
        <v>1</v>
      </c>
      <c r="T544" s="27">
        <v>7861</v>
      </c>
      <c r="U544" s="27">
        <v>15397</v>
      </c>
      <c r="V544" s="27">
        <v>4</v>
      </c>
      <c r="W544" s="27">
        <v>1</v>
      </c>
      <c r="X544" s="27">
        <v>14</v>
      </c>
      <c r="Y544" s="27">
        <v>3</v>
      </c>
      <c r="Z544" s="27">
        <v>4</v>
      </c>
      <c r="AA544" s="27">
        <v>80</v>
      </c>
      <c r="AB544" s="27">
        <v>0</v>
      </c>
      <c r="AC544" s="27">
        <v>10</v>
      </c>
      <c r="AD544" s="27">
        <v>4</v>
      </c>
      <c r="AE544" s="27">
        <v>4</v>
      </c>
      <c r="AF544" s="27">
        <v>1</v>
      </c>
      <c r="AG544" s="27">
        <v>0</v>
      </c>
      <c r="AH544" s="27">
        <v>0</v>
      </c>
      <c r="AI544" s="28">
        <v>0</v>
      </c>
      <c r="AK544" s="36">
        <v>511</v>
      </c>
      <c r="AL544" s="33">
        <v>19</v>
      </c>
      <c r="AM544" s="33">
        <v>3</v>
      </c>
      <c r="AN544" s="33">
        <v>2</v>
      </c>
      <c r="AO544" s="33">
        <v>2</v>
      </c>
      <c r="AP544" s="33">
        <v>0</v>
      </c>
      <c r="AQ544" s="33">
        <v>1</v>
      </c>
      <c r="AR544" s="33">
        <v>4</v>
      </c>
      <c r="AS544" s="33">
        <v>9</v>
      </c>
      <c r="AT544" s="33">
        <v>7</v>
      </c>
      <c r="AU544" s="43">
        <v>7.2937832926510571E-2</v>
      </c>
      <c r="AV544" s="33">
        <v>0</v>
      </c>
      <c r="AW544" s="33">
        <v>0</v>
      </c>
      <c r="AY544" s="36">
        <v>516</v>
      </c>
      <c r="AZ544" s="33">
        <v>1</v>
      </c>
      <c r="BA544" s="33">
        <v>3</v>
      </c>
      <c r="BB544" s="33">
        <v>0</v>
      </c>
      <c r="BC544" s="33">
        <v>2</v>
      </c>
      <c r="BD544" s="43">
        <v>7.4543423691031577E-2</v>
      </c>
      <c r="BE544" s="33">
        <v>0</v>
      </c>
      <c r="BF544" s="33">
        <v>0</v>
      </c>
      <c r="CE544" s="36">
        <v>510</v>
      </c>
      <c r="CF544" s="33">
        <v>6</v>
      </c>
      <c r="CG544" s="33">
        <v>2</v>
      </c>
      <c r="CH544" s="33">
        <v>4</v>
      </c>
      <c r="CI544" s="33">
        <v>3</v>
      </c>
      <c r="CJ544" s="33">
        <v>3</v>
      </c>
      <c r="CK544" s="33">
        <v>0</v>
      </c>
      <c r="CL544" s="33">
        <v>1</v>
      </c>
      <c r="CM544" s="33">
        <v>1</v>
      </c>
      <c r="CN544" s="33">
        <v>13</v>
      </c>
      <c r="CO544" s="33">
        <v>4</v>
      </c>
      <c r="CP544" s="43">
        <v>3.1402555039460364E-2</v>
      </c>
      <c r="CQ544" s="33">
        <v>0</v>
      </c>
      <c r="CR544" s="33">
        <v>0</v>
      </c>
    </row>
    <row r="545" spans="1:96" ht="15" customHeight="1" x14ac:dyDescent="0.25">
      <c r="A545" s="26">
        <v>543</v>
      </c>
      <c r="B545" s="27">
        <v>44</v>
      </c>
      <c r="C545" s="27">
        <v>0</v>
      </c>
      <c r="D545" s="27">
        <v>3</v>
      </c>
      <c r="E545" s="27">
        <v>381</v>
      </c>
      <c r="F545" s="27">
        <v>2</v>
      </c>
      <c r="G545" s="27">
        <v>24</v>
      </c>
      <c r="H545" s="27">
        <v>3</v>
      </c>
      <c r="I545" s="27">
        <v>3</v>
      </c>
      <c r="J545" s="27">
        <v>1</v>
      </c>
      <c r="K545" s="27">
        <v>744</v>
      </c>
      <c r="L545" s="27">
        <v>1</v>
      </c>
      <c r="M545" s="27">
        <v>1</v>
      </c>
      <c r="N545" s="27">
        <v>49</v>
      </c>
      <c r="O545" s="27">
        <v>1</v>
      </c>
      <c r="P545" s="27">
        <v>1</v>
      </c>
      <c r="Q545" s="27">
        <v>3</v>
      </c>
      <c r="R545" s="27">
        <v>3</v>
      </c>
      <c r="S545" s="27">
        <v>1</v>
      </c>
      <c r="T545" s="27">
        <v>3708</v>
      </c>
      <c r="U545" s="27">
        <v>2104</v>
      </c>
      <c r="V545" s="27">
        <v>2</v>
      </c>
      <c r="W545" s="27">
        <v>0</v>
      </c>
      <c r="X545" s="27">
        <v>14</v>
      </c>
      <c r="Y545" s="27">
        <v>3</v>
      </c>
      <c r="Z545" s="27">
        <v>3</v>
      </c>
      <c r="AA545" s="27">
        <v>80</v>
      </c>
      <c r="AB545" s="27">
        <v>0</v>
      </c>
      <c r="AC545" s="27">
        <v>9</v>
      </c>
      <c r="AD545" s="27">
        <v>5</v>
      </c>
      <c r="AE545" s="27">
        <v>3</v>
      </c>
      <c r="AF545" s="27">
        <v>5</v>
      </c>
      <c r="AG545" s="27">
        <v>2</v>
      </c>
      <c r="AH545" s="27">
        <v>1</v>
      </c>
      <c r="AI545" s="28">
        <v>4</v>
      </c>
      <c r="AK545" s="36">
        <v>512</v>
      </c>
      <c r="AL545" s="33">
        <v>9</v>
      </c>
      <c r="AM545" s="33">
        <v>2</v>
      </c>
      <c r="AN545" s="33">
        <v>2</v>
      </c>
      <c r="AO545" s="33">
        <v>2</v>
      </c>
      <c r="AP545" s="33">
        <v>1</v>
      </c>
      <c r="AQ545" s="33">
        <v>1</v>
      </c>
      <c r="AR545" s="33">
        <v>3</v>
      </c>
      <c r="AS545" s="33">
        <v>3</v>
      </c>
      <c r="AT545" s="33">
        <v>0</v>
      </c>
      <c r="AU545" s="43">
        <v>0.2728547790371661</v>
      </c>
      <c r="AV545" s="33">
        <v>0</v>
      </c>
      <c r="AW545" s="33">
        <v>0</v>
      </c>
      <c r="AY545" s="36">
        <v>517</v>
      </c>
      <c r="AZ545" s="33">
        <v>1</v>
      </c>
      <c r="BA545" s="33">
        <v>1</v>
      </c>
      <c r="BB545" s="33">
        <v>0</v>
      </c>
      <c r="BC545" s="33">
        <v>1</v>
      </c>
      <c r="BD545" s="43">
        <v>0.19678474515944386</v>
      </c>
      <c r="BE545" s="33">
        <v>0</v>
      </c>
      <c r="BF545" s="33">
        <v>0</v>
      </c>
      <c r="CE545" s="36">
        <v>511</v>
      </c>
      <c r="CF545" s="33">
        <v>19</v>
      </c>
      <c r="CG545" s="33">
        <v>3</v>
      </c>
      <c r="CH545" s="33">
        <v>2</v>
      </c>
      <c r="CI545" s="33">
        <v>2</v>
      </c>
      <c r="CJ545" s="33">
        <v>2</v>
      </c>
      <c r="CK545" s="33">
        <v>0</v>
      </c>
      <c r="CL545" s="33">
        <v>1</v>
      </c>
      <c r="CM545" s="33">
        <v>4</v>
      </c>
      <c r="CN545" s="33">
        <v>9</v>
      </c>
      <c r="CO545" s="33">
        <v>7</v>
      </c>
      <c r="CP545" s="43">
        <v>7.2195173725469353E-2</v>
      </c>
      <c r="CQ545" s="33">
        <v>0</v>
      </c>
      <c r="CR545" s="33">
        <v>0</v>
      </c>
    </row>
    <row r="546" spans="1:96" ht="15" customHeight="1" x14ac:dyDescent="0.25">
      <c r="A546" s="26">
        <v>544</v>
      </c>
      <c r="B546" s="27">
        <v>47</v>
      </c>
      <c r="C546" s="27">
        <v>0</v>
      </c>
      <c r="D546" s="27">
        <v>2</v>
      </c>
      <c r="E546" s="27">
        <v>217</v>
      </c>
      <c r="F546" s="27">
        <v>1</v>
      </c>
      <c r="G546" s="27">
        <v>3</v>
      </c>
      <c r="H546" s="27">
        <v>3</v>
      </c>
      <c r="I546" s="27">
        <v>3</v>
      </c>
      <c r="J546" s="27">
        <v>1</v>
      </c>
      <c r="K546" s="27">
        <v>746</v>
      </c>
      <c r="L546" s="27">
        <v>4</v>
      </c>
      <c r="M546" s="27">
        <v>0</v>
      </c>
      <c r="N546" s="27">
        <v>49</v>
      </c>
      <c r="O546" s="27">
        <v>3</v>
      </c>
      <c r="P546" s="27">
        <v>4</v>
      </c>
      <c r="Q546" s="27">
        <v>1</v>
      </c>
      <c r="R546" s="27">
        <v>3</v>
      </c>
      <c r="S546" s="27">
        <v>3</v>
      </c>
      <c r="T546" s="27">
        <v>13770</v>
      </c>
      <c r="U546" s="27">
        <v>10225</v>
      </c>
      <c r="V546" s="27">
        <v>9</v>
      </c>
      <c r="W546" s="27">
        <v>1</v>
      </c>
      <c r="X546" s="27">
        <v>12</v>
      </c>
      <c r="Y546" s="27">
        <v>3</v>
      </c>
      <c r="Z546" s="27">
        <v>4</v>
      </c>
      <c r="AA546" s="27">
        <v>80</v>
      </c>
      <c r="AB546" s="27">
        <v>2</v>
      </c>
      <c r="AC546" s="27">
        <v>28</v>
      </c>
      <c r="AD546" s="27">
        <v>2</v>
      </c>
      <c r="AE546" s="27">
        <v>2</v>
      </c>
      <c r="AF546" s="27">
        <v>22</v>
      </c>
      <c r="AG546" s="27">
        <v>2</v>
      </c>
      <c r="AH546" s="27">
        <v>11</v>
      </c>
      <c r="AI546" s="28">
        <v>13</v>
      </c>
      <c r="AK546" s="36">
        <v>513</v>
      </c>
      <c r="AL546" s="33">
        <v>3</v>
      </c>
      <c r="AM546" s="33">
        <v>1</v>
      </c>
      <c r="AN546" s="33">
        <v>4</v>
      </c>
      <c r="AO546" s="33">
        <v>0</v>
      </c>
      <c r="AP546" s="33">
        <v>0</v>
      </c>
      <c r="AQ546" s="33">
        <v>0</v>
      </c>
      <c r="AR546" s="33">
        <v>3</v>
      </c>
      <c r="AS546" s="33">
        <v>4</v>
      </c>
      <c r="AT546" s="33">
        <v>1</v>
      </c>
      <c r="AU546" s="43">
        <v>9.5404203748006136E-2</v>
      </c>
      <c r="AV546" s="33">
        <v>0</v>
      </c>
      <c r="AW546" s="33">
        <v>0</v>
      </c>
      <c r="AY546" s="36">
        <v>518</v>
      </c>
      <c r="AZ546" s="33">
        <v>2</v>
      </c>
      <c r="BA546" s="33">
        <v>2</v>
      </c>
      <c r="BB546" s="33">
        <v>0</v>
      </c>
      <c r="BC546" s="33">
        <v>1</v>
      </c>
      <c r="BD546" s="43">
        <v>9.4721355311452843E-2</v>
      </c>
      <c r="BE546" s="33">
        <v>0</v>
      </c>
      <c r="BF546" s="33">
        <v>0</v>
      </c>
      <c r="CE546" s="36">
        <v>512</v>
      </c>
      <c r="CF546" s="33">
        <v>9</v>
      </c>
      <c r="CG546" s="33">
        <v>2</v>
      </c>
      <c r="CH546" s="33">
        <v>2</v>
      </c>
      <c r="CI546" s="33">
        <v>3</v>
      </c>
      <c r="CJ546" s="33">
        <v>2</v>
      </c>
      <c r="CK546" s="33">
        <v>1</v>
      </c>
      <c r="CL546" s="33">
        <v>1</v>
      </c>
      <c r="CM546" s="33">
        <v>3</v>
      </c>
      <c r="CN546" s="33">
        <v>3</v>
      </c>
      <c r="CO546" s="33">
        <v>0</v>
      </c>
      <c r="CP546" s="43">
        <v>0.18019407214262326</v>
      </c>
      <c r="CQ546" s="33">
        <v>0</v>
      </c>
      <c r="CR546" s="33">
        <v>0</v>
      </c>
    </row>
    <row r="547" spans="1:96" ht="15" customHeight="1" x14ac:dyDescent="0.25">
      <c r="A547" s="26">
        <v>545</v>
      </c>
      <c r="B547" s="27">
        <v>30</v>
      </c>
      <c r="C547" s="27">
        <v>0</v>
      </c>
      <c r="D547" s="27">
        <v>1</v>
      </c>
      <c r="E547" s="27">
        <v>501</v>
      </c>
      <c r="F547" s="27">
        <v>1</v>
      </c>
      <c r="G547" s="27">
        <v>27</v>
      </c>
      <c r="H547" s="27">
        <v>5</v>
      </c>
      <c r="I547" s="27">
        <v>4</v>
      </c>
      <c r="J547" s="27">
        <v>1</v>
      </c>
      <c r="K547" s="27">
        <v>747</v>
      </c>
      <c r="L547" s="27">
        <v>3</v>
      </c>
      <c r="M547" s="27">
        <v>1</v>
      </c>
      <c r="N547" s="27">
        <v>99</v>
      </c>
      <c r="O547" s="27">
        <v>3</v>
      </c>
      <c r="P547" s="27">
        <v>2</v>
      </c>
      <c r="Q547" s="27">
        <v>1</v>
      </c>
      <c r="R547" s="27">
        <v>4</v>
      </c>
      <c r="S547" s="27">
        <v>3</v>
      </c>
      <c r="T547" s="27">
        <v>5304</v>
      </c>
      <c r="U547" s="27">
        <v>25275</v>
      </c>
      <c r="V547" s="27">
        <v>7</v>
      </c>
      <c r="W547" s="27">
        <v>0</v>
      </c>
      <c r="X547" s="27">
        <v>23</v>
      </c>
      <c r="Y547" s="27">
        <v>4</v>
      </c>
      <c r="Z547" s="27">
        <v>4</v>
      </c>
      <c r="AA547" s="27">
        <v>80</v>
      </c>
      <c r="AB547" s="27">
        <v>1</v>
      </c>
      <c r="AC547" s="27">
        <v>10</v>
      </c>
      <c r="AD547" s="27">
        <v>2</v>
      </c>
      <c r="AE547" s="27">
        <v>2</v>
      </c>
      <c r="AF547" s="27">
        <v>8</v>
      </c>
      <c r="AG547" s="27">
        <v>7</v>
      </c>
      <c r="AH547" s="27">
        <v>7</v>
      </c>
      <c r="AI547" s="28">
        <v>7</v>
      </c>
      <c r="AK547" s="36">
        <v>514</v>
      </c>
      <c r="AL547" s="33">
        <v>10</v>
      </c>
      <c r="AM547" s="33">
        <v>1</v>
      </c>
      <c r="AN547" s="33">
        <v>3</v>
      </c>
      <c r="AO547" s="33">
        <v>1</v>
      </c>
      <c r="AP547" s="33">
        <v>1</v>
      </c>
      <c r="AQ547" s="33">
        <v>0</v>
      </c>
      <c r="AR547" s="33">
        <v>3</v>
      </c>
      <c r="AS547" s="33">
        <v>1</v>
      </c>
      <c r="AT547" s="33">
        <v>1</v>
      </c>
      <c r="AU547" s="43">
        <v>0.51342223946577481</v>
      </c>
      <c r="AV547" s="33">
        <v>1</v>
      </c>
      <c r="AW547" s="33">
        <v>1</v>
      </c>
      <c r="AY547" s="36">
        <v>519</v>
      </c>
      <c r="AZ547" s="33">
        <v>2</v>
      </c>
      <c r="BA547" s="33">
        <v>4</v>
      </c>
      <c r="BB547" s="33">
        <v>0</v>
      </c>
      <c r="BC547" s="33">
        <v>0</v>
      </c>
      <c r="BD547" s="43">
        <v>8.9935487507215722E-2</v>
      </c>
      <c r="BE547" s="33">
        <v>0</v>
      </c>
      <c r="BF547" s="33">
        <v>0</v>
      </c>
      <c r="CE547" s="36">
        <v>513</v>
      </c>
      <c r="CF547" s="33">
        <v>3</v>
      </c>
      <c r="CG547" s="33">
        <v>1</v>
      </c>
      <c r="CH547" s="33">
        <v>4</v>
      </c>
      <c r="CI547" s="33">
        <v>1</v>
      </c>
      <c r="CJ547" s="33">
        <v>0</v>
      </c>
      <c r="CK547" s="33">
        <v>0</v>
      </c>
      <c r="CL547" s="33">
        <v>0</v>
      </c>
      <c r="CM547" s="33">
        <v>3</v>
      </c>
      <c r="CN547" s="33">
        <v>4</v>
      </c>
      <c r="CO547" s="33">
        <v>1</v>
      </c>
      <c r="CP547" s="43">
        <v>0.108442134375455</v>
      </c>
      <c r="CQ547" s="33">
        <v>0</v>
      </c>
      <c r="CR547" s="33">
        <v>0</v>
      </c>
    </row>
    <row r="548" spans="1:96" ht="15" customHeight="1" x14ac:dyDescent="0.25">
      <c r="A548" s="26">
        <v>546</v>
      </c>
      <c r="B548" s="27">
        <v>29</v>
      </c>
      <c r="C548" s="27">
        <v>0</v>
      </c>
      <c r="D548" s="27">
        <v>1</v>
      </c>
      <c r="E548" s="27">
        <v>1396</v>
      </c>
      <c r="F548" s="27">
        <v>1</v>
      </c>
      <c r="G548" s="27">
        <v>10</v>
      </c>
      <c r="H548" s="27">
        <v>3</v>
      </c>
      <c r="I548" s="27">
        <v>1</v>
      </c>
      <c r="J548" s="27">
        <v>1</v>
      </c>
      <c r="K548" s="27">
        <v>749</v>
      </c>
      <c r="L548" s="27">
        <v>3</v>
      </c>
      <c r="M548" s="27">
        <v>1</v>
      </c>
      <c r="N548" s="27">
        <v>99</v>
      </c>
      <c r="O548" s="27">
        <v>3</v>
      </c>
      <c r="P548" s="27">
        <v>1</v>
      </c>
      <c r="Q548" s="27">
        <v>7</v>
      </c>
      <c r="R548" s="27">
        <v>3</v>
      </c>
      <c r="S548" s="27">
        <v>1</v>
      </c>
      <c r="T548" s="27">
        <v>2642</v>
      </c>
      <c r="U548" s="27">
        <v>2755</v>
      </c>
      <c r="V548" s="27">
        <v>1</v>
      </c>
      <c r="W548" s="27">
        <v>0</v>
      </c>
      <c r="X548" s="27">
        <v>11</v>
      </c>
      <c r="Y548" s="27">
        <v>3</v>
      </c>
      <c r="Z548" s="27">
        <v>3</v>
      </c>
      <c r="AA548" s="27">
        <v>80</v>
      </c>
      <c r="AB548" s="27">
        <v>0</v>
      </c>
      <c r="AC548" s="27">
        <v>1</v>
      </c>
      <c r="AD548" s="27">
        <v>6</v>
      </c>
      <c r="AE548" s="27">
        <v>3</v>
      </c>
      <c r="AF548" s="27">
        <v>1</v>
      </c>
      <c r="AG548" s="27">
        <v>0</v>
      </c>
      <c r="AH548" s="27">
        <v>0</v>
      </c>
      <c r="AI548" s="28">
        <v>0</v>
      </c>
      <c r="AK548" s="36">
        <v>515</v>
      </c>
      <c r="AL548" s="33">
        <v>3</v>
      </c>
      <c r="AM548" s="33">
        <v>1</v>
      </c>
      <c r="AN548" s="33">
        <v>1</v>
      </c>
      <c r="AO548" s="33">
        <v>1</v>
      </c>
      <c r="AP548" s="33">
        <v>1</v>
      </c>
      <c r="AQ548" s="33">
        <v>0</v>
      </c>
      <c r="AR548" s="33">
        <v>3</v>
      </c>
      <c r="AS548" s="33">
        <v>10</v>
      </c>
      <c r="AT548" s="33">
        <v>9</v>
      </c>
      <c r="AU548" s="43">
        <v>0.65929371712056506</v>
      </c>
      <c r="AV548" s="33">
        <v>1</v>
      </c>
      <c r="AW548" s="33">
        <v>1</v>
      </c>
      <c r="AY548" s="36">
        <v>520</v>
      </c>
      <c r="AZ548" s="33">
        <v>1</v>
      </c>
      <c r="BA548" s="33">
        <v>4</v>
      </c>
      <c r="BB548" s="33">
        <v>0</v>
      </c>
      <c r="BC548" s="33">
        <v>1</v>
      </c>
      <c r="BD548" s="43">
        <v>9.2486413274924434E-2</v>
      </c>
      <c r="BE548" s="33">
        <v>0</v>
      </c>
      <c r="BF548" s="33">
        <v>0</v>
      </c>
      <c r="CE548" s="36">
        <v>514</v>
      </c>
      <c r="CF548" s="33">
        <v>10</v>
      </c>
      <c r="CG548" s="33">
        <v>1</v>
      </c>
      <c r="CH548" s="33">
        <v>3</v>
      </c>
      <c r="CI548" s="33">
        <v>1</v>
      </c>
      <c r="CJ548" s="33">
        <v>1</v>
      </c>
      <c r="CK548" s="33">
        <v>1</v>
      </c>
      <c r="CL548" s="33">
        <v>0</v>
      </c>
      <c r="CM548" s="33">
        <v>3</v>
      </c>
      <c r="CN548" s="33">
        <v>1</v>
      </c>
      <c r="CO548" s="33">
        <v>1</v>
      </c>
      <c r="CP548" s="43">
        <v>0.56360560938290272</v>
      </c>
      <c r="CQ548" s="33">
        <v>1</v>
      </c>
      <c r="CR548" s="33">
        <v>1</v>
      </c>
    </row>
    <row r="549" spans="1:96" ht="15" customHeight="1" x14ac:dyDescent="0.25">
      <c r="A549" s="26">
        <v>547</v>
      </c>
      <c r="B549" s="27">
        <v>42</v>
      </c>
      <c r="C549" s="27">
        <v>1</v>
      </c>
      <c r="D549" s="27">
        <v>2</v>
      </c>
      <c r="E549" s="27">
        <v>933</v>
      </c>
      <c r="F549" s="27">
        <v>2</v>
      </c>
      <c r="G549" s="27">
        <v>19</v>
      </c>
      <c r="H549" s="27">
        <v>3</v>
      </c>
      <c r="I549" s="27">
        <v>3</v>
      </c>
      <c r="J549" s="27">
        <v>1</v>
      </c>
      <c r="K549" s="27">
        <v>752</v>
      </c>
      <c r="L549" s="27">
        <v>3</v>
      </c>
      <c r="M549" s="27">
        <v>1</v>
      </c>
      <c r="N549" s="27">
        <v>57</v>
      </c>
      <c r="O549" s="27">
        <v>4</v>
      </c>
      <c r="P549" s="27">
        <v>1</v>
      </c>
      <c r="Q549" s="27">
        <v>2</v>
      </c>
      <c r="R549" s="27">
        <v>3</v>
      </c>
      <c r="S549" s="27">
        <v>3</v>
      </c>
      <c r="T549" s="27">
        <v>2759</v>
      </c>
      <c r="U549" s="27">
        <v>20366</v>
      </c>
      <c r="V549" s="27">
        <v>6</v>
      </c>
      <c r="W549" s="27">
        <v>1</v>
      </c>
      <c r="X549" s="27">
        <v>12</v>
      </c>
      <c r="Y549" s="27">
        <v>3</v>
      </c>
      <c r="Z549" s="27">
        <v>4</v>
      </c>
      <c r="AA549" s="27">
        <v>80</v>
      </c>
      <c r="AB549" s="27">
        <v>0</v>
      </c>
      <c r="AC549" s="27">
        <v>7</v>
      </c>
      <c r="AD549" s="27">
        <v>2</v>
      </c>
      <c r="AE549" s="27">
        <v>3</v>
      </c>
      <c r="AF549" s="27">
        <v>2</v>
      </c>
      <c r="AG549" s="27">
        <v>2</v>
      </c>
      <c r="AH549" s="27">
        <v>2</v>
      </c>
      <c r="AI549" s="28">
        <v>2</v>
      </c>
      <c r="AK549" s="36">
        <v>516</v>
      </c>
      <c r="AL549" s="33">
        <v>3</v>
      </c>
      <c r="AM549" s="33">
        <v>1</v>
      </c>
      <c r="AN549" s="33">
        <v>3</v>
      </c>
      <c r="AO549" s="33">
        <v>1</v>
      </c>
      <c r="AP549" s="33">
        <v>0</v>
      </c>
      <c r="AQ549" s="33">
        <v>2</v>
      </c>
      <c r="AR549" s="33">
        <v>3</v>
      </c>
      <c r="AS549" s="33">
        <v>1</v>
      </c>
      <c r="AT549" s="33">
        <v>0</v>
      </c>
      <c r="AU549" s="43">
        <v>5.1925068499326703E-2</v>
      </c>
      <c r="AV549" s="33">
        <v>0</v>
      </c>
      <c r="AW549" s="33">
        <v>0</v>
      </c>
      <c r="AY549" s="36">
        <v>521</v>
      </c>
      <c r="AZ549" s="33">
        <v>2</v>
      </c>
      <c r="BA549" s="33">
        <v>2</v>
      </c>
      <c r="BB549" s="33">
        <v>0</v>
      </c>
      <c r="BC549" s="33">
        <v>0</v>
      </c>
      <c r="BD549" s="43">
        <v>0.15063023792355215</v>
      </c>
      <c r="BE549" s="33">
        <v>0</v>
      </c>
      <c r="BF549" s="33">
        <v>0</v>
      </c>
      <c r="CE549" s="36">
        <v>515</v>
      </c>
      <c r="CF549" s="33">
        <v>3</v>
      </c>
      <c r="CG549" s="33">
        <v>1</v>
      </c>
      <c r="CH549" s="33">
        <v>1</v>
      </c>
      <c r="CI549" s="33">
        <v>1</v>
      </c>
      <c r="CJ549" s="33">
        <v>1</v>
      </c>
      <c r="CK549" s="33">
        <v>1</v>
      </c>
      <c r="CL549" s="33">
        <v>0</v>
      </c>
      <c r="CM549" s="33">
        <v>3</v>
      </c>
      <c r="CN549" s="33">
        <v>10</v>
      </c>
      <c r="CO549" s="33">
        <v>9</v>
      </c>
      <c r="CP549" s="43">
        <v>0.71514755390883422</v>
      </c>
      <c r="CQ549" s="33">
        <v>1</v>
      </c>
      <c r="CR549" s="33">
        <v>1</v>
      </c>
    </row>
    <row r="550" spans="1:96" ht="15" customHeight="1" x14ac:dyDescent="0.25">
      <c r="A550" s="26">
        <v>548</v>
      </c>
      <c r="B550" s="27">
        <v>43</v>
      </c>
      <c r="C550" s="27">
        <v>0</v>
      </c>
      <c r="D550" s="27">
        <v>2</v>
      </c>
      <c r="E550" s="27">
        <v>775</v>
      </c>
      <c r="F550" s="27">
        <v>1</v>
      </c>
      <c r="G550" s="27">
        <v>15</v>
      </c>
      <c r="H550" s="27">
        <v>3</v>
      </c>
      <c r="I550" s="27">
        <v>1</v>
      </c>
      <c r="J550" s="27">
        <v>1</v>
      </c>
      <c r="K550" s="27">
        <v>754</v>
      </c>
      <c r="L550" s="27">
        <v>4</v>
      </c>
      <c r="M550" s="27">
        <v>1</v>
      </c>
      <c r="N550" s="27">
        <v>47</v>
      </c>
      <c r="O550" s="27">
        <v>2</v>
      </c>
      <c r="P550" s="27">
        <v>2</v>
      </c>
      <c r="Q550" s="27">
        <v>1</v>
      </c>
      <c r="R550" s="27">
        <v>4</v>
      </c>
      <c r="S550" s="27">
        <v>2</v>
      </c>
      <c r="T550" s="27">
        <v>6804</v>
      </c>
      <c r="U550" s="27">
        <v>23683</v>
      </c>
      <c r="V550" s="27">
        <v>3</v>
      </c>
      <c r="W550" s="27">
        <v>0</v>
      </c>
      <c r="X550" s="27">
        <v>18</v>
      </c>
      <c r="Y550" s="27">
        <v>3</v>
      </c>
      <c r="Z550" s="27">
        <v>3</v>
      </c>
      <c r="AA550" s="27">
        <v>80</v>
      </c>
      <c r="AB550" s="27">
        <v>1</v>
      </c>
      <c r="AC550" s="27">
        <v>7</v>
      </c>
      <c r="AD550" s="27">
        <v>5</v>
      </c>
      <c r="AE550" s="27">
        <v>3</v>
      </c>
      <c r="AF550" s="27">
        <v>2</v>
      </c>
      <c r="AG550" s="27">
        <v>2</v>
      </c>
      <c r="AH550" s="27">
        <v>2</v>
      </c>
      <c r="AI550" s="28">
        <v>2</v>
      </c>
      <c r="AK550" s="36">
        <v>517</v>
      </c>
      <c r="AL550" s="33">
        <v>4</v>
      </c>
      <c r="AM550" s="33">
        <v>1</v>
      </c>
      <c r="AN550" s="33">
        <v>1</v>
      </c>
      <c r="AO550" s="33">
        <v>2</v>
      </c>
      <c r="AP550" s="33">
        <v>0</v>
      </c>
      <c r="AQ550" s="33">
        <v>1</v>
      </c>
      <c r="AR550" s="33">
        <v>4</v>
      </c>
      <c r="AS550" s="33">
        <v>3</v>
      </c>
      <c r="AT550" s="33">
        <v>0</v>
      </c>
      <c r="AU550" s="43">
        <v>0.11788830099462033</v>
      </c>
      <c r="AV550" s="33">
        <v>0</v>
      </c>
      <c r="AW550" s="33">
        <v>0</v>
      </c>
      <c r="AY550" s="36">
        <v>522</v>
      </c>
      <c r="AZ550" s="33">
        <v>2</v>
      </c>
      <c r="BA550" s="33">
        <v>4</v>
      </c>
      <c r="BB550" s="33">
        <v>1</v>
      </c>
      <c r="BC550" s="33">
        <v>2</v>
      </c>
      <c r="BD550" s="43">
        <v>0.12819971414072456</v>
      </c>
      <c r="BE550" s="33">
        <v>0</v>
      </c>
      <c r="BF550" s="33">
        <v>0</v>
      </c>
      <c r="CE550" s="36">
        <v>516</v>
      </c>
      <c r="CF550" s="33">
        <v>3</v>
      </c>
      <c r="CG550" s="33">
        <v>1</v>
      </c>
      <c r="CH550" s="33">
        <v>3</v>
      </c>
      <c r="CI550" s="33">
        <v>2</v>
      </c>
      <c r="CJ550" s="33">
        <v>1</v>
      </c>
      <c r="CK550" s="33">
        <v>0</v>
      </c>
      <c r="CL550" s="33">
        <v>2</v>
      </c>
      <c r="CM550" s="33">
        <v>3</v>
      </c>
      <c r="CN550" s="33">
        <v>1</v>
      </c>
      <c r="CO550" s="33">
        <v>0</v>
      </c>
      <c r="CP550" s="43">
        <v>6.8503880709689352E-2</v>
      </c>
      <c r="CQ550" s="33">
        <v>0</v>
      </c>
      <c r="CR550" s="33">
        <v>0</v>
      </c>
    </row>
    <row r="551" spans="1:96" ht="15" customHeight="1" x14ac:dyDescent="0.25">
      <c r="A551" s="26">
        <v>549</v>
      </c>
      <c r="B551" s="27">
        <v>34</v>
      </c>
      <c r="C551" s="27">
        <v>0</v>
      </c>
      <c r="D551" s="27">
        <v>1</v>
      </c>
      <c r="E551" s="27">
        <v>970</v>
      </c>
      <c r="F551" s="27">
        <v>2</v>
      </c>
      <c r="G551" s="27">
        <v>8</v>
      </c>
      <c r="H551" s="27">
        <v>2</v>
      </c>
      <c r="I551" s="27">
        <v>3</v>
      </c>
      <c r="J551" s="27">
        <v>1</v>
      </c>
      <c r="K551" s="27">
        <v>757</v>
      </c>
      <c r="L551" s="27">
        <v>2</v>
      </c>
      <c r="M551" s="27">
        <v>0</v>
      </c>
      <c r="N551" s="27">
        <v>96</v>
      </c>
      <c r="O551" s="27">
        <v>3</v>
      </c>
      <c r="P551" s="27">
        <v>2</v>
      </c>
      <c r="Q551" s="27">
        <v>5</v>
      </c>
      <c r="R551" s="27">
        <v>3</v>
      </c>
      <c r="S551" s="27">
        <v>1</v>
      </c>
      <c r="T551" s="27">
        <v>6142</v>
      </c>
      <c r="U551" s="27">
        <v>7360</v>
      </c>
      <c r="V551" s="27">
        <v>3</v>
      </c>
      <c r="W551" s="27">
        <v>0</v>
      </c>
      <c r="X551" s="27">
        <v>11</v>
      </c>
      <c r="Y551" s="27">
        <v>3</v>
      </c>
      <c r="Z551" s="27">
        <v>4</v>
      </c>
      <c r="AA551" s="27">
        <v>80</v>
      </c>
      <c r="AB551" s="27">
        <v>0</v>
      </c>
      <c r="AC551" s="27">
        <v>10</v>
      </c>
      <c r="AD551" s="27">
        <v>2</v>
      </c>
      <c r="AE551" s="27">
        <v>3</v>
      </c>
      <c r="AF551" s="27">
        <v>5</v>
      </c>
      <c r="AG551" s="27">
        <v>1</v>
      </c>
      <c r="AH551" s="27">
        <v>4</v>
      </c>
      <c r="AI551" s="28">
        <v>3</v>
      </c>
      <c r="AK551" s="36">
        <v>518</v>
      </c>
      <c r="AL551" s="33">
        <v>8</v>
      </c>
      <c r="AM551" s="33">
        <v>2</v>
      </c>
      <c r="AN551" s="33">
        <v>2</v>
      </c>
      <c r="AO551" s="33">
        <v>0</v>
      </c>
      <c r="AP551" s="33">
        <v>0</v>
      </c>
      <c r="AQ551" s="33">
        <v>1</v>
      </c>
      <c r="AR551" s="33">
        <v>3</v>
      </c>
      <c r="AS551" s="33">
        <v>3</v>
      </c>
      <c r="AT551" s="33">
        <v>1</v>
      </c>
      <c r="AU551" s="43">
        <v>7.2848750320030242E-2</v>
      </c>
      <c r="AV551" s="33">
        <v>0</v>
      </c>
      <c r="AW551" s="33">
        <v>0</v>
      </c>
      <c r="AY551" s="36">
        <v>523</v>
      </c>
      <c r="AZ551" s="33">
        <v>1</v>
      </c>
      <c r="BA551" s="33">
        <v>4</v>
      </c>
      <c r="BB551" s="33">
        <v>0</v>
      </c>
      <c r="BC551" s="33">
        <v>0</v>
      </c>
      <c r="BD551" s="43">
        <v>0.1472907617042678</v>
      </c>
      <c r="BE551" s="33">
        <v>0</v>
      </c>
      <c r="BF551" s="33">
        <v>0</v>
      </c>
      <c r="CE551" s="36">
        <v>517</v>
      </c>
      <c r="CF551" s="33">
        <v>4</v>
      </c>
      <c r="CG551" s="33">
        <v>1</v>
      </c>
      <c r="CH551" s="33">
        <v>1</v>
      </c>
      <c r="CI551" s="33">
        <v>2</v>
      </c>
      <c r="CJ551" s="33">
        <v>2</v>
      </c>
      <c r="CK551" s="33">
        <v>0</v>
      </c>
      <c r="CL551" s="33">
        <v>1</v>
      </c>
      <c r="CM551" s="33">
        <v>4</v>
      </c>
      <c r="CN551" s="33">
        <v>3</v>
      </c>
      <c r="CO551" s="33">
        <v>0</v>
      </c>
      <c r="CP551" s="43">
        <v>0.11493747413960483</v>
      </c>
      <c r="CQ551" s="33">
        <v>0</v>
      </c>
      <c r="CR551" s="33">
        <v>0</v>
      </c>
    </row>
    <row r="552" spans="1:96" ht="15" customHeight="1" x14ac:dyDescent="0.25">
      <c r="A552" s="26">
        <v>550</v>
      </c>
      <c r="B552" s="27">
        <v>23</v>
      </c>
      <c r="C552" s="27">
        <v>0</v>
      </c>
      <c r="D552" s="27">
        <v>1</v>
      </c>
      <c r="E552" s="27">
        <v>650</v>
      </c>
      <c r="F552" s="27">
        <v>2</v>
      </c>
      <c r="G552" s="27">
        <v>9</v>
      </c>
      <c r="H552" s="27">
        <v>1</v>
      </c>
      <c r="I552" s="27">
        <v>3</v>
      </c>
      <c r="J552" s="27">
        <v>1</v>
      </c>
      <c r="K552" s="27">
        <v>758</v>
      </c>
      <c r="L552" s="27">
        <v>2</v>
      </c>
      <c r="M552" s="27">
        <v>1</v>
      </c>
      <c r="N552" s="27">
        <v>37</v>
      </c>
      <c r="O552" s="27">
        <v>3</v>
      </c>
      <c r="P552" s="27">
        <v>1</v>
      </c>
      <c r="Q552" s="27">
        <v>3</v>
      </c>
      <c r="R552" s="27">
        <v>1</v>
      </c>
      <c r="S552" s="27">
        <v>2</v>
      </c>
      <c r="T552" s="27">
        <v>2500</v>
      </c>
      <c r="U552" s="27">
        <v>4344</v>
      </c>
      <c r="V552" s="27">
        <v>1</v>
      </c>
      <c r="W552" s="27">
        <v>0</v>
      </c>
      <c r="X552" s="27">
        <v>14</v>
      </c>
      <c r="Y552" s="27">
        <v>3</v>
      </c>
      <c r="Z552" s="27">
        <v>4</v>
      </c>
      <c r="AA552" s="27">
        <v>80</v>
      </c>
      <c r="AB552" s="27">
        <v>1</v>
      </c>
      <c r="AC552" s="27">
        <v>5</v>
      </c>
      <c r="AD552" s="27">
        <v>2</v>
      </c>
      <c r="AE552" s="27">
        <v>4</v>
      </c>
      <c r="AF552" s="27">
        <v>4</v>
      </c>
      <c r="AG552" s="27">
        <v>3</v>
      </c>
      <c r="AH552" s="27">
        <v>0</v>
      </c>
      <c r="AI552" s="28">
        <v>2</v>
      </c>
      <c r="AK552" s="36">
        <v>519</v>
      </c>
      <c r="AL552" s="33">
        <v>7</v>
      </c>
      <c r="AM552" s="33">
        <v>2</v>
      </c>
      <c r="AN552" s="33">
        <v>4</v>
      </c>
      <c r="AO552" s="33">
        <v>0</v>
      </c>
      <c r="AP552" s="33">
        <v>0</v>
      </c>
      <c r="AQ552" s="33">
        <v>0</v>
      </c>
      <c r="AR552" s="33">
        <v>3</v>
      </c>
      <c r="AS552" s="33">
        <v>7</v>
      </c>
      <c r="AT552" s="33">
        <v>0</v>
      </c>
      <c r="AU552" s="43">
        <v>4.7603811922604267E-2</v>
      </c>
      <c r="AV552" s="33">
        <v>0</v>
      </c>
      <c r="AW552" s="33">
        <v>0</v>
      </c>
      <c r="AY552" s="36">
        <v>524</v>
      </c>
      <c r="AZ552" s="33">
        <v>1</v>
      </c>
      <c r="BA552" s="33">
        <v>3</v>
      </c>
      <c r="BB552" s="33">
        <v>1</v>
      </c>
      <c r="BC552" s="33">
        <v>3</v>
      </c>
      <c r="BD552" s="43">
        <v>0.16884757913162352</v>
      </c>
      <c r="BE552" s="33">
        <v>0</v>
      </c>
      <c r="BF552" s="33">
        <v>0</v>
      </c>
      <c r="CE552" s="36">
        <v>518</v>
      </c>
      <c r="CF552" s="33">
        <v>8</v>
      </c>
      <c r="CG552" s="33">
        <v>2</v>
      </c>
      <c r="CH552" s="33">
        <v>2</v>
      </c>
      <c r="CI552" s="33">
        <v>2</v>
      </c>
      <c r="CJ552" s="33">
        <v>0</v>
      </c>
      <c r="CK552" s="33">
        <v>0</v>
      </c>
      <c r="CL552" s="33">
        <v>1</v>
      </c>
      <c r="CM552" s="33">
        <v>3</v>
      </c>
      <c r="CN552" s="33">
        <v>3</v>
      </c>
      <c r="CO552" s="33">
        <v>1</v>
      </c>
      <c r="CP552" s="43">
        <v>7.1465309315428424E-2</v>
      </c>
      <c r="CQ552" s="33">
        <v>0</v>
      </c>
      <c r="CR552" s="33">
        <v>0</v>
      </c>
    </row>
    <row r="553" spans="1:96" ht="15" customHeight="1" x14ac:dyDescent="0.25">
      <c r="A553" s="26">
        <v>551</v>
      </c>
      <c r="B553" s="27">
        <v>39</v>
      </c>
      <c r="C553" s="27">
        <v>0</v>
      </c>
      <c r="D553" s="27">
        <v>1</v>
      </c>
      <c r="E553" s="27">
        <v>141</v>
      </c>
      <c r="F553" s="27">
        <v>3</v>
      </c>
      <c r="G553" s="27">
        <v>3</v>
      </c>
      <c r="H553" s="27">
        <v>3</v>
      </c>
      <c r="I553" s="27">
        <v>2</v>
      </c>
      <c r="J553" s="27">
        <v>1</v>
      </c>
      <c r="K553" s="27">
        <v>760</v>
      </c>
      <c r="L553" s="27">
        <v>3</v>
      </c>
      <c r="M553" s="27">
        <v>0</v>
      </c>
      <c r="N553" s="27">
        <v>44</v>
      </c>
      <c r="O553" s="27">
        <v>4</v>
      </c>
      <c r="P553" s="27">
        <v>2</v>
      </c>
      <c r="Q553" s="27">
        <v>9</v>
      </c>
      <c r="R553" s="27">
        <v>2</v>
      </c>
      <c r="S553" s="27">
        <v>2</v>
      </c>
      <c r="T553" s="27">
        <v>6389</v>
      </c>
      <c r="U553" s="27">
        <v>18767</v>
      </c>
      <c r="V553" s="27">
        <v>9</v>
      </c>
      <c r="W553" s="27">
        <v>0</v>
      </c>
      <c r="X553" s="27">
        <v>15</v>
      </c>
      <c r="Y553" s="27">
        <v>3</v>
      </c>
      <c r="Z553" s="27">
        <v>3</v>
      </c>
      <c r="AA553" s="27">
        <v>80</v>
      </c>
      <c r="AB553" s="27">
        <v>1</v>
      </c>
      <c r="AC553" s="27">
        <v>12</v>
      </c>
      <c r="AD553" s="27">
        <v>3</v>
      </c>
      <c r="AE553" s="27">
        <v>1</v>
      </c>
      <c r="AF553" s="27">
        <v>8</v>
      </c>
      <c r="AG553" s="27">
        <v>3</v>
      </c>
      <c r="AH553" s="27">
        <v>3</v>
      </c>
      <c r="AI553" s="28">
        <v>6</v>
      </c>
      <c r="AK553" s="36">
        <v>520</v>
      </c>
      <c r="AL553" s="33">
        <v>1</v>
      </c>
      <c r="AM553" s="33">
        <v>1</v>
      </c>
      <c r="AN553" s="33">
        <v>4</v>
      </c>
      <c r="AO553" s="33">
        <v>1</v>
      </c>
      <c r="AP553" s="33">
        <v>0</v>
      </c>
      <c r="AQ553" s="33">
        <v>1</v>
      </c>
      <c r="AR553" s="33">
        <v>3</v>
      </c>
      <c r="AS553" s="33">
        <v>10</v>
      </c>
      <c r="AT553" s="33">
        <v>2</v>
      </c>
      <c r="AU553" s="43">
        <v>4.2327969712841793E-2</v>
      </c>
      <c r="AV553" s="33">
        <v>0</v>
      </c>
      <c r="AW553" s="33">
        <v>0</v>
      </c>
      <c r="AY553" s="36">
        <v>525</v>
      </c>
      <c r="AZ553" s="33">
        <v>3</v>
      </c>
      <c r="BA553" s="33">
        <v>2</v>
      </c>
      <c r="BB553" s="33">
        <v>0</v>
      </c>
      <c r="BC553" s="33">
        <v>0</v>
      </c>
      <c r="BD553" s="43">
        <v>9.2115043168566224E-2</v>
      </c>
      <c r="BE553" s="33">
        <v>0</v>
      </c>
      <c r="BF553" s="33">
        <v>0</v>
      </c>
      <c r="CE553" s="36">
        <v>519</v>
      </c>
      <c r="CF553" s="33">
        <v>7</v>
      </c>
      <c r="CG553" s="33">
        <v>2</v>
      </c>
      <c r="CH553" s="33">
        <v>4</v>
      </c>
      <c r="CI553" s="33">
        <v>1</v>
      </c>
      <c r="CJ553" s="33">
        <v>0</v>
      </c>
      <c r="CK553" s="33">
        <v>0</v>
      </c>
      <c r="CL553" s="33">
        <v>0</v>
      </c>
      <c r="CM553" s="33">
        <v>3</v>
      </c>
      <c r="CN553" s="33">
        <v>7</v>
      </c>
      <c r="CO553" s="33">
        <v>0</v>
      </c>
      <c r="CP553" s="43">
        <v>5.4788382666108963E-2</v>
      </c>
      <c r="CQ553" s="33">
        <v>0</v>
      </c>
      <c r="CR553" s="33">
        <v>0</v>
      </c>
    </row>
    <row r="554" spans="1:96" ht="15" customHeight="1" x14ac:dyDescent="0.25">
      <c r="A554" s="26">
        <v>552</v>
      </c>
      <c r="B554" s="27">
        <v>56</v>
      </c>
      <c r="C554" s="27">
        <v>0</v>
      </c>
      <c r="D554" s="27">
        <v>1</v>
      </c>
      <c r="E554" s="27">
        <v>832</v>
      </c>
      <c r="F554" s="27">
        <v>2</v>
      </c>
      <c r="G554" s="27">
        <v>9</v>
      </c>
      <c r="H554" s="27">
        <v>3</v>
      </c>
      <c r="I554" s="27">
        <v>3</v>
      </c>
      <c r="J554" s="27">
        <v>1</v>
      </c>
      <c r="K554" s="27">
        <v>762</v>
      </c>
      <c r="L554" s="27">
        <v>3</v>
      </c>
      <c r="M554" s="27">
        <v>1</v>
      </c>
      <c r="N554" s="27">
        <v>81</v>
      </c>
      <c r="O554" s="27">
        <v>3</v>
      </c>
      <c r="P554" s="27">
        <v>4</v>
      </c>
      <c r="Q554" s="27">
        <v>5</v>
      </c>
      <c r="R554" s="27">
        <v>4</v>
      </c>
      <c r="S554" s="27">
        <v>2</v>
      </c>
      <c r="T554" s="27">
        <v>11103</v>
      </c>
      <c r="U554" s="27">
        <v>20420</v>
      </c>
      <c r="V554" s="27">
        <v>7</v>
      </c>
      <c r="W554" s="27">
        <v>0</v>
      </c>
      <c r="X554" s="27">
        <v>11</v>
      </c>
      <c r="Y554" s="27">
        <v>3</v>
      </c>
      <c r="Z554" s="27">
        <v>3</v>
      </c>
      <c r="AA554" s="27">
        <v>80</v>
      </c>
      <c r="AB554" s="27">
        <v>0</v>
      </c>
      <c r="AC554" s="27">
        <v>30</v>
      </c>
      <c r="AD554" s="27">
        <v>1</v>
      </c>
      <c r="AE554" s="27">
        <v>2</v>
      </c>
      <c r="AF554" s="27">
        <v>10</v>
      </c>
      <c r="AG554" s="27">
        <v>7</v>
      </c>
      <c r="AH554" s="27">
        <v>1</v>
      </c>
      <c r="AI554" s="28">
        <v>1</v>
      </c>
      <c r="AK554" s="36">
        <v>521</v>
      </c>
      <c r="AL554" s="33">
        <v>2</v>
      </c>
      <c r="AM554" s="33">
        <v>2</v>
      </c>
      <c r="AN554" s="33">
        <v>2</v>
      </c>
      <c r="AO554" s="33">
        <v>3</v>
      </c>
      <c r="AP554" s="33">
        <v>0</v>
      </c>
      <c r="AQ554" s="33">
        <v>0</v>
      </c>
      <c r="AR554" s="33">
        <v>3</v>
      </c>
      <c r="AS554" s="33">
        <v>2</v>
      </c>
      <c r="AT554" s="33">
        <v>2</v>
      </c>
      <c r="AU554" s="43">
        <v>0.1491846527363172</v>
      </c>
      <c r="AV554" s="33">
        <v>0</v>
      </c>
      <c r="AW554" s="33">
        <v>0</v>
      </c>
      <c r="AY554" s="36">
        <v>526</v>
      </c>
      <c r="AZ554" s="33">
        <v>2</v>
      </c>
      <c r="BA554" s="33">
        <v>3</v>
      </c>
      <c r="BB554" s="33">
        <v>0</v>
      </c>
      <c r="BC554" s="33">
        <v>0</v>
      </c>
      <c r="BD554" s="43">
        <v>0.11690772887050198</v>
      </c>
      <c r="BE554" s="33">
        <v>0</v>
      </c>
      <c r="BF554" s="33">
        <v>1</v>
      </c>
      <c r="CE554" s="36">
        <v>520</v>
      </c>
      <c r="CF554" s="33">
        <v>1</v>
      </c>
      <c r="CG554" s="33">
        <v>1</v>
      </c>
      <c r="CH554" s="33">
        <v>4</v>
      </c>
      <c r="CI554" s="33">
        <v>3</v>
      </c>
      <c r="CJ554" s="33">
        <v>1</v>
      </c>
      <c r="CK554" s="33">
        <v>0</v>
      </c>
      <c r="CL554" s="33">
        <v>1</v>
      </c>
      <c r="CM554" s="33">
        <v>3</v>
      </c>
      <c r="CN554" s="33">
        <v>10</v>
      </c>
      <c r="CO554" s="33">
        <v>2</v>
      </c>
      <c r="CP554" s="43">
        <v>2.3229598148642568E-2</v>
      </c>
      <c r="CQ554" s="33">
        <v>0</v>
      </c>
      <c r="CR554" s="33">
        <v>0</v>
      </c>
    </row>
    <row r="555" spans="1:96" ht="15" customHeight="1" x14ac:dyDescent="0.25">
      <c r="A555" s="26">
        <v>553</v>
      </c>
      <c r="B555" s="27">
        <v>40</v>
      </c>
      <c r="C555" s="27">
        <v>0</v>
      </c>
      <c r="D555" s="27">
        <v>1</v>
      </c>
      <c r="E555" s="27">
        <v>804</v>
      </c>
      <c r="F555" s="27">
        <v>2</v>
      </c>
      <c r="G555" s="27">
        <v>2</v>
      </c>
      <c r="H555" s="27">
        <v>1</v>
      </c>
      <c r="I555" s="27">
        <v>3</v>
      </c>
      <c r="J555" s="27">
        <v>1</v>
      </c>
      <c r="K555" s="27">
        <v>763</v>
      </c>
      <c r="L555" s="27">
        <v>4</v>
      </c>
      <c r="M555" s="27">
        <v>0</v>
      </c>
      <c r="N555" s="27">
        <v>86</v>
      </c>
      <c r="O555" s="27">
        <v>2</v>
      </c>
      <c r="P555" s="27">
        <v>1</v>
      </c>
      <c r="Q555" s="27">
        <v>2</v>
      </c>
      <c r="R555" s="27">
        <v>4</v>
      </c>
      <c r="S555" s="27">
        <v>1</v>
      </c>
      <c r="T555" s="27">
        <v>2342</v>
      </c>
      <c r="U555" s="27">
        <v>22929</v>
      </c>
      <c r="V555" s="27">
        <v>0</v>
      </c>
      <c r="W555" s="27">
        <v>1</v>
      </c>
      <c r="X555" s="27">
        <v>20</v>
      </c>
      <c r="Y555" s="27">
        <v>4</v>
      </c>
      <c r="Z555" s="27">
        <v>4</v>
      </c>
      <c r="AA555" s="27">
        <v>80</v>
      </c>
      <c r="AB555" s="27">
        <v>0</v>
      </c>
      <c r="AC555" s="27">
        <v>5</v>
      </c>
      <c r="AD555" s="27">
        <v>2</v>
      </c>
      <c r="AE555" s="27">
        <v>2</v>
      </c>
      <c r="AF555" s="27">
        <v>4</v>
      </c>
      <c r="AG555" s="27">
        <v>2</v>
      </c>
      <c r="AH555" s="27">
        <v>2</v>
      </c>
      <c r="AI555" s="28">
        <v>3</v>
      </c>
      <c r="AK555" s="36">
        <v>522</v>
      </c>
      <c r="AL555" s="33">
        <v>3</v>
      </c>
      <c r="AM555" s="33">
        <v>2</v>
      </c>
      <c r="AN555" s="33">
        <v>4</v>
      </c>
      <c r="AO555" s="33">
        <v>1</v>
      </c>
      <c r="AP555" s="33">
        <v>1</v>
      </c>
      <c r="AQ555" s="33">
        <v>2</v>
      </c>
      <c r="AR555" s="33">
        <v>3</v>
      </c>
      <c r="AS555" s="33">
        <v>6</v>
      </c>
      <c r="AT555" s="33">
        <v>0</v>
      </c>
      <c r="AU555" s="43">
        <v>6.7014397291424901E-2</v>
      </c>
      <c r="AV555" s="33">
        <v>0</v>
      </c>
      <c r="AW555" s="33">
        <v>0</v>
      </c>
      <c r="AY555" s="36">
        <v>527</v>
      </c>
      <c r="AZ555" s="33">
        <v>2</v>
      </c>
      <c r="BA555" s="33">
        <v>3</v>
      </c>
      <c r="BB555" s="33">
        <v>0</v>
      </c>
      <c r="BC555" s="33">
        <v>0</v>
      </c>
      <c r="BD555" s="43">
        <v>0.11690772887050198</v>
      </c>
      <c r="BE555" s="33">
        <v>0</v>
      </c>
      <c r="BF555" s="33">
        <v>0</v>
      </c>
      <c r="CE555" s="36">
        <v>521</v>
      </c>
      <c r="CF555" s="33">
        <v>2</v>
      </c>
      <c r="CG555" s="33">
        <v>2</v>
      </c>
      <c r="CH555" s="33">
        <v>2</v>
      </c>
      <c r="CI555" s="33">
        <v>2</v>
      </c>
      <c r="CJ555" s="33">
        <v>3</v>
      </c>
      <c r="CK555" s="33">
        <v>0</v>
      </c>
      <c r="CL555" s="33">
        <v>0</v>
      </c>
      <c r="CM555" s="33">
        <v>3</v>
      </c>
      <c r="CN555" s="33">
        <v>2</v>
      </c>
      <c r="CO555" s="33">
        <v>2</v>
      </c>
      <c r="CP555" s="43">
        <v>0.10952075123061628</v>
      </c>
      <c r="CQ555" s="33">
        <v>0</v>
      </c>
      <c r="CR555" s="33">
        <v>0</v>
      </c>
    </row>
    <row r="556" spans="1:96" ht="15" customHeight="1" x14ac:dyDescent="0.25">
      <c r="A556" s="26">
        <v>554</v>
      </c>
      <c r="B556" s="27">
        <v>27</v>
      </c>
      <c r="C556" s="27">
        <v>0</v>
      </c>
      <c r="D556" s="27">
        <v>1</v>
      </c>
      <c r="E556" s="27">
        <v>975</v>
      </c>
      <c r="F556" s="27">
        <v>2</v>
      </c>
      <c r="G556" s="27">
        <v>7</v>
      </c>
      <c r="H556" s="27">
        <v>3</v>
      </c>
      <c r="I556" s="27">
        <v>3</v>
      </c>
      <c r="J556" s="27">
        <v>1</v>
      </c>
      <c r="K556" s="27">
        <v>764</v>
      </c>
      <c r="L556" s="27">
        <v>4</v>
      </c>
      <c r="M556" s="27">
        <v>0</v>
      </c>
      <c r="N556" s="27">
        <v>55</v>
      </c>
      <c r="O556" s="27">
        <v>2</v>
      </c>
      <c r="P556" s="27">
        <v>2</v>
      </c>
      <c r="Q556" s="27">
        <v>5</v>
      </c>
      <c r="R556" s="27">
        <v>1</v>
      </c>
      <c r="S556" s="27">
        <v>1</v>
      </c>
      <c r="T556" s="27">
        <v>6811</v>
      </c>
      <c r="U556" s="27">
        <v>23398</v>
      </c>
      <c r="V556" s="27">
        <v>8</v>
      </c>
      <c r="W556" s="27">
        <v>0</v>
      </c>
      <c r="X556" s="27">
        <v>19</v>
      </c>
      <c r="Y556" s="27">
        <v>3</v>
      </c>
      <c r="Z556" s="27">
        <v>1</v>
      </c>
      <c r="AA556" s="27">
        <v>80</v>
      </c>
      <c r="AB556" s="27">
        <v>0</v>
      </c>
      <c r="AC556" s="27">
        <v>9</v>
      </c>
      <c r="AD556" s="27">
        <v>2</v>
      </c>
      <c r="AE556" s="27">
        <v>1</v>
      </c>
      <c r="AF556" s="27">
        <v>7</v>
      </c>
      <c r="AG556" s="27">
        <v>6</v>
      </c>
      <c r="AH556" s="27">
        <v>0</v>
      </c>
      <c r="AI556" s="28">
        <v>7</v>
      </c>
      <c r="AK556" s="36">
        <v>523</v>
      </c>
      <c r="AL556" s="33">
        <v>10</v>
      </c>
      <c r="AM556" s="33">
        <v>1</v>
      </c>
      <c r="AN556" s="33">
        <v>4</v>
      </c>
      <c r="AO556" s="33">
        <v>3</v>
      </c>
      <c r="AP556" s="33">
        <v>0</v>
      </c>
      <c r="AQ556" s="33">
        <v>0</v>
      </c>
      <c r="AR556" s="33">
        <v>3</v>
      </c>
      <c r="AS556" s="33">
        <v>1</v>
      </c>
      <c r="AT556" s="33">
        <v>0</v>
      </c>
      <c r="AU556" s="43">
        <v>0.1598982939925678</v>
      </c>
      <c r="AV556" s="33">
        <v>0</v>
      </c>
      <c r="AW556" s="33">
        <v>0</v>
      </c>
      <c r="AY556" s="36">
        <v>528</v>
      </c>
      <c r="AZ556" s="33">
        <v>2</v>
      </c>
      <c r="BA556" s="33">
        <v>4</v>
      </c>
      <c r="BB556" s="33">
        <v>0</v>
      </c>
      <c r="BC556" s="33">
        <v>0</v>
      </c>
      <c r="BD556" s="43">
        <v>8.9935487507215722E-2</v>
      </c>
      <c r="BE556" s="33">
        <v>0</v>
      </c>
      <c r="BF556" s="33">
        <v>0</v>
      </c>
      <c r="CE556" s="36">
        <v>522</v>
      </c>
      <c r="CF556" s="33">
        <v>3</v>
      </c>
      <c r="CG556" s="33">
        <v>2</v>
      </c>
      <c r="CH556" s="33">
        <v>4</v>
      </c>
      <c r="CI556" s="33">
        <v>3</v>
      </c>
      <c r="CJ556" s="33">
        <v>1</v>
      </c>
      <c r="CK556" s="33">
        <v>1</v>
      </c>
      <c r="CL556" s="33">
        <v>2</v>
      </c>
      <c r="CM556" s="33">
        <v>3</v>
      </c>
      <c r="CN556" s="33">
        <v>6</v>
      </c>
      <c r="CO556" s="33">
        <v>0</v>
      </c>
      <c r="CP556" s="43">
        <v>5.4053343592844021E-2</v>
      </c>
      <c r="CQ556" s="33">
        <v>0</v>
      </c>
      <c r="CR556" s="33">
        <v>0</v>
      </c>
    </row>
    <row r="557" spans="1:96" ht="15" customHeight="1" x14ac:dyDescent="0.25">
      <c r="A557" s="26">
        <v>555</v>
      </c>
      <c r="B557" s="27">
        <v>29</v>
      </c>
      <c r="C557" s="27">
        <v>0</v>
      </c>
      <c r="D557" s="27">
        <v>1</v>
      </c>
      <c r="E557" s="27">
        <v>1090</v>
      </c>
      <c r="F557" s="27">
        <v>1</v>
      </c>
      <c r="G557" s="27">
        <v>10</v>
      </c>
      <c r="H557" s="27">
        <v>3</v>
      </c>
      <c r="I557" s="27">
        <v>4</v>
      </c>
      <c r="J557" s="27">
        <v>1</v>
      </c>
      <c r="K557" s="27">
        <v>766</v>
      </c>
      <c r="L557" s="27">
        <v>4</v>
      </c>
      <c r="M557" s="27">
        <v>1</v>
      </c>
      <c r="N557" s="27">
        <v>83</v>
      </c>
      <c r="O557" s="27">
        <v>3</v>
      </c>
      <c r="P557" s="27">
        <v>1</v>
      </c>
      <c r="Q557" s="27">
        <v>7</v>
      </c>
      <c r="R557" s="27">
        <v>2</v>
      </c>
      <c r="S557" s="27">
        <v>3</v>
      </c>
      <c r="T557" s="27">
        <v>2297</v>
      </c>
      <c r="U557" s="27">
        <v>17967</v>
      </c>
      <c r="V557" s="27">
        <v>1</v>
      </c>
      <c r="W557" s="27">
        <v>0</v>
      </c>
      <c r="X557" s="27">
        <v>14</v>
      </c>
      <c r="Y557" s="27">
        <v>3</v>
      </c>
      <c r="Z557" s="27">
        <v>4</v>
      </c>
      <c r="AA557" s="27">
        <v>80</v>
      </c>
      <c r="AB557" s="27">
        <v>2</v>
      </c>
      <c r="AC557" s="27">
        <v>2</v>
      </c>
      <c r="AD557" s="27">
        <v>2</v>
      </c>
      <c r="AE557" s="27">
        <v>3</v>
      </c>
      <c r="AF557" s="27">
        <v>2</v>
      </c>
      <c r="AG557" s="27">
        <v>2</v>
      </c>
      <c r="AH557" s="27">
        <v>2</v>
      </c>
      <c r="AI557" s="28">
        <v>2</v>
      </c>
      <c r="AK557" s="36">
        <v>524</v>
      </c>
      <c r="AL557" s="33">
        <v>28</v>
      </c>
      <c r="AM557" s="33">
        <v>1</v>
      </c>
      <c r="AN557" s="33">
        <v>3</v>
      </c>
      <c r="AO557" s="33">
        <v>1</v>
      </c>
      <c r="AP557" s="33">
        <v>1</v>
      </c>
      <c r="AQ557" s="33">
        <v>3</v>
      </c>
      <c r="AR557" s="33">
        <v>3</v>
      </c>
      <c r="AS557" s="33">
        <v>20</v>
      </c>
      <c r="AT557" s="33">
        <v>3</v>
      </c>
      <c r="AU557" s="43">
        <v>0.10105840483737309</v>
      </c>
      <c r="AV557" s="33">
        <v>0</v>
      </c>
      <c r="AW557" s="33">
        <v>0</v>
      </c>
      <c r="AY557" s="36">
        <v>529</v>
      </c>
      <c r="AZ557" s="33">
        <v>2</v>
      </c>
      <c r="BA557" s="33">
        <v>3</v>
      </c>
      <c r="BB557" s="33">
        <v>1</v>
      </c>
      <c r="BC557" s="33">
        <v>1</v>
      </c>
      <c r="BD557" s="43">
        <v>0.25031066197755131</v>
      </c>
      <c r="BE557" s="33">
        <v>0</v>
      </c>
      <c r="BF557" s="33">
        <v>1</v>
      </c>
      <c r="CE557" s="36">
        <v>523</v>
      </c>
      <c r="CF557" s="33">
        <v>10</v>
      </c>
      <c r="CG557" s="33">
        <v>1</v>
      </c>
      <c r="CH557" s="33">
        <v>4</v>
      </c>
      <c r="CI557" s="33">
        <v>1</v>
      </c>
      <c r="CJ557" s="33">
        <v>3</v>
      </c>
      <c r="CK557" s="33">
        <v>0</v>
      </c>
      <c r="CL557" s="33">
        <v>0</v>
      </c>
      <c r="CM557" s="33">
        <v>3</v>
      </c>
      <c r="CN557" s="33">
        <v>1</v>
      </c>
      <c r="CO557" s="33">
        <v>0</v>
      </c>
      <c r="CP557" s="43">
        <v>0.18013083295507404</v>
      </c>
      <c r="CQ557" s="33">
        <v>0</v>
      </c>
      <c r="CR557" s="33">
        <v>0</v>
      </c>
    </row>
    <row r="558" spans="1:96" ht="15" customHeight="1" x14ac:dyDescent="0.25">
      <c r="A558" s="26">
        <v>556</v>
      </c>
      <c r="B558" s="27">
        <v>53</v>
      </c>
      <c r="C558" s="27">
        <v>0</v>
      </c>
      <c r="D558" s="27">
        <v>1</v>
      </c>
      <c r="E558" s="27">
        <v>346</v>
      </c>
      <c r="F558" s="27">
        <v>2</v>
      </c>
      <c r="G558" s="27">
        <v>6</v>
      </c>
      <c r="H558" s="27">
        <v>3</v>
      </c>
      <c r="I558" s="27">
        <v>1</v>
      </c>
      <c r="J558" s="27">
        <v>1</v>
      </c>
      <c r="K558" s="27">
        <v>769</v>
      </c>
      <c r="L558" s="27">
        <v>4</v>
      </c>
      <c r="M558" s="27">
        <v>1</v>
      </c>
      <c r="N558" s="27">
        <v>86</v>
      </c>
      <c r="O558" s="27">
        <v>3</v>
      </c>
      <c r="P558" s="27">
        <v>2</v>
      </c>
      <c r="Q558" s="27">
        <v>3</v>
      </c>
      <c r="R558" s="27">
        <v>4</v>
      </c>
      <c r="S558" s="27">
        <v>1</v>
      </c>
      <c r="T558" s="27">
        <v>2450</v>
      </c>
      <c r="U558" s="27">
        <v>10919</v>
      </c>
      <c r="V558" s="27">
        <v>2</v>
      </c>
      <c r="W558" s="27">
        <v>0</v>
      </c>
      <c r="X558" s="27">
        <v>17</v>
      </c>
      <c r="Y558" s="27">
        <v>3</v>
      </c>
      <c r="Z558" s="27">
        <v>4</v>
      </c>
      <c r="AA558" s="27">
        <v>80</v>
      </c>
      <c r="AB558" s="27">
        <v>0</v>
      </c>
      <c r="AC558" s="27">
        <v>19</v>
      </c>
      <c r="AD558" s="27">
        <v>4</v>
      </c>
      <c r="AE558" s="27">
        <v>3</v>
      </c>
      <c r="AF558" s="27">
        <v>2</v>
      </c>
      <c r="AG558" s="27">
        <v>2</v>
      </c>
      <c r="AH558" s="27">
        <v>2</v>
      </c>
      <c r="AI558" s="28">
        <v>2</v>
      </c>
      <c r="AK558" s="36">
        <v>525</v>
      </c>
      <c r="AL558" s="33">
        <v>9</v>
      </c>
      <c r="AM558" s="33">
        <v>3</v>
      </c>
      <c r="AN558" s="33">
        <v>2</v>
      </c>
      <c r="AO558" s="33">
        <v>1</v>
      </c>
      <c r="AP558" s="33">
        <v>0</v>
      </c>
      <c r="AQ558" s="33">
        <v>0</v>
      </c>
      <c r="AR558" s="33">
        <v>4</v>
      </c>
      <c r="AS558" s="33">
        <v>8</v>
      </c>
      <c r="AT558" s="33">
        <v>7</v>
      </c>
      <c r="AU558" s="43">
        <v>8.9192580304612981E-2</v>
      </c>
      <c r="AV558" s="33">
        <v>0</v>
      </c>
      <c r="AW558" s="33">
        <v>0</v>
      </c>
      <c r="AY558" s="36">
        <v>530</v>
      </c>
      <c r="AZ558" s="33">
        <v>2</v>
      </c>
      <c r="BA558" s="33">
        <v>4</v>
      </c>
      <c r="BB558" s="33">
        <v>0</v>
      </c>
      <c r="BC558" s="33">
        <v>0</v>
      </c>
      <c r="BD558" s="43">
        <v>8.9935487507215722E-2</v>
      </c>
      <c r="BE558" s="33">
        <v>0</v>
      </c>
      <c r="BF558" s="33">
        <v>0</v>
      </c>
      <c r="CE558" s="36">
        <v>524</v>
      </c>
      <c r="CF558" s="33">
        <v>28</v>
      </c>
      <c r="CG558" s="33">
        <v>1</v>
      </c>
      <c r="CH558" s="33">
        <v>3</v>
      </c>
      <c r="CI558" s="33">
        <v>2</v>
      </c>
      <c r="CJ558" s="33">
        <v>1</v>
      </c>
      <c r="CK558" s="33">
        <v>1</v>
      </c>
      <c r="CL558" s="33">
        <v>3</v>
      </c>
      <c r="CM558" s="33">
        <v>3</v>
      </c>
      <c r="CN558" s="33">
        <v>20</v>
      </c>
      <c r="CO558" s="33">
        <v>3</v>
      </c>
      <c r="CP558" s="43">
        <v>0.18015926046396283</v>
      </c>
      <c r="CQ558" s="33">
        <v>0</v>
      </c>
      <c r="CR558" s="33">
        <v>0</v>
      </c>
    </row>
    <row r="559" spans="1:96" ht="15" customHeight="1" x14ac:dyDescent="0.25">
      <c r="A559" s="26">
        <v>557</v>
      </c>
      <c r="B559" s="27">
        <v>35</v>
      </c>
      <c r="C559" s="27">
        <v>0</v>
      </c>
      <c r="D559" s="27">
        <v>3</v>
      </c>
      <c r="E559" s="27">
        <v>1225</v>
      </c>
      <c r="F559" s="27">
        <v>2</v>
      </c>
      <c r="G559" s="27">
        <v>2</v>
      </c>
      <c r="H559" s="27">
        <v>4</v>
      </c>
      <c r="I559" s="27">
        <v>1</v>
      </c>
      <c r="J559" s="27">
        <v>1</v>
      </c>
      <c r="K559" s="27">
        <v>771</v>
      </c>
      <c r="L559" s="27">
        <v>4</v>
      </c>
      <c r="M559" s="27">
        <v>0</v>
      </c>
      <c r="N559" s="27">
        <v>61</v>
      </c>
      <c r="O559" s="27">
        <v>3</v>
      </c>
      <c r="P559" s="27">
        <v>2</v>
      </c>
      <c r="Q559" s="27">
        <v>5</v>
      </c>
      <c r="R559" s="27">
        <v>1</v>
      </c>
      <c r="S559" s="27">
        <v>3</v>
      </c>
      <c r="T559" s="27">
        <v>5093</v>
      </c>
      <c r="U559" s="27">
        <v>4761</v>
      </c>
      <c r="V559" s="27">
        <v>2</v>
      </c>
      <c r="W559" s="27">
        <v>0</v>
      </c>
      <c r="X559" s="27">
        <v>11</v>
      </c>
      <c r="Y559" s="27">
        <v>3</v>
      </c>
      <c r="Z559" s="27">
        <v>1</v>
      </c>
      <c r="AA559" s="27">
        <v>80</v>
      </c>
      <c r="AB559" s="27">
        <v>1</v>
      </c>
      <c r="AC559" s="27">
        <v>16</v>
      </c>
      <c r="AD559" s="27">
        <v>2</v>
      </c>
      <c r="AE559" s="27">
        <v>4</v>
      </c>
      <c r="AF559" s="27">
        <v>1</v>
      </c>
      <c r="AG559" s="27">
        <v>0</v>
      </c>
      <c r="AH559" s="27">
        <v>0</v>
      </c>
      <c r="AI559" s="28">
        <v>0</v>
      </c>
      <c r="AK559" s="36">
        <v>526</v>
      </c>
      <c r="AL559" s="33">
        <v>3</v>
      </c>
      <c r="AM559" s="33">
        <v>2</v>
      </c>
      <c r="AN559" s="33">
        <v>3</v>
      </c>
      <c r="AO559" s="33">
        <v>9</v>
      </c>
      <c r="AP559" s="33">
        <v>0</v>
      </c>
      <c r="AQ559" s="33">
        <v>0</v>
      </c>
      <c r="AR559" s="33">
        <v>3</v>
      </c>
      <c r="AS559" s="33">
        <v>2</v>
      </c>
      <c r="AT559" s="33">
        <v>2</v>
      </c>
      <c r="AU559" s="43">
        <v>0.18310068262077581</v>
      </c>
      <c r="AV559" s="33">
        <v>0</v>
      </c>
      <c r="AW559" s="33">
        <v>1</v>
      </c>
      <c r="AY559" s="36">
        <v>531</v>
      </c>
      <c r="AZ559" s="33">
        <v>3</v>
      </c>
      <c r="BA559" s="33">
        <v>1</v>
      </c>
      <c r="BB559" s="33">
        <v>0</v>
      </c>
      <c r="BC559" s="33">
        <v>0</v>
      </c>
      <c r="BD559" s="43">
        <v>0.11965500412792122</v>
      </c>
      <c r="BE559" s="33">
        <v>0</v>
      </c>
      <c r="BF559" s="33">
        <v>0</v>
      </c>
      <c r="CE559" s="36">
        <v>525</v>
      </c>
      <c r="CF559" s="33">
        <v>9</v>
      </c>
      <c r="CG559" s="33">
        <v>3</v>
      </c>
      <c r="CH559" s="33">
        <v>2</v>
      </c>
      <c r="CI559" s="33">
        <v>1</v>
      </c>
      <c r="CJ559" s="33">
        <v>1</v>
      </c>
      <c r="CK559" s="33">
        <v>0</v>
      </c>
      <c r="CL559" s="33">
        <v>0</v>
      </c>
      <c r="CM559" s="33">
        <v>4</v>
      </c>
      <c r="CN559" s="33">
        <v>8</v>
      </c>
      <c r="CO559" s="33">
        <v>7</v>
      </c>
      <c r="CP559" s="43">
        <v>0.10695828023267689</v>
      </c>
      <c r="CQ559" s="33">
        <v>0</v>
      </c>
      <c r="CR559" s="33">
        <v>0</v>
      </c>
    </row>
    <row r="560" spans="1:96" ht="15" customHeight="1" x14ac:dyDescent="0.25">
      <c r="A560" s="26">
        <v>558</v>
      </c>
      <c r="B560" s="27">
        <v>32</v>
      </c>
      <c r="C560" s="27">
        <v>0</v>
      </c>
      <c r="D560" s="27">
        <v>2</v>
      </c>
      <c r="E560" s="27">
        <v>430</v>
      </c>
      <c r="F560" s="27">
        <v>2</v>
      </c>
      <c r="G560" s="27">
        <v>24</v>
      </c>
      <c r="H560" s="27">
        <v>4</v>
      </c>
      <c r="I560" s="27">
        <v>1</v>
      </c>
      <c r="J560" s="27">
        <v>1</v>
      </c>
      <c r="K560" s="27">
        <v>772</v>
      </c>
      <c r="L560" s="27">
        <v>1</v>
      </c>
      <c r="M560" s="27">
        <v>1</v>
      </c>
      <c r="N560" s="27">
        <v>80</v>
      </c>
      <c r="O560" s="27">
        <v>3</v>
      </c>
      <c r="P560" s="27">
        <v>2</v>
      </c>
      <c r="Q560" s="27">
        <v>3</v>
      </c>
      <c r="R560" s="27">
        <v>4</v>
      </c>
      <c r="S560" s="27">
        <v>2</v>
      </c>
      <c r="T560" s="27">
        <v>5309</v>
      </c>
      <c r="U560" s="27">
        <v>21146</v>
      </c>
      <c r="V560" s="27">
        <v>1</v>
      </c>
      <c r="W560" s="27">
        <v>0</v>
      </c>
      <c r="X560" s="27">
        <v>15</v>
      </c>
      <c r="Y560" s="27">
        <v>3</v>
      </c>
      <c r="Z560" s="27">
        <v>4</v>
      </c>
      <c r="AA560" s="27">
        <v>80</v>
      </c>
      <c r="AB560" s="27">
        <v>2</v>
      </c>
      <c r="AC560" s="27">
        <v>10</v>
      </c>
      <c r="AD560" s="27">
        <v>2</v>
      </c>
      <c r="AE560" s="27">
        <v>3</v>
      </c>
      <c r="AF560" s="27">
        <v>10</v>
      </c>
      <c r="AG560" s="27">
        <v>8</v>
      </c>
      <c r="AH560" s="27">
        <v>4</v>
      </c>
      <c r="AI560" s="28">
        <v>7</v>
      </c>
      <c r="AK560" s="36">
        <v>527</v>
      </c>
      <c r="AL560" s="33">
        <v>2</v>
      </c>
      <c r="AM560" s="33">
        <v>2</v>
      </c>
      <c r="AN560" s="33">
        <v>3</v>
      </c>
      <c r="AO560" s="33">
        <v>1</v>
      </c>
      <c r="AP560" s="33">
        <v>0</v>
      </c>
      <c r="AQ560" s="33">
        <v>0</v>
      </c>
      <c r="AR560" s="33">
        <v>3</v>
      </c>
      <c r="AS560" s="33">
        <v>20</v>
      </c>
      <c r="AT560" s="33">
        <v>11</v>
      </c>
      <c r="AU560" s="43">
        <v>7.7360532028759796E-2</v>
      </c>
      <c r="AV560" s="33">
        <v>0</v>
      </c>
      <c r="AW560" s="33">
        <v>0</v>
      </c>
      <c r="AY560" s="36">
        <v>532</v>
      </c>
      <c r="AZ560" s="33">
        <v>3</v>
      </c>
      <c r="BA560" s="33">
        <v>4</v>
      </c>
      <c r="BB560" s="33">
        <v>0</v>
      </c>
      <c r="BC560" s="33">
        <v>0</v>
      </c>
      <c r="BD560" s="43">
        <v>5.3512841598087578E-2</v>
      </c>
      <c r="BE560" s="33">
        <v>0</v>
      </c>
      <c r="BF560" s="33">
        <v>0</v>
      </c>
      <c r="CE560" s="36">
        <v>526</v>
      </c>
      <c r="CF560" s="33">
        <v>3</v>
      </c>
      <c r="CG560" s="33">
        <v>2</v>
      </c>
      <c r="CH560" s="33">
        <v>3</v>
      </c>
      <c r="CI560" s="33">
        <v>1</v>
      </c>
      <c r="CJ560" s="33">
        <v>9</v>
      </c>
      <c r="CK560" s="33">
        <v>0</v>
      </c>
      <c r="CL560" s="33">
        <v>0</v>
      </c>
      <c r="CM560" s="33">
        <v>3</v>
      </c>
      <c r="CN560" s="33">
        <v>2</v>
      </c>
      <c r="CO560" s="33">
        <v>2</v>
      </c>
      <c r="CP560" s="43">
        <v>0.21325073670982719</v>
      </c>
      <c r="CQ560" s="33">
        <v>0</v>
      </c>
      <c r="CR560" s="33">
        <v>1</v>
      </c>
    </row>
    <row r="561" spans="1:96" ht="15" customHeight="1" x14ac:dyDescent="0.25">
      <c r="A561" s="26">
        <v>559</v>
      </c>
      <c r="B561" s="27">
        <v>38</v>
      </c>
      <c r="C561" s="27">
        <v>0</v>
      </c>
      <c r="D561" s="27">
        <v>1</v>
      </c>
      <c r="E561" s="27">
        <v>268</v>
      </c>
      <c r="F561" s="27">
        <v>2</v>
      </c>
      <c r="G561" s="27">
        <v>2</v>
      </c>
      <c r="H561" s="27">
        <v>5</v>
      </c>
      <c r="I561" s="27">
        <v>3</v>
      </c>
      <c r="J561" s="27">
        <v>1</v>
      </c>
      <c r="K561" s="27">
        <v>773</v>
      </c>
      <c r="L561" s="27">
        <v>4</v>
      </c>
      <c r="M561" s="27">
        <v>1</v>
      </c>
      <c r="N561" s="27">
        <v>92</v>
      </c>
      <c r="O561" s="27">
        <v>3</v>
      </c>
      <c r="P561" s="27">
        <v>1</v>
      </c>
      <c r="Q561" s="27">
        <v>2</v>
      </c>
      <c r="R561" s="27">
        <v>3</v>
      </c>
      <c r="S561" s="27">
        <v>2</v>
      </c>
      <c r="T561" s="27">
        <v>3057</v>
      </c>
      <c r="U561" s="27">
        <v>20471</v>
      </c>
      <c r="V561" s="27">
        <v>6</v>
      </c>
      <c r="W561" s="27">
        <v>1</v>
      </c>
      <c r="X561" s="27">
        <v>13</v>
      </c>
      <c r="Y561" s="27">
        <v>3</v>
      </c>
      <c r="Z561" s="27">
        <v>2</v>
      </c>
      <c r="AA561" s="27">
        <v>80</v>
      </c>
      <c r="AB561" s="27">
        <v>1</v>
      </c>
      <c r="AC561" s="27">
        <v>6</v>
      </c>
      <c r="AD561" s="27">
        <v>0</v>
      </c>
      <c r="AE561" s="27">
        <v>1</v>
      </c>
      <c r="AF561" s="27">
        <v>1</v>
      </c>
      <c r="AG561" s="27">
        <v>0</v>
      </c>
      <c r="AH561" s="27">
        <v>0</v>
      </c>
      <c r="AI561" s="28">
        <v>1</v>
      </c>
      <c r="AK561" s="36">
        <v>528</v>
      </c>
      <c r="AL561" s="33">
        <v>10</v>
      </c>
      <c r="AM561" s="33">
        <v>2</v>
      </c>
      <c r="AN561" s="33">
        <v>4</v>
      </c>
      <c r="AO561" s="33">
        <v>1</v>
      </c>
      <c r="AP561" s="33">
        <v>0</v>
      </c>
      <c r="AQ561" s="33">
        <v>0</v>
      </c>
      <c r="AR561" s="33">
        <v>2</v>
      </c>
      <c r="AS561" s="33">
        <v>10</v>
      </c>
      <c r="AT561" s="33">
        <v>0</v>
      </c>
      <c r="AU561" s="43">
        <v>5.7597550705129619E-2</v>
      </c>
      <c r="AV561" s="33">
        <v>0</v>
      </c>
      <c r="AW561" s="33">
        <v>0</v>
      </c>
      <c r="AY561" s="36">
        <v>533</v>
      </c>
      <c r="AZ561" s="33">
        <v>2</v>
      </c>
      <c r="BA561" s="33">
        <v>1</v>
      </c>
      <c r="BB561" s="33">
        <v>0</v>
      </c>
      <c r="BC561" s="33">
        <v>0</v>
      </c>
      <c r="BD561" s="43">
        <v>0.19196561144667343</v>
      </c>
      <c r="BE561" s="33">
        <v>0</v>
      </c>
      <c r="BF561" s="33">
        <v>0</v>
      </c>
      <c r="CE561" s="36">
        <v>527</v>
      </c>
      <c r="CF561" s="33">
        <v>2</v>
      </c>
      <c r="CG561" s="33">
        <v>2</v>
      </c>
      <c r="CH561" s="33">
        <v>3</v>
      </c>
      <c r="CI561" s="33">
        <v>1</v>
      </c>
      <c r="CJ561" s="33">
        <v>1</v>
      </c>
      <c r="CK561" s="33">
        <v>0</v>
      </c>
      <c r="CL561" s="33">
        <v>0</v>
      </c>
      <c r="CM561" s="33">
        <v>3</v>
      </c>
      <c r="CN561" s="33">
        <v>20</v>
      </c>
      <c r="CO561" s="33">
        <v>11</v>
      </c>
      <c r="CP561" s="43">
        <v>9.2554601335770773E-2</v>
      </c>
      <c r="CQ561" s="33">
        <v>0</v>
      </c>
      <c r="CR561" s="33">
        <v>0</v>
      </c>
    </row>
    <row r="562" spans="1:96" ht="15" customHeight="1" x14ac:dyDescent="0.25">
      <c r="A562" s="26">
        <v>560</v>
      </c>
      <c r="B562" s="27">
        <v>34</v>
      </c>
      <c r="C562" s="27">
        <v>0</v>
      </c>
      <c r="D562" s="27">
        <v>1</v>
      </c>
      <c r="E562" s="27">
        <v>167</v>
      </c>
      <c r="F562" s="27">
        <v>2</v>
      </c>
      <c r="G562" s="27">
        <v>8</v>
      </c>
      <c r="H562" s="27">
        <v>5</v>
      </c>
      <c r="I562" s="27">
        <v>1</v>
      </c>
      <c r="J562" s="27">
        <v>1</v>
      </c>
      <c r="K562" s="27">
        <v>775</v>
      </c>
      <c r="L562" s="27">
        <v>2</v>
      </c>
      <c r="M562" s="27">
        <v>0</v>
      </c>
      <c r="N562" s="27">
        <v>32</v>
      </c>
      <c r="O562" s="27">
        <v>3</v>
      </c>
      <c r="P562" s="27">
        <v>2</v>
      </c>
      <c r="Q562" s="27">
        <v>4</v>
      </c>
      <c r="R562" s="27">
        <v>1</v>
      </c>
      <c r="S562" s="27">
        <v>3</v>
      </c>
      <c r="T562" s="27">
        <v>5121</v>
      </c>
      <c r="U562" s="27">
        <v>4187</v>
      </c>
      <c r="V562" s="27">
        <v>3</v>
      </c>
      <c r="W562" s="27">
        <v>0</v>
      </c>
      <c r="X562" s="27">
        <v>14</v>
      </c>
      <c r="Y562" s="27">
        <v>3</v>
      </c>
      <c r="Z562" s="27">
        <v>3</v>
      </c>
      <c r="AA562" s="27">
        <v>80</v>
      </c>
      <c r="AB562" s="27">
        <v>1</v>
      </c>
      <c r="AC562" s="27">
        <v>7</v>
      </c>
      <c r="AD562" s="27">
        <v>3</v>
      </c>
      <c r="AE562" s="27">
        <v>3</v>
      </c>
      <c r="AF562" s="27">
        <v>0</v>
      </c>
      <c r="AG562" s="27">
        <v>0</v>
      </c>
      <c r="AH562" s="27">
        <v>0</v>
      </c>
      <c r="AI562" s="28">
        <v>0</v>
      </c>
      <c r="AK562" s="36">
        <v>529</v>
      </c>
      <c r="AL562" s="33">
        <v>8</v>
      </c>
      <c r="AM562" s="33">
        <v>2</v>
      </c>
      <c r="AN562" s="33">
        <v>3</v>
      </c>
      <c r="AO562" s="33">
        <v>3</v>
      </c>
      <c r="AP562" s="33">
        <v>1</v>
      </c>
      <c r="AQ562" s="33">
        <v>1</v>
      </c>
      <c r="AR562" s="33">
        <v>3</v>
      </c>
      <c r="AS562" s="33">
        <v>4</v>
      </c>
      <c r="AT562" s="33">
        <v>1</v>
      </c>
      <c r="AU562" s="43">
        <v>0.23494109165037982</v>
      </c>
      <c r="AV562" s="33">
        <v>0</v>
      </c>
      <c r="AW562" s="33">
        <v>1</v>
      </c>
      <c r="AY562" s="36">
        <v>534</v>
      </c>
      <c r="AZ562" s="33">
        <v>3</v>
      </c>
      <c r="BA562" s="33">
        <v>1</v>
      </c>
      <c r="BB562" s="33">
        <v>1</v>
      </c>
      <c r="BC562" s="33">
        <v>1</v>
      </c>
      <c r="BD562" s="43">
        <v>0.25528659551539534</v>
      </c>
      <c r="BE562" s="33">
        <v>0</v>
      </c>
      <c r="BF562" s="33">
        <v>0</v>
      </c>
      <c r="CE562" s="36">
        <v>528</v>
      </c>
      <c r="CF562" s="33">
        <v>10</v>
      </c>
      <c r="CG562" s="33">
        <v>2</v>
      </c>
      <c r="CH562" s="33">
        <v>4</v>
      </c>
      <c r="CI562" s="33">
        <v>1</v>
      </c>
      <c r="CJ562" s="33">
        <v>1</v>
      </c>
      <c r="CK562" s="33">
        <v>0</v>
      </c>
      <c r="CL562" s="33">
        <v>0</v>
      </c>
      <c r="CM562" s="33">
        <v>2</v>
      </c>
      <c r="CN562" s="33">
        <v>10</v>
      </c>
      <c r="CO562" s="33">
        <v>0</v>
      </c>
      <c r="CP562" s="43">
        <v>6.7136510352868203E-2</v>
      </c>
      <c r="CQ562" s="33">
        <v>0</v>
      </c>
      <c r="CR562" s="33">
        <v>0</v>
      </c>
    </row>
    <row r="563" spans="1:96" ht="15" customHeight="1" x14ac:dyDescent="0.25">
      <c r="A563" s="26">
        <v>561</v>
      </c>
      <c r="B563" s="27">
        <v>52</v>
      </c>
      <c r="C563" s="27">
        <v>0</v>
      </c>
      <c r="D563" s="27">
        <v>1</v>
      </c>
      <c r="E563" s="27">
        <v>621</v>
      </c>
      <c r="F563" s="27">
        <v>1</v>
      </c>
      <c r="G563" s="27">
        <v>3</v>
      </c>
      <c r="H563" s="27">
        <v>4</v>
      </c>
      <c r="I563" s="27">
        <v>4</v>
      </c>
      <c r="J563" s="27">
        <v>1</v>
      </c>
      <c r="K563" s="27">
        <v>776</v>
      </c>
      <c r="L563" s="27">
        <v>3</v>
      </c>
      <c r="M563" s="27">
        <v>1</v>
      </c>
      <c r="N563" s="27">
        <v>31</v>
      </c>
      <c r="O563" s="27">
        <v>2</v>
      </c>
      <c r="P563" s="27">
        <v>4</v>
      </c>
      <c r="Q563" s="27">
        <v>6</v>
      </c>
      <c r="R563" s="27">
        <v>1</v>
      </c>
      <c r="S563" s="27">
        <v>2</v>
      </c>
      <c r="T563" s="27">
        <v>16856</v>
      </c>
      <c r="U563" s="27">
        <v>10084</v>
      </c>
      <c r="V563" s="27">
        <v>1</v>
      </c>
      <c r="W563" s="27">
        <v>0</v>
      </c>
      <c r="X563" s="27">
        <v>11</v>
      </c>
      <c r="Y563" s="27">
        <v>3</v>
      </c>
      <c r="Z563" s="27">
        <v>1</v>
      </c>
      <c r="AA563" s="27">
        <v>80</v>
      </c>
      <c r="AB563" s="27">
        <v>0</v>
      </c>
      <c r="AC563" s="27">
        <v>34</v>
      </c>
      <c r="AD563" s="27">
        <v>3</v>
      </c>
      <c r="AE563" s="27">
        <v>4</v>
      </c>
      <c r="AF563" s="27">
        <v>34</v>
      </c>
      <c r="AG563" s="27">
        <v>6</v>
      </c>
      <c r="AH563" s="27">
        <v>1</v>
      </c>
      <c r="AI563" s="28">
        <v>16</v>
      </c>
      <c r="AK563" s="36">
        <v>530</v>
      </c>
      <c r="AL563" s="33">
        <v>1</v>
      </c>
      <c r="AM563" s="33">
        <v>2</v>
      </c>
      <c r="AN563" s="33">
        <v>4</v>
      </c>
      <c r="AO563" s="33">
        <v>0</v>
      </c>
      <c r="AP563" s="33">
        <v>0</v>
      </c>
      <c r="AQ563" s="33">
        <v>0</v>
      </c>
      <c r="AR563" s="33">
        <v>2</v>
      </c>
      <c r="AS563" s="33">
        <v>9</v>
      </c>
      <c r="AT563" s="33">
        <v>1</v>
      </c>
      <c r="AU563" s="43">
        <v>4.7597383724792559E-2</v>
      </c>
      <c r="AV563" s="33">
        <v>0</v>
      </c>
      <c r="AW563" s="33">
        <v>0</v>
      </c>
      <c r="AY563" s="36">
        <v>535</v>
      </c>
      <c r="AZ563" s="33">
        <v>4</v>
      </c>
      <c r="BA563" s="33">
        <v>3</v>
      </c>
      <c r="BB563" s="33">
        <v>0</v>
      </c>
      <c r="BC563" s="33">
        <v>0</v>
      </c>
      <c r="BD563" s="43">
        <v>4.1532060460370328E-2</v>
      </c>
      <c r="BE563" s="33">
        <v>0</v>
      </c>
      <c r="BF563" s="33">
        <v>0</v>
      </c>
      <c r="CE563" s="36">
        <v>529</v>
      </c>
      <c r="CF563" s="33">
        <v>8</v>
      </c>
      <c r="CG563" s="33">
        <v>2</v>
      </c>
      <c r="CH563" s="33">
        <v>3</v>
      </c>
      <c r="CI563" s="33">
        <v>2</v>
      </c>
      <c r="CJ563" s="33">
        <v>3</v>
      </c>
      <c r="CK563" s="33">
        <v>1</v>
      </c>
      <c r="CL563" s="33">
        <v>1</v>
      </c>
      <c r="CM563" s="33">
        <v>3</v>
      </c>
      <c r="CN563" s="33">
        <v>4</v>
      </c>
      <c r="CO563" s="33">
        <v>1</v>
      </c>
      <c r="CP563" s="43">
        <v>0.23590312000109068</v>
      </c>
      <c r="CQ563" s="33">
        <v>0</v>
      </c>
      <c r="CR563" s="33">
        <v>1</v>
      </c>
    </row>
    <row r="564" spans="1:96" ht="15" customHeight="1" x14ac:dyDescent="0.25">
      <c r="A564" s="26">
        <v>562</v>
      </c>
      <c r="B564" s="27">
        <v>33</v>
      </c>
      <c r="C564" s="27">
        <v>1</v>
      </c>
      <c r="D564" s="27">
        <v>1</v>
      </c>
      <c r="E564" s="27">
        <v>527</v>
      </c>
      <c r="F564" s="27">
        <v>2</v>
      </c>
      <c r="G564" s="27">
        <v>1</v>
      </c>
      <c r="H564" s="27">
        <v>4</v>
      </c>
      <c r="I564" s="27">
        <v>6</v>
      </c>
      <c r="J564" s="27">
        <v>1</v>
      </c>
      <c r="K564" s="27">
        <v>780</v>
      </c>
      <c r="L564" s="27">
        <v>4</v>
      </c>
      <c r="M564" s="27">
        <v>1</v>
      </c>
      <c r="N564" s="27">
        <v>63</v>
      </c>
      <c r="O564" s="27">
        <v>3</v>
      </c>
      <c r="P564" s="27">
        <v>1</v>
      </c>
      <c r="Q564" s="27">
        <v>2</v>
      </c>
      <c r="R564" s="27">
        <v>4</v>
      </c>
      <c r="S564" s="27">
        <v>1</v>
      </c>
      <c r="T564" s="27">
        <v>2686</v>
      </c>
      <c r="U564" s="27">
        <v>5207</v>
      </c>
      <c r="V564" s="27">
        <v>1</v>
      </c>
      <c r="W564" s="27">
        <v>1</v>
      </c>
      <c r="X564" s="27">
        <v>13</v>
      </c>
      <c r="Y564" s="27">
        <v>3</v>
      </c>
      <c r="Z564" s="27">
        <v>3</v>
      </c>
      <c r="AA564" s="27">
        <v>80</v>
      </c>
      <c r="AB564" s="27">
        <v>0</v>
      </c>
      <c r="AC564" s="27">
        <v>10</v>
      </c>
      <c r="AD564" s="27">
        <v>2</v>
      </c>
      <c r="AE564" s="27">
        <v>2</v>
      </c>
      <c r="AF564" s="27">
        <v>10</v>
      </c>
      <c r="AG564" s="27">
        <v>9</v>
      </c>
      <c r="AH564" s="27">
        <v>7</v>
      </c>
      <c r="AI564" s="28">
        <v>8</v>
      </c>
      <c r="AK564" s="36">
        <v>531</v>
      </c>
      <c r="AL564" s="33">
        <v>1</v>
      </c>
      <c r="AM564" s="33">
        <v>3</v>
      </c>
      <c r="AN564" s="33">
        <v>1</v>
      </c>
      <c r="AO564" s="33">
        <v>1</v>
      </c>
      <c r="AP564" s="33">
        <v>0</v>
      </c>
      <c r="AQ564" s="33">
        <v>0</v>
      </c>
      <c r="AR564" s="33">
        <v>3</v>
      </c>
      <c r="AS564" s="33">
        <v>9</v>
      </c>
      <c r="AT564" s="33">
        <v>0</v>
      </c>
      <c r="AU564" s="43">
        <v>5.0516759850761143E-2</v>
      </c>
      <c r="AV564" s="33">
        <v>0</v>
      </c>
      <c r="AW564" s="33">
        <v>0</v>
      </c>
      <c r="AY564" s="36">
        <v>536</v>
      </c>
      <c r="AZ564" s="33">
        <v>5</v>
      </c>
      <c r="BA564" s="33">
        <v>4</v>
      </c>
      <c r="BB564" s="33">
        <v>0</v>
      </c>
      <c r="BC564" s="33">
        <v>3</v>
      </c>
      <c r="BD564" s="43">
        <v>3.7863026743497979E-3</v>
      </c>
      <c r="BE564" s="33">
        <v>0</v>
      </c>
      <c r="BF564" s="33">
        <v>0</v>
      </c>
      <c r="CE564" s="36">
        <v>530</v>
      </c>
      <c r="CF564" s="33">
        <v>1</v>
      </c>
      <c r="CG564" s="33">
        <v>2</v>
      </c>
      <c r="CH564" s="33">
        <v>4</v>
      </c>
      <c r="CI564" s="33">
        <v>1</v>
      </c>
      <c r="CJ564" s="33">
        <v>0</v>
      </c>
      <c r="CK564" s="33">
        <v>0</v>
      </c>
      <c r="CL564" s="33">
        <v>0</v>
      </c>
      <c r="CM564" s="33">
        <v>2</v>
      </c>
      <c r="CN564" s="33">
        <v>9</v>
      </c>
      <c r="CO564" s="33">
        <v>1</v>
      </c>
      <c r="CP564" s="43">
        <v>5.5832658852228718E-2</v>
      </c>
      <c r="CQ564" s="33">
        <v>0</v>
      </c>
      <c r="CR564" s="33">
        <v>0</v>
      </c>
    </row>
    <row r="565" spans="1:96" ht="15" customHeight="1" x14ac:dyDescent="0.25">
      <c r="A565" s="26">
        <v>563</v>
      </c>
      <c r="B565" s="27">
        <v>25</v>
      </c>
      <c r="C565" s="27">
        <v>0</v>
      </c>
      <c r="D565" s="27">
        <v>1</v>
      </c>
      <c r="E565" s="27">
        <v>883</v>
      </c>
      <c r="F565" s="27">
        <v>1</v>
      </c>
      <c r="G565" s="27">
        <v>26</v>
      </c>
      <c r="H565" s="27">
        <v>1</v>
      </c>
      <c r="I565" s="27">
        <v>3</v>
      </c>
      <c r="J565" s="27">
        <v>1</v>
      </c>
      <c r="K565" s="27">
        <v>781</v>
      </c>
      <c r="L565" s="27">
        <v>3</v>
      </c>
      <c r="M565" s="27">
        <v>0</v>
      </c>
      <c r="N565" s="27">
        <v>32</v>
      </c>
      <c r="O565" s="27">
        <v>3</v>
      </c>
      <c r="P565" s="27">
        <v>2</v>
      </c>
      <c r="Q565" s="27">
        <v>1</v>
      </c>
      <c r="R565" s="27">
        <v>4</v>
      </c>
      <c r="S565" s="27">
        <v>1</v>
      </c>
      <c r="T565" s="27">
        <v>6180</v>
      </c>
      <c r="U565" s="27">
        <v>22807</v>
      </c>
      <c r="V565" s="27">
        <v>1</v>
      </c>
      <c r="W565" s="27">
        <v>0</v>
      </c>
      <c r="X565" s="27">
        <v>23</v>
      </c>
      <c r="Y565" s="27">
        <v>4</v>
      </c>
      <c r="Z565" s="27">
        <v>2</v>
      </c>
      <c r="AA565" s="27">
        <v>80</v>
      </c>
      <c r="AB565" s="27">
        <v>0</v>
      </c>
      <c r="AC565" s="27">
        <v>6</v>
      </c>
      <c r="AD565" s="27">
        <v>5</v>
      </c>
      <c r="AE565" s="27">
        <v>2</v>
      </c>
      <c r="AF565" s="27">
        <v>6</v>
      </c>
      <c r="AG565" s="27">
        <v>5</v>
      </c>
      <c r="AH565" s="27">
        <v>1</v>
      </c>
      <c r="AI565" s="28">
        <v>4</v>
      </c>
      <c r="AK565" s="36">
        <v>532</v>
      </c>
      <c r="AL565" s="33">
        <v>3</v>
      </c>
      <c r="AM565" s="33">
        <v>3</v>
      </c>
      <c r="AN565" s="33">
        <v>4</v>
      </c>
      <c r="AO565" s="33">
        <v>3</v>
      </c>
      <c r="AP565" s="33">
        <v>0</v>
      </c>
      <c r="AQ565" s="33">
        <v>0</v>
      </c>
      <c r="AR565" s="33">
        <v>3</v>
      </c>
      <c r="AS565" s="33">
        <v>7</v>
      </c>
      <c r="AT565" s="33">
        <v>7</v>
      </c>
      <c r="AU565" s="43">
        <v>6.6808036292627659E-2</v>
      </c>
      <c r="AV565" s="33">
        <v>0</v>
      </c>
      <c r="AW565" s="33">
        <v>0</v>
      </c>
      <c r="AY565" s="36">
        <v>537</v>
      </c>
      <c r="AZ565" s="33">
        <v>2</v>
      </c>
      <c r="BA565" s="33">
        <v>1</v>
      </c>
      <c r="BB565" s="33">
        <v>0</v>
      </c>
      <c r="BC565" s="33">
        <v>0</v>
      </c>
      <c r="BD565" s="43">
        <v>0.19196561144667343</v>
      </c>
      <c r="BE565" s="33">
        <v>0</v>
      </c>
      <c r="BF565" s="33">
        <v>0</v>
      </c>
      <c r="CE565" s="36">
        <v>531</v>
      </c>
      <c r="CF565" s="33">
        <v>1</v>
      </c>
      <c r="CG565" s="33">
        <v>3</v>
      </c>
      <c r="CH565" s="33">
        <v>1</v>
      </c>
      <c r="CI565" s="33">
        <v>2</v>
      </c>
      <c r="CJ565" s="33">
        <v>1</v>
      </c>
      <c r="CK565" s="33">
        <v>0</v>
      </c>
      <c r="CL565" s="33">
        <v>0</v>
      </c>
      <c r="CM565" s="33">
        <v>3</v>
      </c>
      <c r="CN565" s="33">
        <v>9</v>
      </c>
      <c r="CO565" s="33">
        <v>0</v>
      </c>
      <c r="CP565" s="43">
        <v>3.6580632057338053E-2</v>
      </c>
      <c r="CQ565" s="33">
        <v>0</v>
      </c>
      <c r="CR565" s="33">
        <v>0</v>
      </c>
    </row>
    <row r="566" spans="1:96" ht="15" customHeight="1" x14ac:dyDescent="0.25">
      <c r="A566" s="26">
        <v>564</v>
      </c>
      <c r="B566" s="27">
        <v>45</v>
      </c>
      <c r="C566" s="27">
        <v>0</v>
      </c>
      <c r="D566" s="27">
        <v>1</v>
      </c>
      <c r="E566" s="27">
        <v>954</v>
      </c>
      <c r="F566" s="27">
        <v>1</v>
      </c>
      <c r="G566" s="27">
        <v>2</v>
      </c>
      <c r="H566" s="27">
        <v>2</v>
      </c>
      <c r="I566" s="27">
        <v>5</v>
      </c>
      <c r="J566" s="27">
        <v>1</v>
      </c>
      <c r="K566" s="27">
        <v>783</v>
      </c>
      <c r="L566" s="27">
        <v>2</v>
      </c>
      <c r="M566" s="27">
        <v>1</v>
      </c>
      <c r="N566" s="27">
        <v>46</v>
      </c>
      <c r="O566" s="27">
        <v>1</v>
      </c>
      <c r="P566" s="27">
        <v>2</v>
      </c>
      <c r="Q566" s="27">
        <v>7</v>
      </c>
      <c r="R566" s="27">
        <v>3</v>
      </c>
      <c r="S566" s="27">
        <v>1</v>
      </c>
      <c r="T566" s="27">
        <v>6632</v>
      </c>
      <c r="U566" s="27">
        <v>12388</v>
      </c>
      <c r="V566" s="27">
        <v>0</v>
      </c>
      <c r="W566" s="27">
        <v>0</v>
      </c>
      <c r="X566" s="27">
        <v>13</v>
      </c>
      <c r="Y566" s="27">
        <v>3</v>
      </c>
      <c r="Z566" s="27">
        <v>1</v>
      </c>
      <c r="AA566" s="27">
        <v>80</v>
      </c>
      <c r="AB566" s="27">
        <v>0</v>
      </c>
      <c r="AC566" s="27">
        <v>9</v>
      </c>
      <c r="AD566" s="27">
        <v>3</v>
      </c>
      <c r="AE566" s="27">
        <v>3</v>
      </c>
      <c r="AF566" s="27">
        <v>8</v>
      </c>
      <c r="AG566" s="27">
        <v>7</v>
      </c>
      <c r="AH566" s="27">
        <v>3</v>
      </c>
      <c r="AI566" s="28">
        <v>1</v>
      </c>
      <c r="AK566" s="36">
        <v>533</v>
      </c>
      <c r="AL566" s="33">
        <v>14</v>
      </c>
      <c r="AM566" s="33">
        <v>2</v>
      </c>
      <c r="AN566" s="33">
        <v>1</v>
      </c>
      <c r="AO566" s="33">
        <v>2</v>
      </c>
      <c r="AP566" s="33">
        <v>0</v>
      </c>
      <c r="AQ566" s="33">
        <v>0</v>
      </c>
      <c r="AR566" s="33">
        <v>3</v>
      </c>
      <c r="AS566" s="33">
        <v>7</v>
      </c>
      <c r="AT566" s="33">
        <v>1</v>
      </c>
      <c r="AU566" s="43">
        <v>0.16753302726394775</v>
      </c>
      <c r="AV566" s="33">
        <v>0</v>
      </c>
      <c r="AW566" s="33">
        <v>0</v>
      </c>
      <c r="AY566" s="36">
        <v>538</v>
      </c>
      <c r="AZ566" s="33">
        <v>3</v>
      </c>
      <c r="BA566" s="33">
        <v>1</v>
      </c>
      <c r="BB566" s="33">
        <v>0</v>
      </c>
      <c r="BC566" s="33">
        <v>2</v>
      </c>
      <c r="BD566" s="43">
        <v>4.5175408192170002E-2</v>
      </c>
      <c r="BE566" s="33">
        <v>0</v>
      </c>
      <c r="BF566" s="33">
        <v>0</v>
      </c>
      <c r="CE566" s="36">
        <v>532</v>
      </c>
      <c r="CF566" s="33">
        <v>3</v>
      </c>
      <c r="CG566" s="33">
        <v>3</v>
      </c>
      <c r="CH566" s="33">
        <v>4</v>
      </c>
      <c r="CI566" s="33">
        <v>1</v>
      </c>
      <c r="CJ566" s="33">
        <v>3</v>
      </c>
      <c r="CK566" s="33">
        <v>0</v>
      </c>
      <c r="CL566" s="33">
        <v>0</v>
      </c>
      <c r="CM566" s="33">
        <v>3</v>
      </c>
      <c r="CN566" s="33">
        <v>7</v>
      </c>
      <c r="CO566" s="33">
        <v>7</v>
      </c>
      <c r="CP566" s="43">
        <v>7.941139300954636E-2</v>
      </c>
      <c r="CQ566" s="33">
        <v>0</v>
      </c>
      <c r="CR566" s="33">
        <v>0</v>
      </c>
    </row>
    <row r="567" spans="1:96" ht="15" customHeight="1" x14ac:dyDescent="0.25">
      <c r="A567" s="26">
        <v>565</v>
      </c>
      <c r="B567" s="27">
        <v>23</v>
      </c>
      <c r="C567" s="27">
        <v>0</v>
      </c>
      <c r="D567" s="27">
        <v>1</v>
      </c>
      <c r="E567" s="27">
        <v>310</v>
      </c>
      <c r="F567" s="27">
        <v>2</v>
      </c>
      <c r="G567" s="27">
        <v>10</v>
      </c>
      <c r="H567" s="27">
        <v>1</v>
      </c>
      <c r="I567" s="27">
        <v>3</v>
      </c>
      <c r="J567" s="27">
        <v>1</v>
      </c>
      <c r="K567" s="27">
        <v>784</v>
      </c>
      <c r="L567" s="27">
        <v>1</v>
      </c>
      <c r="M567" s="27">
        <v>1</v>
      </c>
      <c r="N567" s="27">
        <v>79</v>
      </c>
      <c r="O567" s="27">
        <v>4</v>
      </c>
      <c r="P567" s="27">
        <v>1</v>
      </c>
      <c r="Q567" s="27">
        <v>2</v>
      </c>
      <c r="R567" s="27">
        <v>3</v>
      </c>
      <c r="S567" s="27">
        <v>1</v>
      </c>
      <c r="T567" s="27">
        <v>3505</v>
      </c>
      <c r="U567" s="27">
        <v>19630</v>
      </c>
      <c r="V567" s="27">
        <v>1</v>
      </c>
      <c r="W567" s="27">
        <v>0</v>
      </c>
      <c r="X567" s="27">
        <v>18</v>
      </c>
      <c r="Y567" s="27">
        <v>3</v>
      </c>
      <c r="Z567" s="27">
        <v>4</v>
      </c>
      <c r="AA567" s="27">
        <v>80</v>
      </c>
      <c r="AB567" s="27">
        <v>0</v>
      </c>
      <c r="AC567" s="27">
        <v>2</v>
      </c>
      <c r="AD567" s="27">
        <v>3</v>
      </c>
      <c r="AE567" s="27">
        <v>3</v>
      </c>
      <c r="AF567" s="27">
        <v>2</v>
      </c>
      <c r="AG567" s="27">
        <v>2</v>
      </c>
      <c r="AH567" s="27">
        <v>0</v>
      </c>
      <c r="AI567" s="28">
        <v>2</v>
      </c>
      <c r="AK567" s="36">
        <v>534</v>
      </c>
      <c r="AL567" s="33">
        <v>5</v>
      </c>
      <c r="AM567" s="33">
        <v>3</v>
      </c>
      <c r="AN567" s="33">
        <v>1</v>
      </c>
      <c r="AO567" s="33">
        <v>5</v>
      </c>
      <c r="AP567" s="33">
        <v>1</v>
      </c>
      <c r="AQ567" s="33">
        <v>1</v>
      </c>
      <c r="AR567" s="33">
        <v>3</v>
      </c>
      <c r="AS567" s="33">
        <v>18</v>
      </c>
      <c r="AT567" s="33">
        <v>1</v>
      </c>
      <c r="AU567" s="43">
        <v>0.11001787729458186</v>
      </c>
      <c r="AV567" s="33">
        <v>0</v>
      </c>
      <c r="AW567" s="33">
        <v>0</v>
      </c>
      <c r="AY567" s="36">
        <v>539</v>
      </c>
      <c r="AZ567" s="33">
        <v>5</v>
      </c>
      <c r="BA567" s="33">
        <v>3</v>
      </c>
      <c r="BB567" s="33">
        <v>0</v>
      </c>
      <c r="BC567" s="33">
        <v>1</v>
      </c>
      <c r="BD567" s="43">
        <v>1.4415653001325196E-2</v>
      </c>
      <c r="BE567" s="33">
        <v>0</v>
      </c>
      <c r="BF567" s="33">
        <v>0</v>
      </c>
      <c r="CE567" s="36">
        <v>533</v>
      </c>
      <c r="CF567" s="33">
        <v>14</v>
      </c>
      <c r="CG567" s="33">
        <v>2</v>
      </c>
      <c r="CH567" s="33">
        <v>1</v>
      </c>
      <c r="CI567" s="33">
        <v>1</v>
      </c>
      <c r="CJ567" s="33">
        <v>2</v>
      </c>
      <c r="CK567" s="33">
        <v>0</v>
      </c>
      <c r="CL567" s="33">
        <v>0</v>
      </c>
      <c r="CM567" s="33">
        <v>3</v>
      </c>
      <c r="CN567" s="33">
        <v>7</v>
      </c>
      <c r="CO567" s="33">
        <v>1</v>
      </c>
      <c r="CP567" s="43">
        <v>0.19841082382077321</v>
      </c>
      <c r="CQ567" s="33">
        <v>0</v>
      </c>
      <c r="CR567" s="33">
        <v>0</v>
      </c>
    </row>
    <row r="568" spans="1:96" ht="15" customHeight="1" x14ac:dyDescent="0.25">
      <c r="A568" s="26">
        <v>566</v>
      </c>
      <c r="B568" s="27">
        <v>47</v>
      </c>
      <c r="C568" s="27">
        <v>1</v>
      </c>
      <c r="D568" s="27">
        <v>2</v>
      </c>
      <c r="E568" s="27">
        <v>719</v>
      </c>
      <c r="F568" s="27">
        <v>1</v>
      </c>
      <c r="G568" s="27">
        <v>27</v>
      </c>
      <c r="H568" s="27">
        <v>2</v>
      </c>
      <c r="I568" s="27">
        <v>1</v>
      </c>
      <c r="J568" s="27">
        <v>1</v>
      </c>
      <c r="K568" s="27">
        <v>785</v>
      </c>
      <c r="L568" s="27">
        <v>2</v>
      </c>
      <c r="M568" s="27">
        <v>0</v>
      </c>
      <c r="N568" s="27">
        <v>77</v>
      </c>
      <c r="O568" s="27">
        <v>4</v>
      </c>
      <c r="P568" s="27">
        <v>2</v>
      </c>
      <c r="Q568" s="27">
        <v>1</v>
      </c>
      <c r="R568" s="27">
        <v>3</v>
      </c>
      <c r="S568" s="27">
        <v>1</v>
      </c>
      <c r="T568" s="27">
        <v>6397</v>
      </c>
      <c r="U568" s="27">
        <v>10339</v>
      </c>
      <c r="V568" s="27">
        <v>4</v>
      </c>
      <c r="W568" s="27">
        <v>1</v>
      </c>
      <c r="X568" s="27">
        <v>12</v>
      </c>
      <c r="Y568" s="27">
        <v>3</v>
      </c>
      <c r="Z568" s="27">
        <v>4</v>
      </c>
      <c r="AA568" s="27">
        <v>80</v>
      </c>
      <c r="AB568" s="27">
        <v>0</v>
      </c>
      <c r="AC568" s="27">
        <v>8</v>
      </c>
      <c r="AD568" s="27">
        <v>2</v>
      </c>
      <c r="AE568" s="27">
        <v>3</v>
      </c>
      <c r="AF568" s="27">
        <v>5</v>
      </c>
      <c r="AG568" s="27">
        <v>4</v>
      </c>
      <c r="AH568" s="27">
        <v>1</v>
      </c>
      <c r="AI568" s="28">
        <v>3</v>
      </c>
      <c r="AK568" s="36">
        <v>535</v>
      </c>
      <c r="AL568" s="33">
        <v>7</v>
      </c>
      <c r="AM568" s="33">
        <v>4</v>
      </c>
      <c r="AN568" s="33">
        <v>3</v>
      </c>
      <c r="AO568" s="33">
        <v>3</v>
      </c>
      <c r="AP568" s="33">
        <v>0</v>
      </c>
      <c r="AQ568" s="33">
        <v>0</v>
      </c>
      <c r="AR568" s="33">
        <v>3</v>
      </c>
      <c r="AS568" s="33">
        <v>5</v>
      </c>
      <c r="AT568" s="33">
        <v>1</v>
      </c>
      <c r="AU568" s="43">
        <v>3.5650703513439137E-2</v>
      </c>
      <c r="AV568" s="33">
        <v>0</v>
      </c>
      <c r="AW568" s="33">
        <v>0</v>
      </c>
      <c r="AY568" s="36">
        <v>540</v>
      </c>
      <c r="AZ568" s="33">
        <v>1</v>
      </c>
      <c r="BA568" s="33">
        <v>2</v>
      </c>
      <c r="BB568" s="33">
        <v>0</v>
      </c>
      <c r="BC568" s="33">
        <v>1</v>
      </c>
      <c r="BD568" s="43">
        <v>0.15461023487664</v>
      </c>
      <c r="BE568" s="33">
        <v>0</v>
      </c>
      <c r="BF568" s="33">
        <v>0</v>
      </c>
      <c r="CE568" s="36">
        <v>534</v>
      </c>
      <c r="CF568" s="33">
        <v>5</v>
      </c>
      <c r="CG568" s="33">
        <v>3</v>
      </c>
      <c r="CH568" s="33">
        <v>1</v>
      </c>
      <c r="CI568" s="33">
        <v>2</v>
      </c>
      <c r="CJ568" s="33">
        <v>5</v>
      </c>
      <c r="CK568" s="33">
        <v>1</v>
      </c>
      <c r="CL568" s="33">
        <v>1</v>
      </c>
      <c r="CM568" s="33">
        <v>3</v>
      </c>
      <c r="CN568" s="33">
        <v>18</v>
      </c>
      <c r="CO568" s="33">
        <v>1</v>
      </c>
      <c r="CP568" s="43">
        <v>0.11501343262797334</v>
      </c>
      <c r="CQ568" s="33">
        <v>0</v>
      </c>
      <c r="CR568" s="33">
        <v>0</v>
      </c>
    </row>
    <row r="569" spans="1:96" ht="15" customHeight="1" x14ac:dyDescent="0.25">
      <c r="A569" s="26">
        <v>567</v>
      </c>
      <c r="B569" s="27">
        <v>34</v>
      </c>
      <c r="C569" s="27">
        <v>0</v>
      </c>
      <c r="D569" s="27">
        <v>1</v>
      </c>
      <c r="E569" s="27">
        <v>304</v>
      </c>
      <c r="F569" s="27">
        <v>1</v>
      </c>
      <c r="G569" s="27">
        <v>2</v>
      </c>
      <c r="H569" s="27">
        <v>3</v>
      </c>
      <c r="I569" s="27">
        <v>6</v>
      </c>
      <c r="J569" s="27">
        <v>1</v>
      </c>
      <c r="K569" s="27">
        <v>786</v>
      </c>
      <c r="L569" s="27">
        <v>4</v>
      </c>
      <c r="M569" s="27">
        <v>1</v>
      </c>
      <c r="N569" s="27">
        <v>60</v>
      </c>
      <c r="O569" s="27">
        <v>3</v>
      </c>
      <c r="P569" s="27">
        <v>2</v>
      </c>
      <c r="Q569" s="27">
        <v>1</v>
      </c>
      <c r="R569" s="27">
        <v>4</v>
      </c>
      <c r="S569" s="27">
        <v>1</v>
      </c>
      <c r="T569" s="27">
        <v>6274</v>
      </c>
      <c r="U569" s="27">
        <v>18686</v>
      </c>
      <c r="V569" s="27">
        <v>1</v>
      </c>
      <c r="W569" s="27">
        <v>0</v>
      </c>
      <c r="X569" s="27">
        <v>22</v>
      </c>
      <c r="Y569" s="27">
        <v>4</v>
      </c>
      <c r="Z569" s="27">
        <v>3</v>
      </c>
      <c r="AA569" s="27">
        <v>80</v>
      </c>
      <c r="AB569" s="27">
        <v>0</v>
      </c>
      <c r="AC569" s="27">
        <v>6</v>
      </c>
      <c r="AD569" s="27">
        <v>5</v>
      </c>
      <c r="AE569" s="27">
        <v>3</v>
      </c>
      <c r="AF569" s="27">
        <v>6</v>
      </c>
      <c r="AG569" s="27">
        <v>5</v>
      </c>
      <c r="AH569" s="27">
        <v>1</v>
      </c>
      <c r="AI569" s="28">
        <v>4</v>
      </c>
      <c r="AK569" s="36">
        <v>536</v>
      </c>
      <c r="AL569" s="33">
        <v>10</v>
      </c>
      <c r="AM569" s="33">
        <v>5</v>
      </c>
      <c r="AN569" s="33">
        <v>4</v>
      </c>
      <c r="AO569" s="33">
        <v>3</v>
      </c>
      <c r="AP569" s="33">
        <v>0</v>
      </c>
      <c r="AQ569" s="33">
        <v>3</v>
      </c>
      <c r="AR569" s="33">
        <v>2</v>
      </c>
      <c r="AS569" s="33">
        <v>21</v>
      </c>
      <c r="AT569" s="33">
        <v>12</v>
      </c>
      <c r="AU569" s="43">
        <v>4.4249659039450016E-3</v>
      </c>
      <c r="AV569" s="33">
        <v>0</v>
      </c>
      <c r="AW569" s="33">
        <v>0</v>
      </c>
      <c r="AY569" s="36">
        <v>541</v>
      </c>
      <c r="AZ569" s="33">
        <v>1</v>
      </c>
      <c r="BA569" s="33">
        <v>2</v>
      </c>
      <c r="BB569" s="33">
        <v>1</v>
      </c>
      <c r="BC569" s="33">
        <v>0</v>
      </c>
      <c r="BD569" s="43">
        <v>0.56990699338636852</v>
      </c>
      <c r="BE569" s="33">
        <v>1</v>
      </c>
      <c r="BF569" s="33">
        <v>1</v>
      </c>
      <c r="CE569" s="36">
        <v>535</v>
      </c>
      <c r="CF569" s="33">
        <v>7</v>
      </c>
      <c r="CG569" s="33">
        <v>4</v>
      </c>
      <c r="CH569" s="33">
        <v>3</v>
      </c>
      <c r="CI569" s="33">
        <v>2</v>
      </c>
      <c r="CJ569" s="33">
        <v>3</v>
      </c>
      <c r="CK569" s="33">
        <v>0</v>
      </c>
      <c r="CL569" s="33">
        <v>0</v>
      </c>
      <c r="CM569" s="33">
        <v>3</v>
      </c>
      <c r="CN569" s="33">
        <v>5</v>
      </c>
      <c r="CO569" s="33">
        <v>1</v>
      </c>
      <c r="CP569" s="43">
        <v>2.5232427422912818E-2</v>
      </c>
      <c r="CQ569" s="33">
        <v>0</v>
      </c>
      <c r="CR569" s="33">
        <v>0</v>
      </c>
    </row>
    <row r="570" spans="1:96" ht="15" customHeight="1" x14ac:dyDescent="0.25">
      <c r="A570" s="26">
        <v>568</v>
      </c>
      <c r="B570" s="27">
        <v>55</v>
      </c>
      <c r="C570" s="27">
        <v>1</v>
      </c>
      <c r="D570" s="27">
        <v>1</v>
      </c>
      <c r="E570" s="27">
        <v>725</v>
      </c>
      <c r="F570" s="27">
        <v>2</v>
      </c>
      <c r="G570" s="27">
        <v>2</v>
      </c>
      <c r="H570" s="27">
        <v>3</v>
      </c>
      <c r="I570" s="27">
        <v>3</v>
      </c>
      <c r="J570" s="27">
        <v>1</v>
      </c>
      <c r="K570" s="27">
        <v>787</v>
      </c>
      <c r="L570" s="27">
        <v>4</v>
      </c>
      <c r="M570" s="27">
        <v>1</v>
      </c>
      <c r="N570" s="27">
        <v>78</v>
      </c>
      <c r="O570" s="27">
        <v>3</v>
      </c>
      <c r="P570" s="27">
        <v>5</v>
      </c>
      <c r="Q570" s="27">
        <v>6</v>
      </c>
      <c r="R570" s="27">
        <v>1</v>
      </c>
      <c r="S570" s="27">
        <v>2</v>
      </c>
      <c r="T570" s="27">
        <v>19859</v>
      </c>
      <c r="U570" s="27">
        <v>21199</v>
      </c>
      <c r="V570" s="27">
        <v>5</v>
      </c>
      <c r="W570" s="27">
        <v>1</v>
      </c>
      <c r="X570" s="27">
        <v>13</v>
      </c>
      <c r="Y570" s="27">
        <v>3</v>
      </c>
      <c r="Z570" s="27">
        <v>4</v>
      </c>
      <c r="AA570" s="27">
        <v>80</v>
      </c>
      <c r="AB570" s="27">
        <v>1</v>
      </c>
      <c r="AC570" s="27">
        <v>24</v>
      </c>
      <c r="AD570" s="27">
        <v>2</v>
      </c>
      <c r="AE570" s="27">
        <v>3</v>
      </c>
      <c r="AF570" s="27">
        <v>5</v>
      </c>
      <c r="AG570" s="27">
        <v>2</v>
      </c>
      <c r="AH570" s="27">
        <v>1</v>
      </c>
      <c r="AI570" s="28">
        <v>4</v>
      </c>
      <c r="AK570" s="36">
        <v>537</v>
      </c>
      <c r="AL570" s="33">
        <v>16</v>
      </c>
      <c r="AM570" s="33">
        <v>2</v>
      </c>
      <c r="AN570" s="33">
        <v>1</v>
      </c>
      <c r="AO570" s="33">
        <v>8</v>
      </c>
      <c r="AP570" s="33">
        <v>0</v>
      </c>
      <c r="AQ570" s="33">
        <v>0</v>
      </c>
      <c r="AR570" s="33">
        <v>3</v>
      </c>
      <c r="AS570" s="33">
        <v>2</v>
      </c>
      <c r="AT570" s="33">
        <v>2</v>
      </c>
      <c r="AU570" s="43">
        <v>0.36397718668444617</v>
      </c>
      <c r="AV570" s="33">
        <v>0</v>
      </c>
      <c r="AW570" s="33">
        <v>0</v>
      </c>
      <c r="AY570" s="36">
        <v>542</v>
      </c>
      <c r="AZ570" s="33">
        <v>3</v>
      </c>
      <c r="BA570" s="33">
        <v>1</v>
      </c>
      <c r="BB570" s="33">
        <v>0</v>
      </c>
      <c r="BC570" s="33">
        <v>1</v>
      </c>
      <c r="BD570" s="43">
        <v>7.4238208059117641E-2</v>
      </c>
      <c r="BE570" s="33">
        <v>0</v>
      </c>
      <c r="BF570" s="33">
        <v>0</v>
      </c>
      <c r="CE570" s="36">
        <v>536</v>
      </c>
      <c r="CF570" s="33">
        <v>10</v>
      </c>
      <c r="CG570" s="33">
        <v>5</v>
      </c>
      <c r="CH570" s="33">
        <v>4</v>
      </c>
      <c r="CI570" s="33">
        <v>3</v>
      </c>
      <c r="CJ570" s="33">
        <v>3</v>
      </c>
      <c r="CK570" s="33">
        <v>0</v>
      </c>
      <c r="CL570" s="33">
        <v>3</v>
      </c>
      <c r="CM570" s="33">
        <v>2</v>
      </c>
      <c r="CN570" s="33">
        <v>21</v>
      </c>
      <c r="CO570" s="33">
        <v>12</v>
      </c>
      <c r="CP570" s="43">
        <v>5.1603202148675668E-3</v>
      </c>
      <c r="CQ570" s="33">
        <v>0</v>
      </c>
      <c r="CR570" s="33">
        <v>0</v>
      </c>
    </row>
    <row r="571" spans="1:96" ht="15" customHeight="1" x14ac:dyDescent="0.25">
      <c r="A571" s="26">
        <v>569</v>
      </c>
      <c r="B571" s="27">
        <v>36</v>
      </c>
      <c r="C571" s="27">
        <v>0</v>
      </c>
      <c r="D571" s="27">
        <v>3</v>
      </c>
      <c r="E571" s="27">
        <v>1434</v>
      </c>
      <c r="F571" s="27">
        <v>1</v>
      </c>
      <c r="G571" s="27">
        <v>8</v>
      </c>
      <c r="H571" s="27">
        <v>4</v>
      </c>
      <c r="I571" s="27">
        <v>1</v>
      </c>
      <c r="J571" s="27">
        <v>1</v>
      </c>
      <c r="K571" s="27">
        <v>789</v>
      </c>
      <c r="L571" s="27">
        <v>1</v>
      </c>
      <c r="M571" s="27">
        <v>1</v>
      </c>
      <c r="N571" s="27">
        <v>76</v>
      </c>
      <c r="O571" s="27">
        <v>2</v>
      </c>
      <c r="P571" s="27">
        <v>3</v>
      </c>
      <c r="Q571" s="27">
        <v>1</v>
      </c>
      <c r="R571" s="27">
        <v>1</v>
      </c>
      <c r="S571" s="27">
        <v>1</v>
      </c>
      <c r="T571" s="27">
        <v>7587</v>
      </c>
      <c r="U571" s="27">
        <v>14229</v>
      </c>
      <c r="V571" s="27">
        <v>1</v>
      </c>
      <c r="W571" s="27">
        <v>0</v>
      </c>
      <c r="X571" s="27">
        <v>15</v>
      </c>
      <c r="Y571" s="27">
        <v>3</v>
      </c>
      <c r="Z571" s="27">
        <v>2</v>
      </c>
      <c r="AA571" s="27">
        <v>80</v>
      </c>
      <c r="AB571" s="27">
        <v>0</v>
      </c>
      <c r="AC571" s="27">
        <v>10</v>
      </c>
      <c r="AD571" s="27">
        <v>1</v>
      </c>
      <c r="AE571" s="27">
        <v>3</v>
      </c>
      <c r="AF571" s="27">
        <v>10</v>
      </c>
      <c r="AG571" s="27">
        <v>7</v>
      </c>
      <c r="AH571" s="27">
        <v>0</v>
      </c>
      <c r="AI571" s="28">
        <v>9</v>
      </c>
      <c r="AK571" s="36">
        <v>538</v>
      </c>
      <c r="AL571" s="33">
        <v>10</v>
      </c>
      <c r="AM571" s="33">
        <v>3</v>
      </c>
      <c r="AN571" s="33">
        <v>1</v>
      </c>
      <c r="AO571" s="33">
        <v>1</v>
      </c>
      <c r="AP571" s="33">
        <v>0</v>
      </c>
      <c r="AQ571" s="33">
        <v>2</v>
      </c>
      <c r="AR571" s="33">
        <v>2</v>
      </c>
      <c r="AS571" s="33">
        <v>9</v>
      </c>
      <c r="AT571" s="33">
        <v>1</v>
      </c>
      <c r="AU571" s="43">
        <v>3.1699350522168414E-2</v>
      </c>
      <c r="AV571" s="33">
        <v>0</v>
      </c>
      <c r="AW571" s="33">
        <v>0</v>
      </c>
      <c r="AY571" s="36">
        <v>543</v>
      </c>
      <c r="AZ571" s="33">
        <v>3</v>
      </c>
      <c r="BA571" s="33">
        <v>3</v>
      </c>
      <c r="BB571" s="33">
        <v>1</v>
      </c>
      <c r="BC571" s="33">
        <v>0</v>
      </c>
      <c r="BD571" s="43">
        <v>0.24457985721149755</v>
      </c>
      <c r="BE571" s="33">
        <v>0</v>
      </c>
      <c r="BF571" s="33">
        <v>0</v>
      </c>
      <c r="CE571" s="36">
        <v>537</v>
      </c>
      <c r="CF571" s="33">
        <v>16</v>
      </c>
      <c r="CG571" s="33">
        <v>2</v>
      </c>
      <c r="CH571" s="33">
        <v>1</v>
      </c>
      <c r="CI571" s="33">
        <v>1</v>
      </c>
      <c r="CJ571" s="33">
        <v>8</v>
      </c>
      <c r="CK571" s="33">
        <v>0</v>
      </c>
      <c r="CL571" s="33">
        <v>0</v>
      </c>
      <c r="CM571" s="33">
        <v>3</v>
      </c>
      <c r="CN571" s="33">
        <v>2</v>
      </c>
      <c r="CO571" s="33">
        <v>2</v>
      </c>
      <c r="CP571" s="43">
        <v>0.41652140569793672</v>
      </c>
      <c r="CQ571" s="33">
        <v>0</v>
      </c>
      <c r="CR571" s="33">
        <v>0</v>
      </c>
    </row>
    <row r="572" spans="1:96" ht="15" customHeight="1" x14ac:dyDescent="0.25">
      <c r="A572" s="26">
        <v>570</v>
      </c>
      <c r="B572" s="27">
        <v>52</v>
      </c>
      <c r="C572" s="27">
        <v>0</v>
      </c>
      <c r="D572" s="27">
        <v>3</v>
      </c>
      <c r="E572" s="27">
        <v>715</v>
      </c>
      <c r="F572" s="27">
        <v>2</v>
      </c>
      <c r="G572" s="27">
        <v>19</v>
      </c>
      <c r="H572" s="27">
        <v>4</v>
      </c>
      <c r="I572" s="27">
        <v>3</v>
      </c>
      <c r="J572" s="27">
        <v>1</v>
      </c>
      <c r="K572" s="27">
        <v>791</v>
      </c>
      <c r="L572" s="27">
        <v>4</v>
      </c>
      <c r="M572" s="27">
        <v>1</v>
      </c>
      <c r="N572" s="27">
        <v>41</v>
      </c>
      <c r="O572" s="27">
        <v>3</v>
      </c>
      <c r="P572" s="27">
        <v>1</v>
      </c>
      <c r="Q572" s="27">
        <v>2</v>
      </c>
      <c r="R572" s="27">
        <v>4</v>
      </c>
      <c r="S572" s="27">
        <v>2</v>
      </c>
      <c r="T572" s="27">
        <v>4258</v>
      </c>
      <c r="U572" s="27">
        <v>26589</v>
      </c>
      <c r="V572" s="27">
        <v>0</v>
      </c>
      <c r="W572" s="27">
        <v>0</v>
      </c>
      <c r="X572" s="27">
        <v>18</v>
      </c>
      <c r="Y572" s="27">
        <v>3</v>
      </c>
      <c r="Z572" s="27">
        <v>1</v>
      </c>
      <c r="AA572" s="27">
        <v>80</v>
      </c>
      <c r="AB572" s="27">
        <v>1</v>
      </c>
      <c r="AC572" s="27">
        <v>5</v>
      </c>
      <c r="AD572" s="27">
        <v>3</v>
      </c>
      <c r="AE572" s="27">
        <v>3</v>
      </c>
      <c r="AF572" s="27">
        <v>4</v>
      </c>
      <c r="AG572" s="27">
        <v>3</v>
      </c>
      <c r="AH572" s="27">
        <v>1</v>
      </c>
      <c r="AI572" s="28">
        <v>2</v>
      </c>
      <c r="AK572" s="36">
        <v>539</v>
      </c>
      <c r="AL572" s="33">
        <v>1</v>
      </c>
      <c r="AM572" s="33">
        <v>5</v>
      </c>
      <c r="AN572" s="33">
        <v>3</v>
      </c>
      <c r="AO572" s="33">
        <v>1</v>
      </c>
      <c r="AP572" s="33">
        <v>0</v>
      </c>
      <c r="AQ572" s="33">
        <v>1</v>
      </c>
      <c r="AR572" s="33">
        <v>3</v>
      </c>
      <c r="AS572" s="33">
        <v>22</v>
      </c>
      <c r="AT572" s="33">
        <v>2</v>
      </c>
      <c r="AU572" s="43">
        <v>2.7357148133031368E-3</v>
      </c>
      <c r="AV572" s="33">
        <v>0</v>
      </c>
      <c r="AW572" s="33">
        <v>0</v>
      </c>
      <c r="AY572" s="36">
        <v>544</v>
      </c>
      <c r="AZ572" s="33">
        <v>1</v>
      </c>
      <c r="BA572" s="33">
        <v>3</v>
      </c>
      <c r="BB572" s="33">
        <v>0</v>
      </c>
      <c r="BC572" s="33">
        <v>0</v>
      </c>
      <c r="BD572" s="43">
        <v>0.18791247240909698</v>
      </c>
      <c r="BE572" s="33">
        <v>0</v>
      </c>
      <c r="BF572" s="33">
        <v>0</v>
      </c>
      <c r="CE572" s="36">
        <v>538</v>
      </c>
      <c r="CF572" s="33">
        <v>10</v>
      </c>
      <c r="CG572" s="33">
        <v>3</v>
      </c>
      <c r="CH572" s="33">
        <v>1</v>
      </c>
      <c r="CI572" s="33">
        <v>3</v>
      </c>
      <c r="CJ572" s="33">
        <v>1</v>
      </c>
      <c r="CK572" s="33">
        <v>0</v>
      </c>
      <c r="CL572" s="33">
        <v>2</v>
      </c>
      <c r="CM572" s="33">
        <v>2</v>
      </c>
      <c r="CN572" s="33">
        <v>9</v>
      </c>
      <c r="CO572" s="33">
        <v>1</v>
      </c>
      <c r="CP572" s="43">
        <v>2.6431202125166087E-2</v>
      </c>
      <c r="CQ572" s="33">
        <v>0</v>
      </c>
      <c r="CR572" s="33">
        <v>0</v>
      </c>
    </row>
    <row r="573" spans="1:96" ht="15" customHeight="1" x14ac:dyDescent="0.25">
      <c r="A573" s="26">
        <v>571</v>
      </c>
      <c r="B573" s="27">
        <v>26</v>
      </c>
      <c r="C573" s="27">
        <v>0</v>
      </c>
      <c r="D573" s="27">
        <v>2</v>
      </c>
      <c r="E573" s="27">
        <v>575</v>
      </c>
      <c r="F573" s="27">
        <v>2</v>
      </c>
      <c r="G573" s="27">
        <v>1</v>
      </c>
      <c r="H573" s="27">
        <v>2</v>
      </c>
      <c r="I573" s="27">
        <v>1</v>
      </c>
      <c r="J573" s="27">
        <v>1</v>
      </c>
      <c r="K573" s="27">
        <v>792</v>
      </c>
      <c r="L573" s="27">
        <v>1</v>
      </c>
      <c r="M573" s="27">
        <v>0</v>
      </c>
      <c r="N573" s="27">
        <v>71</v>
      </c>
      <c r="O573" s="27">
        <v>1</v>
      </c>
      <c r="P573" s="27">
        <v>1</v>
      </c>
      <c r="Q573" s="27">
        <v>3</v>
      </c>
      <c r="R573" s="27">
        <v>4</v>
      </c>
      <c r="S573" s="27">
        <v>3</v>
      </c>
      <c r="T573" s="27">
        <v>4364</v>
      </c>
      <c r="U573" s="27">
        <v>5288</v>
      </c>
      <c r="V573" s="27">
        <v>3</v>
      </c>
      <c r="W573" s="27">
        <v>0</v>
      </c>
      <c r="X573" s="27">
        <v>14</v>
      </c>
      <c r="Y573" s="27">
        <v>3</v>
      </c>
      <c r="Z573" s="27">
        <v>1</v>
      </c>
      <c r="AA573" s="27">
        <v>80</v>
      </c>
      <c r="AB573" s="27">
        <v>1</v>
      </c>
      <c r="AC573" s="27">
        <v>5</v>
      </c>
      <c r="AD573" s="27">
        <v>2</v>
      </c>
      <c r="AE573" s="27">
        <v>3</v>
      </c>
      <c r="AF573" s="27">
        <v>2</v>
      </c>
      <c r="AG573" s="27">
        <v>2</v>
      </c>
      <c r="AH573" s="27">
        <v>2</v>
      </c>
      <c r="AI573" s="28">
        <v>0</v>
      </c>
      <c r="AK573" s="36">
        <v>540</v>
      </c>
      <c r="AL573" s="33">
        <v>8</v>
      </c>
      <c r="AM573" s="33">
        <v>1</v>
      </c>
      <c r="AN573" s="33">
        <v>2</v>
      </c>
      <c r="AO573" s="33">
        <v>7</v>
      </c>
      <c r="AP573" s="33">
        <v>0</v>
      </c>
      <c r="AQ573" s="33">
        <v>1</v>
      </c>
      <c r="AR573" s="33">
        <v>3</v>
      </c>
      <c r="AS573" s="33">
        <v>2</v>
      </c>
      <c r="AT573" s="33">
        <v>2</v>
      </c>
      <c r="AU573" s="43">
        <v>0.2281499424174997</v>
      </c>
      <c r="AV573" s="33">
        <v>0</v>
      </c>
      <c r="AW573" s="33">
        <v>0</v>
      </c>
      <c r="AY573" s="36">
        <v>545</v>
      </c>
      <c r="AZ573" s="33">
        <v>4</v>
      </c>
      <c r="BA573" s="33">
        <v>3</v>
      </c>
      <c r="BB573" s="33">
        <v>1</v>
      </c>
      <c r="BC573" s="33">
        <v>2</v>
      </c>
      <c r="BD573" s="43">
        <v>6.0573128122172006E-2</v>
      </c>
      <c r="BE573" s="33">
        <v>0</v>
      </c>
      <c r="BF573" s="33">
        <v>0</v>
      </c>
      <c r="CE573" s="36">
        <v>539</v>
      </c>
      <c r="CF573" s="33">
        <v>1</v>
      </c>
      <c r="CG573" s="33">
        <v>5</v>
      </c>
      <c r="CH573" s="33">
        <v>3</v>
      </c>
      <c r="CI573" s="33">
        <v>2</v>
      </c>
      <c r="CJ573" s="33">
        <v>1</v>
      </c>
      <c r="CK573" s="33">
        <v>0</v>
      </c>
      <c r="CL573" s="33">
        <v>1</v>
      </c>
      <c r="CM573" s="33">
        <v>3</v>
      </c>
      <c r="CN573" s="33">
        <v>22</v>
      </c>
      <c r="CO573" s="33">
        <v>2</v>
      </c>
      <c r="CP573" s="43">
        <v>2.7137812808556388E-3</v>
      </c>
      <c r="CQ573" s="33">
        <v>0</v>
      </c>
      <c r="CR573" s="33">
        <v>0</v>
      </c>
    </row>
    <row r="574" spans="1:96" ht="15" customHeight="1" x14ac:dyDescent="0.25">
      <c r="A574" s="26">
        <v>572</v>
      </c>
      <c r="B574" s="27">
        <v>29</v>
      </c>
      <c r="C574" s="27">
        <v>0</v>
      </c>
      <c r="D574" s="27">
        <v>1</v>
      </c>
      <c r="E574" s="27">
        <v>657</v>
      </c>
      <c r="F574" s="27">
        <v>2</v>
      </c>
      <c r="G574" s="27">
        <v>27</v>
      </c>
      <c r="H574" s="27">
        <v>3</v>
      </c>
      <c r="I574" s="27">
        <v>3</v>
      </c>
      <c r="J574" s="27">
        <v>1</v>
      </c>
      <c r="K574" s="27">
        <v>793</v>
      </c>
      <c r="L574" s="27">
        <v>2</v>
      </c>
      <c r="M574" s="27">
        <v>0</v>
      </c>
      <c r="N574" s="27">
        <v>66</v>
      </c>
      <c r="O574" s="27">
        <v>3</v>
      </c>
      <c r="P574" s="27">
        <v>2</v>
      </c>
      <c r="Q574" s="27">
        <v>5</v>
      </c>
      <c r="R574" s="27">
        <v>3</v>
      </c>
      <c r="S574" s="27">
        <v>2</v>
      </c>
      <c r="T574" s="27">
        <v>4335</v>
      </c>
      <c r="U574" s="27">
        <v>25549</v>
      </c>
      <c r="V574" s="27">
        <v>4</v>
      </c>
      <c r="W574" s="27">
        <v>0</v>
      </c>
      <c r="X574" s="27">
        <v>12</v>
      </c>
      <c r="Y574" s="27">
        <v>3</v>
      </c>
      <c r="Z574" s="27">
        <v>1</v>
      </c>
      <c r="AA574" s="27">
        <v>80</v>
      </c>
      <c r="AB574" s="27">
        <v>1</v>
      </c>
      <c r="AC574" s="27">
        <v>11</v>
      </c>
      <c r="AD574" s="27">
        <v>3</v>
      </c>
      <c r="AE574" s="27">
        <v>2</v>
      </c>
      <c r="AF574" s="27">
        <v>8</v>
      </c>
      <c r="AG574" s="27">
        <v>7</v>
      </c>
      <c r="AH574" s="27">
        <v>1</v>
      </c>
      <c r="AI574" s="28">
        <v>1</v>
      </c>
      <c r="AK574" s="36">
        <v>541</v>
      </c>
      <c r="AL574" s="33">
        <v>1</v>
      </c>
      <c r="AM574" s="33">
        <v>1</v>
      </c>
      <c r="AN574" s="33">
        <v>2</v>
      </c>
      <c r="AO574" s="33">
        <v>7</v>
      </c>
      <c r="AP574" s="33">
        <v>1</v>
      </c>
      <c r="AQ574" s="33">
        <v>0</v>
      </c>
      <c r="AR574" s="33">
        <v>3</v>
      </c>
      <c r="AS574" s="33">
        <v>7</v>
      </c>
      <c r="AT574" s="33">
        <v>3</v>
      </c>
      <c r="AU574" s="43">
        <v>0.58443081050189472</v>
      </c>
      <c r="AV574" s="33">
        <v>1</v>
      </c>
      <c r="AW574" s="33">
        <v>1</v>
      </c>
      <c r="AY574" s="36">
        <v>546</v>
      </c>
      <c r="AZ574" s="33">
        <v>2</v>
      </c>
      <c r="BA574" s="33">
        <v>4</v>
      </c>
      <c r="BB574" s="33">
        <v>0</v>
      </c>
      <c r="BC574" s="33">
        <v>1</v>
      </c>
      <c r="BD574" s="43">
        <v>5.5093218126976727E-2</v>
      </c>
      <c r="BE574" s="33">
        <v>0</v>
      </c>
      <c r="BF574" s="33">
        <v>0</v>
      </c>
      <c r="CE574" s="36">
        <v>540</v>
      </c>
      <c r="CF574" s="33">
        <v>8</v>
      </c>
      <c r="CG574" s="33">
        <v>1</v>
      </c>
      <c r="CH574" s="33">
        <v>2</v>
      </c>
      <c r="CI574" s="33">
        <v>2</v>
      </c>
      <c r="CJ574" s="33">
        <v>7</v>
      </c>
      <c r="CK574" s="33">
        <v>0</v>
      </c>
      <c r="CL574" s="33">
        <v>1</v>
      </c>
      <c r="CM574" s="33">
        <v>3</v>
      </c>
      <c r="CN574" s="33">
        <v>2</v>
      </c>
      <c r="CO574" s="33">
        <v>2</v>
      </c>
      <c r="CP574" s="43">
        <v>0.22502283914949214</v>
      </c>
      <c r="CQ574" s="33">
        <v>0</v>
      </c>
      <c r="CR574" s="33">
        <v>0</v>
      </c>
    </row>
    <row r="575" spans="1:96" ht="15" customHeight="1" x14ac:dyDescent="0.25">
      <c r="A575" s="26">
        <v>573</v>
      </c>
      <c r="B575" s="27">
        <v>26</v>
      </c>
      <c r="C575" s="27">
        <v>1</v>
      </c>
      <c r="D575" s="27">
        <v>1</v>
      </c>
      <c r="E575" s="27">
        <v>1146</v>
      </c>
      <c r="F575" s="27">
        <v>1</v>
      </c>
      <c r="G575" s="27">
        <v>8</v>
      </c>
      <c r="H575" s="27">
        <v>3</v>
      </c>
      <c r="I575" s="27">
        <v>5</v>
      </c>
      <c r="J575" s="27">
        <v>1</v>
      </c>
      <c r="K575" s="27">
        <v>796</v>
      </c>
      <c r="L575" s="27">
        <v>4</v>
      </c>
      <c r="M575" s="27">
        <v>1</v>
      </c>
      <c r="N575" s="27">
        <v>38</v>
      </c>
      <c r="O575" s="27">
        <v>2</v>
      </c>
      <c r="P575" s="27">
        <v>2</v>
      </c>
      <c r="Q575" s="27">
        <v>1</v>
      </c>
      <c r="R575" s="27">
        <v>1</v>
      </c>
      <c r="S575" s="27">
        <v>1</v>
      </c>
      <c r="T575" s="27">
        <v>5326</v>
      </c>
      <c r="U575" s="27">
        <v>3064</v>
      </c>
      <c r="V575" s="27">
        <v>6</v>
      </c>
      <c r="W575" s="27">
        <v>0</v>
      </c>
      <c r="X575" s="27">
        <v>17</v>
      </c>
      <c r="Y575" s="27">
        <v>3</v>
      </c>
      <c r="Z575" s="27">
        <v>3</v>
      </c>
      <c r="AA575" s="27">
        <v>80</v>
      </c>
      <c r="AB575" s="27">
        <v>0</v>
      </c>
      <c r="AC575" s="27">
        <v>6</v>
      </c>
      <c r="AD575" s="27">
        <v>2</v>
      </c>
      <c r="AE575" s="27">
        <v>2</v>
      </c>
      <c r="AF575" s="27">
        <v>4</v>
      </c>
      <c r="AG575" s="27">
        <v>3</v>
      </c>
      <c r="AH575" s="27">
        <v>1</v>
      </c>
      <c r="AI575" s="28">
        <v>2</v>
      </c>
      <c r="AK575" s="36">
        <v>542</v>
      </c>
      <c r="AL575" s="33">
        <v>8</v>
      </c>
      <c r="AM575" s="33">
        <v>3</v>
      </c>
      <c r="AN575" s="33">
        <v>1</v>
      </c>
      <c r="AO575" s="33">
        <v>9</v>
      </c>
      <c r="AP575" s="33">
        <v>0</v>
      </c>
      <c r="AQ575" s="33">
        <v>1</v>
      </c>
      <c r="AR575" s="33">
        <v>3</v>
      </c>
      <c r="AS575" s="33">
        <v>8</v>
      </c>
      <c r="AT575" s="33">
        <v>0</v>
      </c>
      <c r="AU575" s="43">
        <v>7.4379591998155331E-2</v>
      </c>
      <c r="AV575" s="33">
        <v>0</v>
      </c>
      <c r="AW575" s="33">
        <v>0</v>
      </c>
      <c r="AY575" s="36">
        <v>547</v>
      </c>
      <c r="AZ575" s="33">
        <v>1</v>
      </c>
      <c r="BA575" s="33">
        <v>3</v>
      </c>
      <c r="BB575" s="33">
        <v>0</v>
      </c>
      <c r="BC575" s="33">
        <v>0</v>
      </c>
      <c r="BD575" s="43">
        <v>0.18791247240909698</v>
      </c>
      <c r="BE575" s="33">
        <v>0</v>
      </c>
      <c r="BF575" s="33">
        <v>0</v>
      </c>
      <c r="CE575" s="36">
        <v>541</v>
      </c>
      <c r="CF575" s="33">
        <v>1</v>
      </c>
      <c r="CG575" s="33">
        <v>1</v>
      </c>
      <c r="CH575" s="33">
        <v>2</v>
      </c>
      <c r="CI575" s="33">
        <v>1</v>
      </c>
      <c r="CJ575" s="33">
        <v>7</v>
      </c>
      <c r="CK575" s="33">
        <v>1</v>
      </c>
      <c r="CL575" s="33">
        <v>0</v>
      </c>
      <c r="CM575" s="33">
        <v>3</v>
      </c>
      <c r="CN575" s="33">
        <v>7</v>
      </c>
      <c r="CO575" s="33">
        <v>3</v>
      </c>
      <c r="CP575" s="43">
        <v>0.64020907425923168</v>
      </c>
      <c r="CQ575" s="33">
        <v>1</v>
      </c>
      <c r="CR575" s="33">
        <v>1</v>
      </c>
    </row>
    <row r="576" spans="1:96" ht="15" customHeight="1" x14ac:dyDescent="0.25">
      <c r="A576" s="26">
        <v>574</v>
      </c>
      <c r="B576" s="27">
        <v>34</v>
      </c>
      <c r="C576" s="27">
        <v>0</v>
      </c>
      <c r="D576" s="27">
        <v>1</v>
      </c>
      <c r="E576" s="27">
        <v>182</v>
      </c>
      <c r="F576" s="27">
        <v>2</v>
      </c>
      <c r="G576" s="27">
        <v>1</v>
      </c>
      <c r="H576" s="27">
        <v>4</v>
      </c>
      <c r="I576" s="27">
        <v>1</v>
      </c>
      <c r="J576" s="27">
        <v>1</v>
      </c>
      <c r="K576" s="27">
        <v>797</v>
      </c>
      <c r="L576" s="27">
        <v>2</v>
      </c>
      <c r="M576" s="27">
        <v>0</v>
      </c>
      <c r="N576" s="27">
        <v>72</v>
      </c>
      <c r="O576" s="27">
        <v>4</v>
      </c>
      <c r="P576" s="27">
        <v>1</v>
      </c>
      <c r="Q576" s="27">
        <v>2</v>
      </c>
      <c r="R576" s="27">
        <v>4</v>
      </c>
      <c r="S576" s="27">
        <v>1</v>
      </c>
      <c r="T576" s="27">
        <v>3280</v>
      </c>
      <c r="U576" s="27">
        <v>13551</v>
      </c>
      <c r="V576" s="27">
        <v>2</v>
      </c>
      <c r="W576" s="27">
        <v>0</v>
      </c>
      <c r="X576" s="27">
        <v>16</v>
      </c>
      <c r="Y576" s="27">
        <v>3</v>
      </c>
      <c r="Z576" s="27">
        <v>3</v>
      </c>
      <c r="AA576" s="27">
        <v>80</v>
      </c>
      <c r="AB576" s="27">
        <v>0</v>
      </c>
      <c r="AC576" s="27">
        <v>10</v>
      </c>
      <c r="AD576" s="27">
        <v>2</v>
      </c>
      <c r="AE576" s="27">
        <v>3</v>
      </c>
      <c r="AF576" s="27">
        <v>4</v>
      </c>
      <c r="AG576" s="27">
        <v>2</v>
      </c>
      <c r="AH576" s="27">
        <v>1</v>
      </c>
      <c r="AI576" s="28">
        <v>3</v>
      </c>
      <c r="AK576" s="36">
        <v>543</v>
      </c>
      <c r="AL576" s="33">
        <v>1</v>
      </c>
      <c r="AM576" s="33">
        <v>3</v>
      </c>
      <c r="AN576" s="33">
        <v>3</v>
      </c>
      <c r="AO576" s="33">
        <v>4</v>
      </c>
      <c r="AP576" s="33">
        <v>1</v>
      </c>
      <c r="AQ576" s="33">
        <v>0</v>
      </c>
      <c r="AR576" s="33">
        <v>4</v>
      </c>
      <c r="AS576" s="33">
        <v>1</v>
      </c>
      <c r="AT576" s="33">
        <v>0</v>
      </c>
      <c r="AU576" s="43">
        <v>0.19060042371450092</v>
      </c>
      <c r="AV576" s="33">
        <v>0</v>
      </c>
      <c r="AW576" s="33">
        <v>0</v>
      </c>
      <c r="AY576" s="36">
        <v>548</v>
      </c>
      <c r="AZ576" s="33">
        <v>1</v>
      </c>
      <c r="BA576" s="33">
        <v>3</v>
      </c>
      <c r="BB576" s="33">
        <v>1</v>
      </c>
      <c r="BC576" s="33">
        <v>0</v>
      </c>
      <c r="BD576" s="43">
        <v>0.49727340882350407</v>
      </c>
      <c r="BE576" s="33">
        <v>0</v>
      </c>
      <c r="BF576" s="33">
        <v>1</v>
      </c>
      <c r="CE576" s="36">
        <v>542</v>
      </c>
      <c r="CF576" s="33">
        <v>8</v>
      </c>
      <c r="CG576" s="33">
        <v>3</v>
      </c>
      <c r="CH576" s="33">
        <v>1</v>
      </c>
      <c r="CI576" s="33">
        <v>2</v>
      </c>
      <c r="CJ576" s="33">
        <v>9</v>
      </c>
      <c r="CK576" s="33">
        <v>0</v>
      </c>
      <c r="CL576" s="33">
        <v>1</v>
      </c>
      <c r="CM576" s="33">
        <v>3</v>
      </c>
      <c r="CN576" s="33">
        <v>8</v>
      </c>
      <c r="CO576" s="33">
        <v>0</v>
      </c>
      <c r="CP576" s="43">
        <v>7.5564463347569014E-2</v>
      </c>
      <c r="CQ576" s="33">
        <v>0</v>
      </c>
      <c r="CR576" s="33">
        <v>0</v>
      </c>
    </row>
    <row r="577" spans="1:96" ht="15" customHeight="1" x14ac:dyDescent="0.25">
      <c r="A577" s="26">
        <v>575</v>
      </c>
      <c r="B577" s="27">
        <v>54</v>
      </c>
      <c r="C577" s="27">
        <v>0</v>
      </c>
      <c r="D577" s="27">
        <v>1</v>
      </c>
      <c r="E577" s="27">
        <v>376</v>
      </c>
      <c r="F577" s="27">
        <v>2</v>
      </c>
      <c r="G577" s="27">
        <v>19</v>
      </c>
      <c r="H577" s="27">
        <v>4</v>
      </c>
      <c r="I577" s="27">
        <v>3</v>
      </c>
      <c r="J577" s="27">
        <v>1</v>
      </c>
      <c r="K577" s="27">
        <v>799</v>
      </c>
      <c r="L577" s="27">
        <v>4</v>
      </c>
      <c r="M577" s="27">
        <v>0</v>
      </c>
      <c r="N577" s="27">
        <v>95</v>
      </c>
      <c r="O577" s="27">
        <v>3</v>
      </c>
      <c r="P577" s="27">
        <v>2</v>
      </c>
      <c r="Q577" s="27">
        <v>4</v>
      </c>
      <c r="R577" s="27">
        <v>1</v>
      </c>
      <c r="S577" s="27">
        <v>3</v>
      </c>
      <c r="T577" s="27">
        <v>5485</v>
      </c>
      <c r="U577" s="27">
        <v>22670</v>
      </c>
      <c r="V577" s="27">
        <v>9</v>
      </c>
      <c r="W577" s="27">
        <v>1</v>
      </c>
      <c r="X577" s="27">
        <v>11</v>
      </c>
      <c r="Y577" s="27">
        <v>3</v>
      </c>
      <c r="Z577" s="27">
        <v>2</v>
      </c>
      <c r="AA577" s="27">
        <v>80</v>
      </c>
      <c r="AB577" s="27">
        <v>2</v>
      </c>
      <c r="AC577" s="27">
        <v>9</v>
      </c>
      <c r="AD577" s="27">
        <v>4</v>
      </c>
      <c r="AE577" s="27">
        <v>3</v>
      </c>
      <c r="AF577" s="27">
        <v>5</v>
      </c>
      <c r="AG577" s="27">
        <v>3</v>
      </c>
      <c r="AH577" s="27">
        <v>1</v>
      </c>
      <c r="AI577" s="28">
        <v>4</v>
      </c>
      <c r="AK577" s="36">
        <v>544</v>
      </c>
      <c r="AL577" s="33">
        <v>24</v>
      </c>
      <c r="AM577" s="33">
        <v>1</v>
      </c>
      <c r="AN577" s="33">
        <v>3</v>
      </c>
      <c r="AO577" s="33">
        <v>2</v>
      </c>
      <c r="AP577" s="33">
        <v>0</v>
      </c>
      <c r="AQ577" s="33">
        <v>0</v>
      </c>
      <c r="AR577" s="33">
        <v>3</v>
      </c>
      <c r="AS577" s="33">
        <v>5</v>
      </c>
      <c r="AT577" s="33">
        <v>1</v>
      </c>
      <c r="AU577" s="43">
        <v>0.23955682128764544</v>
      </c>
      <c r="AV577" s="33">
        <v>0</v>
      </c>
      <c r="AW577" s="33">
        <v>0</v>
      </c>
      <c r="AY577" s="36">
        <v>549</v>
      </c>
      <c r="AZ577" s="33">
        <v>2</v>
      </c>
      <c r="BA577" s="33">
        <v>4</v>
      </c>
      <c r="BB577" s="33">
        <v>0</v>
      </c>
      <c r="BC577" s="33">
        <v>1</v>
      </c>
      <c r="BD577" s="43">
        <v>5.5093218126976727E-2</v>
      </c>
      <c r="BE577" s="33">
        <v>0</v>
      </c>
      <c r="BF577" s="33">
        <v>0</v>
      </c>
      <c r="CE577" s="36">
        <v>543</v>
      </c>
      <c r="CF577" s="33">
        <v>1</v>
      </c>
      <c r="CG577" s="33">
        <v>3</v>
      </c>
      <c r="CH577" s="33">
        <v>3</v>
      </c>
      <c r="CI577" s="33">
        <v>1</v>
      </c>
      <c r="CJ577" s="33">
        <v>4</v>
      </c>
      <c r="CK577" s="33">
        <v>1</v>
      </c>
      <c r="CL577" s="33">
        <v>0</v>
      </c>
      <c r="CM577" s="33">
        <v>4</v>
      </c>
      <c r="CN577" s="33">
        <v>1</v>
      </c>
      <c r="CO577" s="33">
        <v>0</v>
      </c>
      <c r="CP577" s="43">
        <v>0.2256259529762821</v>
      </c>
      <c r="CQ577" s="33">
        <v>0</v>
      </c>
      <c r="CR577" s="33">
        <v>0</v>
      </c>
    </row>
    <row r="578" spans="1:96" ht="15" customHeight="1" x14ac:dyDescent="0.25">
      <c r="A578" s="26">
        <v>576</v>
      </c>
      <c r="B578" s="27">
        <v>27</v>
      </c>
      <c r="C578" s="27">
        <v>0</v>
      </c>
      <c r="D578" s="27">
        <v>2</v>
      </c>
      <c r="E578" s="27">
        <v>829</v>
      </c>
      <c r="F578" s="27">
        <v>1</v>
      </c>
      <c r="G578" s="27">
        <v>8</v>
      </c>
      <c r="H578" s="27">
        <v>1</v>
      </c>
      <c r="I578" s="27">
        <v>4</v>
      </c>
      <c r="J578" s="27">
        <v>1</v>
      </c>
      <c r="K578" s="27">
        <v>800</v>
      </c>
      <c r="L578" s="27">
        <v>3</v>
      </c>
      <c r="M578" s="27">
        <v>1</v>
      </c>
      <c r="N578" s="27">
        <v>84</v>
      </c>
      <c r="O578" s="27">
        <v>3</v>
      </c>
      <c r="P578" s="27">
        <v>2</v>
      </c>
      <c r="Q578" s="27">
        <v>1</v>
      </c>
      <c r="R578" s="27">
        <v>4</v>
      </c>
      <c r="S578" s="27">
        <v>2</v>
      </c>
      <c r="T578" s="27">
        <v>4342</v>
      </c>
      <c r="U578" s="27">
        <v>24008</v>
      </c>
      <c r="V578" s="27">
        <v>0</v>
      </c>
      <c r="W578" s="27">
        <v>0</v>
      </c>
      <c r="X578" s="27">
        <v>19</v>
      </c>
      <c r="Y578" s="27">
        <v>3</v>
      </c>
      <c r="Z578" s="27">
        <v>2</v>
      </c>
      <c r="AA578" s="27">
        <v>80</v>
      </c>
      <c r="AB578" s="27">
        <v>1</v>
      </c>
      <c r="AC578" s="27">
        <v>5</v>
      </c>
      <c r="AD578" s="27">
        <v>3</v>
      </c>
      <c r="AE578" s="27">
        <v>3</v>
      </c>
      <c r="AF578" s="27">
        <v>4</v>
      </c>
      <c r="AG578" s="27">
        <v>2</v>
      </c>
      <c r="AH578" s="27">
        <v>1</v>
      </c>
      <c r="AI578" s="28">
        <v>1</v>
      </c>
      <c r="AK578" s="36">
        <v>545</v>
      </c>
      <c r="AL578" s="33">
        <v>3</v>
      </c>
      <c r="AM578" s="33">
        <v>4</v>
      </c>
      <c r="AN578" s="33">
        <v>3</v>
      </c>
      <c r="AO578" s="33">
        <v>9</v>
      </c>
      <c r="AP578" s="33">
        <v>1</v>
      </c>
      <c r="AQ578" s="33">
        <v>2</v>
      </c>
      <c r="AR578" s="33">
        <v>2</v>
      </c>
      <c r="AS578" s="33">
        <v>22</v>
      </c>
      <c r="AT578" s="33">
        <v>11</v>
      </c>
      <c r="AU578" s="43">
        <v>7.9655992269832387E-2</v>
      </c>
      <c r="AV578" s="33">
        <v>0</v>
      </c>
      <c r="AW578" s="33">
        <v>0</v>
      </c>
      <c r="AY578" s="36">
        <v>550</v>
      </c>
      <c r="AZ578" s="33">
        <v>2</v>
      </c>
      <c r="BA578" s="33">
        <v>3</v>
      </c>
      <c r="BB578" s="33">
        <v>0</v>
      </c>
      <c r="BC578" s="33">
        <v>0</v>
      </c>
      <c r="BD578" s="43">
        <v>0.11690772887050198</v>
      </c>
      <c r="BE578" s="33">
        <v>0</v>
      </c>
      <c r="BF578" s="33">
        <v>0</v>
      </c>
      <c r="CE578" s="36">
        <v>544</v>
      </c>
      <c r="CF578" s="33">
        <v>24</v>
      </c>
      <c r="CG578" s="33">
        <v>1</v>
      </c>
      <c r="CH578" s="33">
        <v>3</v>
      </c>
      <c r="CI578" s="33">
        <v>1</v>
      </c>
      <c r="CJ578" s="33">
        <v>2</v>
      </c>
      <c r="CK578" s="33">
        <v>0</v>
      </c>
      <c r="CL578" s="33">
        <v>0</v>
      </c>
      <c r="CM578" s="33">
        <v>3</v>
      </c>
      <c r="CN578" s="33">
        <v>5</v>
      </c>
      <c r="CO578" s="33">
        <v>1</v>
      </c>
      <c r="CP578" s="43">
        <v>0.26928370277619723</v>
      </c>
      <c r="CQ578" s="33">
        <v>0</v>
      </c>
      <c r="CR578" s="33">
        <v>0</v>
      </c>
    </row>
    <row r="579" spans="1:96" ht="15" customHeight="1" x14ac:dyDescent="0.25">
      <c r="A579" s="26">
        <v>577</v>
      </c>
      <c r="B579" s="27">
        <v>37</v>
      </c>
      <c r="C579" s="27">
        <v>0</v>
      </c>
      <c r="D579" s="27">
        <v>1</v>
      </c>
      <c r="E579" s="27">
        <v>571</v>
      </c>
      <c r="F579" s="27">
        <v>2</v>
      </c>
      <c r="G579" s="27">
        <v>10</v>
      </c>
      <c r="H579" s="27">
        <v>1</v>
      </c>
      <c r="I579" s="27">
        <v>1</v>
      </c>
      <c r="J579" s="27">
        <v>1</v>
      </c>
      <c r="K579" s="27">
        <v>802</v>
      </c>
      <c r="L579" s="27">
        <v>4</v>
      </c>
      <c r="M579" s="27">
        <v>0</v>
      </c>
      <c r="N579" s="27">
        <v>82</v>
      </c>
      <c r="O579" s="27">
        <v>3</v>
      </c>
      <c r="P579" s="27">
        <v>1</v>
      </c>
      <c r="Q579" s="27">
        <v>2</v>
      </c>
      <c r="R579" s="27">
        <v>1</v>
      </c>
      <c r="S579" s="27">
        <v>3</v>
      </c>
      <c r="T579" s="27">
        <v>2782</v>
      </c>
      <c r="U579" s="27">
        <v>19905</v>
      </c>
      <c r="V579" s="27">
        <v>0</v>
      </c>
      <c r="W579" s="27">
        <v>1</v>
      </c>
      <c r="X579" s="27">
        <v>13</v>
      </c>
      <c r="Y579" s="27">
        <v>3</v>
      </c>
      <c r="Z579" s="27">
        <v>2</v>
      </c>
      <c r="AA579" s="27">
        <v>80</v>
      </c>
      <c r="AB579" s="27">
        <v>2</v>
      </c>
      <c r="AC579" s="27">
        <v>6</v>
      </c>
      <c r="AD579" s="27">
        <v>3</v>
      </c>
      <c r="AE579" s="27">
        <v>2</v>
      </c>
      <c r="AF579" s="27">
        <v>5</v>
      </c>
      <c r="AG579" s="27">
        <v>3</v>
      </c>
      <c r="AH579" s="27">
        <v>4</v>
      </c>
      <c r="AI579" s="28">
        <v>3</v>
      </c>
      <c r="AK579" s="36">
        <v>546</v>
      </c>
      <c r="AL579" s="33">
        <v>27</v>
      </c>
      <c r="AM579" s="33">
        <v>2</v>
      </c>
      <c r="AN579" s="33">
        <v>4</v>
      </c>
      <c r="AO579" s="33">
        <v>7</v>
      </c>
      <c r="AP579" s="33">
        <v>0</v>
      </c>
      <c r="AQ579" s="33">
        <v>1</v>
      </c>
      <c r="AR579" s="33">
        <v>2</v>
      </c>
      <c r="AS579" s="33">
        <v>8</v>
      </c>
      <c r="AT579" s="33">
        <v>7</v>
      </c>
      <c r="AU579" s="43">
        <v>0.20608605002828684</v>
      </c>
      <c r="AV579" s="33">
        <v>0</v>
      </c>
      <c r="AW579" s="33">
        <v>0</v>
      </c>
      <c r="AY579" s="36">
        <v>551</v>
      </c>
      <c r="AZ579" s="33">
        <v>1</v>
      </c>
      <c r="BA579" s="33">
        <v>1</v>
      </c>
      <c r="BB579" s="33">
        <v>0</v>
      </c>
      <c r="BC579" s="33">
        <v>1</v>
      </c>
      <c r="BD579" s="43">
        <v>0.19678474515944386</v>
      </c>
      <c r="BE579" s="33">
        <v>0</v>
      </c>
      <c r="BF579" s="33">
        <v>0</v>
      </c>
      <c r="CE579" s="36">
        <v>545</v>
      </c>
      <c r="CF579" s="33">
        <v>3</v>
      </c>
      <c r="CG579" s="33">
        <v>4</v>
      </c>
      <c r="CH579" s="33">
        <v>3</v>
      </c>
      <c r="CI579" s="33">
        <v>3</v>
      </c>
      <c r="CJ579" s="33">
        <v>9</v>
      </c>
      <c r="CK579" s="33">
        <v>1</v>
      </c>
      <c r="CL579" s="33">
        <v>2</v>
      </c>
      <c r="CM579" s="33">
        <v>2</v>
      </c>
      <c r="CN579" s="33">
        <v>22</v>
      </c>
      <c r="CO579" s="33">
        <v>11</v>
      </c>
      <c r="CP579" s="43">
        <v>7.0340503144285083E-2</v>
      </c>
      <c r="CQ579" s="33">
        <v>0</v>
      </c>
      <c r="CR579" s="33">
        <v>0</v>
      </c>
    </row>
    <row r="580" spans="1:96" ht="15" customHeight="1" x14ac:dyDescent="0.25">
      <c r="A580" s="26">
        <v>578</v>
      </c>
      <c r="B580" s="27">
        <v>38</v>
      </c>
      <c r="C580" s="27">
        <v>0</v>
      </c>
      <c r="D580" s="27">
        <v>2</v>
      </c>
      <c r="E580" s="27">
        <v>240</v>
      </c>
      <c r="F580" s="27">
        <v>2</v>
      </c>
      <c r="G580" s="27">
        <v>2</v>
      </c>
      <c r="H580" s="27">
        <v>4</v>
      </c>
      <c r="I580" s="27">
        <v>1</v>
      </c>
      <c r="J580" s="27">
        <v>1</v>
      </c>
      <c r="K580" s="27">
        <v>803</v>
      </c>
      <c r="L580" s="27">
        <v>1</v>
      </c>
      <c r="M580" s="27">
        <v>0</v>
      </c>
      <c r="N580" s="27">
        <v>75</v>
      </c>
      <c r="O580" s="27">
        <v>4</v>
      </c>
      <c r="P580" s="27">
        <v>2</v>
      </c>
      <c r="Q580" s="27">
        <v>4</v>
      </c>
      <c r="R580" s="27">
        <v>1</v>
      </c>
      <c r="S580" s="27">
        <v>1</v>
      </c>
      <c r="T580" s="27">
        <v>5980</v>
      </c>
      <c r="U580" s="27">
        <v>26085</v>
      </c>
      <c r="V580" s="27">
        <v>6</v>
      </c>
      <c r="W580" s="27">
        <v>1</v>
      </c>
      <c r="X580" s="27">
        <v>12</v>
      </c>
      <c r="Y580" s="27">
        <v>3</v>
      </c>
      <c r="Z580" s="27">
        <v>4</v>
      </c>
      <c r="AA580" s="27">
        <v>80</v>
      </c>
      <c r="AB580" s="27">
        <v>0</v>
      </c>
      <c r="AC580" s="27">
        <v>17</v>
      </c>
      <c r="AD580" s="27">
        <v>2</v>
      </c>
      <c r="AE580" s="27">
        <v>3</v>
      </c>
      <c r="AF580" s="27">
        <v>15</v>
      </c>
      <c r="AG580" s="27">
        <v>7</v>
      </c>
      <c r="AH580" s="27">
        <v>4</v>
      </c>
      <c r="AI580" s="28">
        <v>12</v>
      </c>
      <c r="AK580" s="36">
        <v>547</v>
      </c>
      <c r="AL580" s="33">
        <v>10</v>
      </c>
      <c r="AM580" s="33">
        <v>1</v>
      </c>
      <c r="AN580" s="33">
        <v>3</v>
      </c>
      <c r="AO580" s="33">
        <v>1</v>
      </c>
      <c r="AP580" s="33">
        <v>0</v>
      </c>
      <c r="AQ580" s="33">
        <v>0</v>
      </c>
      <c r="AR580" s="33">
        <v>3</v>
      </c>
      <c r="AS580" s="33">
        <v>1</v>
      </c>
      <c r="AT580" s="33">
        <v>0</v>
      </c>
      <c r="AU580" s="43">
        <v>0.17727317063985706</v>
      </c>
      <c r="AV580" s="33">
        <v>0</v>
      </c>
      <c r="AW580" s="33">
        <v>0</v>
      </c>
      <c r="AY580" s="36">
        <v>552</v>
      </c>
      <c r="AZ580" s="33">
        <v>2</v>
      </c>
      <c r="BA580" s="33">
        <v>2</v>
      </c>
      <c r="BB580" s="33">
        <v>0</v>
      </c>
      <c r="BC580" s="33">
        <v>1</v>
      </c>
      <c r="BD580" s="43">
        <v>9.4721355311452843E-2</v>
      </c>
      <c r="BE580" s="33">
        <v>0</v>
      </c>
      <c r="BF580" s="33">
        <v>0</v>
      </c>
      <c r="CE580" s="36">
        <v>546</v>
      </c>
      <c r="CF580" s="33">
        <v>27</v>
      </c>
      <c r="CG580" s="33">
        <v>2</v>
      </c>
      <c r="CH580" s="33">
        <v>4</v>
      </c>
      <c r="CI580" s="33">
        <v>3</v>
      </c>
      <c r="CJ580" s="33">
        <v>7</v>
      </c>
      <c r="CK580" s="33">
        <v>0</v>
      </c>
      <c r="CL580" s="33">
        <v>1</v>
      </c>
      <c r="CM580" s="33">
        <v>2</v>
      </c>
      <c r="CN580" s="33">
        <v>8</v>
      </c>
      <c r="CO580" s="33">
        <v>7</v>
      </c>
      <c r="CP580" s="43">
        <v>0.12744346611875204</v>
      </c>
      <c r="CQ580" s="33">
        <v>0</v>
      </c>
      <c r="CR580" s="33">
        <v>0</v>
      </c>
    </row>
    <row r="581" spans="1:96" ht="15" customHeight="1" x14ac:dyDescent="0.25">
      <c r="A581" s="26">
        <v>579</v>
      </c>
      <c r="B581" s="27">
        <v>34</v>
      </c>
      <c r="C581" s="27">
        <v>0</v>
      </c>
      <c r="D581" s="27">
        <v>1</v>
      </c>
      <c r="E581" s="27">
        <v>121</v>
      </c>
      <c r="F581" s="27">
        <v>2</v>
      </c>
      <c r="G581" s="27">
        <v>2</v>
      </c>
      <c r="H581" s="27">
        <v>4</v>
      </c>
      <c r="I581" s="27">
        <v>3</v>
      </c>
      <c r="J581" s="27">
        <v>1</v>
      </c>
      <c r="K581" s="27">
        <v>804</v>
      </c>
      <c r="L581" s="27">
        <v>3</v>
      </c>
      <c r="M581" s="27">
        <v>0</v>
      </c>
      <c r="N581" s="27">
        <v>86</v>
      </c>
      <c r="O581" s="27">
        <v>2</v>
      </c>
      <c r="P581" s="27">
        <v>1</v>
      </c>
      <c r="Q581" s="27">
        <v>2</v>
      </c>
      <c r="R581" s="27">
        <v>1</v>
      </c>
      <c r="S581" s="27">
        <v>1</v>
      </c>
      <c r="T581" s="27">
        <v>4381</v>
      </c>
      <c r="U581" s="27">
        <v>7530</v>
      </c>
      <c r="V581" s="27">
        <v>1</v>
      </c>
      <c r="W581" s="27">
        <v>0</v>
      </c>
      <c r="X581" s="27">
        <v>11</v>
      </c>
      <c r="Y581" s="27">
        <v>3</v>
      </c>
      <c r="Z581" s="27">
        <v>3</v>
      </c>
      <c r="AA581" s="27">
        <v>80</v>
      </c>
      <c r="AB581" s="27">
        <v>0</v>
      </c>
      <c r="AC581" s="27">
        <v>6</v>
      </c>
      <c r="AD581" s="27">
        <v>3</v>
      </c>
      <c r="AE581" s="27">
        <v>3</v>
      </c>
      <c r="AF581" s="27">
        <v>6</v>
      </c>
      <c r="AG581" s="27">
        <v>5</v>
      </c>
      <c r="AH581" s="27">
        <v>1</v>
      </c>
      <c r="AI581" s="28">
        <v>3</v>
      </c>
      <c r="AK581" s="36">
        <v>548</v>
      </c>
      <c r="AL581" s="33">
        <v>19</v>
      </c>
      <c r="AM581" s="33">
        <v>1</v>
      </c>
      <c r="AN581" s="33">
        <v>3</v>
      </c>
      <c r="AO581" s="33">
        <v>6</v>
      </c>
      <c r="AP581" s="33">
        <v>1</v>
      </c>
      <c r="AQ581" s="33">
        <v>0</v>
      </c>
      <c r="AR581" s="33">
        <v>3</v>
      </c>
      <c r="AS581" s="33">
        <v>2</v>
      </c>
      <c r="AT581" s="33">
        <v>2</v>
      </c>
      <c r="AU581" s="43">
        <v>0.69372787544021319</v>
      </c>
      <c r="AV581" s="33">
        <v>1</v>
      </c>
      <c r="AW581" s="33">
        <v>1</v>
      </c>
      <c r="AY581" s="36">
        <v>553</v>
      </c>
      <c r="AZ581" s="33">
        <v>4</v>
      </c>
      <c r="BA581" s="33">
        <v>4</v>
      </c>
      <c r="BB581" s="33">
        <v>0</v>
      </c>
      <c r="BC581" s="33">
        <v>0</v>
      </c>
      <c r="BD581" s="43">
        <v>3.1333013053779842E-2</v>
      </c>
      <c r="BE581" s="33">
        <v>0</v>
      </c>
      <c r="BF581" s="33">
        <v>0</v>
      </c>
      <c r="CE581" s="36">
        <v>547</v>
      </c>
      <c r="CF581" s="33">
        <v>10</v>
      </c>
      <c r="CG581" s="33">
        <v>1</v>
      </c>
      <c r="CH581" s="33">
        <v>3</v>
      </c>
      <c r="CI581" s="33">
        <v>1</v>
      </c>
      <c r="CJ581" s="33">
        <v>1</v>
      </c>
      <c r="CK581" s="33">
        <v>0</v>
      </c>
      <c r="CL581" s="33">
        <v>0</v>
      </c>
      <c r="CM581" s="33">
        <v>3</v>
      </c>
      <c r="CN581" s="33">
        <v>1</v>
      </c>
      <c r="CO581" s="33">
        <v>0</v>
      </c>
      <c r="CP581" s="43">
        <v>0.20163143295254471</v>
      </c>
      <c r="CQ581" s="33">
        <v>0</v>
      </c>
      <c r="CR581" s="33">
        <v>0</v>
      </c>
    </row>
    <row r="582" spans="1:96" ht="15" customHeight="1" x14ac:dyDescent="0.25">
      <c r="A582" s="26">
        <v>580</v>
      </c>
      <c r="B582" s="27">
        <v>35</v>
      </c>
      <c r="C582" s="27">
        <v>0</v>
      </c>
      <c r="D582" s="27">
        <v>1</v>
      </c>
      <c r="E582" s="27">
        <v>384</v>
      </c>
      <c r="F582" s="27">
        <v>1</v>
      </c>
      <c r="G582" s="27">
        <v>8</v>
      </c>
      <c r="H582" s="27">
        <v>4</v>
      </c>
      <c r="I582" s="27">
        <v>1</v>
      </c>
      <c r="J582" s="27">
        <v>1</v>
      </c>
      <c r="K582" s="27">
        <v>805</v>
      </c>
      <c r="L582" s="27">
        <v>1</v>
      </c>
      <c r="M582" s="27">
        <v>0</v>
      </c>
      <c r="N582" s="27">
        <v>72</v>
      </c>
      <c r="O582" s="27">
        <v>3</v>
      </c>
      <c r="P582" s="27">
        <v>1</v>
      </c>
      <c r="Q582" s="27">
        <v>7</v>
      </c>
      <c r="R582" s="27">
        <v>4</v>
      </c>
      <c r="S582" s="27">
        <v>2</v>
      </c>
      <c r="T582" s="27">
        <v>2572</v>
      </c>
      <c r="U582" s="27">
        <v>20317</v>
      </c>
      <c r="V582" s="27">
        <v>1</v>
      </c>
      <c r="W582" s="27">
        <v>0</v>
      </c>
      <c r="X582" s="27">
        <v>16</v>
      </c>
      <c r="Y582" s="27">
        <v>3</v>
      </c>
      <c r="Z582" s="27">
        <v>2</v>
      </c>
      <c r="AA582" s="27">
        <v>80</v>
      </c>
      <c r="AB582" s="27">
        <v>1</v>
      </c>
      <c r="AC582" s="27">
        <v>3</v>
      </c>
      <c r="AD582" s="27">
        <v>1</v>
      </c>
      <c r="AE582" s="27">
        <v>2</v>
      </c>
      <c r="AF582" s="27">
        <v>3</v>
      </c>
      <c r="AG582" s="27">
        <v>2</v>
      </c>
      <c r="AH582" s="27">
        <v>0</v>
      </c>
      <c r="AI582" s="28">
        <v>2</v>
      </c>
      <c r="AK582" s="36">
        <v>549</v>
      </c>
      <c r="AL582" s="33">
        <v>15</v>
      </c>
      <c r="AM582" s="33">
        <v>2</v>
      </c>
      <c r="AN582" s="33">
        <v>4</v>
      </c>
      <c r="AO582" s="33">
        <v>3</v>
      </c>
      <c r="AP582" s="33">
        <v>0</v>
      </c>
      <c r="AQ582" s="33">
        <v>1</v>
      </c>
      <c r="AR582" s="33">
        <v>3</v>
      </c>
      <c r="AS582" s="33">
        <v>2</v>
      </c>
      <c r="AT582" s="33">
        <v>2</v>
      </c>
      <c r="AU582" s="43">
        <v>7.9079871286825323E-2</v>
      </c>
      <c r="AV582" s="33">
        <v>0</v>
      </c>
      <c r="AW582" s="33">
        <v>0</v>
      </c>
      <c r="AY582" s="36">
        <v>554</v>
      </c>
      <c r="AZ582" s="33">
        <v>1</v>
      </c>
      <c r="BA582" s="33">
        <v>4</v>
      </c>
      <c r="BB582" s="33">
        <v>1</v>
      </c>
      <c r="BC582" s="33">
        <v>0</v>
      </c>
      <c r="BD582" s="43">
        <v>0.42475472169672474</v>
      </c>
      <c r="BE582" s="33">
        <v>0</v>
      </c>
      <c r="BF582" s="33">
        <v>0</v>
      </c>
      <c r="CE582" s="36">
        <v>548</v>
      </c>
      <c r="CF582" s="33">
        <v>19</v>
      </c>
      <c r="CG582" s="33">
        <v>1</v>
      </c>
      <c r="CH582" s="33">
        <v>3</v>
      </c>
      <c r="CI582" s="33">
        <v>3</v>
      </c>
      <c r="CJ582" s="33">
        <v>6</v>
      </c>
      <c r="CK582" s="33">
        <v>1</v>
      </c>
      <c r="CL582" s="33">
        <v>0</v>
      </c>
      <c r="CM582" s="33">
        <v>3</v>
      </c>
      <c r="CN582" s="33">
        <v>2</v>
      </c>
      <c r="CO582" s="33">
        <v>2</v>
      </c>
      <c r="CP582" s="43">
        <v>0.47966353840794973</v>
      </c>
      <c r="CQ582" s="33">
        <v>0</v>
      </c>
      <c r="CR582" s="33">
        <v>1</v>
      </c>
    </row>
    <row r="583" spans="1:96" ht="15" customHeight="1" x14ac:dyDescent="0.25">
      <c r="A583" s="26">
        <v>581</v>
      </c>
      <c r="B583" s="27">
        <v>30</v>
      </c>
      <c r="C583" s="27">
        <v>0</v>
      </c>
      <c r="D583" s="27">
        <v>1</v>
      </c>
      <c r="E583" s="27">
        <v>921</v>
      </c>
      <c r="F583" s="27">
        <v>2</v>
      </c>
      <c r="G583" s="27">
        <v>1</v>
      </c>
      <c r="H583" s="27">
        <v>3</v>
      </c>
      <c r="I583" s="27">
        <v>1</v>
      </c>
      <c r="J583" s="27">
        <v>1</v>
      </c>
      <c r="K583" s="27">
        <v>806</v>
      </c>
      <c r="L583" s="27">
        <v>4</v>
      </c>
      <c r="M583" s="27">
        <v>1</v>
      </c>
      <c r="N583" s="27">
        <v>38</v>
      </c>
      <c r="O583" s="27">
        <v>1</v>
      </c>
      <c r="P583" s="27">
        <v>1</v>
      </c>
      <c r="Q583" s="27">
        <v>3</v>
      </c>
      <c r="R583" s="27">
        <v>3</v>
      </c>
      <c r="S583" s="27">
        <v>2</v>
      </c>
      <c r="T583" s="27">
        <v>3833</v>
      </c>
      <c r="U583" s="27">
        <v>24375</v>
      </c>
      <c r="V583" s="27">
        <v>3</v>
      </c>
      <c r="W583" s="27">
        <v>0</v>
      </c>
      <c r="X583" s="27">
        <v>21</v>
      </c>
      <c r="Y583" s="27">
        <v>4</v>
      </c>
      <c r="Z583" s="27">
        <v>3</v>
      </c>
      <c r="AA583" s="27">
        <v>80</v>
      </c>
      <c r="AB583" s="27">
        <v>2</v>
      </c>
      <c r="AC583" s="27">
        <v>7</v>
      </c>
      <c r="AD583" s="27">
        <v>2</v>
      </c>
      <c r="AE583" s="27">
        <v>3</v>
      </c>
      <c r="AF583" s="27">
        <v>2</v>
      </c>
      <c r="AG583" s="27">
        <v>2</v>
      </c>
      <c r="AH583" s="27">
        <v>0</v>
      </c>
      <c r="AI583" s="28">
        <v>2</v>
      </c>
      <c r="AK583" s="36">
        <v>550</v>
      </c>
      <c r="AL583" s="33">
        <v>8</v>
      </c>
      <c r="AM583" s="33">
        <v>2</v>
      </c>
      <c r="AN583" s="33">
        <v>3</v>
      </c>
      <c r="AO583" s="33">
        <v>3</v>
      </c>
      <c r="AP583" s="33">
        <v>0</v>
      </c>
      <c r="AQ583" s="33">
        <v>0</v>
      </c>
      <c r="AR583" s="33">
        <v>3</v>
      </c>
      <c r="AS583" s="33">
        <v>5</v>
      </c>
      <c r="AT583" s="33">
        <v>4</v>
      </c>
      <c r="AU583" s="43">
        <v>0.13933354120198987</v>
      </c>
      <c r="AV583" s="33">
        <v>0</v>
      </c>
      <c r="AW583" s="33">
        <v>0</v>
      </c>
      <c r="AY583" s="36">
        <v>555</v>
      </c>
      <c r="AZ583" s="33">
        <v>2</v>
      </c>
      <c r="BA583" s="33">
        <v>1</v>
      </c>
      <c r="BB583" s="33">
        <v>0</v>
      </c>
      <c r="BC583" s="33">
        <v>0</v>
      </c>
      <c r="BD583" s="43">
        <v>0.19196561144667343</v>
      </c>
      <c r="BE583" s="33">
        <v>0</v>
      </c>
      <c r="BF583" s="33">
        <v>0</v>
      </c>
      <c r="CE583" s="36">
        <v>549</v>
      </c>
      <c r="CF583" s="33">
        <v>15</v>
      </c>
      <c r="CG583" s="33">
        <v>2</v>
      </c>
      <c r="CH583" s="33">
        <v>4</v>
      </c>
      <c r="CI583" s="33">
        <v>2</v>
      </c>
      <c r="CJ583" s="33">
        <v>3</v>
      </c>
      <c r="CK583" s="33">
        <v>0</v>
      </c>
      <c r="CL583" s="33">
        <v>1</v>
      </c>
      <c r="CM583" s="33">
        <v>3</v>
      </c>
      <c r="CN583" s="33">
        <v>2</v>
      </c>
      <c r="CO583" s="33">
        <v>2</v>
      </c>
      <c r="CP583" s="43">
        <v>7.5415943299577265E-2</v>
      </c>
      <c r="CQ583" s="33">
        <v>0</v>
      </c>
      <c r="CR583" s="33">
        <v>0</v>
      </c>
    </row>
    <row r="584" spans="1:96" ht="15" customHeight="1" x14ac:dyDescent="0.25">
      <c r="A584" s="26">
        <v>582</v>
      </c>
      <c r="B584" s="27">
        <v>40</v>
      </c>
      <c r="C584" s="27">
        <v>0</v>
      </c>
      <c r="D584" s="27">
        <v>2</v>
      </c>
      <c r="E584" s="27">
        <v>791</v>
      </c>
      <c r="F584" s="27">
        <v>2</v>
      </c>
      <c r="G584" s="27">
        <v>2</v>
      </c>
      <c r="H584" s="27">
        <v>2</v>
      </c>
      <c r="I584" s="27">
        <v>3</v>
      </c>
      <c r="J584" s="27">
        <v>1</v>
      </c>
      <c r="K584" s="27">
        <v>807</v>
      </c>
      <c r="L584" s="27">
        <v>3</v>
      </c>
      <c r="M584" s="27">
        <v>0</v>
      </c>
      <c r="N584" s="27">
        <v>38</v>
      </c>
      <c r="O584" s="27">
        <v>4</v>
      </c>
      <c r="P584" s="27">
        <v>2</v>
      </c>
      <c r="Q584" s="27">
        <v>5</v>
      </c>
      <c r="R584" s="27">
        <v>2</v>
      </c>
      <c r="S584" s="27">
        <v>2</v>
      </c>
      <c r="T584" s="27">
        <v>4244</v>
      </c>
      <c r="U584" s="27">
        <v>9931</v>
      </c>
      <c r="V584" s="27">
        <v>1</v>
      </c>
      <c r="W584" s="27">
        <v>0</v>
      </c>
      <c r="X584" s="27">
        <v>24</v>
      </c>
      <c r="Y584" s="27">
        <v>4</v>
      </c>
      <c r="Z584" s="27">
        <v>4</v>
      </c>
      <c r="AA584" s="27">
        <v>80</v>
      </c>
      <c r="AB584" s="27">
        <v>1</v>
      </c>
      <c r="AC584" s="27">
        <v>8</v>
      </c>
      <c r="AD584" s="27">
        <v>2</v>
      </c>
      <c r="AE584" s="27">
        <v>3</v>
      </c>
      <c r="AF584" s="27">
        <v>8</v>
      </c>
      <c r="AG584" s="27">
        <v>7</v>
      </c>
      <c r="AH584" s="27">
        <v>3</v>
      </c>
      <c r="AI584" s="28">
        <v>7</v>
      </c>
      <c r="AK584" s="36">
        <v>551</v>
      </c>
      <c r="AL584" s="33">
        <v>9</v>
      </c>
      <c r="AM584" s="33">
        <v>1</v>
      </c>
      <c r="AN584" s="33">
        <v>1</v>
      </c>
      <c r="AO584" s="33">
        <v>1</v>
      </c>
      <c r="AP584" s="33">
        <v>0</v>
      </c>
      <c r="AQ584" s="33">
        <v>1</v>
      </c>
      <c r="AR584" s="33">
        <v>4</v>
      </c>
      <c r="AS584" s="33">
        <v>4</v>
      </c>
      <c r="AT584" s="33">
        <v>0</v>
      </c>
      <c r="AU584" s="43">
        <v>0.11915124838839651</v>
      </c>
      <c r="AV584" s="33">
        <v>0</v>
      </c>
      <c r="AW584" s="33">
        <v>0</v>
      </c>
      <c r="AY584" s="36">
        <v>556</v>
      </c>
      <c r="AZ584" s="33">
        <v>1</v>
      </c>
      <c r="BA584" s="33">
        <v>2</v>
      </c>
      <c r="BB584" s="33">
        <v>0</v>
      </c>
      <c r="BC584" s="33">
        <v>2</v>
      </c>
      <c r="BD584" s="43">
        <v>9.7393499888919863E-2</v>
      </c>
      <c r="BE584" s="33">
        <v>0</v>
      </c>
      <c r="BF584" s="33">
        <v>0</v>
      </c>
      <c r="CE584" s="36">
        <v>550</v>
      </c>
      <c r="CF584" s="33">
        <v>8</v>
      </c>
      <c r="CG584" s="33">
        <v>2</v>
      </c>
      <c r="CH584" s="33">
        <v>3</v>
      </c>
      <c r="CI584" s="33">
        <v>1</v>
      </c>
      <c r="CJ584" s="33">
        <v>3</v>
      </c>
      <c r="CK584" s="33">
        <v>0</v>
      </c>
      <c r="CL584" s="33">
        <v>0</v>
      </c>
      <c r="CM584" s="33">
        <v>3</v>
      </c>
      <c r="CN584" s="33">
        <v>5</v>
      </c>
      <c r="CO584" s="33">
        <v>4</v>
      </c>
      <c r="CP584" s="43">
        <v>0.16286944813050619</v>
      </c>
      <c r="CQ584" s="33">
        <v>0</v>
      </c>
      <c r="CR584" s="33">
        <v>0</v>
      </c>
    </row>
    <row r="585" spans="1:96" ht="15" customHeight="1" x14ac:dyDescent="0.25">
      <c r="A585" s="26">
        <v>583</v>
      </c>
      <c r="B585" s="27">
        <v>34</v>
      </c>
      <c r="C585" s="27">
        <v>0</v>
      </c>
      <c r="D585" s="27">
        <v>1</v>
      </c>
      <c r="E585" s="27">
        <v>1111</v>
      </c>
      <c r="F585" s="27">
        <v>1</v>
      </c>
      <c r="G585" s="27">
        <v>8</v>
      </c>
      <c r="H585" s="27">
        <v>2</v>
      </c>
      <c r="I585" s="27">
        <v>1</v>
      </c>
      <c r="J585" s="27">
        <v>1</v>
      </c>
      <c r="K585" s="27">
        <v>808</v>
      </c>
      <c r="L585" s="27">
        <v>3</v>
      </c>
      <c r="M585" s="27">
        <v>0</v>
      </c>
      <c r="N585" s="27">
        <v>93</v>
      </c>
      <c r="O585" s="27">
        <v>3</v>
      </c>
      <c r="P585" s="27">
        <v>2</v>
      </c>
      <c r="Q585" s="27">
        <v>1</v>
      </c>
      <c r="R585" s="27">
        <v>1</v>
      </c>
      <c r="S585" s="27">
        <v>2</v>
      </c>
      <c r="T585" s="27">
        <v>6500</v>
      </c>
      <c r="U585" s="27">
        <v>13305</v>
      </c>
      <c r="V585" s="27">
        <v>5</v>
      </c>
      <c r="W585" s="27">
        <v>0</v>
      </c>
      <c r="X585" s="27">
        <v>17</v>
      </c>
      <c r="Y585" s="27">
        <v>3</v>
      </c>
      <c r="Z585" s="27">
        <v>2</v>
      </c>
      <c r="AA585" s="27">
        <v>80</v>
      </c>
      <c r="AB585" s="27">
        <v>1</v>
      </c>
      <c r="AC585" s="27">
        <v>6</v>
      </c>
      <c r="AD585" s="27">
        <v>1</v>
      </c>
      <c r="AE585" s="27">
        <v>3</v>
      </c>
      <c r="AF585" s="27">
        <v>3</v>
      </c>
      <c r="AG585" s="27">
        <v>2</v>
      </c>
      <c r="AH585" s="27">
        <v>1</v>
      </c>
      <c r="AI585" s="28">
        <v>2</v>
      </c>
      <c r="AK585" s="36">
        <v>552</v>
      </c>
      <c r="AL585" s="33">
        <v>3</v>
      </c>
      <c r="AM585" s="33">
        <v>2</v>
      </c>
      <c r="AN585" s="33">
        <v>2</v>
      </c>
      <c r="AO585" s="33">
        <v>9</v>
      </c>
      <c r="AP585" s="33">
        <v>0</v>
      </c>
      <c r="AQ585" s="33">
        <v>1</v>
      </c>
      <c r="AR585" s="33">
        <v>1</v>
      </c>
      <c r="AS585" s="33">
        <v>8</v>
      </c>
      <c r="AT585" s="33">
        <v>3</v>
      </c>
      <c r="AU585" s="43">
        <v>0.16454589026683505</v>
      </c>
      <c r="AV585" s="33">
        <v>0</v>
      </c>
      <c r="AW585" s="33">
        <v>0</v>
      </c>
      <c r="AY585" s="36">
        <v>557</v>
      </c>
      <c r="AZ585" s="33">
        <v>2</v>
      </c>
      <c r="BA585" s="33">
        <v>4</v>
      </c>
      <c r="BB585" s="33">
        <v>0</v>
      </c>
      <c r="BC585" s="33">
        <v>0</v>
      </c>
      <c r="BD585" s="43">
        <v>8.9935487507215722E-2</v>
      </c>
      <c r="BE585" s="33">
        <v>0</v>
      </c>
      <c r="BF585" s="33">
        <v>0</v>
      </c>
      <c r="CE585" s="36">
        <v>551</v>
      </c>
      <c r="CF585" s="33">
        <v>9</v>
      </c>
      <c r="CG585" s="33">
        <v>1</v>
      </c>
      <c r="CH585" s="33">
        <v>1</v>
      </c>
      <c r="CI585" s="33">
        <v>2</v>
      </c>
      <c r="CJ585" s="33">
        <v>1</v>
      </c>
      <c r="CK585" s="33">
        <v>0</v>
      </c>
      <c r="CL585" s="33">
        <v>1</v>
      </c>
      <c r="CM585" s="33">
        <v>4</v>
      </c>
      <c r="CN585" s="33">
        <v>4</v>
      </c>
      <c r="CO585" s="33">
        <v>0</v>
      </c>
      <c r="CP585" s="43">
        <v>0.11580238584073295</v>
      </c>
      <c r="CQ585" s="33">
        <v>0</v>
      </c>
      <c r="CR585" s="33">
        <v>0</v>
      </c>
    </row>
    <row r="586" spans="1:96" ht="15" customHeight="1" x14ac:dyDescent="0.25">
      <c r="A586" s="26">
        <v>584</v>
      </c>
      <c r="B586" s="27">
        <v>42</v>
      </c>
      <c r="C586" s="27">
        <v>0</v>
      </c>
      <c r="D586" s="27">
        <v>2</v>
      </c>
      <c r="E586" s="27">
        <v>570</v>
      </c>
      <c r="F586" s="27">
        <v>2</v>
      </c>
      <c r="G586" s="27">
        <v>8</v>
      </c>
      <c r="H586" s="27">
        <v>3</v>
      </c>
      <c r="I586" s="27">
        <v>1</v>
      </c>
      <c r="J586" s="27">
        <v>1</v>
      </c>
      <c r="K586" s="27">
        <v>809</v>
      </c>
      <c r="L586" s="27">
        <v>2</v>
      </c>
      <c r="M586" s="27">
        <v>1</v>
      </c>
      <c r="N586" s="27">
        <v>66</v>
      </c>
      <c r="O586" s="27">
        <v>3</v>
      </c>
      <c r="P586" s="27">
        <v>5</v>
      </c>
      <c r="Q586" s="27">
        <v>6</v>
      </c>
      <c r="R586" s="27">
        <v>4</v>
      </c>
      <c r="S586" s="27">
        <v>3</v>
      </c>
      <c r="T586" s="27">
        <v>18430</v>
      </c>
      <c r="U586" s="27">
        <v>16225</v>
      </c>
      <c r="V586" s="27">
        <v>1</v>
      </c>
      <c r="W586" s="27">
        <v>0</v>
      </c>
      <c r="X586" s="27">
        <v>13</v>
      </c>
      <c r="Y586" s="27">
        <v>3</v>
      </c>
      <c r="Z586" s="27">
        <v>2</v>
      </c>
      <c r="AA586" s="27">
        <v>80</v>
      </c>
      <c r="AB586" s="27">
        <v>1</v>
      </c>
      <c r="AC586" s="27">
        <v>24</v>
      </c>
      <c r="AD586" s="27">
        <v>4</v>
      </c>
      <c r="AE586" s="27">
        <v>2</v>
      </c>
      <c r="AF586" s="27">
        <v>24</v>
      </c>
      <c r="AG586" s="27">
        <v>7</v>
      </c>
      <c r="AH586" s="27">
        <v>14</v>
      </c>
      <c r="AI586" s="28">
        <v>9</v>
      </c>
      <c r="AK586" s="36">
        <v>553</v>
      </c>
      <c r="AL586" s="33">
        <v>9</v>
      </c>
      <c r="AM586" s="33">
        <v>4</v>
      </c>
      <c r="AN586" s="33">
        <v>4</v>
      </c>
      <c r="AO586" s="33">
        <v>7</v>
      </c>
      <c r="AP586" s="33">
        <v>0</v>
      </c>
      <c r="AQ586" s="33">
        <v>0</v>
      </c>
      <c r="AR586" s="33">
        <v>2</v>
      </c>
      <c r="AS586" s="33">
        <v>10</v>
      </c>
      <c r="AT586" s="33">
        <v>1</v>
      </c>
      <c r="AU586" s="43">
        <v>3.5077707146385813E-2</v>
      </c>
      <c r="AV586" s="33">
        <v>0</v>
      </c>
      <c r="AW586" s="33">
        <v>0</v>
      </c>
      <c r="AY586" s="36">
        <v>558</v>
      </c>
      <c r="AZ586" s="33">
        <v>2</v>
      </c>
      <c r="BA586" s="33">
        <v>1</v>
      </c>
      <c r="BB586" s="33">
        <v>0</v>
      </c>
      <c r="BC586" s="33">
        <v>1</v>
      </c>
      <c r="BD586" s="43">
        <v>0.12293502213131684</v>
      </c>
      <c r="BE586" s="33">
        <v>0</v>
      </c>
      <c r="BF586" s="33">
        <v>0</v>
      </c>
      <c r="CE586" s="36">
        <v>552</v>
      </c>
      <c r="CF586" s="33">
        <v>3</v>
      </c>
      <c r="CG586" s="33">
        <v>2</v>
      </c>
      <c r="CH586" s="33">
        <v>2</v>
      </c>
      <c r="CI586" s="33">
        <v>2</v>
      </c>
      <c r="CJ586" s="33">
        <v>9</v>
      </c>
      <c r="CK586" s="33">
        <v>0</v>
      </c>
      <c r="CL586" s="33">
        <v>1</v>
      </c>
      <c r="CM586" s="33">
        <v>1</v>
      </c>
      <c r="CN586" s="33">
        <v>8</v>
      </c>
      <c r="CO586" s="33">
        <v>3</v>
      </c>
      <c r="CP586" s="43">
        <v>0.16878975979266089</v>
      </c>
      <c r="CQ586" s="33">
        <v>0</v>
      </c>
      <c r="CR586" s="33">
        <v>0</v>
      </c>
    </row>
    <row r="587" spans="1:96" ht="15" customHeight="1" x14ac:dyDescent="0.25">
      <c r="A587" s="26">
        <v>585</v>
      </c>
      <c r="B587" s="27">
        <v>23</v>
      </c>
      <c r="C587" s="27">
        <v>1</v>
      </c>
      <c r="D587" s="27">
        <v>1</v>
      </c>
      <c r="E587" s="27">
        <v>1243</v>
      </c>
      <c r="F587" s="27">
        <v>2</v>
      </c>
      <c r="G587" s="27">
        <v>6</v>
      </c>
      <c r="H587" s="27">
        <v>3</v>
      </c>
      <c r="I587" s="27">
        <v>1</v>
      </c>
      <c r="J587" s="27">
        <v>1</v>
      </c>
      <c r="K587" s="27">
        <v>811</v>
      </c>
      <c r="L587" s="27">
        <v>3</v>
      </c>
      <c r="M587" s="27">
        <v>1</v>
      </c>
      <c r="N587" s="27">
        <v>63</v>
      </c>
      <c r="O587" s="27">
        <v>4</v>
      </c>
      <c r="P587" s="27">
        <v>1</v>
      </c>
      <c r="Q587" s="27">
        <v>3</v>
      </c>
      <c r="R587" s="27">
        <v>1</v>
      </c>
      <c r="S587" s="27">
        <v>2</v>
      </c>
      <c r="T587" s="27">
        <v>1601</v>
      </c>
      <c r="U587" s="27">
        <v>3445</v>
      </c>
      <c r="V587" s="27">
        <v>1</v>
      </c>
      <c r="W587" s="27">
        <v>1</v>
      </c>
      <c r="X587" s="27">
        <v>21</v>
      </c>
      <c r="Y587" s="27">
        <v>4</v>
      </c>
      <c r="Z587" s="27">
        <v>3</v>
      </c>
      <c r="AA587" s="27">
        <v>80</v>
      </c>
      <c r="AB587" s="27">
        <v>2</v>
      </c>
      <c r="AC587" s="27">
        <v>1</v>
      </c>
      <c r="AD587" s="27">
        <v>2</v>
      </c>
      <c r="AE587" s="27">
        <v>3</v>
      </c>
      <c r="AF587" s="27">
        <v>0</v>
      </c>
      <c r="AG587" s="27">
        <v>0</v>
      </c>
      <c r="AH587" s="27">
        <v>0</v>
      </c>
      <c r="AI587" s="28">
        <v>0</v>
      </c>
      <c r="AK587" s="36">
        <v>554</v>
      </c>
      <c r="AL587" s="33">
        <v>2</v>
      </c>
      <c r="AM587" s="33">
        <v>1</v>
      </c>
      <c r="AN587" s="33">
        <v>4</v>
      </c>
      <c r="AO587" s="33">
        <v>0</v>
      </c>
      <c r="AP587" s="33">
        <v>1</v>
      </c>
      <c r="AQ587" s="33">
        <v>0</v>
      </c>
      <c r="AR587" s="33">
        <v>2</v>
      </c>
      <c r="AS587" s="33">
        <v>4</v>
      </c>
      <c r="AT587" s="33">
        <v>2</v>
      </c>
      <c r="AU587" s="43">
        <v>0.38655160234975594</v>
      </c>
      <c r="AV587" s="33">
        <v>0</v>
      </c>
      <c r="AW587" s="33">
        <v>0</v>
      </c>
      <c r="AY587" s="36">
        <v>559</v>
      </c>
      <c r="AZ587" s="33">
        <v>2</v>
      </c>
      <c r="BA587" s="33">
        <v>4</v>
      </c>
      <c r="BB587" s="33">
        <v>0</v>
      </c>
      <c r="BC587" s="33">
        <v>2</v>
      </c>
      <c r="BD587" s="43">
        <v>3.3256067423154199E-2</v>
      </c>
      <c r="BE587" s="33">
        <v>0</v>
      </c>
      <c r="BF587" s="33">
        <v>0</v>
      </c>
      <c r="CE587" s="36">
        <v>553</v>
      </c>
      <c r="CF587" s="33">
        <v>9</v>
      </c>
      <c r="CG587" s="33">
        <v>4</v>
      </c>
      <c r="CH587" s="33">
        <v>4</v>
      </c>
      <c r="CI587" s="33">
        <v>2</v>
      </c>
      <c r="CJ587" s="33">
        <v>7</v>
      </c>
      <c r="CK587" s="33">
        <v>0</v>
      </c>
      <c r="CL587" s="33">
        <v>0</v>
      </c>
      <c r="CM587" s="33">
        <v>2</v>
      </c>
      <c r="CN587" s="33">
        <v>10</v>
      </c>
      <c r="CO587" s="33">
        <v>1</v>
      </c>
      <c r="CP587" s="43">
        <v>2.4841861717409656E-2</v>
      </c>
      <c r="CQ587" s="33">
        <v>0</v>
      </c>
      <c r="CR587" s="33">
        <v>0</v>
      </c>
    </row>
    <row r="588" spans="1:96" ht="15" customHeight="1" x14ac:dyDescent="0.25">
      <c r="A588" s="26">
        <v>586</v>
      </c>
      <c r="B588" s="27">
        <v>24</v>
      </c>
      <c r="C588" s="27">
        <v>0</v>
      </c>
      <c r="D588" s="27">
        <v>3</v>
      </c>
      <c r="E588" s="27">
        <v>1092</v>
      </c>
      <c r="F588" s="27">
        <v>2</v>
      </c>
      <c r="G588" s="27">
        <v>9</v>
      </c>
      <c r="H588" s="27">
        <v>3</v>
      </c>
      <c r="I588" s="27">
        <v>1</v>
      </c>
      <c r="J588" s="27">
        <v>1</v>
      </c>
      <c r="K588" s="27">
        <v>812</v>
      </c>
      <c r="L588" s="27">
        <v>3</v>
      </c>
      <c r="M588" s="27">
        <v>1</v>
      </c>
      <c r="N588" s="27">
        <v>60</v>
      </c>
      <c r="O588" s="27">
        <v>2</v>
      </c>
      <c r="P588" s="27">
        <v>1</v>
      </c>
      <c r="Q588" s="27">
        <v>3</v>
      </c>
      <c r="R588" s="27">
        <v>2</v>
      </c>
      <c r="S588" s="27">
        <v>3</v>
      </c>
      <c r="T588" s="27">
        <v>2694</v>
      </c>
      <c r="U588" s="27">
        <v>26551</v>
      </c>
      <c r="V588" s="27">
        <v>1</v>
      </c>
      <c r="W588" s="27">
        <v>0</v>
      </c>
      <c r="X588" s="27">
        <v>11</v>
      </c>
      <c r="Y588" s="27">
        <v>3</v>
      </c>
      <c r="Z588" s="27">
        <v>3</v>
      </c>
      <c r="AA588" s="27">
        <v>80</v>
      </c>
      <c r="AB588" s="27">
        <v>3</v>
      </c>
      <c r="AC588" s="27">
        <v>1</v>
      </c>
      <c r="AD588" s="27">
        <v>4</v>
      </c>
      <c r="AE588" s="27">
        <v>3</v>
      </c>
      <c r="AF588" s="27">
        <v>1</v>
      </c>
      <c r="AG588" s="27">
        <v>0</v>
      </c>
      <c r="AH588" s="27">
        <v>0</v>
      </c>
      <c r="AI588" s="28">
        <v>0</v>
      </c>
      <c r="AK588" s="36">
        <v>555</v>
      </c>
      <c r="AL588" s="33">
        <v>7</v>
      </c>
      <c r="AM588" s="33">
        <v>2</v>
      </c>
      <c r="AN588" s="33">
        <v>1</v>
      </c>
      <c r="AO588" s="33">
        <v>8</v>
      </c>
      <c r="AP588" s="33">
        <v>0</v>
      </c>
      <c r="AQ588" s="33">
        <v>0</v>
      </c>
      <c r="AR588" s="33">
        <v>1</v>
      </c>
      <c r="AS588" s="33">
        <v>7</v>
      </c>
      <c r="AT588" s="33">
        <v>0</v>
      </c>
      <c r="AU588" s="43">
        <v>0.27229258812795087</v>
      </c>
      <c r="AV588" s="33">
        <v>0</v>
      </c>
      <c r="AW588" s="33">
        <v>0</v>
      </c>
      <c r="AY588" s="36">
        <v>560</v>
      </c>
      <c r="AZ588" s="33">
        <v>1</v>
      </c>
      <c r="BA588" s="33">
        <v>3</v>
      </c>
      <c r="BB588" s="33">
        <v>1</v>
      </c>
      <c r="BC588" s="33">
        <v>1</v>
      </c>
      <c r="BD588" s="43">
        <v>0.36852652578740397</v>
      </c>
      <c r="BE588" s="33">
        <v>0</v>
      </c>
      <c r="BF588" s="33">
        <v>0</v>
      </c>
      <c r="CE588" s="36">
        <v>554</v>
      </c>
      <c r="CF588" s="33">
        <v>2</v>
      </c>
      <c r="CG588" s="33">
        <v>1</v>
      </c>
      <c r="CH588" s="33">
        <v>4</v>
      </c>
      <c r="CI588" s="33">
        <v>1</v>
      </c>
      <c r="CJ588" s="33">
        <v>0</v>
      </c>
      <c r="CK588" s="33">
        <v>1</v>
      </c>
      <c r="CL588" s="33">
        <v>0</v>
      </c>
      <c r="CM588" s="33">
        <v>2</v>
      </c>
      <c r="CN588" s="33">
        <v>4</v>
      </c>
      <c r="CO588" s="33">
        <v>2</v>
      </c>
      <c r="CP588" s="43">
        <v>0.43552815295686942</v>
      </c>
      <c r="CQ588" s="33">
        <v>0</v>
      </c>
      <c r="CR588" s="33">
        <v>0</v>
      </c>
    </row>
    <row r="589" spans="1:96" ht="15" customHeight="1" x14ac:dyDescent="0.25">
      <c r="A589" s="26">
        <v>587</v>
      </c>
      <c r="B589" s="27">
        <v>52</v>
      </c>
      <c r="C589" s="27">
        <v>0</v>
      </c>
      <c r="D589" s="27">
        <v>1</v>
      </c>
      <c r="E589" s="27">
        <v>1325</v>
      </c>
      <c r="F589" s="27">
        <v>2</v>
      </c>
      <c r="G589" s="27">
        <v>11</v>
      </c>
      <c r="H589" s="27">
        <v>4</v>
      </c>
      <c r="I589" s="27">
        <v>1</v>
      </c>
      <c r="J589" s="27">
        <v>1</v>
      </c>
      <c r="K589" s="27">
        <v>813</v>
      </c>
      <c r="L589" s="27">
        <v>4</v>
      </c>
      <c r="M589" s="27">
        <v>0</v>
      </c>
      <c r="N589" s="27">
        <v>82</v>
      </c>
      <c r="O589" s="27">
        <v>3</v>
      </c>
      <c r="P589" s="27">
        <v>2</v>
      </c>
      <c r="Q589" s="27">
        <v>3</v>
      </c>
      <c r="R589" s="27">
        <v>3</v>
      </c>
      <c r="S589" s="27">
        <v>2</v>
      </c>
      <c r="T589" s="27">
        <v>3149</v>
      </c>
      <c r="U589" s="27">
        <v>21821</v>
      </c>
      <c r="V589" s="27">
        <v>8</v>
      </c>
      <c r="W589" s="27">
        <v>0</v>
      </c>
      <c r="X589" s="27">
        <v>20</v>
      </c>
      <c r="Y589" s="27">
        <v>4</v>
      </c>
      <c r="Z589" s="27">
        <v>2</v>
      </c>
      <c r="AA589" s="27">
        <v>80</v>
      </c>
      <c r="AB589" s="27">
        <v>1</v>
      </c>
      <c r="AC589" s="27">
        <v>9</v>
      </c>
      <c r="AD589" s="27">
        <v>3</v>
      </c>
      <c r="AE589" s="27">
        <v>3</v>
      </c>
      <c r="AF589" s="27">
        <v>5</v>
      </c>
      <c r="AG589" s="27">
        <v>2</v>
      </c>
      <c r="AH589" s="27">
        <v>1</v>
      </c>
      <c r="AI589" s="28">
        <v>4</v>
      </c>
      <c r="AK589" s="36">
        <v>556</v>
      </c>
      <c r="AL589" s="33">
        <v>10</v>
      </c>
      <c r="AM589" s="33">
        <v>1</v>
      </c>
      <c r="AN589" s="33">
        <v>2</v>
      </c>
      <c r="AO589" s="33">
        <v>1</v>
      </c>
      <c r="AP589" s="33">
        <v>0</v>
      </c>
      <c r="AQ589" s="33">
        <v>2</v>
      </c>
      <c r="AR589" s="33">
        <v>3</v>
      </c>
      <c r="AS589" s="33">
        <v>2</v>
      </c>
      <c r="AT589" s="33">
        <v>2</v>
      </c>
      <c r="AU589" s="43">
        <v>9.7742944150144145E-2</v>
      </c>
      <c r="AV589" s="33">
        <v>0</v>
      </c>
      <c r="AW589" s="33">
        <v>0</v>
      </c>
      <c r="AY589" s="36">
        <v>561</v>
      </c>
      <c r="AZ589" s="33">
        <v>2</v>
      </c>
      <c r="BA589" s="33">
        <v>1</v>
      </c>
      <c r="BB589" s="33">
        <v>0</v>
      </c>
      <c r="BC589" s="33">
        <v>1</v>
      </c>
      <c r="BD589" s="43">
        <v>0.12293502213131684</v>
      </c>
      <c r="BE589" s="33">
        <v>0</v>
      </c>
      <c r="BF589" s="33">
        <v>0</v>
      </c>
      <c r="CE589" s="36">
        <v>555</v>
      </c>
      <c r="CF589" s="33">
        <v>7</v>
      </c>
      <c r="CG589" s="33">
        <v>2</v>
      </c>
      <c r="CH589" s="33">
        <v>1</v>
      </c>
      <c r="CI589" s="33">
        <v>1</v>
      </c>
      <c r="CJ589" s="33">
        <v>8</v>
      </c>
      <c r="CK589" s="33">
        <v>0</v>
      </c>
      <c r="CL589" s="33">
        <v>0</v>
      </c>
      <c r="CM589" s="33">
        <v>1</v>
      </c>
      <c r="CN589" s="33">
        <v>7</v>
      </c>
      <c r="CO589" s="33">
        <v>0</v>
      </c>
      <c r="CP589" s="43">
        <v>0.32405190311497667</v>
      </c>
      <c r="CQ589" s="33">
        <v>0</v>
      </c>
      <c r="CR589" s="33">
        <v>0</v>
      </c>
    </row>
    <row r="590" spans="1:96" ht="15" customHeight="1" x14ac:dyDescent="0.25">
      <c r="A590" s="26">
        <v>588</v>
      </c>
      <c r="B590" s="27">
        <v>50</v>
      </c>
      <c r="C590" s="27">
        <v>0</v>
      </c>
      <c r="D590" s="27">
        <v>1</v>
      </c>
      <c r="E590" s="27">
        <v>691</v>
      </c>
      <c r="F590" s="27">
        <v>2</v>
      </c>
      <c r="G590" s="27">
        <v>2</v>
      </c>
      <c r="H590" s="27">
        <v>3</v>
      </c>
      <c r="I590" s="27">
        <v>3</v>
      </c>
      <c r="J590" s="27">
        <v>1</v>
      </c>
      <c r="K590" s="27">
        <v>815</v>
      </c>
      <c r="L590" s="27">
        <v>3</v>
      </c>
      <c r="M590" s="27">
        <v>1</v>
      </c>
      <c r="N590" s="27">
        <v>64</v>
      </c>
      <c r="O590" s="27">
        <v>3</v>
      </c>
      <c r="P590" s="27">
        <v>4</v>
      </c>
      <c r="Q590" s="27">
        <v>8</v>
      </c>
      <c r="R590" s="27">
        <v>3</v>
      </c>
      <c r="S590" s="27">
        <v>2</v>
      </c>
      <c r="T590" s="27">
        <v>17639</v>
      </c>
      <c r="U590" s="27">
        <v>6881</v>
      </c>
      <c r="V590" s="27">
        <v>5</v>
      </c>
      <c r="W590" s="27">
        <v>0</v>
      </c>
      <c r="X590" s="27">
        <v>16</v>
      </c>
      <c r="Y590" s="27">
        <v>3</v>
      </c>
      <c r="Z590" s="27">
        <v>4</v>
      </c>
      <c r="AA590" s="27">
        <v>80</v>
      </c>
      <c r="AB590" s="27">
        <v>0</v>
      </c>
      <c r="AC590" s="27">
        <v>30</v>
      </c>
      <c r="AD590" s="27">
        <v>3</v>
      </c>
      <c r="AE590" s="27">
        <v>3</v>
      </c>
      <c r="AF590" s="27">
        <v>4</v>
      </c>
      <c r="AG590" s="27">
        <v>3</v>
      </c>
      <c r="AH590" s="27">
        <v>0</v>
      </c>
      <c r="AI590" s="28">
        <v>3</v>
      </c>
      <c r="AK590" s="36">
        <v>557</v>
      </c>
      <c r="AL590" s="33">
        <v>6</v>
      </c>
      <c r="AM590" s="33">
        <v>2</v>
      </c>
      <c r="AN590" s="33">
        <v>4</v>
      </c>
      <c r="AO590" s="33">
        <v>2</v>
      </c>
      <c r="AP590" s="33">
        <v>0</v>
      </c>
      <c r="AQ590" s="33">
        <v>0</v>
      </c>
      <c r="AR590" s="33">
        <v>3</v>
      </c>
      <c r="AS590" s="33">
        <v>2</v>
      </c>
      <c r="AT590" s="33">
        <v>2</v>
      </c>
      <c r="AU590" s="43">
        <v>9.3256602633487992E-2</v>
      </c>
      <c r="AV590" s="33">
        <v>0</v>
      </c>
      <c r="AW590" s="33">
        <v>0</v>
      </c>
      <c r="AY590" s="36">
        <v>562</v>
      </c>
      <c r="AZ590" s="33">
        <v>4</v>
      </c>
      <c r="BA590" s="33">
        <v>1</v>
      </c>
      <c r="BB590" s="33">
        <v>0</v>
      </c>
      <c r="BC590" s="33">
        <v>0</v>
      </c>
      <c r="BD590" s="43">
        <v>7.2150582122512491E-2</v>
      </c>
      <c r="BE590" s="33">
        <v>0</v>
      </c>
      <c r="BF590" s="33">
        <v>0</v>
      </c>
      <c r="CE590" s="36">
        <v>556</v>
      </c>
      <c r="CF590" s="33">
        <v>10</v>
      </c>
      <c r="CG590" s="33">
        <v>1</v>
      </c>
      <c r="CH590" s="33">
        <v>2</v>
      </c>
      <c r="CI590" s="33">
        <v>3</v>
      </c>
      <c r="CJ590" s="33">
        <v>1</v>
      </c>
      <c r="CK590" s="33">
        <v>0</v>
      </c>
      <c r="CL590" s="33">
        <v>2</v>
      </c>
      <c r="CM590" s="33">
        <v>3</v>
      </c>
      <c r="CN590" s="33">
        <v>2</v>
      </c>
      <c r="CO590" s="33">
        <v>2</v>
      </c>
      <c r="CP590" s="43">
        <v>7.8682330199466313E-2</v>
      </c>
      <c r="CQ590" s="33">
        <v>0</v>
      </c>
      <c r="CR590" s="33">
        <v>0</v>
      </c>
    </row>
    <row r="591" spans="1:96" ht="15" customHeight="1" x14ac:dyDescent="0.25">
      <c r="A591" s="26">
        <v>589</v>
      </c>
      <c r="B591" s="27">
        <v>29</v>
      </c>
      <c r="C591" s="27">
        <v>1</v>
      </c>
      <c r="D591" s="27">
        <v>1</v>
      </c>
      <c r="E591" s="27">
        <v>805</v>
      </c>
      <c r="F591" s="27">
        <v>2</v>
      </c>
      <c r="G591" s="27">
        <v>1</v>
      </c>
      <c r="H591" s="27">
        <v>2</v>
      </c>
      <c r="I591" s="27">
        <v>1</v>
      </c>
      <c r="J591" s="27">
        <v>1</v>
      </c>
      <c r="K591" s="27">
        <v>816</v>
      </c>
      <c r="L591" s="27">
        <v>2</v>
      </c>
      <c r="M591" s="27">
        <v>0</v>
      </c>
      <c r="N591" s="27">
        <v>36</v>
      </c>
      <c r="O591" s="27">
        <v>2</v>
      </c>
      <c r="P591" s="27">
        <v>1</v>
      </c>
      <c r="Q591" s="27">
        <v>3</v>
      </c>
      <c r="R591" s="27">
        <v>1</v>
      </c>
      <c r="S591" s="27">
        <v>2</v>
      </c>
      <c r="T591" s="27">
        <v>2319</v>
      </c>
      <c r="U591" s="27">
        <v>6689</v>
      </c>
      <c r="V591" s="27">
        <v>1</v>
      </c>
      <c r="W591" s="27">
        <v>1</v>
      </c>
      <c r="X591" s="27">
        <v>11</v>
      </c>
      <c r="Y591" s="27">
        <v>3</v>
      </c>
      <c r="Z591" s="27">
        <v>4</v>
      </c>
      <c r="AA591" s="27">
        <v>80</v>
      </c>
      <c r="AB591" s="27">
        <v>1</v>
      </c>
      <c r="AC591" s="27">
        <v>1</v>
      </c>
      <c r="AD591" s="27">
        <v>1</v>
      </c>
      <c r="AE591" s="27">
        <v>3</v>
      </c>
      <c r="AF591" s="27">
        <v>1</v>
      </c>
      <c r="AG591" s="27">
        <v>0</v>
      </c>
      <c r="AH591" s="27">
        <v>0</v>
      </c>
      <c r="AI591" s="28">
        <v>0</v>
      </c>
      <c r="AK591" s="36">
        <v>558</v>
      </c>
      <c r="AL591" s="33">
        <v>2</v>
      </c>
      <c r="AM591" s="33">
        <v>2</v>
      </c>
      <c r="AN591" s="33">
        <v>1</v>
      </c>
      <c r="AO591" s="33">
        <v>2</v>
      </c>
      <c r="AP591" s="33">
        <v>0</v>
      </c>
      <c r="AQ591" s="33">
        <v>1</v>
      </c>
      <c r="AR591" s="33">
        <v>4</v>
      </c>
      <c r="AS591" s="33">
        <v>1</v>
      </c>
      <c r="AT591" s="33">
        <v>0</v>
      </c>
      <c r="AU591" s="43">
        <v>7.6758667035548428E-2</v>
      </c>
      <c r="AV591" s="33">
        <v>0</v>
      </c>
      <c r="AW591" s="33">
        <v>0</v>
      </c>
      <c r="AY591" s="36">
        <v>563</v>
      </c>
      <c r="AZ591" s="33">
        <v>1</v>
      </c>
      <c r="BA591" s="33">
        <v>4</v>
      </c>
      <c r="BB591" s="33">
        <v>1</v>
      </c>
      <c r="BC591" s="33">
        <v>0</v>
      </c>
      <c r="BD591" s="43">
        <v>0.42475472169672474</v>
      </c>
      <c r="BE591" s="33">
        <v>0</v>
      </c>
      <c r="BF591" s="33">
        <v>1</v>
      </c>
      <c r="CE591" s="36">
        <v>557</v>
      </c>
      <c r="CF591" s="33">
        <v>6</v>
      </c>
      <c r="CG591" s="33">
        <v>2</v>
      </c>
      <c r="CH591" s="33">
        <v>4</v>
      </c>
      <c r="CI591" s="33">
        <v>1</v>
      </c>
      <c r="CJ591" s="33">
        <v>2</v>
      </c>
      <c r="CK591" s="33">
        <v>0</v>
      </c>
      <c r="CL591" s="33">
        <v>0</v>
      </c>
      <c r="CM591" s="33">
        <v>3</v>
      </c>
      <c r="CN591" s="33">
        <v>2</v>
      </c>
      <c r="CO591" s="33">
        <v>2</v>
      </c>
      <c r="CP591" s="43">
        <v>0.10770733502232135</v>
      </c>
      <c r="CQ591" s="33">
        <v>0</v>
      </c>
      <c r="CR591" s="33">
        <v>0</v>
      </c>
    </row>
    <row r="592" spans="1:96" ht="15" customHeight="1" x14ac:dyDescent="0.25">
      <c r="A592" s="26">
        <v>590</v>
      </c>
      <c r="B592" s="27">
        <v>33</v>
      </c>
      <c r="C592" s="27">
        <v>0</v>
      </c>
      <c r="D592" s="27">
        <v>1</v>
      </c>
      <c r="E592" s="27">
        <v>213</v>
      </c>
      <c r="F592" s="27">
        <v>2</v>
      </c>
      <c r="G592" s="27">
        <v>7</v>
      </c>
      <c r="H592" s="27">
        <v>3</v>
      </c>
      <c r="I592" s="27">
        <v>3</v>
      </c>
      <c r="J592" s="27">
        <v>1</v>
      </c>
      <c r="K592" s="27">
        <v>817</v>
      </c>
      <c r="L592" s="27">
        <v>3</v>
      </c>
      <c r="M592" s="27">
        <v>1</v>
      </c>
      <c r="N592" s="27">
        <v>49</v>
      </c>
      <c r="O592" s="27">
        <v>3</v>
      </c>
      <c r="P592" s="27">
        <v>3</v>
      </c>
      <c r="Q592" s="27">
        <v>8</v>
      </c>
      <c r="R592" s="27">
        <v>3</v>
      </c>
      <c r="S592" s="27">
        <v>2</v>
      </c>
      <c r="T592" s="27">
        <v>11691</v>
      </c>
      <c r="U592" s="27">
        <v>25995</v>
      </c>
      <c r="V592" s="27">
        <v>0</v>
      </c>
      <c r="W592" s="27">
        <v>0</v>
      </c>
      <c r="X592" s="27">
        <v>11</v>
      </c>
      <c r="Y592" s="27">
        <v>3</v>
      </c>
      <c r="Z592" s="27">
        <v>4</v>
      </c>
      <c r="AA592" s="27">
        <v>80</v>
      </c>
      <c r="AB592" s="27">
        <v>0</v>
      </c>
      <c r="AC592" s="27">
        <v>14</v>
      </c>
      <c r="AD592" s="27">
        <v>3</v>
      </c>
      <c r="AE592" s="27">
        <v>4</v>
      </c>
      <c r="AF592" s="27">
        <v>13</v>
      </c>
      <c r="AG592" s="27">
        <v>9</v>
      </c>
      <c r="AH592" s="27">
        <v>3</v>
      </c>
      <c r="AI592" s="28">
        <v>7</v>
      </c>
      <c r="AK592" s="36">
        <v>559</v>
      </c>
      <c r="AL592" s="33">
        <v>24</v>
      </c>
      <c r="AM592" s="33">
        <v>2</v>
      </c>
      <c r="AN592" s="33">
        <v>4</v>
      </c>
      <c r="AO592" s="33">
        <v>1</v>
      </c>
      <c r="AP592" s="33">
        <v>0</v>
      </c>
      <c r="AQ592" s="33">
        <v>2</v>
      </c>
      <c r="AR592" s="33">
        <v>3</v>
      </c>
      <c r="AS592" s="33">
        <v>10</v>
      </c>
      <c r="AT592" s="33">
        <v>4</v>
      </c>
      <c r="AU592" s="43">
        <v>3.7781211903127242E-2</v>
      </c>
      <c r="AV592" s="33">
        <v>0</v>
      </c>
      <c r="AW592" s="33">
        <v>0</v>
      </c>
      <c r="AY592" s="36">
        <v>564</v>
      </c>
      <c r="AZ592" s="33">
        <v>2</v>
      </c>
      <c r="BA592" s="33">
        <v>4</v>
      </c>
      <c r="BB592" s="33">
        <v>0</v>
      </c>
      <c r="BC592" s="33">
        <v>0</v>
      </c>
      <c r="BD592" s="43">
        <v>8.9935487507215722E-2</v>
      </c>
      <c r="BE592" s="33">
        <v>0</v>
      </c>
      <c r="BF592" s="33">
        <v>0</v>
      </c>
      <c r="CE592" s="36">
        <v>558</v>
      </c>
      <c r="CF592" s="33">
        <v>2</v>
      </c>
      <c r="CG592" s="33">
        <v>2</v>
      </c>
      <c r="CH592" s="33">
        <v>1</v>
      </c>
      <c r="CI592" s="33">
        <v>3</v>
      </c>
      <c r="CJ592" s="33">
        <v>2</v>
      </c>
      <c r="CK592" s="33">
        <v>0</v>
      </c>
      <c r="CL592" s="33">
        <v>1</v>
      </c>
      <c r="CM592" s="33">
        <v>4</v>
      </c>
      <c r="CN592" s="33">
        <v>1</v>
      </c>
      <c r="CO592" s="33">
        <v>0</v>
      </c>
      <c r="CP592" s="43">
        <v>4.4913413953635718E-2</v>
      </c>
      <c r="CQ592" s="33">
        <v>0</v>
      </c>
      <c r="CR592" s="33">
        <v>0</v>
      </c>
    </row>
    <row r="593" spans="1:96" ht="15" customHeight="1" x14ac:dyDescent="0.25">
      <c r="A593" s="26">
        <v>591</v>
      </c>
      <c r="B593" s="27">
        <v>33</v>
      </c>
      <c r="C593" s="27">
        <v>1</v>
      </c>
      <c r="D593" s="27">
        <v>1</v>
      </c>
      <c r="E593" s="27">
        <v>118</v>
      </c>
      <c r="F593" s="27">
        <v>1</v>
      </c>
      <c r="G593" s="27">
        <v>16</v>
      </c>
      <c r="H593" s="27">
        <v>3</v>
      </c>
      <c r="I593" s="27">
        <v>4</v>
      </c>
      <c r="J593" s="27">
        <v>1</v>
      </c>
      <c r="K593" s="27">
        <v>819</v>
      </c>
      <c r="L593" s="27">
        <v>1</v>
      </c>
      <c r="M593" s="27">
        <v>0</v>
      </c>
      <c r="N593" s="27">
        <v>69</v>
      </c>
      <c r="O593" s="27">
        <v>3</v>
      </c>
      <c r="P593" s="27">
        <v>2</v>
      </c>
      <c r="Q593" s="27">
        <v>1</v>
      </c>
      <c r="R593" s="27">
        <v>1</v>
      </c>
      <c r="S593" s="27">
        <v>1</v>
      </c>
      <c r="T593" s="27">
        <v>5324</v>
      </c>
      <c r="U593" s="27">
        <v>26507</v>
      </c>
      <c r="V593" s="27">
        <v>5</v>
      </c>
      <c r="W593" s="27">
        <v>0</v>
      </c>
      <c r="X593" s="27">
        <v>15</v>
      </c>
      <c r="Y593" s="27">
        <v>3</v>
      </c>
      <c r="Z593" s="27">
        <v>3</v>
      </c>
      <c r="AA593" s="27">
        <v>80</v>
      </c>
      <c r="AB593" s="27">
        <v>0</v>
      </c>
      <c r="AC593" s="27">
        <v>6</v>
      </c>
      <c r="AD593" s="27">
        <v>3</v>
      </c>
      <c r="AE593" s="27">
        <v>3</v>
      </c>
      <c r="AF593" s="27">
        <v>3</v>
      </c>
      <c r="AG593" s="27">
        <v>2</v>
      </c>
      <c r="AH593" s="27">
        <v>0</v>
      </c>
      <c r="AI593" s="28">
        <v>2</v>
      </c>
      <c r="AK593" s="36">
        <v>560</v>
      </c>
      <c r="AL593" s="33">
        <v>2</v>
      </c>
      <c r="AM593" s="33">
        <v>1</v>
      </c>
      <c r="AN593" s="33">
        <v>3</v>
      </c>
      <c r="AO593" s="33">
        <v>6</v>
      </c>
      <c r="AP593" s="33">
        <v>1</v>
      </c>
      <c r="AQ593" s="33">
        <v>1</v>
      </c>
      <c r="AR593" s="33">
        <v>1</v>
      </c>
      <c r="AS593" s="33">
        <v>1</v>
      </c>
      <c r="AT593" s="33">
        <v>0</v>
      </c>
      <c r="AU593" s="43">
        <v>0.49728678406951848</v>
      </c>
      <c r="AV593" s="33">
        <v>0</v>
      </c>
      <c r="AW593" s="33">
        <v>0</v>
      </c>
      <c r="AY593" s="36">
        <v>565</v>
      </c>
      <c r="AZ593" s="33">
        <v>2</v>
      </c>
      <c r="BA593" s="33">
        <v>3</v>
      </c>
      <c r="BB593" s="33">
        <v>0</v>
      </c>
      <c r="BC593" s="33">
        <v>0</v>
      </c>
      <c r="BD593" s="43">
        <v>0.11690772887050198</v>
      </c>
      <c r="BE593" s="33">
        <v>0</v>
      </c>
      <c r="BF593" s="33">
        <v>0</v>
      </c>
      <c r="CE593" s="36">
        <v>559</v>
      </c>
      <c r="CF593" s="33">
        <v>24</v>
      </c>
      <c r="CG593" s="33">
        <v>2</v>
      </c>
      <c r="CH593" s="33">
        <v>4</v>
      </c>
      <c r="CI593" s="33">
        <v>2</v>
      </c>
      <c r="CJ593" s="33">
        <v>1</v>
      </c>
      <c r="CK593" s="33">
        <v>0</v>
      </c>
      <c r="CL593" s="33">
        <v>2</v>
      </c>
      <c r="CM593" s="33">
        <v>3</v>
      </c>
      <c r="CN593" s="33">
        <v>10</v>
      </c>
      <c r="CO593" s="33">
        <v>4</v>
      </c>
      <c r="CP593" s="43">
        <v>4.978856394766714E-2</v>
      </c>
      <c r="CQ593" s="33">
        <v>0</v>
      </c>
      <c r="CR593" s="33">
        <v>0</v>
      </c>
    </row>
    <row r="594" spans="1:96" ht="15" customHeight="1" x14ac:dyDescent="0.25">
      <c r="A594" s="26">
        <v>592</v>
      </c>
      <c r="B594" s="27">
        <v>47</v>
      </c>
      <c r="C594" s="27">
        <v>0</v>
      </c>
      <c r="D594" s="27">
        <v>1</v>
      </c>
      <c r="E594" s="27">
        <v>202</v>
      </c>
      <c r="F594" s="27">
        <v>2</v>
      </c>
      <c r="G594" s="27">
        <v>2</v>
      </c>
      <c r="H594" s="27">
        <v>2</v>
      </c>
      <c r="I594" s="27">
        <v>6</v>
      </c>
      <c r="J594" s="27">
        <v>1</v>
      </c>
      <c r="K594" s="27">
        <v>820</v>
      </c>
      <c r="L594" s="27">
        <v>3</v>
      </c>
      <c r="M594" s="27">
        <v>0</v>
      </c>
      <c r="N594" s="27">
        <v>33</v>
      </c>
      <c r="O594" s="27">
        <v>3</v>
      </c>
      <c r="P594" s="27">
        <v>4</v>
      </c>
      <c r="Q594" s="27">
        <v>6</v>
      </c>
      <c r="R594" s="27">
        <v>4</v>
      </c>
      <c r="S594" s="27">
        <v>2</v>
      </c>
      <c r="T594" s="27">
        <v>16752</v>
      </c>
      <c r="U594" s="27">
        <v>12982</v>
      </c>
      <c r="V594" s="27">
        <v>1</v>
      </c>
      <c r="W594" s="27">
        <v>1</v>
      </c>
      <c r="X594" s="27">
        <v>11</v>
      </c>
      <c r="Y594" s="27">
        <v>3</v>
      </c>
      <c r="Z594" s="27">
        <v>3</v>
      </c>
      <c r="AA594" s="27">
        <v>80</v>
      </c>
      <c r="AB594" s="27">
        <v>1</v>
      </c>
      <c r="AC594" s="27">
        <v>26</v>
      </c>
      <c r="AD594" s="27">
        <v>3</v>
      </c>
      <c r="AE594" s="27">
        <v>2</v>
      </c>
      <c r="AF594" s="27">
        <v>26</v>
      </c>
      <c r="AG594" s="27">
        <v>14</v>
      </c>
      <c r="AH594" s="27">
        <v>3</v>
      </c>
      <c r="AI594" s="28">
        <v>0</v>
      </c>
      <c r="AK594" s="36">
        <v>561</v>
      </c>
      <c r="AL594" s="33">
        <v>8</v>
      </c>
      <c r="AM594" s="33">
        <v>2</v>
      </c>
      <c r="AN594" s="33">
        <v>1</v>
      </c>
      <c r="AO594" s="33">
        <v>3</v>
      </c>
      <c r="AP594" s="33">
        <v>0</v>
      </c>
      <c r="AQ594" s="33">
        <v>1</v>
      </c>
      <c r="AR594" s="33">
        <v>3</v>
      </c>
      <c r="AS594" s="33">
        <v>0</v>
      </c>
      <c r="AT594" s="33">
        <v>0</v>
      </c>
      <c r="AU594" s="43">
        <v>0.13047356808844199</v>
      </c>
      <c r="AV594" s="33">
        <v>0</v>
      </c>
      <c r="AW594" s="33">
        <v>0</v>
      </c>
      <c r="AY594" s="36">
        <v>566</v>
      </c>
      <c r="AZ594" s="33">
        <v>1</v>
      </c>
      <c r="BA594" s="33">
        <v>3</v>
      </c>
      <c r="BB594" s="33">
        <v>0</v>
      </c>
      <c r="BC594" s="33">
        <v>0</v>
      </c>
      <c r="BD594" s="43">
        <v>0.18791247240909698</v>
      </c>
      <c r="BE594" s="33">
        <v>0</v>
      </c>
      <c r="BF594" s="33">
        <v>0</v>
      </c>
      <c r="CE594" s="36">
        <v>560</v>
      </c>
      <c r="CF594" s="33">
        <v>2</v>
      </c>
      <c r="CG594" s="33">
        <v>1</v>
      </c>
      <c r="CH594" s="33">
        <v>3</v>
      </c>
      <c r="CI594" s="33">
        <v>2</v>
      </c>
      <c r="CJ594" s="33">
        <v>6</v>
      </c>
      <c r="CK594" s="33">
        <v>1</v>
      </c>
      <c r="CL594" s="33">
        <v>1</v>
      </c>
      <c r="CM594" s="33">
        <v>1</v>
      </c>
      <c r="CN594" s="33">
        <v>1</v>
      </c>
      <c r="CO594" s="33">
        <v>0</v>
      </c>
      <c r="CP594" s="43">
        <v>0.50516737784344135</v>
      </c>
      <c r="CQ594" s="33">
        <v>1</v>
      </c>
      <c r="CR594" s="33">
        <v>0</v>
      </c>
    </row>
    <row r="595" spans="1:96" ht="15" customHeight="1" x14ac:dyDescent="0.25">
      <c r="A595" s="26">
        <v>593</v>
      </c>
      <c r="B595" s="27">
        <v>36</v>
      </c>
      <c r="C595" s="27">
        <v>0</v>
      </c>
      <c r="D595" s="27">
        <v>1</v>
      </c>
      <c r="E595" s="27">
        <v>676</v>
      </c>
      <c r="F595" s="27">
        <v>2</v>
      </c>
      <c r="G595" s="27">
        <v>1</v>
      </c>
      <c r="H595" s="27">
        <v>3</v>
      </c>
      <c r="I595" s="27">
        <v>6</v>
      </c>
      <c r="J595" s="27">
        <v>1</v>
      </c>
      <c r="K595" s="27">
        <v>823</v>
      </c>
      <c r="L595" s="27">
        <v>3</v>
      </c>
      <c r="M595" s="27">
        <v>0</v>
      </c>
      <c r="N595" s="27">
        <v>35</v>
      </c>
      <c r="O595" s="27">
        <v>3</v>
      </c>
      <c r="P595" s="27">
        <v>2</v>
      </c>
      <c r="Q595" s="27">
        <v>4</v>
      </c>
      <c r="R595" s="27">
        <v>2</v>
      </c>
      <c r="S595" s="27">
        <v>2</v>
      </c>
      <c r="T595" s="27">
        <v>5228</v>
      </c>
      <c r="U595" s="27">
        <v>23361</v>
      </c>
      <c r="V595" s="27">
        <v>0</v>
      </c>
      <c r="W595" s="27">
        <v>0</v>
      </c>
      <c r="X595" s="27">
        <v>15</v>
      </c>
      <c r="Y595" s="27">
        <v>3</v>
      </c>
      <c r="Z595" s="27">
        <v>1</v>
      </c>
      <c r="AA595" s="27">
        <v>80</v>
      </c>
      <c r="AB595" s="27">
        <v>1</v>
      </c>
      <c r="AC595" s="27">
        <v>10</v>
      </c>
      <c r="AD595" s="27">
        <v>2</v>
      </c>
      <c r="AE595" s="27">
        <v>3</v>
      </c>
      <c r="AF595" s="27">
        <v>9</v>
      </c>
      <c r="AG595" s="27">
        <v>7</v>
      </c>
      <c r="AH595" s="27">
        <v>0</v>
      </c>
      <c r="AI595" s="28">
        <v>5</v>
      </c>
      <c r="AK595" s="36">
        <v>562</v>
      </c>
      <c r="AL595" s="33">
        <v>3</v>
      </c>
      <c r="AM595" s="33">
        <v>4</v>
      </c>
      <c r="AN595" s="33">
        <v>1</v>
      </c>
      <c r="AO595" s="33">
        <v>1</v>
      </c>
      <c r="AP595" s="33">
        <v>0</v>
      </c>
      <c r="AQ595" s="33">
        <v>0</v>
      </c>
      <c r="AR595" s="33">
        <v>4</v>
      </c>
      <c r="AS595" s="33">
        <v>34</v>
      </c>
      <c r="AT595" s="33">
        <v>1</v>
      </c>
      <c r="AU595" s="43">
        <v>4.7741910243078367E-3</v>
      </c>
      <c r="AV595" s="33">
        <v>0</v>
      </c>
      <c r="AW595" s="33">
        <v>0</v>
      </c>
      <c r="AY595" s="36">
        <v>567</v>
      </c>
      <c r="AZ595" s="33">
        <v>2</v>
      </c>
      <c r="BA595" s="33">
        <v>3</v>
      </c>
      <c r="BB595" s="33">
        <v>1</v>
      </c>
      <c r="BC595" s="33">
        <v>0</v>
      </c>
      <c r="BD595" s="43">
        <v>0.36139389867144694</v>
      </c>
      <c r="BE595" s="33">
        <v>0</v>
      </c>
      <c r="BF595" s="33">
        <v>1</v>
      </c>
      <c r="CE595" s="36">
        <v>561</v>
      </c>
      <c r="CF595" s="33">
        <v>8</v>
      </c>
      <c r="CG595" s="33">
        <v>2</v>
      </c>
      <c r="CH595" s="33">
        <v>1</v>
      </c>
      <c r="CI595" s="33">
        <v>3</v>
      </c>
      <c r="CJ595" s="33">
        <v>3</v>
      </c>
      <c r="CK595" s="33">
        <v>0</v>
      </c>
      <c r="CL595" s="33">
        <v>1</v>
      </c>
      <c r="CM595" s="33">
        <v>3</v>
      </c>
      <c r="CN595" s="33">
        <v>0</v>
      </c>
      <c r="CO595" s="33">
        <v>0</v>
      </c>
      <c r="CP595" s="43">
        <v>7.9424420876470267E-2</v>
      </c>
      <c r="CQ595" s="33">
        <v>0</v>
      </c>
      <c r="CR595" s="33">
        <v>0</v>
      </c>
    </row>
    <row r="596" spans="1:96" ht="15" customHeight="1" x14ac:dyDescent="0.25">
      <c r="A596" s="26">
        <v>594</v>
      </c>
      <c r="B596" s="27">
        <v>29</v>
      </c>
      <c r="C596" s="27">
        <v>0</v>
      </c>
      <c r="D596" s="27">
        <v>1</v>
      </c>
      <c r="E596" s="27">
        <v>1252</v>
      </c>
      <c r="F596" s="27">
        <v>2</v>
      </c>
      <c r="G596" s="27">
        <v>23</v>
      </c>
      <c r="H596" s="27">
        <v>2</v>
      </c>
      <c r="I596" s="27">
        <v>1</v>
      </c>
      <c r="J596" s="27">
        <v>1</v>
      </c>
      <c r="K596" s="27">
        <v>824</v>
      </c>
      <c r="L596" s="27">
        <v>3</v>
      </c>
      <c r="M596" s="27">
        <v>1</v>
      </c>
      <c r="N596" s="27">
        <v>81</v>
      </c>
      <c r="O596" s="27">
        <v>4</v>
      </c>
      <c r="P596" s="27">
        <v>1</v>
      </c>
      <c r="Q596" s="27">
        <v>2</v>
      </c>
      <c r="R596" s="27">
        <v>3</v>
      </c>
      <c r="S596" s="27">
        <v>2</v>
      </c>
      <c r="T596" s="27">
        <v>2700</v>
      </c>
      <c r="U596" s="27">
        <v>23779</v>
      </c>
      <c r="V596" s="27">
        <v>1</v>
      </c>
      <c r="W596" s="27">
        <v>0</v>
      </c>
      <c r="X596" s="27">
        <v>24</v>
      </c>
      <c r="Y596" s="27">
        <v>4</v>
      </c>
      <c r="Z596" s="27">
        <v>3</v>
      </c>
      <c r="AA596" s="27">
        <v>80</v>
      </c>
      <c r="AB596" s="27">
        <v>1</v>
      </c>
      <c r="AC596" s="27">
        <v>10</v>
      </c>
      <c r="AD596" s="27">
        <v>3</v>
      </c>
      <c r="AE596" s="27">
        <v>3</v>
      </c>
      <c r="AF596" s="27">
        <v>10</v>
      </c>
      <c r="AG596" s="27">
        <v>7</v>
      </c>
      <c r="AH596" s="27">
        <v>0</v>
      </c>
      <c r="AI596" s="28">
        <v>7</v>
      </c>
      <c r="AK596" s="36">
        <v>563</v>
      </c>
      <c r="AL596" s="33">
        <v>1</v>
      </c>
      <c r="AM596" s="33">
        <v>1</v>
      </c>
      <c r="AN596" s="33">
        <v>4</v>
      </c>
      <c r="AO596" s="33">
        <v>1</v>
      </c>
      <c r="AP596" s="33">
        <v>1</v>
      </c>
      <c r="AQ596" s="33">
        <v>0</v>
      </c>
      <c r="AR596" s="33">
        <v>2</v>
      </c>
      <c r="AS596" s="33">
        <v>10</v>
      </c>
      <c r="AT596" s="33">
        <v>7</v>
      </c>
      <c r="AU596" s="43">
        <v>0.43109989582631464</v>
      </c>
      <c r="AV596" s="33">
        <v>0</v>
      </c>
      <c r="AW596" s="33">
        <v>1</v>
      </c>
      <c r="AY596" s="36">
        <v>568</v>
      </c>
      <c r="AZ596" s="33">
        <v>2</v>
      </c>
      <c r="BA596" s="33">
        <v>4</v>
      </c>
      <c r="BB596" s="33">
        <v>0</v>
      </c>
      <c r="BC596" s="33">
        <v>0</v>
      </c>
      <c r="BD596" s="43">
        <v>8.9935487507215722E-2</v>
      </c>
      <c r="BE596" s="33">
        <v>0</v>
      </c>
      <c r="BF596" s="33">
        <v>0</v>
      </c>
      <c r="CE596" s="36">
        <v>562</v>
      </c>
      <c r="CF596" s="33">
        <v>3</v>
      </c>
      <c r="CG596" s="33">
        <v>4</v>
      </c>
      <c r="CH596" s="33">
        <v>1</v>
      </c>
      <c r="CI596" s="33">
        <v>2</v>
      </c>
      <c r="CJ596" s="33">
        <v>1</v>
      </c>
      <c r="CK596" s="33">
        <v>0</v>
      </c>
      <c r="CL596" s="33">
        <v>0</v>
      </c>
      <c r="CM596" s="33">
        <v>4</v>
      </c>
      <c r="CN596" s="33">
        <v>34</v>
      </c>
      <c r="CO596" s="33">
        <v>1</v>
      </c>
      <c r="CP596" s="43">
        <v>3.3592930962451539E-3</v>
      </c>
      <c r="CQ596" s="33">
        <v>0</v>
      </c>
      <c r="CR596" s="33">
        <v>0</v>
      </c>
    </row>
    <row r="597" spans="1:96" ht="15" customHeight="1" x14ac:dyDescent="0.25">
      <c r="A597" s="26">
        <v>595</v>
      </c>
      <c r="B597" s="27">
        <v>58</v>
      </c>
      <c r="C597" s="27">
        <v>1</v>
      </c>
      <c r="D597" s="27">
        <v>1</v>
      </c>
      <c r="E597" s="27">
        <v>286</v>
      </c>
      <c r="F597" s="27">
        <v>2</v>
      </c>
      <c r="G597" s="27">
        <v>2</v>
      </c>
      <c r="H597" s="27">
        <v>4</v>
      </c>
      <c r="I597" s="27">
        <v>1</v>
      </c>
      <c r="J597" s="27">
        <v>1</v>
      </c>
      <c r="K597" s="27">
        <v>825</v>
      </c>
      <c r="L597" s="27">
        <v>4</v>
      </c>
      <c r="M597" s="27">
        <v>1</v>
      </c>
      <c r="N597" s="27">
        <v>31</v>
      </c>
      <c r="O597" s="27">
        <v>3</v>
      </c>
      <c r="P597" s="27">
        <v>5</v>
      </c>
      <c r="Q597" s="27">
        <v>8</v>
      </c>
      <c r="R597" s="27">
        <v>2</v>
      </c>
      <c r="S597" s="27">
        <v>1</v>
      </c>
      <c r="T597" s="27">
        <v>19246</v>
      </c>
      <c r="U597" s="27">
        <v>25761</v>
      </c>
      <c r="V597" s="27">
        <v>7</v>
      </c>
      <c r="W597" s="27">
        <v>1</v>
      </c>
      <c r="X597" s="27">
        <v>12</v>
      </c>
      <c r="Y597" s="27">
        <v>3</v>
      </c>
      <c r="Z597" s="27">
        <v>4</v>
      </c>
      <c r="AA597" s="27">
        <v>80</v>
      </c>
      <c r="AB597" s="27">
        <v>0</v>
      </c>
      <c r="AC597" s="27">
        <v>40</v>
      </c>
      <c r="AD597" s="27">
        <v>2</v>
      </c>
      <c r="AE597" s="27">
        <v>3</v>
      </c>
      <c r="AF597" s="27">
        <v>31</v>
      </c>
      <c r="AG597" s="27">
        <v>15</v>
      </c>
      <c r="AH597" s="27">
        <v>13</v>
      </c>
      <c r="AI597" s="28">
        <v>8</v>
      </c>
      <c r="AK597" s="36">
        <v>564</v>
      </c>
      <c r="AL597" s="33">
        <v>26</v>
      </c>
      <c r="AM597" s="33">
        <v>2</v>
      </c>
      <c r="AN597" s="33">
        <v>4</v>
      </c>
      <c r="AO597" s="33">
        <v>1</v>
      </c>
      <c r="AP597" s="33">
        <v>0</v>
      </c>
      <c r="AQ597" s="33">
        <v>0</v>
      </c>
      <c r="AR597" s="33">
        <v>2</v>
      </c>
      <c r="AS597" s="33">
        <v>6</v>
      </c>
      <c r="AT597" s="33">
        <v>1</v>
      </c>
      <c r="AU597" s="43">
        <v>0.13528671702645445</v>
      </c>
      <c r="AV597" s="33">
        <v>0</v>
      </c>
      <c r="AW597" s="33">
        <v>0</v>
      </c>
      <c r="AY597" s="36">
        <v>569</v>
      </c>
      <c r="AZ597" s="33">
        <v>5</v>
      </c>
      <c r="BA597" s="33">
        <v>1</v>
      </c>
      <c r="BB597" s="33">
        <v>1</v>
      </c>
      <c r="BC597" s="33">
        <v>1</v>
      </c>
      <c r="BD597" s="43">
        <v>0.1008842131492612</v>
      </c>
      <c r="BE597" s="33">
        <v>0</v>
      </c>
      <c r="BF597" s="33">
        <v>1</v>
      </c>
      <c r="CE597" s="36">
        <v>563</v>
      </c>
      <c r="CF597" s="33">
        <v>1</v>
      </c>
      <c r="CG597" s="33">
        <v>1</v>
      </c>
      <c r="CH597" s="33">
        <v>4</v>
      </c>
      <c r="CI597" s="33">
        <v>1</v>
      </c>
      <c r="CJ597" s="33">
        <v>1</v>
      </c>
      <c r="CK597" s="33">
        <v>1</v>
      </c>
      <c r="CL597" s="33">
        <v>0</v>
      </c>
      <c r="CM597" s="33">
        <v>2</v>
      </c>
      <c r="CN597" s="33">
        <v>10</v>
      </c>
      <c r="CO597" s="33">
        <v>7</v>
      </c>
      <c r="CP597" s="43">
        <v>0.48473256864974973</v>
      </c>
      <c r="CQ597" s="33">
        <v>0</v>
      </c>
      <c r="CR597" s="33">
        <v>1</v>
      </c>
    </row>
    <row r="598" spans="1:96" ht="15" customHeight="1" x14ac:dyDescent="0.25">
      <c r="A598" s="26">
        <v>596</v>
      </c>
      <c r="B598" s="27">
        <v>35</v>
      </c>
      <c r="C598" s="27">
        <v>0</v>
      </c>
      <c r="D598" s="27">
        <v>1</v>
      </c>
      <c r="E598" s="27">
        <v>1258</v>
      </c>
      <c r="F598" s="27">
        <v>2</v>
      </c>
      <c r="G598" s="27">
        <v>1</v>
      </c>
      <c r="H598" s="27">
        <v>4</v>
      </c>
      <c r="I598" s="27">
        <v>1</v>
      </c>
      <c r="J598" s="27">
        <v>1</v>
      </c>
      <c r="K598" s="27">
        <v>826</v>
      </c>
      <c r="L598" s="27">
        <v>4</v>
      </c>
      <c r="M598" s="27">
        <v>0</v>
      </c>
      <c r="N598" s="27">
        <v>40</v>
      </c>
      <c r="O598" s="27">
        <v>4</v>
      </c>
      <c r="P598" s="27">
        <v>1</v>
      </c>
      <c r="Q598" s="27">
        <v>2</v>
      </c>
      <c r="R598" s="27">
        <v>3</v>
      </c>
      <c r="S598" s="27">
        <v>1</v>
      </c>
      <c r="T598" s="27">
        <v>2506</v>
      </c>
      <c r="U598" s="27">
        <v>13301</v>
      </c>
      <c r="V598" s="27">
        <v>3</v>
      </c>
      <c r="W598" s="27">
        <v>0</v>
      </c>
      <c r="X598" s="27">
        <v>13</v>
      </c>
      <c r="Y598" s="27">
        <v>3</v>
      </c>
      <c r="Z598" s="27">
        <v>3</v>
      </c>
      <c r="AA598" s="27">
        <v>80</v>
      </c>
      <c r="AB598" s="27">
        <v>0</v>
      </c>
      <c r="AC598" s="27">
        <v>7</v>
      </c>
      <c r="AD598" s="27">
        <v>0</v>
      </c>
      <c r="AE598" s="27">
        <v>3</v>
      </c>
      <c r="AF598" s="27">
        <v>2</v>
      </c>
      <c r="AG598" s="27">
        <v>2</v>
      </c>
      <c r="AH598" s="27">
        <v>2</v>
      </c>
      <c r="AI598" s="28">
        <v>2</v>
      </c>
      <c r="AK598" s="36">
        <v>565</v>
      </c>
      <c r="AL598" s="33">
        <v>2</v>
      </c>
      <c r="AM598" s="33">
        <v>2</v>
      </c>
      <c r="AN598" s="33">
        <v>3</v>
      </c>
      <c r="AO598" s="33">
        <v>0</v>
      </c>
      <c r="AP598" s="33">
        <v>0</v>
      </c>
      <c r="AQ598" s="33">
        <v>0</v>
      </c>
      <c r="AR598" s="33">
        <v>3</v>
      </c>
      <c r="AS598" s="33">
        <v>8</v>
      </c>
      <c r="AT598" s="33">
        <v>3</v>
      </c>
      <c r="AU598" s="43">
        <v>6.8863482214778601E-2</v>
      </c>
      <c r="AV598" s="33">
        <v>0</v>
      </c>
      <c r="AW598" s="33">
        <v>0</v>
      </c>
      <c r="AY598" s="36">
        <v>570</v>
      </c>
      <c r="AZ598" s="33">
        <v>3</v>
      </c>
      <c r="BA598" s="33">
        <v>1</v>
      </c>
      <c r="BB598" s="33">
        <v>0</v>
      </c>
      <c r="BC598" s="33">
        <v>0</v>
      </c>
      <c r="BD598" s="43">
        <v>0.11965500412792122</v>
      </c>
      <c r="BE598" s="33">
        <v>0</v>
      </c>
      <c r="BF598" s="33">
        <v>0</v>
      </c>
      <c r="CE598" s="36">
        <v>564</v>
      </c>
      <c r="CF598" s="33">
        <v>26</v>
      </c>
      <c r="CG598" s="33">
        <v>2</v>
      </c>
      <c r="CH598" s="33">
        <v>4</v>
      </c>
      <c r="CI598" s="33">
        <v>1</v>
      </c>
      <c r="CJ598" s="33">
        <v>1</v>
      </c>
      <c r="CK598" s="33">
        <v>0</v>
      </c>
      <c r="CL598" s="33">
        <v>0</v>
      </c>
      <c r="CM598" s="33">
        <v>2</v>
      </c>
      <c r="CN598" s="33">
        <v>6</v>
      </c>
      <c r="CO598" s="33">
        <v>1</v>
      </c>
      <c r="CP598" s="43">
        <v>0.15557715679233092</v>
      </c>
      <c r="CQ598" s="33">
        <v>0</v>
      </c>
      <c r="CR598" s="33">
        <v>0</v>
      </c>
    </row>
    <row r="599" spans="1:96" ht="15" customHeight="1" x14ac:dyDescent="0.25">
      <c r="A599" s="26">
        <v>597</v>
      </c>
      <c r="B599" s="27">
        <v>42</v>
      </c>
      <c r="C599" s="27">
        <v>0</v>
      </c>
      <c r="D599" s="27">
        <v>1</v>
      </c>
      <c r="E599" s="27">
        <v>932</v>
      </c>
      <c r="F599" s="27">
        <v>2</v>
      </c>
      <c r="G599" s="27">
        <v>1</v>
      </c>
      <c r="H599" s="27">
        <v>2</v>
      </c>
      <c r="I599" s="27">
        <v>1</v>
      </c>
      <c r="J599" s="27">
        <v>1</v>
      </c>
      <c r="K599" s="27">
        <v>827</v>
      </c>
      <c r="L599" s="27">
        <v>4</v>
      </c>
      <c r="M599" s="27">
        <v>0</v>
      </c>
      <c r="N599" s="27">
        <v>43</v>
      </c>
      <c r="O599" s="27">
        <v>2</v>
      </c>
      <c r="P599" s="27">
        <v>2</v>
      </c>
      <c r="Q599" s="27">
        <v>4</v>
      </c>
      <c r="R599" s="27">
        <v>4</v>
      </c>
      <c r="S599" s="27">
        <v>2</v>
      </c>
      <c r="T599" s="27">
        <v>6062</v>
      </c>
      <c r="U599" s="27">
        <v>4051</v>
      </c>
      <c r="V599" s="27">
        <v>9</v>
      </c>
      <c r="W599" s="27">
        <v>1</v>
      </c>
      <c r="X599" s="27">
        <v>13</v>
      </c>
      <c r="Y599" s="27">
        <v>3</v>
      </c>
      <c r="Z599" s="27">
        <v>4</v>
      </c>
      <c r="AA599" s="27">
        <v>80</v>
      </c>
      <c r="AB599" s="27">
        <v>1</v>
      </c>
      <c r="AC599" s="27">
        <v>8</v>
      </c>
      <c r="AD599" s="27">
        <v>4</v>
      </c>
      <c r="AE599" s="27">
        <v>3</v>
      </c>
      <c r="AF599" s="27">
        <v>4</v>
      </c>
      <c r="AG599" s="27">
        <v>3</v>
      </c>
      <c r="AH599" s="27">
        <v>0</v>
      </c>
      <c r="AI599" s="28">
        <v>2</v>
      </c>
      <c r="AK599" s="36">
        <v>566</v>
      </c>
      <c r="AL599" s="33">
        <v>10</v>
      </c>
      <c r="AM599" s="33">
        <v>1</v>
      </c>
      <c r="AN599" s="33">
        <v>3</v>
      </c>
      <c r="AO599" s="33">
        <v>1</v>
      </c>
      <c r="AP599" s="33">
        <v>0</v>
      </c>
      <c r="AQ599" s="33">
        <v>0</v>
      </c>
      <c r="AR599" s="33">
        <v>3</v>
      </c>
      <c r="AS599" s="33">
        <v>2</v>
      </c>
      <c r="AT599" s="33">
        <v>0</v>
      </c>
      <c r="AU599" s="43">
        <v>0.16700028496805691</v>
      </c>
      <c r="AV599" s="33">
        <v>0</v>
      </c>
      <c r="AW599" s="33">
        <v>0</v>
      </c>
      <c r="AY599" s="36">
        <v>571</v>
      </c>
      <c r="AZ599" s="33">
        <v>1</v>
      </c>
      <c r="BA599" s="33">
        <v>4</v>
      </c>
      <c r="BB599" s="33">
        <v>0</v>
      </c>
      <c r="BC599" s="33">
        <v>1</v>
      </c>
      <c r="BD599" s="43">
        <v>9.2486413274924434E-2</v>
      </c>
      <c r="BE599" s="33">
        <v>0</v>
      </c>
      <c r="BF599" s="33">
        <v>0</v>
      </c>
      <c r="CE599" s="36">
        <v>565</v>
      </c>
      <c r="CF599" s="33">
        <v>2</v>
      </c>
      <c r="CG599" s="33">
        <v>2</v>
      </c>
      <c r="CH599" s="33">
        <v>3</v>
      </c>
      <c r="CI599" s="33">
        <v>1</v>
      </c>
      <c r="CJ599" s="33">
        <v>0</v>
      </c>
      <c r="CK599" s="33">
        <v>0</v>
      </c>
      <c r="CL599" s="33">
        <v>0</v>
      </c>
      <c r="CM599" s="33">
        <v>3</v>
      </c>
      <c r="CN599" s="33">
        <v>8</v>
      </c>
      <c r="CO599" s="33">
        <v>3</v>
      </c>
      <c r="CP599" s="43">
        <v>8.1082554468820997E-2</v>
      </c>
      <c r="CQ599" s="33">
        <v>0</v>
      </c>
      <c r="CR599" s="33">
        <v>0</v>
      </c>
    </row>
    <row r="600" spans="1:96" ht="15" customHeight="1" x14ac:dyDescent="0.25">
      <c r="A600" s="26">
        <v>598</v>
      </c>
      <c r="B600" s="27">
        <v>28</v>
      </c>
      <c r="C600" s="27">
        <v>1</v>
      </c>
      <c r="D600" s="27">
        <v>1</v>
      </c>
      <c r="E600" s="27">
        <v>890</v>
      </c>
      <c r="F600" s="27">
        <v>2</v>
      </c>
      <c r="G600" s="27">
        <v>2</v>
      </c>
      <c r="H600" s="27">
        <v>4</v>
      </c>
      <c r="I600" s="27">
        <v>3</v>
      </c>
      <c r="J600" s="27">
        <v>1</v>
      </c>
      <c r="K600" s="27">
        <v>828</v>
      </c>
      <c r="L600" s="27">
        <v>3</v>
      </c>
      <c r="M600" s="27">
        <v>1</v>
      </c>
      <c r="N600" s="27">
        <v>46</v>
      </c>
      <c r="O600" s="27">
        <v>3</v>
      </c>
      <c r="P600" s="27">
        <v>1</v>
      </c>
      <c r="Q600" s="27">
        <v>2</v>
      </c>
      <c r="R600" s="27">
        <v>3</v>
      </c>
      <c r="S600" s="27">
        <v>1</v>
      </c>
      <c r="T600" s="27">
        <v>4382</v>
      </c>
      <c r="U600" s="27">
        <v>16374</v>
      </c>
      <c r="V600" s="27">
        <v>6</v>
      </c>
      <c r="W600" s="27">
        <v>0</v>
      </c>
      <c r="X600" s="27">
        <v>17</v>
      </c>
      <c r="Y600" s="27">
        <v>3</v>
      </c>
      <c r="Z600" s="27">
        <v>4</v>
      </c>
      <c r="AA600" s="27">
        <v>80</v>
      </c>
      <c r="AB600" s="27">
        <v>0</v>
      </c>
      <c r="AC600" s="27">
        <v>5</v>
      </c>
      <c r="AD600" s="27">
        <v>3</v>
      </c>
      <c r="AE600" s="27">
        <v>2</v>
      </c>
      <c r="AF600" s="27">
        <v>2</v>
      </c>
      <c r="AG600" s="27">
        <v>2</v>
      </c>
      <c r="AH600" s="27">
        <v>2</v>
      </c>
      <c r="AI600" s="28">
        <v>1</v>
      </c>
      <c r="AK600" s="36">
        <v>567</v>
      </c>
      <c r="AL600" s="33">
        <v>27</v>
      </c>
      <c r="AM600" s="33">
        <v>2</v>
      </c>
      <c r="AN600" s="33">
        <v>3</v>
      </c>
      <c r="AO600" s="33">
        <v>4</v>
      </c>
      <c r="AP600" s="33">
        <v>1</v>
      </c>
      <c r="AQ600" s="33">
        <v>0</v>
      </c>
      <c r="AR600" s="33">
        <v>3</v>
      </c>
      <c r="AS600" s="33">
        <v>5</v>
      </c>
      <c r="AT600" s="33">
        <v>1</v>
      </c>
      <c r="AU600" s="43">
        <v>0.50936749931730063</v>
      </c>
      <c r="AV600" s="33">
        <v>1</v>
      </c>
      <c r="AW600" s="33">
        <v>1</v>
      </c>
      <c r="AY600" s="36">
        <v>572</v>
      </c>
      <c r="AZ600" s="33">
        <v>1</v>
      </c>
      <c r="BA600" s="33">
        <v>4</v>
      </c>
      <c r="BB600" s="33">
        <v>0</v>
      </c>
      <c r="BC600" s="33">
        <v>1</v>
      </c>
      <c r="BD600" s="43">
        <v>9.2486413274924434E-2</v>
      </c>
      <c r="BE600" s="33">
        <v>0</v>
      </c>
      <c r="BF600" s="33">
        <v>0</v>
      </c>
      <c r="CE600" s="36">
        <v>566</v>
      </c>
      <c r="CF600" s="33">
        <v>10</v>
      </c>
      <c r="CG600" s="33">
        <v>1</v>
      </c>
      <c r="CH600" s="33">
        <v>3</v>
      </c>
      <c r="CI600" s="33">
        <v>1</v>
      </c>
      <c r="CJ600" s="33">
        <v>1</v>
      </c>
      <c r="CK600" s="33">
        <v>0</v>
      </c>
      <c r="CL600" s="33">
        <v>0</v>
      </c>
      <c r="CM600" s="33">
        <v>3</v>
      </c>
      <c r="CN600" s="33">
        <v>2</v>
      </c>
      <c r="CO600" s="33">
        <v>0</v>
      </c>
      <c r="CP600" s="43">
        <v>0.19019314088068243</v>
      </c>
      <c r="CQ600" s="33">
        <v>0</v>
      </c>
      <c r="CR600" s="33">
        <v>0</v>
      </c>
    </row>
    <row r="601" spans="1:96" ht="15" customHeight="1" x14ac:dyDescent="0.25">
      <c r="A601" s="26">
        <v>599</v>
      </c>
      <c r="B601" s="27">
        <v>36</v>
      </c>
      <c r="C601" s="27">
        <v>0</v>
      </c>
      <c r="D601" s="27">
        <v>1</v>
      </c>
      <c r="E601" s="27">
        <v>1041</v>
      </c>
      <c r="F601" s="27">
        <v>3</v>
      </c>
      <c r="G601" s="27">
        <v>13</v>
      </c>
      <c r="H601" s="27">
        <v>3</v>
      </c>
      <c r="I601" s="27">
        <v>2</v>
      </c>
      <c r="J601" s="27">
        <v>1</v>
      </c>
      <c r="K601" s="27">
        <v>829</v>
      </c>
      <c r="L601" s="27">
        <v>3</v>
      </c>
      <c r="M601" s="27">
        <v>1</v>
      </c>
      <c r="N601" s="27">
        <v>36</v>
      </c>
      <c r="O601" s="27">
        <v>3</v>
      </c>
      <c r="P601" s="27">
        <v>1</v>
      </c>
      <c r="Q601" s="27">
        <v>9</v>
      </c>
      <c r="R601" s="27">
        <v>2</v>
      </c>
      <c r="S601" s="27">
        <v>2</v>
      </c>
      <c r="T601" s="27">
        <v>2143</v>
      </c>
      <c r="U601" s="27">
        <v>25527</v>
      </c>
      <c r="V601" s="27">
        <v>4</v>
      </c>
      <c r="W601" s="27">
        <v>0</v>
      </c>
      <c r="X601" s="27">
        <v>13</v>
      </c>
      <c r="Y601" s="27">
        <v>3</v>
      </c>
      <c r="Z601" s="27">
        <v>2</v>
      </c>
      <c r="AA601" s="27">
        <v>80</v>
      </c>
      <c r="AB601" s="27">
        <v>1</v>
      </c>
      <c r="AC601" s="27">
        <v>8</v>
      </c>
      <c r="AD601" s="27">
        <v>2</v>
      </c>
      <c r="AE601" s="27">
        <v>3</v>
      </c>
      <c r="AF601" s="27">
        <v>5</v>
      </c>
      <c r="AG601" s="27">
        <v>2</v>
      </c>
      <c r="AH601" s="27">
        <v>0</v>
      </c>
      <c r="AI601" s="28">
        <v>4</v>
      </c>
      <c r="AK601" s="36">
        <v>568</v>
      </c>
      <c r="AL601" s="33">
        <v>2</v>
      </c>
      <c r="AM601" s="33">
        <v>2</v>
      </c>
      <c r="AN601" s="33">
        <v>4</v>
      </c>
      <c r="AO601" s="33">
        <v>1</v>
      </c>
      <c r="AP601" s="33">
        <v>0</v>
      </c>
      <c r="AQ601" s="33">
        <v>0</v>
      </c>
      <c r="AR601" s="33">
        <v>3</v>
      </c>
      <c r="AS601" s="33">
        <v>6</v>
      </c>
      <c r="AT601" s="33">
        <v>1</v>
      </c>
      <c r="AU601" s="43">
        <v>5.2410841057316138E-2</v>
      </c>
      <c r="AV601" s="33">
        <v>0</v>
      </c>
      <c r="AW601" s="33">
        <v>0</v>
      </c>
      <c r="AY601" s="36">
        <v>573</v>
      </c>
      <c r="AZ601" s="33">
        <v>2</v>
      </c>
      <c r="BA601" s="33">
        <v>3</v>
      </c>
      <c r="BB601" s="33">
        <v>0</v>
      </c>
      <c r="BC601" s="33">
        <v>1</v>
      </c>
      <c r="BD601" s="43">
        <v>7.244788656931947E-2</v>
      </c>
      <c r="BE601" s="33">
        <v>0</v>
      </c>
      <c r="BF601" s="33">
        <v>0</v>
      </c>
      <c r="CE601" s="36">
        <v>567</v>
      </c>
      <c r="CF601" s="33">
        <v>27</v>
      </c>
      <c r="CG601" s="33">
        <v>2</v>
      </c>
      <c r="CH601" s="33">
        <v>3</v>
      </c>
      <c r="CI601" s="33">
        <v>1</v>
      </c>
      <c r="CJ601" s="33">
        <v>4</v>
      </c>
      <c r="CK601" s="33">
        <v>1</v>
      </c>
      <c r="CL601" s="33">
        <v>0</v>
      </c>
      <c r="CM601" s="33">
        <v>3</v>
      </c>
      <c r="CN601" s="33">
        <v>5</v>
      </c>
      <c r="CO601" s="33">
        <v>1</v>
      </c>
      <c r="CP601" s="43">
        <v>0.56170243131994135</v>
      </c>
      <c r="CQ601" s="33">
        <v>1</v>
      </c>
      <c r="CR601" s="33">
        <v>1</v>
      </c>
    </row>
    <row r="602" spans="1:96" ht="15" customHeight="1" x14ac:dyDescent="0.25">
      <c r="A602" s="26">
        <v>600</v>
      </c>
      <c r="B602" s="27">
        <v>32</v>
      </c>
      <c r="C602" s="27">
        <v>0</v>
      </c>
      <c r="D602" s="27">
        <v>1</v>
      </c>
      <c r="E602" s="27">
        <v>859</v>
      </c>
      <c r="F602" s="27">
        <v>2</v>
      </c>
      <c r="G602" s="27">
        <v>4</v>
      </c>
      <c r="H602" s="27">
        <v>3</v>
      </c>
      <c r="I602" s="27">
        <v>1</v>
      </c>
      <c r="J602" s="27">
        <v>1</v>
      </c>
      <c r="K602" s="27">
        <v>830</v>
      </c>
      <c r="L602" s="27">
        <v>3</v>
      </c>
      <c r="M602" s="27">
        <v>0</v>
      </c>
      <c r="N602" s="27">
        <v>98</v>
      </c>
      <c r="O602" s="27">
        <v>2</v>
      </c>
      <c r="P602" s="27">
        <v>2</v>
      </c>
      <c r="Q602" s="27">
        <v>4</v>
      </c>
      <c r="R602" s="27">
        <v>3</v>
      </c>
      <c r="S602" s="27">
        <v>2</v>
      </c>
      <c r="T602" s="27">
        <v>6162</v>
      </c>
      <c r="U602" s="27">
        <v>19124</v>
      </c>
      <c r="V602" s="27">
        <v>1</v>
      </c>
      <c r="W602" s="27">
        <v>0</v>
      </c>
      <c r="X602" s="27">
        <v>12</v>
      </c>
      <c r="Y602" s="27">
        <v>3</v>
      </c>
      <c r="Z602" s="27">
        <v>3</v>
      </c>
      <c r="AA602" s="27">
        <v>80</v>
      </c>
      <c r="AB602" s="27">
        <v>1</v>
      </c>
      <c r="AC602" s="27">
        <v>14</v>
      </c>
      <c r="AD602" s="27">
        <v>3</v>
      </c>
      <c r="AE602" s="27">
        <v>3</v>
      </c>
      <c r="AF602" s="27">
        <v>14</v>
      </c>
      <c r="AG602" s="27">
        <v>13</v>
      </c>
      <c r="AH602" s="27">
        <v>6</v>
      </c>
      <c r="AI602" s="28">
        <v>8</v>
      </c>
      <c r="AK602" s="36">
        <v>569</v>
      </c>
      <c r="AL602" s="33">
        <v>2</v>
      </c>
      <c r="AM602" s="33">
        <v>5</v>
      </c>
      <c r="AN602" s="33">
        <v>1</v>
      </c>
      <c r="AO602" s="33">
        <v>5</v>
      </c>
      <c r="AP602" s="33">
        <v>1</v>
      </c>
      <c r="AQ602" s="33">
        <v>1</v>
      </c>
      <c r="AR602" s="33">
        <v>3</v>
      </c>
      <c r="AS602" s="33">
        <v>5</v>
      </c>
      <c r="AT602" s="33">
        <v>1</v>
      </c>
      <c r="AU602" s="43">
        <v>8.6490448042754506E-2</v>
      </c>
      <c r="AV602" s="33">
        <v>0</v>
      </c>
      <c r="AW602" s="33">
        <v>1</v>
      </c>
      <c r="AY602" s="36">
        <v>574</v>
      </c>
      <c r="AZ602" s="33">
        <v>2</v>
      </c>
      <c r="BA602" s="33">
        <v>1</v>
      </c>
      <c r="BB602" s="33">
        <v>0</v>
      </c>
      <c r="BC602" s="33">
        <v>0</v>
      </c>
      <c r="BD602" s="43">
        <v>0.19196561144667343</v>
      </c>
      <c r="BE602" s="33">
        <v>0</v>
      </c>
      <c r="BF602" s="33">
        <v>1</v>
      </c>
      <c r="CE602" s="36">
        <v>568</v>
      </c>
      <c r="CF602" s="33">
        <v>2</v>
      </c>
      <c r="CG602" s="33">
        <v>2</v>
      </c>
      <c r="CH602" s="33">
        <v>4</v>
      </c>
      <c r="CI602" s="33">
        <v>1</v>
      </c>
      <c r="CJ602" s="33">
        <v>1</v>
      </c>
      <c r="CK602" s="33">
        <v>0</v>
      </c>
      <c r="CL602" s="33">
        <v>0</v>
      </c>
      <c r="CM602" s="33">
        <v>3</v>
      </c>
      <c r="CN602" s="33">
        <v>6</v>
      </c>
      <c r="CO602" s="33">
        <v>1</v>
      </c>
      <c r="CP602" s="43">
        <v>6.0651520465591968E-2</v>
      </c>
      <c r="CQ602" s="33">
        <v>0</v>
      </c>
      <c r="CR602" s="33">
        <v>0</v>
      </c>
    </row>
    <row r="603" spans="1:96" ht="15" customHeight="1" x14ac:dyDescent="0.25">
      <c r="A603" s="26">
        <v>601</v>
      </c>
      <c r="B603" s="27">
        <v>40</v>
      </c>
      <c r="C603" s="27">
        <v>0</v>
      </c>
      <c r="D603" s="27">
        <v>2</v>
      </c>
      <c r="E603" s="27">
        <v>720</v>
      </c>
      <c r="F603" s="27">
        <v>2</v>
      </c>
      <c r="G603" s="27">
        <v>16</v>
      </c>
      <c r="H603" s="27">
        <v>4</v>
      </c>
      <c r="I603" s="27">
        <v>3</v>
      </c>
      <c r="J603" s="27">
        <v>1</v>
      </c>
      <c r="K603" s="27">
        <v>832</v>
      </c>
      <c r="L603" s="27">
        <v>1</v>
      </c>
      <c r="M603" s="27">
        <v>1</v>
      </c>
      <c r="N603" s="27">
        <v>51</v>
      </c>
      <c r="O603" s="27">
        <v>2</v>
      </c>
      <c r="P603" s="27">
        <v>2</v>
      </c>
      <c r="Q603" s="27">
        <v>3</v>
      </c>
      <c r="R603" s="27">
        <v>3</v>
      </c>
      <c r="S603" s="27">
        <v>1</v>
      </c>
      <c r="T603" s="27">
        <v>5094</v>
      </c>
      <c r="U603" s="27">
        <v>11983</v>
      </c>
      <c r="V603" s="27">
        <v>6</v>
      </c>
      <c r="W603" s="27">
        <v>0</v>
      </c>
      <c r="X603" s="27">
        <v>14</v>
      </c>
      <c r="Y603" s="27">
        <v>3</v>
      </c>
      <c r="Z603" s="27">
        <v>4</v>
      </c>
      <c r="AA603" s="27">
        <v>80</v>
      </c>
      <c r="AB603" s="27">
        <v>0</v>
      </c>
      <c r="AC603" s="27">
        <v>10</v>
      </c>
      <c r="AD603" s="27">
        <v>6</v>
      </c>
      <c r="AE603" s="27">
        <v>3</v>
      </c>
      <c r="AF603" s="27">
        <v>1</v>
      </c>
      <c r="AG603" s="27">
        <v>0</v>
      </c>
      <c r="AH603" s="27">
        <v>0</v>
      </c>
      <c r="AI603" s="28">
        <v>0</v>
      </c>
      <c r="AK603" s="36">
        <v>570</v>
      </c>
      <c r="AL603" s="33">
        <v>8</v>
      </c>
      <c r="AM603" s="33">
        <v>3</v>
      </c>
      <c r="AN603" s="33">
        <v>1</v>
      </c>
      <c r="AO603" s="33">
        <v>1</v>
      </c>
      <c r="AP603" s="33">
        <v>0</v>
      </c>
      <c r="AQ603" s="33">
        <v>0</v>
      </c>
      <c r="AR603" s="33">
        <v>3</v>
      </c>
      <c r="AS603" s="33">
        <v>10</v>
      </c>
      <c r="AT603" s="33">
        <v>0</v>
      </c>
      <c r="AU603" s="43">
        <v>5.8952329448310969E-2</v>
      </c>
      <c r="AV603" s="33">
        <v>0</v>
      </c>
      <c r="AW603" s="33">
        <v>0</v>
      </c>
      <c r="AY603" s="36">
        <v>575</v>
      </c>
      <c r="AZ603" s="33">
        <v>1</v>
      </c>
      <c r="BA603" s="33">
        <v>4</v>
      </c>
      <c r="BB603" s="33">
        <v>0</v>
      </c>
      <c r="BC603" s="33">
        <v>0</v>
      </c>
      <c r="BD603" s="43">
        <v>0.1472907617042678</v>
      </c>
      <c r="BE603" s="33">
        <v>0</v>
      </c>
      <c r="BF603" s="33">
        <v>0</v>
      </c>
      <c r="CE603" s="36">
        <v>569</v>
      </c>
      <c r="CF603" s="33">
        <v>2</v>
      </c>
      <c r="CG603" s="33">
        <v>5</v>
      </c>
      <c r="CH603" s="33">
        <v>1</v>
      </c>
      <c r="CI603" s="33">
        <v>2</v>
      </c>
      <c r="CJ603" s="33">
        <v>5</v>
      </c>
      <c r="CK603" s="33">
        <v>1</v>
      </c>
      <c r="CL603" s="33">
        <v>1</v>
      </c>
      <c r="CM603" s="33">
        <v>3</v>
      </c>
      <c r="CN603" s="33">
        <v>5</v>
      </c>
      <c r="CO603" s="33">
        <v>1</v>
      </c>
      <c r="CP603" s="43">
        <v>9.3064226480665244E-2</v>
      </c>
      <c r="CQ603" s="33">
        <v>0</v>
      </c>
      <c r="CR603" s="33">
        <v>1</v>
      </c>
    </row>
    <row r="604" spans="1:96" ht="15" customHeight="1" x14ac:dyDescent="0.25">
      <c r="A604" s="26">
        <v>602</v>
      </c>
      <c r="B604" s="27">
        <v>30</v>
      </c>
      <c r="C604" s="27">
        <v>0</v>
      </c>
      <c r="D604" s="27">
        <v>1</v>
      </c>
      <c r="E604" s="27">
        <v>946</v>
      </c>
      <c r="F604" s="27">
        <v>2</v>
      </c>
      <c r="G604" s="27">
        <v>2</v>
      </c>
      <c r="H604" s="27">
        <v>3</v>
      </c>
      <c r="I604" s="27">
        <v>3</v>
      </c>
      <c r="J604" s="27">
        <v>1</v>
      </c>
      <c r="K604" s="27">
        <v>833</v>
      </c>
      <c r="L604" s="27">
        <v>3</v>
      </c>
      <c r="M604" s="27">
        <v>0</v>
      </c>
      <c r="N604" s="27">
        <v>52</v>
      </c>
      <c r="O604" s="27">
        <v>2</v>
      </c>
      <c r="P604" s="27">
        <v>2</v>
      </c>
      <c r="Q604" s="27">
        <v>4</v>
      </c>
      <c r="R604" s="27">
        <v>4</v>
      </c>
      <c r="S604" s="27">
        <v>1</v>
      </c>
      <c r="T604" s="27">
        <v>6877</v>
      </c>
      <c r="U604" s="27">
        <v>20234</v>
      </c>
      <c r="V604" s="27">
        <v>5</v>
      </c>
      <c r="W604" s="27">
        <v>1</v>
      </c>
      <c r="X604" s="27">
        <v>24</v>
      </c>
      <c r="Y604" s="27">
        <v>4</v>
      </c>
      <c r="Z604" s="27">
        <v>2</v>
      </c>
      <c r="AA604" s="27">
        <v>80</v>
      </c>
      <c r="AB604" s="27">
        <v>0</v>
      </c>
      <c r="AC604" s="27">
        <v>12</v>
      </c>
      <c r="AD604" s="27">
        <v>4</v>
      </c>
      <c r="AE604" s="27">
        <v>2</v>
      </c>
      <c r="AF604" s="27">
        <v>0</v>
      </c>
      <c r="AG604" s="27">
        <v>0</v>
      </c>
      <c r="AH604" s="27">
        <v>0</v>
      </c>
      <c r="AI604" s="28">
        <v>0</v>
      </c>
      <c r="AK604" s="36">
        <v>571</v>
      </c>
      <c r="AL604" s="33">
        <v>19</v>
      </c>
      <c r="AM604" s="33">
        <v>1</v>
      </c>
      <c r="AN604" s="33">
        <v>4</v>
      </c>
      <c r="AO604" s="33">
        <v>0</v>
      </c>
      <c r="AP604" s="33">
        <v>0</v>
      </c>
      <c r="AQ604" s="33">
        <v>1</v>
      </c>
      <c r="AR604" s="33">
        <v>3</v>
      </c>
      <c r="AS604" s="33">
        <v>4</v>
      </c>
      <c r="AT604" s="33">
        <v>1</v>
      </c>
      <c r="AU604" s="43">
        <v>9.2935391509719328E-2</v>
      </c>
      <c r="AV604" s="33">
        <v>0</v>
      </c>
      <c r="AW604" s="33">
        <v>0</v>
      </c>
      <c r="AY604" s="36">
        <v>576</v>
      </c>
      <c r="AZ604" s="33">
        <v>2</v>
      </c>
      <c r="BA604" s="33">
        <v>1</v>
      </c>
      <c r="BB604" s="33">
        <v>1</v>
      </c>
      <c r="BC604" s="33">
        <v>2</v>
      </c>
      <c r="BD604" s="43">
        <v>0.26118153491158147</v>
      </c>
      <c r="BE604" s="33">
        <v>0</v>
      </c>
      <c r="BF604" s="33">
        <v>0</v>
      </c>
      <c r="CE604" s="36">
        <v>570</v>
      </c>
      <c r="CF604" s="33">
        <v>8</v>
      </c>
      <c r="CG604" s="33">
        <v>3</v>
      </c>
      <c r="CH604" s="33">
        <v>1</v>
      </c>
      <c r="CI604" s="33">
        <v>1</v>
      </c>
      <c r="CJ604" s="33">
        <v>1</v>
      </c>
      <c r="CK604" s="33">
        <v>0</v>
      </c>
      <c r="CL604" s="33">
        <v>0</v>
      </c>
      <c r="CM604" s="33">
        <v>3</v>
      </c>
      <c r="CN604" s="33">
        <v>10</v>
      </c>
      <c r="CO604" s="33">
        <v>0</v>
      </c>
      <c r="CP604" s="43">
        <v>7.201380069114631E-2</v>
      </c>
      <c r="CQ604" s="33">
        <v>0</v>
      </c>
      <c r="CR604" s="33">
        <v>0</v>
      </c>
    </row>
    <row r="605" spans="1:96" ht="15" customHeight="1" x14ac:dyDescent="0.25">
      <c r="A605" s="26">
        <v>603</v>
      </c>
      <c r="B605" s="27">
        <v>45</v>
      </c>
      <c r="C605" s="27">
        <v>0</v>
      </c>
      <c r="D605" s="27">
        <v>1</v>
      </c>
      <c r="E605" s="27">
        <v>252</v>
      </c>
      <c r="F605" s="27">
        <v>2</v>
      </c>
      <c r="G605" s="27">
        <v>2</v>
      </c>
      <c r="H605" s="27">
        <v>3</v>
      </c>
      <c r="I605" s="27">
        <v>1</v>
      </c>
      <c r="J605" s="27">
        <v>1</v>
      </c>
      <c r="K605" s="27">
        <v>834</v>
      </c>
      <c r="L605" s="27">
        <v>2</v>
      </c>
      <c r="M605" s="27">
        <v>0</v>
      </c>
      <c r="N605" s="27">
        <v>95</v>
      </c>
      <c r="O605" s="27">
        <v>2</v>
      </c>
      <c r="P605" s="27">
        <v>1</v>
      </c>
      <c r="Q605" s="27">
        <v>2</v>
      </c>
      <c r="R605" s="27">
        <v>3</v>
      </c>
      <c r="S605" s="27">
        <v>1</v>
      </c>
      <c r="T605" s="27">
        <v>2274</v>
      </c>
      <c r="U605" s="27">
        <v>6153</v>
      </c>
      <c r="V605" s="27">
        <v>1</v>
      </c>
      <c r="W605" s="27">
        <v>0</v>
      </c>
      <c r="X605" s="27">
        <v>14</v>
      </c>
      <c r="Y605" s="27">
        <v>3</v>
      </c>
      <c r="Z605" s="27">
        <v>4</v>
      </c>
      <c r="AA605" s="27">
        <v>80</v>
      </c>
      <c r="AB605" s="27">
        <v>0</v>
      </c>
      <c r="AC605" s="27">
        <v>1</v>
      </c>
      <c r="AD605" s="27">
        <v>3</v>
      </c>
      <c r="AE605" s="27">
        <v>3</v>
      </c>
      <c r="AF605" s="27">
        <v>1</v>
      </c>
      <c r="AG605" s="27">
        <v>0</v>
      </c>
      <c r="AH605" s="27">
        <v>0</v>
      </c>
      <c r="AI605" s="28">
        <v>0</v>
      </c>
      <c r="AK605" s="36">
        <v>572</v>
      </c>
      <c r="AL605" s="33">
        <v>1</v>
      </c>
      <c r="AM605" s="33">
        <v>1</v>
      </c>
      <c r="AN605" s="33">
        <v>4</v>
      </c>
      <c r="AO605" s="33">
        <v>3</v>
      </c>
      <c r="AP605" s="33">
        <v>0</v>
      </c>
      <c r="AQ605" s="33">
        <v>1</v>
      </c>
      <c r="AR605" s="33">
        <v>3</v>
      </c>
      <c r="AS605" s="33">
        <v>2</v>
      </c>
      <c r="AT605" s="33">
        <v>2</v>
      </c>
      <c r="AU605" s="43">
        <v>8.5158215595784459E-2</v>
      </c>
      <c r="AV605" s="33">
        <v>0</v>
      </c>
      <c r="AW605" s="33">
        <v>0</v>
      </c>
      <c r="AY605" s="36">
        <v>577</v>
      </c>
      <c r="AZ605" s="33">
        <v>2</v>
      </c>
      <c r="BA605" s="33">
        <v>4</v>
      </c>
      <c r="BB605" s="33">
        <v>0</v>
      </c>
      <c r="BC605" s="33">
        <v>1</v>
      </c>
      <c r="BD605" s="43">
        <v>5.5093218126976727E-2</v>
      </c>
      <c r="BE605" s="33">
        <v>0</v>
      </c>
      <c r="BF605" s="33">
        <v>0</v>
      </c>
      <c r="CE605" s="36">
        <v>571</v>
      </c>
      <c r="CF605" s="33">
        <v>19</v>
      </c>
      <c r="CG605" s="33">
        <v>1</v>
      </c>
      <c r="CH605" s="33">
        <v>4</v>
      </c>
      <c r="CI605" s="33">
        <v>2</v>
      </c>
      <c r="CJ605" s="33">
        <v>0</v>
      </c>
      <c r="CK605" s="33">
        <v>0</v>
      </c>
      <c r="CL605" s="33">
        <v>1</v>
      </c>
      <c r="CM605" s="33">
        <v>3</v>
      </c>
      <c r="CN605" s="33">
        <v>4</v>
      </c>
      <c r="CO605" s="33">
        <v>1</v>
      </c>
      <c r="CP605" s="43">
        <v>8.6989699913141066E-2</v>
      </c>
      <c r="CQ605" s="33">
        <v>0</v>
      </c>
      <c r="CR605" s="33">
        <v>0</v>
      </c>
    </row>
    <row r="606" spans="1:96" ht="15" customHeight="1" x14ac:dyDescent="0.25">
      <c r="A606" s="26">
        <v>604</v>
      </c>
      <c r="B606" s="27">
        <v>42</v>
      </c>
      <c r="C606" s="27">
        <v>0</v>
      </c>
      <c r="D606" s="27">
        <v>1</v>
      </c>
      <c r="E606" s="27">
        <v>933</v>
      </c>
      <c r="F606" s="27">
        <v>2</v>
      </c>
      <c r="G606" s="27">
        <v>29</v>
      </c>
      <c r="H606" s="27">
        <v>3</v>
      </c>
      <c r="I606" s="27">
        <v>1</v>
      </c>
      <c r="J606" s="27">
        <v>1</v>
      </c>
      <c r="K606" s="27">
        <v>836</v>
      </c>
      <c r="L606" s="27">
        <v>2</v>
      </c>
      <c r="M606" s="27">
        <v>1</v>
      </c>
      <c r="N606" s="27">
        <v>98</v>
      </c>
      <c r="O606" s="27">
        <v>3</v>
      </c>
      <c r="P606" s="27">
        <v>2</v>
      </c>
      <c r="Q606" s="27">
        <v>4</v>
      </c>
      <c r="R606" s="27">
        <v>2</v>
      </c>
      <c r="S606" s="27">
        <v>2</v>
      </c>
      <c r="T606" s="27">
        <v>4434</v>
      </c>
      <c r="U606" s="27">
        <v>11806</v>
      </c>
      <c r="V606" s="27">
        <v>1</v>
      </c>
      <c r="W606" s="27">
        <v>0</v>
      </c>
      <c r="X606" s="27">
        <v>13</v>
      </c>
      <c r="Y606" s="27">
        <v>3</v>
      </c>
      <c r="Z606" s="27">
        <v>4</v>
      </c>
      <c r="AA606" s="27">
        <v>80</v>
      </c>
      <c r="AB606" s="27">
        <v>1</v>
      </c>
      <c r="AC606" s="27">
        <v>10</v>
      </c>
      <c r="AD606" s="27">
        <v>3</v>
      </c>
      <c r="AE606" s="27">
        <v>2</v>
      </c>
      <c r="AF606" s="27">
        <v>9</v>
      </c>
      <c r="AG606" s="27">
        <v>8</v>
      </c>
      <c r="AH606" s="27">
        <v>7</v>
      </c>
      <c r="AI606" s="28">
        <v>8</v>
      </c>
      <c r="AK606" s="36">
        <v>573</v>
      </c>
      <c r="AL606" s="33">
        <v>27</v>
      </c>
      <c r="AM606" s="33">
        <v>2</v>
      </c>
      <c r="AN606" s="33">
        <v>3</v>
      </c>
      <c r="AO606" s="33">
        <v>4</v>
      </c>
      <c r="AP606" s="33">
        <v>0</v>
      </c>
      <c r="AQ606" s="33">
        <v>1</v>
      </c>
      <c r="AR606" s="33">
        <v>2</v>
      </c>
      <c r="AS606" s="33">
        <v>8</v>
      </c>
      <c r="AT606" s="33">
        <v>1</v>
      </c>
      <c r="AU606" s="43">
        <v>0.12039311161147537</v>
      </c>
      <c r="AV606" s="33">
        <v>0</v>
      </c>
      <c r="AW606" s="33">
        <v>0</v>
      </c>
      <c r="AY606" s="36">
        <v>578</v>
      </c>
      <c r="AZ606" s="33">
        <v>1</v>
      </c>
      <c r="BA606" s="33">
        <v>1</v>
      </c>
      <c r="BB606" s="33">
        <v>1</v>
      </c>
      <c r="BC606" s="33">
        <v>2</v>
      </c>
      <c r="BD606" s="43">
        <v>0.38191600183355362</v>
      </c>
      <c r="BE606" s="33">
        <v>0</v>
      </c>
      <c r="BF606" s="33">
        <v>0</v>
      </c>
      <c r="CE606" s="36">
        <v>572</v>
      </c>
      <c r="CF606" s="33">
        <v>1</v>
      </c>
      <c r="CG606" s="33">
        <v>1</v>
      </c>
      <c r="CH606" s="33">
        <v>4</v>
      </c>
      <c r="CI606" s="33">
        <v>3</v>
      </c>
      <c r="CJ606" s="33">
        <v>3</v>
      </c>
      <c r="CK606" s="33">
        <v>0</v>
      </c>
      <c r="CL606" s="33">
        <v>1</v>
      </c>
      <c r="CM606" s="33">
        <v>3</v>
      </c>
      <c r="CN606" s="33">
        <v>2</v>
      </c>
      <c r="CO606" s="33">
        <v>2</v>
      </c>
      <c r="CP606" s="43">
        <v>4.8026010680109067E-2</v>
      </c>
      <c r="CQ606" s="33">
        <v>0</v>
      </c>
      <c r="CR606" s="33">
        <v>0</v>
      </c>
    </row>
    <row r="607" spans="1:96" ht="15" customHeight="1" x14ac:dyDescent="0.25">
      <c r="A607" s="26">
        <v>605</v>
      </c>
      <c r="B607" s="27">
        <v>38</v>
      </c>
      <c r="C607" s="27">
        <v>0</v>
      </c>
      <c r="D607" s="27">
        <v>2</v>
      </c>
      <c r="E607" s="27">
        <v>471</v>
      </c>
      <c r="F607" s="27">
        <v>2</v>
      </c>
      <c r="G607" s="27">
        <v>12</v>
      </c>
      <c r="H607" s="27">
        <v>3</v>
      </c>
      <c r="I607" s="27">
        <v>1</v>
      </c>
      <c r="J607" s="27">
        <v>1</v>
      </c>
      <c r="K607" s="27">
        <v>837</v>
      </c>
      <c r="L607" s="27">
        <v>1</v>
      </c>
      <c r="M607" s="27">
        <v>1</v>
      </c>
      <c r="N607" s="27">
        <v>45</v>
      </c>
      <c r="O607" s="27">
        <v>2</v>
      </c>
      <c r="P607" s="27">
        <v>2</v>
      </c>
      <c r="Q607" s="27">
        <v>5</v>
      </c>
      <c r="R607" s="27">
        <v>1</v>
      </c>
      <c r="S607" s="27">
        <v>3</v>
      </c>
      <c r="T607" s="27">
        <v>6288</v>
      </c>
      <c r="U607" s="27">
        <v>4284</v>
      </c>
      <c r="V607" s="27">
        <v>2</v>
      </c>
      <c r="W607" s="27">
        <v>0</v>
      </c>
      <c r="X607" s="27">
        <v>15</v>
      </c>
      <c r="Y607" s="27">
        <v>3</v>
      </c>
      <c r="Z607" s="27">
        <v>3</v>
      </c>
      <c r="AA607" s="27">
        <v>80</v>
      </c>
      <c r="AB607" s="27">
        <v>1</v>
      </c>
      <c r="AC607" s="27">
        <v>13</v>
      </c>
      <c r="AD607" s="27">
        <v>3</v>
      </c>
      <c r="AE607" s="27">
        <v>2</v>
      </c>
      <c r="AF607" s="27">
        <v>4</v>
      </c>
      <c r="AG607" s="27">
        <v>3</v>
      </c>
      <c r="AH607" s="27">
        <v>1</v>
      </c>
      <c r="AI607" s="28">
        <v>2</v>
      </c>
      <c r="AK607" s="36">
        <v>574</v>
      </c>
      <c r="AL607" s="33">
        <v>8</v>
      </c>
      <c r="AM607" s="33">
        <v>2</v>
      </c>
      <c r="AN607" s="33">
        <v>1</v>
      </c>
      <c r="AO607" s="33">
        <v>6</v>
      </c>
      <c r="AP607" s="33">
        <v>0</v>
      </c>
      <c r="AQ607" s="33">
        <v>0</v>
      </c>
      <c r="AR607" s="33">
        <v>2</v>
      </c>
      <c r="AS607" s="33">
        <v>4</v>
      </c>
      <c r="AT607" s="33">
        <v>1</v>
      </c>
      <c r="AU607" s="43">
        <v>0.26498257559565769</v>
      </c>
      <c r="AV607" s="33">
        <v>0</v>
      </c>
      <c r="AW607" s="33">
        <v>1</v>
      </c>
      <c r="AY607" s="36">
        <v>579</v>
      </c>
      <c r="AZ607" s="33">
        <v>2</v>
      </c>
      <c r="BA607" s="33">
        <v>1</v>
      </c>
      <c r="BB607" s="33">
        <v>1</v>
      </c>
      <c r="BC607" s="33">
        <v>0</v>
      </c>
      <c r="BD607" s="43">
        <v>0.50385917417366921</v>
      </c>
      <c r="BE607" s="33">
        <v>1</v>
      </c>
      <c r="BF607" s="33">
        <v>0</v>
      </c>
      <c r="CE607" s="36">
        <v>573</v>
      </c>
      <c r="CF607" s="33">
        <v>27</v>
      </c>
      <c r="CG607" s="33">
        <v>2</v>
      </c>
      <c r="CH607" s="33">
        <v>3</v>
      </c>
      <c r="CI607" s="33">
        <v>2</v>
      </c>
      <c r="CJ607" s="33">
        <v>4</v>
      </c>
      <c r="CK607" s="33">
        <v>0</v>
      </c>
      <c r="CL607" s="33">
        <v>1</v>
      </c>
      <c r="CM607" s="33">
        <v>2</v>
      </c>
      <c r="CN607" s="33">
        <v>8</v>
      </c>
      <c r="CO607" s="33">
        <v>1</v>
      </c>
      <c r="CP607" s="43">
        <v>0.11774857927097913</v>
      </c>
      <c r="CQ607" s="33">
        <v>0</v>
      </c>
      <c r="CR607" s="33">
        <v>0</v>
      </c>
    </row>
    <row r="608" spans="1:96" ht="15" customHeight="1" x14ac:dyDescent="0.25">
      <c r="A608" s="26">
        <v>606</v>
      </c>
      <c r="B608" s="27">
        <v>34</v>
      </c>
      <c r="C608" s="27">
        <v>0</v>
      </c>
      <c r="D608" s="27">
        <v>2</v>
      </c>
      <c r="E608" s="27">
        <v>702</v>
      </c>
      <c r="F608" s="27">
        <v>2</v>
      </c>
      <c r="G608" s="27">
        <v>16</v>
      </c>
      <c r="H608" s="27">
        <v>4</v>
      </c>
      <c r="I608" s="27">
        <v>1</v>
      </c>
      <c r="J608" s="27">
        <v>1</v>
      </c>
      <c r="K608" s="27">
        <v>838</v>
      </c>
      <c r="L608" s="27">
        <v>3</v>
      </c>
      <c r="M608" s="27">
        <v>0</v>
      </c>
      <c r="N608" s="27">
        <v>100</v>
      </c>
      <c r="O608" s="27">
        <v>2</v>
      </c>
      <c r="P608" s="27">
        <v>1</v>
      </c>
      <c r="Q608" s="27">
        <v>2</v>
      </c>
      <c r="R608" s="27">
        <v>4</v>
      </c>
      <c r="S608" s="27">
        <v>1</v>
      </c>
      <c r="T608" s="27">
        <v>2553</v>
      </c>
      <c r="U608" s="27">
        <v>8306</v>
      </c>
      <c r="V608" s="27">
        <v>1</v>
      </c>
      <c r="W608" s="27">
        <v>0</v>
      </c>
      <c r="X608" s="27">
        <v>16</v>
      </c>
      <c r="Y608" s="27">
        <v>3</v>
      </c>
      <c r="Z608" s="27">
        <v>3</v>
      </c>
      <c r="AA608" s="27">
        <v>80</v>
      </c>
      <c r="AB608" s="27">
        <v>0</v>
      </c>
      <c r="AC608" s="27">
        <v>6</v>
      </c>
      <c r="AD608" s="27">
        <v>3</v>
      </c>
      <c r="AE608" s="27">
        <v>3</v>
      </c>
      <c r="AF608" s="27">
        <v>5</v>
      </c>
      <c r="AG608" s="27">
        <v>2</v>
      </c>
      <c r="AH608" s="27">
        <v>1</v>
      </c>
      <c r="AI608" s="28">
        <v>3</v>
      </c>
      <c r="AK608" s="36">
        <v>575</v>
      </c>
      <c r="AL608" s="33">
        <v>1</v>
      </c>
      <c r="AM608" s="33">
        <v>1</v>
      </c>
      <c r="AN608" s="33">
        <v>4</v>
      </c>
      <c r="AO608" s="33">
        <v>2</v>
      </c>
      <c r="AP608" s="33">
        <v>0</v>
      </c>
      <c r="AQ608" s="33">
        <v>0</v>
      </c>
      <c r="AR608" s="33">
        <v>3</v>
      </c>
      <c r="AS608" s="33">
        <v>4</v>
      </c>
      <c r="AT608" s="33">
        <v>1</v>
      </c>
      <c r="AU608" s="43">
        <v>0.10445609072655092</v>
      </c>
      <c r="AV608" s="33">
        <v>0</v>
      </c>
      <c r="AW608" s="33">
        <v>0</v>
      </c>
      <c r="AY608" s="36">
        <v>580</v>
      </c>
      <c r="AZ608" s="33">
        <v>1</v>
      </c>
      <c r="BA608" s="33">
        <v>1</v>
      </c>
      <c r="BB608" s="33">
        <v>0</v>
      </c>
      <c r="BC608" s="33">
        <v>0</v>
      </c>
      <c r="BD608" s="43">
        <v>0.29341085656570393</v>
      </c>
      <c r="BE608" s="33">
        <v>0</v>
      </c>
      <c r="BF608" s="33">
        <v>0</v>
      </c>
      <c r="CE608" s="36">
        <v>574</v>
      </c>
      <c r="CF608" s="33">
        <v>8</v>
      </c>
      <c r="CG608" s="33">
        <v>2</v>
      </c>
      <c r="CH608" s="33">
        <v>1</v>
      </c>
      <c r="CI608" s="33">
        <v>1</v>
      </c>
      <c r="CJ608" s="33">
        <v>6</v>
      </c>
      <c r="CK608" s="33">
        <v>0</v>
      </c>
      <c r="CL608" s="33">
        <v>0</v>
      </c>
      <c r="CM608" s="33">
        <v>2</v>
      </c>
      <c r="CN608" s="33">
        <v>4</v>
      </c>
      <c r="CO608" s="33">
        <v>1</v>
      </c>
      <c r="CP608" s="43">
        <v>0.31271230108625664</v>
      </c>
      <c r="CQ608" s="33">
        <v>0</v>
      </c>
      <c r="CR608" s="33">
        <v>1</v>
      </c>
    </row>
    <row r="609" spans="1:96" ht="15" customHeight="1" x14ac:dyDescent="0.25">
      <c r="A609" s="26">
        <v>607</v>
      </c>
      <c r="B609" s="27">
        <v>49</v>
      </c>
      <c r="C609" s="27">
        <v>1</v>
      </c>
      <c r="D609" s="27">
        <v>1</v>
      </c>
      <c r="E609" s="27">
        <v>1184</v>
      </c>
      <c r="F609" s="27">
        <v>1</v>
      </c>
      <c r="G609" s="27">
        <v>11</v>
      </c>
      <c r="H609" s="27">
        <v>3</v>
      </c>
      <c r="I609" s="27">
        <v>4</v>
      </c>
      <c r="J609" s="27">
        <v>1</v>
      </c>
      <c r="K609" s="27">
        <v>840</v>
      </c>
      <c r="L609" s="27">
        <v>3</v>
      </c>
      <c r="M609" s="27">
        <v>0</v>
      </c>
      <c r="N609" s="27">
        <v>43</v>
      </c>
      <c r="O609" s="27">
        <v>3</v>
      </c>
      <c r="P609" s="27">
        <v>3</v>
      </c>
      <c r="Q609" s="27">
        <v>1</v>
      </c>
      <c r="R609" s="27">
        <v>4</v>
      </c>
      <c r="S609" s="27">
        <v>2</v>
      </c>
      <c r="T609" s="27">
        <v>7654</v>
      </c>
      <c r="U609" s="27">
        <v>5860</v>
      </c>
      <c r="V609" s="27">
        <v>1</v>
      </c>
      <c r="W609" s="27">
        <v>0</v>
      </c>
      <c r="X609" s="27">
        <v>18</v>
      </c>
      <c r="Y609" s="27">
        <v>3</v>
      </c>
      <c r="Z609" s="27">
        <v>1</v>
      </c>
      <c r="AA609" s="27">
        <v>80</v>
      </c>
      <c r="AB609" s="27">
        <v>2</v>
      </c>
      <c r="AC609" s="27">
        <v>9</v>
      </c>
      <c r="AD609" s="27">
        <v>3</v>
      </c>
      <c r="AE609" s="27">
        <v>4</v>
      </c>
      <c r="AF609" s="27">
        <v>9</v>
      </c>
      <c r="AG609" s="27">
        <v>8</v>
      </c>
      <c r="AH609" s="27">
        <v>7</v>
      </c>
      <c r="AI609" s="28">
        <v>7</v>
      </c>
      <c r="AK609" s="36">
        <v>576</v>
      </c>
      <c r="AL609" s="33">
        <v>19</v>
      </c>
      <c r="AM609" s="33">
        <v>2</v>
      </c>
      <c r="AN609" s="33">
        <v>1</v>
      </c>
      <c r="AO609" s="33">
        <v>9</v>
      </c>
      <c r="AP609" s="33">
        <v>1</v>
      </c>
      <c r="AQ609" s="33">
        <v>2</v>
      </c>
      <c r="AR609" s="33">
        <v>3</v>
      </c>
      <c r="AS609" s="33">
        <v>5</v>
      </c>
      <c r="AT609" s="33">
        <v>1</v>
      </c>
      <c r="AU609" s="43">
        <v>0.41050574103250881</v>
      </c>
      <c r="AV609" s="33">
        <v>0</v>
      </c>
      <c r="AW609" s="33">
        <v>0</v>
      </c>
      <c r="AY609" s="36">
        <v>581</v>
      </c>
      <c r="AZ609" s="33">
        <v>1</v>
      </c>
      <c r="BA609" s="33">
        <v>4</v>
      </c>
      <c r="BB609" s="33">
        <v>0</v>
      </c>
      <c r="BC609" s="33">
        <v>1</v>
      </c>
      <c r="BD609" s="43">
        <v>9.2486413274924434E-2</v>
      </c>
      <c r="BE609" s="33">
        <v>0</v>
      </c>
      <c r="BF609" s="33">
        <v>0</v>
      </c>
      <c r="CE609" s="36">
        <v>575</v>
      </c>
      <c r="CF609" s="33">
        <v>1</v>
      </c>
      <c r="CG609" s="33">
        <v>1</v>
      </c>
      <c r="CH609" s="33">
        <v>4</v>
      </c>
      <c r="CI609" s="33">
        <v>1</v>
      </c>
      <c r="CJ609" s="33">
        <v>2</v>
      </c>
      <c r="CK609" s="33">
        <v>0</v>
      </c>
      <c r="CL609" s="33">
        <v>0</v>
      </c>
      <c r="CM609" s="33">
        <v>3</v>
      </c>
      <c r="CN609" s="33">
        <v>4</v>
      </c>
      <c r="CO609" s="33">
        <v>1</v>
      </c>
      <c r="CP609" s="43">
        <v>0.11895305312929989</v>
      </c>
      <c r="CQ609" s="33">
        <v>0</v>
      </c>
      <c r="CR609" s="33">
        <v>0</v>
      </c>
    </row>
    <row r="610" spans="1:96" ht="15" customHeight="1" x14ac:dyDescent="0.25">
      <c r="A610" s="26">
        <v>608</v>
      </c>
      <c r="B610" s="27">
        <v>55</v>
      </c>
      <c r="C610" s="27">
        <v>1</v>
      </c>
      <c r="D610" s="27">
        <v>1</v>
      </c>
      <c r="E610" s="27">
        <v>436</v>
      </c>
      <c r="F610" s="27">
        <v>1</v>
      </c>
      <c r="G610" s="27">
        <v>2</v>
      </c>
      <c r="H610" s="27">
        <v>1</v>
      </c>
      <c r="I610" s="27">
        <v>3</v>
      </c>
      <c r="J610" s="27">
        <v>1</v>
      </c>
      <c r="K610" s="27">
        <v>842</v>
      </c>
      <c r="L610" s="27">
        <v>3</v>
      </c>
      <c r="M610" s="27">
        <v>1</v>
      </c>
      <c r="N610" s="27">
        <v>37</v>
      </c>
      <c r="O610" s="27">
        <v>3</v>
      </c>
      <c r="P610" s="27">
        <v>2</v>
      </c>
      <c r="Q610" s="27">
        <v>1</v>
      </c>
      <c r="R610" s="27">
        <v>4</v>
      </c>
      <c r="S610" s="27">
        <v>1</v>
      </c>
      <c r="T610" s="27">
        <v>5160</v>
      </c>
      <c r="U610" s="27">
        <v>21519</v>
      </c>
      <c r="V610" s="27">
        <v>4</v>
      </c>
      <c r="W610" s="27">
        <v>0</v>
      </c>
      <c r="X610" s="27">
        <v>16</v>
      </c>
      <c r="Y610" s="27">
        <v>3</v>
      </c>
      <c r="Z610" s="27">
        <v>3</v>
      </c>
      <c r="AA610" s="27">
        <v>80</v>
      </c>
      <c r="AB610" s="27">
        <v>0</v>
      </c>
      <c r="AC610" s="27">
        <v>12</v>
      </c>
      <c r="AD610" s="27">
        <v>3</v>
      </c>
      <c r="AE610" s="27">
        <v>2</v>
      </c>
      <c r="AF610" s="27">
        <v>9</v>
      </c>
      <c r="AG610" s="27">
        <v>7</v>
      </c>
      <c r="AH610" s="27">
        <v>7</v>
      </c>
      <c r="AI610" s="28">
        <v>3</v>
      </c>
      <c r="AK610" s="36">
        <v>577</v>
      </c>
      <c r="AL610" s="33">
        <v>8</v>
      </c>
      <c r="AM610" s="33">
        <v>2</v>
      </c>
      <c r="AN610" s="33">
        <v>4</v>
      </c>
      <c r="AO610" s="33">
        <v>0</v>
      </c>
      <c r="AP610" s="33">
        <v>0</v>
      </c>
      <c r="AQ610" s="33">
        <v>1</v>
      </c>
      <c r="AR610" s="33">
        <v>3</v>
      </c>
      <c r="AS610" s="33">
        <v>4</v>
      </c>
      <c r="AT610" s="33">
        <v>1</v>
      </c>
      <c r="AU610" s="43">
        <v>3.9169893053507238E-2</v>
      </c>
      <c r="AV610" s="33">
        <v>0</v>
      </c>
      <c r="AW610" s="33">
        <v>0</v>
      </c>
      <c r="AY610" s="36">
        <v>582</v>
      </c>
      <c r="AZ610" s="33">
        <v>1</v>
      </c>
      <c r="BA610" s="33">
        <v>3</v>
      </c>
      <c r="BB610" s="33">
        <v>0</v>
      </c>
      <c r="BC610" s="33">
        <v>2</v>
      </c>
      <c r="BD610" s="43">
        <v>7.4543423691031577E-2</v>
      </c>
      <c r="BE610" s="33">
        <v>0</v>
      </c>
      <c r="BF610" s="33">
        <v>0</v>
      </c>
      <c r="CE610" s="36">
        <v>576</v>
      </c>
      <c r="CF610" s="33">
        <v>19</v>
      </c>
      <c r="CG610" s="33">
        <v>2</v>
      </c>
      <c r="CH610" s="33">
        <v>1</v>
      </c>
      <c r="CI610" s="33">
        <v>3</v>
      </c>
      <c r="CJ610" s="33">
        <v>9</v>
      </c>
      <c r="CK610" s="33">
        <v>1</v>
      </c>
      <c r="CL610" s="33">
        <v>2</v>
      </c>
      <c r="CM610" s="33">
        <v>3</v>
      </c>
      <c r="CN610" s="33">
        <v>5</v>
      </c>
      <c r="CO610" s="33">
        <v>1</v>
      </c>
      <c r="CP610" s="43">
        <v>0.37169035520801624</v>
      </c>
      <c r="CQ610" s="33">
        <v>0</v>
      </c>
      <c r="CR610" s="33">
        <v>0</v>
      </c>
    </row>
    <row r="611" spans="1:96" ht="15" customHeight="1" x14ac:dyDescent="0.25">
      <c r="A611" s="26">
        <v>609</v>
      </c>
      <c r="B611" s="27">
        <v>43</v>
      </c>
      <c r="C611" s="27">
        <v>0</v>
      </c>
      <c r="D611" s="27">
        <v>1</v>
      </c>
      <c r="E611" s="27">
        <v>589</v>
      </c>
      <c r="F611" s="27">
        <v>2</v>
      </c>
      <c r="G611" s="27">
        <v>14</v>
      </c>
      <c r="H611" s="27">
        <v>2</v>
      </c>
      <c r="I611" s="27">
        <v>1</v>
      </c>
      <c r="J611" s="27">
        <v>1</v>
      </c>
      <c r="K611" s="27">
        <v>843</v>
      </c>
      <c r="L611" s="27">
        <v>2</v>
      </c>
      <c r="M611" s="27">
        <v>1</v>
      </c>
      <c r="N611" s="27">
        <v>94</v>
      </c>
      <c r="O611" s="27">
        <v>3</v>
      </c>
      <c r="P611" s="27">
        <v>4</v>
      </c>
      <c r="Q611" s="27">
        <v>8</v>
      </c>
      <c r="R611" s="27">
        <v>1</v>
      </c>
      <c r="S611" s="27">
        <v>2</v>
      </c>
      <c r="T611" s="27">
        <v>17159</v>
      </c>
      <c r="U611" s="27">
        <v>5200</v>
      </c>
      <c r="V611" s="27">
        <v>6</v>
      </c>
      <c r="W611" s="27">
        <v>0</v>
      </c>
      <c r="X611" s="27">
        <v>24</v>
      </c>
      <c r="Y611" s="27">
        <v>4</v>
      </c>
      <c r="Z611" s="27">
        <v>3</v>
      </c>
      <c r="AA611" s="27">
        <v>80</v>
      </c>
      <c r="AB611" s="27">
        <v>1</v>
      </c>
      <c r="AC611" s="27">
        <v>22</v>
      </c>
      <c r="AD611" s="27">
        <v>3</v>
      </c>
      <c r="AE611" s="27">
        <v>3</v>
      </c>
      <c r="AF611" s="27">
        <v>4</v>
      </c>
      <c r="AG611" s="27">
        <v>1</v>
      </c>
      <c r="AH611" s="27">
        <v>1</v>
      </c>
      <c r="AI611" s="28">
        <v>0</v>
      </c>
      <c r="AK611" s="36">
        <v>578</v>
      </c>
      <c r="AL611" s="33">
        <v>10</v>
      </c>
      <c r="AM611" s="33">
        <v>1</v>
      </c>
      <c r="AN611" s="33">
        <v>1</v>
      </c>
      <c r="AO611" s="33">
        <v>0</v>
      </c>
      <c r="AP611" s="33">
        <v>1</v>
      </c>
      <c r="AQ611" s="33">
        <v>2</v>
      </c>
      <c r="AR611" s="33">
        <v>2</v>
      </c>
      <c r="AS611" s="33">
        <v>5</v>
      </c>
      <c r="AT611" s="33">
        <v>4</v>
      </c>
      <c r="AU611" s="43">
        <v>0.42645861901683851</v>
      </c>
      <c r="AV611" s="33">
        <v>0</v>
      </c>
      <c r="AW611" s="33">
        <v>0</v>
      </c>
      <c r="AY611" s="36">
        <v>583</v>
      </c>
      <c r="AZ611" s="33">
        <v>2</v>
      </c>
      <c r="BA611" s="33">
        <v>2</v>
      </c>
      <c r="BB611" s="33">
        <v>0</v>
      </c>
      <c r="BC611" s="33">
        <v>1</v>
      </c>
      <c r="BD611" s="43">
        <v>9.4721355311452843E-2</v>
      </c>
      <c r="BE611" s="33">
        <v>0</v>
      </c>
      <c r="BF611" s="33">
        <v>0</v>
      </c>
      <c r="CE611" s="36">
        <v>577</v>
      </c>
      <c r="CF611" s="33">
        <v>8</v>
      </c>
      <c r="CG611" s="33">
        <v>2</v>
      </c>
      <c r="CH611" s="33">
        <v>4</v>
      </c>
      <c r="CI611" s="33">
        <v>2</v>
      </c>
      <c r="CJ611" s="33">
        <v>0</v>
      </c>
      <c r="CK611" s="33">
        <v>0</v>
      </c>
      <c r="CL611" s="33">
        <v>1</v>
      </c>
      <c r="CM611" s="33">
        <v>3</v>
      </c>
      <c r="CN611" s="33">
        <v>4</v>
      </c>
      <c r="CO611" s="33">
        <v>1</v>
      </c>
      <c r="CP611" s="43">
        <v>3.7050552075691835E-2</v>
      </c>
      <c r="CQ611" s="33">
        <v>0</v>
      </c>
      <c r="CR611" s="33">
        <v>0</v>
      </c>
    </row>
    <row r="612" spans="1:96" ht="15" customHeight="1" x14ac:dyDescent="0.25">
      <c r="A612" s="26">
        <v>610</v>
      </c>
      <c r="B612" s="27">
        <v>27</v>
      </c>
      <c r="C612" s="27">
        <v>0</v>
      </c>
      <c r="D612" s="27">
        <v>1</v>
      </c>
      <c r="E612" s="27">
        <v>269</v>
      </c>
      <c r="F612" s="27">
        <v>2</v>
      </c>
      <c r="G612" s="27">
        <v>5</v>
      </c>
      <c r="H612" s="27">
        <v>1</v>
      </c>
      <c r="I612" s="27">
        <v>5</v>
      </c>
      <c r="J612" s="27">
        <v>1</v>
      </c>
      <c r="K612" s="27">
        <v>844</v>
      </c>
      <c r="L612" s="27">
        <v>3</v>
      </c>
      <c r="M612" s="27">
        <v>1</v>
      </c>
      <c r="N612" s="27">
        <v>42</v>
      </c>
      <c r="O612" s="27">
        <v>2</v>
      </c>
      <c r="P612" s="27">
        <v>3</v>
      </c>
      <c r="Q612" s="27">
        <v>8</v>
      </c>
      <c r="R612" s="27">
        <v>4</v>
      </c>
      <c r="S612" s="27">
        <v>3</v>
      </c>
      <c r="T612" s="27">
        <v>12808</v>
      </c>
      <c r="U612" s="27">
        <v>8842</v>
      </c>
      <c r="V612" s="27">
        <v>1</v>
      </c>
      <c r="W612" s="27">
        <v>1</v>
      </c>
      <c r="X612" s="27">
        <v>16</v>
      </c>
      <c r="Y612" s="27">
        <v>3</v>
      </c>
      <c r="Z612" s="27">
        <v>2</v>
      </c>
      <c r="AA612" s="27">
        <v>80</v>
      </c>
      <c r="AB612" s="27">
        <v>1</v>
      </c>
      <c r="AC612" s="27">
        <v>9</v>
      </c>
      <c r="AD612" s="27">
        <v>3</v>
      </c>
      <c r="AE612" s="27">
        <v>3</v>
      </c>
      <c r="AF612" s="27">
        <v>9</v>
      </c>
      <c r="AG612" s="27">
        <v>8</v>
      </c>
      <c r="AH612" s="27">
        <v>0</v>
      </c>
      <c r="AI612" s="28">
        <v>8</v>
      </c>
      <c r="AK612" s="36">
        <v>579</v>
      </c>
      <c r="AL612" s="33">
        <v>2</v>
      </c>
      <c r="AM612" s="33">
        <v>2</v>
      </c>
      <c r="AN612" s="33">
        <v>1</v>
      </c>
      <c r="AO612" s="33">
        <v>6</v>
      </c>
      <c r="AP612" s="33">
        <v>1</v>
      </c>
      <c r="AQ612" s="33">
        <v>0</v>
      </c>
      <c r="AR612" s="33">
        <v>3</v>
      </c>
      <c r="AS612" s="33">
        <v>15</v>
      </c>
      <c r="AT612" s="33">
        <v>4</v>
      </c>
      <c r="AU612" s="43">
        <v>0.39355083044448691</v>
      </c>
      <c r="AV612" s="33">
        <v>0</v>
      </c>
      <c r="AW612" s="33">
        <v>0</v>
      </c>
      <c r="AY612" s="36">
        <v>584</v>
      </c>
      <c r="AZ612" s="33">
        <v>2</v>
      </c>
      <c r="BA612" s="33">
        <v>1</v>
      </c>
      <c r="BB612" s="33">
        <v>0</v>
      </c>
      <c r="BC612" s="33">
        <v>1</v>
      </c>
      <c r="BD612" s="43">
        <v>0.12293502213131684</v>
      </c>
      <c r="BE612" s="33">
        <v>0</v>
      </c>
      <c r="BF612" s="33">
        <v>0</v>
      </c>
      <c r="CE612" s="36">
        <v>578</v>
      </c>
      <c r="CF612" s="33">
        <v>10</v>
      </c>
      <c r="CG612" s="33">
        <v>1</v>
      </c>
      <c r="CH612" s="33">
        <v>1</v>
      </c>
      <c r="CI612" s="33">
        <v>3</v>
      </c>
      <c r="CJ612" s="33">
        <v>0</v>
      </c>
      <c r="CK612" s="33">
        <v>1</v>
      </c>
      <c r="CL612" s="33">
        <v>2</v>
      </c>
      <c r="CM612" s="33">
        <v>2</v>
      </c>
      <c r="CN612" s="33">
        <v>5</v>
      </c>
      <c r="CO612" s="33">
        <v>4</v>
      </c>
      <c r="CP612" s="43">
        <v>0.38785947604038901</v>
      </c>
      <c r="CQ612" s="33">
        <v>0</v>
      </c>
      <c r="CR612" s="33">
        <v>0</v>
      </c>
    </row>
    <row r="613" spans="1:96" ht="15" customHeight="1" x14ac:dyDescent="0.25">
      <c r="A613" s="26">
        <v>611</v>
      </c>
      <c r="B613" s="27">
        <v>35</v>
      </c>
      <c r="C613" s="27">
        <v>0</v>
      </c>
      <c r="D613" s="27">
        <v>1</v>
      </c>
      <c r="E613" s="27">
        <v>950</v>
      </c>
      <c r="F613" s="27">
        <v>2</v>
      </c>
      <c r="G613" s="27">
        <v>7</v>
      </c>
      <c r="H613" s="27">
        <v>3</v>
      </c>
      <c r="I613" s="27">
        <v>6</v>
      </c>
      <c r="J613" s="27">
        <v>1</v>
      </c>
      <c r="K613" s="27">
        <v>845</v>
      </c>
      <c r="L613" s="27">
        <v>3</v>
      </c>
      <c r="M613" s="27">
        <v>1</v>
      </c>
      <c r="N613" s="27">
        <v>59</v>
      </c>
      <c r="O613" s="27">
        <v>3</v>
      </c>
      <c r="P613" s="27">
        <v>3</v>
      </c>
      <c r="Q613" s="27">
        <v>4</v>
      </c>
      <c r="R613" s="27">
        <v>3</v>
      </c>
      <c r="S613" s="27">
        <v>1</v>
      </c>
      <c r="T613" s="27">
        <v>10221</v>
      </c>
      <c r="U613" s="27">
        <v>18869</v>
      </c>
      <c r="V613" s="27">
        <v>3</v>
      </c>
      <c r="W613" s="27">
        <v>0</v>
      </c>
      <c r="X613" s="27">
        <v>21</v>
      </c>
      <c r="Y613" s="27">
        <v>4</v>
      </c>
      <c r="Z613" s="27">
        <v>2</v>
      </c>
      <c r="AA613" s="27">
        <v>80</v>
      </c>
      <c r="AB613" s="27">
        <v>0</v>
      </c>
      <c r="AC613" s="27">
        <v>17</v>
      </c>
      <c r="AD613" s="27">
        <v>3</v>
      </c>
      <c r="AE613" s="27">
        <v>4</v>
      </c>
      <c r="AF613" s="27">
        <v>8</v>
      </c>
      <c r="AG613" s="27">
        <v>5</v>
      </c>
      <c r="AH613" s="27">
        <v>1</v>
      </c>
      <c r="AI613" s="28">
        <v>6</v>
      </c>
      <c r="AK613" s="36">
        <v>580</v>
      </c>
      <c r="AL613" s="33">
        <v>2</v>
      </c>
      <c r="AM613" s="33">
        <v>1</v>
      </c>
      <c r="AN613" s="33">
        <v>1</v>
      </c>
      <c r="AO613" s="33">
        <v>1</v>
      </c>
      <c r="AP613" s="33">
        <v>0</v>
      </c>
      <c r="AQ613" s="33">
        <v>0</v>
      </c>
      <c r="AR613" s="33">
        <v>3</v>
      </c>
      <c r="AS613" s="33">
        <v>6</v>
      </c>
      <c r="AT613" s="33">
        <v>1</v>
      </c>
      <c r="AU613" s="43">
        <v>0.18737660416700999</v>
      </c>
      <c r="AV613" s="33">
        <v>0</v>
      </c>
      <c r="AW613" s="33">
        <v>0</v>
      </c>
      <c r="AY613" s="36">
        <v>585</v>
      </c>
      <c r="AZ613" s="33">
        <v>5</v>
      </c>
      <c r="BA613" s="33">
        <v>4</v>
      </c>
      <c r="BB613" s="33">
        <v>0</v>
      </c>
      <c r="BC613" s="33">
        <v>1</v>
      </c>
      <c r="BD613" s="43">
        <v>1.0800557147898916E-2</v>
      </c>
      <c r="BE613" s="33">
        <v>0</v>
      </c>
      <c r="BF613" s="33">
        <v>0</v>
      </c>
      <c r="CE613" s="36">
        <v>579</v>
      </c>
      <c r="CF613" s="33">
        <v>2</v>
      </c>
      <c r="CG613" s="33">
        <v>2</v>
      </c>
      <c r="CH613" s="33">
        <v>1</v>
      </c>
      <c r="CI613" s="33">
        <v>1</v>
      </c>
      <c r="CJ613" s="33">
        <v>6</v>
      </c>
      <c r="CK613" s="33">
        <v>1</v>
      </c>
      <c r="CL613" s="33">
        <v>0</v>
      </c>
      <c r="CM613" s="33">
        <v>3</v>
      </c>
      <c r="CN613" s="33">
        <v>15</v>
      </c>
      <c r="CO613" s="33">
        <v>4</v>
      </c>
      <c r="CP613" s="43">
        <v>0.45749342951935507</v>
      </c>
      <c r="CQ613" s="33">
        <v>0</v>
      </c>
      <c r="CR613" s="33">
        <v>0</v>
      </c>
    </row>
    <row r="614" spans="1:96" ht="15" customHeight="1" x14ac:dyDescent="0.25">
      <c r="A614" s="26">
        <v>612</v>
      </c>
      <c r="B614" s="27">
        <v>28</v>
      </c>
      <c r="C614" s="27">
        <v>0</v>
      </c>
      <c r="D614" s="27">
        <v>1</v>
      </c>
      <c r="E614" s="27">
        <v>760</v>
      </c>
      <c r="F614" s="27">
        <v>1</v>
      </c>
      <c r="G614" s="27">
        <v>2</v>
      </c>
      <c r="H614" s="27">
        <v>4</v>
      </c>
      <c r="I614" s="27">
        <v>4</v>
      </c>
      <c r="J614" s="27">
        <v>1</v>
      </c>
      <c r="K614" s="27">
        <v>846</v>
      </c>
      <c r="L614" s="27">
        <v>2</v>
      </c>
      <c r="M614" s="27">
        <v>0</v>
      </c>
      <c r="N614" s="27">
        <v>81</v>
      </c>
      <c r="O614" s="27">
        <v>3</v>
      </c>
      <c r="P614" s="27">
        <v>2</v>
      </c>
      <c r="Q614" s="27">
        <v>1</v>
      </c>
      <c r="R614" s="27">
        <v>2</v>
      </c>
      <c r="S614" s="27">
        <v>2</v>
      </c>
      <c r="T614" s="27">
        <v>4779</v>
      </c>
      <c r="U614" s="27">
        <v>3698</v>
      </c>
      <c r="V614" s="27">
        <v>1</v>
      </c>
      <c r="W614" s="27">
        <v>1</v>
      </c>
      <c r="X614" s="27">
        <v>20</v>
      </c>
      <c r="Y614" s="27">
        <v>4</v>
      </c>
      <c r="Z614" s="27">
        <v>1</v>
      </c>
      <c r="AA614" s="27">
        <v>80</v>
      </c>
      <c r="AB614" s="27">
        <v>0</v>
      </c>
      <c r="AC614" s="27">
        <v>8</v>
      </c>
      <c r="AD614" s="27">
        <v>2</v>
      </c>
      <c r="AE614" s="27">
        <v>3</v>
      </c>
      <c r="AF614" s="27">
        <v>8</v>
      </c>
      <c r="AG614" s="27">
        <v>7</v>
      </c>
      <c r="AH614" s="27">
        <v>7</v>
      </c>
      <c r="AI614" s="28">
        <v>5</v>
      </c>
      <c r="AK614" s="36">
        <v>581</v>
      </c>
      <c r="AL614" s="33">
        <v>8</v>
      </c>
      <c r="AM614" s="33">
        <v>1</v>
      </c>
      <c r="AN614" s="33">
        <v>4</v>
      </c>
      <c r="AO614" s="33">
        <v>1</v>
      </c>
      <c r="AP614" s="33">
        <v>0</v>
      </c>
      <c r="AQ614" s="33">
        <v>1</v>
      </c>
      <c r="AR614" s="33">
        <v>2</v>
      </c>
      <c r="AS614" s="33">
        <v>3</v>
      </c>
      <c r="AT614" s="33">
        <v>0</v>
      </c>
      <c r="AU614" s="43">
        <v>8.525270044429123E-2</v>
      </c>
      <c r="AV614" s="33">
        <v>0</v>
      </c>
      <c r="AW614" s="33">
        <v>0</v>
      </c>
      <c r="AY614" s="36">
        <v>586</v>
      </c>
      <c r="AZ614" s="33">
        <v>1</v>
      </c>
      <c r="BA614" s="33">
        <v>1</v>
      </c>
      <c r="BB614" s="33">
        <v>1</v>
      </c>
      <c r="BC614" s="33">
        <v>2</v>
      </c>
      <c r="BD614" s="43">
        <v>0.38191600183355362</v>
      </c>
      <c r="BE614" s="33">
        <v>0</v>
      </c>
      <c r="BF614" s="33">
        <v>1</v>
      </c>
      <c r="CE614" s="36">
        <v>580</v>
      </c>
      <c r="CF614" s="33">
        <v>2</v>
      </c>
      <c r="CG614" s="33">
        <v>1</v>
      </c>
      <c r="CH614" s="33">
        <v>1</v>
      </c>
      <c r="CI614" s="33">
        <v>1</v>
      </c>
      <c r="CJ614" s="33">
        <v>1</v>
      </c>
      <c r="CK614" s="33">
        <v>0</v>
      </c>
      <c r="CL614" s="33">
        <v>0</v>
      </c>
      <c r="CM614" s="33">
        <v>3</v>
      </c>
      <c r="CN614" s="33">
        <v>6</v>
      </c>
      <c r="CO614" s="33">
        <v>1</v>
      </c>
      <c r="CP614" s="43">
        <v>0.21946643670424112</v>
      </c>
      <c r="CQ614" s="33">
        <v>0</v>
      </c>
      <c r="CR614" s="33">
        <v>0</v>
      </c>
    </row>
    <row r="615" spans="1:96" ht="15" customHeight="1" x14ac:dyDescent="0.25">
      <c r="A615" s="26">
        <v>613</v>
      </c>
      <c r="B615" s="27">
        <v>34</v>
      </c>
      <c r="C615" s="27">
        <v>0</v>
      </c>
      <c r="D615" s="27">
        <v>1</v>
      </c>
      <c r="E615" s="27">
        <v>829</v>
      </c>
      <c r="F615" s="27">
        <v>3</v>
      </c>
      <c r="G615" s="27">
        <v>3</v>
      </c>
      <c r="H615" s="27">
        <v>2</v>
      </c>
      <c r="I615" s="27">
        <v>2</v>
      </c>
      <c r="J615" s="27">
        <v>1</v>
      </c>
      <c r="K615" s="27">
        <v>847</v>
      </c>
      <c r="L615" s="27">
        <v>3</v>
      </c>
      <c r="M615" s="27">
        <v>1</v>
      </c>
      <c r="N615" s="27">
        <v>88</v>
      </c>
      <c r="O615" s="27">
        <v>3</v>
      </c>
      <c r="P615" s="27">
        <v>1</v>
      </c>
      <c r="Q615" s="27">
        <v>9</v>
      </c>
      <c r="R615" s="27">
        <v>4</v>
      </c>
      <c r="S615" s="27">
        <v>2</v>
      </c>
      <c r="T615" s="27">
        <v>3737</v>
      </c>
      <c r="U615" s="27">
        <v>2243</v>
      </c>
      <c r="V615" s="27">
        <v>0</v>
      </c>
      <c r="W615" s="27">
        <v>0</v>
      </c>
      <c r="X615" s="27">
        <v>19</v>
      </c>
      <c r="Y615" s="27">
        <v>3</v>
      </c>
      <c r="Z615" s="27">
        <v>3</v>
      </c>
      <c r="AA615" s="27">
        <v>80</v>
      </c>
      <c r="AB615" s="27">
        <v>1</v>
      </c>
      <c r="AC615" s="27">
        <v>4</v>
      </c>
      <c r="AD615" s="27">
        <v>1</v>
      </c>
      <c r="AE615" s="27">
        <v>1</v>
      </c>
      <c r="AF615" s="27">
        <v>3</v>
      </c>
      <c r="AG615" s="27">
        <v>2</v>
      </c>
      <c r="AH615" s="27">
        <v>0</v>
      </c>
      <c r="AI615" s="28">
        <v>2</v>
      </c>
      <c r="AK615" s="36">
        <v>582</v>
      </c>
      <c r="AL615" s="33">
        <v>1</v>
      </c>
      <c r="AM615" s="33">
        <v>1</v>
      </c>
      <c r="AN615" s="33">
        <v>3</v>
      </c>
      <c r="AO615" s="33">
        <v>3</v>
      </c>
      <c r="AP615" s="33">
        <v>0</v>
      </c>
      <c r="AQ615" s="33">
        <v>2</v>
      </c>
      <c r="AR615" s="33">
        <v>3</v>
      </c>
      <c r="AS615" s="33">
        <v>2</v>
      </c>
      <c r="AT615" s="33">
        <v>0</v>
      </c>
      <c r="AU615" s="43">
        <v>5.3350973933057363E-2</v>
      </c>
      <c r="AV615" s="33">
        <v>0</v>
      </c>
      <c r="AW615" s="33">
        <v>0</v>
      </c>
      <c r="AY615" s="36">
        <v>587</v>
      </c>
      <c r="AZ615" s="33">
        <v>1</v>
      </c>
      <c r="BA615" s="33">
        <v>2</v>
      </c>
      <c r="BB615" s="33">
        <v>0</v>
      </c>
      <c r="BC615" s="33">
        <v>3</v>
      </c>
      <c r="BD615" s="43">
        <v>5.9851914082878141E-2</v>
      </c>
      <c r="BE615" s="33">
        <v>0</v>
      </c>
      <c r="BF615" s="33">
        <v>0</v>
      </c>
      <c r="CE615" s="36">
        <v>581</v>
      </c>
      <c r="CF615" s="33">
        <v>8</v>
      </c>
      <c r="CG615" s="33">
        <v>1</v>
      </c>
      <c r="CH615" s="33">
        <v>4</v>
      </c>
      <c r="CI615" s="33">
        <v>2</v>
      </c>
      <c r="CJ615" s="33">
        <v>1</v>
      </c>
      <c r="CK615" s="33">
        <v>0</v>
      </c>
      <c r="CL615" s="33">
        <v>1</v>
      </c>
      <c r="CM615" s="33">
        <v>2</v>
      </c>
      <c r="CN615" s="33">
        <v>3</v>
      </c>
      <c r="CO615" s="33">
        <v>0</v>
      </c>
      <c r="CP615" s="43">
        <v>8.1142875524306046E-2</v>
      </c>
      <c r="CQ615" s="33">
        <v>0</v>
      </c>
      <c r="CR615" s="33">
        <v>0</v>
      </c>
    </row>
    <row r="616" spans="1:96" ht="15" customHeight="1" x14ac:dyDescent="0.25">
      <c r="A616" s="26">
        <v>614</v>
      </c>
      <c r="B616" s="27">
        <v>26</v>
      </c>
      <c r="C616" s="27">
        <v>1</v>
      </c>
      <c r="D616" s="27">
        <v>2</v>
      </c>
      <c r="E616" s="27">
        <v>887</v>
      </c>
      <c r="F616" s="27">
        <v>2</v>
      </c>
      <c r="G616" s="27">
        <v>5</v>
      </c>
      <c r="H616" s="27">
        <v>2</v>
      </c>
      <c r="I616" s="27">
        <v>3</v>
      </c>
      <c r="J616" s="27">
        <v>1</v>
      </c>
      <c r="K616" s="27">
        <v>848</v>
      </c>
      <c r="L616" s="27">
        <v>3</v>
      </c>
      <c r="M616" s="27">
        <v>0</v>
      </c>
      <c r="N616" s="27">
        <v>88</v>
      </c>
      <c r="O616" s="27">
        <v>2</v>
      </c>
      <c r="P616" s="27">
        <v>1</v>
      </c>
      <c r="Q616" s="27">
        <v>2</v>
      </c>
      <c r="R616" s="27">
        <v>3</v>
      </c>
      <c r="S616" s="27">
        <v>2</v>
      </c>
      <c r="T616" s="27">
        <v>2366</v>
      </c>
      <c r="U616" s="27">
        <v>20898</v>
      </c>
      <c r="V616" s="27">
        <v>1</v>
      </c>
      <c r="W616" s="27">
        <v>1</v>
      </c>
      <c r="X616" s="27">
        <v>14</v>
      </c>
      <c r="Y616" s="27">
        <v>3</v>
      </c>
      <c r="Z616" s="27">
        <v>1</v>
      </c>
      <c r="AA616" s="27">
        <v>80</v>
      </c>
      <c r="AB616" s="27">
        <v>1</v>
      </c>
      <c r="AC616" s="27">
        <v>8</v>
      </c>
      <c r="AD616" s="27">
        <v>2</v>
      </c>
      <c r="AE616" s="27">
        <v>3</v>
      </c>
      <c r="AF616" s="27">
        <v>8</v>
      </c>
      <c r="AG616" s="27">
        <v>7</v>
      </c>
      <c r="AH616" s="27">
        <v>1</v>
      </c>
      <c r="AI616" s="28">
        <v>7</v>
      </c>
      <c r="AK616" s="36">
        <v>583</v>
      </c>
      <c r="AL616" s="33">
        <v>2</v>
      </c>
      <c r="AM616" s="33">
        <v>2</v>
      </c>
      <c r="AN616" s="33">
        <v>2</v>
      </c>
      <c r="AO616" s="33">
        <v>1</v>
      </c>
      <c r="AP616" s="33">
        <v>0</v>
      </c>
      <c r="AQ616" s="33">
        <v>1</v>
      </c>
      <c r="AR616" s="33">
        <v>3</v>
      </c>
      <c r="AS616" s="33">
        <v>8</v>
      </c>
      <c r="AT616" s="33">
        <v>3</v>
      </c>
      <c r="AU616" s="43">
        <v>5.7573806016514496E-2</v>
      </c>
      <c r="AV616" s="33">
        <v>0</v>
      </c>
      <c r="AW616" s="33">
        <v>0</v>
      </c>
      <c r="AY616" s="36">
        <v>588</v>
      </c>
      <c r="AZ616" s="33">
        <v>2</v>
      </c>
      <c r="BA616" s="33">
        <v>3</v>
      </c>
      <c r="BB616" s="33">
        <v>0</v>
      </c>
      <c r="BC616" s="33">
        <v>1</v>
      </c>
      <c r="BD616" s="43">
        <v>7.244788656931947E-2</v>
      </c>
      <c r="BE616" s="33">
        <v>0</v>
      </c>
      <c r="BF616" s="33">
        <v>0</v>
      </c>
      <c r="CE616" s="36">
        <v>582</v>
      </c>
      <c r="CF616" s="33">
        <v>1</v>
      </c>
      <c r="CG616" s="33">
        <v>1</v>
      </c>
      <c r="CH616" s="33">
        <v>3</v>
      </c>
      <c r="CI616" s="33">
        <v>2</v>
      </c>
      <c r="CJ616" s="33">
        <v>3</v>
      </c>
      <c r="CK616" s="33">
        <v>0</v>
      </c>
      <c r="CL616" s="33">
        <v>2</v>
      </c>
      <c r="CM616" s="33">
        <v>3</v>
      </c>
      <c r="CN616" s="33">
        <v>2</v>
      </c>
      <c r="CO616" s="33">
        <v>0</v>
      </c>
      <c r="CP616" s="43">
        <v>7.0557512432314035E-2</v>
      </c>
      <c r="CQ616" s="33">
        <v>0</v>
      </c>
      <c r="CR616" s="33">
        <v>0</v>
      </c>
    </row>
    <row r="617" spans="1:96" ht="15" customHeight="1" x14ac:dyDescent="0.25">
      <c r="A617" s="26">
        <v>615</v>
      </c>
      <c r="B617" s="27">
        <v>27</v>
      </c>
      <c r="C617" s="27">
        <v>0</v>
      </c>
      <c r="D617" s="27">
        <v>3</v>
      </c>
      <c r="E617" s="27">
        <v>443</v>
      </c>
      <c r="F617" s="27">
        <v>2</v>
      </c>
      <c r="G617" s="27">
        <v>3</v>
      </c>
      <c r="H617" s="27">
        <v>3</v>
      </c>
      <c r="I617" s="27">
        <v>3</v>
      </c>
      <c r="J617" s="27">
        <v>1</v>
      </c>
      <c r="K617" s="27">
        <v>850</v>
      </c>
      <c r="L617" s="27">
        <v>4</v>
      </c>
      <c r="M617" s="27">
        <v>1</v>
      </c>
      <c r="N617" s="27">
        <v>50</v>
      </c>
      <c r="O617" s="27">
        <v>3</v>
      </c>
      <c r="P617" s="27">
        <v>1</v>
      </c>
      <c r="Q617" s="27">
        <v>2</v>
      </c>
      <c r="R617" s="27">
        <v>4</v>
      </c>
      <c r="S617" s="27">
        <v>2</v>
      </c>
      <c r="T617" s="27">
        <v>1706</v>
      </c>
      <c r="U617" s="27">
        <v>16571</v>
      </c>
      <c r="V617" s="27">
        <v>1</v>
      </c>
      <c r="W617" s="27">
        <v>0</v>
      </c>
      <c r="X617" s="27">
        <v>11</v>
      </c>
      <c r="Y617" s="27">
        <v>3</v>
      </c>
      <c r="Z617" s="27">
        <v>3</v>
      </c>
      <c r="AA617" s="27">
        <v>80</v>
      </c>
      <c r="AB617" s="27">
        <v>3</v>
      </c>
      <c r="AC617" s="27">
        <v>0</v>
      </c>
      <c r="AD617" s="27">
        <v>6</v>
      </c>
      <c r="AE617" s="27">
        <v>2</v>
      </c>
      <c r="AF617" s="27">
        <v>0</v>
      </c>
      <c r="AG617" s="27">
        <v>0</v>
      </c>
      <c r="AH617" s="27">
        <v>0</v>
      </c>
      <c r="AI617" s="28">
        <v>0</v>
      </c>
      <c r="AK617" s="36">
        <v>584</v>
      </c>
      <c r="AL617" s="33">
        <v>8</v>
      </c>
      <c r="AM617" s="33">
        <v>2</v>
      </c>
      <c r="AN617" s="33">
        <v>1</v>
      </c>
      <c r="AO617" s="33">
        <v>5</v>
      </c>
      <c r="AP617" s="33">
        <v>0</v>
      </c>
      <c r="AQ617" s="33">
        <v>1</v>
      </c>
      <c r="AR617" s="33">
        <v>3</v>
      </c>
      <c r="AS617" s="33">
        <v>3</v>
      </c>
      <c r="AT617" s="33">
        <v>1</v>
      </c>
      <c r="AU617" s="43">
        <v>0.13802739952984666</v>
      </c>
      <c r="AV617" s="33">
        <v>0</v>
      </c>
      <c r="AW617" s="33">
        <v>0</v>
      </c>
      <c r="AY617" s="36">
        <v>589</v>
      </c>
      <c r="AZ617" s="33">
        <v>4</v>
      </c>
      <c r="BA617" s="33">
        <v>3</v>
      </c>
      <c r="BB617" s="33">
        <v>0</v>
      </c>
      <c r="BC617" s="33">
        <v>0</v>
      </c>
      <c r="BD617" s="43">
        <v>4.1532060460370328E-2</v>
      </c>
      <c r="BE617" s="33">
        <v>0</v>
      </c>
      <c r="BF617" s="33">
        <v>0</v>
      </c>
      <c r="CE617" s="36">
        <v>583</v>
      </c>
      <c r="CF617" s="33">
        <v>2</v>
      </c>
      <c r="CG617" s="33">
        <v>2</v>
      </c>
      <c r="CH617" s="33">
        <v>2</v>
      </c>
      <c r="CI617" s="33">
        <v>2</v>
      </c>
      <c r="CJ617" s="33">
        <v>1</v>
      </c>
      <c r="CK617" s="33">
        <v>0</v>
      </c>
      <c r="CL617" s="33">
        <v>1</v>
      </c>
      <c r="CM617" s="33">
        <v>3</v>
      </c>
      <c r="CN617" s="33">
        <v>8</v>
      </c>
      <c r="CO617" s="33">
        <v>3</v>
      </c>
      <c r="CP617" s="43">
        <v>5.6827664350283406E-2</v>
      </c>
      <c r="CQ617" s="33">
        <v>0</v>
      </c>
      <c r="CR617" s="33">
        <v>0</v>
      </c>
    </row>
    <row r="618" spans="1:96" ht="15" customHeight="1" x14ac:dyDescent="0.25">
      <c r="A618" s="26">
        <v>616</v>
      </c>
      <c r="B618" s="27">
        <v>51</v>
      </c>
      <c r="C618" s="27">
        <v>0</v>
      </c>
      <c r="D618" s="27">
        <v>1</v>
      </c>
      <c r="E618" s="27">
        <v>1318</v>
      </c>
      <c r="F618" s="27">
        <v>1</v>
      </c>
      <c r="G618" s="27">
        <v>26</v>
      </c>
      <c r="H618" s="27">
        <v>4</v>
      </c>
      <c r="I618" s="27">
        <v>4</v>
      </c>
      <c r="J618" s="27">
        <v>1</v>
      </c>
      <c r="K618" s="27">
        <v>851</v>
      </c>
      <c r="L618" s="27">
        <v>1</v>
      </c>
      <c r="M618" s="27">
        <v>0</v>
      </c>
      <c r="N618" s="27">
        <v>66</v>
      </c>
      <c r="O618" s="27">
        <v>3</v>
      </c>
      <c r="P618" s="27">
        <v>4</v>
      </c>
      <c r="Q618" s="27">
        <v>6</v>
      </c>
      <c r="R618" s="27">
        <v>3</v>
      </c>
      <c r="S618" s="27">
        <v>2</v>
      </c>
      <c r="T618" s="27">
        <v>16307</v>
      </c>
      <c r="U618" s="27">
        <v>5594</v>
      </c>
      <c r="V618" s="27">
        <v>2</v>
      </c>
      <c r="W618" s="27">
        <v>0</v>
      </c>
      <c r="X618" s="27">
        <v>14</v>
      </c>
      <c r="Y618" s="27">
        <v>3</v>
      </c>
      <c r="Z618" s="27">
        <v>3</v>
      </c>
      <c r="AA618" s="27">
        <v>80</v>
      </c>
      <c r="AB618" s="27">
        <v>1</v>
      </c>
      <c r="AC618" s="27">
        <v>29</v>
      </c>
      <c r="AD618" s="27">
        <v>2</v>
      </c>
      <c r="AE618" s="27">
        <v>2</v>
      </c>
      <c r="AF618" s="27">
        <v>20</v>
      </c>
      <c r="AG618" s="27">
        <v>6</v>
      </c>
      <c r="AH618" s="27">
        <v>4</v>
      </c>
      <c r="AI618" s="28">
        <v>17</v>
      </c>
      <c r="AK618" s="36">
        <v>585</v>
      </c>
      <c r="AL618" s="33">
        <v>8</v>
      </c>
      <c r="AM618" s="33">
        <v>5</v>
      </c>
      <c r="AN618" s="33">
        <v>4</v>
      </c>
      <c r="AO618" s="33">
        <v>1</v>
      </c>
      <c r="AP618" s="33">
        <v>0</v>
      </c>
      <c r="AQ618" s="33">
        <v>1</v>
      </c>
      <c r="AR618" s="33">
        <v>2</v>
      </c>
      <c r="AS618" s="33">
        <v>24</v>
      </c>
      <c r="AT618" s="33">
        <v>14</v>
      </c>
      <c r="AU618" s="43">
        <v>1.091464612408165E-2</v>
      </c>
      <c r="AV618" s="33">
        <v>0</v>
      </c>
      <c r="AW618" s="33">
        <v>0</v>
      </c>
      <c r="AY618" s="36">
        <v>590</v>
      </c>
      <c r="AZ618" s="33">
        <v>1</v>
      </c>
      <c r="BA618" s="33">
        <v>1</v>
      </c>
      <c r="BB618" s="33">
        <v>1</v>
      </c>
      <c r="BC618" s="33">
        <v>1</v>
      </c>
      <c r="BD618" s="43">
        <v>0.51155121875600029</v>
      </c>
      <c r="BE618" s="33">
        <v>1</v>
      </c>
      <c r="BF618" s="33">
        <v>1</v>
      </c>
      <c r="CE618" s="36">
        <v>584</v>
      </c>
      <c r="CF618" s="33">
        <v>8</v>
      </c>
      <c r="CG618" s="33">
        <v>2</v>
      </c>
      <c r="CH618" s="33">
        <v>1</v>
      </c>
      <c r="CI618" s="33">
        <v>2</v>
      </c>
      <c r="CJ618" s="33">
        <v>5</v>
      </c>
      <c r="CK618" s="33">
        <v>0</v>
      </c>
      <c r="CL618" s="33">
        <v>1</v>
      </c>
      <c r="CM618" s="33">
        <v>3</v>
      </c>
      <c r="CN618" s="33">
        <v>3</v>
      </c>
      <c r="CO618" s="33">
        <v>1</v>
      </c>
      <c r="CP618" s="43">
        <v>0.13865456943274118</v>
      </c>
      <c r="CQ618" s="33">
        <v>0</v>
      </c>
      <c r="CR618" s="33">
        <v>0</v>
      </c>
    </row>
    <row r="619" spans="1:96" ht="15" customHeight="1" x14ac:dyDescent="0.25">
      <c r="A619" s="26">
        <v>617</v>
      </c>
      <c r="B619" s="27">
        <v>44</v>
      </c>
      <c r="C619" s="27">
        <v>0</v>
      </c>
      <c r="D619" s="27">
        <v>1</v>
      </c>
      <c r="E619" s="27">
        <v>625</v>
      </c>
      <c r="F619" s="27">
        <v>2</v>
      </c>
      <c r="G619" s="27">
        <v>4</v>
      </c>
      <c r="H619" s="27">
        <v>3</v>
      </c>
      <c r="I619" s="27">
        <v>3</v>
      </c>
      <c r="J619" s="27">
        <v>1</v>
      </c>
      <c r="K619" s="27">
        <v>852</v>
      </c>
      <c r="L619" s="27">
        <v>4</v>
      </c>
      <c r="M619" s="27">
        <v>1</v>
      </c>
      <c r="N619" s="27">
        <v>50</v>
      </c>
      <c r="O619" s="27">
        <v>3</v>
      </c>
      <c r="P619" s="27">
        <v>2</v>
      </c>
      <c r="Q619" s="27">
        <v>5</v>
      </c>
      <c r="R619" s="27">
        <v>2</v>
      </c>
      <c r="S619" s="27">
        <v>1</v>
      </c>
      <c r="T619" s="27">
        <v>5933</v>
      </c>
      <c r="U619" s="27">
        <v>5197</v>
      </c>
      <c r="V619" s="27">
        <v>9</v>
      </c>
      <c r="W619" s="27">
        <v>0</v>
      </c>
      <c r="X619" s="27">
        <v>12</v>
      </c>
      <c r="Y619" s="27">
        <v>3</v>
      </c>
      <c r="Z619" s="27">
        <v>4</v>
      </c>
      <c r="AA619" s="27">
        <v>80</v>
      </c>
      <c r="AB619" s="27">
        <v>0</v>
      </c>
      <c r="AC619" s="27">
        <v>10</v>
      </c>
      <c r="AD619" s="27">
        <v>2</v>
      </c>
      <c r="AE619" s="27">
        <v>2</v>
      </c>
      <c r="AF619" s="27">
        <v>5</v>
      </c>
      <c r="AG619" s="27">
        <v>2</v>
      </c>
      <c r="AH619" s="27">
        <v>2</v>
      </c>
      <c r="AI619" s="28">
        <v>3</v>
      </c>
      <c r="AK619" s="36">
        <v>586</v>
      </c>
      <c r="AL619" s="33">
        <v>6</v>
      </c>
      <c r="AM619" s="33">
        <v>1</v>
      </c>
      <c r="AN619" s="33">
        <v>1</v>
      </c>
      <c r="AO619" s="33">
        <v>1</v>
      </c>
      <c r="AP619" s="33">
        <v>1</v>
      </c>
      <c r="AQ619" s="33">
        <v>2</v>
      </c>
      <c r="AR619" s="33">
        <v>3</v>
      </c>
      <c r="AS619" s="33">
        <v>0</v>
      </c>
      <c r="AT619" s="33">
        <v>0</v>
      </c>
      <c r="AU619" s="43">
        <v>0.33798633887721458</v>
      </c>
      <c r="AV619" s="33">
        <v>0</v>
      </c>
      <c r="AW619" s="33">
        <v>1</v>
      </c>
      <c r="AY619" s="36">
        <v>591</v>
      </c>
      <c r="AZ619" s="33">
        <v>3</v>
      </c>
      <c r="BA619" s="33">
        <v>3</v>
      </c>
      <c r="BB619" s="33">
        <v>0</v>
      </c>
      <c r="BC619" s="33">
        <v>0</v>
      </c>
      <c r="BD619" s="43">
        <v>7.0406776741937793E-2</v>
      </c>
      <c r="BE619" s="33">
        <v>0</v>
      </c>
      <c r="BF619" s="33">
        <v>0</v>
      </c>
      <c r="CE619" s="36">
        <v>585</v>
      </c>
      <c r="CF619" s="33">
        <v>8</v>
      </c>
      <c r="CG619" s="33">
        <v>5</v>
      </c>
      <c r="CH619" s="33">
        <v>4</v>
      </c>
      <c r="CI619" s="33">
        <v>3</v>
      </c>
      <c r="CJ619" s="33">
        <v>1</v>
      </c>
      <c r="CK619" s="33">
        <v>0</v>
      </c>
      <c r="CL619" s="33">
        <v>1</v>
      </c>
      <c r="CM619" s="33">
        <v>2</v>
      </c>
      <c r="CN619" s="33">
        <v>24</v>
      </c>
      <c r="CO619" s="33">
        <v>14</v>
      </c>
      <c r="CP619" s="43">
        <v>6.4445178691904439E-3</v>
      </c>
      <c r="CQ619" s="33">
        <v>0</v>
      </c>
      <c r="CR619" s="33">
        <v>0</v>
      </c>
    </row>
    <row r="620" spans="1:96" ht="15" customHeight="1" x14ac:dyDescent="0.25">
      <c r="A620" s="26">
        <v>618</v>
      </c>
      <c r="B620" s="27">
        <v>25</v>
      </c>
      <c r="C620" s="27">
        <v>0</v>
      </c>
      <c r="D620" s="27">
        <v>1</v>
      </c>
      <c r="E620" s="27">
        <v>180</v>
      </c>
      <c r="F620" s="27">
        <v>2</v>
      </c>
      <c r="G620" s="27">
        <v>2</v>
      </c>
      <c r="H620" s="27">
        <v>1</v>
      </c>
      <c r="I620" s="27">
        <v>3</v>
      </c>
      <c r="J620" s="27">
        <v>1</v>
      </c>
      <c r="K620" s="27">
        <v>854</v>
      </c>
      <c r="L620" s="27">
        <v>1</v>
      </c>
      <c r="M620" s="27">
        <v>1</v>
      </c>
      <c r="N620" s="27">
        <v>65</v>
      </c>
      <c r="O620" s="27">
        <v>4</v>
      </c>
      <c r="P620" s="27">
        <v>1</v>
      </c>
      <c r="Q620" s="27">
        <v>2</v>
      </c>
      <c r="R620" s="27">
        <v>1</v>
      </c>
      <c r="S620" s="27">
        <v>1</v>
      </c>
      <c r="T620" s="27">
        <v>3424</v>
      </c>
      <c r="U620" s="27">
        <v>21632</v>
      </c>
      <c r="V620" s="27">
        <v>7</v>
      </c>
      <c r="W620" s="27">
        <v>0</v>
      </c>
      <c r="X620" s="27">
        <v>13</v>
      </c>
      <c r="Y620" s="27">
        <v>3</v>
      </c>
      <c r="Z620" s="27">
        <v>3</v>
      </c>
      <c r="AA620" s="27">
        <v>80</v>
      </c>
      <c r="AB620" s="27">
        <v>0</v>
      </c>
      <c r="AC620" s="27">
        <v>6</v>
      </c>
      <c r="AD620" s="27">
        <v>3</v>
      </c>
      <c r="AE620" s="27">
        <v>2</v>
      </c>
      <c r="AF620" s="27">
        <v>4</v>
      </c>
      <c r="AG620" s="27">
        <v>3</v>
      </c>
      <c r="AH620" s="27">
        <v>0</v>
      </c>
      <c r="AI620" s="28">
        <v>1</v>
      </c>
      <c r="AK620" s="36">
        <v>587</v>
      </c>
      <c r="AL620" s="33">
        <v>9</v>
      </c>
      <c r="AM620" s="33">
        <v>1</v>
      </c>
      <c r="AN620" s="33">
        <v>2</v>
      </c>
      <c r="AO620" s="33">
        <v>1</v>
      </c>
      <c r="AP620" s="33">
        <v>0</v>
      </c>
      <c r="AQ620" s="33">
        <v>3</v>
      </c>
      <c r="AR620" s="33">
        <v>3</v>
      </c>
      <c r="AS620" s="33">
        <v>1</v>
      </c>
      <c r="AT620" s="33">
        <v>0</v>
      </c>
      <c r="AU620" s="43">
        <v>4.8433799099494287E-2</v>
      </c>
      <c r="AV620" s="33">
        <v>0</v>
      </c>
      <c r="AW620" s="33">
        <v>0</v>
      </c>
      <c r="AY620" s="36">
        <v>592</v>
      </c>
      <c r="AZ620" s="33">
        <v>2</v>
      </c>
      <c r="BA620" s="33">
        <v>1</v>
      </c>
      <c r="BB620" s="33">
        <v>0</v>
      </c>
      <c r="BC620" s="33">
        <v>0</v>
      </c>
      <c r="BD620" s="43">
        <v>0.19196561144667343</v>
      </c>
      <c r="BE620" s="33">
        <v>0</v>
      </c>
      <c r="BF620" s="33">
        <v>1</v>
      </c>
      <c r="CE620" s="36">
        <v>586</v>
      </c>
      <c r="CF620" s="33">
        <v>6</v>
      </c>
      <c r="CG620" s="33">
        <v>1</v>
      </c>
      <c r="CH620" s="33">
        <v>1</v>
      </c>
      <c r="CI620" s="33">
        <v>2</v>
      </c>
      <c r="CJ620" s="33">
        <v>1</v>
      </c>
      <c r="CK620" s="33">
        <v>1</v>
      </c>
      <c r="CL620" s="33">
        <v>2</v>
      </c>
      <c r="CM620" s="33">
        <v>3</v>
      </c>
      <c r="CN620" s="33">
        <v>0</v>
      </c>
      <c r="CO620" s="33">
        <v>0</v>
      </c>
      <c r="CP620" s="43">
        <v>0.42530317855957772</v>
      </c>
      <c r="CQ620" s="33">
        <v>0</v>
      </c>
      <c r="CR620" s="33">
        <v>1</v>
      </c>
    </row>
    <row r="621" spans="1:96" ht="15" customHeight="1" x14ac:dyDescent="0.25">
      <c r="A621" s="26">
        <v>619</v>
      </c>
      <c r="B621" s="27">
        <v>33</v>
      </c>
      <c r="C621" s="27">
        <v>0</v>
      </c>
      <c r="D621" s="27">
        <v>1</v>
      </c>
      <c r="E621" s="27">
        <v>586</v>
      </c>
      <c r="F621" s="27">
        <v>1</v>
      </c>
      <c r="G621" s="27">
        <v>1</v>
      </c>
      <c r="H621" s="27">
        <v>3</v>
      </c>
      <c r="I621" s="27">
        <v>3</v>
      </c>
      <c r="J621" s="27">
        <v>1</v>
      </c>
      <c r="K621" s="27">
        <v>855</v>
      </c>
      <c r="L621" s="27">
        <v>1</v>
      </c>
      <c r="M621" s="27">
        <v>1</v>
      </c>
      <c r="N621" s="27">
        <v>48</v>
      </c>
      <c r="O621" s="27">
        <v>4</v>
      </c>
      <c r="P621" s="27">
        <v>2</v>
      </c>
      <c r="Q621" s="27">
        <v>1</v>
      </c>
      <c r="R621" s="27">
        <v>1</v>
      </c>
      <c r="S621" s="27">
        <v>3</v>
      </c>
      <c r="T621" s="27">
        <v>4037</v>
      </c>
      <c r="U621" s="27">
        <v>21816</v>
      </c>
      <c r="V621" s="27">
        <v>1</v>
      </c>
      <c r="W621" s="27">
        <v>0</v>
      </c>
      <c r="X621" s="27">
        <v>22</v>
      </c>
      <c r="Y621" s="27">
        <v>4</v>
      </c>
      <c r="Z621" s="27">
        <v>1</v>
      </c>
      <c r="AA621" s="27">
        <v>80</v>
      </c>
      <c r="AB621" s="27">
        <v>1</v>
      </c>
      <c r="AC621" s="27">
        <v>9</v>
      </c>
      <c r="AD621" s="27">
        <v>5</v>
      </c>
      <c r="AE621" s="27">
        <v>3</v>
      </c>
      <c r="AF621" s="27">
        <v>9</v>
      </c>
      <c r="AG621" s="27">
        <v>8</v>
      </c>
      <c r="AH621" s="27">
        <v>0</v>
      </c>
      <c r="AI621" s="28">
        <v>8</v>
      </c>
      <c r="AK621" s="36">
        <v>588</v>
      </c>
      <c r="AL621" s="33">
        <v>11</v>
      </c>
      <c r="AM621" s="33">
        <v>2</v>
      </c>
      <c r="AN621" s="33">
        <v>3</v>
      </c>
      <c r="AO621" s="33">
        <v>8</v>
      </c>
      <c r="AP621" s="33">
        <v>0</v>
      </c>
      <c r="AQ621" s="33">
        <v>1</v>
      </c>
      <c r="AR621" s="33">
        <v>3</v>
      </c>
      <c r="AS621" s="33">
        <v>5</v>
      </c>
      <c r="AT621" s="33">
        <v>1</v>
      </c>
      <c r="AU621" s="43">
        <v>9.9108858278767892E-2</v>
      </c>
      <c r="AV621" s="33">
        <v>0</v>
      </c>
      <c r="AW621" s="33">
        <v>0</v>
      </c>
      <c r="AY621" s="36">
        <v>593</v>
      </c>
      <c r="AZ621" s="33">
        <v>4</v>
      </c>
      <c r="BA621" s="33">
        <v>4</v>
      </c>
      <c r="BB621" s="33">
        <v>1</v>
      </c>
      <c r="BC621" s="33">
        <v>1</v>
      </c>
      <c r="BD621" s="43">
        <v>7.5427466859562448E-2</v>
      </c>
      <c r="BE621" s="33">
        <v>0</v>
      </c>
      <c r="BF621" s="33">
        <v>0</v>
      </c>
      <c r="CE621" s="36">
        <v>587</v>
      </c>
      <c r="CF621" s="33">
        <v>9</v>
      </c>
      <c r="CG621" s="33">
        <v>1</v>
      </c>
      <c r="CH621" s="33">
        <v>2</v>
      </c>
      <c r="CI621" s="33">
        <v>3</v>
      </c>
      <c r="CJ621" s="33">
        <v>1</v>
      </c>
      <c r="CK621" s="33">
        <v>0</v>
      </c>
      <c r="CL621" s="33">
        <v>3</v>
      </c>
      <c r="CM621" s="33">
        <v>3</v>
      </c>
      <c r="CN621" s="33">
        <v>1</v>
      </c>
      <c r="CO621" s="33">
        <v>0</v>
      </c>
      <c r="CP621" s="43">
        <v>5.3303540545846316E-2</v>
      </c>
      <c r="CQ621" s="33">
        <v>0</v>
      </c>
      <c r="CR621" s="33">
        <v>0</v>
      </c>
    </row>
    <row r="622" spans="1:96" ht="15" customHeight="1" x14ac:dyDescent="0.25">
      <c r="A622" s="26">
        <v>620</v>
      </c>
      <c r="B622" s="27">
        <v>35</v>
      </c>
      <c r="C622" s="27">
        <v>0</v>
      </c>
      <c r="D622" s="27">
        <v>1</v>
      </c>
      <c r="E622" s="27">
        <v>1343</v>
      </c>
      <c r="F622" s="27">
        <v>2</v>
      </c>
      <c r="G622" s="27">
        <v>27</v>
      </c>
      <c r="H622" s="27">
        <v>1</v>
      </c>
      <c r="I622" s="27">
        <v>3</v>
      </c>
      <c r="J622" s="27">
        <v>1</v>
      </c>
      <c r="K622" s="27">
        <v>856</v>
      </c>
      <c r="L622" s="27">
        <v>3</v>
      </c>
      <c r="M622" s="27">
        <v>0</v>
      </c>
      <c r="N622" s="27">
        <v>53</v>
      </c>
      <c r="O622" s="27">
        <v>2</v>
      </c>
      <c r="P622" s="27">
        <v>1</v>
      </c>
      <c r="Q622" s="27">
        <v>2</v>
      </c>
      <c r="R622" s="27">
        <v>1</v>
      </c>
      <c r="S622" s="27">
        <v>1</v>
      </c>
      <c r="T622" s="27">
        <v>2559</v>
      </c>
      <c r="U622" s="27">
        <v>17852</v>
      </c>
      <c r="V622" s="27">
        <v>1</v>
      </c>
      <c r="W622" s="27">
        <v>0</v>
      </c>
      <c r="X622" s="27">
        <v>11</v>
      </c>
      <c r="Y622" s="27">
        <v>3</v>
      </c>
      <c r="Z622" s="27">
        <v>4</v>
      </c>
      <c r="AA622" s="27">
        <v>80</v>
      </c>
      <c r="AB622" s="27">
        <v>0</v>
      </c>
      <c r="AC622" s="27">
        <v>6</v>
      </c>
      <c r="AD622" s="27">
        <v>3</v>
      </c>
      <c r="AE622" s="27">
        <v>2</v>
      </c>
      <c r="AF622" s="27">
        <v>6</v>
      </c>
      <c r="AG622" s="27">
        <v>5</v>
      </c>
      <c r="AH622" s="27">
        <v>1</v>
      </c>
      <c r="AI622" s="28">
        <v>1</v>
      </c>
      <c r="AK622" s="36">
        <v>589</v>
      </c>
      <c r="AL622" s="33">
        <v>2</v>
      </c>
      <c r="AM622" s="33">
        <v>4</v>
      </c>
      <c r="AN622" s="33">
        <v>3</v>
      </c>
      <c r="AO622" s="33">
        <v>5</v>
      </c>
      <c r="AP622" s="33">
        <v>0</v>
      </c>
      <c r="AQ622" s="33">
        <v>0</v>
      </c>
      <c r="AR622" s="33">
        <v>3</v>
      </c>
      <c r="AS622" s="33">
        <v>4</v>
      </c>
      <c r="AT622" s="33">
        <v>0</v>
      </c>
      <c r="AU622" s="43">
        <v>3.4252715374995128E-2</v>
      </c>
      <c r="AV622" s="33">
        <v>0</v>
      </c>
      <c r="AW622" s="33">
        <v>0</v>
      </c>
      <c r="AY622" s="36">
        <v>594</v>
      </c>
      <c r="AZ622" s="33">
        <v>2</v>
      </c>
      <c r="BA622" s="33">
        <v>2</v>
      </c>
      <c r="BB622" s="33">
        <v>0</v>
      </c>
      <c r="BC622" s="33">
        <v>1</v>
      </c>
      <c r="BD622" s="43">
        <v>9.4721355311452843E-2</v>
      </c>
      <c r="BE622" s="33">
        <v>0</v>
      </c>
      <c r="BF622" s="33">
        <v>0</v>
      </c>
      <c r="CE622" s="36">
        <v>588</v>
      </c>
      <c r="CF622" s="33">
        <v>11</v>
      </c>
      <c r="CG622" s="33">
        <v>2</v>
      </c>
      <c r="CH622" s="33">
        <v>3</v>
      </c>
      <c r="CI622" s="33">
        <v>2</v>
      </c>
      <c r="CJ622" s="33">
        <v>8</v>
      </c>
      <c r="CK622" s="33">
        <v>0</v>
      </c>
      <c r="CL622" s="33">
        <v>1</v>
      </c>
      <c r="CM622" s="33">
        <v>3</v>
      </c>
      <c r="CN622" s="33">
        <v>5</v>
      </c>
      <c r="CO622" s="33">
        <v>1</v>
      </c>
      <c r="CP622" s="43">
        <v>9.656650895874791E-2</v>
      </c>
      <c r="CQ622" s="33">
        <v>0</v>
      </c>
      <c r="CR622" s="33">
        <v>0</v>
      </c>
    </row>
    <row r="623" spans="1:96" ht="15" customHeight="1" x14ac:dyDescent="0.25">
      <c r="A623" s="26">
        <v>621</v>
      </c>
      <c r="B623" s="27">
        <v>36</v>
      </c>
      <c r="C623" s="27">
        <v>0</v>
      </c>
      <c r="D623" s="27">
        <v>1</v>
      </c>
      <c r="E623" s="27">
        <v>928</v>
      </c>
      <c r="F623" s="27">
        <v>1</v>
      </c>
      <c r="G623" s="27">
        <v>1</v>
      </c>
      <c r="H623" s="27">
        <v>2</v>
      </c>
      <c r="I623" s="27">
        <v>1</v>
      </c>
      <c r="J623" s="27">
        <v>1</v>
      </c>
      <c r="K623" s="27">
        <v>857</v>
      </c>
      <c r="L623" s="27">
        <v>2</v>
      </c>
      <c r="M623" s="27">
        <v>1</v>
      </c>
      <c r="N623" s="27">
        <v>56</v>
      </c>
      <c r="O623" s="27">
        <v>3</v>
      </c>
      <c r="P623" s="27">
        <v>2</v>
      </c>
      <c r="Q623" s="27">
        <v>1</v>
      </c>
      <c r="R623" s="27">
        <v>4</v>
      </c>
      <c r="S623" s="27">
        <v>2</v>
      </c>
      <c r="T623" s="27">
        <v>6201</v>
      </c>
      <c r="U623" s="27">
        <v>2823</v>
      </c>
      <c r="V623" s="27">
        <v>1</v>
      </c>
      <c r="W623" s="27">
        <v>1</v>
      </c>
      <c r="X623" s="27">
        <v>14</v>
      </c>
      <c r="Y623" s="27">
        <v>3</v>
      </c>
      <c r="Z623" s="27">
        <v>4</v>
      </c>
      <c r="AA623" s="27">
        <v>80</v>
      </c>
      <c r="AB623" s="27">
        <v>1</v>
      </c>
      <c r="AC623" s="27">
        <v>18</v>
      </c>
      <c r="AD623" s="27">
        <v>1</v>
      </c>
      <c r="AE623" s="27">
        <v>2</v>
      </c>
      <c r="AF623" s="27">
        <v>18</v>
      </c>
      <c r="AG623" s="27">
        <v>14</v>
      </c>
      <c r="AH623" s="27">
        <v>4</v>
      </c>
      <c r="AI623" s="28">
        <v>11</v>
      </c>
      <c r="AK623" s="36">
        <v>590</v>
      </c>
      <c r="AL623" s="33">
        <v>1</v>
      </c>
      <c r="AM623" s="33">
        <v>1</v>
      </c>
      <c r="AN623" s="33">
        <v>1</v>
      </c>
      <c r="AO623" s="33">
        <v>1</v>
      </c>
      <c r="AP623" s="33">
        <v>1</v>
      </c>
      <c r="AQ623" s="33">
        <v>1</v>
      </c>
      <c r="AR623" s="33">
        <v>3</v>
      </c>
      <c r="AS623" s="33">
        <v>1</v>
      </c>
      <c r="AT623" s="33">
        <v>0</v>
      </c>
      <c r="AU623" s="43">
        <v>0.41448762047371351</v>
      </c>
      <c r="AV623" s="33">
        <v>0</v>
      </c>
      <c r="AW623" s="33">
        <v>1</v>
      </c>
      <c r="AY623" s="36">
        <v>595</v>
      </c>
      <c r="AZ623" s="33">
        <v>1</v>
      </c>
      <c r="BA623" s="33">
        <v>3</v>
      </c>
      <c r="BB623" s="33">
        <v>0</v>
      </c>
      <c r="BC623" s="33">
        <v>1</v>
      </c>
      <c r="BD623" s="43">
        <v>0.12012271365792118</v>
      </c>
      <c r="BE623" s="33">
        <v>0</v>
      </c>
      <c r="BF623" s="33">
        <v>0</v>
      </c>
      <c r="CE623" s="36">
        <v>589</v>
      </c>
      <c r="CF623" s="33">
        <v>2</v>
      </c>
      <c r="CG623" s="33">
        <v>4</v>
      </c>
      <c r="CH623" s="33">
        <v>3</v>
      </c>
      <c r="CI623" s="33">
        <v>2</v>
      </c>
      <c r="CJ623" s="33">
        <v>5</v>
      </c>
      <c r="CK623" s="33">
        <v>0</v>
      </c>
      <c r="CL623" s="33">
        <v>0</v>
      </c>
      <c r="CM623" s="33">
        <v>3</v>
      </c>
      <c r="CN623" s="33">
        <v>4</v>
      </c>
      <c r="CO623" s="33">
        <v>0</v>
      </c>
      <c r="CP623" s="43">
        <v>2.4282918391568577E-2</v>
      </c>
      <c r="CQ623" s="33">
        <v>0</v>
      </c>
      <c r="CR623" s="33">
        <v>0</v>
      </c>
    </row>
    <row r="624" spans="1:96" ht="15" customHeight="1" x14ac:dyDescent="0.25">
      <c r="A624" s="26">
        <v>622</v>
      </c>
      <c r="B624" s="27">
        <v>32</v>
      </c>
      <c r="C624" s="27">
        <v>0</v>
      </c>
      <c r="D624" s="27">
        <v>1</v>
      </c>
      <c r="E624" s="27">
        <v>117</v>
      </c>
      <c r="F624" s="27">
        <v>1</v>
      </c>
      <c r="G624" s="27">
        <v>13</v>
      </c>
      <c r="H624" s="27">
        <v>4</v>
      </c>
      <c r="I624" s="27">
        <v>1</v>
      </c>
      <c r="J624" s="27">
        <v>1</v>
      </c>
      <c r="K624" s="27">
        <v>859</v>
      </c>
      <c r="L624" s="27">
        <v>2</v>
      </c>
      <c r="M624" s="27">
        <v>1</v>
      </c>
      <c r="N624" s="27">
        <v>73</v>
      </c>
      <c r="O624" s="27">
        <v>3</v>
      </c>
      <c r="P624" s="27">
        <v>2</v>
      </c>
      <c r="Q624" s="27">
        <v>1</v>
      </c>
      <c r="R624" s="27">
        <v>4</v>
      </c>
      <c r="S624" s="27">
        <v>3</v>
      </c>
      <c r="T624" s="27">
        <v>4403</v>
      </c>
      <c r="U624" s="27">
        <v>9250</v>
      </c>
      <c r="V624" s="27">
        <v>2</v>
      </c>
      <c r="W624" s="27">
        <v>0</v>
      </c>
      <c r="X624" s="27">
        <v>11</v>
      </c>
      <c r="Y624" s="27">
        <v>3</v>
      </c>
      <c r="Z624" s="27">
        <v>3</v>
      </c>
      <c r="AA624" s="27">
        <v>80</v>
      </c>
      <c r="AB624" s="27">
        <v>1</v>
      </c>
      <c r="AC624" s="27">
        <v>8</v>
      </c>
      <c r="AD624" s="27">
        <v>3</v>
      </c>
      <c r="AE624" s="27">
        <v>2</v>
      </c>
      <c r="AF624" s="27">
        <v>5</v>
      </c>
      <c r="AG624" s="27">
        <v>2</v>
      </c>
      <c r="AH624" s="27">
        <v>0</v>
      </c>
      <c r="AI624" s="28">
        <v>3</v>
      </c>
      <c r="AK624" s="36">
        <v>591</v>
      </c>
      <c r="AL624" s="33">
        <v>7</v>
      </c>
      <c r="AM624" s="33">
        <v>3</v>
      </c>
      <c r="AN624" s="33">
        <v>3</v>
      </c>
      <c r="AO624" s="33">
        <v>0</v>
      </c>
      <c r="AP624" s="33">
        <v>0</v>
      </c>
      <c r="AQ624" s="33">
        <v>0</v>
      </c>
      <c r="AR624" s="33">
        <v>4</v>
      </c>
      <c r="AS624" s="33">
        <v>13</v>
      </c>
      <c r="AT624" s="33">
        <v>3</v>
      </c>
      <c r="AU624" s="43">
        <v>2.7100081791751992E-2</v>
      </c>
      <c r="AV624" s="33">
        <v>0</v>
      </c>
      <c r="AW624" s="33">
        <v>0</v>
      </c>
      <c r="AY624" s="36">
        <v>596</v>
      </c>
      <c r="AZ624" s="33">
        <v>5</v>
      </c>
      <c r="BA624" s="33">
        <v>2</v>
      </c>
      <c r="BB624" s="33">
        <v>1</v>
      </c>
      <c r="BC624" s="33">
        <v>0</v>
      </c>
      <c r="BD624" s="43">
        <v>0.12431587132822597</v>
      </c>
      <c r="BE624" s="33">
        <v>0</v>
      </c>
      <c r="BF624" s="33">
        <v>1</v>
      </c>
      <c r="CE624" s="36">
        <v>590</v>
      </c>
      <c r="CF624" s="33">
        <v>1</v>
      </c>
      <c r="CG624" s="33">
        <v>1</v>
      </c>
      <c r="CH624" s="33">
        <v>1</v>
      </c>
      <c r="CI624" s="33">
        <v>2</v>
      </c>
      <c r="CJ624" s="33">
        <v>1</v>
      </c>
      <c r="CK624" s="33">
        <v>1</v>
      </c>
      <c r="CL624" s="33">
        <v>1</v>
      </c>
      <c r="CM624" s="33">
        <v>3</v>
      </c>
      <c r="CN624" s="33">
        <v>1</v>
      </c>
      <c r="CO624" s="33">
        <v>0</v>
      </c>
      <c r="CP624" s="43">
        <v>0.42138057896593861</v>
      </c>
      <c r="CQ624" s="33">
        <v>0</v>
      </c>
      <c r="CR624" s="33">
        <v>1</v>
      </c>
    </row>
    <row r="625" spans="1:96" ht="15" customHeight="1" x14ac:dyDescent="0.25">
      <c r="A625" s="26">
        <v>623</v>
      </c>
      <c r="B625" s="27">
        <v>30</v>
      </c>
      <c r="C625" s="27">
        <v>0</v>
      </c>
      <c r="D625" s="27">
        <v>2</v>
      </c>
      <c r="E625" s="27">
        <v>1012</v>
      </c>
      <c r="F625" s="27">
        <v>2</v>
      </c>
      <c r="G625" s="27">
        <v>5</v>
      </c>
      <c r="H625" s="27">
        <v>4</v>
      </c>
      <c r="I625" s="27">
        <v>1</v>
      </c>
      <c r="J625" s="27">
        <v>1</v>
      </c>
      <c r="K625" s="27">
        <v>861</v>
      </c>
      <c r="L625" s="27">
        <v>2</v>
      </c>
      <c r="M625" s="27">
        <v>1</v>
      </c>
      <c r="N625" s="27">
        <v>75</v>
      </c>
      <c r="O625" s="27">
        <v>2</v>
      </c>
      <c r="P625" s="27">
        <v>1</v>
      </c>
      <c r="Q625" s="27">
        <v>2</v>
      </c>
      <c r="R625" s="27">
        <v>4</v>
      </c>
      <c r="S625" s="27">
        <v>3</v>
      </c>
      <c r="T625" s="27">
        <v>3761</v>
      </c>
      <c r="U625" s="27">
        <v>2373</v>
      </c>
      <c r="V625" s="27">
        <v>9</v>
      </c>
      <c r="W625" s="27">
        <v>0</v>
      </c>
      <c r="X625" s="27">
        <v>12</v>
      </c>
      <c r="Y625" s="27">
        <v>3</v>
      </c>
      <c r="Z625" s="27">
        <v>2</v>
      </c>
      <c r="AA625" s="27">
        <v>80</v>
      </c>
      <c r="AB625" s="27">
        <v>1</v>
      </c>
      <c r="AC625" s="27">
        <v>10</v>
      </c>
      <c r="AD625" s="27">
        <v>3</v>
      </c>
      <c r="AE625" s="27">
        <v>2</v>
      </c>
      <c r="AF625" s="27">
        <v>5</v>
      </c>
      <c r="AG625" s="27">
        <v>4</v>
      </c>
      <c r="AH625" s="27">
        <v>0</v>
      </c>
      <c r="AI625" s="28">
        <v>3</v>
      </c>
      <c r="AK625" s="36">
        <v>592</v>
      </c>
      <c r="AL625" s="33">
        <v>16</v>
      </c>
      <c r="AM625" s="33">
        <v>2</v>
      </c>
      <c r="AN625" s="33">
        <v>1</v>
      </c>
      <c r="AO625" s="33">
        <v>5</v>
      </c>
      <c r="AP625" s="33">
        <v>0</v>
      </c>
      <c r="AQ625" s="33">
        <v>0</v>
      </c>
      <c r="AR625" s="33">
        <v>3</v>
      </c>
      <c r="AS625" s="33">
        <v>3</v>
      </c>
      <c r="AT625" s="33">
        <v>0</v>
      </c>
      <c r="AU625" s="43">
        <v>0.24807450501901815</v>
      </c>
      <c r="AV625" s="33">
        <v>0</v>
      </c>
      <c r="AW625" s="33">
        <v>1</v>
      </c>
      <c r="AY625" s="36">
        <v>597</v>
      </c>
      <c r="AZ625" s="33">
        <v>1</v>
      </c>
      <c r="BA625" s="33">
        <v>3</v>
      </c>
      <c r="BB625" s="33">
        <v>0</v>
      </c>
      <c r="BC625" s="33">
        <v>0</v>
      </c>
      <c r="BD625" s="43">
        <v>0.18791247240909698</v>
      </c>
      <c r="BE625" s="33">
        <v>0</v>
      </c>
      <c r="BF625" s="33">
        <v>0</v>
      </c>
      <c r="CE625" s="36">
        <v>591</v>
      </c>
      <c r="CF625" s="33">
        <v>7</v>
      </c>
      <c r="CG625" s="33">
        <v>3</v>
      </c>
      <c r="CH625" s="33">
        <v>3</v>
      </c>
      <c r="CI625" s="33">
        <v>2</v>
      </c>
      <c r="CJ625" s="33">
        <v>0</v>
      </c>
      <c r="CK625" s="33">
        <v>0</v>
      </c>
      <c r="CL625" s="33">
        <v>0</v>
      </c>
      <c r="CM625" s="33">
        <v>4</v>
      </c>
      <c r="CN625" s="33">
        <v>13</v>
      </c>
      <c r="CO625" s="33">
        <v>3</v>
      </c>
      <c r="CP625" s="43">
        <v>1.8569952884751738E-2</v>
      </c>
      <c r="CQ625" s="33">
        <v>0</v>
      </c>
      <c r="CR625" s="33">
        <v>0</v>
      </c>
    </row>
    <row r="626" spans="1:96" ht="15" customHeight="1" x14ac:dyDescent="0.25">
      <c r="A626" s="26">
        <v>624</v>
      </c>
      <c r="B626" s="27">
        <v>53</v>
      </c>
      <c r="C626" s="27">
        <v>0</v>
      </c>
      <c r="D626" s="27">
        <v>1</v>
      </c>
      <c r="E626" s="27">
        <v>661</v>
      </c>
      <c r="F626" s="27">
        <v>1</v>
      </c>
      <c r="G626" s="27">
        <v>7</v>
      </c>
      <c r="H626" s="27">
        <v>2</v>
      </c>
      <c r="I626" s="27">
        <v>4</v>
      </c>
      <c r="J626" s="27">
        <v>1</v>
      </c>
      <c r="K626" s="27">
        <v>862</v>
      </c>
      <c r="L626" s="27">
        <v>1</v>
      </c>
      <c r="M626" s="27">
        <v>0</v>
      </c>
      <c r="N626" s="27">
        <v>78</v>
      </c>
      <c r="O626" s="27">
        <v>2</v>
      </c>
      <c r="P626" s="27">
        <v>3</v>
      </c>
      <c r="Q626" s="27">
        <v>1</v>
      </c>
      <c r="R626" s="27">
        <v>4</v>
      </c>
      <c r="S626" s="27">
        <v>2</v>
      </c>
      <c r="T626" s="27">
        <v>10934</v>
      </c>
      <c r="U626" s="27">
        <v>20715</v>
      </c>
      <c r="V626" s="27">
        <v>7</v>
      </c>
      <c r="W626" s="27">
        <v>1</v>
      </c>
      <c r="X626" s="27">
        <v>18</v>
      </c>
      <c r="Y626" s="27">
        <v>3</v>
      </c>
      <c r="Z626" s="27">
        <v>4</v>
      </c>
      <c r="AA626" s="27">
        <v>80</v>
      </c>
      <c r="AB626" s="27">
        <v>1</v>
      </c>
      <c r="AC626" s="27">
        <v>35</v>
      </c>
      <c r="AD626" s="27">
        <v>3</v>
      </c>
      <c r="AE626" s="27">
        <v>3</v>
      </c>
      <c r="AF626" s="27">
        <v>5</v>
      </c>
      <c r="AG626" s="27">
        <v>2</v>
      </c>
      <c r="AH626" s="27">
        <v>0</v>
      </c>
      <c r="AI626" s="28">
        <v>4</v>
      </c>
      <c r="AK626" s="36">
        <v>593</v>
      </c>
      <c r="AL626" s="33">
        <v>2</v>
      </c>
      <c r="AM626" s="33">
        <v>4</v>
      </c>
      <c r="AN626" s="33">
        <v>4</v>
      </c>
      <c r="AO626" s="33">
        <v>1</v>
      </c>
      <c r="AP626" s="33">
        <v>1</v>
      </c>
      <c r="AQ626" s="33">
        <v>1</v>
      </c>
      <c r="AR626" s="33">
        <v>2</v>
      </c>
      <c r="AS626" s="33">
        <v>26</v>
      </c>
      <c r="AT626" s="33">
        <v>3</v>
      </c>
      <c r="AU626" s="43">
        <v>1.6746427331452301E-2</v>
      </c>
      <c r="AV626" s="33">
        <v>0</v>
      </c>
      <c r="AW626" s="33">
        <v>0</v>
      </c>
      <c r="AY626" s="36">
        <v>598</v>
      </c>
      <c r="AZ626" s="33">
        <v>2</v>
      </c>
      <c r="BA626" s="33">
        <v>4</v>
      </c>
      <c r="BB626" s="33">
        <v>1</v>
      </c>
      <c r="BC626" s="33">
        <v>1</v>
      </c>
      <c r="BD626" s="43">
        <v>0.19951405628110813</v>
      </c>
      <c r="BE626" s="33">
        <v>0</v>
      </c>
      <c r="BF626" s="33">
        <v>0</v>
      </c>
      <c r="CE626" s="36">
        <v>592</v>
      </c>
      <c r="CF626" s="33">
        <v>16</v>
      </c>
      <c r="CG626" s="33">
        <v>2</v>
      </c>
      <c r="CH626" s="33">
        <v>1</v>
      </c>
      <c r="CI626" s="33">
        <v>1</v>
      </c>
      <c r="CJ626" s="33">
        <v>5</v>
      </c>
      <c r="CK626" s="33">
        <v>0</v>
      </c>
      <c r="CL626" s="33">
        <v>0</v>
      </c>
      <c r="CM626" s="33">
        <v>3</v>
      </c>
      <c r="CN626" s="33">
        <v>3</v>
      </c>
      <c r="CO626" s="33">
        <v>0</v>
      </c>
      <c r="CP626" s="43">
        <v>0.28926706217797765</v>
      </c>
      <c r="CQ626" s="33">
        <v>0</v>
      </c>
      <c r="CR626" s="33">
        <v>1</v>
      </c>
    </row>
    <row r="627" spans="1:96" ht="15" customHeight="1" x14ac:dyDescent="0.25">
      <c r="A627" s="26">
        <v>625</v>
      </c>
      <c r="B627" s="27">
        <v>45</v>
      </c>
      <c r="C627" s="27">
        <v>0</v>
      </c>
      <c r="D627" s="27">
        <v>1</v>
      </c>
      <c r="E627" s="27">
        <v>930</v>
      </c>
      <c r="F627" s="27">
        <v>1</v>
      </c>
      <c r="G627" s="27">
        <v>9</v>
      </c>
      <c r="H627" s="27">
        <v>3</v>
      </c>
      <c r="I627" s="27">
        <v>4</v>
      </c>
      <c r="J627" s="27">
        <v>1</v>
      </c>
      <c r="K627" s="27">
        <v>864</v>
      </c>
      <c r="L627" s="27">
        <v>4</v>
      </c>
      <c r="M627" s="27">
        <v>1</v>
      </c>
      <c r="N627" s="27">
        <v>74</v>
      </c>
      <c r="O627" s="27">
        <v>3</v>
      </c>
      <c r="P627" s="27">
        <v>3</v>
      </c>
      <c r="Q627" s="27">
        <v>1</v>
      </c>
      <c r="R627" s="27">
        <v>1</v>
      </c>
      <c r="S627" s="27">
        <v>3</v>
      </c>
      <c r="T627" s="27">
        <v>10761</v>
      </c>
      <c r="U627" s="27">
        <v>19239</v>
      </c>
      <c r="V627" s="27">
        <v>4</v>
      </c>
      <c r="W627" s="27">
        <v>1</v>
      </c>
      <c r="X627" s="27">
        <v>12</v>
      </c>
      <c r="Y627" s="27">
        <v>3</v>
      </c>
      <c r="Z627" s="27">
        <v>3</v>
      </c>
      <c r="AA627" s="27">
        <v>80</v>
      </c>
      <c r="AB627" s="27">
        <v>1</v>
      </c>
      <c r="AC627" s="27">
        <v>18</v>
      </c>
      <c r="AD627" s="27">
        <v>2</v>
      </c>
      <c r="AE627" s="27">
        <v>3</v>
      </c>
      <c r="AF627" s="27">
        <v>5</v>
      </c>
      <c r="AG627" s="27">
        <v>4</v>
      </c>
      <c r="AH627" s="27">
        <v>0</v>
      </c>
      <c r="AI627" s="28">
        <v>2</v>
      </c>
      <c r="AK627" s="36">
        <v>594</v>
      </c>
      <c r="AL627" s="33">
        <v>1</v>
      </c>
      <c r="AM627" s="33">
        <v>2</v>
      </c>
      <c r="AN627" s="33">
        <v>2</v>
      </c>
      <c r="AO627" s="33">
        <v>0</v>
      </c>
      <c r="AP627" s="33">
        <v>0</v>
      </c>
      <c r="AQ627" s="33">
        <v>1</v>
      </c>
      <c r="AR627" s="33">
        <v>3</v>
      </c>
      <c r="AS627" s="33">
        <v>9</v>
      </c>
      <c r="AT627" s="33">
        <v>0</v>
      </c>
      <c r="AU627" s="43">
        <v>3.4717832011025414E-2</v>
      </c>
      <c r="AV627" s="33">
        <v>0</v>
      </c>
      <c r="AW627" s="33">
        <v>0</v>
      </c>
      <c r="AY627" s="36">
        <v>599</v>
      </c>
      <c r="AZ627" s="33">
        <v>1</v>
      </c>
      <c r="BA627" s="33">
        <v>3</v>
      </c>
      <c r="BB627" s="33">
        <v>0</v>
      </c>
      <c r="BC627" s="33">
        <v>0</v>
      </c>
      <c r="BD627" s="43">
        <v>0.18791247240909698</v>
      </c>
      <c r="BE627" s="33">
        <v>0</v>
      </c>
      <c r="BF627" s="33">
        <v>1</v>
      </c>
      <c r="CE627" s="36">
        <v>593</v>
      </c>
      <c r="CF627" s="33">
        <v>2</v>
      </c>
      <c r="CG627" s="33">
        <v>4</v>
      </c>
      <c r="CH627" s="33">
        <v>4</v>
      </c>
      <c r="CI627" s="33">
        <v>2</v>
      </c>
      <c r="CJ627" s="33">
        <v>1</v>
      </c>
      <c r="CK627" s="33">
        <v>1</v>
      </c>
      <c r="CL627" s="33">
        <v>1</v>
      </c>
      <c r="CM627" s="33">
        <v>2</v>
      </c>
      <c r="CN627" s="33">
        <v>26</v>
      </c>
      <c r="CO627" s="33">
        <v>3</v>
      </c>
      <c r="CP627" s="43">
        <v>1.7069201345929277E-2</v>
      </c>
      <c r="CQ627" s="33">
        <v>0</v>
      </c>
      <c r="CR627" s="33">
        <v>0</v>
      </c>
    </row>
    <row r="628" spans="1:96" ht="15" customHeight="1" x14ac:dyDescent="0.25">
      <c r="A628" s="26">
        <v>626</v>
      </c>
      <c r="B628" s="27">
        <v>32</v>
      </c>
      <c r="C628" s="27">
        <v>0</v>
      </c>
      <c r="D628" s="27">
        <v>1</v>
      </c>
      <c r="E628" s="27">
        <v>638</v>
      </c>
      <c r="F628" s="27">
        <v>2</v>
      </c>
      <c r="G628" s="27">
        <v>8</v>
      </c>
      <c r="H628" s="27">
        <v>2</v>
      </c>
      <c r="I628" s="27">
        <v>3</v>
      </c>
      <c r="J628" s="27">
        <v>1</v>
      </c>
      <c r="K628" s="27">
        <v>865</v>
      </c>
      <c r="L628" s="27">
        <v>3</v>
      </c>
      <c r="M628" s="27">
        <v>0</v>
      </c>
      <c r="N628" s="27">
        <v>91</v>
      </c>
      <c r="O628" s="27">
        <v>4</v>
      </c>
      <c r="P628" s="27">
        <v>2</v>
      </c>
      <c r="Q628" s="27">
        <v>2</v>
      </c>
      <c r="R628" s="27">
        <v>3</v>
      </c>
      <c r="S628" s="27">
        <v>2</v>
      </c>
      <c r="T628" s="27">
        <v>5175</v>
      </c>
      <c r="U628" s="27">
        <v>22162</v>
      </c>
      <c r="V628" s="27">
        <v>5</v>
      </c>
      <c r="W628" s="27">
        <v>0</v>
      </c>
      <c r="X628" s="27">
        <v>12</v>
      </c>
      <c r="Y628" s="27">
        <v>3</v>
      </c>
      <c r="Z628" s="27">
        <v>3</v>
      </c>
      <c r="AA628" s="27">
        <v>80</v>
      </c>
      <c r="AB628" s="27">
        <v>1</v>
      </c>
      <c r="AC628" s="27">
        <v>9</v>
      </c>
      <c r="AD628" s="27">
        <v>3</v>
      </c>
      <c r="AE628" s="27">
        <v>2</v>
      </c>
      <c r="AF628" s="27">
        <v>5</v>
      </c>
      <c r="AG628" s="27">
        <v>3</v>
      </c>
      <c r="AH628" s="27">
        <v>1</v>
      </c>
      <c r="AI628" s="28">
        <v>3</v>
      </c>
      <c r="AK628" s="36">
        <v>595</v>
      </c>
      <c r="AL628" s="33">
        <v>23</v>
      </c>
      <c r="AM628" s="33">
        <v>1</v>
      </c>
      <c r="AN628" s="33">
        <v>3</v>
      </c>
      <c r="AO628" s="33">
        <v>1</v>
      </c>
      <c r="AP628" s="33">
        <v>0</v>
      </c>
      <c r="AQ628" s="33">
        <v>1</v>
      </c>
      <c r="AR628" s="33">
        <v>3</v>
      </c>
      <c r="AS628" s="33">
        <v>10</v>
      </c>
      <c r="AT628" s="33">
        <v>0</v>
      </c>
      <c r="AU628" s="43">
        <v>8.9991928327454007E-2</v>
      </c>
      <c r="AV628" s="33">
        <v>0</v>
      </c>
      <c r="AW628" s="33">
        <v>0</v>
      </c>
      <c r="AY628" s="36">
        <v>600</v>
      </c>
      <c r="AZ628" s="33">
        <v>1</v>
      </c>
      <c r="BA628" s="33">
        <v>2</v>
      </c>
      <c r="BB628" s="33">
        <v>0</v>
      </c>
      <c r="BC628" s="33">
        <v>1</v>
      </c>
      <c r="BD628" s="43">
        <v>0.15461023487664</v>
      </c>
      <c r="BE628" s="33">
        <v>0</v>
      </c>
      <c r="BF628" s="33">
        <v>0</v>
      </c>
      <c r="CE628" s="36">
        <v>594</v>
      </c>
      <c r="CF628" s="33">
        <v>1</v>
      </c>
      <c r="CG628" s="33">
        <v>2</v>
      </c>
      <c r="CH628" s="33">
        <v>2</v>
      </c>
      <c r="CI628" s="33">
        <v>2</v>
      </c>
      <c r="CJ628" s="33">
        <v>0</v>
      </c>
      <c r="CK628" s="33">
        <v>0</v>
      </c>
      <c r="CL628" s="33">
        <v>1</v>
      </c>
      <c r="CM628" s="33">
        <v>3</v>
      </c>
      <c r="CN628" s="33">
        <v>9</v>
      </c>
      <c r="CO628" s="33">
        <v>0</v>
      </c>
      <c r="CP628" s="43">
        <v>3.3902622712773313E-2</v>
      </c>
      <c r="CQ628" s="33">
        <v>0</v>
      </c>
      <c r="CR628" s="33">
        <v>0</v>
      </c>
    </row>
    <row r="629" spans="1:96" ht="15" customHeight="1" x14ac:dyDescent="0.25">
      <c r="A629" s="26">
        <v>627</v>
      </c>
      <c r="B629" s="27">
        <v>52</v>
      </c>
      <c r="C629" s="27">
        <v>0</v>
      </c>
      <c r="D629" s="27">
        <v>2</v>
      </c>
      <c r="E629" s="27">
        <v>890</v>
      </c>
      <c r="F629" s="27">
        <v>2</v>
      </c>
      <c r="G629" s="27">
        <v>25</v>
      </c>
      <c r="H629" s="27">
        <v>4</v>
      </c>
      <c r="I629" s="27">
        <v>3</v>
      </c>
      <c r="J629" s="27">
        <v>1</v>
      </c>
      <c r="K629" s="27">
        <v>867</v>
      </c>
      <c r="L629" s="27">
        <v>3</v>
      </c>
      <c r="M629" s="27">
        <v>0</v>
      </c>
      <c r="N629" s="27">
        <v>81</v>
      </c>
      <c r="O629" s="27">
        <v>2</v>
      </c>
      <c r="P629" s="27">
        <v>4</v>
      </c>
      <c r="Q629" s="27">
        <v>4</v>
      </c>
      <c r="R629" s="27">
        <v>4</v>
      </c>
      <c r="S629" s="27">
        <v>2</v>
      </c>
      <c r="T629" s="27">
        <v>13826</v>
      </c>
      <c r="U629" s="27">
        <v>19028</v>
      </c>
      <c r="V629" s="27">
        <v>3</v>
      </c>
      <c r="W629" s="27">
        <v>0</v>
      </c>
      <c r="X629" s="27">
        <v>22</v>
      </c>
      <c r="Y629" s="27">
        <v>4</v>
      </c>
      <c r="Z629" s="27">
        <v>3</v>
      </c>
      <c r="AA629" s="27">
        <v>80</v>
      </c>
      <c r="AB629" s="27">
        <v>0</v>
      </c>
      <c r="AC629" s="27">
        <v>31</v>
      </c>
      <c r="AD629" s="27">
        <v>3</v>
      </c>
      <c r="AE629" s="27">
        <v>3</v>
      </c>
      <c r="AF629" s="27">
        <v>9</v>
      </c>
      <c r="AG629" s="27">
        <v>8</v>
      </c>
      <c r="AH629" s="27">
        <v>0</v>
      </c>
      <c r="AI629" s="28">
        <v>0</v>
      </c>
      <c r="AK629" s="36">
        <v>596</v>
      </c>
      <c r="AL629" s="33">
        <v>2</v>
      </c>
      <c r="AM629" s="33">
        <v>5</v>
      </c>
      <c r="AN629" s="33">
        <v>2</v>
      </c>
      <c r="AO629" s="33">
        <v>7</v>
      </c>
      <c r="AP629" s="33">
        <v>1</v>
      </c>
      <c r="AQ629" s="33">
        <v>0</v>
      </c>
      <c r="AR629" s="33">
        <v>3</v>
      </c>
      <c r="AS629" s="33">
        <v>31</v>
      </c>
      <c r="AT629" s="33">
        <v>13</v>
      </c>
      <c r="AU629" s="43">
        <v>8.1007510497396198E-2</v>
      </c>
      <c r="AV629" s="33">
        <v>0</v>
      </c>
      <c r="AW629" s="33">
        <v>1</v>
      </c>
      <c r="AY629" s="36">
        <v>601</v>
      </c>
      <c r="AZ629" s="33">
        <v>2</v>
      </c>
      <c r="BA629" s="33">
        <v>3</v>
      </c>
      <c r="BB629" s="33">
        <v>0</v>
      </c>
      <c r="BC629" s="33">
        <v>1</v>
      </c>
      <c r="BD629" s="43">
        <v>7.244788656931947E-2</v>
      </c>
      <c r="BE629" s="33">
        <v>0</v>
      </c>
      <c r="BF629" s="33">
        <v>0</v>
      </c>
      <c r="CE629" s="36">
        <v>595</v>
      </c>
      <c r="CF629" s="33">
        <v>23</v>
      </c>
      <c r="CG629" s="33">
        <v>1</v>
      </c>
      <c r="CH629" s="33">
        <v>3</v>
      </c>
      <c r="CI629" s="33">
        <v>2</v>
      </c>
      <c r="CJ629" s="33">
        <v>1</v>
      </c>
      <c r="CK629" s="33">
        <v>0</v>
      </c>
      <c r="CL629" s="33">
        <v>1</v>
      </c>
      <c r="CM629" s="33">
        <v>3</v>
      </c>
      <c r="CN629" s="33">
        <v>10</v>
      </c>
      <c r="CO629" s="33">
        <v>0</v>
      </c>
      <c r="CP629" s="43">
        <v>8.518168187167717E-2</v>
      </c>
      <c r="CQ629" s="33">
        <v>0</v>
      </c>
      <c r="CR629" s="33">
        <v>0</v>
      </c>
    </row>
    <row r="630" spans="1:96" ht="15" customHeight="1" x14ac:dyDescent="0.25">
      <c r="A630" s="26">
        <v>628</v>
      </c>
      <c r="B630" s="27">
        <v>37</v>
      </c>
      <c r="C630" s="27">
        <v>0</v>
      </c>
      <c r="D630" s="27">
        <v>1</v>
      </c>
      <c r="E630" s="27">
        <v>342</v>
      </c>
      <c r="F630" s="27">
        <v>1</v>
      </c>
      <c r="G630" s="27">
        <v>16</v>
      </c>
      <c r="H630" s="27">
        <v>4</v>
      </c>
      <c r="I630" s="27">
        <v>4</v>
      </c>
      <c r="J630" s="27">
        <v>1</v>
      </c>
      <c r="K630" s="27">
        <v>868</v>
      </c>
      <c r="L630" s="27">
        <v>4</v>
      </c>
      <c r="M630" s="27">
        <v>1</v>
      </c>
      <c r="N630" s="27">
        <v>66</v>
      </c>
      <c r="O630" s="27">
        <v>2</v>
      </c>
      <c r="P630" s="27">
        <v>2</v>
      </c>
      <c r="Q630" s="27">
        <v>1</v>
      </c>
      <c r="R630" s="27">
        <v>3</v>
      </c>
      <c r="S630" s="27">
        <v>3</v>
      </c>
      <c r="T630" s="27">
        <v>6334</v>
      </c>
      <c r="U630" s="27">
        <v>24558</v>
      </c>
      <c r="V630" s="27">
        <v>4</v>
      </c>
      <c r="W630" s="27">
        <v>0</v>
      </c>
      <c r="X630" s="27">
        <v>19</v>
      </c>
      <c r="Y630" s="27">
        <v>3</v>
      </c>
      <c r="Z630" s="27">
        <v>4</v>
      </c>
      <c r="AA630" s="27">
        <v>80</v>
      </c>
      <c r="AB630" s="27">
        <v>2</v>
      </c>
      <c r="AC630" s="27">
        <v>9</v>
      </c>
      <c r="AD630" s="27">
        <v>2</v>
      </c>
      <c r="AE630" s="27">
        <v>3</v>
      </c>
      <c r="AF630" s="27">
        <v>1</v>
      </c>
      <c r="AG630" s="27">
        <v>0</v>
      </c>
      <c r="AH630" s="27">
        <v>0</v>
      </c>
      <c r="AI630" s="28">
        <v>0</v>
      </c>
      <c r="AK630" s="36">
        <v>597</v>
      </c>
      <c r="AL630" s="33">
        <v>1</v>
      </c>
      <c r="AM630" s="33">
        <v>1</v>
      </c>
      <c r="AN630" s="33">
        <v>3</v>
      </c>
      <c r="AO630" s="33">
        <v>3</v>
      </c>
      <c r="AP630" s="33">
        <v>0</v>
      </c>
      <c r="AQ630" s="33">
        <v>0</v>
      </c>
      <c r="AR630" s="33">
        <v>3</v>
      </c>
      <c r="AS630" s="33">
        <v>2</v>
      </c>
      <c r="AT630" s="33">
        <v>2</v>
      </c>
      <c r="AU630" s="43">
        <v>0.18018552673374372</v>
      </c>
      <c r="AV630" s="33">
        <v>0</v>
      </c>
      <c r="AW630" s="33">
        <v>0</v>
      </c>
      <c r="AY630" s="36">
        <v>602</v>
      </c>
      <c r="AZ630" s="33">
        <v>2</v>
      </c>
      <c r="BA630" s="33">
        <v>3</v>
      </c>
      <c r="BB630" s="33">
        <v>0</v>
      </c>
      <c r="BC630" s="33">
        <v>0</v>
      </c>
      <c r="BD630" s="43">
        <v>0.11690772887050198</v>
      </c>
      <c r="BE630" s="33">
        <v>0</v>
      </c>
      <c r="BF630" s="33">
        <v>0</v>
      </c>
      <c r="CE630" s="36">
        <v>596</v>
      </c>
      <c r="CF630" s="33">
        <v>2</v>
      </c>
      <c r="CG630" s="33">
        <v>5</v>
      </c>
      <c r="CH630" s="33">
        <v>2</v>
      </c>
      <c r="CI630" s="33">
        <v>1</v>
      </c>
      <c r="CJ630" s="33">
        <v>7</v>
      </c>
      <c r="CK630" s="33">
        <v>1</v>
      </c>
      <c r="CL630" s="33">
        <v>0</v>
      </c>
      <c r="CM630" s="33">
        <v>3</v>
      </c>
      <c r="CN630" s="33">
        <v>31</v>
      </c>
      <c r="CO630" s="33">
        <v>13</v>
      </c>
      <c r="CP630" s="43">
        <v>0.10614888679951753</v>
      </c>
      <c r="CQ630" s="33">
        <v>0</v>
      </c>
      <c r="CR630" s="33">
        <v>1</v>
      </c>
    </row>
    <row r="631" spans="1:96" ht="15" customHeight="1" x14ac:dyDescent="0.25">
      <c r="A631" s="26">
        <v>629</v>
      </c>
      <c r="B631" s="27">
        <v>28</v>
      </c>
      <c r="C631" s="27">
        <v>0</v>
      </c>
      <c r="D631" s="27">
        <v>1</v>
      </c>
      <c r="E631" s="27">
        <v>1169</v>
      </c>
      <c r="F631" s="27">
        <v>3</v>
      </c>
      <c r="G631" s="27">
        <v>8</v>
      </c>
      <c r="H631" s="27">
        <v>2</v>
      </c>
      <c r="I631" s="27">
        <v>3</v>
      </c>
      <c r="J631" s="27">
        <v>1</v>
      </c>
      <c r="K631" s="27">
        <v>869</v>
      </c>
      <c r="L631" s="27">
        <v>2</v>
      </c>
      <c r="M631" s="27">
        <v>1</v>
      </c>
      <c r="N631" s="27">
        <v>63</v>
      </c>
      <c r="O631" s="27">
        <v>2</v>
      </c>
      <c r="P631" s="27">
        <v>1</v>
      </c>
      <c r="Q631" s="27">
        <v>9</v>
      </c>
      <c r="R631" s="27">
        <v>4</v>
      </c>
      <c r="S631" s="27">
        <v>3</v>
      </c>
      <c r="T631" s="27">
        <v>4936</v>
      </c>
      <c r="U631" s="27">
        <v>23965</v>
      </c>
      <c r="V631" s="27">
        <v>1</v>
      </c>
      <c r="W631" s="27">
        <v>0</v>
      </c>
      <c r="X631" s="27">
        <v>13</v>
      </c>
      <c r="Y631" s="27">
        <v>3</v>
      </c>
      <c r="Z631" s="27">
        <v>4</v>
      </c>
      <c r="AA631" s="27">
        <v>80</v>
      </c>
      <c r="AB631" s="27">
        <v>1</v>
      </c>
      <c r="AC631" s="27">
        <v>6</v>
      </c>
      <c r="AD631" s="27">
        <v>6</v>
      </c>
      <c r="AE631" s="27">
        <v>3</v>
      </c>
      <c r="AF631" s="27">
        <v>5</v>
      </c>
      <c r="AG631" s="27">
        <v>1</v>
      </c>
      <c r="AH631" s="27">
        <v>0</v>
      </c>
      <c r="AI631" s="28">
        <v>4</v>
      </c>
      <c r="AK631" s="36">
        <v>598</v>
      </c>
      <c r="AL631" s="33">
        <v>1</v>
      </c>
      <c r="AM631" s="33">
        <v>2</v>
      </c>
      <c r="AN631" s="33">
        <v>4</v>
      </c>
      <c r="AO631" s="33">
        <v>9</v>
      </c>
      <c r="AP631" s="33">
        <v>1</v>
      </c>
      <c r="AQ631" s="33">
        <v>1</v>
      </c>
      <c r="AR631" s="33">
        <v>3</v>
      </c>
      <c r="AS631" s="33">
        <v>4</v>
      </c>
      <c r="AT631" s="33">
        <v>0</v>
      </c>
      <c r="AU631" s="43">
        <v>0.21123008467441229</v>
      </c>
      <c r="AV631" s="33">
        <v>0</v>
      </c>
      <c r="AW631" s="33">
        <v>0</v>
      </c>
      <c r="AY631" s="36">
        <v>603</v>
      </c>
      <c r="AZ631" s="33">
        <v>2</v>
      </c>
      <c r="BA631" s="33">
        <v>4</v>
      </c>
      <c r="BB631" s="33">
        <v>1</v>
      </c>
      <c r="BC631" s="33">
        <v>0</v>
      </c>
      <c r="BD631" s="43">
        <v>0.29698480921718856</v>
      </c>
      <c r="BE631" s="33">
        <v>0</v>
      </c>
      <c r="BF631" s="33">
        <v>0</v>
      </c>
      <c r="CE631" s="36">
        <v>597</v>
      </c>
      <c r="CF631" s="33">
        <v>1</v>
      </c>
      <c r="CG631" s="33">
        <v>1</v>
      </c>
      <c r="CH631" s="33">
        <v>3</v>
      </c>
      <c r="CI631" s="33">
        <v>1</v>
      </c>
      <c r="CJ631" s="33">
        <v>3</v>
      </c>
      <c r="CK631" s="33">
        <v>0</v>
      </c>
      <c r="CL631" s="33">
        <v>0</v>
      </c>
      <c r="CM631" s="33">
        <v>3</v>
      </c>
      <c r="CN631" s="33">
        <v>2</v>
      </c>
      <c r="CO631" s="33">
        <v>2</v>
      </c>
      <c r="CP631" s="43">
        <v>0.20670380888208292</v>
      </c>
      <c r="CQ631" s="33">
        <v>0</v>
      </c>
      <c r="CR631" s="33">
        <v>0</v>
      </c>
    </row>
    <row r="632" spans="1:96" ht="15" customHeight="1" x14ac:dyDescent="0.25">
      <c r="A632" s="26">
        <v>630</v>
      </c>
      <c r="B632" s="27">
        <v>22</v>
      </c>
      <c r="C632" s="27">
        <v>0</v>
      </c>
      <c r="D632" s="27">
        <v>1</v>
      </c>
      <c r="E632" s="27">
        <v>1230</v>
      </c>
      <c r="F632" s="27">
        <v>2</v>
      </c>
      <c r="G632" s="27">
        <v>1</v>
      </c>
      <c r="H632" s="27">
        <v>2</v>
      </c>
      <c r="I632" s="27">
        <v>1</v>
      </c>
      <c r="J632" s="27">
        <v>1</v>
      </c>
      <c r="K632" s="27">
        <v>872</v>
      </c>
      <c r="L632" s="27">
        <v>4</v>
      </c>
      <c r="M632" s="27">
        <v>1</v>
      </c>
      <c r="N632" s="27">
        <v>33</v>
      </c>
      <c r="O632" s="27">
        <v>2</v>
      </c>
      <c r="P632" s="27">
        <v>2</v>
      </c>
      <c r="Q632" s="27">
        <v>4</v>
      </c>
      <c r="R632" s="27">
        <v>4</v>
      </c>
      <c r="S632" s="27">
        <v>2</v>
      </c>
      <c r="T632" s="27">
        <v>4775</v>
      </c>
      <c r="U632" s="27">
        <v>19146</v>
      </c>
      <c r="V632" s="27">
        <v>6</v>
      </c>
      <c r="W632" s="27">
        <v>0</v>
      </c>
      <c r="X632" s="27">
        <v>22</v>
      </c>
      <c r="Y632" s="27">
        <v>4</v>
      </c>
      <c r="Z632" s="27">
        <v>1</v>
      </c>
      <c r="AA632" s="27">
        <v>80</v>
      </c>
      <c r="AB632" s="27">
        <v>2</v>
      </c>
      <c r="AC632" s="27">
        <v>4</v>
      </c>
      <c r="AD632" s="27">
        <v>2</v>
      </c>
      <c r="AE632" s="27">
        <v>1</v>
      </c>
      <c r="AF632" s="27">
        <v>2</v>
      </c>
      <c r="AG632" s="27">
        <v>2</v>
      </c>
      <c r="AH632" s="27">
        <v>2</v>
      </c>
      <c r="AI632" s="28">
        <v>2</v>
      </c>
      <c r="AK632" s="36">
        <v>599</v>
      </c>
      <c r="AL632" s="33">
        <v>2</v>
      </c>
      <c r="AM632" s="33">
        <v>1</v>
      </c>
      <c r="AN632" s="33">
        <v>3</v>
      </c>
      <c r="AO632" s="33">
        <v>6</v>
      </c>
      <c r="AP632" s="33">
        <v>0</v>
      </c>
      <c r="AQ632" s="33">
        <v>0</v>
      </c>
      <c r="AR632" s="33">
        <v>2</v>
      </c>
      <c r="AS632" s="33">
        <v>2</v>
      </c>
      <c r="AT632" s="33">
        <v>2</v>
      </c>
      <c r="AU632" s="43">
        <v>0.26953999161939524</v>
      </c>
      <c r="AV632" s="33">
        <v>0</v>
      </c>
      <c r="AW632" s="33">
        <v>1</v>
      </c>
      <c r="AY632" s="36">
        <v>604</v>
      </c>
      <c r="AZ632" s="33">
        <v>1</v>
      </c>
      <c r="BA632" s="33">
        <v>3</v>
      </c>
      <c r="BB632" s="33">
        <v>0</v>
      </c>
      <c r="BC632" s="33">
        <v>0</v>
      </c>
      <c r="BD632" s="43">
        <v>0.18791247240909698</v>
      </c>
      <c r="BE632" s="33">
        <v>0</v>
      </c>
      <c r="BF632" s="33">
        <v>0</v>
      </c>
      <c r="CE632" s="36">
        <v>598</v>
      </c>
      <c r="CF632" s="33">
        <v>1</v>
      </c>
      <c r="CG632" s="33">
        <v>2</v>
      </c>
      <c r="CH632" s="33">
        <v>4</v>
      </c>
      <c r="CI632" s="33">
        <v>2</v>
      </c>
      <c r="CJ632" s="33">
        <v>9</v>
      </c>
      <c r="CK632" s="33">
        <v>1</v>
      </c>
      <c r="CL632" s="33">
        <v>1</v>
      </c>
      <c r="CM632" s="33">
        <v>3</v>
      </c>
      <c r="CN632" s="33">
        <v>4</v>
      </c>
      <c r="CO632" s="33">
        <v>0</v>
      </c>
      <c r="CP632" s="43">
        <v>0.21045393691285649</v>
      </c>
      <c r="CQ632" s="33">
        <v>0</v>
      </c>
      <c r="CR632" s="33">
        <v>0</v>
      </c>
    </row>
    <row r="633" spans="1:96" ht="15" customHeight="1" x14ac:dyDescent="0.25">
      <c r="A633" s="26">
        <v>631</v>
      </c>
      <c r="B633" s="27">
        <v>44</v>
      </c>
      <c r="C633" s="27">
        <v>0</v>
      </c>
      <c r="D633" s="27">
        <v>1</v>
      </c>
      <c r="E633" s="27">
        <v>986</v>
      </c>
      <c r="F633" s="27">
        <v>2</v>
      </c>
      <c r="G633" s="27">
        <v>8</v>
      </c>
      <c r="H633" s="27">
        <v>4</v>
      </c>
      <c r="I633" s="27">
        <v>1</v>
      </c>
      <c r="J633" s="27">
        <v>1</v>
      </c>
      <c r="K633" s="27">
        <v>874</v>
      </c>
      <c r="L633" s="27">
        <v>1</v>
      </c>
      <c r="M633" s="27">
        <v>1</v>
      </c>
      <c r="N633" s="27">
        <v>62</v>
      </c>
      <c r="O633" s="27">
        <v>4</v>
      </c>
      <c r="P633" s="27">
        <v>1</v>
      </c>
      <c r="Q633" s="27">
        <v>3</v>
      </c>
      <c r="R633" s="27">
        <v>4</v>
      </c>
      <c r="S633" s="27">
        <v>2</v>
      </c>
      <c r="T633" s="27">
        <v>2818</v>
      </c>
      <c r="U633" s="27">
        <v>5044</v>
      </c>
      <c r="V633" s="27">
        <v>2</v>
      </c>
      <c r="W633" s="27">
        <v>1</v>
      </c>
      <c r="X633" s="27">
        <v>24</v>
      </c>
      <c r="Y633" s="27">
        <v>4</v>
      </c>
      <c r="Z633" s="27">
        <v>3</v>
      </c>
      <c r="AA633" s="27">
        <v>80</v>
      </c>
      <c r="AB633" s="27">
        <v>1</v>
      </c>
      <c r="AC633" s="27">
        <v>10</v>
      </c>
      <c r="AD633" s="27">
        <v>2</v>
      </c>
      <c r="AE633" s="27">
        <v>2</v>
      </c>
      <c r="AF633" s="27">
        <v>3</v>
      </c>
      <c r="AG633" s="27">
        <v>2</v>
      </c>
      <c r="AH633" s="27">
        <v>0</v>
      </c>
      <c r="AI633" s="28">
        <v>2</v>
      </c>
      <c r="AK633" s="36">
        <v>600</v>
      </c>
      <c r="AL633" s="33">
        <v>13</v>
      </c>
      <c r="AM633" s="33">
        <v>1</v>
      </c>
      <c r="AN633" s="33">
        <v>2</v>
      </c>
      <c r="AO633" s="33">
        <v>4</v>
      </c>
      <c r="AP633" s="33">
        <v>0</v>
      </c>
      <c r="AQ633" s="33">
        <v>1</v>
      </c>
      <c r="AR633" s="33">
        <v>3</v>
      </c>
      <c r="AS633" s="33">
        <v>5</v>
      </c>
      <c r="AT633" s="33">
        <v>0</v>
      </c>
      <c r="AU633" s="43">
        <v>0.14860531283817546</v>
      </c>
      <c r="AV633" s="33">
        <v>0</v>
      </c>
      <c r="AW633" s="33">
        <v>0</v>
      </c>
      <c r="AY633" s="36">
        <v>605</v>
      </c>
      <c r="AZ633" s="33">
        <v>2</v>
      </c>
      <c r="BA633" s="33">
        <v>2</v>
      </c>
      <c r="BB633" s="33">
        <v>0</v>
      </c>
      <c r="BC633" s="33">
        <v>1</v>
      </c>
      <c r="BD633" s="43">
        <v>9.4721355311452843E-2</v>
      </c>
      <c r="BE633" s="33">
        <v>0</v>
      </c>
      <c r="BF633" s="33">
        <v>0</v>
      </c>
      <c r="CE633" s="36">
        <v>599</v>
      </c>
      <c r="CF633" s="33">
        <v>2</v>
      </c>
      <c r="CG633" s="33">
        <v>1</v>
      </c>
      <c r="CH633" s="33">
        <v>3</v>
      </c>
      <c r="CI633" s="33">
        <v>1</v>
      </c>
      <c r="CJ633" s="33">
        <v>6</v>
      </c>
      <c r="CK633" s="33">
        <v>0</v>
      </c>
      <c r="CL633" s="33">
        <v>0</v>
      </c>
      <c r="CM633" s="33">
        <v>2</v>
      </c>
      <c r="CN633" s="33">
        <v>2</v>
      </c>
      <c r="CO633" s="33">
        <v>2</v>
      </c>
      <c r="CP633" s="43">
        <v>0.30868846204804257</v>
      </c>
      <c r="CQ633" s="33">
        <v>0</v>
      </c>
      <c r="CR633" s="33">
        <v>1</v>
      </c>
    </row>
    <row r="634" spans="1:96" ht="15" customHeight="1" x14ac:dyDescent="0.25">
      <c r="A634" s="26">
        <v>632</v>
      </c>
      <c r="B634" s="27">
        <v>42</v>
      </c>
      <c r="C634" s="27">
        <v>0</v>
      </c>
      <c r="D634" s="27">
        <v>2</v>
      </c>
      <c r="E634" s="27">
        <v>1271</v>
      </c>
      <c r="F634" s="27">
        <v>2</v>
      </c>
      <c r="G634" s="27">
        <v>2</v>
      </c>
      <c r="H634" s="27">
        <v>1</v>
      </c>
      <c r="I634" s="27">
        <v>3</v>
      </c>
      <c r="J634" s="27">
        <v>1</v>
      </c>
      <c r="K634" s="27">
        <v>875</v>
      </c>
      <c r="L634" s="27">
        <v>2</v>
      </c>
      <c r="M634" s="27">
        <v>1</v>
      </c>
      <c r="N634" s="27">
        <v>35</v>
      </c>
      <c r="O634" s="27">
        <v>3</v>
      </c>
      <c r="P634" s="27">
        <v>1</v>
      </c>
      <c r="Q634" s="27">
        <v>2</v>
      </c>
      <c r="R634" s="27">
        <v>4</v>
      </c>
      <c r="S634" s="27">
        <v>1</v>
      </c>
      <c r="T634" s="27">
        <v>2515</v>
      </c>
      <c r="U634" s="27">
        <v>9068</v>
      </c>
      <c r="V634" s="27">
        <v>5</v>
      </c>
      <c r="W634" s="27">
        <v>1</v>
      </c>
      <c r="X634" s="27">
        <v>14</v>
      </c>
      <c r="Y634" s="27">
        <v>3</v>
      </c>
      <c r="Z634" s="27">
        <v>4</v>
      </c>
      <c r="AA634" s="27">
        <v>80</v>
      </c>
      <c r="AB634" s="27">
        <v>0</v>
      </c>
      <c r="AC634" s="27">
        <v>8</v>
      </c>
      <c r="AD634" s="27">
        <v>2</v>
      </c>
      <c r="AE634" s="27">
        <v>3</v>
      </c>
      <c r="AF634" s="27">
        <v>2</v>
      </c>
      <c r="AG634" s="27">
        <v>1</v>
      </c>
      <c r="AH634" s="27">
        <v>2</v>
      </c>
      <c r="AI634" s="28">
        <v>2</v>
      </c>
      <c r="AK634" s="36">
        <v>601</v>
      </c>
      <c r="AL634" s="33">
        <v>4</v>
      </c>
      <c r="AM634" s="33">
        <v>2</v>
      </c>
      <c r="AN634" s="33">
        <v>3</v>
      </c>
      <c r="AO634" s="33">
        <v>1</v>
      </c>
      <c r="AP634" s="33">
        <v>0</v>
      </c>
      <c r="AQ634" s="33">
        <v>1</v>
      </c>
      <c r="AR634" s="33">
        <v>3</v>
      </c>
      <c r="AS634" s="33">
        <v>14</v>
      </c>
      <c r="AT634" s="33">
        <v>6</v>
      </c>
      <c r="AU634" s="43">
        <v>4.2585296119948254E-2</v>
      </c>
      <c r="AV634" s="33">
        <v>0</v>
      </c>
      <c r="AW634" s="33">
        <v>0</v>
      </c>
      <c r="AY634" s="36">
        <v>606</v>
      </c>
      <c r="AZ634" s="33">
        <v>2</v>
      </c>
      <c r="BA634" s="33">
        <v>1</v>
      </c>
      <c r="BB634" s="33">
        <v>0</v>
      </c>
      <c r="BC634" s="33">
        <v>1</v>
      </c>
      <c r="BD634" s="43">
        <v>0.12293502213131684</v>
      </c>
      <c r="BE634" s="33">
        <v>0</v>
      </c>
      <c r="BF634" s="33">
        <v>0</v>
      </c>
      <c r="CE634" s="36">
        <v>600</v>
      </c>
      <c r="CF634" s="33">
        <v>13</v>
      </c>
      <c r="CG634" s="33">
        <v>1</v>
      </c>
      <c r="CH634" s="33">
        <v>2</v>
      </c>
      <c r="CI634" s="33">
        <v>2</v>
      </c>
      <c r="CJ634" s="33">
        <v>4</v>
      </c>
      <c r="CK634" s="33">
        <v>0</v>
      </c>
      <c r="CL634" s="33">
        <v>1</v>
      </c>
      <c r="CM634" s="33">
        <v>3</v>
      </c>
      <c r="CN634" s="33">
        <v>5</v>
      </c>
      <c r="CO634" s="33">
        <v>0</v>
      </c>
      <c r="CP634" s="43">
        <v>0.14465507440760345</v>
      </c>
      <c r="CQ634" s="33">
        <v>0</v>
      </c>
      <c r="CR634" s="33">
        <v>0</v>
      </c>
    </row>
    <row r="635" spans="1:96" ht="15" customHeight="1" x14ac:dyDescent="0.25">
      <c r="A635" s="26">
        <v>633</v>
      </c>
      <c r="B635" s="27">
        <v>36</v>
      </c>
      <c r="C635" s="27">
        <v>0</v>
      </c>
      <c r="D635" s="27">
        <v>1</v>
      </c>
      <c r="E635" s="27">
        <v>1278</v>
      </c>
      <c r="F635" s="27">
        <v>3</v>
      </c>
      <c r="G635" s="27">
        <v>8</v>
      </c>
      <c r="H635" s="27">
        <v>3</v>
      </c>
      <c r="I635" s="27">
        <v>1</v>
      </c>
      <c r="J635" s="27">
        <v>1</v>
      </c>
      <c r="K635" s="27">
        <v>878</v>
      </c>
      <c r="L635" s="27">
        <v>1</v>
      </c>
      <c r="M635" s="27">
        <v>1</v>
      </c>
      <c r="N635" s="27">
        <v>77</v>
      </c>
      <c r="O635" s="27">
        <v>2</v>
      </c>
      <c r="P635" s="27">
        <v>1</v>
      </c>
      <c r="Q635" s="27">
        <v>9</v>
      </c>
      <c r="R635" s="27">
        <v>1</v>
      </c>
      <c r="S635" s="27">
        <v>2</v>
      </c>
      <c r="T635" s="27">
        <v>2342</v>
      </c>
      <c r="U635" s="27">
        <v>8635</v>
      </c>
      <c r="V635" s="27">
        <v>0</v>
      </c>
      <c r="W635" s="27">
        <v>0</v>
      </c>
      <c r="X635" s="27">
        <v>21</v>
      </c>
      <c r="Y635" s="27">
        <v>4</v>
      </c>
      <c r="Z635" s="27">
        <v>3</v>
      </c>
      <c r="AA635" s="27">
        <v>80</v>
      </c>
      <c r="AB635" s="27">
        <v>0</v>
      </c>
      <c r="AC635" s="27">
        <v>6</v>
      </c>
      <c r="AD635" s="27">
        <v>3</v>
      </c>
      <c r="AE635" s="27">
        <v>3</v>
      </c>
      <c r="AF635" s="27">
        <v>5</v>
      </c>
      <c r="AG635" s="27">
        <v>4</v>
      </c>
      <c r="AH635" s="27">
        <v>0</v>
      </c>
      <c r="AI635" s="28">
        <v>3</v>
      </c>
      <c r="AK635" s="36">
        <v>602</v>
      </c>
      <c r="AL635" s="33">
        <v>16</v>
      </c>
      <c r="AM635" s="33">
        <v>2</v>
      </c>
      <c r="AN635" s="33">
        <v>3</v>
      </c>
      <c r="AO635" s="33">
        <v>6</v>
      </c>
      <c r="AP635" s="33">
        <v>0</v>
      </c>
      <c r="AQ635" s="33">
        <v>0</v>
      </c>
      <c r="AR635" s="33">
        <v>3</v>
      </c>
      <c r="AS635" s="33">
        <v>1</v>
      </c>
      <c r="AT635" s="33">
        <v>0</v>
      </c>
      <c r="AU635" s="43">
        <v>0.18773993372921408</v>
      </c>
      <c r="AV635" s="33">
        <v>0</v>
      </c>
      <c r="AW635" s="33">
        <v>0</v>
      </c>
      <c r="AY635" s="36">
        <v>607</v>
      </c>
      <c r="AZ635" s="33">
        <v>1</v>
      </c>
      <c r="BA635" s="33">
        <v>4</v>
      </c>
      <c r="BB635" s="33">
        <v>0</v>
      </c>
      <c r="BC635" s="33">
        <v>0</v>
      </c>
      <c r="BD635" s="43">
        <v>0.1472907617042678</v>
      </c>
      <c r="BE635" s="33">
        <v>0</v>
      </c>
      <c r="BF635" s="33">
        <v>0</v>
      </c>
      <c r="CE635" s="36">
        <v>601</v>
      </c>
      <c r="CF635" s="33">
        <v>4</v>
      </c>
      <c r="CG635" s="33">
        <v>2</v>
      </c>
      <c r="CH635" s="33">
        <v>3</v>
      </c>
      <c r="CI635" s="33">
        <v>2</v>
      </c>
      <c r="CJ635" s="33">
        <v>1</v>
      </c>
      <c r="CK635" s="33">
        <v>0</v>
      </c>
      <c r="CL635" s="33">
        <v>1</v>
      </c>
      <c r="CM635" s="33">
        <v>3</v>
      </c>
      <c r="CN635" s="33">
        <v>14</v>
      </c>
      <c r="CO635" s="33">
        <v>6</v>
      </c>
      <c r="CP635" s="43">
        <v>4.150302265381426E-2</v>
      </c>
      <c r="CQ635" s="33">
        <v>0</v>
      </c>
      <c r="CR635" s="33">
        <v>0</v>
      </c>
    </row>
    <row r="636" spans="1:96" ht="15" customHeight="1" x14ac:dyDescent="0.25">
      <c r="A636" s="26">
        <v>634</v>
      </c>
      <c r="B636" s="27">
        <v>25</v>
      </c>
      <c r="C636" s="27">
        <v>0</v>
      </c>
      <c r="D636" s="27">
        <v>1</v>
      </c>
      <c r="E636" s="27">
        <v>141</v>
      </c>
      <c r="F636" s="27">
        <v>1</v>
      </c>
      <c r="G636" s="27">
        <v>3</v>
      </c>
      <c r="H636" s="27">
        <v>1</v>
      </c>
      <c r="I636" s="27">
        <v>6</v>
      </c>
      <c r="J636" s="27">
        <v>1</v>
      </c>
      <c r="K636" s="27">
        <v>879</v>
      </c>
      <c r="L636" s="27">
        <v>3</v>
      </c>
      <c r="M636" s="27">
        <v>1</v>
      </c>
      <c r="N636" s="27">
        <v>98</v>
      </c>
      <c r="O636" s="27">
        <v>3</v>
      </c>
      <c r="P636" s="27">
        <v>2</v>
      </c>
      <c r="Q636" s="27">
        <v>1</v>
      </c>
      <c r="R636" s="27">
        <v>1</v>
      </c>
      <c r="S636" s="27">
        <v>2</v>
      </c>
      <c r="T636" s="27">
        <v>4194</v>
      </c>
      <c r="U636" s="27">
        <v>14363</v>
      </c>
      <c r="V636" s="27">
        <v>1</v>
      </c>
      <c r="W636" s="27">
        <v>1</v>
      </c>
      <c r="X636" s="27">
        <v>18</v>
      </c>
      <c r="Y636" s="27">
        <v>3</v>
      </c>
      <c r="Z636" s="27">
        <v>4</v>
      </c>
      <c r="AA636" s="27">
        <v>80</v>
      </c>
      <c r="AB636" s="27">
        <v>0</v>
      </c>
      <c r="AC636" s="27">
        <v>5</v>
      </c>
      <c r="AD636" s="27">
        <v>3</v>
      </c>
      <c r="AE636" s="27">
        <v>3</v>
      </c>
      <c r="AF636" s="27">
        <v>5</v>
      </c>
      <c r="AG636" s="27">
        <v>3</v>
      </c>
      <c r="AH636" s="27">
        <v>0</v>
      </c>
      <c r="AI636" s="28">
        <v>3</v>
      </c>
      <c r="AK636" s="36">
        <v>603</v>
      </c>
      <c r="AL636" s="33">
        <v>2</v>
      </c>
      <c r="AM636" s="33">
        <v>2</v>
      </c>
      <c r="AN636" s="33">
        <v>4</v>
      </c>
      <c r="AO636" s="33">
        <v>5</v>
      </c>
      <c r="AP636" s="33">
        <v>1</v>
      </c>
      <c r="AQ636" s="33">
        <v>0</v>
      </c>
      <c r="AR636" s="33">
        <v>2</v>
      </c>
      <c r="AS636" s="33">
        <v>0</v>
      </c>
      <c r="AT636" s="33">
        <v>0</v>
      </c>
      <c r="AU636" s="43">
        <v>0.37010742281649472</v>
      </c>
      <c r="AV636" s="33">
        <v>0</v>
      </c>
      <c r="AW636" s="33">
        <v>0</v>
      </c>
      <c r="AY636" s="36">
        <v>608</v>
      </c>
      <c r="AZ636" s="33">
        <v>3</v>
      </c>
      <c r="BA636" s="33">
        <v>4</v>
      </c>
      <c r="BB636" s="33">
        <v>0</v>
      </c>
      <c r="BC636" s="33">
        <v>2</v>
      </c>
      <c r="BD636" s="43">
        <v>1.9300988331555628E-2</v>
      </c>
      <c r="BE636" s="33">
        <v>0</v>
      </c>
      <c r="BF636" s="33">
        <v>1</v>
      </c>
      <c r="CE636" s="36">
        <v>602</v>
      </c>
      <c r="CF636" s="33">
        <v>16</v>
      </c>
      <c r="CG636" s="33">
        <v>2</v>
      </c>
      <c r="CH636" s="33">
        <v>3</v>
      </c>
      <c r="CI636" s="33">
        <v>1</v>
      </c>
      <c r="CJ636" s="33">
        <v>6</v>
      </c>
      <c r="CK636" s="33">
        <v>0</v>
      </c>
      <c r="CL636" s="33">
        <v>0</v>
      </c>
      <c r="CM636" s="33">
        <v>3</v>
      </c>
      <c r="CN636" s="33">
        <v>1</v>
      </c>
      <c r="CO636" s="33">
        <v>0</v>
      </c>
      <c r="CP636" s="43">
        <v>0.21604235330441432</v>
      </c>
      <c r="CQ636" s="33">
        <v>0</v>
      </c>
      <c r="CR636" s="33">
        <v>0</v>
      </c>
    </row>
    <row r="637" spans="1:96" ht="15" customHeight="1" x14ac:dyDescent="0.25">
      <c r="A637" s="26">
        <v>635</v>
      </c>
      <c r="B637" s="27">
        <v>35</v>
      </c>
      <c r="C637" s="27">
        <v>0</v>
      </c>
      <c r="D637" s="27">
        <v>1</v>
      </c>
      <c r="E637" s="27">
        <v>607</v>
      </c>
      <c r="F637" s="27">
        <v>2</v>
      </c>
      <c r="G637" s="27">
        <v>9</v>
      </c>
      <c r="H637" s="27">
        <v>3</v>
      </c>
      <c r="I637" s="27">
        <v>1</v>
      </c>
      <c r="J637" s="27">
        <v>1</v>
      </c>
      <c r="K637" s="27">
        <v>880</v>
      </c>
      <c r="L637" s="27">
        <v>4</v>
      </c>
      <c r="M637" s="27">
        <v>0</v>
      </c>
      <c r="N637" s="27">
        <v>66</v>
      </c>
      <c r="O637" s="27">
        <v>2</v>
      </c>
      <c r="P637" s="27">
        <v>3</v>
      </c>
      <c r="Q637" s="27">
        <v>4</v>
      </c>
      <c r="R637" s="27">
        <v>3</v>
      </c>
      <c r="S637" s="27">
        <v>2</v>
      </c>
      <c r="T637" s="27">
        <v>10685</v>
      </c>
      <c r="U637" s="27">
        <v>23457</v>
      </c>
      <c r="V637" s="27">
        <v>1</v>
      </c>
      <c r="W637" s="27">
        <v>1</v>
      </c>
      <c r="X637" s="27">
        <v>20</v>
      </c>
      <c r="Y637" s="27">
        <v>4</v>
      </c>
      <c r="Z637" s="27">
        <v>2</v>
      </c>
      <c r="AA637" s="27">
        <v>80</v>
      </c>
      <c r="AB637" s="27">
        <v>1</v>
      </c>
      <c r="AC637" s="27">
        <v>17</v>
      </c>
      <c r="AD637" s="27">
        <v>2</v>
      </c>
      <c r="AE637" s="27">
        <v>3</v>
      </c>
      <c r="AF637" s="27">
        <v>17</v>
      </c>
      <c r="AG637" s="27">
        <v>14</v>
      </c>
      <c r="AH637" s="27">
        <v>5</v>
      </c>
      <c r="AI637" s="28">
        <v>15</v>
      </c>
      <c r="AK637" s="36">
        <v>604</v>
      </c>
      <c r="AL637" s="33">
        <v>2</v>
      </c>
      <c r="AM637" s="33">
        <v>1</v>
      </c>
      <c r="AN637" s="33">
        <v>3</v>
      </c>
      <c r="AO637" s="33">
        <v>1</v>
      </c>
      <c r="AP637" s="33">
        <v>0</v>
      </c>
      <c r="AQ637" s="33">
        <v>0</v>
      </c>
      <c r="AR637" s="33">
        <v>3</v>
      </c>
      <c r="AS637" s="33">
        <v>1</v>
      </c>
      <c r="AT637" s="33">
        <v>0</v>
      </c>
      <c r="AU637" s="43">
        <v>0.14136216722752945</v>
      </c>
      <c r="AV637" s="33">
        <v>0</v>
      </c>
      <c r="AW637" s="33">
        <v>0</v>
      </c>
      <c r="AY637" s="36">
        <v>609</v>
      </c>
      <c r="AZ637" s="33">
        <v>2</v>
      </c>
      <c r="BA637" s="33">
        <v>4</v>
      </c>
      <c r="BB637" s="33">
        <v>0</v>
      </c>
      <c r="BC637" s="33">
        <v>0</v>
      </c>
      <c r="BD637" s="43">
        <v>8.9935487507215722E-2</v>
      </c>
      <c r="BE637" s="33">
        <v>0</v>
      </c>
      <c r="BF637" s="33">
        <v>1</v>
      </c>
      <c r="CE637" s="36">
        <v>603</v>
      </c>
      <c r="CF637" s="33">
        <v>2</v>
      </c>
      <c r="CG637" s="33">
        <v>2</v>
      </c>
      <c r="CH637" s="33">
        <v>4</v>
      </c>
      <c r="CI637" s="33">
        <v>1</v>
      </c>
      <c r="CJ637" s="33">
        <v>5</v>
      </c>
      <c r="CK637" s="33">
        <v>1</v>
      </c>
      <c r="CL637" s="33">
        <v>0</v>
      </c>
      <c r="CM637" s="33">
        <v>2</v>
      </c>
      <c r="CN637" s="33">
        <v>0</v>
      </c>
      <c r="CO637" s="33">
        <v>0</v>
      </c>
      <c r="CP637" s="43">
        <v>0.42208178909570199</v>
      </c>
      <c r="CQ637" s="33">
        <v>0</v>
      </c>
      <c r="CR637" s="33">
        <v>0</v>
      </c>
    </row>
    <row r="638" spans="1:96" ht="15" customHeight="1" x14ac:dyDescent="0.25">
      <c r="A638" s="26">
        <v>636</v>
      </c>
      <c r="B638" s="27">
        <v>35</v>
      </c>
      <c r="C638" s="27">
        <v>1</v>
      </c>
      <c r="D638" s="27">
        <v>2</v>
      </c>
      <c r="E638" s="27">
        <v>130</v>
      </c>
      <c r="F638" s="27">
        <v>2</v>
      </c>
      <c r="G638" s="27">
        <v>25</v>
      </c>
      <c r="H638" s="27">
        <v>4</v>
      </c>
      <c r="I638" s="27">
        <v>1</v>
      </c>
      <c r="J638" s="27">
        <v>1</v>
      </c>
      <c r="K638" s="27">
        <v>881</v>
      </c>
      <c r="L638" s="27">
        <v>4</v>
      </c>
      <c r="M638" s="27">
        <v>0</v>
      </c>
      <c r="N638" s="27">
        <v>96</v>
      </c>
      <c r="O638" s="27">
        <v>3</v>
      </c>
      <c r="P638" s="27">
        <v>1</v>
      </c>
      <c r="Q638" s="27">
        <v>2</v>
      </c>
      <c r="R638" s="27">
        <v>2</v>
      </c>
      <c r="S638" s="27">
        <v>3</v>
      </c>
      <c r="T638" s="27">
        <v>2022</v>
      </c>
      <c r="U638" s="27">
        <v>16612</v>
      </c>
      <c r="V638" s="27">
        <v>1</v>
      </c>
      <c r="W638" s="27">
        <v>1</v>
      </c>
      <c r="X638" s="27">
        <v>19</v>
      </c>
      <c r="Y638" s="27">
        <v>3</v>
      </c>
      <c r="Z638" s="27">
        <v>1</v>
      </c>
      <c r="AA638" s="27">
        <v>80</v>
      </c>
      <c r="AB638" s="27">
        <v>1</v>
      </c>
      <c r="AC638" s="27">
        <v>10</v>
      </c>
      <c r="AD638" s="27">
        <v>3</v>
      </c>
      <c r="AE638" s="27">
        <v>2</v>
      </c>
      <c r="AF638" s="27">
        <v>10</v>
      </c>
      <c r="AG638" s="27">
        <v>2</v>
      </c>
      <c r="AH638" s="27">
        <v>7</v>
      </c>
      <c r="AI638" s="28">
        <v>8</v>
      </c>
      <c r="AK638" s="36">
        <v>605</v>
      </c>
      <c r="AL638" s="33">
        <v>29</v>
      </c>
      <c r="AM638" s="33">
        <v>2</v>
      </c>
      <c r="AN638" s="33">
        <v>2</v>
      </c>
      <c r="AO638" s="33">
        <v>1</v>
      </c>
      <c r="AP638" s="33">
        <v>0</v>
      </c>
      <c r="AQ638" s="33">
        <v>1</v>
      </c>
      <c r="AR638" s="33">
        <v>2</v>
      </c>
      <c r="AS638" s="33">
        <v>9</v>
      </c>
      <c r="AT638" s="33">
        <v>7</v>
      </c>
      <c r="AU638" s="43">
        <v>0.21867877470054684</v>
      </c>
      <c r="AV638" s="33">
        <v>0</v>
      </c>
      <c r="AW638" s="33">
        <v>0</v>
      </c>
      <c r="AY638" s="36">
        <v>610</v>
      </c>
      <c r="AZ638" s="33">
        <v>4</v>
      </c>
      <c r="BA638" s="33">
        <v>1</v>
      </c>
      <c r="BB638" s="33">
        <v>0</v>
      </c>
      <c r="BC638" s="33">
        <v>1</v>
      </c>
      <c r="BD638" s="43">
        <v>4.3866321508597754E-2</v>
      </c>
      <c r="BE638" s="33">
        <v>0</v>
      </c>
      <c r="BF638" s="33">
        <v>0</v>
      </c>
      <c r="CE638" s="36">
        <v>604</v>
      </c>
      <c r="CF638" s="33">
        <v>2</v>
      </c>
      <c r="CG638" s="33">
        <v>1</v>
      </c>
      <c r="CH638" s="33">
        <v>3</v>
      </c>
      <c r="CI638" s="33">
        <v>1</v>
      </c>
      <c r="CJ638" s="33">
        <v>1</v>
      </c>
      <c r="CK638" s="33">
        <v>0</v>
      </c>
      <c r="CL638" s="33">
        <v>0</v>
      </c>
      <c r="CM638" s="33">
        <v>3</v>
      </c>
      <c r="CN638" s="33">
        <v>1</v>
      </c>
      <c r="CO638" s="33">
        <v>0</v>
      </c>
      <c r="CP638" s="43">
        <v>0.16209756101132194</v>
      </c>
      <c r="CQ638" s="33">
        <v>0</v>
      </c>
      <c r="CR638" s="33">
        <v>0</v>
      </c>
    </row>
    <row r="639" spans="1:96" ht="15" customHeight="1" x14ac:dyDescent="0.25">
      <c r="A639" s="26">
        <v>637</v>
      </c>
      <c r="B639" s="27">
        <v>32</v>
      </c>
      <c r="C639" s="27">
        <v>0</v>
      </c>
      <c r="D639" s="27">
        <v>3</v>
      </c>
      <c r="E639" s="27">
        <v>300</v>
      </c>
      <c r="F639" s="27">
        <v>2</v>
      </c>
      <c r="G639" s="27">
        <v>1</v>
      </c>
      <c r="H639" s="27">
        <v>3</v>
      </c>
      <c r="I639" s="27">
        <v>1</v>
      </c>
      <c r="J639" s="27">
        <v>1</v>
      </c>
      <c r="K639" s="27">
        <v>882</v>
      </c>
      <c r="L639" s="27">
        <v>4</v>
      </c>
      <c r="M639" s="27">
        <v>1</v>
      </c>
      <c r="N639" s="27">
        <v>61</v>
      </c>
      <c r="O639" s="27">
        <v>3</v>
      </c>
      <c r="P639" s="27">
        <v>1</v>
      </c>
      <c r="Q639" s="27">
        <v>3</v>
      </c>
      <c r="R639" s="27">
        <v>4</v>
      </c>
      <c r="S639" s="27">
        <v>3</v>
      </c>
      <c r="T639" s="27">
        <v>2314</v>
      </c>
      <c r="U639" s="27">
        <v>9148</v>
      </c>
      <c r="V639" s="27">
        <v>0</v>
      </c>
      <c r="W639" s="27">
        <v>0</v>
      </c>
      <c r="X639" s="27">
        <v>12</v>
      </c>
      <c r="Y639" s="27">
        <v>3</v>
      </c>
      <c r="Z639" s="27">
        <v>2</v>
      </c>
      <c r="AA639" s="27">
        <v>80</v>
      </c>
      <c r="AB639" s="27">
        <v>1</v>
      </c>
      <c r="AC639" s="27">
        <v>4</v>
      </c>
      <c r="AD639" s="27">
        <v>2</v>
      </c>
      <c r="AE639" s="27">
        <v>3</v>
      </c>
      <c r="AF639" s="27">
        <v>3</v>
      </c>
      <c r="AG639" s="27">
        <v>0</v>
      </c>
      <c r="AH639" s="27">
        <v>0</v>
      </c>
      <c r="AI639" s="28">
        <v>2</v>
      </c>
      <c r="AK639" s="36">
        <v>606</v>
      </c>
      <c r="AL639" s="33">
        <v>12</v>
      </c>
      <c r="AM639" s="33">
        <v>2</v>
      </c>
      <c r="AN639" s="33">
        <v>1</v>
      </c>
      <c r="AO639" s="33">
        <v>2</v>
      </c>
      <c r="AP639" s="33">
        <v>0</v>
      </c>
      <c r="AQ639" s="33">
        <v>1</v>
      </c>
      <c r="AR639" s="33">
        <v>2</v>
      </c>
      <c r="AS639" s="33">
        <v>4</v>
      </c>
      <c r="AT639" s="33">
        <v>1</v>
      </c>
      <c r="AU639" s="43">
        <v>0.1432253872775536</v>
      </c>
      <c r="AV639" s="33">
        <v>0</v>
      </c>
      <c r="AW639" s="33">
        <v>0</v>
      </c>
      <c r="AY639" s="36">
        <v>611</v>
      </c>
      <c r="AZ639" s="33">
        <v>3</v>
      </c>
      <c r="BA639" s="33">
        <v>4</v>
      </c>
      <c r="BB639" s="33">
        <v>1</v>
      </c>
      <c r="BC639" s="33">
        <v>1</v>
      </c>
      <c r="BD639" s="43">
        <v>0.12479921665315721</v>
      </c>
      <c r="BE639" s="33">
        <v>0</v>
      </c>
      <c r="BF639" s="33">
        <v>0</v>
      </c>
      <c r="CE639" s="36">
        <v>605</v>
      </c>
      <c r="CF639" s="33">
        <v>29</v>
      </c>
      <c r="CG639" s="33">
        <v>2</v>
      </c>
      <c r="CH639" s="33">
        <v>2</v>
      </c>
      <c r="CI639" s="33">
        <v>2</v>
      </c>
      <c r="CJ639" s="33">
        <v>1</v>
      </c>
      <c r="CK639" s="33">
        <v>0</v>
      </c>
      <c r="CL639" s="33">
        <v>1</v>
      </c>
      <c r="CM639" s="33">
        <v>2</v>
      </c>
      <c r="CN639" s="33">
        <v>9</v>
      </c>
      <c r="CO639" s="33">
        <v>7</v>
      </c>
      <c r="CP639" s="43">
        <v>0.2196164098277128</v>
      </c>
      <c r="CQ639" s="33">
        <v>0</v>
      </c>
      <c r="CR639" s="33">
        <v>0</v>
      </c>
    </row>
    <row r="640" spans="1:96" ht="15" customHeight="1" x14ac:dyDescent="0.25">
      <c r="A640" s="26">
        <v>638</v>
      </c>
      <c r="B640" s="27">
        <v>25</v>
      </c>
      <c r="C640" s="27">
        <v>0</v>
      </c>
      <c r="D640" s="27">
        <v>1</v>
      </c>
      <c r="E640" s="27">
        <v>583</v>
      </c>
      <c r="F640" s="27">
        <v>1</v>
      </c>
      <c r="G640" s="27">
        <v>4</v>
      </c>
      <c r="H640" s="27">
        <v>1</v>
      </c>
      <c r="I640" s="27">
        <v>4</v>
      </c>
      <c r="J640" s="27">
        <v>1</v>
      </c>
      <c r="K640" s="27">
        <v>885</v>
      </c>
      <c r="L640" s="27">
        <v>3</v>
      </c>
      <c r="M640" s="27">
        <v>1</v>
      </c>
      <c r="N640" s="27">
        <v>87</v>
      </c>
      <c r="O640" s="27">
        <v>2</v>
      </c>
      <c r="P640" s="27">
        <v>2</v>
      </c>
      <c r="Q640" s="27">
        <v>1</v>
      </c>
      <c r="R640" s="27">
        <v>1</v>
      </c>
      <c r="S640" s="27">
        <v>2</v>
      </c>
      <c r="T640" s="27">
        <v>4256</v>
      </c>
      <c r="U640" s="27">
        <v>18154</v>
      </c>
      <c r="V640" s="27">
        <v>1</v>
      </c>
      <c r="W640" s="27">
        <v>0</v>
      </c>
      <c r="X640" s="27">
        <v>12</v>
      </c>
      <c r="Y640" s="27">
        <v>3</v>
      </c>
      <c r="Z640" s="27">
        <v>1</v>
      </c>
      <c r="AA640" s="27">
        <v>80</v>
      </c>
      <c r="AB640" s="27">
        <v>0</v>
      </c>
      <c r="AC640" s="27">
        <v>5</v>
      </c>
      <c r="AD640" s="27">
        <v>1</v>
      </c>
      <c r="AE640" s="27">
        <v>4</v>
      </c>
      <c r="AF640" s="27">
        <v>5</v>
      </c>
      <c r="AG640" s="27">
        <v>2</v>
      </c>
      <c r="AH640" s="27">
        <v>0</v>
      </c>
      <c r="AI640" s="28">
        <v>3</v>
      </c>
      <c r="AK640" s="36">
        <v>607</v>
      </c>
      <c r="AL640" s="33">
        <v>16</v>
      </c>
      <c r="AM640" s="33">
        <v>1</v>
      </c>
      <c r="AN640" s="33">
        <v>4</v>
      </c>
      <c r="AO640" s="33">
        <v>1</v>
      </c>
      <c r="AP640" s="33">
        <v>0</v>
      </c>
      <c r="AQ640" s="33">
        <v>0</v>
      </c>
      <c r="AR640" s="33">
        <v>3</v>
      </c>
      <c r="AS640" s="33">
        <v>5</v>
      </c>
      <c r="AT640" s="33">
        <v>1</v>
      </c>
      <c r="AU640" s="43">
        <v>0.14182508395673965</v>
      </c>
      <c r="AV640" s="33">
        <v>0</v>
      </c>
      <c r="AW640" s="33">
        <v>0</v>
      </c>
      <c r="AY640" s="36">
        <v>612</v>
      </c>
      <c r="AZ640" s="33">
        <v>3</v>
      </c>
      <c r="BA640" s="33">
        <v>3</v>
      </c>
      <c r="BB640" s="33">
        <v>0</v>
      </c>
      <c r="BC640" s="33">
        <v>0</v>
      </c>
      <c r="BD640" s="43">
        <v>7.0406776741937793E-2</v>
      </c>
      <c r="BE640" s="33">
        <v>0</v>
      </c>
      <c r="BF640" s="33">
        <v>0</v>
      </c>
      <c r="CE640" s="36">
        <v>606</v>
      </c>
      <c r="CF640" s="33">
        <v>12</v>
      </c>
      <c r="CG640" s="33">
        <v>2</v>
      </c>
      <c r="CH640" s="33">
        <v>1</v>
      </c>
      <c r="CI640" s="33">
        <v>3</v>
      </c>
      <c r="CJ640" s="33">
        <v>2</v>
      </c>
      <c r="CK640" s="33">
        <v>0</v>
      </c>
      <c r="CL640" s="33">
        <v>1</v>
      </c>
      <c r="CM640" s="33">
        <v>2</v>
      </c>
      <c r="CN640" s="33">
        <v>4</v>
      </c>
      <c r="CO640" s="33">
        <v>1</v>
      </c>
      <c r="CP640" s="43">
        <v>8.885063178031137E-2</v>
      </c>
      <c r="CQ640" s="33">
        <v>0</v>
      </c>
      <c r="CR640" s="33">
        <v>0</v>
      </c>
    </row>
    <row r="641" spans="1:96" ht="15" customHeight="1" x14ac:dyDescent="0.25">
      <c r="A641" s="26">
        <v>639</v>
      </c>
      <c r="B641" s="27">
        <v>49</v>
      </c>
      <c r="C641" s="27">
        <v>0</v>
      </c>
      <c r="D641" s="27">
        <v>1</v>
      </c>
      <c r="E641" s="27">
        <v>1418</v>
      </c>
      <c r="F641" s="27">
        <v>2</v>
      </c>
      <c r="G641" s="27">
        <v>1</v>
      </c>
      <c r="H641" s="27">
        <v>3</v>
      </c>
      <c r="I641" s="27">
        <v>5</v>
      </c>
      <c r="J641" s="27">
        <v>1</v>
      </c>
      <c r="K641" s="27">
        <v>887</v>
      </c>
      <c r="L641" s="27">
        <v>3</v>
      </c>
      <c r="M641" s="27">
        <v>0</v>
      </c>
      <c r="N641" s="27">
        <v>36</v>
      </c>
      <c r="O641" s="27">
        <v>3</v>
      </c>
      <c r="P641" s="27">
        <v>1</v>
      </c>
      <c r="Q641" s="27">
        <v>2</v>
      </c>
      <c r="R641" s="27">
        <v>1</v>
      </c>
      <c r="S641" s="27">
        <v>2</v>
      </c>
      <c r="T641" s="27">
        <v>3580</v>
      </c>
      <c r="U641" s="27">
        <v>10554</v>
      </c>
      <c r="V641" s="27">
        <v>2</v>
      </c>
      <c r="W641" s="27">
        <v>0</v>
      </c>
      <c r="X641" s="27">
        <v>16</v>
      </c>
      <c r="Y641" s="27">
        <v>3</v>
      </c>
      <c r="Z641" s="27">
        <v>2</v>
      </c>
      <c r="AA641" s="27">
        <v>80</v>
      </c>
      <c r="AB641" s="27">
        <v>1</v>
      </c>
      <c r="AC641" s="27">
        <v>7</v>
      </c>
      <c r="AD641" s="27">
        <v>2</v>
      </c>
      <c r="AE641" s="27">
        <v>3</v>
      </c>
      <c r="AF641" s="27">
        <v>4</v>
      </c>
      <c r="AG641" s="27">
        <v>2</v>
      </c>
      <c r="AH641" s="27">
        <v>0</v>
      </c>
      <c r="AI641" s="28">
        <v>2</v>
      </c>
      <c r="AK641" s="36">
        <v>608</v>
      </c>
      <c r="AL641" s="33">
        <v>11</v>
      </c>
      <c r="AM641" s="33">
        <v>3</v>
      </c>
      <c r="AN641" s="33">
        <v>4</v>
      </c>
      <c r="AO641" s="33">
        <v>1</v>
      </c>
      <c r="AP641" s="33">
        <v>0</v>
      </c>
      <c r="AQ641" s="33">
        <v>2</v>
      </c>
      <c r="AR641" s="33">
        <v>4</v>
      </c>
      <c r="AS641" s="33">
        <v>9</v>
      </c>
      <c r="AT641" s="33">
        <v>7</v>
      </c>
      <c r="AU641" s="43">
        <v>1.7180253554013765E-2</v>
      </c>
      <c r="AV641" s="33">
        <v>0</v>
      </c>
      <c r="AW641" s="33">
        <v>1</v>
      </c>
      <c r="AY641" s="36">
        <v>613</v>
      </c>
      <c r="AZ641" s="33">
        <v>2</v>
      </c>
      <c r="BA641" s="33">
        <v>2</v>
      </c>
      <c r="BB641" s="33">
        <v>1</v>
      </c>
      <c r="BC641" s="33">
        <v>0</v>
      </c>
      <c r="BD641" s="43">
        <v>0.4312038484945574</v>
      </c>
      <c r="BE641" s="33">
        <v>0</v>
      </c>
      <c r="BF641" s="33">
        <v>0</v>
      </c>
      <c r="CE641" s="36">
        <v>607</v>
      </c>
      <c r="CF641" s="33">
        <v>16</v>
      </c>
      <c r="CG641" s="33">
        <v>1</v>
      </c>
      <c r="CH641" s="33">
        <v>4</v>
      </c>
      <c r="CI641" s="33">
        <v>1</v>
      </c>
      <c r="CJ641" s="33">
        <v>1</v>
      </c>
      <c r="CK641" s="33">
        <v>0</v>
      </c>
      <c r="CL641" s="33">
        <v>0</v>
      </c>
      <c r="CM641" s="33">
        <v>3</v>
      </c>
      <c r="CN641" s="33">
        <v>5</v>
      </c>
      <c r="CO641" s="33">
        <v>1</v>
      </c>
      <c r="CP641" s="43">
        <v>0.15966946998585385</v>
      </c>
      <c r="CQ641" s="33">
        <v>0</v>
      </c>
      <c r="CR641" s="33">
        <v>0</v>
      </c>
    </row>
    <row r="642" spans="1:96" ht="15" customHeight="1" x14ac:dyDescent="0.25">
      <c r="A642" s="26">
        <v>640</v>
      </c>
      <c r="B642" s="27">
        <v>24</v>
      </c>
      <c r="C642" s="27">
        <v>0</v>
      </c>
      <c r="D642" s="27">
        <v>3</v>
      </c>
      <c r="E642" s="27">
        <v>1269</v>
      </c>
      <c r="F642" s="27">
        <v>2</v>
      </c>
      <c r="G642" s="27">
        <v>4</v>
      </c>
      <c r="H642" s="27">
        <v>1</v>
      </c>
      <c r="I642" s="27">
        <v>1</v>
      </c>
      <c r="J642" s="27">
        <v>1</v>
      </c>
      <c r="K642" s="27">
        <v>888</v>
      </c>
      <c r="L642" s="27">
        <v>1</v>
      </c>
      <c r="M642" s="27">
        <v>1</v>
      </c>
      <c r="N642" s="27">
        <v>46</v>
      </c>
      <c r="O642" s="27">
        <v>2</v>
      </c>
      <c r="P642" s="27">
        <v>1</v>
      </c>
      <c r="Q642" s="27">
        <v>3</v>
      </c>
      <c r="R642" s="27">
        <v>4</v>
      </c>
      <c r="S642" s="27">
        <v>2</v>
      </c>
      <c r="T642" s="27">
        <v>3162</v>
      </c>
      <c r="U642" s="27">
        <v>10778</v>
      </c>
      <c r="V642" s="27">
        <v>0</v>
      </c>
      <c r="W642" s="27">
        <v>0</v>
      </c>
      <c r="X642" s="27">
        <v>17</v>
      </c>
      <c r="Y642" s="27">
        <v>3</v>
      </c>
      <c r="Z642" s="27">
        <v>4</v>
      </c>
      <c r="AA642" s="27">
        <v>80</v>
      </c>
      <c r="AB642" s="27">
        <v>0</v>
      </c>
      <c r="AC642" s="27">
        <v>6</v>
      </c>
      <c r="AD642" s="27">
        <v>2</v>
      </c>
      <c r="AE642" s="27">
        <v>2</v>
      </c>
      <c r="AF642" s="27">
        <v>5</v>
      </c>
      <c r="AG642" s="27">
        <v>2</v>
      </c>
      <c r="AH642" s="27">
        <v>3</v>
      </c>
      <c r="AI642" s="28">
        <v>4</v>
      </c>
      <c r="AK642" s="36">
        <v>609</v>
      </c>
      <c r="AL642" s="33">
        <v>2</v>
      </c>
      <c r="AM642" s="33">
        <v>2</v>
      </c>
      <c r="AN642" s="33">
        <v>4</v>
      </c>
      <c r="AO642" s="33">
        <v>4</v>
      </c>
      <c r="AP642" s="33">
        <v>0</v>
      </c>
      <c r="AQ642" s="33">
        <v>0</v>
      </c>
      <c r="AR642" s="33">
        <v>2</v>
      </c>
      <c r="AS642" s="33">
        <v>9</v>
      </c>
      <c r="AT642" s="33">
        <v>7</v>
      </c>
      <c r="AU642" s="43">
        <v>0.12493228729822095</v>
      </c>
      <c r="AV642" s="33">
        <v>0</v>
      </c>
      <c r="AW642" s="33">
        <v>1</v>
      </c>
      <c r="AY642" s="36">
        <v>614</v>
      </c>
      <c r="AZ642" s="33">
        <v>1</v>
      </c>
      <c r="BA642" s="33">
        <v>4</v>
      </c>
      <c r="BB642" s="33">
        <v>0</v>
      </c>
      <c r="BC642" s="33">
        <v>1</v>
      </c>
      <c r="BD642" s="43">
        <v>9.2486413274924434E-2</v>
      </c>
      <c r="BE642" s="33">
        <v>0</v>
      </c>
      <c r="BF642" s="33">
        <v>0</v>
      </c>
      <c r="CE642" s="36">
        <v>608</v>
      </c>
      <c r="CF642" s="33">
        <v>11</v>
      </c>
      <c r="CG642" s="33">
        <v>3</v>
      </c>
      <c r="CH642" s="33">
        <v>4</v>
      </c>
      <c r="CI642" s="33">
        <v>2</v>
      </c>
      <c r="CJ642" s="33">
        <v>1</v>
      </c>
      <c r="CK642" s="33">
        <v>0</v>
      </c>
      <c r="CL642" s="33">
        <v>2</v>
      </c>
      <c r="CM642" s="33">
        <v>4</v>
      </c>
      <c r="CN642" s="33">
        <v>9</v>
      </c>
      <c r="CO642" s="33">
        <v>7</v>
      </c>
      <c r="CP642" s="43">
        <v>2.2990999440233043E-2</v>
      </c>
      <c r="CQ642" s="33">
        <v>0</v>
      </c>
      <c r="CR642" s="33">
        <v>1</v>
      </c>
    </row>
    <row r="643" spans="1:96" ht="15" customHeight="1" x14ac:dyDescent="0.25">
      <c r="A643" s="26">
        <v>641</v>
      </c>
      <c r="B643" s="27">
        <v>32</v>
      </c>
      <c r="C643" s="27">
        <v>0</v>
      </c>
      <c r="D643" s="27">
        <v>2</v>
      </c>
      <c r="E643" s="27">
        <v>379</v>
      </c>
      <c r="F643" s="27">
        <v>1</v>
      </c>
      <c r="G643" s="27">
        <v>5</v>
      </c>
      <c r="H643" s="27">
        <v>2</v>
      </c>
      <c r="I643" s="27">
        <v>1</v>
      </c>
      <c r="J643" s="27">
        <v>1</v>
      </c>
      <c r="K643" s="27">
        <v>889</v>
      </c>
      <c r="L643" s="27">
        <v>2</v>
      </c>
      <c r="M643" s="27">
        <v>1</v>
      </c>
      <c r="N643" s="27">
        <v>48</v>
      </c>
      <c r="O643" s="27">
        <v>3</v>
      </c>
      <c r="P643" s="27">
        <v>2</v>
      </c>
      <c r="Q643" s="27">
        <v>1</v>
      </c>
      <c r="R643" s="27">
        <v>2</v>
      </c>
      <c r="S643" s="27">
        <v>2</v>
      </c>
      <c r="T643" s="27">
        <v>6524</v>
      </c>
      <c r="U643" s="27">
        <v>8891</v>
      </c>
      <c r="V643" s="27">
        <v>1</v>
      </c>
      <c r="W643" s="27">
        <v>0</v>
      </c>
      <c r="X643" s="27">
        <v>14</v>
      </c>
      <c r="Y643" s="27">
        <v>3</v>
      </c>
      <c r="Z643" s="27">
        <v>4</v>
      </c>
      <c r="AA643" s="27">
        <v>80</v>
      </c>
      <c r="AB643" s="27">
        <v>1</v>
      </c>
      <c r="AC643" s="27">
        <v>10</v>
      </c>
      <c r="AD643" s="27">
        <v>3</v>
      </c>
      <c r="AE643" s="27">
        <v>3</v>
      </c>
      <c r="AF643" s="27">
        <v>10</v>
      </c>
      <c r="AG643" s="27">
        <v>8</v>
      </c>
      <c r="AH643" s="27">
        <v>5</v>
      </c>
      <c r="AI643" s="28">
        <v>3</v>
      </c>
      <c r="AK643" s="36">
        <v>610</v>
      </c>
      <c r="AL643" s="33">
        <v>14</v>
      </c>
      <c r="AM643" s="33">
        <v>4</v>
      </c>
      <c r="AN643" s="33">
        <v>1</v>
      </c>
      <c r="AO643" s="33">
        <v>6</v>
      </c>
      <c r="AP643" s="33">
        <v>0</v>
      </c>
      <c r="AQ643" s="33">
        <v>1</v>
      </c>
      <c r="AR643" s="33">
        <v>3</v>
      </c>
      <c r="AS643" s="33">
        <v>4</v>
      </c>
      <c r="AT643" s="33">
        <v>1</v>
      </c>
      <c r="AU643" s="43">
        <v>6.1731835538963643E-2</v>
      </c>
      <c r="AV643" s="33">
        <v>0</v>
      </c>
      <c r="AW643" s="33">
        <v>0</v>
      </c>
      <c r="AY643" s="36">
        <v>615</v>
      </c>
      <c r="AZ643" s="33">
        <v>1</v>
      </c>
      <c r="BA643" s="33">
        <v>3</v>
      </c>
      <c r="BB643" s="33">
        <v>1</v>
      </c>
      <c r="BC643" s="33">
        <v>1</v>
      </c>
      <c r="BD643" s="43">
        <v>0.36852652578740397</v>
      </c>
      <c r="BE643" s="33">
        <v>0</v>
      </c>
      <c r="BF643" s="33">
        <v>1</v>
      </c>
      <c r="CE643" s="36">
        <v>609</v>
      </c>
      <c r="CF643" s="33">
        <v>2</v>
      </c>
      <c r="CG643" s="33">
        <v>2</v>
      </c>
      <c r="CH643" s="33">
        <v>4</v>
      </c>
      <c r="CI643" s="33">
        <v>1</v>
      </c>
      <c r="CJ643" s="33">
        <v>4</v>
      </c>
      <c r="CK643" s="33">
        <v>0</v>
      </c>
      <c r="CL643" s="33">
        <v>0</v>
      </c>
      <c r="CM643" s="33">
        <v>2</v>
      </c>
      <c r="CN643" s="33">
        <v>9</v>
      </c>
      <c r="CO643" s="33">
        <v>7</v>
      </c>
      <c r="CP643" s="43">
        <v>0.14749163322172404</v>
      </c>
      <c r="CQ643" s="33">
        <v>0</v>
      </c>
      <c r="CR643" s="33">
        <v>1</v>
      </c>
    </row>
    <row r="644" spans="1:96" ht="15" customHeight="1" x14ac:dyDescent="0.25">
      <c r="A644" s="26">
        <v>642</v>
      </c>
      <c r="B644" s="27">
        <v>38</v>
      </c>
      <c r="C644" s="27">
        <v>0</v>
      </c>
      <c r="D644" s="27">
        <v>1</v>
      </c>
      <c r="E644" s="27">
        <v>395</v>
      </c>
      <c r="F644" s="27">
        <v>1</v>
      </c>
      <c r="G644" s="27">
        <v>9</v>
      </c>
      <c r="H644" s="27">
        <v>3</v>
      </c>
      <c r="I644" s="27">
        <v>4</v>
      </c>
      <c r="J644" s="27">
        <v>1</v>
      </c>
      <c r="K644" s="27">
        <v>893</v>
      </c>
      <c r="L644" s="27">
        <v>2</v>
      </c>
      <c r="M644" s="27">
        <v>1</v>
      </c>
      <c r="N644" s="27">
        <v>98</v>
      </c>
      <c r="O644" s="27">
        <v>2</v>
      </c>
      <c r="P644" s="27">
        <v>1</v>
      </c>
      <c r="Q644" s="27">
        <v>7</v>
      </c>
      <c r="R644" s="27">
        <v>2</v>
      </c>
      <c r="S644" s="27">
        <v>2</v>
      </c>
      <c r="T644" s="27">
        <v>2899</v>
      </c>
      <c r="U644" s="27">
        <v>12102</v>
      </c>
      <c r="V644" s="27">
        <v>0</v>
      </c>
      <c r="W644" s="27">
        <v>0</v>
      </c>
      <c r="X644" s="27">
        <v>19</v>
      </c>
      <c r="Y644" s="27">
        <v>3</v>
      </c>
      <c r="Z644" s="27">
        <v>4</v>
      </c>
      <c r="AA644" s="27">
        <v>80</v>
      </c>
      <c r="AB644" s="27">
        <v>1</v>
      </c>
      <c r="AC644" s="27">
        <v>3</v>
      </c>
      <c r="AD644" s="27">
        <v>3</v>
      </c>
      <c r="AE644" s="27">
        <v>3</v>
      </c>
      <c r="AF644" s="27">
        <v>2</v>
      </c>
      <c r="AG644" s="27">
        <v>2</v>
      </c>
      <c r="AH644" s="27">
        <v>1</v>
      </c>
      <c r="AI644" s="28">
        <v>2</v>
      </c>
      <c r="AK644" s="36">
        <v>611</v>
      </c>
      <c r="AL644" s="33">
        <v>5</v>
      </c>
      <c r="AM644" s="33">
        <v>3</v>
      </c>
      <c r="AN644" s="33">
        <v>4</v>
      </c>
      <c r="AO644" s="33">
        <v>1</v>
      </c>
      <c r="AP644" s="33">
        <v>1</v>
      </c>
      <c r="AQ644" s="33">
        <v>1</v>
      </c>
      <c r="AR644" s="33">
        <v>3</v>
      </c>
      <c r="AS644" s="33">
        <v>9</v>
      </c>
      <c r="AT644" s="33">
        <v>0</v>
      </c>
      <c r="AU644" s="43">
        <v>5.9134546380659583E-2</v>
      </c>
      <c r="AV644" s="33">
        <v>0</v>
      </c>
      <c r="AW644" s="33">
        <v>0</v>
      </c>
      <c r="AY644" s="36">
        <v>616</v>
      </c>
      <c r="AZ644" s="33">
        <v>1</v>
      </c>
      <c r="BA644" s="33">
        <v>4</v>
      </c>
      <c r="BB644" s="33">
        <v>0</v>
      </c>
      <c r="BC644" s="33">
        <v>3</v>
      </c>
      <c r="BD644" s="43">
        <v>3.425986181697948E-2</v>
      </c>
      <c r="BE644" s="33">
        <v>0</v>
      </c>
      <c r="BF644" s="33">
        <v>0</v>
      </c>
      <c r="CE644" s="36">
        <v>610</v>
      </c>
      <c r="CF644" s="33">
        <v>14</v>
      </c>
      <c r="CG644" s="33">
        <v>4</v>
      </c>
      <c r="CH644" s="33">
        <v>1</v>
      </c>
      <c r="CI644" s="33">
        <v>2</v>
      </c>
      <c r="CJ644" s="33">
        <v>6</v>
      </c>
      <c r="CK644" s="33">
        <v>0</v>
      </c>
      <c r="CL644" s="33">
        <v>1</v>
      </c>
      <c r="CM644" s="33">
        <v>3</v>
      </c>
      <c r="CN644" s="33">
        <v>4</v>
      </c>
      <c r="CO644" s="33">
        <v>1</v>
      </c>
      <c r="CP644" s="43">
        <v>6.3320076804783104E-2</v>
      </c>
      <c r="CQ644" s="33">
        <v>0</v>
      </c>
      <c r="CR644" s="33">
        <v>0</v>
      </c>
    </row>
    <row r="645" spans="1:96" ht="15" customHeight="1" x14ac:dyDescent="0.25">
      <c r="A645" s="26">
        <v>643</v>
      </c>
      <c r="B645" s="27">
        <v>42</v>
      </c>
      <c r="C645" s="27">
        <v>0</v>
      </c>
      <c r="D645" s="27">
        <v>1</v>
      </c>
      <c r="E645" s="27">
        <v>1265</v>
      </c>
      <c r="F645" s="27">
        <v>2</v>
      </c>
      <c r="G645" s="27">
        <v>3</v>
      </c>
      <c r="H645" s="27">
        <v>3</v>
      </c>
      <c r="I645" s="27">
        <v>1</v>
      </c>
      <c r="J645" s="27">
        <v>1</v>
      </c>
      <c r="K645" s="27">
        <v>894</v>
      </c>
      <c r="L645" s="27">
        <v>3</v>
      </c>
      <c r="M645" s="27">
        <v>0</v>
      </c>
      <c r="N645" s="27">
        <v>95</v>
      </c>
      <c r="O645" s="27">
        <v>4</v>
      </c>
      <c r="P645" s="27">
        <v>2</v>
      </c>
      <c r="Q645" s="27">
        <v>3</v>
      </c>
      <c r="R645" s="27">
        <v>4</v>
      </c>
      <c r="S645" s="27">
        <v>2</v>
      </c>
      <c r="T645" s="27">
        <v>5231</v>
      </c>
      <c r="U645" s="27">
        <v>23726</v>
      </c>
      <c r="V645" s="27">
        <v>2</v>
      </c>
      <c r="W645" s="27">
        <v>1</v>
      </c>
      <c r="X645" s="27">
        <v>13</v>
      </c>
      <c r="Y645" s="27">
        <v>3</v>
      </c>
      <c r="Z645" s="27">
        <v>2</v>
      </c>
      <c r="AA645" s="27">
        <v>80</v>
      </c>
      <c r="AB645" s="27">
        <v>1</v>
      </c>
      <c r="AC645" s="27">
        <v>17</v>
      </c>
      <c r="AD645" s="27">
        <v>1</v>
      </c>
      <c r="AE645" s="27">
        <v>2</v>
      </c>
      <c r="AF645" s="27">
        <v>5</v>
      </c>
      <c r="AG645" s="27">
        <v>3</v>
      </c>
      <c r="AH645" s="27">
        <v>1</v>
      </c>
      <c r="AI645" s="28">
        <v>3</v>
      </c>
      <c r="AK645" s="36">
        <v>612</v>
      </c>
      <c r="AL645" s="33">
        <v>7</v>
      </c>
      <c r="AM645" s="33">
        <v>3</v>
      </c>
      <c r="AN645" s="33">
        <v>3</v>
      </c>
      <c r="AO645" s="33">
        <v>3</v>
      </c>
      <c r="AP645" s="33">
        <v>0</v>
      </c>
      <c r="AQ645" s="33">
        <v>0</v>
      </c>
      <c r="AR645" s="33">
        <v>4</v>
      </c>
      <c r="AS645" s="33">
        <v>8</v>
      </c>
      <c r="AT645" s="33">
        <v>1</v>
      </c>
      <c r="AU645" s="43">
        <v>3.9355975176454581E-2</v>
      </c>
      <c r="AV645" s="33">
        <v>0</v>
      </c>
      <c r="AW645" s="33">
        <v>0</v>
      </c>
      <c r="AY645" s="36">
        <v>617</v>
      </c>
      <c r="AZ645" s="33">
        <v>4</v>
      </c>
      <c r="BA645" s="33">
        <v>3</v>
      </c>
      <c r="BB645" s="33">
        <v>0</v>
      </c>
      <c r="BC645" s="33">
        <v>1</v>
      </c>
      <c r="BD645" s="43">
        <v>2.4928302134756671E-2</v>
      </c>
      <c r="BE645" s="33">
        <v>0</v>
      </c>
      <c r="BF645" s="33">
        <v>0</v>
      </c>
      <c r="CE645" s="36">
        <v>611</v>
      </c>
      <c r="CF645" s="33">
        <v>5</v>
      </c>
      <c r="CG645" s="33">
        <v>3</v>
      </c>
      <c r="CH645" s="33">
        <v>4</v>
      </c>
      <c r="CI645" s="33">
        <v>3</v>
      </c>
      <c r="CJ645" s="33">
        <v>1</v>
      </c>
      <c r="CK645" s="33">
        <v>1</v>
      </c>
      <c r="CL645" s="33">
        <v>1</v>
      </c>
      <c r="CM645" s="33">
        <v>3</v>
      </c>
      <c r="CN645" s="33">
        <v>9</v>
      </c>
      <c r="CO645" s="33">
        <v>0</v>
      </c>
      <c r="CP645" s="43">
        <v>3.4539407001111772E-2</v>
      </c>
      <c r="CQ645" s="33">
        <v>0</v>
      </c>
      <c r="CR645" s="33">
        <v>0</v>
      </c>
    </row>
    <row r="646" spans="1:96" ht="15" customHeight="1" x14ac:dyDescent="0.25">
      <c r="A646" s="26">
        <v>644</v>
      </c>
      <c r="B646" s="27">
        <v>31</v>
      </c>
      <c r="C646" s="27">
        <v>0</v>
      </c>
      <c r="D646" s="27">
        <v>1</v>
      </c>
      <c r="E646" s="27">
        <v>1222</v>
      </c>
      <c r="F646" s="27">
        <v>2</v>
      </c>
      <c r="G646" s="27">
        <v>11</v>
      </c>
      <c r="H646" s="27">
        <v>4</v>
      </c>
      <c r="I646" s="27">
        <v>1</v>
      </c>
      <c r="J646" s="27">
        <v>1</v>
      </c>
      <c r="K646" s="27">
        <v>895</v>
      </c>
      <c r="L646" s="27">
        <v>4</v>
      </c>
      <c r="M646" s="27">
        <v>1</v>
      </c>
      <c r="N646" s="27">
        <v>48</v>
      </c>
      <c r="O646" s="27">
        <v>3</v>
      </c>
      <c r="P646" s="27">
        <v>1</v>
      </c>
      <c r="Q646" s="27">
        <v>2</v>
      </c>
      <c r="R646" s="27">
        <v>4</v>
      </c>
      <c r="S646" s="27">
        <v>2</v>
      </c>
      <c r="T646" s="27">
        <v>2356</v>
      </c>
      <c r="U646" s="27">
        <v>14871</v>
      </c>
      <c r="V646" s="27">
        <v>3</v>
      </c>
      <c r="W646" s="27">
        <v>1</v>
      </c>
      <c r="X646" s="27">
        <v>19</v>
      </c>
      <c r="Y646" s="27">
        <v>3</v>
      </c>
      <c r="Z646" s="27">
        <v>2</v>
      </c>
      <c r="AA646" s="27">
        <v>80</v>
      </c>
      <c r="AB646" s="27">
        <v>1</v>
      </c>
      <c r="AC646" s="27">
        <v>8</v>
      </c>
      <c r="AD646" s="27">
        <v>2</v>
      </c>
      <c r="AE646" s="27">
        <v>3</v>
      </c>
      <c r="AF646" s="27">
        <v>6</v>
      </c>
      <c r="AG646" s="27">
        <v>4</v>
      </c>
      <c r="AH646" s="27">
        <v>0</v>
      </c>
      <c r="AI646" s="28">
        <v>2</v>
      </c>
      <c r="AK646" s="36">
        <v>613</v>
      </c>
      <c r="AL646" s="33">
        <v>2</v>
      </c>
      <c r="AM646" s="33">
        <v>2</v>
      </c>
      <c r="AN646" s="33">
        <v>2</v>
      </c>
      <c r="AO646" s="33">
        <v>1</v>
      </c>
      <c r="AP646" s="33">
        <v>1</v>
      </c>
      <c r="AQ646" s="33">
        <v>0</v>
      </c>
      <c r="AR646" s="33">
        <v>3</v>
      </c>
      <c r="AS646" s="33">
        <v>8</v>
      </c>
      <c r="AT646" s="33">
        <v>7</v>
      </c>
      <c r="AU646" s="43">
        <v>0.42565918167617917</v>
      </c>
      <c r="AV646" s="33">
        <v>0</v>
      </c>
      <c r="AW646" s="33">
        <v>0</v>
      </c>
      <c r="AY646" s="36">
        <v>618</v>
      </c>
      <c r="AZ646" s="33">
        <v>2</v>
      </c>
      <c r="BA646" s="33">
        <v>2</v>
      </c>
      <c r="BB646" s="33">
        <v>0</v>
      </c>
      <c r="BC646" s="33">
        <v>0</v>
      </c>
      <c r="BD646" s="43">
        <v>0.15063023792355215</v>
      </c>
      <c r="BE646" s="33">
        <v>0</v>
      </c>
      <c r="BF646" s="33">
        <v>0</v>
      </c>
      <c r="CE646" s="36">
        <v>612</v>
      </c>
      <c r="CF646" s="33">
        <v>7</v>
      </c>
      <c r="CG646" s="33">
        <v>3</v>
      </c>
      <c r="CH646" s="33">
        <v>3</v>
      </c>
      <c r="CI646" s="33">
        <v>1</v>
      </c>
      <c r="CJ646" s="33">
        <v>3</v>
      </c>
      <c r="CK646" s="33">
        <v>0</v>
      </c>
      <c r="CL646" s="33">
        <v>0</v>
      </c>
      <c r="CM646" s="33">
        <v>4</v>
      </c>
      <c r="CN646" s="33">
        <v>8</v>
      </c>
      <c r="CO646" s="33">
        <v>1</v>
      </c>
      <c r="CP646" s="43">
        <v>4.6249516185484063E-2</v>
      </c>
      <c r="CQ646" s="33">
        <v>0</v>
      </c>
      <c r="CR646" s="33">
        <v>0</v>
      </c>
    </row>
    <row r="647" spans="1:96" ht="15" customHeight="1" x14ac:dyDescent="0.25">
      <c r="A647" s="26">
        <v>645</v>
      </c>
      <c r="B647" s="27">
        <v>29</v>
      </c>
      <c r="C647" s="27">
        <v>1</v>
      </c>
      <c r="D647" s="27">
        <v>1</v>
      </c>
      <c r="E647" s="27">
        <v>341</v>
      </c>
      <c r="F647" s="27">
        <v>1</v>
      </c>
      <c r="G647" s="27">
        <v>1</v>
      </c>
      <c r="H647" s="27">
        <v>3</v>
      </c>
      <c r="I647" s="27">
        <v>3</v>
      </c>
      <c r="J647" s="27">
        <v>1</v>
      </c>
      <c r="K647" s="27">
        <v>896</v>
      </c>
      <c r="L647" s="27">
        <v>2</v>
      </c>
      <c r="M647" s="27">
        <v>0</v>
      </c>
      <c r="N647" s="27">
        <v>48</v>
      </c>
      <c r="O647" s="27">
        <v>2</v>
      </c>
      <c r="P647" s="27">
        <v>1</v>
      </c>
      <c r="Q647" s="27">
        <v>7</v>
      </c>
      <c r="R647" s="27">
        <v>3</v>
      </c>
      <c r="S647" s="27">
        <v>3</v>
      </c>
      <c r="T647" s="27">
        <v>2800</v>
      </c>
      <c r="U647" s="27">
        <v>23522</v>
      </c>
      <c r="V647" s="27">
        <v>6</v>
      </c>
      <c r="W647" s="27">
        <v>1</v>
      </c>
      <c r="X647" s="27">
        <v>19</v>
      </c>
      <c r="Y647" s="27">
        <v>3</v>
      </c>
      <c r="Z647" s="27">
        <v>3</v>
      </c>
      <c r="AA647" s="27">
        <v>80</v>
      </c>
      <c r="AB647" s="27">
        <v>3</v>
      </c>
      <c r="AC647" s="27">
        <v>5</v>
      </c>
      <c r="AD647" s="27">
        <v>3</v>
      </c>
      <c r="AE647" s="27">
        <v>3</v>
      </c>
      <c r="AF647" s="27">
        <v>3</v>
      </c>
      <c r="AG647" s="27">
        <v>2</v>
      </c>
      <c r="AH647" s="27">
        <v>0</v>
      </c>
      <c r="AI647" s="28">
        <v>2</v>
      </c>
      <c r="AK647" s="36">
        <v>614</v>
      </c>
      <c r="AL647" s="33">
        <v>3</v>
      </c>
      <c r="AM647" s="33">
        <v>1</v>
      </c>
      <c r="AN647" s="33">
        <v>4</v>
      </c>
      <c r="AO647" s="33">
        <v>0</v>
      </c>
      <c r="AP647" s="33">
        <v>0</v>
      </c>
      <c r="AQ647" s="33">
        <v>1</v>
      </c>
      <c r="AR647" s="33">
        <v>1</v>
      </c>
      <c r="AS647" s="33">
        <v>3</v>
      </c>
      <c r="AT647" s="33">
        <v>0</v>
      </c>
      <c r="AU647" s="43">
        <v>8.3734192225008733E-2</v>
      </c>
      <c r="AV647" s="33">
        <v>0</v>
      </c>
      <c r="AW647" s="33">
        <v>0</v>
      </c>
      <c r="AY647" s="36">
        <v>619</v>
      </c>
      <c r="AZ647" s="33">
        <v>1</v>
      </c>
      <c r="BA647" s="33">
        <v>1</v>
      </c>
      <c r="BB647" s="33">
        <v>0</v>
      </c>
      <c r="BC647" s="33">
        <v>0</v>
      </c>
      <c r="BD647" s="43">
        <v>0.29341085656570393</v>
      </c>
      <c r="BE647" s="33">
        <v>0</v>
      </c>
      <c r="BF647" s="33">
        <v>0</v>
      </c>
      <c r="CE647" s="36">
        <v>613</v>
      </c>
      <c r="CF647" s="33">
        <v>2</v>
      </c>
      <c r="CG647" s="33">
        <v>2</v>
      </c>
      <c r="CH647" s="33">
        <v>2</v>
      </c>
      <c r="CI647" s="33">
        <v>2</v>
      </c>
      <c r="CJ647" s="33">
        <v>1</v>
      </c>
      <c r="CK647" s="33">
        <v>1</v>
      </c>
      <c r="CL647" s="33">
        <v>0</v>
      </c>
      <c r="CM647" s="33">
        <v>3</v>
      </c>
      <c r="CN647" s="33">
        <v>8</v>
      </c>
      <c r="CO647" s="33">
        <v>7</v>
      </c>
      <c r="CP647" s="43">
        <v>0.35319360964098917</v>
      </c>
      <c r="CQ647" s="33">
        <v>0</v>
      </c>
      <c r="CR647" s="33">
        <v>0</v>
      </c>
    </row>
    <row r="648" spans="1:96" ht="15" customHeight="1" x14ac:dyDescent="0.25">
      <c r="A648" s="26">
        <v>646</v>
      </c>
      <c r="B648" s="27">
        <v>53</v>
      </c>
      <c r="C648" s="27">
        <v>0</v>
      </c>
      <c r="D648" s="27">
        <v>1</v>
      </c>
      <c r="E648" s="27">
        <v>868</v>
      </c>
      <c r="F648" s="27">
        <v>1</v>
      </c>
      <c r="G648" s="27">
        <v>8</v>
      </c>
      <c r="H648" s="27">
        <v>3</v>
      </c>
      <c r="I648" s="27">
        <v>4</v>
      </c>
      <c r="J648" s="27">
        <v>1</v>
      </c>
      <c r="K648" s="27">
        <v>897</v>
      </c>
      <c r="L648" s="27">
        <v>1</v>
      </c>
      <c r="M648" s="27">
        <v>1</v>
      </c>
      <c r="N648" s="27">
        <v>73</v>
      </c>
      <c r="O648" s="27">
        <v>3</v>
      </c>
      <c r="P648" s="27">
        <v>4</v>
      </c>
      <c r="Q648" s="27">
        <v>1</v>
      </c>
      <c r="R648" s="27">
        <v>4</v>
      </c>
      <c r="S648" s="27">
        <v>2</v>
      </c>
      <c r="T648" s="27">
        <v>11836</v>
      </c>
      <c r="U648" s="27">
        <v>22789</v>
      </c>
      <c r="V648" s="27">
        <v>5</v>
      </c>
      <c r="W648" s="27">
        <v>0</v>
      </c>
      <c r="X648" s="27">
        <v>14</v>
      </c>
      <c r="Y648" s="27">
        <v>3</v>
      </c>
      <c r="Z648" s="27">
        <v>3</v>
      </c>
      <c r="AA648" s="27">
        <v>80</v>
      </c>
      <c r="AB648" s="27">
        <v>1</v>
      </c>
      <c r="AC648" s="27">
        <v>28</v>
      </c>
      <c r="AD648" s="27">
        <v>3</v>
      </c>
      <c r="AE648" s="27">
        <v>3</v>
      </c>
      <c r="AF648" s="27">
        <v>2</v>
      </c>
      <c r="AG648" s="27">
        <v>0</v>
      </c>
      <c r="AH648" s="27">
        <v>2</v>
      </c>
      <c r="AI648" s="28">
        <v>2</v>
      </c>
      <c r="AK648" s="36">
        <v>615</v>
      </c>
      <c r="AL648" s="33">
        <v>5</v>
      </c>
      <c r="AM648" s="33">
        <v>1</v>
      </c>
      <c r="AN648" s="33">
        <v>3</v>
      </c>
      <c r="AO648" s="33">
        <v>1</v>
      </c>
      <c r="AP648" s="33">
        <v>1</v>
      </c>
      <c r="AQ648" s="33">
        <v>1</v>
      </c>
      <c r="AR648" s="33">
        <v>3</v>
      </c>
      <c r="AS648" s="33">
        <v>8</v>
      </c>
      <c r="AT648" s="33">
        <v>1</v>
      </c>
      <c r="AU648" s="43">
        <v>0.23391411494460523</v>
      </c>
      <c r="AV648" s="33">
        <v>0</v>
      </c>
      <c r="AW648" s="33">
        <v>1</v>
      </c>
      <c r="AY648" s="36">
        <v>620</v>
      </c>
      <c r="AZ648" s="33">
        <v>2</v>
      </c>
      <c r="BA648" s="33">
        <v>1</v>
      </c>
      <c r="BB648" s="33">
        <v>0</v>
      </c>
      <c r="BC648" s="33">
        <v>1</v>
      </c>
      <c r="BD648" s="43">
        <v>0.12293502213131684</v>
      </c>
      <c r="BE648" s="33">
        <v>0</v>
      </c>
      <c r="BF648" s="33">
        <v>0</v>
      </c>
      <c r="CE648" s="36">
        <v>614</v>
      </c>
      <c r="CF648" s="33">
        <v>3</v>
      </c>
      <c r="CG648" s="33">
        <v>1</v>
      </c>
      <c r="CH648" s="33">
        <v>4</v>
      </c>
      <c r="CI648" s="33">
        <v>2</v>
      </c>
      <c r="CJ648" s="33">
        <v>0</v>
      </c>
      <c r="CK648" s="33">
        <v>0</v>
      </c>
      <c r="CL648" s="33">
        <v>1</v>
      </c>
      <c r="CM648" s="33">
        <v>1</v>
      </c>
      <c r="CN648" s="33">
        <v>3</v>
      </c>
      <c r="CO648" s="33">
        <v>0</v>
      </c>
      <c r="CP648" s="43">
        <v>8.089646682401215E-2</v>
      </c>
      <c r="CQ648" s="33">
        <v>0</v>
      </c>
      <c r="CR648" s="33">
        <v>0</v>
      </c>
    </row>
    <row r="649" spans="1:96" ht="15" customHeight="1" x14ac:dyDescent="0.25">
      <c r="A649" s="26">
        <v>647</v>
      </c>
      <c r="B649" s="27">
        <v>35</v>
      </c>
      <c r="C649" s="27">
        <v>0</v>
      </c>
      <c r="D649" s="27">
        <v>1</v>
      </c>
      <c r="E649" s="27">
        <v>672</v>
      </c>
      <c r="F649" s="27">
        <v>2</v>
      </c>
      <c r="G649" s="27">
        <v>25</v>
      </c>
      <c r="H649" s="27">
        <v>3</v>
      </c>
      <c r="I649" s="27">
        <v>5</v>
      </c>
      <c r="J649" s="27">
        <v>1</v>
      </c>
      <c r="K649" s="27">
        <v>899</v>
      </c>
      <c r="L649" s="27">
        <v>4</v>
      </c>
      <c r="M649" s="27">
        <v>1</v>
      </c>
      <c r="N649" s="27">
        <v>78</v>
      </c>
      <c r="O649" s="27">
        <v>2</v>
      </c>
      <c r="P649" s="27">
        <v>3</v>
      </c>
      <c r="Q649" s="27">
        <v>4</v>
      </c>
      <c r="R649" s="27">
        <v>2</v>
      </c>
      <c r="S649" s="27">
        <v>2</v>
      </c>
      <c r="T649" s="27">
        <v>10903</v>
      </c>
      <c r="U649" s="27">
        <v>9129</v>
      </c>
      <c r="V649" s="27">
        <v>3</v>
      </c>
      <c r="W649" s="27">
        <v>0</v>
      </c>
      <c r="X649" s="27">
        <v>16</v>
      </c>
      <c r="Y649" s="27">
        <v>3</v>
      </c>
      <c r="Z649" s="27">
        <v>1</v>
      </c>
      <c r="AA649" s="27">
        <v>80</v>
      </c>
      <c r="AB649" s="27">
        <v>0</v>
      </c>
      <c r="AC649" s="27">
        <v>16</v>
      </c>
      <c r="AD649" s="27">
        <v>2</v>
      </c>
      <c r="AE649" s="27">
        <v>3</v>
      </c>
      <c r="AF649" s="27">
        <v>13</v>
      </c>
      <c r="AG649" s="27">
        <v>10</v>
      </c>
      <c r="AH649" s="27">
        <v>4</v>
      </c>
      <c r="AI649" s="28">
        <v>8</v>
      </c>
      <c r="AK649" s="36">
        <v>616</v>
      </c>
      <c r="AL649" s="33">
        <v>3</v>
      </c>
      <c r="AM649" s="33">
        <v>1</v>
      </c>
      <c r="AN649" s="33">
        <v>4</v>
      </c>
      <c r="AO649" s="33">
        <v>1</v>
      </c>
      <c r="AP649" s="33">
        <v>0</v>
      </c>
      <c r="AQ649" s="33">
        <v>3</v>
      </c>
      <c r="AR649" s="33">
        <v>2</v>
      </c>
      <c r="AS649" s="33">
        <v>0</v>
      </c>
      <c r="AT649" s="33">
        <v>0</v>
      </c>
      <c r="AU649" s="43">
        <v>3.0497485539287491E-2</v>
      </c>
      <c r="AV649" s="33">
        <v>0</v>
      </c>
      <c r="AW649" s="33">
        <v>0</v>
      </c>
      <c r="AY649" s="36">
        <v>621</v>
      </c>
      <c r="AZ649" s="33">
        <v>1</v>
      </c>
      <c r="BA649" s="33">
        <v>1</v>
      </c>
      <c r="BB649" s="33">
        <v>0</v>
      </c>
      <c r="BC649" s="33">
        <v>0</v>
      </c>
      <c r="BD649" s="43">
        <v>0.29341085656570393</v>
      </c>
      <c r="BE649" s="33">
        <v>0</v>
      </c>
      <c r="BF649" s="33">
        <v>0</v>
      </c>
      <c r="CE649" s="36">
        <v>615</v>
      </c>
      <c r="CF649" s="33">
        <v>5</v>
      </c>
      <c r="CG649" s="33">
        <v>1</v>
      </c>
      <c r="CH649" s="33">
        <v>3</v>
      </c>
      <c r="CI649" s="33">
        <v>2</v>
      </c>
      <c r="CJ649" s="33">
        <v>1</v>
      </c>
      <c r="CK649" s="33">
        <v>1</v>
      </c>
      <c r="CL649" s="33">
        <v>1</v>
      </c>
      <c r="CM649" s="33">
        <v>3</v>
      </c>
      <c r="CN649" s="33">
        <v>8</v>
      </c>
      <c r="CO649" s="33">
        <v>1</v>
      </c>
      <c r="CP649" s="43">
        <v>0.2320911904191425</v>
      </c>
      <c r="CQ649" s="33">
        <v>0</v>
      </c>
      <c r="CR649" s="33">
        <v>1</v>
      </c>
    </row>
    <row r="650" spans="1:96" ht="15" customHeight="1" x14ac:dyDescent="0.25">
      <c r="A650" s="26">
        <v>648</v>
      </c>
      <c r="B650" s="27">
        <v>37</v>
      </c>
      <c r="C650" s="27">
        <v>0</v>
      </c>
      <c r="D650" s="27">
        <v>2</v>
      </c>
      <c r="E650" s="27">
        <v>1231</v>
      </c>
      <c r="F650" s="27">
        <v>1</v>
      </c>
      <c r="G650" s="27">
        <v>21</v>
      </c>
      <c r="H650" s="27">
        <v>2</v>
      </c>
      <c r="I650" s="27">
        <v>3</v>
      </c>
      <c r="J650" s="27">
        <v>1</v>
      </c>
      <c r="K650" s="27">
        <v>900</v>
      </c>
      <c r="L650" s="27">
        <v>3</v>
      </c>
      <c r="M650" s="27">
        <v>0</v>
      </c>
      <c r="N650" s="27">
        <v>54</v>
      </c>
      <c r="O650" s="27">
        <v>3</v>
      </c>
      <c r="P650" s="27">
        <v>1</v>
      </c>
      <c r="Q650" s="27">
        <v>7</v>
      </c>
      <c r="R650" s="27">
        <v>4</v>
      </c>
      <c r="S650" s="27">
        <v>2</v>
      </c>
      <c r="T650" s="27">
        <v>2973</v>
      </c>
      <c r="U650" s="27">
        <v>21222</v>
      </c>
      <c r="V650" s="27">
        <v>5</v>
      </c>
      <c r="W650" s="27">
        <v>0</v>
      </c>
      <c r="X650" s="27">
        <v>15</v>
      </c>
      <c r="Y650" s="27">
        <v>3</v>
      </c>
      <c r="Z650" s="27">
        <v>2</v>
      </c>
      <c r="AA650" s="27">
        <v>80</v>
      </c>
      <c r="AB650" s="27">
        <v>1</v>
      </c>
      <c r="AC650" s="27">
        <v>10</v>
      </c>
      <c r="AD650" s="27">
        <v>3</v>
      </c>
      <c r="AE650" s="27">
        <v>3</v>
      </c>
      <c r="AF650" s="27">
        <v>5</v>
      </c>
      <c r="AG650" s="27">
        <v>4</v>
      </c>
      <c r="AH650" s="27">
        <v>0</v>
      </c>
      <c r="AI650" s="28">
        <v>0</v>
      </c>
      <c r="AK650" s="36">
        <v>617</v>
      </c>
      <c r="AL650" s="33">
        <v>26</v>
      </c>
      <c r="AM650" s="33">
        <v>4</v>
      </c>
      <c r="AN650" s="33">
        <v>3</v>
      </c>
      <c r="AO650" s="33">
        <v>2</v>
      </c>
      <c r="AP650" s="33">
        <v>0</v>
      </c>
      <c r="AQ650" s="33">
        <v>1</v>
      </c>
      <c r="AR650" s="33">
        <v>2</v>
      </c>
      <c r="AS650" s="33">
        <v>20</v>
      </c>
      <c r="AT650" s="33">
        <v>4</v>
      </c>
      <c r="AU650" s="43">
        <v>2.148455131689346E-2</v>
      </c>
      <c r="AV650" s="33">
        <v>0</v>
      </c>
      <c r="AW650" s="33">
        <v>0</v>
      </c>
      <c r="AY650" s="36">
        <v>622</v>
      </c>
      <c r="AZ650" s="33">
        <v>2</v>
      </c>
      <c r="BA650" s="33">
        <v>4</v>
      </c>
      <c r="BB650" s="33">
        <v>1</v>
      </c>
      <c r="BC650" s="33">
        <v>1</v>
      </c>
      <c r="BD650" s="43">
        <v>0.19951405628110813</v>
      </c>
      <c r="BE650" s="33">
        <v>0</v>
      </c>
      <c r="BF650" s="33">
        <v>0</v>
      </c>
      <c r="CE650" s="36">
        <v>616</v>
      </c>
      <c r="CF650" s="33">
        <v>3</v>
      </c>
      <c r="CG650" s="33">
        <v>1</v>
      </c>
      <c r="CH650" s="33">
        <v>4</v>
      </c>
      <c r="CI650" s="33">
        <v>2</v>
      </c>
      <c r="CJ650" s="33">
        <v>1</v>
      </c>
      <c r="CK650" s="33">
        <v>0</v>
      </c>
      <c r="CL650" s="33">
        <v>3</v>
      </c>
      <c r="CM650" s="33">
        <v>2</v>
      </c>
      <c r="CN650" s="33">
        <v>0</v>
      </c>
      <c r="CO650" s="33">
        <v>0</v>
      </c>
      <c r="CP650" s="43">
        <v>5.6147753814113729E-2</v>
      </c>
      <c r="CQ650" s="33">
        <v>0</v>
      </c>
      <c r="CR650" s="33">
        <v>0</v>
      </c>
    </row>
    <row r="651" spans="1:96" ht="15" customHeight="1" x14ac:dyDescent="0.25">
      <c r="A651" s="26">
        <v>649</v>
      </c>
      <c r="B651" s="27">
        <v>53</v>
      </c>
      <c r="C651" s="27">
        <v>0</v>
      </c>
      <c r="D651" s="27">
        <v>1</v>
      </c>
      <c r="E651" s="27">
        <v>102</v>
      </c>
      <c r="F651" s="27">
        <v>2</v>
      </c>
      <c r="G651" s="27">
        <v>23</v>
      </c>
      <c r="H651" s="27">
        <v>4</v>
      </c>
      <c r="I651" s="27">
        <v>1</v>
      </c>
      <c r="J651" s="27">
        <v>1</v>
      </c>
      <c r="K651" s="27">
        <v>901</v>
      </c>
      <c r="L651" s="27">
        <v>4</v>
      </c>
      <c r="M651" s="27">
        <v>0</v>
      </c>
      <c r="N651" s="27">
        <v>72</v>
      </c>
      <c r="O651" s="27">
        <v>3</v>
      </c>
      <c r="P651" s="27">
        <v>4</v>
      </c>
      <c r="Q651" s="27">
        <v>8</v>
      </c>
      <c r="R651" s="27">
        <v>4</v>
      </c>
      <c r="S651" s="27">
        <v>1</v>
      </c>
      <c r="T651" s="27">
        <v>14275</v>
      </c>
      <c r="U651" s="27">
        <v>20206</v>
      </c>
      <c r="V651" s="27">
        <v>6</v>
      </c>
      <c r="W651" s="27">
        <v>0</v>
      </c>
      <c r="X651" s="27">
        <v>18</v>
      </c>
      <c r="Y651" s="27">
        <v>3</v>
      </c>
      <c r="Z651" s="27">
        <v>3</v>
      </c>
      <c r="AA651" s="27">
        <v>80</v>
      </c>
      <c r="AB651" s="27">
        <v>0</v>
      </c>
      <c r="AC651" s="27">
        <v>33</v>
      </c>
      <c r="AD651" s="27">
        <v>0</v>
      </c>
      <c r="AE651" s="27">
        <v>3</v>
      </c>
      <c r="AF651" s="27">
        <v>12</v>
      </c>
      <c r="AG651" s="27">
        <v>9</v>
      </c>
      <c r="AH651" s="27">
        <v>3</v>
      </c>
      <c r="AI651" s="28">
        <v>8</v>
      </c>
      <c r="AK651" s="36">
        <v>618</v>
      </c>
      <c r="AL651" s="33">
        <v>4</v>
      </c>
      <c r="AM651" s="33">
        <v>2</v>
      </c>
      <c r="AN651" s="33">
        <v>2</v>
      </c>
      <c r="AO651" s="33">
        <v>9</v>
      </c>
      <c r="AP651" s="33">
        <v>0</v>
      </c>
      <c r="AQ651" s="33">
        <v>0</v>
      </c>
      <c r="AR651" s="33">
        <v>2</v>
      </c>
      <c r="AS651" s="33">
        <v>5</v>
      </c>
      <c r="AT651" s="33">
        <v>2</v>
      </c>
      <c r="AU651" s="43">
        <v>0.23983273365671445</v>
      </c>
      <c r="AV651" s="33">
        <v>0</v>
      </c>
      <c r="AW651" s="33">
        <v>0</v>
      </c>
      <c r="AY651" s="36">
        <v>623</v>
      </c>
      <c r="AZ651" s="33">
        <v>2</v>
      </c>
      <c r="BA651" s="33">
        <v>4</v>
      </c>
      <c r="BB651" s="33">
        <v>0</v>
      </c>
      <c r="BC651" s="33">
        <v>1</v>
      </c>
      <c r="BD651" s="43">
        <v>5.5093218126976727E-2</v>
      </c>
      <c r="BE651" s="33">
        <v>0</v>
      </c>
      <c r="BF651" s="33">
        <v>0</v>
      </c>
      <c r="CE651" s="36">
        <v>617</v>
      </c>
      <c r="CF651" s="33">
        <v>26</v>
      </c>
      <c r="CG651" s="33">
        <v>4</v>
      </c>
      <c r="CH651" s="33">
        <v>3</v>
      </c>
      <c r="CI651" s="33">
        <v>2</v>
      </c>
      <c r="CJ651" s="33">
        <v>2</v>
      </c>
      <c r="CK651" s="33">
        <v>0</v>
      </c>
      <c r="CL651" s="33">
        <v>1</v>
      </c>
      <c r="CM651" s="33">
        <v>2</v>
      </c>
      <c r="CN651" s="33">
        <v>20</v>
      </c>
      <c r="CO651" s="33">
        <v>4</v>
      </c>
      <c r="CP651" s="43">
        <v>2.1433485723884944E-2</v>
      </c>
      <c r="CQ651" s="33">
        <v>0</v>
      </c>
      <c r="CR651" s="33">
        <v>0</v>
      </c>
    </row>
    <row r="652" spans="1:96" ht="15" customHeight="1" x14ac:dyDescent="0.25">
      <c r="A652" s="26">
        <v>650</v>
      </c>
      <c r="B652" s="27">
        <v>43</v>
      </c>
      <c r="C652" s="27">
        <v>0</v>
      </c>
      <c r="D652" s="27">
        <v>2</v>
      </c>
      <c r="E652" s="27">
        <v>422</v>
      </c>
      <c r="F652" s="27">
        <v>2</v>
      </c>
      <c r="G652" s="27">
        <v>1</v>
      </c>
      <c r="H652" s="27">
        <v>3</v>
      </c>
      <c r="I652" s="27">
        <v>1</v>
      </c>
      <c r="J652" s="27">
        <v>1</v>
      </c>
      <c r="K652" s="27">
        <v>902</v>
      </c>
      <c r="L652" s="27">
        <v>4</v>
      </c>
      <c r="M652" s="27">
        <v>0</v>
      </c>
      <c r="N652" s="27">
        <v>33</v>
      </c>
      <c r="O652" s="27">
        <v>3</v>
      </c>
      <c r="P652" s="27">
        <v>2</v>
      </c>
      <c r="Q652" s="27">
        <v>5</v>
      </c>
      <c r="R652" s="27">
        <v>4</v>
      </c>
      <c r="S652" s="27">
        <v>2</v>
      </c>
      <c r="T652" s="27">
        <v>5562</v>
      </c>
      <c r="U652" s="27">
        <v>21782</v>
      </c>
      <c r="V652" s="27">
        <v>4</v>
      </c>
      <c r="W652" s="27">
        <v>0</v>
      </c>
      <c r="X652" s="27">
        <v>13</v>
      </c>
      <c r="Y652" s="27">
        <v>3</v>
      </c>
      <c r="Z652" s="27">
        <v>2</v>
      </c>
      <c r="AA652" s="27">
        <v>80</v>
      </c>
      <c r="AB652" s="27">
        <v>1</v>
      </c>
      <c r="AC652" s="27">
        <v>12</v>
      </c>
      <c r="AD652" s="27">
        <v>2</v>
      </c>
      <c r="AE652" s="27">
        <v>2</v>
      </c>
      <c r="AF652" s="27">
        <v>5</v>
      </c>
      <c r="AG652" s="27">
        <v>2</v>
      </c>
      <c r="AH652" s="27">
        <v>2</v>
      </c>
      <c r="AI652" s="28">
        <v>2</v>
      </c>
      <c r="AK652" s="36">
        <v>619</v>
      </c>
      <c r="AL652" s="33">
        <v>2</v>
      </c>
      <c r="AM652" s="33">
        <v>1</v>
      </c>
      <c r="AN652" s="33">
        <v>1</v>
      </c>
      <c r="AO652" s="33">
        <v>7</v>
      </c>
      <c r="AP652" s="33">
        <v>0</v>
      </c>
      <c r="AQ652" s="33">
        <v>0</v>
      </c>
      <c r="AR652" s="33">
        <v>2</v>
      </c>
      <c r="AS652" s="33">
        <v>4</v>
      </c>
      <c r="AT652" s="33">
        <v>0</v>
      </c>
      <c r="AU652" s="43">
        <v>0.33185024699289112</v>
      </c>
      <c r="AV652" s="33">
        <v>0</v>
      </c>
      <c r="AW652" s="33">
        <v>0</v>
      </c>
      <c r="AY652" s="36">
        <v>624</v>
      </c>
      <c r="AZ652" s="33">
        <v>1</v>
      </c>
      <c r="BA652" s="33">
        <v>4</v>
      </c>
      <c r="BB652" s="33">
        <v>0</v>
      </c>
      <c r="BC652" s="33">
        <v>1</v>
      </c>
      <c r="BD652" s="43">
        <v>9.2486413274924434E-2</v>
      </c>
      <c r="BE652" s="33">
        <v>0</v>
      </c>
      <c r="BF652" s="33">
        <v>0</v>
      </c>
      <c r="CE652" s="36">
        <v>618</v>
      </c>
      <c r="CF652" s="33">
        <v>4</v>
      </c>
      <c r="CG652" s="33">
        <v>2</v>
      </c>
      <c r="CH652" s="33">
        <v>2</v>
      </c>
      <c r="CI652" s="33">
        <v>1</v>
      </c>
      <c r="CJ652" s="33">
        <v>9</v>
      </c>
      <c r="CK652" s="33">
        <v>0</v>
      </c>
      <c r="CL652" s="33">
        <v>0</v>
      </c>
      <c r="CM652" s="33">
        <v>2</v>
      </c>
      <c r="CN652" s="33">
        <v>5</v>
      </c>
      <c r="CO652" s="33">
        <v>2</v>
      </c>
      <c r="CP652" s="43">
        <v>0.2827533708201706</v>
      </c>
      <c r="CQ652" s="33">
        <v>0</v>
      </c>
      <c r="CR652" s="33">
        <v>0</v>
      </c>
    </row>
    <row r="653" spans="1:96" ht="15" customHeight="1" x14ac:dyDescent="0.25">
      <c r="A653" s="26">
        <v>651</v>
      </c>
      <c r="B653" s="27">
        <v>47</v>
      </c>
      <c r="C653" s="27">
        <v>0</v>
      </c>
      <c r="D653" s="27">
        <v>1</v>
      </c>
      <c r="E653" s="27">
        <v>249</v>
      </c>
      <c r="F653" s="27">
        <v>1</v>
      </c>
      <c r="G653" s="27">
        <v>2</v>
      </c>
      <c r="H653" s="27">
        <v>2</v>
      </c>
      <c r="I653" s="27">
        <v>4</v>
      </c>
      <c r="J653" s="27">
        <v>1</v>
      </c>
      <c r="K653" s="27">
        <v>903</v>
      </c>
      <c r="L653" s="27">
        <v>3</v>
      </c>
      <c r="M653" s="27">
        <v>0</v>
      </c>
      <c r="N653" s="27">
        <v>35</v>
      </c>
      <c r="O653" s="27">
        <v>3</v>
      </c>
      <c r="P653" s="27">
        <v>2</v>
      </c>
      <c r="Q653" s="27">
        <v>1</v>
      </c>
      <c r="R653" s="27">
        <v>4</v>
      </c>
      <c r="S653" s="27">
        <v>2</v>
      </c>
      <c r="T653" s="27">
        <v>4537</v>
      </c>
      <c r="U653" s="27">
        <v>17783</v>
      </c>
      <c r="V653" s="27">
        <v>0</v>
      </c>
      <c r="W653" s="27">
        <v>1</v>
      </c>
      <c r="X653" s="27">
        <v>22</v>
      </c>
      <c r="Y653" s="27">
        <v>4</v>
      </c>
      <c r="Z653" s="27">
        <v>1</v>
      </c>
      <c r="AA653" s="27">
        <v>80</v>
      </c>
      <c r="AB653" s="27">
        <v>1</v>
      </c>
      <c r="AC653" s="27">
        <v>8</v>
      </c>
      <c r="AD653" s="27">
        <v>2</v>
      </c>
      <c r="AE653" s="27">
        <v>3</v>
      </c>
      <c r="AF653" s="27">
        <v>7</v>
      </c>
      <c r="AG653" s="27">
        <v>6</v>
      </c>
      <c r="AH653" s="27">
        <v>7</v>
      </c>
      <c r="AI653" s="28">
        <v>7</v>
      </c>
      <c r="AK653" s="36">
        <v>620</v>
      </c>
      <c r="AL653" s="33">
        <v>1</v>
      </c>
      <c r="AM653" s="33">
        <v>2</v>
      </c>
      <c r="AN653" s="33">
        <v>1</v>
      </c>
      <c r="AO653" s="33">
        <v>1</v>
      </c>
      <c r="AP653" s="33">
        <v>0</v>
      </c>
      <c r="AQ653" s="33">
        <v>1</v>
      </c>
      <c r="AR653" s="33">
        <v>3</v>
      </c>
      <c r="AS653" s="33">
        <v>9</v>
      </c>
      <c r="AT653" s="33">
        <v>0</v>
      </c>
      <c r="AU653" s="43">
        <v>4.9776509450261588E-2</v>
      </c>
      <c r="AV653" s="33">
        <v>0</v>
      </c>
      <c r="AW653" s="33">
        <v>0</v>
      </c>
      <c r="AY653" s="36">
        <v>625</v>
      </c>
      <c r="AZ653" s="33">
        <v>3</v>
      </c>
      <c r="BA653" s="33">
        <v>4</v>
      </c>
      <c r="BB653" s="33">
        <v>1</v>
      </c>
      <c r="BC653" s="33">
        <v>1</v>
      </c>
      <c r="BD653" s="43">
        <v>0.12479921665315721</v>
      </c>
      <c r="BE653" s="33">
        <v>0</v>
      </c>
      <c r="BF653" s="33">
        <v>0</v>
      </c>
      <c r="CE653" s="36">
        <v>619</v>
      </c>
      <c r="CF653" s="33">
        <v>2</v>
      </c>
      <c r="CG653" s="33">
        <v>1</v>
      </c>
      <c r="CH653" s="33">
        <v>1</v>
      </c>
      <c r="CI653" s="33">
        <v>1</v>
      </c>
      <c r="CJ653" s="33">
        <v>7</v>
      </c>
      <c r="CK653" s="33">
        <v>0</v>
      </c>
      <c r="CL653" s="33">
        <v>0</v>
      </c>
      <c r="CM653" s="33">
        <v>2</v>
      </c>
      <c r="CN653" s="33">
        <v>4</v>
      </c>
      <c r="CO653" s="33">
        <v>0</v>
      </c>
      <c r="CP653" s="43">
        <v>0.38271611228123587</v>
      </c>
      <c r="CQ653" s="33">
        <v>0</v>
      </c>
      <c r="CR653" s="33">
        <v>0</v>
      </c>
    </row>
    <row r="654" spans="1:96" ht="15" customHeight="1" x14ac:dyDescent="0.25">
      <c r="A654" s="26">
        <v>652</v>
      </c>
      <c r="B654" s="27">
        <v>37</v>
      </c>
      <c r="C654" s="27">
        <v>0</v>
      </c>
      <c r="D654" s="27">
        <v>3</v>
      </c>
      <c r="E654" s="27">
        <v>1252</v>
      </c>
      <c r="F654" s="27">
        <v>1</v>
      </c>
      <c r="G654" s="27">
        <v>19</v>
      </c>
      <c r="H654" s="27">
        <v>2</v>
      </c>
      <c r="I654" s="27">
        <v>3</v>
      </c>
      <c r="J654" s="27">
        <v>1</v>
      </c>
      <c r="K654" s="27">
        <v>904</v>
      </c>
      <c r="L654" s="27">
        <v>1</v>
      </c>
      <c r="M654" s="27">
        <v>1</v>
      </c>
      <c r="N654" s="27">
        <v>32</v>
      </c>
      <c r="O654" s="27">
        <v>3</v>
      </c>
      <c r="P654" s="27">
        <v>3</v>
      </c>
      <c r="Q654" s="27">
        <v>1</v>
      </c>
      <c r="R654" s="27">
        <v>2</v>
      </c>
      <c r="S654" s="27">
        <v>1</v>
      </c>
      <c r="T654" s="27">
        <v>7642</v>
      </c>
      <c r="U654" s="27">
        <v>4814</v>
      </c>
      <c r="V654" s="27">
        <v>1</v>
      </c>
      <c r="W654" s="27">
        <v>1</v>
      </c>
      <c r="X654" s="27">
        <v>13</v>
      </c>
      <c r="Y654" s="27">
        <v>3</v>
      </c>
      <c r="Z654" s="27">
        <v>4</v>
      </c>
      <c r="AA654" s="27">
        <v>80</v>
      </c>
      <c r="AB654" s="27">
        <v>0</v>
      </c>
      <c r="AC654" s="27">
        <v>10</v>
      </c>
      <c r="AD654" s="27">
        <v>2</v>
      </c>
      <c r="AE654" s="27">
        <v>3</v>
      </c>
      <c r="AF654" s="27">
        <v>10</v>
      </c>
      <c r="AG654" s="27">
        <v>0</v>
      </c>
      <c r="AH654" s="27">
        <v>0</v>
      </c>
      <c r="AI654" s="28">
        <v>9</v>
      </c>
      <c r="AK654" s="36">
        <v>621</v>
      </c>
      <c r="AL654" s="33">
        <v>27</v>
      </c>
      <c r="AM654" s="33">
        <v>1</v>
      </c>
      <c r="AN654" s="33">
        <v>1</v>
      </c>
      <c r="AO654" s="33">
        <v>1</v>
      </c>
      <c r="AP654" s="33">
        <v>0</v>
      </c>
      <c r="AQ654" s="33">
        <v>0</v>
      </c>
      <c r="AR654" s="33">
        <v>2</v>
      </c>
      <c r="AS654" s="33">
        <v>6</v>
      </c>
      <c r="AT654" s="33">
        <v>1</v>
      </c>
      <c r="AU654" s="43">
        <v>0.40282569183449224</v>
      </c>
      <c r="AV654" s="33">
        <v>0</v>
      </c>
      <c r="AW654" s="33">
        <v>0</v>
      </c>
      <c r="AY654" s="36">
        <v>626</v>
      </c>
      <c r="AZ654" s="33">
        <v>3</v>
      </c>
      <c r="BA654" s="33">
        <v>1</v>
      </c>
      <c r="BB654" s="33">
        <v>1</v>
      </c>
      <c r="BC654" s="33">
        <v>1</v>
      </c>
      <c r="BD654" s="43">
        <v>0.25528659551539534</v>
      </c>
      <c r="BE654" s="33">
        <v>0</v>
      </c>
      <c r="BF654" s="33">
        <v>0</v>
      </c>
      <c r="CE654" s="36">
        <v>620</v>
      </c>
      <c r="CF654" s="33">
        <v>1</v>
      </c>
      <c r="CG654" s="33">
        <v>2</v>
      </c>
      <c r="CH654" s="33">
        <v>1</v>
      </c>
      <c r="CI654" s="33">
        <v>3</v>
      </c>
      <c r="CJ654" s="33">
        <v>1</v>
      </c>
      <c r="CK654" s="33">
        <v>0</v>
      </c>
      <c r="CL654" s="33">
        <v>1</v>
      </c>
      <c r="CM654" s="33">
        <v>3</v>
      </c>
      <c r="CN654" s="33">
        <v>9</v>
      </c>
      <c r="CO654" s="33">
        <v>0</v>
      </c>
      <c r="CP654" s="43">
        <v>2.9082581837264171E-2</v>
      </c>
      <c r="CQ654" s="33">
        <v>0</v>
      </c>
      <c r="CR654" s="33">
        <v>0</v>
      </c>
    </row>
    <row r="655" spans="1:96" ht="15" customHeight="1" x14ac:dyDescent="0.25">
      <c r="A655" s="26">
        <v>653</v>
      </c>
      <c r="B655" s="27">
        <v>50</v>
      </c>
      <c r="C655" s="27">
        <v>0</v>
      </c>
      <c r="D655" s="27">
        <v>3</v>
      </c>
      <c r="E655" s="27">
        <v>881</v>
      </c>
      <c r="F655" s="27">
        <v>2</v>
      </c>
      <c r="G655" s="27">
        <v>2</v>
      </c>
      <c r="H655" s="27">
        <v>4</v>
      </c>
      <c r="I655" s="27">
        <v>1</v>
      </c>
      <c r="J655" s="27">
        <v>1</v>
      </c>
      <c r="K655" s="27">
        <v>905</v>
      </c>
      <c r="L655" s="27">
        <v>1</v>
      </c>
      <c r="M655" s="27">
        <v>1</v>
      </c>
      <c r="N655" s="27">
        <v>98</v>
      </c>
      <c r="O655" s="27">
        <v>3</v>
      </c>
      <c r="P655" s="27">
        <v>4</v>
      </c>
      <c r="Q655" s="27">
        <v>6</v>
      </c>
      <c r="R655" s="27">
        <v>1</v>
      </c>
      <c r="S655" s="27">
        <v>3</v>
      </c>
      <c r="T655" s="27">
        <v>17924</v>
      </c>
      <c r="U655" s="27">
        <v>4544</v>
      </c>
      <c r="V655" s="27">
        <v>1</v>
      </c>
      <c r="W655" s="27">
        <v>0</v>
      </c>
      <c r="X655" s="27">
        <v>11</v>
      </c>
      <c r="Y655" s="27">
        <v>3</v>
      </c>
      <c r="Z655" s="27">
        <v>4</v>
      </c>
      <c r="AA655" s="27">
        <v>80</v>
      </c>
      <c r="AB655" s="27">
        <v>1</v>
      </c>
      <c r="AC655" s="27">
        <v>31</v>
      </c>
      <c r="AD655" s="27">
        <v>3</v>
      </c>
      <c r="AE655" s="27">
        <v>3</v>
      </c>
      <c r="AF655" s="27">
        <v>31</v>
      </c>
      <c r="AG655" s="27">
        <v>6</v>
      </c>
      <c r="AH655" s="27">
        <v>14</v>
      </c>
      <c r="AI655" s="28">
        <v>7</v>
      </c>
      <c r="AK655" s="36">
        <v>622</v>
      </c>
      <c r="AL655" s="33">
        <v>1</v>
      </c>
      <c r="AM655" s="33">
        <v>2</v>
      </c>
      <c r="AN655" s="33">
        <v>4</v>
      </c>
      <c r="AO655" s="33">
        <v>1</v>
      </c>
      <c r="AP655" s="33">
        <v>1</v>
      </c>
      <c r="AQ655" s="33">
        <v>1</v>
      </c>
      <c r="AR655" s="33">
        <v>2</v>
      </c>
      <c r="AS655" s="33">
        <v>18</v>
      </c>
      <c r="AT655" s="33">
        <v>4</v>
      </c>
      <c r="AU655" s="43">
        <v>9.0055137244116651E-2</v>
      </c>
      <c r="AV655" s="33">
        <v>0</v>
      </c>
      <c r="AW655" s="33">
        <v>0</v>
      </c>
      <c r="AY655" s="36">
        <v>627</v>
      </c>
      <c r="AZ655" s="33">
        <v>2</v>
      </c>
      <c r="BA655" s="33">
        <v>3</v>
      </c>
      <c r="BB655" s="33">
        <v>0</v>
      </c>
      <c r="BC655" s="33">
        <v>1</v>
      </c>
      <c r="BD655" s="43">
        <v>7.244788656931947E-2</v>
      </c>
      <c r="BE655" s="33">
        <v>0</v>
      </c>
      <c r="BF655" s="33">
        <v>0</v>
      </c>
      <c r="CE655" s="36">
        <v>621</v>
      </c>
      <c r="CF655" s="33">
        <v>27</v>
      </c>
      <c r="CG655" s="33">
        <v>1</v>
      </c>
      <c r="CH655" s="33">
        <v>1</v>
      </c>
      <c r="CI655" s="33">
        <v>1</v>
      </c>
      <c r="CJ655" s="33">
        <v>1</v>
      </c>
      <c r="CK655" s="33">
        <v>0</v>
      </c>
      <c r="CL655" s="33">
        <v>0</v>
      </c>
      <c r="CM655" s="33">
        <v>2</v>
      </c>
      <c r="CN655" s="33">
        <v>6</v>
      </c>
      <c r="CO655" s="33">
        <v>1</v>
      </c>
      <c r="CP655" s="43">
        <v>0.45340400320619884</v>
      </c>
      <c r="CQ655" s="33">
        <v>0</v>
      </c>
      <c r="CR655" s="33">
        <v>0</v>
      </c>
    </row>
    <row r="656" spans="1:96" ht="15" customHeight="1" x14ac:dyDescent="0.25">
      <c r="A656" s="26">
        <v>654</v>
      </c>
      <c r="B656" s="27">
        <v>39</v>
      </c>
      <c r="C656" s="27">
        <v>0</v>
      </c>
      <c r="D656" s="27">
        <v>1</v>
      </c>
      <c r="E656" s="27">
        <v>1383</v>
      </c>
      <c r="F656" s="27">
        <v>3</v>
      </c>
      <c r="G656" s="27">
        <v>2</v>
      </c>
      <c r="H656" s="27">
        <v>3</v>
      </c>
      <c r="I656" s="27">
        <v>1</v>
      </c>
      <c r="J656" s="27">
        <v>1</v>
      </c>
      <c r="K656" s="27">
        <v>909</v>
      </c>
      <c r="L656" s="27">
        <v>4</v>
      </c>
      <c r="M656" s="27">
        <v>0</v>
      </c>
      <c r="N656" s="27">
        <v>42</v>
      </c>
      <c r="O656" s="27">
        <v>2</v>
      </c>
      <c r="P656" s="27">
        <v>2</v>
      </c>
      <c r="Q656" s="27">
        <v>9</v>
      </c>
      <c r="R656" s="27">
        <v>4</v>
      </c>
      <c r="S656" s="27">
        <v>2</v>
      </c>
      <c r="T656" s="27">
        <v>5204</v>
      </c>
      <c r="U656" s="27">
        <v>7790</v>
      </c>
      <c r="V656" s="27">
        <v>8</v>
      </c>
      <c r="W656" s="27">
        <v>0</v>
      </c>
      <c r="X656" s="27">
        <v>11</v>
      </c>
      <c r="Y656" s="27">
        <v>3</v>
      </c>
      <c r="Z656" s="27">
        <v>3</v>
      </c>
      <c r="AA656" s="27">
        <v>80</v>
      </c>
      <c r="AB656" s="27">
        <v>2</v>
      </c>
      <c r="AC656" s="27">
        <v>13</v>
      </c>
      <c r="AD656" s="27">
        <v>2</v>
      </c>
      <c r="AE656" s="27">
        <v>3</v>
      </c>
      <c r="AF656" s="27">
        <v>5</v>
      </c>
      <c r="AG656" s="27">
        <v>4</v>
      </c>
      <c r="AH656" s="27">
        <v>0</v>
      </c>
      <c r="AI656" s="28">
        <v>4</v>
      </c>
      <c r="AK656" s="36">
        <v>623</v>
      </c>
      <c r="AL656" s="33">
        <v>13</v>
      </c>
      <c r="AM656" s="33">
        <v>2</v>
      </c>
      <c r="AN656" s="33">
        <v>4</v>
      </c>
      <c r="AO656" s="33">
        <v>2</v>
      </c>
      <c r="AP656" s="33">
        <v>0</v>
      </c>
      <c r="AQ656" s="33">
        <v>1</v>
      </c>
      <c r="AR656" s="33">
        <v>2</v>
      </c>
      <c r="AS656" s="33">
        <v>5</v>
      </c>
      <c r="AT656" s="33">
        <v>0</v>
      </c>
      <c r="AU656" s="43">
        <v>5.643089690779491E-2</v>
      </c>
      <c r="AV656" s="33">
        <v>0</v>
      </c>
      <c r="AW656" s="33">
        <v>0</v>
      </c>
      <c r="AY656" s="36">
        <v>628</v>
      </c>
      <c r="AZ656" s="33">
        <v>4</v>
      </c>
      <c r="BA656" s="33">
        <v>4</v>
      </c>
      <c r="BB656" s="33">
        <v>0</v>
      </c>
      <c r="BC656" s="33">
        <v>0</v>
      </c>
      <c r="BD656" s="43">
        <v>3.1333013053779842E-2</v>
      </c>
      <c r="BE656" s="33">
        <v>0</v>
      </c>
      <c r="BF656" s="33">
        <v>0</v>
      </c>
      <c r="CE656" s="36">
        <v>622</v>
      </c>
      <c r="CF656" s="33">
        <v>1</v>
      </c>
      <c r="CG656" s="33">
        <v>2</v>
      </c>
      <c r="CH656" s="33">
        <v>4</v>
      </c>
      <c r="CI656" s="33">
        <v>2</v>
      </c>
      <c r="CJ656" s="33">
        <v>1</v>
      </c>
      <c r="CK656" s="33">
        <v>1</v>
      </c>
      <c r="CL656" s="33">
        <v>1</v>
      </c>
      <c r="CM656" s="33">
        <v>2</v>
      </c>
      <c r="CN656" s="33">
        <v>18</v>
      </c>
      <c r="CO656" s="33">
        <v>4</v>
      </c>
      <c r="CP656" s="43">
        <v>9.0399542990327597E-2</v>
      </c>
      <c r="CQ656" s="33">
        <v>0</v>
      </c>
      <c r="CR656" s="33">
        <v>0</v>
      </c>
    </row>
    <row r="657" spans="1:96" ht="15" customHeight="1" x14ac:dyDescent="0.25">
      <c r="A657" s="26">
        <v>655</v>
      </c>
      <c r="B657" s="27">
        <v>33</v>
      </c>
      <c r="C657" s="27">
        <v>0</v>
      </c>
      <c r="D657" s="27">
        <v>1</v>
      </c>
      <c r="E657" s="27">
        <v>1075</v>
      </c>
      <c r="F657" s="27">
        <v>3</v>
      </c>
      <c r="G657" s="27">
        <v>3</v>
      </c>
      <c r="H657" s="27">
        <v>2</v>
      </c>
      <c r="I657" s="27">
        <v>2</v>
      </c>
      <c r="J657" s="27">
        <v>1</v>
      </c>
      <c r="K657" s="27">
        <v>910</v>
      </c>
      <c r="L657" s="27">
        <v>4</v>
      </c>
      <c r="M657" s="27">
        <v>1</v>
      </c>
      <c r="N657" s="27">
        <v>57</v>
      </c>
      <c r="O657" s="27">
        <v>3</v>
      </c>
      <c r="P657" s="27">
        <v>1</v>
      </c>
      <c r="Q657" s="27">
        <v>9</v>
      </c>
      <c r="R657" s="27">
        <v>2</v>
      </c>
      <c r="S657" s="27">
        <v>3</v>
      </c>
      <c r="T657" s="27">
        <v>2277</v>
      </c>
      <c r="U657" s="27">
        <v>22650</v>
      </c>
      <c r="V657" s="27">
        <v>3</v>
      </c>
      <c r="W657" s="27">
        <v>1</v>
      </c>
      <c r="X657" s="27">
        <v>11</v>
      </c>
      <c r="Y657" s="27">
        <v>3</v>
      </c>
      <c r="Z657" s="27">
        <v>3</v>
      </c>
      <c r="AA657" s="27">
        <v>80</v>
      </c>
      <c r="AB657" s="27">
        <v>1</v>
      </c>
      <c r="AC657" s="27">
        <v>7</v>
      </c>
      <c r="AD657" s="27">
        <v>4</v>
      </c>
      <c r="AE657" s="27">
        <v>4</v>
      </c>
      <c r="AF657" s="27">
        <v>4</v>
      </c>
      <c r="AG657" s="27">
        <v>3</v>
      </c>
      <c r="AH657" s="27">
        <v>0</v>
      </c>
      <c r="AI657" s="28">
        <v>3</v>
      </c>
      <c r="AK657" s="36">
        <v>624</v>
      </c>
      <c r="AL657" s="33">
        <v>5</v>
      </c>
      <c r="AM657" s="33">
        <v>1</v>
      </c>
      <c r="AN657" s="33">
        <v>4</v>
      </c>
      <c r="AO657" s="33">
        <v>9</v>
      </c>
      <c r="AP657" s="33">
        <v>0</v>
      </c>
      <c r="AQ657" s="33">
        <v>1</v>
      </c>
      <c r="AR657" s="33">
        <v>2</v>
      </c>
      <c r="AS657" s="33">
        <v>5</v>
      </c>
      <c r="AT657" s="33">
        <v>0</v>
      </c>
      <c r="AU657" s="43">
        <v>0.12496246091026536</v>
      </c>
      <c r="AV657" s="33">
        <v>0</v>
      </c>
      <c r="AW657" s="33">
        <v>0</v>
      </c>
      <c r="AY657" s="36">
        <v>629</v>
      </c>
      <c r="AZ657" s="33">
        <v>2</v>
      </c>
      <c r="BA657" s="33">
        <v>3</v>
      </c>
      <c r="BB657" s="33">
        <v>0</v>
      </c>
      <c r="BC657" s="33">
        <v>2</v>
      </c>
      <c r="BD657" s="43">
        <v>4.4052611042036123E-2</v>
      </c>
      <c r="BE657" s="33">
        <v>0</v>
      </c>
      <c r="BF657" s="33">
        <v>0</v>
      </c>
      <c r="CE657" s="36">
        <v>623</v>
      </c>
      <c r="CF657" s="33">
        <v>13</v>
      </c>
      <c r="CG657" s="33">
        <v>2</v>
      </c>
      <c r="CH657" s="33">
        <v>4</v>
      </c>
      <c r="CI657" s="33">
        <v>3</v>
      </c>
      <c r="CJ657" s="33">
        <v>2</v>
      </c>
      <c r="CK657" s="33">
        <v>0</v>
      </c>
      <c r="CL657" s="33">
        <v>1</v>
      </c>
      <c r="CM657" s="33">
        <v>2</v>
      </c>
      <c r="CN657" s="33">
        <v>5</v>
      </c>
      <c r="CO657" s="33">
        <v>0</v>
      </c>
      <c r="CP657" s="43">
        <v>3.1846550180393798E-2</v>
      </c>
      <c r="CQ657" s="33">
        <v>0</v>
      </c>
      <c r="CR657" s="33">
        <v>0</v>
      </c>
    </row>
    <row r="658" spans="1:96" ht="15" customHeight="1" x14ac:dyDescent="0.25">
      <c r="A658" s="26">
        <v>656</v>
      </c>
      <c r="B658" s="27">
        <v>32</v>
      </c>
      <c r="C658" s="27">
        <v>1</v>
      </c>
      <c r="D658" s="27">
        <v>1</v>
      </c>
      <c r="E658" s="27">
        <v>374</v>
      </c>
      <c r="F658" s="27">
        <v>2</v>
      </c>
      <c r="G658" s="27">
        <v>25</v>
      </c>
      <c r="H658" s="27">
        <v>4</v>
      </c>
      <c r="I658" s="27">
        <v>1</v>
      </c>
      <c r="J658" s="27">
        <v>1</v>
      </c>
      <c r="K658" s="27">
        <v>911</v>
      </c>
      <c r="L658" s="27">
        <v>1</v>
      </c>
      <c r="M658" s="27">
        <v>1</v>
      </c>
      <c r="N658" s="27">
        <v>87</v>
      </c>
      <c r="O658" s="27">
        <v>3</v>
      </c>
      <c r="P658" s="27">
        <v>1</v>
      </c>
      <c r="Q658" s="27">
        <v>3</v>
      </c>
      <c r="R658" s="27">
        <v>4</v>
      </c>
      <c r="S658" s="27">
        <v>1</v>
      </c>
      <c r="T658" s="27">
        <v>2795</v>
      </c>
      <c r="U658" s="27">
        <v>18016</v>
      </c>
      <c r="V658" s="27">
        <v>1</v>
      </c>
      <c r="W658" s="27">
        <v>1</v>
      </c>
      <c r="X658" s="27">
        <v>24</v>
      </c>
      <c r="Y658" s="27">
        <v>4</v>
      </c>
      <c r="Z658" s="27">
        <v>3</v>
      </c>
      <c r="AA658" s="27">
        <v>80</v>
      </c>
      <c r="AB658" s="27">
        <v>0</v>
      </c>
      <c r="AC658" s="27">
        <v>1</v>
      </c>
      <c r="AD658" s="27">
        <v>2</v>
      </c>
      <c r="AE658" s="27">
        <v>1</v>
      </c>
      <c r="AF658" s="27">
        <v>1</v>
      </c>
      <c r="AG658" s="27">
        <v>0</v>
      </c>
      <c r="AH658" s="27">
        <v>0</v>
      </c>
      <c r="AI658" s="28">
        <v>1</v>
      </c>
      <c r="AK658" s="36">
        <v>625</v>
      </c>
      <c r="AL658" s="33">
        <v>7</v>
      </c>
      <c r="AM658" s="33">
        <v>3</v>
      </c>
      <c r="AN658" s="33">
        <v>4</v>
      </c>
      <c r="AO658" s="33">
        <v>7</v>
      </c>
      <c r="AP658" s="33">
        <v>1</v>
      </c>
      <c r="AQ658" s="33">
        <v>1</v>
      </c>
      <c r="AR658" s="33">
        <v>3</v>
      </c>
      <c r="AS658" s="33">
        <v>5</v>
      </c>
      <c r="AT658" s="33">
        <v>0</v>
      </c>
      <c r="AU658" s="43">
        <v>0.12927660120489112</v>
      </c>
      <c r="AV658" s="33">
        <v>0</v>
      </c>
      <c r="AW658" s="33">
        <v>0</v>
      </c>
      <c r="AY658" s="36">
        <v>630</v>
      </c>
      <c r="AZ658" s="33">
        <v>1</v>
      </c>
      <c r="BA658" s="33">
        <v>4</v>
      </c>
      <c r="BB658" s="33">
        <v>0</v>
      </c>
      <c r="BC658" s="33">
        <v>1</v>
      </c>
      <c r="BD658" s="43">
        <v>9.2486413274924434E-2</v>
      </c>
      <c r="BE658" s="33">
        <v>0</v>
      </c>
      <c r="BF658" s="33">
        <v>0</v>
      </c>
      <c r="CE658" s="36">
        <v>624</v>
      </c>
      <c r="CF658" s="33">
        <v>5</v>
      </c>
      <c r="CG658" s="33">
        <v>1</v>
      </c>
      <c r="CH658" s="33">
        <v>4</v>
      </c>
      <c r="CI658" s="33">
        <v>3</v>
      </c>
      <c r="CJ658" s="33">
        <v>9</v>
      </c>
      <c r="CK658" s="33">
        <v>0</v>
      </c>
      <c r="CL658" s="33">
        <v>1</v>
      </c>
      <c r="CM658" s="33">
        <v>2</v>
      </c>
      <c r="CN658" s="33">
        <v>5</v>
      </c>
      <c r="CO658" s="33">
        <v>0</v>
      </c>
      <c r="CP658" s="43">
        <v>7.2948041676288378E-2</v>
      </c>
      <c r="CQ658" s="33">
        <v>0</v>
      </c>
      <c r="CR658" s="33">
        <v>0</v>
      </c>
    </row>
    <row r="659" spans="1:96" ht="15" customHeight="1" x14ac:dyDescent="0.25">
      <c r="A659" s="26">
        <v>657</v>
      </c>
      <c r="B659" s="27">
        <v>29</v>
      </c>
      <c r="C659" s="27">
        <v>0</v>
      </c>
      <c r="D659" s="27">
        <v>1</v>
      </c>
      <c r="E659" s="27">
        <v>1086</v>
      </c>
      <c r="F659" s="27">
        <v>2</v>
      </c>
      <c r="G659" s="27">
        <v>7</v>
      </c>
      <c r="H659" s="27">
        <v>1</v>
      </c>
      <c r="I659" s="27">
        <v>3</v>
      </c>
      <c r="J659" s="27">
        <v>1</v>
      </c>
      <c r="K659" s="27">
        <v>912</v>
      </c>
      <c r="L659" s="27">
        <v>1</v>
      </c>
      <c r="M659" s="27">
        <v>0</v>
      </c>
      <c r="N659" s="27">
        <v>62</v>
      </c>
      <c r="O659" s="27">
        <v>2</v>
      </c>
      <c r="P659" s="27">
        <v>1</v>
      </c>
      <c r="Q659" s="27">
        <v>3</v>
      </c>
      <c r="R659" s="27">
        <v>4</v>
      </c>
      <c r="S659" s="27">
        <v>3</v>
      </c>
      <c r="T659" s="27">
        <v>2532</v>
      </c>
      <c r="U659" s="27">
        <v>6054</v>
      </c>
      <c r="V659" s="27">
        <v>6</v>
      </c>
      <c r="W659" s="27">
        <v>0</v>
      </c>
      <c r="X659" s="27">
        <v>14</v>
      </c>
      <c r="Y659" s="27">
        <v>3</v>
      </c>
      <c r="Z659" s="27">
        <v>3</v>
      </c>
      <c r="AA659" s="27">
        <v>80</v>
      </c>
      <c r="AB659" s="27">
        <v>3</v>
      </c>
      <c r="AC659" s="27">
        <v>8</v>
      </c>
      <c r="AD659" s="27">
        <v>5</v>
      </c>
      <c r="AE659" s="27">
        <v>3</v>
      </c>
      <c r="AF659" s="27">
        <v>4</v>
      </c>
      <c r="AG659" s="27">
        <v>3</v>
      </c>
      <c r="AH659" s="27">
        <v>0</v>
      </c>
      <c r="AI659" s="28">
        <v>3</v>
      </c>
      <c r="AK659" s="36">
        <v>626</v>
      </c>
      <c r="AL659" s="33">
        <v>9</v>
      </c>
      <c r="AM659" s="33">
        <v>3</v>
      </c>
      <c r="AN659" s="33">
        <v>1</v>
      </c>
      <c r="AO659" s="33">
        <v>4</v>
      </c>
      <c r="AP659" s="33">
        <v>1</v>
      </c>
      <c r="AQ659" s="33">
        <v>1</v>
      </c>
      <c r="AR659" s="33">
        <v>3</v>
      </c>
      <c r="AS659" s="33">
        <v>5</v>
      </c>
      <c r="AT659" s="33">
        <v>0</v>
      </c>
      <c r="AU659" s="43">
        <v>0.228644790871528</v>
      </c>
      <c r="AV659" s="33">
        <v>0</v>
      </c>
      <c r="AW659" s="33">
        <v>0</v>
      </c>
      <c r="AY659" s="36">
        <v>631</v>
      </c>
      <c r="AZ659" s="33">
        <v>2</v>
      </c>
      <c r="BA659" s="33">
        <v>4</v>
      </c>
      <c r="BB659" s="33">
        <v>0</v>
      </c>
      <c r="BC659" s="33">
        <v>2</v>
      </c>
      <c r="BD659" s="43">
        <v>3.3256067423154199E-2</v>
      </c>
      <c r="BE659" s="33">
        <v>0</v>
      </c>
      <c r="BF659" s="33">
        <v>0</v>
      </c>
      <c r="CE659" s="36">
        <v>625</v>
      </c>
      <c r="CF659" s="33">
        <v>7</v>
      </c>
      <c r="CG659" s="33">
        <v>3</v>
      </c>
      <c r="CH659" s="33">
        <v>4</v>
      </c>
      <c r="CI659" s="33">
        <v>2</v>
      </c>
      <c r="CJ659" s="33">
        <v>7</v>
      </c>
      <c r="CK659" s="33">
        <v>1</v>
      </c>
      <c r="CL659" s="33">
        <v>1</v>
      </c>
      <c r="CM659" s="33">
        <v>3</v>
      </c>
      <c r="CN659" s="33">
        <v>5</v>
      </c>
      <c r="CO659" s="33">
        <v>0</v>
      </c>
      <c r="CP659" s="43">
        <v>0.12941703527297477</v>
      </c>
      <c r="CQ659" s="33">
        <v>0</v>
      </c>
      <c r="CR659" s="33">
        <v>0</v>
      </c>
    </row>
    <row r="660" spans="1:96" ht="15" customHeight="1" x14ac:dyDescent="0.25">
      <c r="A660" s="26">
        <v>658</v>
      </c>
      <c r="B660" s="27">
        <v>44</v>
      </c>
      <c r="C660" s="27">
        <v>0</v>
      </c>
      <c r="D660" s="27">
        <v>1</v>
      </c>
      <c r="E660" s="27">
        <v>661</v>
      </c>
      <c r="F660" s="27">
        <v>2</v>
      </c>
      <c r="G660" s="27">
        <v>9</v>
      </c>
      <c r="H660" s="27">
        <v>2</v>
      </c>
      <c r="I660" s="27">
        <v>1</v>
      </c>
      <c r="J660" s="27">
        <v>1</v>
      </c>
      <c r="K660" s="27">
        <v>913</v>
      </c>
      <c r="L660" s="27">
        <v>2</v>
      </c>
      <c r="M660" s="27">
        <v>1</v>
      </c>
      <c r="N660" s="27">
        <v>61</v>
      </c>
      <c r="O660" s="27">
        <v>3</v>
      </c>
      <c r="P660" s="27">
        <v>1</v>
      </c>
      <c r="Q660" s="27">
        <v>2</v>
      </c>
      <c r="R660" s="27">
        <v>1</v>
      </c>
      <c r="S660" s="27">
        <v>2</v>
      </c>
      <c r="T660" s="27">
        <v>2559</v>
      </c>
      <c r="U660" s="27">
        <v>7508</v>
      </c>
      <c r="V660" s="27">
        <v>1</v>
      </c>
      <c r="W660" s="27">
        <v>1</v>
      </c>
      <c r="X660" s="27">
        <v>13</v>
      </c>
      <c r="Y660" s="27">
        <v>3</v>
      </c>
      <c r="Z660" s="27">
        <v>4</v>
      </c>
      <c r="AA660" s="27">
        <v>80</v>
      </c>
      <c r="AB660" s="27">
        <v>0</v>
      </c>
      <c r="AC660" s="27">
        <v>8</v>
      </c>
      <c r="AD660" s="27">
        <v>0</v>
      </c>
      <c r="AE660" s="27">
        <v>3</v>
      </c>
      <c r="AF660" s="27">
        <v>8</v>
      </c>
      <c r="AG660" s="27">
        <v>7</v>
      </c>
      <c r="AH660" s="27">
        <v>7</v>
      </c>
      <c r="AI660" s="28">
        <v>1</v>
      </c>
      <c r="AK660" s="36">
        <v>627</v>
      </c>
      <c r="AL660" s="33">
        <v>8</v>
      </c>
      <c r="AM660" s="33">
        <v>2</v>
      </c>
      <c r="AN660" s="33">
        <v>3</v>
      </c>
      <c r="AO660" s="33">
        <v>5</v>
      </c>
      <c r="AP660" s="33">
        <v>0</v>
      </c>
      <c r="AQ660" s="33">
        <v>1</v>
      </c>
      <c r="AR660" s="33">
        <v>2</v>
      </c>
      <c r="AS660" s="33">
        <v>5</v>
      </c>
      <c r="AT660" s="33">
        <v>1</v>
      </c>
      <c r="AU660" s="43">
        <v>8.8871068608601791E-2</v>
      </c>
      <c r="AV660" s="33">
        <v>0</v>
      </c>
      <c r="AW660" s="33">
        <v>0</v>
      </c>
      <c r="AY660" s="36">
        <v>632</v>
      </c>
      <c r="AZ660" s="33">
        <v>1</v>
      </c>
      <c r="BA660" s="33">
        <v>4</v>
      </c>
      <c r="BB660" s="33">
        <v>1</v>
      </c>
      <c r="BC660" s="33">
        <v>1</v>
      </c>
      <c r="BD660" s="43">
        <v>0.30345027699196836</v>
      </c>
      <c r="BE660" s="33">
        <v>0</v>
      </c>
      <c r="BF660" s="33">
        <v>0</v>
      </c>
      <c r="CE660" s="36">
        <v>626</v>
      </c>
      <c r="CF660" s="33">
        <v>9</v>
      </c>
      <c r="CG660" s="33">
        <v>3</v>
      </c>
      <c r="CH660" s="33">
        <v>1</v>
      </c>
      <c r="CI660" s="33">
        <v>3</v>
      </c>
      <c r="CJ660" s="33">
        <v>4</v>
      </c>
      <c r="CK660" s="33">
        <v>1</v>
      </c>
      <c r="CL660" s="33">
        <v>1</v>
      </c>
      <c r="CM660" s="33">
        <v>3</v>
      </c>
      <c r="CN660" s="33">
        <v>5</v>
      </c>
      <c r="CO660" s="33">
        <v>0</v>
      </c>
      <c r="CP660" s="43">
        <v>0.15198141323236988</v>
      </c>
      <c r="CQ660" s="33">
        <v>0</v>
      </c>
      <c r="CR660" s="33">
        <v>0</v>
      </c>
    </row>
    <row r="661" spans="1:96" ht="15" customHeight="1" x14ac:dyDescent="0.25">
      <c r="A661" s="26">
        <v>659</v>
      </c>
      <c r="B661" s="27">
        <v>28</v>
      </c>
      <c r="C661" s="27">
        <v>0</v>
      </c>
      <c r="D661" s="27">
        <v>1</v>
      </c>
      <c r="E661" s="27">
        <v>821</v>
      </c>
      <c r="F661" s="27">
        <v>1</v>
      </c>
      <c r="G661" s="27">
        <v>5</v>
      </c>
      <c r="H661" s="27">
        <v>4</v>
      </c>
      <c r="I661" s="27">
        <v>3</v>
      </c>
      <c r="J661" s="27">
        <v>1</v>
      </c>
      <c r="K661" s="27">
        <v>916</v>
      </c>
      <c r="L661" s="27">
        <v>1</v>
      </c>
      <c r="M661" s="27">
        <v>1</v>
      </c>
      <c r="N661" s="27">
        <v>98</v>
      </c>
      <c r="O661" s="27">
        <v>3</v>
      </c>
      <c r="P661" s="27">
        <v>2</v>
      </c>
      <c r="Q661" s="27">
        <v>1</v>
      </c>
      <c r="R661" s="27">
        <v>4</v>
      </c>
      <c r="S661" s="27">
        <v>1</v>
      </c>
      <c r="T661" s="27">
        <v>4908</v>
      </c>
      <c r="U661" s="27">
        <v>24252</v>
      </c>
      <c r="V661" s="27">
        <v>1</v>
      </c>
      <c r="W661" s="27">
        <v>0</v>
      </c>
      <c r="X661" s="27">
        <v>14</v>
      </c>
      <c r="Y661" s="27">
        <v>3</v>
      </c>
      <c r="Z661" s="27">
        <v>2</v>
      </c>
      <c r="AA661" s="27">
        <v>80</v>
      </c>
      <c r="AB661" s="27">
        <v>0</v>
      </c>
      <c r="AC661" s="27">
        <v>4</v>
      </c>
      <c r="AD661" s="27">
        <v>3</v>
      </c>
      <c r="AE661" s="27">
        <v>3</v>
      </c>
      <c r="AF661" s="27">
        <v>4</v>
      </c>
      <c r="AG661" s="27">
        <v>2</v>
      </c>
      <c r="AH661" s="27">
        <v>0</v>
      </c>
      <c r="AI661" s="28">
        <v>2</v>
      </c>
      <c r="AK661" s="36">
        <v>628</v>
      </c>
      <c r="AL661" s="33">
        <v>25</v>
      </c>
      <c r="AM661" s="33">
        <v>4</v>
      </c>
      <c r="AN661" s="33">
        <v>4</v>
      </c>
      <c r="AO661" s="33">
        <v>3</v>
      </c>
      <c r="AP661" s="33">
        <v>0</v>
      </c>
      <c r="AQ661" s="33">
        <v>0</v>
      </c>
      <c r="AR661" s="33">
        <v>3</v>
      </c>
      <c r="AS661" s="33">
        <v>9</v>
      </c>
      <c r="AT661" s="33">
        <v>0</v>
      </c>
      <c r="AU661" s="43">
        <v>3.2734914777920031E-2</v>
      </c>
      <c r="AV661" s="33">
        <v>0</v>
      </c>
      <c r="AW661" s="33">
        <v>0</v>
      </c>
      <c r="AY661" s="36">
        <v>633</v>
      </c>
      <c r="AZ661" s="33">
        <v>1</v>
      </c>
      <c r="BA661" s="33">
        <v>4</v>
      </c>
      <c r="BB661" s="33">
        <v>1</v>
      </c>
      <c r="BC661" s="33">
        <v>0</v>
      </c>
      <c r="BD661" s="43">
        <v>0.42475472169672474</v>
      </c>
      <c r="BE661" s="33">
        <v>0</v>
      </c>
      <c r="BF661" s="33">
        <v>0</v>
      </c>
      <c r="CE661" s="36">
        <v>627</v>
      </c>
      <c r="CF661" s="33">
        <v>8</v>
      </c>
      <c r="CG661" s="33">
        <v>2</v>
      </c>
      <c r="CH661" s="33">
        <v>3</v>
      </c>
      <c r="CI661" s="33">
        <v>2</v>
      </c>
      <c r="CJ661" s="33">
        <v>5</v>
      </c>
      <c r="CK661" s="33">
        <v>0</v>
      </c>
      <c r="CL661" s="33">
        <v>1</v>
      </c>
      <c r="CM661" s="33">
        <v>2</v>
      </c>
      <c r="CN661" s="33">
        <v>5</v>
      </c>
      <c r="CO661" s="33">
        <v>1</v>
      </c>
      <c r="CP661" s="43">
        <v>8.7571700176524131E-2</v>
      </c>
      <c r="CQ661" s="33">
        <v>0</v>
      </c>
      <c r="CR661" s="33">
        <v>0</v>
      </c>
    </row>
    <row r="662" spans="1:96" ht="15" customHeight="1" x14ac:dyDescent="0.25">
      <c r="A662" s="26">
        <v>660</v>
      </c>
      <c r="B662" s="27">
        <v>58</v>
      </c>
      <c r="C662" s="27">
        <v>1</v>
      </c>
      <c r="D662" s="27">
        <v>2</v>
      </c>
      <c r="E662" s="27">
        <v>781</v>
      </c>
      <c r="F662" s="27">
        <v>2</v>
      </c>
      <c r="G662" s="27">
        <v>2</v>
      </c>
      <c r="H662" s="27">
        <v>1</v>
      </c>
      <c r="I662" s="27">
        <v>1</v>
      </c>
      <c r="J662" s="27">
        <v>1</v>
      </c>
      <c r="K662" s="27">
        <v>918</v>
      </c>
      <c r="L662" s="27">
        <v>4</v>
      </c>
      <c r="M662" s="27">
        <v>1</v>
      </c>
      <c r="N662" s="27">
        <v>57</v>
      </c>
      <c r="O662" s="27">
        <v>2</v>
      </c>
      <c r="P662" s="27">
        <v>1</v>
      </c>
      <c r="Q662" s="27">
        <v>3</v>
      </c>
      <c r="R662" s="27">
        <v>4</v>
      </c>
      <c r="S662" s="27">
        <v>3</v>
      </c>
      <c r="T662" s="27">
        <v>2380</v>
      </c>
      <c r="U662" s="27">
        <v>13384</v>
      </c>
      <c r="V662" s="27">
        <v>9</v>
      </c>
      <c r="W662" s="27">
        <v>1</v>
      </c>
      <c r="X662" s="27">
        <v>14</v>
      </c>
      <c r="Y662" s="27">
        <v>3</v>
      </c>
      <c r="Z662" s="27">
        <v>4</v>
      </c>
      <c r="AA662" s="27">
        <v>80</v>
      </c>
      <c r="AB662" s="27">
        <v>1</v>
      </c>
      <c r="AC662" s="27">
        <v>3</v>
      </c>
      <c r="AD662" s="27">
        <v>3</v>
      </c>
      <c r="AE662" s="27">
        <v>2</v>
      </c>
      <c r="AF662" s="27">
        <v>1</v>
      </c>
      <c r="AG662" s="27">
        <v>0</v>
      </c>
      <c r="AH662" s="27">
        <v>0</v>
      </c>
      <c r="AI662" s="28">
        <v>0</v>
      </c>
      <c r="AK662" s="36">
        <v>629</v>
      </c>
      <c r="AL662" s="33">
        <v>16</v>
      </c>
      <c r="AM662" s="33">
        <v>2</v>
      </c>
      <c r="AN662" s="33">
        <v>3</v>
      </c>
      <c r="AO662" s="33">
        <v>4</v>
      </c>
      <c r="AP662" s="33">
        <v>0</v>
      </c>
      <c r="AQ662" s="33">
        <v>2</v>
      </c>
      <c r="AR662" s="33">
        <v>3</v>
      </c>
      <c r="AS662" s="33">
        <v>1</v>
      </c>
      <c r="AT662" s="33">
        <v>0</v>
      </c>
      <c r="AU662" s="43">
        <v>5.9134680465575289E-2</v>
      </c>
      <c r="AV662" s="33">
        <v>0</v>
      </c>
      <c r="AW662" s="33">
        <v>0</v>
      </c>
      <c r="AY662" s="36">
        <v>634</v>
      </c>
      <c r="AZ662" s="33">
        <v>1</v>
      </c>
      <c r="BA662" s="33">
        <v>1</v>
      </c>
      <c r="BB662" s="33">
        <v>0</v>
      </c>
      <c r="BC662" s="33">
        <v>0</v>
      </c>
      <c r="BD662" s="43">
        <v>0.29341085656570393</v>
      </c>
      <c r="BE662" s="33">
        <v>0</v>
      </c>
      <c r="BF662" s="33">
        <v>0</v>
      </c>
      <c r="CE662" s="36">
        <v>628</v>
      </c>
      <c r="CF662" s="33">
        <v>25</v>
      </c>
      <c r="CG662" s="33">
        <v>4</v>
      </c>
      <c r="CH662" s="33">
        <v>4</v>
      </c>
      <c r="CI662" s="33">
        <v>2</v>
      </c>
      <c r="CJ662" s="33">
        <v>3</v>
      </c>
      <c r="CK662" s="33">
        <v>0</v>
      </c>
      <c r="CL662" s="33">
        <v>0</v>
      </c>
      <c r="CM662" s="33">
        <v>3</v>
      </c>
      <c r="CN662" s="33">
        <v>9</v>
      </c>
      <c r="CO662" s="33">
        <v>0</v>
      </c>
      <c r="CP662" s="43">
        <v>2.2499737501560788E-2</v>
      </c>
      <c r="CQ662" s="33">
        <v>0</v>
      </c>
      <c r="CR662" s="33">
        <v>0</v>
      </c>
    </row>
    <row r="663" spans="1:96" ht="15" customHeight="1" x14ac:dyDescent="0.25">
      <c r="A663" s="26">
        <v>661</v>
      </c>
      <c r="B663" s="27">
        <v>43</v>
      </c>
      <c r="C663" s="27">
        <v>0</v>
      </c>
      <c r="D663" s="27">
        <v>1</v>
      </c>
      <c r="E663" s="27">
        <v>177</v>
      </c>
      <c r="F663" s="27">
        <v>2</v>
      </c>
      <c r="G663" s="27">
        <v>8</v>
      </c>
      <c r="H663" s="27">
        <v>3</v>
      </c>
      <c r="I663" s="27">
        <v>1</v>
      </c>
      <c r="J663" s="27">
        <v>1</v>
      </c>
      <c r="K663" s="27">
        <v>920</v>
      </c>
      <c r="L663" s="27">
        <v>1</v>
      </c>
      <c r="M663" s="27">
        <v>0</v>
      </c>
      <c r="N663" s="27">
        <v>55</v>
      </c>
      <c r="O663" s="27">
        <v>3</v>
      </c>
      <c r="P663" s="27">
        <v>2</v>
      </c>
      <c r="Q663" s="27">
        <v>4</v>
      </c>
      <c r="R663" s="27">
        <v>2</v>
      </c>
      <c r="S663" s="27">
        <v>3</v>
      </c>
      <c r="T663" s="27">
        <v>4765</v>
      </c>
      <c r="U663" s="27">
        <v>23814</v>
      </c>
      <c r="V663" s="27">
        <v>4</v>
      </c>
      <c r="W663" s="27">
        <v>0</v>
      </c>
      <c r="X663" s="27">
        <v>21</v>
      </c>
      <c r="Y663" s="27">
        <v>4</v>
      </c>
      <c r="Z663" s="27">
        <v>3</v>
      </c>
      <c r="AA663" s="27">
        <v>80</v>
      </c>
      <c r="AB663" s="27">
        <v>1</v>
      </c>
      <c r="AC663" s="27">
        <v>4</v>
      </c>
      <c r="AD663" s="27">
        <v>2</v>
      </c>
      <c r="AE663" s="27">
        <v>4</v>
      </c>
      <c r="AF663" s="27">
        <v>1</v>
      </c>
      <c r="AG663" s="27">
        <v>0</v>
      </c>
      <c r="AH663" s="27">
        <v>0</v>
      </c>
      <c r="AI663" s="28">
        <v>0</v>
      </c>
      <c r="AK663" s="36">
        <v>630</v>
      </c>
      <c r="AL663" s="33">
        <v>8</v>
      </c>
      <c r="AM663" s="33">
        <v>1</v>
      </c>
      <c r="AN663" s="33">
        <v>4</v>
      </c>
      <c r="AO663" s="33">
        <v>1</v>
      </c>
      <c r="AP663" s="33">
        <v>0</v>
      </c>
      <c r="AQ663" s="33">
        <v>1</v>
      </c>
      <c r="AR663" s="33">
        <v>3</v>
      </c>
      <c r="AS663" s="33">
        <v>5</v>
      </c>
      <c r="AT663" s="33">
        <v>0</v>
      </c>
      <c r="AU663" s="43">
        <v>6.0099317331127229E-2</v>
      </c>
      <c r="AV663" s="33">
        <v>0</v>
      </c>
      <c r="AW663" s="33">
        <v>0</v>
      </c>
      <c r="AY663" s="36">
        <v>635</v>
      </c>
      <c r="AZ663" s="33">
        <v>2</v>
      </c>
      <c r="BA663" s="33">
        <v>1</v>
      </c>
      <c r="BB663" s="33">
        <v>1</v>
      </c>
      <c r="BC663" s="33">
        <v>0</v>
      </c>
      <c r="BD663" s="43">
        <v>0.50385917417366921</v>
      </c>
      <c r="BE663" s="33">
        <v>1</v>
      </c>
      <c r="BF663" s="33">
        <v>0</v>
      </c>
      <c r="CE663" s="36">
        <v>629</v>
      </c>
      <c r="CF663" s="33">
        <v>16</v>
      </c>
      <c r="CG663" s="33">
        <v>2</v>
      </c>
      <c r="CH663" s="33">
        <v>3</v>
      </c>
      <c r="CI663" s="33">
        <v>3</v>
      </c>
      <c r="CJ663" s="33">
        <v>4</v>
      </c>
      <c r="CK663" s="33">
        <v>0</v>
      </c>
      <c r="CL663" s="33">
        <v>2</v>
      </c>
      <c r="CM663" s="33">
        <v>3</v>
      </c>
      <c r="CN663" s="33">
        <v>1</v>
      </c>
      <c r="CO663" s="33">
        <v>0</v>
      </c>
      <c r="CP663" s="43">
        <v>4.6770596311330369E-2</v>
      </c>
      <c r="CQ663" s="33">
        <v>0</v>
      </c>
      <c r="CR663" s="33">
        <v>0</v>
      </c>
    </row>
    <row r="664" spans="1:96" ht="15" customHeight="1" x14ac:dyDescent="0.25">
      <c r="A664" s="26">
        <v>662</v>
      </c>
      <c r="B664" s="27">
        <v>20</v>
      </c>
      <c r="C664" s="27">
        <v>1</v>
      </c>
      <c r="D664" s="27">
        <v>1</v>
      </c>
      <c r="E664" s="27">
        <v>500</v>
      </c>
      <c r="F664" s="27">
        <v>1</v>
      </c>
      <c r="G664" s="27">
        <v>2</v>
      </c>
      <c r="H664" s="27">
        <v>3</v>
      </c>
      <c r="I664" s="27">
        <v>3</v>
      </c>
      <c r="J664" s="27">
        <v>1</v>
      </c>
      <c r="K664" s="27">
        <v>922</v>
      </c>
      <c r="L664" s="27">
        <v>3</v>
      </c>
      <c r="M664" s="27">
        <v>0</v>
      </c>
      <c r="N664" s="27">
        <v>49</v>
      </c>
      <c r="O664" s="27">
        <v>2</v>
      </c>
      <c r="P664" s="27">
        <v>1</v>
      </c>
      <c r="Q664" s="27">
        <v>7</v>
      </c>
      <c r="R664" s="27">
        <v>3</v>
      </c>
      <c r="S664" s="27">
        <v>1</v>
      </c>
      <c r="T664" s="27">
        <v>2044</v>
      </c>
      <c r="U664" s="27">
        <v>22052</v>
      </c>
      <c r="V664" s="27">
        <v>1</v>
      </c>
      <c r="W664" s="27">
        <v>0</v>
      </c>
      <c r="X664" s="27">
        <v>13</v>
      </c>
      <c r="Y664" s="27">
        <v>3</v>
      </c>
      <c r="Z664" s="27">
        <v>4</v>
      </c>
      <c r="AA664" s="27">
        <v>80</v>
      </c>
      <c r="AB664" s="27">
        <v>0</v>
      </c>
      <c r="AC664" s="27">
        <v>2</v>
      </c>
      <c r="AD664" s="27">
        <v>3</v>
      </c>
      <c r="AE664" s="27">
        <v>2</v>
      </c>
      <c r="AF664" s="27">
        <v>2</v>
      </c>
      <c r="AG664" s="27">
        <v>2</v>
      </c>
      <c r="AH664" s="27">
        <v>0</v>
      </c>
      <c r="AI664" s="28">
        <v>2</v>
      </c>
      <c r="AK664" s="36">
        <v>631</v>
      </c>
      <c r="AL664" s="33">
        <v>1</v>
      </c>
      <c r="AM664" s="33">
        <v>2</v>
      </c>
      <c r="AN664" s="33">
        <v>4</v>
      </c>
      <c r="AO664" s="33">
        <v>6</v>
      </c>
      <c r="AP664" s="33">
        <v>0</v>
      </c>
      <c r="AQ664" s="33">
        <v>2</v>
      </c>
      <c r="AR664" s="33">
        <v>1</v>
      </c>
      <c r="AS664" s="33">
        <v>2</v>
      </c>
      <c r="AT664" s="33">
        <v>2</v>
      </c>
      <c r="AU664" s="43">
        <v>5.8639864677561139E-2</v>
      </c>
      <c r="AV664" s="33">
        <v>0</v>
      </c>
      <c r="AW664" s="33">
        <v>0</v>
      </c>
      <c r="AY664" s="36">
        <v>636</v>
      </c>
      <c r="AZ664" s="33">
        <v>3</v>
      </c>
      <c r="BA664" s="33">
        <v>3</v>
      </c>
      <c r="BB664" s="33">
        <v>1</v>
      </c>
      <c r="BC664" s="33">
        <v>1</v>
      </c>
      <c r="BD664" s="43">
        <v>0.16038463669030681</v>
      </c>
      <c r="BE664" s="33">
        <v>0</v>
      </c>
      <c r="BF664" s="33">
        <v>0</v>
      </c>
      <c r="CE664" s="36">
        <v>630</v>
      </c>
      <c r="CF664" s="33">
        <v>8</v>
      </c>
      <c r="CG664" s="33">
        <v>1</v>
      </c>
      <c r="CH664" s="33">
        <v>4</v>
      </c>
      <c r="CI664" s="33">
        <v>3</v>
      </c>
      <c r="CJ664" s="33">
        <v>1</v>
      </c>
      <c r="CK664" s="33">
        <v>0</v>
      </c>
      <c r="CL664" s="33">
        <v>1</v>
      </c>
      <c r="CM664" s="33">
        <v>3</v>
      </c>
      <c r="CN664" s="33">
        <v>5</v>
      </c>
      <c r="CO664" s="33">
        <v>0</v>
      </c>
      <c r="CP664" s="43">
        <v>3.3080706722689993E-2</v>
      </c>
      <c r="CQ664" s="33">
        <v>0</v>
      </c>
      <c r="CR664" s="33">
        <v>0</v>
      </c>
    </row>
    <row r="665" spans="1:96" ht="15" customHeight="1" x14ac:dyDescent="0.25">
      <c r="A665" s="26">
        <v>663</v>
      </c>
      <c r="B665" s="27">
        <v>21</v>
      </c>
      <c r="C665" s="27">
        <v>1</v>
      </c>
      <c r="D665" s="27">
        <v>1</v>
      </c>
      <c r="E665" s="27">
        <v>1427</v>
      </c>
      <c r="F665" s="27">
        <v>2</v>
      </c>
      <c r="G665" s="27">
        <v>18</v>
      </c>
      <c r="H665" s="27">
        <v>1</v>
      </c>
      <c r="I665" s="27">
        <v>6</v>
      </c>
      <c r="J665" s="27">
        <v>1</v>
      </c>
      <c r="K665" s="27">
        <v>923</v>
      </c>
      <c r="L665" s="27">
        <v>4</v>
      </c>
      <c r="M665" s="27">
        <v>0</v>
      </c>
      <c r="N665" s="27">
        <v>65</v>
      </c>
      <c r="O665" s="27">
        <v>3</v>
      </c>
      <c r="P665" s="27">
        <v>1</v>
      </c>
      <c r="Q665" s="27">
        <v>2</v>
      </c>
      <c r="R665" s="27">
        <v>4</v>
      </c>
      <c r="S665" s="27">
        <v>1</v>
      </c>
      <c r="T665" s="27">
        <v>2693</v>
      </c>
      <c r="U665" s="27">
        <v>8870</v>
      </c>
      <c r="V665" s="27">
        <v>1</v>
      </c>
      <c r="W665" s="27">
        <v>0</v>
      </c>
      <c r="X665" s="27">
        <v>19</v>
      </c>
      <c r="Y665" s="27">
        <v>3</v>
      </c>
      <c r="Z665" s="27">
        <v>1</v>
      </c>
      <c r="AA665" s="27">
        <v>80</v>
      </c>
      <c r="AB665" s="27">
        <v>0</v>
      </c>
      <c r="AC665" s="27">
        <v>1</v>
      </c>
      <c r="AD665" s="27">
        <v>3</v>
      </c>
      <c r="AE665" s="27">
        <v>2</v>
      </c>
      <c r="AF665" s="27">
        <v>1</v>
      </c>
      <c r="AG665" s="27">
        <v>0</v>
      </c>
      <c r="AH665" s="27">
        <v>0</v>
      </c>
      <c r="AI665" s="28">
        <v>0</v>
      </c>
      <c r="AK665" s="36">
        <v>632</v>
      </c>
      <c r="AL665" s="33">
        <v>8</v>
      </c>
      <c r="AM665" s="33">
        <v>1</v>
      </c>
      <c r="AN665" s="33">
        <v>4</v>
      </c>
      <c r="AO665" s="33">
        <v>2</v>
      </c>
      <c r="AP665" s="33">
        <v>1</v>
      </c>
      <c r="AQ665" s="33">
        <v>1</v>
      </c>
      <c r="AR665" s="33">
        <v>2</v>
      </c>
      <c r="AS665" s="33">
        <v>3</v>
      </c>
      <c r="AT665" s="33">
        <v>0</v>
      </c>
      <c r="AU665" s="43">
        <v>0.30709055502635746</v>
      </c>
      <c r="AV665" s="33">
        <v>0</v>
      </c>
      <c r="AW665" s="33">
        <v>0</v>
      </c>
      <c r="AY665" s="36">
        <v>637</v>
      </c>
      <c r="AZ665" s="33">
        <v>1</v>
      </c>
      <c r="BA665" s="33">
        <v>2</v>
      </c>
      <c r="BB665" s="33">
        <v>1</v>
      </c>
      <c r="BC665" s="33">
        <v>1</v>
      </c>
      <c r="BD665" s="43">
        <v>0.43876762926038776</v>
      </c>
      <c r="BE665" s="33">
        <v>0</v>
      </c>
      <c r="BF665" s="33">
        <v>1</v>
      </c>
      <c r="CE665" s="36">
        <v>631</v>
      </c>
      <c r="CF665" s="33">
        <v>1</v>
      </c>
      <c r="CG665" s="33">
        <v>2</v>
      </c>
      <c r="CH665" s="33">
        <v>4</v>
      </c>
      <c r="CI665" s="33">
        <v>2</v>
      </c>
      <c r="CJ665" s="33">
        <v>6</v>
      </c>
      <c r="CK665" s="33">
        <v>0</v>
      </c>
      <c r="CL665" s="33">
        <v>2</v>
      </c>
      <c r="CM665" s="33">
        <v>1</v>
      </c>
      <c r="CN665" s="33">
        <v>2</v>
      </c>
      <c r="CO665" s="33">
        <v>2</v>
      </c>
      <c r="CP665" s="43">
        <v>8.0035784459526776E-2</v>
      </c>
      <c r="CQ665" s="33">
        <v>0</v>
      </c>
      <c r="CR665" s="33">
        <v>0</v>
      </c>
    </row>
    <row r="666" spans="1:96" ht="15" customHeight="1" x14ac:dyDescent="0.25">
      <c r="A666" s="26">
        <v>664</v>
      </c>
      <c r="B666" s="27">
        <v>36</v>
      </c>
      <c r="C666" s="27">
        <v>0</v>
      </c>
      <c r="D666" s="27">
        <v>1</v>
      </c>
      <c r="E666" s="27">
        <v>1425</v>
      </c>
      <c r="F666" s="27">
        <v>2</v>
      </c>
      <c r="G666" s="27">
        <v>14</v>
      </c>
      <c r="H666" s="27">
        <v>1</v>
      </c>
      <c r="I666" s="27">
        <v>1</v>
      </c>
      <c r="J666" s="27">
        <v>1</v>
      </c>
      <c r="K666" s="27">
        <v>924</v>
      </c>
      <c r="L666" s="27">
        <v>3</v>
      </c>
      <c r="M666" s="27">
        <v>1</v>
      </c>
      <c r="N666" s="27">
        <v>68</v>
      </c>
      <c r="O666" s="27">
        <v>3</v>
      </c>
      <c r="P666" s="27">
        <v>2</v>
      </c>
      <c r="Q666" s="27">
        <v>5</v>
      </c>
      <c r="R666" s="27">
        <v>4</v>
      </c>
      <c r="S666" s="27">
        <v>2</v>
      </c>
      <c r="T666" s="27">
        <v>6586</v>
      </c>
      <c r="U666" s="27">
        <v>4821</v>
      </c>
      <c r="V666" s="27">
        <v>0</v>
      </c>
      <c r="W666" s="27">
        <v>1</v>
      </c>
      <c r="X666" s="27">
        <v>17</v>
      </c>
      <c r="Y666" s="27">
        <v>3</v>
      </c>
      <c r="Z666" s="27">
        <v>1</v>
      </c>
      <c r="AA666" s="27">
        <v>80</v>
      </c>
      <c r="AB666" s="27">
        <v>1</v>
      </c>
      <c r="AC666" s="27">
        <v>17</v>
      </c>
      <c r="AD666" s="27">
        <v>2</v>
      </c>
      <c r="AE666" s="27">
        <v>2</v>
      </c>
      <c r="AF666" s="27">
        <v>16</v>
      </c>
      <c r="AG666" s="27">
        <v>8</v>
      </c>
      <c r="AH666" s="27">
        <v>4</v>
      </c>
      <c r="AI666" s="28">
        <v>11</v>
      </c>
      <c r="AK666" s="36">
        <v>633</v>
      </c>
      <c r="AL666" s="33">
        <v>2</v>
      </c>
      <c r="AM666" s="33">
        <v>1</v>
      </c>
      <c r="AN666" s="33">
        <v>4</v>
      </c>
      <c r="AO666" s="33">
        <v>5</v>
      </c>
      <c r="AP666" s="33">
        <v>1</v>
      </c>
      <c r="AQ666" s="33">
        <v>0</v>
      </c>
      <c r="AR666" s="33">
        <v>3</v>
      </c>
      <c r="AS666" s="33">
        <v>2</v>
      </c>
      <c r="AT666" s="33">
        <v>2</v>
      </c>
      <c r="AU666" s="43">
        <v>0.46749021600270141</v>
      </c>
      <c r="AV666" s="33">
        <v>0</v>
      </c>
      <c r="AW666" s="33">
        <v>0</v>
      </c>
      <c r="AY666" s="36">
        <v>638</v>
      </c>
      <c r="AZ666" s="33">
        <v>1</v>
      </c>
      <c r="BA666" s="33">
        <v>4</v>
      </c>
      <c r="BB666" s="33">
        <v>0</v>
      </c>
      <c r="BC666" s="33">
        <v>1</v>
      </c>
      <c r="BD666" s="43">
        <v>9.2486413274924434E-2</v>
      </c>
      <c r="BE666" s="33">
        <v>0</v>
      </c>
      <c r="BF666" s="33">
        <v>0</v>
      </c>
      <c r="CE666" s="36">
        <v>632</v>
      </c>
      <c r="CF666" s="33">
        <v>8</v>
      </c>
      <c r="CG666" s="33">
        <v>1</v>
      </c>
      <c r="CH666" s="33">
        <v>4</v>
      </c>
      <c r="CI666" s="33">
        <v>2</v>
      </c>
      <c r="CJ666" s="33">
        <v>2</v>
      </c>
      <c r="CK666" s="33">
        <v>1</v>
      </c>
      <c r="CL666" s="33">
        <v>1</v>
      </c>
      <c r="CM666" s="33">
        <v>2</v>
      </c>
      <c r="CN666" s="33">
        <v>3</v>
      </c>
      <c r="CO666" s="33">
        <v>0</v>
      </c>
      <c r="CP666" s="43">
        <v>0.3045258796535385</v>
      </c>
      <c r="CQ666" s="33">
        <v>0</v>
      </c>
      <c r="CR666" s="33">
        <v>0</v>
      </c>
    </row>
    <row r="667" spans="1:96" ht="15" customHeight="1" x14ac:dyDescent="0.25">
      <c r="A667" s="26">
        <v>665</v>
      </c>
      <c r="B667" s="27">
        <v>47</v>
      </c>
      <c r="C667" s="27">
        <v>0</v>
      </c>
      <c r="D667" s="27">
        <v>1</v>
      </c>
      <c r="E667" s="27">
        <v>1454</v>
      </c>
      <c r="F667" s="27">
        <v>1</v>
      </c>
      <c r="G667" s="27">
        <v>2</v>
      </c>
      <c r="H667" s="27">
        <v>4</v>
      </c>
      <c r="I667" s="27">
        <v>1</v>
      </c>
      <c r="J667" s="27">
        <v>1</v>
      </c>
      <c r="K667" s="27">
        <v>925</v>
      </c>
      <c r="L667" s="27">
        <v>4</v>
      </c>
      <c r="M667" s="27">
        <v>0</v>
      </c>
      <c r="N667" s="27">
        <v>65</v>
      </c>
      <c r="O667" s="27">
        <v>2</v>
      </c>
      <c r="P667" s="27">
        <v>1</v>
      </c>
      <c r="Q667" s="27">
        <v>7</v>
      </c>
      <c r="R667" s="27">
        <v>4</v>
      </c>
      <c r="S667" s="27">
        <v>1</v>
      </c>
      <c r="T667" s="27">
        <v>3294</v>
      </c>
      <c r="U667" s="27">
        <v>13137</v>
      </c>
      <c r="V667" s="27">
        <v>1</v>
      </c>
      <c r="W667" s="27">
        <v>1</v>
      </c>
      <c r="X667" s="27">
        <v>18</v>
      </c>
      <c r="Y667" s="27">
        <v>3</v>
      </c>
      <c r="Z667" s="27">
        <v>1</v>
      </c>
      <c r="AA667" s="27">
        <v>80</v>
      </c>
      <c r="AB667" s="27">
        <v>0</v>
      </c>
      <c r="AC667" s="27">
        <v>3</v>
      </c>
      <c r="AD667" s="27">
        <v>3</v>
      </c>
      <c r="AE667" s="27">
        <v>2</v>
      </c>
      <c r="AF667" s="27">
        <v>3</v>
      </c>
      <c r="AG667" s="27">
        <v>2</v>
      </c>
      <c r="AH667" s="27">
        <v>1</v>
      </c>
      <c r="AI667" s="28">
        <v>2</v>
      </c>
      <c r="AK667" s="36">
        <v>634</v>
      </c>
      <c r="AL667" s="33">
        <v>8</v>
      </c>
      <c r="AM667" s="33">
        <v>1</v>
      </c>
      <c r="AN667" s="33">
        <v>1</v>
      </c>
      <c r="AO667" s="33">
        <v>0</v>
      </c>
      <c r="AP667" s="33">
        <v>0</v>
      </c>
      <c r="AQ667" s="33">
        <v>0</v>
      </c>
      <c r="AR667" s="33">
        <v>3</v>
      </c>
      <c r="AS667" s="33">
        <v>5</v>
      </c>
      <c r="AT667" s="33">
        <v>0</v>
      </c>
      <c r="AU667" s="43">
        <v>0.19931823210804384</v>
      </c>
      <c r="AV667" s="33">
        <v>0</v>
      </c>
      <c r="AW667" s="33">
        <v>0</v>
      </c>
      <c r="AY667" s="36">
        <v>639</v>
      </c>
      <c r="AZ667" s="33">
        <v>2</v>
      </c>
      <c r="BA667" s="33">
        <v>1</v>
      </c>
      <c r="BB667" s="33">
        <v>0</v>
      </c>
      <c r="BC667" s="33">
        <v>0</v>
      </c>
      <c r="BD667" s="43">
        <v>0.19196561144667343</v>
      </c>
      <c r="BE667" s="33">
        <v>0</v>
      </c>
      <c r="BF667" s="33">
        <v>0</v>
      </c>
      <c r="CE667" s="36">
        <v>633</v>
      </c>
      <c r="CF667" s="33">
        <v>2</v>
      </c>
      <c r="CG667" s="33">
        <v>1</v>
      </c>
      <c r="CH667" s="33">
        <v>4</v>
      </c>
      <c r="CI667" s="33">
        <v>1</v>
      </c>
      <c r="CJ667" s="33">
        <v>5</v>
      </c>
      <c r="CK667" s="33">
        <v>1</v>
      </c>
      <c r="CL667" s="33">
        <v>0</v>
      </c>
      <c r="CM667" s="33">
        <v>3</v>
      </c>
      <c r="CN667" s="33">
        <v>2</v>
      </c>
      <c r="CO667" s="33">
        <v>2</v>
      </c>
      <c r="CP667" s="43">
        <v>0.51615772564902329</v>
      </c>
      <c r="CQ667" s="33">
        <v>1</v>
      </c>
      <c r="CR667" s="33">
        <v>0</v>
      </c>
    </row>
    <row r="668" spans="1:96" ht="15" customHeight="1" x14ac:dyDescent="0.25">
      <c r="A668" s="26">
        <v>666</v>
      </c>
      <c r="B668" s="27">
        <v>22</v>
      </c>
      <c r="C668" s="27">
        <v>1</v>
      </c>
      <c r="D668" s="27">
        <v>1</v>
      </c>
      <c r="E668" s="27">
        <v>617</v>
      </c>
      <c r="F668" s="27">
        <v>2</v>
      </c>
      <c r="G668" s="27">
        <v>3</v>
      </c>
      <c r="H668" s="27">
        <v>1</v>
      </c>
      <c r="I668" s="27">
        <v>1</v>
      </c>
      <c r="J668" s="27">
        <v>1</v>
      </c>
      <c r="K668" s="27">
        <v>926</v>
      </c>
      <c r="L668" s="27">
        <v>2</v>
      </c>
      <c r="M668" s="27">
        <v>0</v>
      </c>
      <c r="N668" s="27">
        <v>34</v>
      </c>
      <c r="O668" s="27">
        <v>3</v>
      </c>
      <c r="P668" s="27">
        <v>2</v>
      </c>
      <c r="Q668" s="27">
        <v>4</v>
      </c>
      <c r="R668" s="27">
        <v>3</v>
      </c>
      <c r="S668" s="27">
        <v>2</v>
      </c>
      <c r="T668" s="27">
        <v>4171</v>
      </c>
      <c r="U668" s="27">
        <v>10022</v>
      </c>
      <c r="V668" s="27">
        <v>0</v>
      </c>
      <c r="W668" s="27">
        <v>1</v>
      </c>
      <c r="X668" s="27">
        <v>19</v>
      </c>
      <c r="Y668" s="27">
        <v>3</v>
      </c>
      <c r="Z668" s="27">
        <v>1</v>
      </c>
      <c r="AA668" s="27">
        <v>80</v>
      </c>
      <c r="AB668" s="27">
        <v>1</v>
      </c>
      <c r="AC668" s="27">
        <v>4</v>
      </c>
      <c r="AD668" s="27">
        <v>3</v>
      </c>
      <c r="AE668" s="27">
        <v>4</v>
      </c>
      <c r="AF668" s="27">
        <v>3</v>
      </c>
      <c r="AG668" s="27">
        <v>2</v>
      </c>
      <c r="AH668" s="27">
        <v>0</v>
      </c>
      <c r="AI668" s="28">
        <v>2</v>
      </c>
      <c r="AK668" s="36">
        <v>635</v>
      </c>
      <c r="AL668" s="33">
        <v>3</v>
      </c>
      <c r="AM668" s="33">
        <v>2</v>
      </c>
      <c r="AN668" s="33">
        <v>1</v>
      </c>
      <c r="AO668" s="33">
        <v>1</v>
      </c>
      <c r="AP668" s="33">
        <v>1</v>
      </c>
      <c r="AQ668" s="33">
        <v>0</v>
      </c>
      <c r="AR668" s="33">
        <v>3</v>
      </c>
      <c r="AS668" s="33">
        <v>5</v>
      </c>
      <c r="AT668" s="33">
        <v>0</v>
      </c>
      <c r="AU668" s="43">
        <v>0.36562032075261752</v>
      </c>
      <c r="AV668" s="33">
        <v>0</v>
      </c>
      <c r="AW668" s="33">
        <v>0</v>
      </c>
      <c r="AY668" s="36">
        <v>640</v>
      </c>
      <c r="AZ668" s="33">
        <v>1</v>
      </c>
      <c r="BA668" s="33">
        <v>1</v>
      </c>
      <c r="BB668" s="33">
        <v>0</v>
      </c>
      <c r="BC668" s="33">
        <v>1</v>
      </c>
      <c r="BD668" s="43">
        <v>0.19678474515944386</v>
      </c>
      <c r="BE668" s="33">
        <v>0</v>
      </c>
      <c r="BF668" s="33">
        <v>0</v>
      </c>
      <c r="CE668" s="36">
        <v>634</v>
      </c>
      <c r="CF668" s="33">
        <v>8</v>
      </c>
      <c r="CG668" s="33">
        <v>1</v>
      </c>
      <c r="CH668" s="33">
        <v>1</v>
      </c>
      <c r="CI668" s="33">
        <v>2</v>
      </c>
      <c r="CJ668" s="33">
        <v>0</v>
      </c>
      <c r="CK668" s="33">
        <v>0</v>
      </c>
      <c r="CL668" s="33">
        <v>0</v>
      </c>
      <c r="CM668" s="33">
        <v>3</v>
      </c>
      <c r="CN668" s="33">
        <v>5</v>
      </c>
      <c r="CO668" s="33">
        <v>0</v>
      </c>
      <c r="CP668" s="43">
        <v>0.14776024381009817</v>
      </c>
      <c r="CQ668" s="33">
        <v>0</v>
      </c>
      <c r="CR668" s="33">
        <v>0</v>
      </c>
    </row>
    <row r="669" spans="1:96" ht="15" customHeight="1" x14ac:dyDescent="0.25">
      <c r="A669" s="26">
        <v>667</v>
      </c>
      <c r="B669" s="27">
        <v>41</v>
      </c>
      <c r="C669" s="27">
        <v>1</v>
      </c>
      <c r="D669" s="27">
        <v>1</v>
      </c>
      <c r="E669" s="27">
        <v>1085</v>
      </c>
      <c r="F669" s="27">
        <v>2</v>
      </c>
      <c r="G669" s="27">
        <v>2</v>
      </c>
      <c r="H669" s="27">
        <v>4</v>
      </c>
      <c r="I669" s="27">
        <v>1</v>
      </c>
      <c r="J669" s="27">
        <v>1</v>
      </c>
      <c r="K669" s="27">
        <v>927</v>
      </c>
      <c r="L669" s="27">
        <v>2</v>
      </c>
      <c r="M669" s="27">
        <v>0</v>
      </c>
      <c r="N669" s="27">
        <v>57</v>
      </c>
      <c r="O669" s="27">
        <v>1</v>
      </c>
      <c r="P669" s="27">
        <v>1</v>
      </c>
      <c r="Q669" s="27">
        <v>3</v>
      </c>
      <c r="R669" s="27">
        <v>4</v>
      </c>
      <c r="S669" s="27">
        <v>3</v>
      </c>
      <c r="T669" s="27">
        <v>2778</v>
      </c>
      <c r="U669" s="27">
        <v>17725</v>
      </c>
      <c r="V669" s="27">
        <v>4</v>
      </c>
      <c r="W669" s="27">
        <v>1</v>
      </c>
      <c r="X669" s="27">
        <v>13</v>
      </c>
      <c r="Y669" s="27">
        <v>3</v>
      </c>
      <c r="Z669" s="27">
        <v>3</v>
      </c>
      <c r="AA669" s="27">
        <v>80</v>
      </c>
      <c r="AB669" s="27">
        <v>1</v>
      </c>
      <c r="AC669" s="27">
        <v>10</v>
      </c>
      <c r="AD669" s="27">
        <v>1</v>
      </c>
      <c r="AE669" s="27">
        <v>2</v>
      </c>
      <c r="AF669" s="27">
        <v>7</v>
      </c>
      <c r="AG669" s="27">
        <v>7</v>
      </c>
      <c r="AH669" s="27">
        <v>1</v>
      </c>
      <c r="AI669" s="28">
        <v>0</v>
      </c>
      <c r="AK669" s="36">
        <v>636</v>
      </c>
      <c r="AL669" s="33">
        <v>9</v>
      </c>
      <c r="AM669" s="33">
        <v>3</v>
      </c>
      <c r="AN669" s="33">
        <v>3</v>
      </c>
      <c r="AO669" s="33">
        <v>1</v>
      </c>
      <c r="AP669" s="33">
        <v>1</v>
      </c>
      <c r="AQ669" s="33">
        <v>1</v>
      </c>
      <c r="AR669" s="33">
        <v>3</v>
      </c>
      <c r="AS669" s="33">
        <v>17</v>
      </c>
      <c r="AT669" s="33">
        <v>5</v>
      </c>
      <c r="AU669" s="43">
        <v>8.7025287023203682E-2</v>
      </c>
      <c r="AV669" s="33">
        <v>0</v>
      </c>
      <c r="AW669" s="33">
        <v>0</v>
      </c>
      <c r="AY669" s="36">
        <v>641</v>
      </c>
      <c r="AZ669" s="33">
        <v>1</v>
      </c>
      <c r="BA669" s="33">
        <v>4</v>
      </c>
      <c r="BB669" s="33">
        <v>0</v>
      </c>
      <c r="BC669" s="33">
        <v>0</v>
      </c>
      <c r="BD669" s="43">
        <v>0.1472907617042678</v>
      </c>
      <c r="BE669" s="33">
        <v>0</v>
      </c>
      <c r="BF669" s="33">
        <v>0</v>
      </c>
      <c r="CE669" s="36">
        <v>635</v>
      </c>
      <c r="CF669" s="33">
        <v>3</v>
      </c>
      <c r="CG669" s="33">
        <v>2</v>
      </c>
      <c r="CH669" s="33">
        <v>1</v>
      </c>
      <c r="CI669" s="33">
        <v>2</v>
      </c>
      <c r="CJ669" s="33">
        <v>1</v>
      </c>
      <c r="CK669" s="33">
        <v>1</v>
      </c>
      <c r="CL669" s="33">
        <v>0</v>
      </c>
      <c r="CM669" s="33">
        <v>3</v>
      </c>
      <c r="CN669" s="33">
        <v>5</v>
      </c>
      <c r="CO669" s="33">
        <v>0</v>
      </c>
      <c r="CP669" s="43">
        <v>0.29775216064442583</v>
      </c>
      <c r="CQ669" s="33">
        <v>0</v>
      </c>
      <c r="CR669" s="33">
        <v>0</v>
      </c>
    </row>
    <row r="670" spans="1:96" ht="15" customHeight="1" x14ac:dyDescent="0.25">
      <c r="A670" s="26">
        <v>668</v>
      </c>
      <c r="B670" s="27">
        <v>28</v>
      </c>
      <c r="C670" s="27">
        <v>0</v>
      </c>
      <c r="D670" s="27">
        <v>1</v>
      </c>
      <c r="E670" s="27">
        <v>995</v>
      </c>
      <c r="F670" s="27">
        <v>2</v>
      </c>
      <c r="G670" s="27">
        <v>9</v>
      </c>
      <c r="H670" s="27">
        <v>3</v>
      </c>
      <c r="I670" s="27">
        <v>3</v>
      </c>
      <c r="J670" s="27">
        <v>1</v>
      </c>
      <c r="K670" s="27">
        <v>930</v>
      </c>
      <c r="L670" s="27">
        <v>3</v>
      </c>
      <c r="M670" s="27">
        <v>0</v>
      </c>
      <c r="N670" s="27">
        <v>77</v>
      </c>
      <c r="O670" s="27">
        <v>3</v>
      </c>
      <c r="P670" s="27">
        <v>1</v>
      </c>
      <c r="Q670" s="27">
        <v>2</v>
      </c>
      <c r="R670" s="27">
        <v>3</v>
      </c>
      <c r="S670" s="27">
        <v>3</v>
      </c>
      <c r="T670" s="27">
        <v>2377</v>
      </c>
      <c r="U670" s="27">
        <v>9834</v>
      </c>
      <c r="V670" s="27">
        <v>5</v>
      </c>
      <c r="W670" s="27">
        <v>0</v>
      </c>
      <c r="X670" s="27">
        <v>18</v>
      </c>
      <c r="Y670" s="27">
        <v>3</v>
      </c>
      <c r="Z670" s="27">
        <v>2</v>
      </c>
      <c r="AA670" s="27">
        <v>80</v>
      </c>
      <c r="AB670" s="27">
        <v>1</v>
      </c>
      <c r="AC670" s="27">
        <v>6</v>
      </c>
      <c r="AD670" s="27">
        <v>2</v>
      </c>
      <c r="AE670" s="27">
        <v>3</v>
      </c>
      <c r="AF670" s="27">
        <v>2</v>
      </c>
      <c r="AG670" s="27">
        <v>2</v>
      </c>
      <c r="AH670" s="27">
        <v>2</v>
      </c>
      <c r="AI670" s="28">
        <v>2</v>
      </c>
      <c r="AK670" s="36">
        <v>637</v>
      </c>
      <c r="AL670" s="33">
        <v>25</v>
      </c>
      <c r="AM670" s="33">
        <v>1</v>
      </c>
      <c r="AN670" s="33">
        <v>2</v>
      </c>
      <c r="AO670" s="33">
        <v>1</v>
      </c>
      <c r="AP670" s="33">
        <v>1</v>
      </c>
      <c r="AQ670" s="33">
        <v>1</v>
      </c>
      <c r="AR670" s="33">
        <v>2</v>
      </c>
      <c r="AS670" s="33">
        <v>10</v>
      </c>
      <c r="AT670" s="33">
        <v>7</v>
      </c>
      <c r="AU670" s="43">
        <v>0.63340063675584313</v>
      </c>
      <c r="AV670" s="33">
        <v>1</v>
      </c>
      <c r="AW670" s="33">
        <v>1</v>
      </c>
      <c r="AY670" s="36">
        <v>642</v>
      </c>
      <c r="AZ670" s="33">
        <v>2</v>
      </c>
      <c r="BA670" s="33">
        <v>2</v>
      </c>
      <c r="BB670" s="33">
        <v>0</v>
      </c>
      <c r="BC670" s="33">
        <v>1</v>
      </c>
      <c r="BD670" s="43">
        <v>9.4721355311452843E-2</v>
      </c>
      <c r="BE670" s="33">
        <v>0</v>
      </c>
      <c r="BF670" s="33">
        <v>0</v>
      </c>
      <c r="CE670" s="36">
        <v>636</v>
      </c>
      <c r="CF670" s="33">
        <v>9</v>
      </c>
      <c r="CG670" s="33">
        <v>3</v>
      </c>
      <c r="CH670" s="33">
        <v>3</v>
      </c>
      <c r="CI670" s="33">
        <v>2</v>
      </c>
      <c r="CJ670" s="33">
        <v>1</v>
      </c>
      <c r="CK670" s="33">
        <v>1</v>
      </c>
      <c r="CL670" s="33">
        <v>1</v>
      </c>
      <c r="CM670" s="33">
        <v>3</v>
      </c>
      <c r="CN670" s="33">
        <v>17</v>
      </c>
      <c r="CO670" s="33">
        <v>5</v>
      </c>
      <c r="CP670" s="43">
        <v>8.8516737962400283E-2</v>
      </c>
      <c r="CQ670" s="33">
        <v>0</v>
      </c>
      <c r="CR670" s="33">
        <v>0</v>
      </c>
    </row>
    <row r="671" spans="1:96" ht="15" customHeight="1" x14ac:dyDescent="0.25">
      <c r="A671" s="26">
        <v>669</v>
      </c>
      <c r="B671" s="27">
        <v>39</v>
      </c>
      <c r="C671" s="27">
        <v>1</v>
      </c>
      <c r="D671" s="27">
        <v>1</v>
      </c>
      <c r="E671" s="27">
        <v>1122</v>
      </c>
      <c r="F671" s="27">
        <v>2</v>
      </c>
      <c r="G671" s="27">
        <v>6</v>
      </c>
      <c r="H671" s="27">
        <v>3</v>
      </c>
      <c r="I671" s="27">
        <v>3</v>
      </c>
      <c r="J671" s="27">
        <v>1</v>
      </c>
      <c r="K671" s="27">
        <v>932</v>
      </c>
      <c r="L671" s="27">
        <v>4</v>
      </c>
      <c r="M671" s="27">
        <v>1</v>
      </c>
      <c r="N671" s="27">
        <v>70</v>
      </c>
      <c r="O671" s="27">
        <v>3</v>
      </c>
      <c r="P671" s="27">
        <v>1</v>
      </c>
      <c r="Q671" s="27">
        <v>3</v>
      </c>
      <c r="R671" s="27">
        <v>1</v>
      </c>
      <c r="S671" s="27">
        <v>2</v>
      </c>
      <c r="T671" s="27">
        <v>2404</v>
      </c>
      <c r="U671" s="27">
        <v>4303</v>
      </c>
      <c r="V671" s="27">
        <v>7</v>
      </c>
      <c r="W671" s="27">
        <v>1</v>
      </c>
      <c r="X671" s="27">
        <v>21</v>
      </c>
      <c r="Y671" s="27">
        <v>4</v>
      </c>
      <c r="Z671" s="27">
        <v>4</v>
      </c>
      <c r="AA671" s="27">
        <v>80</v>
      </c>
      <c r="AB671" s="27">
        <v>0</v>
      </c>
      <c r="AC671" s="27">
        <v>8</v>
      </c>
      <c r="AD671" s="27">
        <v>2</v>
      </c>
      <c r="AE671" s="27">
        <v>1</v>
      </c>
      <c r="AF671" s="27">
        <v>2</v>
      </c>
      <c r="AG671" s="27">
        <v>2</v>
      </c>
      <c r="AH671" s="27">
        <v>2</v>
      </c>
      <c r="AI671" s="28">
        <v>2</v>
      </c>
      <c r="AK671" s="36">
        <v>638</v>
      </c>
      <c r="AL671" s="33">
        <v>1</v>
      </c>
      <c r="AM671" s="33">
        <v>1</v>
      </c>
      <c r="AN671" s="33">
        <v>4</v>
      </c>
      <c r="AO671" s="33">
        <v>0</v>
      </c>
      <c r="AP671" s="33">
        <v>0</v>
      </c>
      <c r="AQ671" s="33">
        <v>1</v>
      </c>
      <c r="AR671" s="33">
        <v>3</v>
      </c>
      <c r="AS671" s="33">
        <v>3</v>
      </c>
      <c r="AT671" s="33">
        <v>0</v>
      </c>
      <c r="AU671" s="43">
        <v>5.0931222350301335E-2</v>
      </c>
      <c r="AV671" s="33">
        <v>0</v>
      </c>
      <c r="AW671" s="33">
        <v>0</v>
      </c>
      <c r="AY671" s="36">
        <v>643</v>
      </c>
      <c r="AZ671" s="33">
        <v>1</v>
      </c>
      <c r="BA671" s="33">
        <v>2</v>
      </c>
      <c r="BB671" s="33">
        <v>0</v>
      </c>
      <c r="BC671" s="33">
        <v>1</v>
      </c>
      <c r="BD671" s="43">
        <v>0.15461023487664</v>
      </c>
      <c r="BE671" s="33">
        <v>0</v>
      </c>
      <c r="BF671" s="33">
        <v>0</v>
      </c>
      <c r="CE671" s="36">
        <v>637</v>
      </c>
      <c r="CF671" s="33">
        <v>25</v>
      </c>
      <c r="CG671" s="33">
        <v>1</v>
      </c>
      <c r="CH671" s="33">
        <v>2</v>
      </c>
      <c r="CI671" s="33">
        <v>3</v>
      </c>
      <c r="CJ671" s="33">
        <v>1</v>
      </c>
      <c r="CK671" s="33">
        <v>1</v>
      </c>
      <c r="CL671" s="33">
        <v>1</v>
      </c>
      <c r="CM671" s="33">
        <v>2</v>
      </c>
      <c r="CN671" s="33">
        <v>10</v>
      </c>
      <c r="CO671" s="33">
        <v>7</v>
      </c>
      <c r="CP671" s="43">
        <v>0.50694759388159172</v>
      </c>
      <c r="CQ671" s="33">
        <v>1</v>
      </c>
      <c r="CR671" s="33">
        <v>1</v>
      </c>
    </row>
    <row r="672" spans="1:96" ht="15" customHeight="1" x14ac:dyDescent="0.25">
      <c r="A672" s="26">
        <v>670</v>
      </c>
      <c r="B672" s="27">
        <v>27</v>
      </c>
      <c r="C672" s="27">
        <v>0</v>
      </c>
      <c r="D672" s="27">
        <v>1</v>
      </c>
      <c r="E672" s="27">
        <v>618</v>
      </c>
      <c r="F672" s="27">
        <v>2</v>
      </c>
      <c r="G672" s="27">
        <v>4</v>
      </c>
      <c r="H672" s="27">
        <v>3</v>
      </c>
      <c r="I672" s="27">
        <v>1</v>
      </c>
      <c r="J672" s="27">
        <v>1</v>
      </c>
      <c r="K672" s="27">
        <v>933</v>
      </c>
      <c r="L672" s="27">
        <v>2</v>
      </c>
      <c r="M672" s="27">
        <v>0</v>
      </c>
      <c r="N672" s="27">
        <v>76</v>
      </c>
      <c r="O672" s="27">
        <v>3</v>
      </c>
      <c r="P672" s="27">
        <v>1</v>
      </c>
      <c r="Q672" s="27">
        <v>2</v>
      </c>
      <c r="R672" s="27">
        <v>3</v>
      </c>
      <c r="S672" s="27">
        <v>1</v>
      </c>
      <c r="T672" s="27">
        <v>2318</v>
      </c>
      <c r="U672" s="27">
        <v>17808</v>
      </c>
      <c r="V672" s="27">
        <v>1</v>
      </c>
      <c r="W672" s="27">
        <v>0</v>
      </c>
      <c r="X672" s="27">
        <v>19</v>
      </c>
      <c r="Y672" s="27">
        <v>3</v>
      </c>
      <c r="Z672" s="27">
        <v>3</v>
      </c>
      <c r="AA672" s="27">
        <v>80</v>
      </c>
      <c r="AB672" s="27">
        <v>0</v>
      </c>
      <c r="AC672" s="27">
        <v>1</v>
      </c>
      <c r="AD672" s="27">
        <v>2</v>
      </c>
      <c r="AE672" s="27">
        <v>3</v>
      </c>
      <c r="AF672" s="27">
        <v>1</v>
      </c>
      <c r="AG672" s="27">
        <v>1</v>
      </c>
      <c r="AH672" s="27">
        <v>0</v>
      </c>
      <c r="AI672" s="28">
        <v>0</v>
      </c>
      <c r="AK672" s="36">
        <v>639</v>
      </c>
      <c r="AL672" s="33">
        <v>4</v>
      </c>
      <c r="AM672" s="33">
        <v>2</v>
      </c>
      <c r="AN672" s="33">
        <v>1</v>
      </c>
      <c r="AO672" s="33">
        <v>1</v>
      </c>
      <c r="AP672" s="33">
        <v>0</v>
      </c>
      <c r="AQ672" s="33">
        <v>0</v>
      </c>
      <c r="AR672" s="33">
        <v>4</v>
      </c>
      <c r="AS672" s="33">
        <v>5</v>
      </c>
      <c r="AT672" s="33">
        <v>0</v>
      </c>
      <c r="AU672" s="43">
        <v>9.7506940165632966E-2</v>
      </c>
      <c r="AV672" s="33">
        <v>0</v>
      </c>
      <c r="AW672" s="33">
        <v>0</v>
      </c>
      <c r="AY672" s="36">
        <v>644</v>
      </c>
      <c r="AZ672" s="33">
        <v>2</v>
      </c>
      <c r="BA672" s="33">
        <v>4</v>
      </c>
      <c r="BB672" s="33">
        <v>1</v>
      </c>
      <c r="BC672" s="33">
        <v>1</v>
      </c>
      <c r="BD672" s="43">
        <v>0.19951405628110813</v>
      </c>
      <c r="BE672" s="33">
        <v>0</v>
      </c>
      <c r="BF672" s="33">
        <v>0</v>
      </c>
      <c r="CE672" s="36">
        <v>638</v>
      </c>
      <c r="CF672" s="33">
        <v>1</v>
      </c>
      <c r="CG672" s="33">
        <v>1</v>
      </c>
      <c r="CH672" s="33">
        <v>4</v>
      </c>
      <c r="CI672" s="33">
        <v>3</v>
      </c>
      <c r="CJ672" s="33">
        <v>0</v>
      </c>
      <c r="CK672" s="33">
        <v>0</v>
      </c>
      <c r="CL672" s="33">
        <v>1</v>
      </c>
      <c r="CM672" s="33">
        <v>3</v>
      </c>
      <c r="CN672" s="33">
        <v>3</v>
      </c>
      <c r="CO672" s="33">
        <v>0</v>
      </c>
      <c r="CP672" s="43">
        <v>2.7958657390955027E-2</v>
      </c>
      <c r="CQ672" s="33">
        <v>0</v>
      </c>
      <c r="CR672" s="33">
        <v>0</v>
      </c>
    </row>
    <row r="673" spans="1:96" ht="15" customHeight="1" x14ac:dyDescent="0.25">
      <c r="A673" s="26">
        <v>671</v>
      </c>
      <c r="B673" s="27">
        <v>34</v>
      </c>
      <c r="C673" s="27">
        <v>0</v>
      </c>
      <c r="D673" s="27">
        <v>1</v>
      </c>
      <c r="E673" s="27">
        <v>546</v>
      </c>
      <c r="F673" s="27">
        <v>2</v>
      </c>
      <c r="G673" s="27">
        <v>10</v>
      </c>
      <c r="H673" s="27">
        <v>3</v>
      </c>
      <c r="I673" s="27">
        <v>1</v>
      </c>
      <c r="J673" s="27">
        <v>1</v>
      </c>
      <c r="K673" s="27">
        <v>934</v>
      </c>
      <c r="L673" s="27">
        <v>2</v>
      </c>
      <c r="M673" s="27">
        <v>1</v>
      </c>
      <c r="N673" s="27">
        <v>83</v>
      </c>
      <c r="O673" s="27">
        <v>3</v>
      </c>
      <c r="P673" s="27">
        <v>1</v>
      </c>
      <c r="Q673" s="27">
        <v>3</v>
      </c>
      <c r="R673" s="27">
        <v>2</v>
      </c>
      <c r="S673" s="27">
        <v>3</v>
      </c>
      <c r="T673" s="27">
        <v>2008</v>
      </c>
      <c r="U673" s="27">
        <v>6896</v>
      </c>
      <c r="V673" s="27">
        <v>1</v>
      </c>
      <c r="W673" s="27">
        <v>0</v>
      </c>
      <c r="X673" s="27">
        <v>14</v>
      </c>
      <c r="Y673" s="27">
        <v>3</v>
      </c>
      <c r="Z673" s="27">
        <v>2</v>
      </c>
      <c r="AA673" s="27">
        <v>80</v>
      </c>
      <c r="AB673" s="27">
        <v>2</v>
      </c>
      <c r="AC673" s="27">
        <v>1</v>
      </c>
      <c r="AD673" s="27">
        <v>3</v>
      </c>
      <c r="AE673" s="27">
        <v>3</v>
      </c>
      <c r="AF673" s="27">
        <v>1</v>
      </c>
      <c r="AG673" s="27">
        <v>0</v>
      </c>
      <c r="AH673" s="27">
        <v>1</v>
      </c>
      <c r="AI673" s="28">
        <v>0</v>
      </c>
      <c r="AK673" s="36">
        <v>640</v>
      </c>
      <c r="AL673" s="33">
        <v>1</v>
      </c>
      <c r="AM673" s="33">
        <v>1</v>
      </c>
      <c r="AN673" s="33">
        <v>1</v>
      </c>
      <c r="AO673" s="33">
        <v>2</v>
      </c>
      <c r="AP673" s="33">
        <v>0</v>
      </c>
      <c r="AQ673" s="33">
        <v>1</v>
      </c>
      <c r="AR673" s="33">
        <v>3</v>
      </c>
      <c r="AS673" s="33">
        <v>4</v>
      </c>
      <c r="AT673" s="33">
        <v>0</v>
      </c>
      <c r="AU673" s="43">
        <v>0.12422025395939791</v>
      </c>
      <c r="AV673" s="33">
        <v>0</v>
      </c>
      <c r="AW673" s="33">
        <v>0</v>
      </c>
      <c r="AY673" s="36">
        <v>645</v>
      </c>
      <c r="AZ673" s="33">
        <v>1</v>
      </c>
      <c r="BA673" s="33">
        <v>4</v>
      </c>
      <c r="BB673" s="33">
        <v>1</v>
      </c>
      <c r="BC673" s="33">
        <v>1</v>
      </c>
      <c r="BD673" s="43">
        <v>0.30345027699196836</v>
      </c>
      <c r="BE673" s="33">
        <v>0</v>
      </c>
      <c r="BF673" s="33">
        <v>0</v>
      </c>
      <c r="CE673" s="36">
        <v>639</v>
      </c>
      <c r="CF673" s="33">
        <v>4</v>
      </c>
      <c r="CG673" s="33">
        <v>2</v>
      </c>
      <c r="CH673" s="33">
        <v>1</v>
      </c>
      <c r="CI673" s="33">
        <v>2</v>
      </c>
      <c r="CJ673" s="33">
        <v>1</v>
      </c>
      <c r="CK673" s="33">
        <v>0</v>
      </c>
      <c r="CL673" s="33">
        <v>0</v>
      </c>
      <c r="CM673" s="33">
        <v>4</v>
      </c>
      <c r="CN673" s="33">
        <v>5</v>
      </c>
      <c r="CO673" s="33">
        <v>0</v>
      </c>
      <c r="CP673" s="43">
        <v>6.9844264881186224E-2</v>
      </c>
      <c r="CQ673" s="33">
        <v>0</v>
      </c>
      <c r="CR673" s="33">
        <v>0</v>
      </c>
    </row>
    <row r="674" spans="1:96" ht="15" customHeight="1" x14ac:dyDescent="0.25">
      <c r="A674" s="26">
        <v>672</v>
      </c>
      <c r="B674" s="27">
        <v>42</v>
      </c>
      <c r="C674" s="27">
        <v>0</v>
      </c>
      <c r="D674" s="27">
        <v>1</v>
      </c>
      <c r="E674" s="27">
        <v>462</v>
      </c>
      <c r="F674" s="27">
        <v>1</v>
      </c>
      <c r="G674" s="27">
        <v>14</v>
      </c>
      <c r="H674" s="27">
        <v>2</v>
      </c>
      <c r="I674" s="27">
        <v>3</v>
      </c>
      <c r="J674" s="27">
        <v>1</v>
      </c>
      <c r="K674" s="27">
        <v>936</v>
      </c>
      <c r="L674" s="27">
        <v>3</v>
      </c>
      <c r="M674" s="27">
        <v>0</v>
      </c>
      <c r="N674" s="27">
        <v>68</v>
      </c>
      <c r="O674" s="27">
        <v>2</v>
      </c>
      <c r="P674" s="27">
        <v>2</v>
      </c>
      <c r="Q674" s="27">
        <v>1</v>
      </c>
      <c r="R674" s="27">
        <v>3</v>
      </c>
      <c r="S674" s="27">
        <v>1</v>
      </c>
      <c r="T674" s="27">
        <v>6244</v>
      </c>
      <c r="U674" s="27">
        <v>7824</v>
      </c>
      <c r="V674" s="27">
        <v>7</v>
      </c>
      <c r="W674" s="27">
        <v>0</v>
      </c>
      <c r="X674" s="27">
        <v>17</v>
      </c>
      <c r="Y674" s="27">
        <v>3</v>
      </c>
      <c r="Z674" s="27">
        <v>1</v>
      </c>
      <c r="AA674" s="27">
        <v>80</v>
      </c>
      <c r="AB674" s="27">
        <v>0</v>
      </c>
      <c r="AC674" s="27">
        <v>10</v>
      </c>
      <c r="AD674" s="27">
        <v>6</v>
      </c>
      <c r="AE674" s="27">
        <v>3</v>
      </c>
      <c r="AF674" s="27">
        <v>5</v>
      </c>
      <c r="AG674" s="27">
        <v>4</v>
      </c>
      <c r="AH674" s="27">
        <v>0</v>
      </c>
      <c r="AI674" s="28">
        <v>3</v>
      </c>
      <c r="AK674" s="36">
        <v>641</v>
      </c>
      <c r="AL674" s="33">
        <v>4</v>
      </c>
      <c r="AM674" s="33">
        <v>1</v>
      </c>
      <c r="AN674" s="33">
        <v>4</v>
      </c>
      <c r="AO674" s="33">
        <v>0</v>
      </c>
      <c r="AP674" s="33">
        <v>0</v>
      </c>
      <c r="AQ674" s="33">
        <v>0</v>
      </c>
      <c r="AR674" s="33">
        <v>2</v>
      </c>
      <c r="AS674" s="33">
        <v>5</v>
      </c>
      <c r="AT674" s="33">
        <v>3</v>
      </c>
      <c r="AU674" s="43">
        <v>0.13840527323182533</v>
      </c>
      <c r="AV674" s="33">
        <v>0</v>
      </c>
      <c r="AW674" s="33">
        <v>0</v>
      </c>
      <c r="AY674" s="36">
        <v>646</v>
      </c>
      <c r="AZ674" s="33">
        <v>1</v>
      </c>
      <c r="BA674" s="33">
        <v>3</v>
      </c>
      <c r="BB674" s="33">
        <v>1</v>
      </c>
      <c r="BC674" s="33">
        <v>3</v>
      </c>
      <c r="BD674" s="43">
        <v>0.16884757913162352</v>
      </c>
      <c r="BE674" s="33">
        <v>0</v>
      </c>
      <c r="BF674" s="33">
        <v>1</v>
      </c>
      <c r="CE674" s="36">
        <v>640</v>
      </c>
      <c r="CF674" s="33">
        <v>1</v>
      </c>
      <c r="CG674" s="33">
        <v>1</v>
      </c>
      <c r="CH674" s="33">
        <v>1</v>
      </c>
      <c r="CI674" s="33">
        <v>2</v>
      </c>
      <c r="CJ674" s="33">
        <v>2</v>
      </c>
      <c r="CK674" s="33">
        <v>0</v>
      </c>
      <c r="CL674" s="33">
        <v>1</v>
      </c>
      <c r="CM674" s="33">
        <v>3</v>
      </c>
      <c r="CN674" s="33">
        <v>4</v>
      </c>
      <c r="CO674" s="33">
        <v>0</v>
      </c>
      <c r="CP674" s="43">
        <v>0.12292101418773187</v>
      </c>
      <c r="CQ674" s="33">
        <v>0</v>
      </c>
      <c r="CR674" s="33">
        <v>0</v>
      </c>
    </row>
    <row r="675" spans="1:96" ht="15" customHeight="1" x14ac:dyDescent="0.25">
      <c r="A675" s="26">
        <v>673</v>
      </c>
      <c r="B675" s="27">
        <v>33</v>
      </c>
      <c r="C675" s="27">
        <v>0</v>
      </c>
      <c r="D675" s="27">
        <v>1</v>
      </c>
      <c r="E675" s="27">
        <v>1198</v>
      </c>
      <c r="F675" s="27">
        <v>2</v>
      </c>
      <c r="G675" s="27">
        <v>1</v>
      </c>
      <c r="H675" s="27">
        <v>4</v>
      </c>
      <c r="I675" s="27">
        <v>6</v>
      </c>
      <c r="J675" s="27">
        <v>1</v>
      </c>
      <c r="K675" s="27">
        <v>939</v>
      </c>
      <c r="L675" s="27">
        <v>3</v>
      </c>
      <c r="M675" s="27">
        <v>1</v>
      </c>
      <c r="N675" s="27">
        <v>100</v>
      </c>
      <c r="O675" s="27">
        <v>2</v>
      </c>
      <c r="P675" s="27">
        <v>1</v>
      </c>
      <c r="Q675" s="27">
        <v>2</v>
      </c>
      <c r="R675" s="27">
        <v>1</v>
      </c>
      <c r="S675" s="27">
        <v>1</v>
      </c>
      <c r="T675" s="27">
        <v>2799</v>
      </c>
      <c r="U675" s="27">
        <v>3339</v>
      </c>
      <c r="V675" s="27">
        <v>3</v>
      </c>
      <c r="W675" s="27">
        <v>1</v>
      </c>
      <c r="X675" s="27">
        <v>11</v>
      </c>
      <c r="Y675" s="27">
        <v>3</v>
      </c>
      <c r="Z675" s="27">
        <v>2</v>
      </c>
      <c r="AA675" s="27">
        <v>80</v>
      </c>
      <c r="AB675" s="27">
        <v>0</v>
      </c>
      <c r="AC675" s="27">
        <v>6</v>
      </c>
      <c r="AD675" s="27">
        <v>1</v>
      </c>
      <c r="AE675" s="27">
        <v>3</v>
      </c>
      <c r="AF675" s="27">
        <v>3</v>
      </c>
      <c r="AG675" s="27">
        <v>2</v>
      </c>
      <c r="AH675" s="27">
        <v>0</v>
      </c>
      <c r="AI675" s="28">
        <v>2</v>
      </c>
      <c r="AK675" s="36">
        <v>642</v>
      </c>
      <c r="AL675" s="33">
        <v>5</v>
      </c>
      <c r="AM675" s="33">
        <v>2</v>
      </c>
      <c r="AN675" s="33">
        <v>2</v>
      </c>
      <c r="AO675" s="33">
        <v>1</v>
      </c>
      <c r="AP675" s="33">
        <v>0</v>
      </c>
      <c r="AQ675" s="33">
        <v>1</v>
      </c>
      <c r="AR675" s="33">
        <v>3</v>
      </c>
      <c r="AS675" s="33">
        <v>10</v>
      </c>
      <c r="AT675" s="33">
        <v>5</v>
      </c>
      <c r="AU675" s="43">
        <v>6.8370548305485765E-2</v>
      </c>
      <c r="AV675" s="33">
        <v>0</v>
      </c>
      <c r="AW675" s="33">
        <v>0</v>
      </c>
      <c r="AY675" s="36">
        <v>647</v>
      </c>
      <c r="AZ675" s="33">
        <v>4</v>
      </c>
      <c r="BA675" s="33">
        <v>4</v>
      </c>
      <c r="BB675" s="33">
        <v>0</v>
      </c>
      <c r="BC675" s="33">
        <v>1</v>
      </c>
      <c r="BD675" s="43">
        <v>1.872698143618769E-2</v>
      </c>
      <c r="BE675" s="33">
        <v>0</v>
      </c>
      <c r="BF675" s="33">
        <v>0</v>
      </c>
      <c r="CE675" s="36">
        <v>641</v>
      </c>
      <c r="CF675" s="33">
        <v>4</v>
      </c>
      <c r="CG675" s="33">
        <v>1</v>
      </c>
      <c r="CH675" s="33">
        <v>4</v>
      </c>
      <c r="CI675" s="33">
        <v>2</v>
      </c>
      <c r="CJ675" s="33">
        <v>0</v>
      </c>
      <c r="CK675" s="33">
        <v>0</v>
      </c>
      <c r="CL675" s="33">
        <v>0</v>
      </c>
      <c r="CM675" s="33">
        <v>2</v>
      </c>
      <c r="CN675" s="33">
        <v>5</v>
      </c>
      <c r="CO675" s="33">
        <v>3</v>
      </c>
      <c r="CP675" s="43">
        <v>9.808289663133328E-2</v>
      </c>
      <c r="CQ675" s="33">
        <v>0</v>
      </c>
      <c r="CR675" s="33">
        <v>0</v>
      </c>
    </row>
    <row r="676" spans="1:96" ht="15" customHeight="1" x14ac:dyDescent="0.25">
      <c r="A676" s="26">
        <v>674</v>
      </c>
      <c r="B676" s="27">
        <v>58</v>
      </c>
      <c r="C676" s="27">
        <v>0</v>
      </c>
      <c r="D676" s="27">
        <v>1</v>
      </c>
      <c r="E676" s="27">
        <v>1272</v>
      </c>
      <c r="F676" s="27">
        <v>2</v>
      </c>
      <c r="G676" s="27">
        <v>5</v>
      </c>
      <c r="H676" s="27">
        <v>3</v>
      </c>
      <c r="I676" s="27">
        <v>5</v>
      </c>
      <c r="J676" s="27">
        <v>1</v>
      </c>
      <c r="K676" s="27">
        <v>940</v>
      </c>
      <c r="L676" s="27">
        <v>3</v>
      </c>
      <c r="M676" s="27">
        <v>0</v>
      </c>
      <c r="N676" s="27">
        <v>37</v>
      </c>
      <c r="O676" s="27">
        <v>2</v>
      </c>
      <c r="P676" s="27">
        <v>3</v>
      </c>
      <c r="Q676" s="27">
        <v>5</v>
      </c>
      <c r="R676" s="27">
        <v>2</v>
      </c>
      <c r="S676" s="27">
        <v>3</v>
      </c>
      <c r="T676" s="27">
        <v>10552</v>
      </c>
      <c r="U676" s="27">
        <v>9255</v>
      </c>
      <c r="V676" s="27">
        <v>2</v>
      </c>
      <c r="W676" s="27">
        <v>1</v>
      </c>
      <c r="X676" s="27">
        <v>13</v>
      </c>
      <c r="Y676" s="27">
        <v>3</v>
      </c>
      <c r="Z676" s="27">
        <v>4</v>
      </c>
      <c r="AA676" s="27">
        <v>80</v>
      </c>
      <c r="AB676" s="27">
        <v>1</v>
      </c>
      <c r="AC676" s="27">
        <v>24</v>
      </c>
      <c r="AD676" s="27">
        <v>3</v>
      </c>
      <c r="AE676" s="27">
        <v>3</v>
      </c>
      <c r="AF676" s="27">
        <v>6</v>
      </c>
      <c r="AG676" s="27">
        <v>0</v>
      </c>
      <c r="AH676" s="27">
        <v>0</v>
      </c>
      <c r="AI676" s="28">
        <v>4</v>
      </c>
      <c r="AK676" s="36">
        <v>643</v>
      </c>
      <c r="AL676" s="33">
        <v>9</v>
      </c>
      <c r="AM676" s="33">
        <v>1</v>
      </c>
      <c r="AN676" s="33">
        <v>2</v>
      </c>
      <c r="AO676" s="33">
        <v>0</v>
      </c>
      <c r="AP676" s="33">
        <v>0</v>
      </c>
      <c r="AQ676" s="33">
        <v>1</v>
      </c>
      <c r="AR676" s="33">
        <v>3</v>
      </c>
      <c r="AS676" s="33">
        <v>2</v>
      </c>
      <c r="AT676" s="33">
        <v>1</v>
      </c>
      <c r="AU676" s="43">
        <v>0.13165457016903773</v>
      </c>
      <c r="AV676" s="33">
        <v>0</v>
      </c>
      <c r="AW676" s="33">
        <v>0</v>
      </c>
      <c r="AY676" s="36">
        <v>648</v>
      </c>
      <c r="AZ676" s="33">
        <v>3</v>
      </c>
      <c r="BA676" s="33">
        <v>2</v>
      </c>
      <c r="BB676" s="33">
        <v>0</v>
      </c>
      <c r="BC676" s="33">
        <v>0</v>
      </c>
      <c r="BD676" s="43">
        <v>9.2115043168566224E-2</v>
      </c>
      <c r="BE676" s="33">
        <v>0</v>
      </c>
      <c r="BF676" s="33">
        <v>0</v>
      </c>
      <c r="CE676" s="36">
        <v>642</v>
      </c>
      <c r="CF676" s="33">
        <v>5</v>
      </c>
      <c r="CG676" s="33">
        <v>2</v>
      </c>
      <c r="CH676" s="33">
        <v>2</v>
      </c>
      <c r="CI676" s="33">
        <v>2</v>
      </c>
      <c r="CJ676" s="33">
        <v>1</v>
      </c>
      <c r="CK676" s="33">
        <v>0</v>
      </c>
      <c r="CL676" s="33">
        <v>1</v>
      </c>
      <c r="CM676" s="33">
        <v>3</v>
      </c>
      <c r="CN676" s="33">
        <v>10</v>
      </c>
      <c r="CO676" s="33">
        <v>5</v>
      </c>
      <c r="CP676" s="43">
        <v>6.7749337696629414E-2</v>
      </c>
      <c r="CQ676" s="33">
        <v>0</v>
      </c>
      <c r="CR676" s="33">
        <v>0</v>
      </c>
    </row>
    <row r="677" spans="1:96" ht="15" customHeight="1" x14ac:dyDescent="0.25">
      <c r="A677" s="26">
        <v>675</v>
      </c>
      <c r="B677" s="27">
        <v>31</v>
      </c>
      <c r="C677" s="27">
        <v>0</v>
      </c>
      <c r="D677" s="27">
        <v>1</v>
      </c>
      <c r="E677" s="27">
        <v>154</v>
      </c>
      <c r="F677" s="27">
        <v>1</v>
      </c>
      <c r="G677" s="27">
        <v>7</v>
      </c>
      <c r="H677" s="27">
        <v>4</v>
      </c>
      <c r="I677" s="27">
        <v>1</v>
      </c>
      <c r="J677" s="27">
        <v>1</v>
      </c>
      <c r="K677" s="27">
        <v>941</v>
      </c>
      <c r="L677" s="27">
        <v>2</v>
      </c>
      <c r="M677" s="27">
        <v>1</v>
      </c>
      <c r="N677" s="27">
        <v>41</v>
      </c>
      <c r="O677" s="27">
        <v>2</v>
      </c>
      <c r="P677" s="27">
        <v>1</v>
      </c>
      <c r="Q677" s="27">
        <v>7</v>
      </c>
      <c r="R677" s="27">
        <v>3</v>
      </c>
      <c r="S677" s="27">
        <v>2</v>
      </c>
      <c r="T677" s="27">
        <v>2329</v>
      </c>
      <c r="U677" s="27">
        <v>11737</v>
      </c>
      <c r="V677" s="27">
        <v>3</v>
      </c>
      <c r="W677" s="27">
        <v>0</v>
      </c>
      <c r="X677" s="27">
        <v>15</v>
      </c>
      <c r="Y677" s="27">
        <v>3</v>
      </c>
      <c r="Z677" s="27">
        <v>2</v>
      </c>
      <c r="AA677" s="27">
        <v>80</v>
      </c>
      <c r="AB677" s="27">
        <v>0</v>
      </c>
      <c r="AC677" s="27">
        <v>13</v>
      </c>
      <c r="AD677" s="27">
        <v>2</v>
      </c>
      <c r="AE677" s="27">
        <v>4</v>
      </c>
      <c r="AF677" s="27">
        <v>7</v>
      </c>
      <c r="AG677" s="27">
        <v>7</v>
      </c>
      <c r="AH677" s="27">
        <v>5</v>
      </c>
      <c r="AI677" s="28">
        <v>2</v>
      </c>
      <c r="AK677" s="36">
        <v>644</v>
      </c>
      <c r="AL677" s="33">
        <v>3</v>
      </c>
      <c r="AM677" s="33">
        <v>2</v>
      </c>
      <c r="AN677" s="33">
        <v>4</v>
      </c>
      <c r="AO677" s="33">
        <v>2</v>
      </c>
      <c r="AP677" s="33">
        <v>1</v>
      </c>
      <c r="AQ677" s="33">
        <v>1</v>
      </c>
      <c r="AR677" s="33">
        <v>2</v>
      </c>
      <c r="AS677" s="33">
        <v>5</v>
      </c>
      <c r="AT677" s="33">
        <v>1</v>
      </c>
      <c r="AU677" s="43">
        <v>0.17301894143843113</v>
      </c>
      <c r="AV677" s="33">
        <v>0</v>
      </c>
      <c r="AW677" s="33">
        <v>0</v>
      </c>
      <c r="AY677" s="36">
        <v>649</v>
      </c>
      <c r="AZ677" s="33">
        <v>1</v>
      </c>
      <c r="BA677" s="33">
        <v>4</v>
      </c>
      <c r="BB677" s="33">
        <v>0</v>
      </c>
      <c r="BC677" s="33">
        <v>1</v>
      </c>
      <c r="BD677" s="43">
        <v>9.2486413274924434E-2</v>
      </c>
      <c r="BE677" s="33">
        <v>0</v>
      </c>
      <c r="BF677" s="33">
        <v>0</v>
      </c>
      <c r="CE677" s="36">
        <v>643</v>
      </c>
      <c r="CF677" s="33">
        <v>9</v>
      </c>
      <c r="CG677" s="33">
        <v>1</v>
      </c>
      <c r="CH677" s="33">
        <v>2</v>
      </c>
      <c r="CI677" s="33">
        <v>2</v>
      </c>
      <c r="CJ677" s="33">
        <v>0</v>
      </c>
      <c r="CK677" s="33">
        <v>0</v>
      </c>
      <c r="CL677" s="33">
        <v>1</v>
      </c>
      <c r="CM677" s="33">
        <v>3</v>
      </c>
      <c r="CN677" s="33">
        <v>2</v>
      </c>
      <c r="CO677" s="33">
        <v>1</v>
      </c>
      <c r="CP677" s="43">
        <v>0.12805945726493592</v>
      </c>
      <c r="CQ677" s="33">
        <v>0</v>
      </c>
      <c r="CR677" s="33">
        <v>0</v>
      </c>
    </row>
    <row r="678" spans="1:96" ht="15" customHeight="1" x14ac:dyDescent="0.25">
      <c r="A678" s="26">
        <v>676</v>
      </c>
      <c r="B678" s="27">
        <v>35</v>
      </c>
      <c r="C678" s="27">
        <v>0</v>
      </c>
      <c r="D678" s="27">
        <v>1</v>
      </c>
      <c r="E678" s="27">
        <v>1137</v>
      </c>
      <c r="F678" s="27">
        <v>2</v>
      </c>
      <c r="G678" s="27">
        <v>21</v>
      </c>
      <c r="H678" s="27">
        <v>1</v>
      </c>
      <c r="I678" s="27">
        <v>1</v>
      </c>
      <c r="J678" s="27">
        <v>1</v>
      </c>
      <c r="K678" s="27">
        <v>942</v>
      </c>
      <c r="L678" s="27">
        <v>4</v>
      </c>
      <c r="M678" s="27">
        <v>0</v>
      </c>
      <c r="N678" s="27">
        <v>51</v>
      </c>
      <c r="O678" s="27">
        <v>3</v>
      </c>
      <c r="P678" s="27">
        <v>2</v>
      </c>
      <c r="Q678" s="27">
        <v>5</v>
      </c>
      <c r="R678" s="27">
        <v>4</v>
      </c>
      <c r="S678" s="27">
        <v>2</v>
      </c>
      <c r="T678" s="27">
        <v>4014</v>
      </c>
      <c r="U678" s="27">
        <v>19170</v>
      </c>
      <c r="V678" s="27">
        <v>1</v>
      </c>
      <c r="W678" s="27">
        <v>1</v>
      </c>
      <c r="X678" s="27">
        <v>25</v>
      </c>
      <c r="Y678" s="27">
        <v>4</v>
      </c>
      <c r="Z678" s="27">
        <v>4</v>
      </c>
      <c r="AA678" s="27">
        <v>80</v>
      </c>
      <c r="AB678" s="27">
        <v>1</v>
      </c>
      <c r="AC678" s="27">
        <v>10</v>
      </c>
      <c r="AD678" s="27">
        <v>2</v>
      </c>
      <c r="AE678" s="27">
        <v>1</v>
      </c>
      <c r="AF678" s="27">
        <v>10</v>
      </c>
      <c r="AG678" s="27">
        <v>6</v>
      </c>
      <c r="AH678" s="27">
        <v>0</v>
      </c>
      <c r="AI678" s="28">
        <v>7</v>
      </c>
      <c r="AK678" s="36">
        <v>645</v>
      </c>
      <c r="AL678" s="33">
        <v>11</v>
      </c>
      <c r="AM678" s="33">
        <v>1</v>
      </c>
      <c r="AN678" s="33">
        <v>4</v>
      </c>
      <c r="AO678" s="33">
        <v>3</v>
      </c>
      <c r="AP678" s="33">
        <v>1</v>
      </c>
      <c r="AQ678" s="33">
        <v>1</v>
      </c>
      <c r="AR678" s="33">
        <v>3</v>
      </c>
      <c r="AS678" s="33">
        <v>6</v>
      </c>
      <c r="AT678" s="33">
        <v>0</v>
      </c>
      <c r="AU678" s="43">
        <v>0.25393879993645591</v>
      </c>
      <c r="AV678" s="33">
        <v>0</v>
      </c>
      <c r="AW678" s="33">
        <v>0</v>
      </c>
      <c r="AY678" s="36">
        <v>650</v>
      </c>
      <c r="AZ678" s="33">
        <v>4</v>
      </c>
      <c r="BA678" s="33">
        <v>4</v>
      </c>
      <c r="BB678" s="33">
        <v>0</v>
      </c>
      <c r="BC678" s="33">
        <v>0</v>
      </c>
      <c r="BD678" s="43">
        <v>3.1333013053779842E-2</v>
      </c>
      <c r="BE678" s="33">
        <v>0</v>
      </c>
      <c r="BF678" s="33">
        <v>0</v>
      </c>
      <c r="CE678" s="36">
        <v>644</v>
      </c>
      <c r="CF678" s="33">
        <v>3</v>
      </c>
      <c r="CG678" s="33">
        <v>2</v>
      </c>
      <c r="CH678" s="33">
        <v>4</v>
      </c>
      <c r="CI678" s="33">
        <v>2</v>
      </c>
      <c r="CJ678" s="33">
        <v>2</v>
      </c>
      <c r="CK678" s="33">
        <v>1</v>
      </c>
      <c r="CL678" s="33">
        <v>1</v>
      </c>
      <c r="CM678" s="33">
        <v>2</v>
      </c>
      <c r="CN678" s="33">
        <v>5</v>
      </c>
      <c r="CO678" s="33">
        <v>1</v>
      </c>
      <c r="CP678" s="43">
        <v>0.17342330162703648</v>
      </c>
      <c r="CQ678" s="33">
        <v>0</v>
      </c>
      <c r="CR678" s="33">
        <v>0</v>
      </c>
    </row>
    <row r="679" spans="1:96" ht="15" customHeight="1" x14ac:dyDescent="0.25">
      <c r="A679" s="26">
        <v>677</v>
      </c>
      <c r="B679" s="27">
        <v>49</v>
      </c>
      <c r="C679" s="27">
        <v>0</v>
      </c>
      <c r="D679" s="27">
        <v>1</v>
      </c>
      <c r="E679" s="27">
        <v>527</v>
      </c>
      <c r="F679" s="27">
        <v>2</v>
      </c>
      <c r="G679" s="27">
        <v>8</v>
      </c>
      <c r="H679" s="27">
        <v>2</v>
      </c>
      <c r="I679" s="27">
        <v>6</v>
      </c>
      <c r="J679" s="27">
        <v>1</v>
      </c>
      <c r="K679" s="27">
        <v>944</v>
      </c>
      <c r="L679" s="27">
        <v>1</v>
      </c>
      <c r="M679" s="27">
        <v>0</v>
      </c>
      <c r="N679" s="27">
        <v>51</v>
      </c>
      <c r="O679" s="27">
        <v>3</v>
      </c>
      <c r="P679" s="27">
        <v>3</v>
      </c>
      <c r="Q679" s="27">
        <v>3</v>
      </c>
      <c r="R679" s="27">
        <v>2</v>
      </c>
      <c r="S679" s="27">
        <v>2</v>
      </c>
      <c r="T679" s="27">
        <v>7403</v>
      </c>
      <c r="U679" s="27">
        <v>22477</v>
      </c>
      <c r="V679" s="27">
        <v>4</v>
      </c>
      <c r="W679" s="27">
        <v>0</v>
      </c>
      <c r="X679" s="27">
        <v>11</v>
      </c>
      <c r="Y679" s="27">
        <v>3</v>
      </c>
      <c r="Z679" s="27">
        <v>3</v>
      </c>
      <c r="AA679" s="27">
        <v>80</v>
      </c>
      <c r="AB679" s="27">
        <v>1</v>
      </c>
      <c r="AC679" s="27">
        <v>29</v>
      </c>
      <c r="AD679" s="27">
        <v>3</v>
      </c>
      <c r="AE679" s="27">
        <v>2</v>
      </c>
      <c r="AF679" s="27">
        <v>26</v>
      </c>
      <c r="AG679" s="27">
        <v>9</v>
      </c>
      <c r="AH679" s="27">
        <v>1</v>
      </c>
      <c r="AI679" s="28">
        <v>7</v>
      </c>
      <c r="AK679" s="36">
        <v>646</v>
      </c>
      <c r="AL679" s="33">
        <v>1</v>
      </c>
      <c r="AM679" s="33">
        <v>1</v>
      </c>
      <c r="AN679" s="33">
        <v>3</v>
      </c>
      <c r="AO679" s="33">
        <v>6</v>
      </c>
      <c r="AP679" s="33">
        <v>1</v>
      </c>
      <c r="AQ679" s="33">
        <v>3</v>
      </c>
      <c r="AR679" s="33">
        <v>3</v>
      </c>
      <c r="AS679" s="33">
        <v>3</v>
      </c>
      <c r="AT679" s="33">
        <v>0</v>
      </c>
      <c r="AU679" s="43">
        <v>0.14331569042986456</v>
      </c>
      <c r="AV679" s="33">
        <v>0</v>
      </c>
      <c r="AW679" s="33">
        <v>1</v>
      </c>
      <c r="AY679" s="36">
        <v>651</v>
      </c>
      <c r="AZ679" s="33">
        <v>2</v>
      </c>
      <c r="BA679" s="33">
        <v>4</v>
      </c>
      <c r="BB679" s="33">
        <v>0</v>
      </c>
      <c r="BC679" s="33">
        <v>1</v>
      </c>
      <c r="BD679" s="43">
        <v>5.5093218126976727E-2</v>
      </c>
      <c r="BE679" s="33">
        <v>0</v>
      </c>
      <c r="BF679" s="33">
        <v>0</v>
      </c>
      <c r="CE679" s="36">
        <v>645</v>
      </c>
      <c r="CF679" s="33">
        <v>11</v>
      </c>
      <c r="CG679" s="33">
        <v>1</v>
      </c>
      <c r="CH679" s="33">
        <v>4</v>
      </c>
      <c r="CI679" s="33">
        <v>2</v>
      </c>
      <c r="CJ679" s="33">
        <v>3</v>
      </c>
      <c r="CK679" s="33">
        <v>1</v>
      </c>
      <c r="CL679" s="33">
        <v>1</v>
      </c>
      <c r="CM679" s="33">
        <v>3</v>
      </c>
      <c r="CN679" s="33">
        <v>6</v>
      </c>
      <c r="CO679" s="33">
        <v>0</v>
      </c>
      <c r="CP679" s="43">
        <v>0.24842086473140867</v>
      </c>
      <c r="CQ679" s="33">
        <v>0</v>
      </c>
      <c r="CR679" s="33">
        <v>0</v>
      </c>
    </row>
    <row r="680" spans="1:96" ht="15" customHeight="1" x14ac:dyDescent="0.25">
      <c r="A680" s="26">
        <v>678</v>
      </c>
      <c r="B680" s="27">
        <v>48</v>
      </c>
      <c r="C680" s="27">
        <v>0</v>
      </c>
      <c r="D680" s="27">
        <v>1</v>
      </c>
      <c r="E680" s="27">
        <v>1469</v>
      </c>
      <c r="F680" s="27">
        <v>2</v>
      </c>
      <c r="G680" s="27">
        <v>20</v>
      </c>
      <c r="H680" s="27">
        <v>4</v>
      </c>
      <c r="I680" s="27">
        <v>3</v>
      </c>
      <c r="J680" s="27">
        <v>1</v>
      </c>
      <c r="K680" s="27">
        <v>945</v>
      </c>
      <c r="L680" s="27">
        <v>4</v>
      </c>
      <c r="M680" s="27">
        <v>1</v>
      </c>
      <c r="N680" s="27">
        <v>51</v>
      </c>
      <c r="O680" s="27">
        <v>3</v>
      </c>
      <c r="P680" s="27">
        <v>1</v>
      </c>
      <c r="Q680" s="27">
        <v>2</v>
      </c>
      <c r="R680" s="27">
        <v>3</v>
      </c>
      <c r="S680" s="27">
        <v>2</v>
      </c>
      <c r="T680" s="27">
        <v>2259</v>
      </c>
      <c r="U680" s="27">
        <v>5543</v>
      </c>
      <c r="V680" s="27">
        <v>4</v>
      </c>
      <c r="W680" s="27">
        <v>0</v>
      </c>
      <c r="X680" s="27">
        <v>17</v>
      </c>
      <c r="Y680" s="27">
        <v>3</v>
      </c>
      <c r="Z680" s="27">
        <v>1</v>
      </c>
      <c r="AA680" s="27">
        <v>80</v>
      </c>
      <c r="AB680" s="27">
        <v>2</v>
      </c>
      <c r="AC680" s="27">
        <v>13</v>
      </c>
      <c r="AD680" s="27">
        <v>2</v>
      </c>
      <c r="AE680" s="27">
        <v>2</v>
      </c>
      <c r="AF680" s="27">
        <v>0</v>
      </c>
      <c r="AG680" s="27">
        <v>0</v>
      </c>
      <c r="AH680" s="27">
        <v>0</v>
      </c>
      <c r="AI680" s="28">
        <v>0</v>
      </c>
      <c r="AK680" s="36">
        <v>647</v>
      </c>
      <c r="AL680" s="33">
        <v>8</v>
      </c>
      <c r="AM680" s="33">
        <v>4</v>
      </c>
      <c r="AN680" s="33">
        <v>4</v>
      </c>
      <c r="AO680" s="33">
        <v>5</v>
      </c>
      <c r="AP680" s="33">
        <v>0</v>
      </c>
      <c r="AQ680" s="33">
        <v>1</v>
      </c>
      <c r="AR680" s="33">
        <v>3</v>
      </c>
      <c r="AS680" s="33">
        <v>2</v>
      </c>
      <c r="AT680" s="33">
        <v>2</v>
      </c>
      <c r="AU680" s="43">
        <v>2.5943245797223152E-2</v>
      </c>
      <c r="AV680" s="33">
        <v>0</v>
      </c>
      <c r="AW680" s="33">
        <v>0</v>
      </c>
      <c r="AY680" s="36">
        <v>652</v>
      </c>
      <c r="AZ680" s="33">
        <v>2</v>
      </c>
      <c r="BA680" s="33">
        <v>4</v>
      </c>
      <c r="BB680" s="33">
        <v>1</v>
      </c>
      <c r="BC680" s="33">
        <v>1</v>
      </c>
      <c r="BD680" s="43">
        <v>0.19951405628110813</v>
      </c>
      <c r="BE680" s="33">
        <v>0</v>
      </c>
      <c r="BF680" s="33">
        <v>0</v>
      </c>
      <c r="CE680" s="36">
        <v>646</v>
      </c>
      <c r="CF680" s="33">
        <v>1</v>
      </c>
      <c r="CG680" s="33">
        <v>1</v>
      </c>
      <c r="CH680" s="33">
        <v>3</v>
      </c>
      <c r="CI680" s="33">
        <v>3</v>
      </c>
      <c r="CJ680" s="33">
        <v>6</v>
      </c>
      <c r="CK680" s="33">
        <v>1</v>
      </c>
      <c r="CL680" s="33">
        <v>3</v>
      </c>
      <c r="CM680" s="33">
        <v>3</v>
      </c>
      <c r="CN680" s="33">
        <v>3</v>
      </c>
      <c r="CO680" s="33">
        <v>0</v>
      </c>
      <c r="CP680" s="43">
        <v>0.1602943679812229</v>
      </c>
      <c r="CQ680" s="33">
        <v>0</v>
      </c>
      <c r="CR680" s="33">
        <v>1</v>
      </c>
    </row>
    <row r="681" spans="1:96" ht="15" customHeight="1" x14ac:dyDescent="0.25">
      <c r="A681" s="26">
        <v>679</v>
      </c>
      <c r="B681" s="27">
        <v>31</v>
      </c>
      <c r="C681" s="27">
        <v>0</v>
      </c>
      <c r="D681" s="27">
        <v>3</v>
      </c>
      <c r="E681" s="27">
        <v>1188</v>
      </c>
      <c r="F681" s="27">
        <v>1</v>
      </c>
      <c r="G681" s="27">
        <v>20</v>
      </c>
      <c r="H681" s="27">
        <v>2</v>
      </c>
      <c r="I681" s="27">
        <v>4</v>
      </c>
      <c r="J681" s="27">
        <v>1</v>
      </c>
      <c r="K681" s="27">
        <v>947</v>
      </c>
      <c r="L681" s="27">
        <v>4</v>
      </c>
      <c r="M681" s="27">
        <v>0</v>
      </c>
      <c r="N681" s="27">
        <v>45</v>
      </c>
      <c r="O681" s="27">
        <v>3</v>
      </c>
      <c r="P681" s="27">
        <v>2</v>
      </c>
      <c r="Q681" s="27">
        <v>1</v>
      </c>
      <c r="R681" s="27">
        <v>3</v>
      </c>
      <c r="S681" s="27">
        <v>2</v>
      </c>
      <c r="T681" s="27">
        <v>6932</v>
      </c>
      <c r="U681" s="27">
        <v>24406</v>
      </c>
      <c r="V681" s="27">
        <v>1</v>
      </c>
      <c r="W681" s="27">
        <v>0</v>
      </c>
      <c r="X681" s="27">
        <v>13</v>
      </c>
      <c r="Y681" s="27">
        <v>3</v>
      </c>
      <c r="Z681" s="27">
        <v>4</v>
      </c>
      <c r="AA681" s="27">
        <v>80</v>
      </c>
      <c r="AB681" s="27">
        <v>1</v>
      </c>
      <c r="AC681" s="27">
        <v>9</v>
      </c>
      <c r="AD681" s="27">
        <v>2</v>
      </c>
      <c r="AE681" s="27">
        <v>2</v>
      </c>
      <c r="AF681" s="27">
        <v>9</v>
      </c>
      <c r="AG681" s="27">
        <v>8</v>
      </c>
      <c r="AH681" s="27">
        <v>0</v>
      </c>
      <c r="AI681" s="28">
        <v>0</v>
      </c>
      <c r="AK681" s="36">
        <v>648</v>
      </c>
      <c r="AL681" s="33">
        <v>25</v>
      </c>
      <c r="AM681" s="33">
        <v>3</v>
      </c>
      <c r="AN681" s="33">
        <v>2</v>
      </c>
      <c r="AO681" s="33">
        <v>3</v>
      </c>
      <c r="AP681" s="33">
        <v>0</v>
      </c>
      <c r="AQ681" s="33">
        <v>0</v>
      </c>
      <c r="AR681" s="33">
        <v>3</v>
      </c>
      <c r="AS681" s="33">
        <v>13</v>
      </c>
      <c r="AT681" s="33">
        <v>4</v>
      </c>
      <c r="AU681" s="43">
        <v>0.11052204390612451</v>
      </c>
      <c r="AV681" s="33">
        <v>0</v>
      </c>
      <c r="AW681" s="33">
        <v>0</v>
      </c>
      <c r="AY681" s="36">
        <v>653</v>
      </c>
      <c r="AZ681" s="33">
        <v>3</v>
      </c>
      <c r="BA681" s="33">
        <v>2</v>
      </c>
      <c r="BB681" s="33">
        <v>1</v>
      </c>
      <c r="BC681" s="33">
        <v>0</v>
      </c>
      <c r="BD681" s="43">
        <v>0.30251417944774345</v>
      </c>
      <c r="BE681" s="33">
        <v>0</v>
      </c>
      <c r="BF681" s="33">
        <v>0</v>
      </c>
      <c r="CE681" s="36">
        <v>647</v>
      </c>
      <c r="CF681" s="33">
        <v>8</v>
      </c>
      <c r="CG681" s="33">
        <v>4</v>
      </c>
      <c r="CH681" s="33">
        <v>4</v>
      </c>
      <c r="CI681" s="33">
        <v>2</v>
      </c>
      <c r="CJ681" s="33">
        <v>5</v>
      </c>
      <c r="CK681" s="33">
        <v>0</v>
      </c>
      <c r="CL681" s="33">
        <v>1</v>
      </c>
      <c r="CM681" s="33">
        <v>3</v>
      </c>
      <c r="CN681" s="33">
        <v>2</v>
      </c>
      <c r="CO681" s="33">
        <v>2</v>
      </c>
      <c r="CP681" s="43">
        <v>2.5357318682182071E-2</v>
      </c>
      <c r="CQ681" s="33">
        <v>0</v>
      </c>
      <c r="CR681" s="33">
        <v>0</v>
      </c>
    </row>
    <row r="682" spans="1:96" ht="15" customHeight="1" x14ac:dyDescent="0.25">
      <c r="A682" s="26">
        <v>680</v>
      </c>
      <c r="B682" s="27">
        <v>36</v>
      </c>
      <c r="C682" s="27">
        <v>0</v>
      </c>
      <c r="D682" s="27">
        <v>1</v>
      </c>
      <c r="E682" s="27">
        <v>188</v>
      </c>
      <c r="F682" s="27">
        <v>2</v>
      </c>
      <c r="G682" s="27">
        <v>7</v>
      </c>
      <c r="H682" s="27">
        <v>4</v>
      </c>
      <c r="I682" s="27">
        <v>6</v>
      </c>
      <c r="J682" s="27">
        <v>1</v>
      </c>
      <c r="K682" s="27">
        <v>949</v>
      </c>
      <c r="L682" s="27">
        <v>2</v>
      </c>
      <c r="M682" s="27">
        <v>1</v>
      </c>
      <c r="N682" s="27">
        <v>65</v>
      </c>
      <c r="O682" s="27">
        <v>3</v>
      </c>
      <c r="P682" s="27">
        <v>1</v>
      </c>
      <c r="Q682" s="27">
        <v>2</v>
      </c>
      <c r="R682" s="27">
        <v>4</v>
      </c>
      <c r="S682" s="27">
        <v>1</v>
      </c>
      <c r="T682" s="27">
        <v>4678</v>
      </c>
      <c r="U682" s="27">
        <v>23293</v>
      </c>
      <c r="V682" s="27">
        <v>2</v>
      </c>
      <c r="W682" s="27">
        <v>0</v>
      </c>
      <c r="X682" s="27">
        <v>18</v>
      </c>
      <c r="Y682" s="27">
        <v>3</v>
      </c>
      <c r="Z682" s="27">
        <v>3</v>
      </c>
      <c r="AA682" s="27">
        <v>80</v>
      </c>
      <c r="AB682" s="27">
        <v>0</v>
      </c>
      <c r="AC682" s="27">
        <v>8</v>
      </c>
      <c r="AD682" s="27">
        <v>6</v>
      </c>
      <c r="AE682" s="27">
        <v>3</v>
      </c>
      <c r="AF682" s="27">
        <v>6</v>
      </c>
      <c r="AG682" s="27">
        <v>2</v>
      </c>
      <c r="AH682" s="27">
        <v>0</v>
      </c>
      <c r="AI682" s="28">
        <v>1</v>
      </c>
      <c r="AK682" s="36">
        <v>649</v>
      </c>
      <c r="AL682" s="33">
        <v>21</v>
      </c>
      <c r="AM682" s="33">
        <v>1</v>
      </c>
      <c r="AN682" s="33">
        <v>4</v>
      </c>
      <c r="AO682" s="33">
        <v>5</v>
      </c>
      <c r="AP682" s="33">
        <v>0</v>
      </c>
      <c r="AQ682" s="33">
        <v>1</v>
      </c>
      <c r="AR682" s="33">
        <v>3</v>
      </c>
      <c r="AS682" s="33">
        <v>5</v>
      </c>
      <c r="AT682" s="33">
        <v>0</v>
      </c>
      <c r="AU682" s="43">
        <v>0.12168625031314258</v>
      </c>
      <c r="AV682" s="33">
        <v>0</v>
      </c>
      <c r="AW682" s="33">
        <v>0</v>
      </c>
      <c r="AY682" s="36">
        <v>654</v>
      </c>
      <c r="AZ682" s="33">
        <v>4</v>
      </c>
      <c r="BA682" s="33">
        <v>1</v>
      </c>
      <c r="BB682" s="33">
        <v>0</v>
      </c>
      <c r="BC682" s="33">
        <v>1</v>
      </c>
      <c r="BD682" s="43">
        <v>4.3866321508597754E-2</v>
      </c>
      <c r="BE682" s="33">
        <v>0</v>
      </c>
      <c r="BF682" s="33">
        <v>0</v>
      </c>
      <c r="CE682" s="36">
        <v>648</v>
      </c>
      <c r="CF682" s="33">
        <v>25</v>
      </c>
      <c r="CG682" s="33">
        <v>3</v>
      </c>
      <c r="CH682" s="33">
        <v>2</v>
      </c>
      <c r="CI682" s="33">
        <v>2</v>
      </c>
      <c r="CJ682" s="33">
        <v>3</v>
      </c>
      <c r="CK682" s="33">
        <v>0</v>
      </c>
      <c r="CL682" s="33">
        <v>0</v>
      </c>
      <c r="CM682" s="33">
        <v>3</v>
      </c>
      <c r="CN682" s="33">
        <v>13</v>
      </c>
      <c r="CO682" s="33">
        <v>4</v>
      </c>
      <c r="CP682" s="43">
        <v>8.0495584188491912E-2</v>
      </c>
      <c r="CQ682" s="33">
        <v>0</v>
      </c>
      <c r="CR682" s="33">
        <v>0</v>
      </c>
    </row>
    <row r="683" spans="1:96" ht="15" customHeight="1" x14ac:dyDescent="0.25">
      <c r="A683" s="26">
        <v>681</v>
      </c>
      <c r="B683" s="27">
        <v>38</v>
      </c>
      <c r="C683" s="27">
        <v>0</v>
      </c>
      <c r="D683" s="27">
        <v>1</v>
      </c>
      <c r="E683" s="27">
        <v>1333</v>
      </c>
      <c r="F683" s="27">
        <v>2</v>
      </c>
      <c r="G683" s="27">
        <v>1</v>
      </c>
      <c r="H683" s="27">
        <v>3</v>
      </c>
      <c r="I683" s="27">
        <v>5</v>
      </c>
      <c r="J683" s="27">
        <v>1</v>
      </c>
      <c r="K683" s="27">
        <v>950</v>
      </c>
      <c r="L683" s="27">
        <v>4</v>
      </c>
      <c r="M683" s="27">
        <v>0</v>
      </c>
      <c r="N683" s="27">
        <v>80</v>
      </c>
      <c r="O683" s="27">
        <v>3</v>
      </c>
      <c r="P683" s="27">
        <v>3</v>
      </c>
      <c r="Q683" s="27">
        <v>8</v>
      </c>
      <c r="R683" s="27">
        <v>1</v>
      </c>
      <c r="S683" s="27">
        <v>2</v>
      </c>
      <c r="T683" s="27">
        <v>13582</v>
      </c>
      <c r="U683" s="27">
        <v>16292</v>
      </c>
      <c r="V683" s="27">
        <v>1</v>
      </c>
      <c r="W683" s="27">
        <v>0</v>
      </c>
      <c r="X683" s="27">
        <v>13</v>
      </c>
      <c r="Y683" s="27">
        <v>3</v>
      </c>
      <c r="Z683" s="27">
        <v>2</v>
      </c>
      <c r="AA683" s="27">
        <v>80</v>
      </c>
      <c r="AB683" s="27">
        <v>1</v>
      </c>
      <c r="AC683" s="27">
        <v>15</v>
      </c>
      <c r="AD683" s="27">
        <v>3</v>
      </c>
      <c r="AE683" s="27">
        <v>3</v>
      </c>
      <c r="AF683" s="27">
        <v>15</v>
      </c>
      <c r="AG683" s="27">
        <v>12</v>
      </c>
      <c r="AH683" s="27">
        <v>5</v>
      </c>
      <c r="AI683" s="28">
        <v>11</v>
      </c>
      <c r="AK683" s="36">
        <v>650</v>
      </c>
      <c r="AL683" s="33">
        <v>23</v>
      </c>
      <c r="AM683" s="33">
        <v>4</v>
      </c>
      <c r="AN683" s="33">
        <v>4</v>
      </c>
      <c r="AO683" s="33">
        <v>6</v>
      </c>
      <c r="AP683" s="33">
        <v>0</v>
      </c>
      <c r="AQ683" s="33">
        <v>0</v>
      </c>
      <c r="AR683" s="33">
        <v>3</v>
      </c>
      <c r="AS683" s="33">
        <v>12</v>
      </c>
      <c r="AT683" s="33">
        <v>3</v>
      </c>
      <c r="AU683" s="43">
        <v>4.4040323250965338E-2</v>
      </c>
      <c r="AV683" s="33">
        <v>0</v>
      </c>
      <c r="AW683" s="33">
        <v>0</v>
      </c>
      <c r="AY683" s="36">
        <v>655</v>
      </c>
      <c r="AZ683" s="33">
        <v>2</v>
      </c>
      <c r="BA683" s="33">
        <v>4</v>
      </c>
      <c r="BB683" s="33">
        <v>0</v>
      </c>
      <c r="BC683" s="33">
        <v>2</v>
      </c>
      <c r="BD683" s="43">
        <v>3.3256067423154199E-2</v>
      </c>
      <c r="BE683" s="33">
        <v>0</v>
      </c>
      <c r="BF683" s="33">
        <v>0</v>
      </c>
      <c r="CE683" s="36">
        <v>649</v>
      </c>
      <c r="CF683" s="33">
        <v>21</v>
      </c>
      <c r="CG683" s="33">
        <v>1</v>
      </c>
      <c r="CH683" s="33">
        <v>4</v>
      </c>
      <c r="CI683" s="33">
        <v>2</v>
      </c>
      <c r="CJ683" s="33">
        <v>5</v>
      </c>
      <c r="CK683" s="33">
        <v>0</v>
      </c>
      <c r="CL683" s="33">
        <v>1</v>
      </c>
      <c r="CM683" s="33">
        <v>3</v>
      </c>
      <c r="CN683" s="33">
        <v>5</v>
      </c>
      <c r="CO683" s="33">
        <v>0</v>
      </c>
      <c r="CP683" s="43">
        <v>0.11448090254510132</v>
      </c>
      <c r="CQ683" s="33">
        <v>0</v>
      </c>
      <c r="CR683" s="33">
        <v>0</v>
      </c>
    </row>
    <row r="684" spans="1:96" ht="15" customHeight="1" x14ac:dyDescent="0.25">
      <c r="A684" s="26">
        <v>682</v>
      </c>
      <c r="B684" s="27">
        <v>32</v>
      </c>
      <c r="C684" s="27">
        <v>0</v>
      </c>
      <c r="D684" s="27">
        <v>3</v>
      </c>
      <c r="E684" s="27">
        <v>1184</v>
      </c>
      <c r="F684" s="27">
        <v>2</v>
      </c>
      <c r="G684" s="27">
        <v>1</v>
      </c>
      <c r="H684" s="27">
        <v>3</v>
      </c>
      <c r="I684" s="27">
        <v>1</v>
      </c>
      <c r="J684" s="27">
        <v>1</v>
      </c>
      <c r="K684" s="27">
        <v>951</v>
      </c>
      <c r="L684" s="27">
        <v>3</v>
      </c>
      <c r="M684" s="27">
        <v>0</v>
      </c>
      <c r="N684" s="27">
        <v>70</v>
      </c>
      <c r="O684" s="27">
        <v>2</v>
      </c>
      <c r="P684" s="27">
        <v>1</v>
      </c>
      <c r="Q684" s="27">
        <v>3</v>
      </c>
      <c r="R684" s="27">
        <v>2</v>
      </c>
      <c r="S684" s="27">
        <v>2</v>
      </c>
      <c r="T684" s="27">
        <v>2332</v>
      </c>
      <c r="U684" s="27">
        <v>3974</v>
      </c>
      <c r="V684" s="27">
        <v>6</v>
      </c>
      <c r="W684" s="27">
        <v>0</v>
      </c>
      <c r="X684" s="27">
        <v>20</v>
      </c>
      <c r="Y684" s="27">
        <v>4</v>
      </c>
      <c r="Z684" s="27">
        <v>3</v>
      </c>
      <c r="AA684" s="27">
        <v>80</v>
      </c>
      <c r="AB684" s="27">
        <v>0</v>
      </c>
      <c r="AC684" s="27">
        <v>5</v>
      </c>
      <c r="AD684" s="27">
        <v>3</v>
      </c>
      <c r="AE684" s="27">
        <v>3</v>
      </c>
      <c r="AF684" s="27">
        <v>3</v>
      </c>
      <c r="AG684" s="27">
        <v>0</v>
      </c>
      <c r="AH684" s="27">
        <v>0</v>
      </c>
      <c r="AI684" s="28">
        <v>2</v>
      </c>
      <c r="AK684" s="36">
        <v>651</v>
      </c>
      <c r="AL684" s="33">
        <v>1</v>
      </c>
      <c r="AM684" s="33">
        <v>2</v>
      </c>
      <c r="AN684" s="33">
        <v>4</v>
      </c>
      <c r="AO684" s="33">
        <v>4</v>
      </c>
      <c r="AP684" s="33">
        <v>0</v>
      </c>
      <c r="AQ684" s="33">
        <v>1</v>
      </c>
      <c r="AR684" s="33">
        <v>2</v>
      </c>
      <c r="AS684" s="33">
        <v>5</v>
      </c>
      <c r="AT684" s="33">
        <v>2</v>
      </c>
      <c r="AU684" s="43">
        <v>5.5955600142175432E-2</v>
      </c>
      <c r="AV684" s="33">
        <v>0</v>
      </c>
      <c r="AW684" s="33">
        <v>0</v>
      </c>
      <c r="AY684" s="36">
        <v>656</v>
      </c>
      <c r="AZ684" s="33">
        <v>1</v>
      </c>
      <c r="BA684" s="33">
        <v>2</v>
      </c>
      <c r="BB684" s="33">
        <v>1</v>
      </c>
      <c r="BC684" s="33">
        <v>1</v>
      </c>
      <c r="BD684" s="43">
        <v>0.43876762926038776</v>
      </c>
      <c r="BE684" s="33">
        <v>0</v>
      </c>
      <c r="BF684" s="33">
        <v>0</v>
      </c>
      <c r="CE684" s="36">
        <v>650</v>
      </c>
      <c r="CF684" s="33">
        <v>23</v>
      </c>
      <c r="CG684" s="33">
        <v>4</v>
      </c>
      <c r="CH684" s="33">
        <v>4</v>
      </c>
      <c r="CI684" s="33">
        <v>1</v>
      </c>
      <c r="CJ684" s="33">
        <v>6</v>
      </c>
      <c r="CK684" s="33">
        <v>0</v>
      </c>
      <c r="CL684" s="33">
        <v>0</v>
      </c>
      <c r="CM684" s="33">
        <v>3</v>
      </c>
      <c r="CN684" s="33">
        <v>12</v>
      </c>
      <c r="CO684" s="33">
        <v>3</v>
      </c>
      <c r="CP684" s="43">
        <v>5.2340703653779748E-2</v>
      </c>
      <c r="CQ684" s="33">
        <v>0</v>
      </c>
      <c r="CR684" s="33">
        <v>0</v>
      </c>
    </row>
    <row r="685" spans="1:96" ht="15" customHeight="1" x14ac:dyDescent="0.25">
      <c r="A685" s="26">
        <v>683</v>
      </c>
      <c r="B685" s="27">
        <v>25</v>
      </c>
      <c r="C685" s="27">
        <v>1</v>
      </c>
      <c r="D685" s="27">
        <v>1</v>
      </c>
      <c r="E685" s="27">
        <v>867</v>
      </c>
      <c r="F685" s="27">
        <v>1</v>
      </c>
      <c r="G685" s="27">
        <v>19</v>
      </c>
      <c r="H685" s="27">
        <v>2</v>
      </c>
      <c r="I685" s="27">
        <v>4</v>
      </c>
      <c r="J685" s="27">
        <v>1</v>
      </c>
      <c r="K685" s="27">
        <v>952</v>
      </c>
      <c r="L685" s="27">
        <v>3</v>
      </c>
      <c r="M685" s="27">
        <v>1</v>
      </c>
      <c r="N685" s="27">
        <v>36</v>
      </c>
      <c r="O685" s="27">
        <v>2</v>
      </c>
      <c r="P685" s="27">
        <v>1</v>
      </c>
      <c r="Q685" s="27">
        <v>7</v>
      </c>
      <c r="R685" s="27">
        <v>2</v>
      </c>
      <c r="S685" s="27">
        <v>2</v>
      </c>
      <c r="T685" s="27">
        <v>2413</v>
      </c>
      <c r="U685" s="27">
        <v>18798</v>
      </c>
      <c r="V685" s="27">
        <v>1</v>
      </c>
      <c r="W685" s="27">
        <v>1</v>
      </c>
      <c r="X685" s="27">
        <v>18</v>
      </c>
      <c r="Y685" s="27">
        <v>3</v>
      </c>
      <c r="Z685" s="27">
        <v>3</v>
      </c>
      <c r="AA685" s="27">
        <v>80</v>
      </c>
      <c r="AB685" s="27">
        <v>3</v>
      </c>
      <c r="AC685" s="27">
        <v>1</v>
      </c>
      <c r="AD685" s="27">
        <v>2</v>
      </c>
      <c r="AE685" s="27">
        <v>3</v>
      </c>
      <c r="AF685" s="27">
        <v>1</v>
      </c>
      <c r="AG685" s="27">
        <v>0</v>
      </c>
      <c r="AH685" s="27">
        <v>0</v>
      </c>
      <c r="AI685" s="28">
        <v>0</v>
      </c>
      <c r="AK685" s="36">
        <v>652</v>
      </c>
      <c r="AL685" s="33">
        <v>2</v>
      </c>
      <c r="AM685" s="33">
        <v>2</v>
      </c>
      <c r="AN685" s="33">
        <v>4</v>
      </c>
      <c r="AO685" s="33">
        <v>0</v>
      </c>
      <c r="AP685" s="33">
        <v>1</v>
      </c>
      <c r="AQ685" s="33">
        <v>1</v>
      </c>
      <c r="AR685" s="33">
        <v>3</v>
      </c>
      <c r="AS685" s="33">
        <v>7</v>
      </c>
      <c r="AT685" s="33">
        <v>7</v>
      </c>
      <c r="AU685" s="43">
        <v>0.18806376111768733</v>
      </c>
      <c r="AV685" s="33">
        <v>0</v>
      </c>
      <c r="AW685" s="33">
        <v>0</v>
      </c>
      <c r="AY685" s="36">
        <v>657</v>
      </c>
      <c r="AZ685" s="33">
        <v>1</v>
      </c>
      <c r="BA685" s="33">
        <v>4</v>
      </c>
      <c r="BB685" s="33">
        <v>1</v>
      </c>
      <c r="BC685" s="33">
        <v>0</v>
      </c>
      <c r="BD685" s="43">
        <v>0.42475472169672474</v>
      </c>
      <c r="BE685" s="33">
        <v>0</v>
      </c>
      <c r="BF685" s="33">
        <v>1</v>
      </c>
      <c r="CE685" s="36">
        <v>651</v>
      </c>
      <c r="CF685" s="33">
        <v>1</v>
      </c>
      <c r="CG685" s="33">
        <v>2</v>
      </c>
      <c r="CH685" s="33">
        <v>4</v>
      </c>
      <c r="CI685" s="33">
        <v>2</v>
      </c>
      <c r="CJ685" s="33">
        <v>4</v>
      </c>
      <c r="CK685" s="33">
        <v>0</v>
      </c>
      <c r="CL685" s="33">
        <v>1</v>
      </c>
      <c r="CM685" s="33">
        <v>2</v>
      </c>
      <c r="CN685" s="33">
        <v>5</v>
      </c>
      <c r="CO685" s="33">
        <v>2</v>
      </c>
      <c r="CP685" s="43">
        <v>5.4351638963974658E-2</v>
      </c>
      <c r="CQ685" s="33">
        <v>0</v>
      </c>
      <c r="CR685" s="33">
        <v>0</v>
      </c>
    </row>
    <row r="686" spans="1:96" ht="15" customHeight="1" x14ac:dyDescent="0.25">
      <c r="A686" s="26">
        <v>684</v>
      </c>
      <c r="B686" s="27">
        <v>40</v>
      </c>
      <c r="C686" s="27">
        <v>0</v>
      </c>
      <c r="D686" s="27">
        <v>1</v>
      </c>
      <c r="E686" s="27">
        <v>658</v>
      </c>
      <c r="F686" s="27">
        <v>1</v>
      </c>
      <c r="G686" s="27">
        <v>10</v>
      </c>
      <c r="H686" s="27">
        <v>4</v>
      </c>
      <c r="I686" s="27">
        <v>4</v>
      </c>
      <c r="J686" s="27">
        <v>1</v>
      </c>
      <c r="K686" s="27">
        <v>954</v>
      </c>
      <c r="L686" s="27">
        <v>1</v>
      </c>
      <c r="M686" s="27">
        <v>1</v>
      </c>
      <c r="N686" s="27">
        <v>67</v>
      </c>
      <c r="O686" s="27">
        <v>2</v>
      </c>
      <c r="P686" s="27">
        <v>3</v>
      </c>
      <c r="Q686" s="27">
        <v>1</v>
      </c>
      <c r="R686" s="27">
        <v>2</v>
      </c>
      <c r="S686" s="27">
        <v>3</v>
      </c>
      <c r="T686" s="27">
        <v>9705</v>
      </c>
      <c r="U686" s="27">
        <v>20652</v>
      </c>
      <c r="V686" s="27">
        <v>2</v>
      </c>
      <c r="W686" s="27">
        <v>0</v>
      </c>
      <c r="X686" s="27">
        <v>12</v>
      </c>
      <c r="Y686" s="27">
        <v>3</v>
      </c>
      <c r="Z686" s="27">
        <v>2</v>
      </c>
      <c r="AA686" s="27">
        <v>80</v>
      </c>
      <c r="AB686" s="27">
        <v>1</v>
      </c>
      <c r="AC686" s="27">
        <v>11</v>
      </c>
      <c r="AD686" s="27">
        <v>2</v>
      </c>
      <c r="AE686" s="27">
        <v>2</v>
      </c>
      <c r="AF686" s="27">
        <v>1</v>
      </c>
      <c r="AG686" s="27">
        <v>0</v>
      </c>
      <c r="AH686" s="27">
        <v>0</v>
      </c>
      <c r="AI686" s="28">
        <v>0</v>
      </c>
      <c r="AK686" s="36">
        <v>653</v>
      </c>
      <c r="AL686" s="33">
        <v>19</v>
      </c>
      <c r="AM686" s="33">
        <v>3</v>
      </c>
      <c r="AN686" s="33">
        <v>2</v>
      </c>
      <c r="AO686" s="33">
        <v>1</v>
      </c>
      <c r="AP686" s="33">
        <v>1</v>
      </c>
      <c r="AQ686" s="33">
        <v>0</v>
      </c>
      <c r="AR686" s="33">
        <v>3</v>
      </c>
      <c r="AS686" s="33">
        <v>10</v>
      </c>
      <c r="AT686" s="33">
        <v>0</v>
      </c>
      <c r="AU686" s="43">
        <v>0.22846343886244083</v>
      </c>
      <c r="AV686" s="33">
        <v>0</v>
      </c>
      <c r="AW686" s="33">
        <v>0</v>
      </c>
      <c r="AY686" s="36">
        <v>658</v>
      </c>
      <c r="AZ686" s="33">
        <v>1</v>
      </c>
      <c r="BA686" s="33">
        <v>4</v>
      </c>
      <c r="BB686" s="33">
        <v>0</v>
      </c>
      <c r="BC686" s="33">
        <v>3</v>
      </c>
      <c r="BD686" s="43">
        <v>3.425986181697948E-2</v>
      </c>
      <c r="BE686" s="33">
        <v>0</v>
      </c>
      <c r="BF686" s="33">
        <v>0</v>
      </c>
      <c r="CE686" s="36">
        <v>652</v>
      </c>
      <c r="CF686" s="33">
        <v>2</v>
      </c>
      <c r="CG686" s="33">
        <v>2</v>
      </c>
      <c r="CH686" s="33">
        <v>4</v>
      </c>
      <c r="CI686" s="33">
        <v>2</v>
      </c>
      <c r="CJ686" s="33">
        <v>0</v>
      </c>
      <c r="CK686" s="33">
        <v>1</v>
      </c>
      <c r="CL686" s="33">
        <v>1</v>
      </c>
      <c r="CM686" s="33">
        <v>3</v>
      </c>
      <c r="CN686" s="33">
        <v>7</v>
      </c>
      <c r="CO686" s="33">
        <v>7</v>
      </c>
      <c r="CP686" s="43">
        <v>0.18819609485348812</v>
      </c>
      <c r="CQ686" s="33">
        <v>0</v>
      </c>
      <c r="CR686" s="33">
        <v>0</v>
      </c>
    </row>
    <row r="687" spans="1:96" ht="15" customHeight="1" x14ac:dyDescent="0.25">
      <c r="A687" s="26">
        <v>685</v>
      </c>
      <c r="B687" s="27">
        <v>26</v>
      </c>
      <c r="C687" s="27">
        <v>0</v>
      </c>
      <c r="D687" s="27">
        <v>2</v>
      </c>
      <c r="E687" s="27">
        <v>1283</v>
      </c>
      <c r="F687" s="27">
        <v>1</v>
      </c>
      <c r="G687" s="27">
        <v>1</v>
      </c>
      <c r="H687" s="27">
        <v>3</v>
      </c>
      <c r="I687" s="27">
        <v>3</v>
      </c>
      <c r="J687" s="27">
        <v>1</v>
      </c>
      <c r="K687" s="27">
        <v>956</v>
      </c>
      <c r="L687" s="27">
        <v>3</v>
      </c>
      <c r="M687" s="27">
        <v>1</v>
      </c>
      <c r="N687" s="27">
        <v>52</v>
      </c>
      <c r="O687" s="27">
        <v>2</v>
      </c>
      <c r="P687" s="27">
        <v>2</v>
      </c>
      <c r="Q687" s="27">
        <v>1</v>
      </c>
      <c r="R687" s="27">
        <v>1</v>
      </c>
      <c r="S687" s="27">
        <v>1</v>
      </c>
      <c r="T687" s="27">
        <v>4294</v>
      </c>
      <c r="U687" s="27">
        <v>11148</v>
      </c>
      <c r="V687" s="27">
        <v>1</v>
      </c>
      <c r="W687" s="27">
        <v>0</v>
      </c>
      <c r="X687" s="27">
        <v>12</v>
      </c>
      <c r="Y687" s="27">
        <v>3</v>
      </c>
      <c r="Z687" s="27">
        <v>2</v>
      </c>
      <c r="AA687" s="27">
        <v>80</v>
      </c>
      <c r="AB687" s="27">
        <v>0</v>
      </c>
      <c r="AC687" s="27">
        <v>7</v>
      </c>
      <c r="AD687" s="27">
        <v>2</v>
      </c>
      <c r="AE687" s="27">
        <v>3</v>
      </c>
      <c r="AF687" s="27">
        <v>7</v>
      </c>
      <c r="AG687" s="27">
        <v>7</v>
      </c>
      <c r="AH687" s="27">
        <v>0</v>
      </c>
      <c r="AI687" s="28">
        <v>7</v>
      </c>
      <c r="AK687" s="36">
        <v>654</v>
      </c>
      <c r="AL687" s="33">
        <v>2</v>
      </c>
      <c r="AM687" s="33">
        <v>4</v>
      </c>
      <c r="AN687" s="33">
        <v>1</v>
      </c>
      <c r="AO687" s="33">
        <v>1</v>
      </c>
      <c r="AP687" s="33">
        <v>0</v>
      </c>
      <c r="AQ687" s="33">
        <v>1</v>
      </c>
      <c r="AR687" s="33">
        <v>3</v>
      </c>
      <c r="AS687" s="33">
        <v>31</v>
      </c>
      <c r="AT687" s="33">
        <v>14</v>
      </c>
      <c r="AU687" s="43">
        <v>1.7669169096116974E-2</v>
      </c>
      <c r="AV687" s="33">
        <v>0</v>
      </c>
      <c r="AW687" s="33">
        <v>0</v>
      </c>
      <c r="AY687" s="36">
        <v>659</v>
      </c>
      <c r="AZ687" s="33">
        <v>1</v>
      </c>
      <c r="BA687" s="33">
        <v>1</v>
      </c>
      <c r="BB687" s="33">
        <v>1</v>
      </c>
      <c r="BC687" s="33">
        <v>0</v>
      </c>
      <c r="BD687" s="43">
        <v>0.63965103699986936</v>
      </c>
      <c r="BE687" s="33">
        <v>1</v>
      </c>
      <c r="BF687" s="33">
        <v>0</v>
      </c>
      <c r="CE687" s="36">
        <v>653</v>
      </c>
      <c r="CF687" s="33">
        <v>19</v>
      </c>
      <c r="CG687" s="33">
        <v>3</v>
      </c>
      <c r="CH687" s="33">
        <v>2</v>
      </c>
      <c r="CI687" s="33">
        <v>1</v>
      </c>
      <c r="CJ687" s="33">
        <v>1</v>
      </c>
      <c r="CK687" s="33">
        <v>1</v>
      </c>
      <c r="CL687" s="33">
        <v>0</v>
      </c>
      <c r="CM687" s="33">
        <v>3</v>
      </c>
      <c r="CN687" s="33">
        <v>10</v>
      </c>
      <c r="CO687" s="33">
        <v>0</v>
      </c>
      <c r="CP687" s="43">
        <v>0.27202095597538545</v>
      </c>
      <c r="CQ687" s="33">
        <v>0</v>
      </c>
      <c r="CR687" s="33">
        <v>0</v>
      </c>
    </row>
    <row r="688" spans="1:96" ht="15" customHeight="1" x14ac:dyDescent="0.25">
      <c r="A688" s="26">
        <v>686</v>
      </c>
      <c r="B688" s="27">
        <v>41</v>
      </c>
      <c r="C688" s="27">
        <v>0</v>
      </c>
      <c r="D688" s="27">
        <v>1</v>
      </c>
      <c r="E688" s="27">
        <v>263</v>
      </c>
      <c r="F688" s="27">
        <v>2</v>
      </c>
      <c r="G688" s="27">
        <v>6</v>
      </c>
      <c r="H688" s="27">
        <v>3</v>
      </c>
      <c r="I688" s="27">
        <v>3</v>
      </c>
      <c r="J688" s="27">
        <v>1</v>
      </c>
      <c r="K688" s="27">
        <v>957</v>
      </c>
      <c r="L688" s="27">
        <v>4</v>
      </c>
      <c r="M688" s="27">
        <v>1</v>
      </c>
      <c r="N688" s="27">
        <v>59</v>
      </c>
      <c r="O688" s="27">
        <v>3</v>
      </c>
      <c r="P688" s="27">
        <v>1</v>
      </c>
      <c r="Q688" s="27">
        <v>3</v>
      </c>
      <c r="R688" s="27">
        <v>1</v>
      </c>
      <c r="S688" s="27">
        <v>1</v>
      </c>
      <c r="T688" s="27">
        <v>4721</v>
      </c>
      <c r="U688" s="27">
        <v>3119</v>
      </c>
      <c r="V688" s="27">
        <v>2</v>
      </c>
      <c r="W688" s="27">
        <v>1</v>
      </c>
      <c r="X688" s="27">
        <v>13</v>
      </c>
      <c r="Y688" s="27">
        <v>3</v>
      </c>
      <c r="Z688" s="27">
        <v>3</v>
      </c>
      <c r="AA688" s="27">
        <v>80</v>
      </c>
      <c r="AB688" s="27">
        <v>0</v>
      </c>
      <c r="AC688" s="27">
        <v>20</v>
      </c>
      <c r="AD688" s="27">
        <v>3</v>
      </c>
      <c r="AE688" s="27">
        <v>3</v>
      </c>
      <c r="AF688" s="27">
        <v>18</v>
      </c>
      <c r="AG688" s="27">
        <v>13</v>
      </c>
      <c r="AH688" s="27">
        <v>2</v>
      </c>
      <c r="AI688" s="28">
        <v>17</v>
      </c>
      <c r="AK688" s="36">
        <v>655</v>
      </c>
      <c r="AL688" s="33">
        <v>2</v>
      </c>
      <c r="AM688" s="33">
        <v>2</v>
      </c>
      <c r="AN688" s="33">
        <v>4</v>
      </c>
      <c r="AO688" s="33">
        <v>8</v>
      </c>
      <c r="AP688" s="33">
        <v>0</v>
      </c>
      <c r="AQ688" s="33">
        <v>2</v>
      </c>
      <c r="AR688" s="33">
        <v>3</v>
      </c>
      <c r="AS688" s="33">
        <v>5</v>
      </c>
      <c r="AT688" s="33">
        <v>0</v>
      </c>
      <c r="AU688" s="43">
        <v>2.9817454213354827E-2</v>
      </c>
      <c r="AV688" s="33">
        <v>0</v>
      </c>
      <c r="AW688" s="33">
        <v>0</v>
      </c>
      <c r="AY688" s="36">
        <v>660</v>
      </c>
      <c r="AZ688" s="33">
        <v>2</v>
      </c>
      <c r="BA688" s="33">
        <v>4</v>
      </c>
      <c r="BB688" s="33">
        <v>0</v>
      </c>
      <c r="BC688" s="33">
        <v>0</v>
      </c>
      <c r="BD688" s="43">
        <v>8.9935487507215722E-2</v>
      </c>
      <c r="BE688" s="33">
        <v>0</v>
      </c>
      <c r="BF688" s="33">
        <v>0</v>
      </c>
      <c r="CE688" s="36">
        <v>654</v>
      </c>
      <c r="CF688" s="33">
        <v>2</v>
      </c>
      <c r="CG688" s="33">
        <v>4</v>
      </c>
      <c r="CH688" s="33">
        <v>1</v>
      </c>
      <c r="CI688" s="33">
        <v>3</v>
      </c>
      <c r="CJ688" s="33">
        <v>1</v>
      </c>
      <c r="CK688" s="33">
        <v>0</v>
      </c>
      <c r="CL688" s="33">
        <v>1</v>
      </c>
      <c r="CM688" s="33">
        <v>3</v>
      </c>
      <c r="CN688" s="33">
        <v>31</v>
      </c>
      <c r="CO688" s="33">
        <v>14</v>
      </c>
      <c r="CP688" s="43">
        <v>1.0730018448233148E-2</v>
      </c>
      <c r="CQ688" s="33">
        <v>0</v>
      </c>
      <c r="CR688" s="33">
        <v>0</v>
      </c>
    </row>
    <row r="689" spans="1:96" ht="15" customHeight="1" x14ac:dyDescent="0.25">
      <c r="A689" s="26">
        <v>687</v>
      </c>
      <c r="B689" s="27">
        <v>36</v>
      </c>
      <c r="C689" s="27">
        <v>0</v>
      </c>
      <c r="D689" s="27">
        <v>1</v>
      </c>
      <c r="E689" s="27">
        <v>938</v>
      </c>
      <c r="F689" s="27">
        <v>2</v>
      </c>
      <c r="G689" s="27">
        <v>2</v>
      </c>
      <c r="H689" s="27">
        <v>4</v>
      </c>
      <c r="I689" s="27">
        <v>3</v>
      </c>
      <c r="J689" s="27">
        <v>1</v>
      </c>
      <c r="K689" s="27">
        <v>958</v>
      </c>
      <c r="L689" s="27">
        <v>3</v>
      </c>
      <c r="M689" s="27">
        <v>1</v>
      </c>
      <c r="N689" s="27">
        <v>79</v>
      </c>
      <c r="O689" s="27">
        <v>3</v>
      </c>
      <c r="P689" s="27">
        <v>1</v>
      </c>
      <c r="Q689" s="27">
        <v>3</v>
      </c>
      <c r="R689" s="27">
        <v>3</v>
      </c>
      <c r="S689" s="27">
        <v>1</v>
      </c>
      <c r="T689" s="27">
        <v>2519</v>
      </c>
      <c r="U689" s="27">
        <v>12287</v>
      </c>
      <c r="V689" s="27">
        <v>4</v>
      </c>
      <c r="W689" s="27">
        <v>0</v>
      </c>
      <c r="X689" s="27">
        <v>21</v>
      </c>
      <c r="Y689" s="27">
        <v>4</v>
      </c>
      <c r="Z689" s="27">
        <v>3</v>
      </c>
      <c r="AA689" s="27">
        <v>80</v>
      </c>
      <c r="AB689" s="27">
        <v>0</v>
      </c>
      <c r="AC689" s="27">
        <v>16</v>
      </c>
      <c r="AD689" s="27">
        <v>6</v>
      </c>
      <c r="AE689" s="27">
        <v>3</v>
      </c>
      <c r="AF689" s="27">
        <v>11</v>
      </c>
      <c r="AG689" s="27">
        <v>8</v>
      </c>
      <c r="AH689" s="27">
        <v>3</v>
      </c>
      <c r="AI689" s="28">
        <v>9</v>
      </c>
      <c r="AK689" s="36">
        <v>656</v>
      </c>
      <c r="AL689" s="33">
        <v>3</v>
      </c>
      <c r="AM689" s="33">
        <v>1</v>
      </c>
      <c r="AN689" s="33">
        <v>2</v>
      </c>
      <c r="AO689" s="33">
        <v>3</v>
      </c>
      <c r="AP689" s="33">
        <v>1</v>
      </c>
      <c r="AQ689" s="33">
        <v>1</v>
      </c>
      <c r="AR689" s="33">
        <v>4</v>
      </c>
      <c r="AS689" s="33">
        <v>4</v>
      </c>
      <c r="AT689" s="33">
        <v>0</v>
      </c>
      <c r="AU689" s="43">
        <v>0.2992068626870259</v>
      </c>
      <c r="AV689" s="33">
        <v>0</v>
      </c>
      <c r="AW689" s="33">
        <v>0</v>
      </c>
      <c r="AY689" s="36">
        <v>661</v>
      </c>
      <c r="AZ689" s="33">
        <v>1</v>
      </c>
      <c r="BA689" s="33">
        <v>4</v>
      </c>
      <c r="BB689" s="33">
        <v>1</v>
      </c>
      <c r="BC689" s="33">
        <v>1</v>
      </c>
      <c r="BD689" s="43">
        <v>0.30345027699196836</v>
      </c>
      <c r="BE689" s="33">
        <v>0</v>
      </c>
      <c r="BF689" s="33">
        <v>1</v>
      </c>
      <c r="CE689" s="36">
        <v>655</v>
      </c>
      <c r="CF689" s="33">
        <v>2</v>
      </c>
      <c r="CG689" s="33">
        <v>2</v>
      </c>
      <c r="CH689" s="33">
        <v>4</v>
      </c>
      <c r="CI689" s="33">
        <v>2</v>
      </c>
      <c r="CJ689" s="33">
        <v>8</v>
      </c>
      <c r="CK689" s="33">
        <v>0</v>
      </c>
      <c r="CL689" s="33">
        <v>2</v>
      </c>
      <c r="CM689" s="33">
        <v>3</v>
      </c>
      <c r="CN689" s="33">
        <v>5</v>
      </c>
      <c r="CO689" s="33">
        <v>0</v>
      </c>
      <c r="CP689" s="43">
        <v>3.9705688587124054E-2</v>
      </c>
      <c r="CQ689" s="33">
        <v>0</v>
      </c>
      <c r="CR689" s="33">
        <v>0</v>
      </c>
    </row>
    <row r="690" spans="1:96" ht="15" customHeight="1" x14ac:dyDescent="0.25">
      <c r="A690" s="26">
        <v>688</v>
      </c>
      <c r="B690" s="27">
        <v>19</v>
      </c>
      <c r="C690" s="27">
        <v>1</v>
      </c>
      <c r="D690" s="27">
        <v>1</v>
      </c>
      <c r="E690" s="27">
        <v>419</v>
      </c>
      <c r="F690" s="27">
        <v>1</v>
      </c>
      <c r="G690" s="27">
        <v>21</v>
      </c>
      <c r="H690" s="27">
        <v>3</v>
      </c>
      <c r="I690" s="27">
        <v>6</v>
      </c>
      <c r="J690" s="27">
        <v>1</v>
      </c>
      <c r="K690" s="27">
        <v>959</v>
      </c>
      <c r="L690" s="27">
        <v>4</v>
      </c>
      <c r="M690" s="27">
        <v>1</v>
      </c>
      <c r="N690" s="27">
        <v>37</v>
      </c>
      <c r="O690" s="27">
        <v>2</v>
      </c>
      <c r="P690" s="27">
        <v>1</v>
      </c>
      <c r="Q690" s="27">
        <v>7</v>
      </c>
      <c r="R690" s="27">
        <v>2</v>
      </c>
      <c r="S690" s="27">
        <v>1</v>
      </c>
      <c r="T690" s="27">
        <v>2121</v>
      </c>
      <c r="U690" s="27">
        <v>9947</v>
      </c>
      <c r="V690" s="27">
        <v>1</v>
      </c>
      <c r="W690" s="27">
        <v>1</v>
      </c>
      <c r="X690" s="27">
        <v>13</v>
      </c>
      <c r="Y690" s="27">
        <v>3</v>
      </c>
      <c r="Z690" s="27">
        <v>2</v>
      </c>
      <c r="AA690" s="27">
        <v>80</v>
      </c>
      <c r="AB690" s="27">
        <v>0</v>
      </c>
      <c r="AC690" s="27">
        <v>1</v>
      </c>
      <c r="AD690" s="27">
        <v>3</v>
      </c>
      <c r="AE690" s="27">
        <v>4</v>
      </c>
      <c r="AF690" s="27">
        <v>1</v>
      </c>
      <c r="AG690" s="27">
        <v>0</v>
      </c>
      <c r="AH690" s="27">
        <v>0</v>
      </c>
      <c r="AI690" s="28">
        <v>0</v>
      </c>
      <c r="AK690" s="36">
        <v>657</v>
      </c>
      <c r="AL690" s="33">
        <v>25</v>
      </c>
      <c r="AM690" s="33">
        <v>1</v>
      </c>
      <c r="AN690" s="33">
        <v>4</v>
      </c>
      <c r="AO690" s="33">
        <v>1</v>
      </c>
      <c r="AP690" s="33">
        <v>1</v>
      </c>
      <c r="AQ690" s="33">
        <v>0</v>
      </c>
      <c r="AR690" s="33">
        <v>1</v>
      </c>
      <c r="AS690" s="33">
        <v>1</v>
      </c>
      <c r="AT690" s="33">
        <v>0</v>
      </c>
      <c r="AU690" s="43">
        <v>0.64975054828082202</v>
      </c>
      <c r="AV690" s="33">
        <v>1</v>
      </c>
      <c r="AW690" s="33">
        <v>1</v>
      </c>
      <c r="AY690" s="36">
        <v>662</v>
      </c>
      <c r="AZ690" s="33">
        <v>2</v>
      </c>
      <c r="BA690" s="33">
        <v>2</v>
      </c>
      <c r="BB690" s="33">
        <v>0</v>
      </c>
      <c r="BC690" s="33">
        <v>1</v>
      </c>
      <c r="BD690" s="43">
        <v>9.4721355311452843E-2</v>
      </c>
      <c r="BE690" s="33">
        <v>0</v>
      </c>
      <c r="BF690" s="33">
        <v>0</v>
      </c>
      <c r="CE690" s="36">
        <v>656</v>
      </c>
      <c r="CF690" s="33">
        <v>3</v>
      </c>
      <c r="CG690" s="33">
        <v>1</v>
      </c>
      <c r="CH690" s="33">
        <v>2</v>
      </c>
      <c r="CI690" s="33">
        <v>3</v>
      </c>
      <c r="CJ690" s="33">
        <v>3</v>
      </c>
      <c r="CK690" s="33">
        <v>1</v>
      </c>
      <c r="CL690" s="33">
        <v>1</v>
      </c>
      <c r="CM690" s="33">
        <v>4</v>
      </c>
      <c r="CN690" s="33">
        <v>4</v>
      </c>
      <c r="CO690" s="33">
        <v>0</v>
      </c>
      <c r="CP690" s="43">
        <v>0.19612843264058921</v>
      </c>
      <c r="CQ690" s="33">
        <v>0</v>
      </c>
      <c r="CR690" s="33">
        <v>0</v>
      </c>
    </row>
    <row r="691" spans="1:96" ht="15" customHeight="1" x14ac:dyDescent="0.25">
      <c r="A691" s="26">
        <v>689</v>
      </c>
      <c r="B691" s="27">
        <v>20</v>
      </c>
      <c r="C691" s="27">
        <v>1</v>
      </c>
      <c r="D691" s="27">
        <v>1</v>
      </c>
      <c r="E691" s="27">
        <v>129</v>
      </c>
      <c r="F691" s="27">
        <v>2</v>
      </c>
      <c r="G691" s="27">
        <v>4</v>
      </c>
      <c r="H691" s="27">
        <v>3</v>
      </c>
      <c r="I691" s="27">
        <v>5</v>
      </c>
      <c r="J691" s="27">
        <v>1</v>
      </c>
      <c r="K691" s="27">
        <v>960</v>
      </c>
      <c r="L691" s="27">
        <v>1</v>
      </c>
      <c r="M691" s="27">
        <v>1</v>
      </c>
      <c r="N691" s="27">
        <v>84</v>
      </c>
      <c r="O691" s="27">
        <v>3</v>
      </c>
      <c r="P691" s="27">
        <v>1</v>
      </c>
      <c r="Q691" s="27">
        <v>3</v>
      </c>
      <c r="R691" s="27">
        <v>1</v>
      </c>
      <c r="S691" s="27">
        <v>1</v>
      </c>
      <c r="T691" s="27">
        <v>2973</v>
      </c>
      <c r="U691" s="27">
        <v>13008</v>
      </c>
      <c r="V691" s="27">
        <v>1</v>
      </c>
      <c r="W691" s="27">
        <v>0</v>
      </c>
      <c r="X691" s="27">
        <v>19</v>
      </c>
      <c r="Y691" s="27">
        <v>3</v>
      </c>
      <c r="Z691" s="27">
        <v>2</v>
      </c>
      <c r="AA691" s="27">
        <v>80</v>
      </c>
      <c r="AB691" s="27">
        <v>0</v>
      </c>
      <c r="AC691" s="27">
        <v>1</v>
      </c>
      <c r="AD691" s="27">
        <v>2</v>
      </c>
      <c r="AE691" s="27">
        <v>3</v>
      </c>
      <c r="AF691" s="27">
        <v>1</v>
      </c>
      <c r="AG691" s="27">
        <v>0</v>
      </c>
      <c r="AH691" s="27">
        <v>0</v>
      </c>
      <c r="AI691" s="28">
        <v>0</v>
      </c>
      <c r="AK691" s="36">
        <v>658</v>
      </c>
      <c r="AL691" s="33">
        <v>7</v>
      </c>
      <c r="AM691" s="33">
        <v>1</v>
      </c>
      <c r="AN691" s="33">
        <v>4</v>
      </c>
      <c r="AO691" s="33">
        <v>6</v>
      </c>
      <c r="AP691" s="33">
        <v>0</v>
      </c>
      <c r="AQ691" s="33">
        <v>3</v>
      </c>
      <c r="AR691" s="33">
        <v>3</v>
      </c>
      <c r="AS691" s="33">
        <v>4</v>
      </c>
      <c r="AT691" s="33">
        <v>0</v>
      </c>
      <c r="AU691" s="43">
        <v>3.1504340792070026E-2</v>
      </c>
      <c r="AV691" s="33">
        <v>0</v>
      </c>
      <c r="AW691" s="33">
        <v>0</v>
      </c>
      <c r="AY691" s="36">
        <v>663</v>
      </c>
      <c r="AZ691" s="33">
        <v>1</v>
      </c>
      <c r="BA691" s="33">
        <v>3</v>
      </c>
      <c r="BB691" s="33">
        <v>0</v>
      </c>
      <c r="BC691" s="33">
        <v>0</v>
      </c>
      <c r="BD691" s="43">
        <v>0.18791247240909698</v>
      </c>
      <c r="BE691" s="33">
        <v>0</v>
      </c>
      <c r="BF691" s="33">
        <v>1</v>
      </c>
      <c r="CE691" s="36">
        <v>657</v>
      </c>
      <c r="CF691" s="33">
        <v>25</v>
      </c>
      <c r="CG691" s="33">
        <v>1</v>
      </c>
      <c r="CH691" s="33">
        <v>4</v>
      </c>
      <c r="CI691" s="33">
        <v>1</v>
      </c>
      <c r="CJ691" s="33">
        <v>1</v>
      </c>
      <c r="CK691" s="33">
        <v>1</v>
      </c>
      <c r="CL691" s="33">
        <v>0</v>
      </c>
      <c r="CM691" s="33">
        <v>1</v>
      </c>
      <c r="CN691" s="33">
        <v>1</v>
      </c>
      <c r="CO691" s="33">
        <v>0</v>
      </c>
      <c r="CP691" s="43">
        <v>0.69562250411532933</v>
      </c>
      <c r="CQ691" s="33">
        <v>1</v>
      </c>
      <c r="CR691" s="33">
        <v>1</v>
      </c>
    </row>
    <row r="692" spans="1:96" ht="15" customHeight="1" x14ac:dyDescent="0.25">
      <c r="A692" s="26">
        <v>690</v>
      </c>
      <c r="B692" s="27">
        <v>31</v>
      </c>
      <c r="C692" s="27">
        <v>0</v>
      </c>
      <c r="D692" s="27">
        <v>1</v>
      </c>
      <c r="E692" s="27">
        <v>616</v>
      </c>
      <c r="F692" s="27">
        <v>2</v>
      </c>
      <c r="G692" s="27">
        <v>12</v>
      </c>
      <c r="H692" s="27">
        <v>3</v>
      </c>
      <c r="I692" s="27">
        <v>3</v>
      </c>
      <c r="J692" s="27">
        <v>1</v>
      </c>
      <c r="K692" s="27">
        <v>961</v>
      </c>
      <c r="L692" s="27">
        <v>4</v>
      </c>
      <c r="M692" s="27">
        <v>0</v>
      </c>
      <c r="N692" s="27">
        <v>41</v>
      </c>
      <c r="O692" s="27">
        <v>3</v>
      </c>
      <c r="P692" s="27">
        <v>2</v>
      </c>
      <c r="Q692" s="27">
        <v>5</v>
      </c>
      <c r="R692" s="27">
        <v>4</v>
      </c>
      <c r="S692" s="27">
        <v>2</v>
      </c>
      <c r="T692" s="27">
        <v>5855</v>
      </c>
      <c r="U692" s="27">
        <v>17369</v>
      </c>
      <c r="V692" s="27">
        <v>0</v>
      </c>
      <c r="W692" s="27">
        <v>1</v>
      </c>
      <c r="X692" s="27">
        <v>11</v>
      </c>
      <c r="Y692" s="27">
        <v>3</v>
      </c>
      <c r="Z692" s="27">
        <v>3</v>
      </c>
      <c r="AA692" s="27">
        <v>80</v>
      </c>
      <c r="AB692" s="27">
        <v>2</v>
      </c>
      <c r="AC692" s="27">
        <v>10</v>
      </c>
      <c r="AD692" s="27">
        <v>2</v>
      </c>
      <c r="AE692" s="27">
        <v>1</v>
      </c>
      <c r="AF692" s="27">
        <v>9</v>
      </c>
      <c r="AG692" s="27">
        <v>7</v>
      </c>
      <c r="AH692" s="27">
        <v>8</v>
      </c>
      <c r="AI692" s="28">
        <v>5</v>
      </c>
      <c r="AK692" s="36">
        <v>659</v>
      </c>
      <c r="AL692" s="33">
        <v>9</v>
      </c>
      <c r="AM692" s="33">
        <v>1</v>
      </c>
      <c r="AN692" s="33">
        <v>1</v>
      </c>
      <c r="AO692" s="33">
        <v>1</v>
      </c>
      <c r="AP692" s="33">
        <v>1</v>
      </c>
      <c r="AQ692" s="33">
        <v>0</v>
      </c>
      <c r="AR692" s="33">
        <v>3</v>
      </c>
      <c r="AS692" s="33">
        <v>8</v>
      </c>
      <c r="AT692" s="33">
        <v>7</v>
      </c>
      <c r="AU692" s="43">
        <v>0.68556747053949363</v>
      </c>
      <c r="AV692" s="33">
        <v>1</v>
      </c>
      <c r="AW692" s="33">
        <v>0</v>
      </c>
      <c r="AY692" s="36">
        <v>664</v>
      </c>
      <c r="AZ692" s="33">
        <v>1</v>
      </c>
      <c r="BA692" s="33">
        <v>4</v>
      </c>
      <c r="BB692" s="33">
        <v>0</v>
      </c>
      <c r="BC692" s="33">
        <v>0</v>
      </c>
      <c r="BD692" s="43">
        <v>0.1472907617042678</v>
      </c>
      <c r="BE692" s="33">
        <v>0</v>
      </c>
      <c r="BF692" s="33">
        <v>1</v>
      </c>
      <c r="CE692" s="36">
        <v>658</v>
      </c>
      <c r="CF692" s="33">
        <v>7</v>
      </c>
      <c r="CG692" s="33">
        <v>1</v>
      </c>
      <c r="CH692" s="33">
        <v>4</v>
      </c>
      <c r="CI692" s="33">
        <v>3</v>
      </c>
      <c r="CJ692" s="33">
        <v>6</v>
      </c>
      <c r="CK692" s="33">
        <v>0</v>
      </c>
      <c r="CL692" s="33">
        <v>3</v>
      </c>
      <c r="CM692" s="33">
        <v>3</v>
      </c>
      <c r="CN692" s="33">
        <v>4</v>
      </c>
      <c r="CO692" s="33">
        <v>0</v>
      </c>
      <c r="CP692" s="43">
        <v>3.3742998088103597E-2</v>
      </c>
      <c r="CQ692" s="33">
        <v>0</v>
      </c>
      <c r="CR692" s="33">
        <v>0</v>
      </c>
    </row>
    <row r="693" spans="1:96" ht="15" customHeight="1" x14ac:dyDescent="0.25">
      <c r="A693" s="26">
        <v>691</v>
      </c>
      <c r="B693" s="27">
        <v>40</v>
      </c>
      <c r="C693" s="27">
        <v>0</v>
      </c>
      <c r="D693" s="27">
        <v>2</v>
      </c>
      <c r="E693" s="27">
        <v>1469</v>
      </c>
      <c r="F693" s="27">
        <v>2</v>
      </c>
      <c r="G693" s="27">
        <v>9</v>
      </c>
      <c r="H693" s="27">
        <v>4</v>
      </c>
      <c r="I693" s="27">
        <v>3</v>
      </c>
      <c r="J693" s="27">
        <v>1</v>
      </c>
      <c r="K693" s="27">
        <v>964</v>
      </c>
      <c r="L693" s="27">
        <v>4</v>
      </c>
      <c r="M693" s="27">
        <v>1</v>
      </c>
      <c r="N693" s="27">
        <v>35</v>
      </c>
      <c r="O693" s="27">
        <v>3</v>
      </c>
      <c r="P693" s="27">
        <v>1</v>
      </c>
      <c r="Q693" s="27">
        <v>2</v>
      </c>
      <c r="R693" s="27">
        <v>2</v>
      </c>
      <c r="S693" s="27">
        <v>3</v>
      </c>
      <c r="T693" s="27">
        <v>3617</v>
      </c>
      <c r="U693" s="27">
        <v>25063</v>
      </c>
      <c r="V693" s="27">
        <v>8</v>
      </c>
      <c r="W693" s="27">
        <v>1</v>
      </c>
      <c r="X693" s="27">
        <v>14</v>
      </c>
      <c r="Y693" s="27">
        <v>3</v>
      </c>
      <c r="Z693" s="27">
        <v>4</v>
      </c>
      <c r="AA693" s="27">
        <v>80</v>
      </c>
      <c r="AB693" s="27">
        <v>1</v>
      </c>
      <c r="AC693" s="27">
        <v>3</v>
      </c>
      <c r="AD693" s="27">
        <v>2</v>
      </c>
      <c r="AE693" s="27">
        <v>3</v>
      </c>
      <c r="AF693" s="27">
        <v>1</v>
      </c>
      <c r="AG693" s="27">
        <v>1</v>
      </c>
      <c r="AH693" s="27">
        <v>0</v>
      </c>
      <c r="AI693" s="28">
        <v>0</v>
      </c>
      <c r="AK693" s="36">
        <v>660</v>
      </c>
      <c r="AL693" s="33">
        <v>5</v>
      </c>
      <c r="AM693" s="33">
        <v>2</v>
      </c>
      <c r="AN693" s="33">
        <v>4</v>
      </c>
      <c r="AO693" s="33">
        <v>1</v>
      </c>
      <c r="AP693" s="33">
        <v>0</v>
      </c>
      <c r="AQ693" s="33">
        <v>0</v>
      </c>
      <c r="AR693" s="33">
        <v>3</v>
      </c>
      <c r="AS693" s="33">
        <v>4</v>
      </c>
      <c r="AT693" s="33">
        <v>0</v>
      </c>
      <c r="AU693" s="43">
        <v>5.9354543601673644E-2</v>
      </c>
      <c r="AV693" s="33">
        <v>0</v>
      </c>
      <c r="AW693" s="33">
        <v>0</v>
      </c>
      <c r="AY693" s="36">
        <v>665</v>
      </c>
      <c r="AZ693" s="33">
        <v>2</v>
      </c>
      <c r="BA693" s="33">
        <v>4</v>
      </c>
      <c r="BB693" s="33">
        <v>1</v>
      </c>
      <c r="BC693" s="33">
        <v>1</v>
      </c>
      <c r="BD693" s="43">
        <v>0.19951405628110813</v>
      </c>
      <c r="BE693" s="33">
        <v>0</v>
      </c>
      <c r="BF693" s="33">
        <v>0</v>
      </c>
      <c r="CE693" s="36">
        <v>659</v>
      </c>
      <c r="CF693" s="33">
        <v>9</v>
      </c>
      <c r="CG693" s="33">
        <v>1</v>
      </c>
      <c r="CH693" s="33">
        <v>1</v>
      </c>
      <c r="CI693" s="33">
        <v>2</v>
      </c>
      <c r="CJ693" s="33">
        <v>1</v>
      </c>
      <c r="CK693" s="33">
        <v>1</v>
      </c>
      <c r="CL693" s="33">
        <v>0</v>
      </c>
      <c r="CM693" s="33">
        <v>3</v>
      </c>
      <c r="CN693" s="33">
        <v>8</v>
      </c>
      <c r="CO693" s="33">
        <v>7</v>
      </c>
      <c r="CP693" s="43">
        <v>0.61746212163635539</v>
      </c>
      <c r="CQ693" s="33">
        <v>1</v>
      </c>
      <c r="CR693" s="33">
        <v>0</v>
      </c>
    </row>
    <row r="694" spans="1:96" ht="15" customHeight="1" x14ac:dyDescent="0.25">
      <c r="A694" s="26">
        <v>692</v>
      </c>
      <c r="B694" s="27">
        <v>32</v>
      </c>
      <c r="C694" s="27">
        <v>0</v>
      </c>
      <c r="D694" s="27">
        <v>1</v>
      </c>
      <c r="E694" s="27">
        <v>498</v>
      </c>
      <c r="F694" s="27">
        <v>2</v>
      </c>
      <c r="G694" s="27">
        <v>3</v>
      </c>
      <c r="H694" s="27">
        <v>4</v>
      </c>
      <c r="I694" s="27">
        <v>3</v>
      </c>
      <c r="J694" s="27">
        <v>1</v>
      </c>
      <c r="K694" s="27">
        <v>966</v>
      </c>
      <c r="L694" s="27">
        <v>3</v>
      </c>
      <c r="M694" s="27">
        <v>0</v>
      </c>
      <c r="N694" s="27">
        <v>93</v>
      </c>
      <c r="O694" s="27">
        <v>3</v>
      </c>
      <c r="P694" s="27">
        <v>2</v>
      </c>
      <c r="Q694" s="27">
        <v>4</v>
      </c>
      <c r="R694" s="27">
        <v>1</v>
      </c>
      <c r="S694" s="27">
        <v>2</v>
      </c>
      <c r="T694" s="27">
        <v>6725</v>
      </c>
      <c r="U694" s="27">
        <v>13554</v>
      </c>
      <c r="V694" s="27">
        <v>1</v>
      </c>
      <c r="W694" s="27">
        <v>0</v>
      </c>
      <c r="X694" s="27">
        <v>12</v>
      </c>
      <c r="Y694" s="27">
        <v>3</v>
      </c>
      <c r="Z694" s="27">
        <v>3</v>
      </c>
      <c r="AA694" s="27">
        <v>80</v>
      </c>
      <c r="AB694" s="27">
        <v>1</v>
      </c>
      <c r="AC694" s="27">
        <v>8</v>
      </c>
      <c r="AD694" s="27">
        <v>2</v>
      </c>
      <c r="AE694" s="27">
        <v>4</v>
      </c>
      <c r="AF694" s="27">
        <v>8</v>
      </c>
      <c r="AG694" s="27">
        <v>7</v>
      </c>
      <c r="AH694" s="27">
        <v>6</v>
      </c>
      <c r="AI694" s="28">
        <v>3</v>
      </c>
      <c r="AK694" s="36">
        <v>661</v>
      </c>
      <c r="AL694" s="33">
        <v>2</v>
      </c>
      <c r="AM694" s="33">
        <v>1</v>
      </c>
      <c r="AN694" s="33">
        <v>4</v>
      </c>
      <c r="AO694" s="33">
        <v>9</v>
      </c>
      <c r="AP694" s="33">
        <v>1</v>
      </c>
      <c r="AQ694" s="33">
        <v>1</v>
      </c>
      <c r="AR694" s="33">
        <v>2</v>
      </c>
      <c r="AS694" s="33">
        <v>1</v>
      </c>
      <c r="AT694" s="33">
        <v>0</v>
      </c>
      <c r="AU694" s="43">
        <v>0.42960677798872399</v>
      </c>
      <c r="AV694" s="33">
        <v>0</v>
      </c>
      <c r="AW694" s="33">
        <v>1</v>
      </c>
      <c r="AY694" s="36">
        <v>666</v>
      </c>
      <c r="AZ694" s="33">
        <v>1</v>
      </c>
      <c r="BA694" s="33">
        <v>4</v>
      </c>
      <c r="BB694" s="33">
        <v>1</v>
      </c>
      <c r="BC694" s="33">
        <v>0</v>
      </c>
      <c r="BD694" s="43">
        <v>0.42475472169672474</v>
      </c>
      <c r="BE694" s="33">
        <v>0</v>
      </c>
      <c r="BF694" s="33">
        <v>0</v>
      </c>
      <c r="CE694" s="36">
        <v>660</v>
      </c>
      <c r="CF694" s="33">
        <v>5</v>
      </c>
      <c r="CG694" s="33">
        <v>2</v>
      </c>
      <c r="CH694" s="33">
        <v>4</v>
      </c>
      <c r="CI694" s="33">
        <v>1</v>
      </c>
      <c r="CJ694" s="33">
        <v>1</v>
      </c>
      <c r="CK694" s="33">
        <v>0</v>
      </c>
      <c r="CL694" s="33">
        <v>0</v>
      </c>
      <c r="CM694" s="33">
        <v>3</v>
      </c>
      <c r="CN694" s="33">
        <v>4</v>
      </c>
      <c r="CO694" s="33">
        <v>0</v>
      </c>
      <c r="CP694" s="43">
        <v>6.8421948443809527E-2</v>
      </c>
      <c r="CQ694" s="33">
        <v>0</v>
      </c>
      <c r="CR694" s="33">
        <v>0</v>
      </c>
    </row>
    <row r="695" spans="1:96" ht="15" customHeight="1" x14ac:dyDescent="0.25">
      <c r="A695" s="26">
        <v>693</v>
      </c>
      <c r="B695" s="27">
        <v>36</v>
      </c>
      <c r="C695" s="27">
        <v>1</v>
      </c>
      <c r="D695" s="27">
        <v>1</v>
      </c>
      <c r="E695" s="27">
        <v>530</v>
      </c>
      <c r="F695" s="27">
        <v>1</v>
      </c>
      <c r="G695" s="27">
        <v>3</v>
      </c>
      <c r="H695" s="27">
        <v>1</v>
      </c>
      <c r="I695" s="27">
        <v>1</v>
      </c>
      <c r="J695" s="27">
        <v>1</v>
      </c>
      <c r="K695" s="27">
        <v>967</v>
      </c>
      <c r="L695" s="27">
        <v>3</v>
      </c>
      <c r="M695" s="27">
        <v>1</v>
      </c>
      <c r="N695" s="27">
        <v>51</v>
      </c>
      <c r="O695" s="27">
        <v>2</v>
      </c>
      <c r="P695" s="27">
        <v>3</v>
      </c>
      <c r="Q695" s="27">
        <v>1</v>
      </c>
      <c r="R695" s="27">
        <v>4</v>
      </c>
      <c r="S695" s="27">
        <v>2</v>
      </c>
      <c r="T695" s="27">
        <v>10325</v>
      </c>
      <c r="U695" s="27">
        <v>5518</v>
      </c>
      <c r="V695" s="27">
        <v>1</v>
      </c>
      <c r="W695" s="27">
        <v>1</v>
      </c>
      <c r="X695" s="27">
        <v>11</v>
      </c>
      <c r="Y695" s="27">
        <v>3</v>
      </c>
      <c r="Z695" s="27">
        <v>1</v>
      </c>
      <c r="AA695" s="27">
        <v>80</v>
      </c>
      <c r="AB695" s="27">
        <v>1</v>
      </c>
      <c r="AC695" s="27">
        <v>16</v>
      </c>
      <c r="AD695" s="27">
        <v>6</v>
      </c>
      <c r="AE695" s="27">
        <v>3</v>
      </c>
      <c r="AF695" s="27">
        <v>16</v>
      </c>
      <c r="AG695" s="27">
        <v>7</v>
      </c>
      <c r="AH695" s="27">
        <v>3</v>
      </c>
      <c r="AI695" s="28">
        <v>7</v>
      </c>
      <c r="AK695" s="36">
        <v>662</v>
      </c>
      <c r="AL695" s="33">
        <v>8</v>
      </c>
      <c r="AM695" s="33">
        <v>2</v>
      </c>
      <c r="AN695" s="33">
        <v>2</v>
      </c>
      <c r="AO695" s="33">
        <v>4</v>
      </c>
      <c r="AP695" s="33">
        <v>0</v>
      </c>
      <c r="AQ695" s="33">
        <v>1</v>
      </c>
      <c r="AR695" s="33">
        <v>4</v>
      </c>
      <c r="AS695" s="33">
        <v>1</v>
      </c>
      <c r="AT695" s="33">
        <v>0</v>
      </c>
      <c r="AU695" s="43">
        <v>8.2454182354349106E-2</v>
      </c>
      <c r="AV695" s="33">
        <v>0</v>
      </c>
      <c r="AW695" s="33">
        <v>0</v>
      </c>
      <c r="AY695" s="36">
        <v>667</v>
      </c>
      <c r="AZ695" s="33">
        <v>2</v>
      </c>
      <c r="BA695" s="33">
        <v>3</v>
      </c>
      <c r="BB695" s="33">
        <v>1</v>
      </c>
      <c r="BC695" s="33">
        <v>1</v>
      </c>
      <c r="BD695" s="43">
        <v>0.25031066197755131</v>
      </c>
      <c r="BE695" s="33">
        <v>0</v>
      </c>
      <c r="BF695" s="33">
        <v>1</v>
      </c>
      <c r="CE695" s="36">
        <v>661</v>
      </c>
      <c r="CF695" s="33">
        <v>2</v>
      </c>
      <c r="CG695" s="33">
        <v>1</v>
      </c>
      <c r="CH695" s="33">
        <v>4</v>
      </c>
      <c r="CI695" s="33">
        <v>3</v>
      </c>
      <c r="CJ695" s="33">
        <v>9</v>
      </c>
      <c r="CK695" s="33">
        <v>1</v>
      </c>
      <c r="CL695" s="33">
        <v>1</v>
      </c>
      <c r="CM695" s="33">
        <v>2</v>
      </c>
      <c r="CN695" s="33">
        <v>1</v>
      </c>
      <c r="CO695" s="33">
        <v>0</v>
      </c>
      <c r="CP695" s="43">
        <v>0.30234695976712683</v>
      </c>
      <c r="CQ695" s="33">
        <v>0</v>
      </c>
      <c r="CR695" s="33">
        <v>1</v>
      </c>
    </row>
    <row r="696" spans="1:96" ht="15" customHeight="1" x14ac:dyDescent="0.25">
      <c r="A696" s="26">
        <v>694</v>
      </c>
      <c r="B696" s="27">
        <v>33</v>
      </c>
      <c r="C696" s="27">
        <v>0</v>
      </c>
      <c r="D696" s="27">
        <v>1</v>
      </c>
      <c r="E696" s="27">
        <v>1069</v>
      </c>
      <c r="F696" s="27">
        <v>2</v>
      </c>
      <c r="G696" s="27">
        <v>1</v>
      </c>
      <c r="H696" s="27">
        <v>3</v>
      </c>
      <c r="I696" s="27">
        <v>1</v>
      </c>
      <c r="J696" s="27">
        <v>1</v>
      </c>
      <c r="K696" s="27">
        <v>969</v>
      </c>
      <c r="L696" s="27">
        <v>2</v>
      </c>
      <c r="M696" s="27">
        <v>0</v>
      </c>
      <c r="N696" s="27">
        <v>42</v>
      </c>
      <c r="O696" s="27">
        <v>2</v>
      </c>
      <c r="P696" s="27">
        <v>2</v>
      </c>
      <c r="Q696" s="27">
        <v>5</v>
      </c>
      <c r="R696" s="27">
        <v>4</v>
      </c>
      <c r="S696" s="27">
        <v>1</v>
      </c>
      <c r="T696" s="27">
        <v>6949</v>
      </c>
      <c r="U696" s="27">
        <v>12291</v>
      </c>
      <c r="V696" s="27">
        <v>0</v>
      </c>
      <c r="W696" s="27">
        <v>0</v>
      </c>
      <c r="X696" s="27">
        <v>14</v>
      </c>
      <c r="Y696" s="27">
        <v>3</v>
      </c>
      <c r="Z696" s="27">
        <v>1</v>
      </c>
      <c r="AA696" s="27">
        <v>80</v>
      </c>
      <c r="AB696" s="27">
        <v>0</v>
      </c>
      <c r="AC696" s="27">
        <v>6</v>
      </c>
      <c r="AD696" s="27">
        <v>3</v>
      </c>
      <c r="AE696" s="27">
        <v>3</v>
      </c>
      <c r="AF696" s="27">
        <v>5</v>
      </c>
      <c r="AG696" s="27">
        <v>0</v>
      </c>
      <c r="AH696" s="27">
        <v>1</v>
      </c>
      <c r="AI696" s="28">
        <v>4</v>
      </c>
      <c r="AK696" s="36">
        <v>663</v>
      </c>
      <c r="AL696" s="33">
        <v>2</v>
      </c>
      <c r="AM696" s="33">
        <v>1</v>
      </c>
      <c r="AN696" s="33">
        <v>3</v>
      </c>
      <c r="AO696" s="33">
        <v>1</v>
      </c>
      <c r="AP696" s="33">
        <v>0</v>
      </c>
      <c r="AQ696" s="33">
        <v>0</v>
      </c>
      <c r="AR696" s="33">
        <v>2</v>
      </c>
      <c r="AS696" s="33">
        <v>2</v>
      </c>
      <c r="AT696" s="33">
        <v>0</v>
      </c>
      <c r="AU696" s="43">
        <v>0.16197706792218847</v>
      </c>
      <c r="AV696" s="33">
        <v>0</v>
      </c>
      <c r="AW696" s="33">
        <v>1</v>
      </c>
      <c r="AY696" s="36">
        <v>668</v>
      </c>
      <c r="AZ696" s="33">
        <v>1</v>
      </c>
      <c r="BA696" s="33">
        <v>4</v>
      </c>
      <c r="BB696" s="33">
        <v>1</v>
      </c>
      <c r="BC696" s="33">
        <v>1</v>
      </c>
      <c r="BD696" s="43">
        <v>0.30345027699196836</v>
      </c>
      <c r="BE696" s="33">
        <v>0</v>
      </c>
      <c r="BF696" s="33">
        <v>1</v>
      </c>
      <c r="CE696" s="36">
        <v>662</v>
      </c>
      <c r="CF696" s="33">
        <v>8</v>
      </c>
      <c r="CG696" s="33">
        <v>2</v>
      </c>
      <c r="CH696" s="33">
        <v>2</v>
      </c>
      <c r="CI696" s="33">
        <v>3</v>
      </c>
      <c r="CJ696" s="33">
        <v>4</v>
      </c>
      <c r="CK696" s="33">
        <v>0</v>
      </c>
      <c r="CL696" s="33">
        <v>1</v>
      </c>
      <c r="CM696" s="33">
        <v>4</v>
      </c>
      <c r="CN696" s="33">
        <v>1</v>
      </c>
      <c r="CO696" s="33">
        <v>0</v>
      </c>
      <c r="CP696" s="43">
        <v>4.7585731269426904E-2</v>
      </c>
      <c r="CQ696" s="33">
        <v>0</v>
      </c>
      <c r="CR696" s="33">
        <v>0</v>
      </c>
    </row>
    <row r="697" spans="1:96" ht="15" customHeight="1" x14ac:dyDescent="0.25">
      <c r="A697" s="26">
        <v>695</v>
      </c>
      <c r="B697" s="27">
        <v>37</v>
      </c>
      <c r="C697" s="27">
        <v>1</v>
      </c>
      <c r="D697" s="27">
        <v>1</v>
      </c>
      <c r="E697" s="27">
        <v>625</v>
      </c>
      <c r="F697" s="27">
        <v>1</v>
      </c>
      <c r="G697" s="27">
        <v>1</v>
      </c>
      <c r="H697" s="27">
        <v>4</v>
      </c>
      <c r="I697" s="27">
        <v>1</v>
      </c>
      <c r="J697" s="27">
        <v>1</v>
      </c>
      <c r="K697" s="27">
        <v>970</v>
      </c>
      <c r="L697" s="27">
        <v>1</v>
      </c>
      <c r="M697" s="27">
        <v>1</v>
      </c>
      <c r="N697" s="27">
        <v>46</v>
      </c>
      <c r="O697" s="27">
        <v>2</v>
      </c>
      <c r="P697" s="27">
        <v>3</v>
      </c>
      <c r="Q697" s="27">
        <v>1</v>
      </c>
      <c r="R697" s="27">
        <v>3</v>
      </c>
      <c r="S697" s="27">
        <v>2</v>
      </c>
      <c r="T697" s="27">
        <v>10609</v>
      </c>
      <c r="U697" s="27">
        <v>14922</v>
      </c>
      <c r="V697" s="27">
        <v>5</v>
      </c>
      <c r="W697" s="27">
        <v>0</v>
      </c>
      <c r="X697" s="27">
        <v>11</v>
      </c>
      <c r="Y697" s="27">
        <v>3</v>
      </c>
      <c r="Z697" s="27">
        <v>3</v>
      </c>
      <c r="AA697" s="27">
        <v>80</v>
      </c>
      <c r="AB697" s="27">
        <v>0</v>
      </c>
      <c r="AC697" s="27">
        <v>17</v>
      </c>
      <c r="AD697" s="27">
        <v>2</v>
      </c>
      <c r="AE697" s="27">
        <v>1</v>
      </c>
      <c r="AF697" s="27">
        <v>14</v>
      </c>
      <c r="AG697" s="27">
        <v>1</v>
      </c>
      <c r="AH697" s="27">
        <v>11</v>
      </c>
      <c r="AI697" s="28">
        <v>7</v>
      </c>
      <c r="AK697" s="36">
        <v>664</v>
      </c>
      <c r="AL697" s="33">
        <v>18</v>
      </c>
      <c r="AM697" s="33">
        <v>1</v>
      </c>
      <c r="AN697" s="33">
        <v>4</v>
      </c>
      <c r="AO697" s="33">
        <v>1</v>
      </c>
      <c r="AP697" s="33">
        <v>0</v>
      </c>
      <c r="AQ697" s="33">
        <v>0</v>
      </c>
      <c r="AR697" s="33">
        <v>2</v>
      </c>
      <c r="AS697" s="33">
        <v>1</v>
      </c>
      <c r="AT697" s="33">
        <v>0</v>
      </c>
      <c r="AU697" s="43">
        <v>0.20993254858443158</v>
      </c>
      <c r="AV697" s="33">
        <v>0</v>
      </c>
      <c r="AW697" s="33">
        <v>1</v>
      </c>
      <c r="AY697" s="36">
        <v>669</v>
      </c>
      <c r="AZ697" s="33">
        <v>1</v>
      </c>
      <c r="BA697" s="33">
        <v>3</v>
      </c>
      <c r="BB697" s="33">
        <v>0</v>
      </c>
      <c r="BC697" s="33">
        <v>1</v>
      </c>
      <c r="BD697" s="43">
        <v>0.12012271365792118</v>
      </c>
      <c r="BE697" s="33">
        <v>0</v>
      </c>
      <c r="BF697" s="33">
        <v>0</v>
      </c>
      <c r="CE697" s="36">
        <v>663</v>
      </c>
      <c r="CF697" s="33">
        <v>2</v>
      </c>
      <c r="CG697" s="33">
        <v>1</v>
      </c>
      <c r="CH697" s="33">
        <v>3</v>
      </c>
      <c r="CI697" s="33">
        <v>1</v>
      </c>
      <c r="CJ697" s="33">
        <v>1</v>
      </c>
      <c r="CK697" s="33">
        <v>0</v>
      </c>
      <c r="CL697" s="33">
        <v>0</v>
      </c>
      <c r="CM697" s="33">
        <v>2</v>
      </c>
      <c r="CN697" s="33">
        <v>2</v>
      </c>
      <c r="CO697" s="33">
        <v>0</v>
      </c>
      <c r="CP697" s="43">
        <v>0.18747168431176392</v>
      </c>
      <c r="CQ697" s="33">
        <v>0</v>
      </c>
      <c r="CR697" s="33">
        <v>1</v>
      </c>
    </row>
    <row r="698" spans="1:96" ht="15" customHeight="1" x14ac:dyDescent="0.25">
      <c r="A698" s="26">
        <v>696</v>
      </c>
      <c r="B698" s="27">
        <v>45</v>
      </c>
      <c r="C698" s="27">
        <v>0</v>
      </c>
      <c r="D698" s="27">
        <v>3</v>
      </c>
      <c r="E698" s="27">
        <v>805</v>
      </c>
      <c r="F698" s="27">
        <v>2</v>
      </c>
      <c r="G698" s="27">
        <v>4</v>
      </c>
      <c r="H698" s="27">
        <v>2</v>
      </c>
      <c r="I698" s="27">
        <v>1</v>
      </c>
      <c r="J698" s="27">
        <v>1</v>
      </c>
      <c r="K698" s="27">
        <v>972</v>
      </c>
      <c r="L698" s="27">
        <v>3</v>
      </c>
      <c r="M698" s="27">
        <v>1</v>
      </c>
      <c r="N698" s="27">
        <v>57</v>
      </c>
      <c r="O698" s="27">
        <v>3</v>
      </c>
      <c r="P698" s="27">
        <v>2</v>
      </c>
      <c r="Q698" s="27">
        <v>3</v>
      </c>
      <c r="R698" s="27">
        <v>2</v>
      </c>
      <c r="S698" s="27">
        <v>2</v>
      </c>
      <c r="T698" s="27">
        <v>4447</v>
      </c>
      <c r="U698" s="27">
        <v>23163</v>
      </c>
      <c r="V698" s="27">
        <v>1</v>
      </c>
      <c r="W698" s="27">
        <v>0</v>
      </c>
      <c r="X698" s="27">
        <v>12</v>
      </c>
      <c r="Y698" s="27">
        <v>3</v>
      </c>
      <c r="Z698" s="27">
        <v>2</v>
      </c>
      <c r="AA698" s="27">
        <v>80</v>
      </c>
      <c r="AB698" s="27">
        <v>0</v>
      </c>
      <c r="AC698" s="27">
        <v>9</v>
      </c>
      <c r="AD698" s="27">
        <v>5</v>
      </c>
      <c r="AE698" s="27">
        <v>2</v>
      </c>
      <c r="AF698" s="27">
        <v>9</v>
      </c>
      <c r="AG698" s="27">
        <v>7</v>
      </c>
      <c r="AH698" s="27">
        <v>0</v>
      </c>
      <c r="AI698" s="28">
        <v>8</v>
      </c>
      <c r="AK698" s="36">
        <v>665</v>
      </c>
      <c r="AL698" s="33">
        <v>14</v>
      </c>
      <c r="AM698" s="33">
        <v>2</v>
      </c>
      <c r="AN698" s="33">
        <v>4</v>
      </c>
      <c r="AO698" s="33">
        <v>0</v>
      </c>
      <c r="AP698" s="33">
        <v>1</v>
      </c>
      <c r="AQ698" s="33">
        <v>1</v>
      </c>
      <c r="AR698" s="33">
        <v>2</v>
      </c>
      <c r="AS698" s="33">
        <v>16</v>
      </c>
      <c r="AT698" s="33">
        <v>4</v>
      </c>
      <c r="AU698" s="43">
        <v>0.13997868626923246</v>
      </c>
      <c r="AV698" s="33">
        <v>0</v>
      </c>
      <c r="AW698" s="33">
        <v>0</v>
      </c>
      <c r="AY698" s="36">
        <v>670</v>
      </c>
      <c r="AZ698" s="33">
        <v>1</v>
      </c>
      <c r="BA698" s="33">
        <v>1</v>
      </c>
      <c r="BB698" s="33">
        <v>1</v>
      </c>
      <c r="BC698" s="33">
        <v>0</v>
      </c>
      <c r="BD698" s="43">
        <v>0.63965103699986936</v>
      </c>
      <c r="BE698" s="33">
        <v>1</v>
      </c>
      <c r="BF698" s="33">
        <v>1</v>
      </c>
      <c r="CE698" s="36">
        <v>664</v>
      </c>
      <c r="CF698" s="33">
        <v>18</v>
      </c>
      <c r="CG698" s="33">
        <v>1</v>
      </c>
      <c r="CH698" s="33">
        <v>4</v>
      </c>
      <c r="CI698" s="33">
        <v>1</v>
      </c>
      <c r="CJ698" s="33">
        <v>1</v>
      </c>
      <c r="CK698" s="33">
        <v>0</v>
      </c>
      <c r="CL698" s="33">
        <v>0</v>
      </c>
      <c r="CM698" s="33">
        <v>2</v>
      </c>
      <c r="CN698" s="33">
        <v>1</v>
      </c>
      <c r="CO698" s="33">
        <v>0</v>
      </c>
      <c r="CP698" s="43">
        <v>0.23665710305055662</v>
      </c>
      <c r="CQ698" s="33">
        <v>0</v>
      </c>
      <c r="CR698" s="33">
        <v>1</v>
      </c>
    </row>
    <row r="699" spans="1:96" ht="15" customHeight="1" x14ac:dyDescent="0.25">
      <c r="A699" s="26">
        <v>697</v>
      </c>
      <c r="B699" s="27">
        <v>29</v>
      </c>
      <c r="C699" s="27">
        <v>0</v>
      </c>
      <c r="D699" s="27">
        <v>2</v>
      </c>
      <c r="E699" s="27">
        <v>1404</v>
      </c>
      <c r="F699" s="27">
        <v>1</v>
      </c>
      <c r="G699" s="27">
        <v>20</v>
      </c>
      <c r="H699" s="27">
        <v>3</v>
      </c>
      <c r="I699" s="27">
        <v>5</v>
      </c>
      <c r="J699" s="27">
        <v>1</v>
      </c>
      <c r="K699" s="27">
        <v>974</v>
      </c>
      <c r="L699" s="27">
        <v>3</v>
      </c>
      <c r="M699" s="27">
        <v>0</v>
      </c>
      <c r="N699" s="27">
        <v>84</v>
      </c>
      <c r="O699" s="27">
        <v>3</v>
      </c>
      <c r="P699" s="27">
        <v>1</v>
      </c>
      <c r="Q699" s="27">
        <v>7</v>
      </c>
      <c r="R699" s="27">
        <v>4</v>
      </c>
      <c r="S699" s="27">
        <v>2</v>
      </c>
      <c r="T699" s="27">
        <v>2157</v>
      </c>
      <c r="U699" s="27">
        <v>18203</v>
      </c>
      <c r="V699" s="27">
        <v>1</v>
      </c>
      <c r="W699" s="27">
        <v>0</v>
      </c>
      <c r="X699" s="27">
        <v>15</v>
      </c>
      <c r="Y699" s="27">
        <v>3</v>
      </c>
      <c r="Z699" s="27">
        <v>2</v>
      </c>
      <c r="AA699" s="27">
        <v>80</v>
      </c>
      <c r="AB699" s="27">
        <v>1</v>
      </c>
      <c r="AC699" s="27">
        <v>3</v>
      </c>
      <c r="AD699" s="27">
        <v>5</v>
      </c>
      <c r="AE699" s="27">
        <v>3</v>
      </c>
      <c r="AF699" s="27">
        <v>3</v>
      </c>
      <c r="AG699" s="27">
        <v>1</v>
      </c>
      <c r="AH699" s="27">
        <v>0</v>
      </c>
      <c r="AI699" s="28">
        <v>2</v>
      </c>
      <c r="AK699" s="36">
        <v>666</v>
      </c>
      <c r="AL699" s="33">
        <v>2</v>
      </c>
      <c r="AM699" s="33">
        <v>1</v>
      </c>
      <c r="AN699" s="33">
        <v>4</v>
      </c>
      <c r="AO699" s="33">
        <v>1</v>
      </c>
      <c r="AP699" s="33">
        <v>1</v>
      </c>
      <c r="AQ699" s="33">
        <v>0</v>
      </c>
      <c r="AR699" s="33">
        <v>2</v>
      </c>
      <c r="AS699" s="33">
        <v>3</v>
      </c>
      <c r="AT699" s="33">
        <v>1</v>
      </c>
      <c r="AU699" s="43">
        <v>0.39673497176508193</v>
      </c>
      <c r="AV699" s="33">
        <v>0</v>
      </c>
      <c r="AW699" s="33">
        <v>0</v>
      </c>
      <c r="AY699" s="36">
        <v>671</v>
      </c>
      <c r="AZ699" s="33">
        <v>1</v>
      </c>
      <c r="BA699" s="33">
        <v>3</v>
      </c>
      <c r="BB699" s="33">
        <v>0</v>
      </c>
      <c r="BC699" s="33">
        <v>0</v>
      </c>
      <c r="BD699" s="43">
        <v>0.18791247240909698</v>
      </c>
      <c r="BE699" s="33">
        <v>0</v>
      </c>
      <c r="BF699" s="33">
        <v>0</v>
      </c>
      <c r="CE699" s="36">
        <v>665</v>
      </c>
      <c r="CF699" s="33">
        <v>14</v>
      </c>
      <c r="CG699" s="33">
        <v>2</v>
      </c>
      <c r="CH699" s="33">
        <v>4</v>
      </c>
      <c r="CI699" s="33">
        <v>2</v>
      </c>
      <c r="CJ699" s="33">
        <v>0</v>
      </c>
      <c r="CK699" s="33">
        <v>1</v>
      </c>
      <c r="CL699" s="33">
        <v>1</v>
      </c>
      <c r="CM699" s="33">
        <v>2</v>
      </c>
      <c r="CN699" s="33">
        <v>16</v>
      </c>
      <c r="CO699" s="33">
        <v>4</v>
      </c>
      <c r="CP699" s="43">
        <v>0.13993415825716038</v>
      </c>
      <c r="CQ699" s="33">
        <v>0</v>
      </c>
      <c r="CR699" s="33">
        <v>0</v>
      </c>
    </row>
    <row r="700" spans="1:96" ht="15" customHeight="1" x14ac:dyDescent="0.25">
      <c r="A700" s="26">
        <v>698</v>
      </c>
      <c r="B700" s="27">
        <v>35</v>
      </c>
      <c r="C700" s="27">
        <v>0</v>
      </c>
      <c r="D700" s="27">
        <v>1</v>
      </c>
      <c r="E700" s="27">
        <v>1219</v>
      </c>
      <c r="F700" s="27">
        <v>1</v>
      </c>
      <c r="G700" s="27">
        <v>18</v>
      </c>
      <c r="H700" s="27">
        <v>3</v>
      </c>
      <c r="I700" s="27">
        <v>3</v>
      </c>
      <c r="J700" s="27">
        <v>1</v>
      </c>
      <c r="K700" s="27">
        <v>975</v>
      </c>
      <c r="L700" s="27">
        <v>3</v>
      </c>
      <c r="M700" s="27">
        <v>0</v>
      </c>
      <c r="N700" s="27">
        <v>86</v>
      </c>
      <c r="O700" s="27">
        <v>3</v>
      </c>
      <c r="P700" s="27">
        <v>2</v>
      </c>
      <c r="Q700" s="27">
        <v>1</v>
      </c>
      <c r="R700" s="27">
        <v>3</v>
      </c>
      <c r="S700" s="27">
        <v>2</v>
      </c>
      <c r="T700" s="27">
        <v>4601</v>
      </c>
      <c r="U700" s="27">
        <v>6179</v>
      </c>
      <c r="V700" s="27">
        <v>1</v>
      </c>
      <c r="W700" s="27">
        <v>0</v>
      </c>
      <c r="X700" s="27">
        <v>16</v>
      </c>
      <c r="Y700" s="27">
        <v>3</v>
      </c>
      <c r="Z700" s="27">
        <v>2</v>
      </c>
      <c r="AA700" s="27">
        <v>80</v>
      </c>
      <c r="AB700" s="27">
        <v>0</v>
      </c>
      <c r="AC700" s="27">
        <v>5</v>
      </c>
      <c r="AD700" s="27">
        <v>3</v>
      </c>
      <c r="AE700" s="27">
        <v>3</v>
      </c>
      <c r="AF700" s="27">
        <v>5</v>
      </c>
      <c r="AG700" s="27">
        <v>2</v>
      </c>
      <c r="AH700" s="27">
        <v>1</v>
      </c>
      <c r="AI700" s="28">
        <v>0</v>
      </c>
      <c r="AK700" s="36">
        <v>667</v>
      </c>
      <c r="AL700" s="33">
        <v>3</v>
      </c>
      <c r="AM700" s="33">
        <v>2</v>
      </c>
      <c r="AN700" s="33">
        <v>3</v>
      </c>
      <c r="AO700" s="33">
        <v>0</v>
      </c>
      <c r="AP700" s="33">
        <v>1</v>
      </c>
      <c r="AQ700" s="33">
        <v>1</v>
      </c>
      <c r="AR700" s="33">
        <v>4</v>
      </c>
      <c r="AS700" s="33">
        <v>3</v>
      </c>
      <c r="AT700" s="33">
        <v>0</v>
      </c>
      <c r="AU700" s="43">
        <v>0.13301724123680395</v>
      </c>
      <c r="AV700" s="33">
        <v>0</v>
      </c>
      <c r="AW700" s="33">
        <v>1</v>
      </c>
      <c r="AY700" s="36">
        <v>672</v>
      </c>
      <c r="AZ700" s="33">
        <v>1</v>
      </c>
      <c r="BA700" s="33">
        <v>2</v>
      </c>
      <c r="BB700" s="33">
        <v>0</v>
      </c>
      <c r="BC700" s="33">
        <v>2</v>
      </c>
      <c r="BD700" s="43">
        <v>9.7393499888919863E-2</v>
      </c>
      <c r="BE700" s="33">
        <v>0</v>
      </c>
      <c r="BF700" s="33">
        <v>0</v>
      </c>
      <c r="CE700" s="36">
        <v>666</v>
      </c>
      <c r="CF700" s="33">
        <v>2</v>
      </c>
      <c r="CG700" s="33">
        <v>1</v>
      </c>
      <c r="CH700" s="33">
        <v>4</v>
      </c>
      <c r="CI700" s="33">
        <v>1</v>
      </c>
      <c r="CJ700" s="33">
        <v>1</v>
      </c>
      <c r="CK700" s="33">
        <v>1</v>
      </c>
      <c r="CL700" s="33">
        <v>0</v>
      </c>
      <c r="CM700" s="33">
        <v>2</v>
      </c>
      <c r="CN700" s="33">
        <v>3</v>
      </c>
      <c r="CO700" s="33">
        <v>1</v>
      </c>
      <c r="CP700" s="43">
        <v>0.44582349296749685</v>
      </c>
      <c r="CQ700" s="33">
        <v>0</v>
      </c>
      <c r="CR700" s="33">
        <v>0</v>
      </c>
    </row>
    <row r="701" spans="1:96" ht="15" customHeight="1" x14ac:dyDescent="0.25">
      <c r="A701" s="26">
        <v>699</v>
      </c>
      <c r="B701" s="27">
        <v>52</v>
      </c>
      <c r="C701" s="27">
        <v>0</v>
      </c>
      <c r="D701" s="27">
        <v>1</v>
      </c>
      <c r="E701" s="27">
        <v>1053</v>
      </c>
      <c r="F701" s="27">
        <v>2</v>
      </c>
      <c r="G701" s="27">
        <v>1</v>
      </c>
      <c r="H701" s="27">
        <v>2</v>
      </c>
      <c r="I701" s="27">
        <v>1</v>
      </c>
      <c r="J701" s="27">
        <v>1</v>
      </c>
      <c r="K701" s="27">
        <v>976</v>
      </c>
      <c r="L701" s="27">
        <v>4</v>
      </c>
      <c r="M701" s="27">
        <v>1</v>
      </c>
      <c r="N701" s="27">
        <v>70</v>
      </c>
      <c r="O701" s="27">
        <v>3</v>
      </c>
      <c r="P701" s="27">
        <v>4</v>
      </c>
      <c r="Q701" s="27">
        <v>6</v>
      </c>
      <c r="R701" s="27">
        <v>4</v>
      </c>
      <c r="S701" s="27">
        <v>2</v>
      </c>
      <c r="T701" s="27">
        <v>17099</v>
      </c>
      <c r="U701" s="27">
        <v>13829</v>
      </c>
      <c r="V701" s="27">
        <v>2</v>
      </c>
      <c r="W701" s="27">
        <v>0</v>
      </c>
      <c r="X701" s="27">
        <v>15</v>
      </c>
      <c r="Y701" s="27">
        <v>3</v>
      </c>
      <c r="Z701" s="27">
        <v>2</v>
      </c>
      <c r="AA701" s="27">
        <v>80</v>
      </c>
      <c r="AB701" s="27">
        <v>1</v>
      </c>
      <c r="AC701" s="27">
        <v>26</v>
      </c>
      <c r="AD701" s="27">
        <v>2</v>
      </c>
      <c r="AE701" s="27">
        <v>2</v>
      </c>
      <c r="AF701" s="27">
        <v>9</v>
      </c>
      <c r="AG701" s="27">
        <v>8</v>
      </c>
      <c r="AH701" s="27">
        <v>7</v>
      </c>
      <c r="AI701" s="28">
        <v>8</v>
      </c>
      <c r="AK701" s="36">
        <v>668</v>
      </c>
      <c r="AL701" s="33">
        <v>2</v>
      </c>
      <c r="AM701" s="33">
        <v>1</v>
      </c>
      <c r="AN701" s="33">
        <v>4</v>
      </c>
      <c r="AO701" s="33">
        <v>4</v>
      </c>
      <c r="AP701" s="33">
        <v>1</v>
      </c>
      <c r="AQ701" s="33">
        <v>1</v>
      </c>
      <c r="AR701" s="33">
        <v>2</v>
      </c>
      <c r="AS701" s="33">
        <v>7</v>
      </c>
      <c r="AT701" s="33">
        <v>1</v>
      </c>
      <c r="AU701" s="43">
        <v>0.26450714305059581</v>
      </c>
      <c r="AV701" s="33">
        <v>0</v>
      </c>
      <c r="AW701" s="33">
        <v>1</v>
      </c>
      <c r="AY701" s="36">
        <v>673</v>
      </c>
      <c r="AZ701" s="33">
        <v>2</v>
      </c>
      <c r="BA701" s="33">
        <v>3</v>
      </c>
      <c r="BB701" s="33">
        <v>0</v>
      </c>
      <c r="BC701" s="33">
        <v>0</v>
      </c>
      <c r="BD701" s="43">
        <v>0.11690772887050198</v>
      </c>
      <c r="BE701" s="33">
        <v>0</v>
      </c>
      <c r="BF701" s="33">
        <v>0</v>
      </c>
      <c r="CE701" s="36">
        <v>667</v>
      </c>
      <c r="CF701" s="33">
        <v>3</v>
      </c>
      <c r="CG701" s="33">
        <v>2</v>
      </c>
      <c r="CH701" s="33">
        <v>3</v>
      </c>
      <c r="CI701" s="33">
        <v>2</v>
      </c>
      <c r="CJ701" s="33">
        <v>0</v>
      </c>
      <c r="CK701" s="33">
        <v>1</v>
      </c>
      <c r="CL701" s="33">
        <v>1</v>
      </c>
      <c r="CM701" s="33">
        <v>4</v>
      </c>
      <c r="CN701" s="33">
        <v>3</v>
      </c>
      <c r="CO701" s="33">
        <v>0</v>
      </c>
      <c r="CP701" s="43">
        <v>0.1311363058996885</v>
      </c>
      <c r="CQ701" s="33">
        <v>0</v>
      </c>
      <c r="CR701" s="33">
        <v>1</v>
      </c>
    </row>
    <row r="702" spans="1:96" ht="15" customHeight="1" x14ac:dyDescent="0.25">
      <c r="A702" s="26">
        <v>700</v>
      </c>
      <c r="B702" s="27">
        <v>58</v>
      </c>
      <c r="C702" s="27">
        <v>1</v>
      </c>
      <c r="D702" s="27">
        <v>1</v>
      </c>
      <c r="E702" s="27">
        <v>289</v>
      </c>
      <c r="F702" s="27">
        <v>2</v>
      </c>
      <c r="G702" s="27">
        <v>2</v>
      </c>
      <c r="H702" s="27">
        <v>3</v>
      </c>
      <c r="I702" s="27">
        <v>5</v>
      </c>
      <c r="J702" s="27">
        <v>1</v>
      </c>
      <c r="K702" s="27">
        <v>977</v>
      </c>
      <c r="L702" s="27">
        <v>4</v>
      </c>
      <c r="M702" s="27">
        <v>1</v>
      </c>
      <c r="N702" s="27">
        <v>51</v>
      </c>
      <c r="O702" s="27">
        <v>3</v>
      </c>
      <c r="P702" s="27">
        <v>1</v>
      </c>
      <c r="Q702" s="27">
        <v>2</v>
      </c>
      <c r="R702" s="27">
        <v>3</v>
      </c>
      <c r="S702" s="27">
        <v>1</v>
      </c>
      <c r="T702" s="27">
        <v>2479</v>
      </c>
      <c r="U702" s="27">
        <v>26227</v>
      </c>
      <c r="V702" s="27">
        <v>4</v>
      </c>
      <c r="W702" s="27">
        <v>0</v>
      </c>
      <c r="X702" s="27">
        <v>24</v>
      </c>
      <c r="Y702" s="27">
        <v>4</v>
      </c>
      <c r="Z702" s="27">
        <v>1</v>
      </c>
      <c r="AA702" s="27">
        <v>80</v>
      </c>
      <c r="AB702" s="27">
        <v>0</v>
      </c>
      <c r="AC702" s="27">
        <v>7</v>
      </c>
      <c r="AD702" s="27">
        <v>4</v>
      </c>
      <c r="AE702" s="27">
        <v>3</v>
      </c>
      <c r="AF702" s="27">
        <v>1</v>
      </c>
      <c r="AG702" s="27">
        <v>0</v>
      </c>
      <c r="AH702" s="27">
        <v>0</v>
      </c>
      <c r="AI702" s="28">
        <v>0</v>
      </c>
      <c r="AK702" s="36">
        <v>669</v>
      </c>
      <c r="AL702" s="33">
        <v>9</v>
      </c>
      <c r="AM702" s="33">
        <v>1</v>
      </c>
      <c r="AN702" s="33">
        <v>3</v>
      </c>
      <c r="AO702" s="33">
        <v>5</v>
      </c>
      <c r="AP702" s="33">
        <v>0</v>
      </c>
      <c r="AQ702" s="33">
        <v>1</v>
      </c>
      <c r="AR702" s="33">
        <v>3</v>
      </c>
      <c r="AS702" s="33">
        <v>2</v>
      </c>
      <c r="AT702" s="33">
        <v>2</v>
      </c>
      <c r="AU702" s="43">
        <v>0.16176541213970355</v>
      </c>
      <c r="AV702" s="33">
        <v>0</v>
      </c>
      <c r="AW702" s="33">
        <v>0</v>
      </c>
      <c r="AY702" s="36">
        <v>674</v>
      </c>
      <c r="AZ702" s="33">
        <v>1</v>
      </c>
      <c r="BA702" s="33">
        <v>1</v>
      </c>
      <c r="BB702" s="33">
        <v>1</v>
      </c>
      <c r="BC702" s="33">
        <v>0</v>
      </c>
      <c r="BD702" s="43">
        <v>0.63965103699986936</v>
      </c>
      <c r="BE702" s="33">
        <v>1</v>
      </c>
      <c r="BF702" s="33">
        <v>0</v>
      </c>
      <c r="CE702" s="36">
        <v>668</v>
      </c>
      <c r="CF702" s="33">
        <v>2</v>
      </c>
      <c r="CG702" s="33">
        <v>1</v>
      </c>
      <c r="CH702" s="33">
        <v>4</v>
      </c>
      <c r="CI702" s="33">
        <v>3</v>
      </c>
      <c r="CJ702" s="33">
        <v>4</v>
      </c>
      <c r="CK702" s="33">
        <v>1</v>
      </c>
      <c r="CL702" s="33">
        <v>1</v>
      </c>
      <c r="CM702" s="33">
        <v>2</v>
      </c>
      <c r="CN702" s="33">
        <v>7</v>
      </c>
      <c r="CO702" s="33">
        <v>1</v>
      </c>
      <c r="CP702" s="43">
        <v>0.17035944794947036</v>
      </c>
      <c r="CQ702" s="33">
        <v>0</v>
      </c>
      <c r="CR702" s="33">
        <v>1</v>
      </c>
    </row>
    <row r="703" spans="1:96" ht="15" customHeight="1" x14ac:dyDescent="0.25">
      <c r="A703" s="26">
        <v>701</v>
      </c>
      <c r="B703" s="27">
        <v>53</v>
      </c>
      <c r="C703" s="27">
        <v>0</v>
      </c>
      <c r="D703" s="27">
        <v>1</v>
      </c>
      <c r="E703" s="27">
        <v>1376</v>
      </c>
      <c r="F703" s="27">
        <v>1</v>
      </c>
      <c r="G703" s="27">
        <v>2</v>
      </c>
      <c r="H703" s="27">
        <v>2</v>
      </c>
      <c r="I703" s="27">
        <v>3</v>
      </c>
      <c r="J703" s="27">
        <v>1</v>
      </c>
      <c r="K703" s="27">
        <v>981</v>
      </c>
      <c r="L703" s="27">
        <v>3</v>
      </c>
      <c r="M703" s="27">
        <v>1</v>
      </c>
      <c r="N703" s="27">
        <v>45</v>
      </c>
      <c r="O703" s="27">
        <v>3</v>
      </c>
      <c r="P703" s="27">
        <v>4</v>
      </c>
      <c r="Q703" s="27">
        <v>6</v>
      </c>
      <c r="R703" s="27">
        <v>3</v>
      </c>
      <c r="S703" s="27">
        <v>3</v>
      </c>
      <c r="T703" s="27">
        <v>14852</v>
      </c>
      <c r="U703" s="27">
        <v>13938</v>
      </c>
      <c r="V703" s="27">
        <v>6</v>
      </c>
      <c r="W703" s="27">
        <v>0</v>
      </c>
      <c r="X703" s="27">
        <v>13</v>
      </c>
      <c r="Y703" s="27">
        <v>3</v>
      </c>
      <c r="Z703" s="27">
        <v>3</v>
      </c>
      <c r="AA703" s="27">
        <v>80</v>
      </c>
      <c r="AB703" s="27">
        <v>1</v>
      </c>
      <c r="AC703" s="27">
        <v>22</v>
      </c>
      <c r="AD703" s="27">
        <v>3</v>
      </c>
      <c r="AE703" s="27">
        <v>4</v>
      </c>
      <c r="AF703" s="27">
        <v>17</v>
      </c>
      <c r="AG703" s="27">
        <v>13</v>
      </c>
      <c r="AH703" s="27">
        <v>15</v>
      </c>
      <c r="AI703" s="28">
        <v>2</v>
      </c>
      <c r="AK703" s="36">
        <v>670</v>
      </c>
      <c r="AL703" s="33">
        <v>6</v>
      </c>
      <c r="AM703" s="33">
        <v>1</v>
      </c>
      <c r="AN703" s="33">
        <v>1</v>
      </c>
      <c r="AO703" s="33">
        <v>7</v>
      </c>
      <c r="AP703" s="33">
        <v>1</v>
      </c>
      <c r="AQ703" s="33">
        <v>0</v>
      </c>
      <c r="AR703" s="33">
        <v>1</v>
      </c>
      <c r="AS703" s="33">
        <v>2</v>
      </c>
      <c r="AT703" s="33">
        <v>2</v>
      </c>
      <c r="AU703" s="43">
        <v>0.81957160451219979</v>
      </c>
      <c r="AV703" s="33">
        <v>1</v>
      </c>
      <c r="AW703" s="33">
        <v>1</v>
      </c>
      <c r="AY703" s="36">
        <v>675</v>
      </c>
      <c r="AZ703" s="33">
        <v>3</v>
      </c>
      <c r="BA703" s="33">
        <v>2</v>
      </c>
      <c r="BB703" s="33">
        <v>1</v>
      </c>
      <c r="BC703" s="33">
        <v>1</v>
      </c>
      <c r="BD703" s="43">
        <v>0.20375464798791798</v>
      </c>
      <c r="BE703" s="33">
        <v>0</v>
      </c>
      <c r="BF703" s="33">
        <v>0</v>
      </c>
      <c r="CE703" s="36">
        <v>669</v>
      </c>
      <c r="CF703" s="33">
        <v>9</v>
      </c>
      <c r="CG703" s="33">
        <v>1</v>
      </c>
      <c r="CH703" s="33">
        <v>3</v>
      </c>
      <c r="CI703" s="33">
        <v>3</v>
      </c>
      <c r="CJ703" s="33">
        <v>5</v>
      </c>
      <c r="CK703" s="33">
        <v>0</v>
      </c>
      <c r="CL703" s="33">
        <v>1</v>
      </c>
      <c r="CM703" s="33">
        <v>3</v>
      </c>
      <c r="CN703" s="33">
        <v>2</v>
      </c>
      <c r="CO703" s="33">
        <v>2</v>
      </c>
      <c r="CP703" s="43">
        <v>9.6314918693221771E-2</v>
      </c>
      <c r="CQ703" s="33">
        <v>0</v>
      </c>
      <c r="CR703" s="33">
        <v>0</v>
      </c>
    </row>
    <row r="704" spans="1:96" ht="15" customHeight="1" x14ac:dyDescent="0.25">
      <c r="A704" s="26">
        <v>702</v>
      </c>
      <c r="B704" s="27">
        <v>30</v>
      </c>
      <c r="C704" s="27">
        <v>0</v>
      </c>
      <c r="D704" s="27">
        <v>1</v>
      </c>
      <c r="E704" s="27">
        <v>231</v>
      </c>
      <c r="F704" s="27">
        <v>1</v>
      </c>
      <c r="G704" s="27">
        <v>8</v>
      </c>
      <c r="H704" s="27">
        <v>2</v>
      </c>
      <c r="I704" s="27">
        <v>6</v>
      </c>
      <c r="J704" s="27">
        <v>1</v>
      </c>
      <c r="K704" s="27">
        <v>982</v>
      </c>
      <c r="L704" s="27">
        <v>3</v>
      </c>
      <c r="M704" s="27">
        <v>1</v>
      </c>
      <c r="N704" s="27">
        <v>62</v>
      </c>
      <c r="O704" s="27">
        <v>3</v>
      </c>
      <c r="P704" s="27">
        <v>3</v>
      </c>
      <c r="Q704" s="27">
        <v>1</v>
      </c>
      <c r="R704" s="27">
        <v>3</v>
      </c>
      <c r="S704" s="27">
        <v>3</v>
      </c>
      <c r="T704" s="27">
        <v>7264</v>
      </c>
      <c r="U704" s="27">
        <v>9977</v>
      </c>
      <c r="V704" s="27">
        <v>5</v>
      </c>
      <c r="W704" s="27">
        <v>0</v>
      </c>
      <c r="X704" s="27">
        <v>11</v>
      </c>
      <c r="Y704" s="27">
        <v>3</v>
      </c>
      <c r="Z704" s="27">
        <v>1</v>
      </c>
      <c r="AA704" s="27">
        <v>80</v>
      </c>
      <c r="AB704" s="27">
        <v>1</v>
      </c>
      <c r="AC704" s="27">
        <v>10</v>
      </c>
      <c r="AD704" s="27">
        <v>2</v>
      </c>
      <c r="AE704" s="27">
        <v>4</v>
      </c>
      <c r="AF704" s="27">
        <v>8</v>
      </c>
      <c r="AG704" s="27">
        <v>4</v>
      </c>
      <c r="AH704" s="27">
        <v>7</v>
      </c>
      <c r="AI704" s="28">
        <v>7</v>
      </c>
      <c r="AK704" s="36">
        <v>671</v>
      </c>
      <c r="AL704" s="33">
        <v>4</v>
      </c>
      <c r="AM704" s="33">
        <v>1</v>
      </c>
      <c r="AN704" s="33">
        <v>3</v>
      </c>
      <c r="AO704" s="33">
        <v>1</v>
      </c>
      <c r="AP704" s="33">
        <v>0</v>
      </c>
      <c r="AQ704" s="33">
        <v>0</v>
      </c>
      <c r="AR704" s="33">
        <v>3</v>
      </c>
      <c r="AS704" s="33">
        <v>1</v>
      </c>
      <c r="AT704" s="33">
        <v>0</v>
      </c>
      <c r="AU704" s="43">
        <v>0.14972626262431907</v>
      </c>
      <c r="AV704" s="33">
        <v>0</v>
      </c>
      <c r="AW704" s="33">
        <v>0</v>
      </c>
      <c r="AY704" s="36">
        <v>676</v>
      </c>
      <c r="AZ704" s="33">
        <v>1</v>
      </c>
      <c r="BA704" s="33">
        <v>3</v>
      </c>
      <c r="BB704" s="33">
        <v>0</v>
      </c>
      <c r="BC704" s="33">
        <v>0</v>
      </c>
      <c r="BD704" s="43">
        <v>0.18791247240909698</v>
      </c>
      <c r="BE704" s="33">
        <v>0</v>
      </c>
      <c r="BF704" s="33">
        <v>0</v>
      </c>
      <c r="CE704" s="36">
        <v>670</v>
      </c>
      <c r="CF704" s="33">
        <v>6</v>
      </c>
      <c r="CG704" s="33">
        <v>1</v>
      </c>
      <c r="CH704" s="33">
        <v>1</v>
      </c>
      <c r="CI704" s="33">
        <v>2</v>
      </c>
      <c r="CJ704" s="33">
        <v>7</v>
      </c>
      <c r="CK704" s="33">
        <v>1</v>
      </c>
      <c r="CL704" s="33">
        <v>0</v>
      </c>
      <c r="CM704" s="33">
        <v>1</v>
      </c>
      <c r="CN704" s="33">
        <v>2</v>
      </c>
      <c r="CO704" s="33">
        <v>2</v>
      </c>
      <c r="CP704" s="43">
        <v>0.77616014638711273</v>
      </c>
      <c r="CQ704" s="33">
        <v>1</v>
      </c>
      <c r="CR704" s="33">
        <v>1</v>
      </c>
    </row>
    <row r="705" spans="1:96" ht="15" customHeight="1" x14ac:dyDescent="0.25">
      <c r="A705" s="26">
        <v>703</v>
      </c>
      <c r="B705" s="27">
        <v>38</v>
      </c>
      <c r="C705" s="27">
        <v>0</v>
      </c>
      <c r="D705" s="27">
        <v>3</v>
      </c>
      <c r="E705" s="27">
        <v>152</v>
      </c>
      <c r="F705" s="27">
        <v>1</v>
      </c>
      <c r="G705" s="27">
        <v>10</v>
      </c>
      <c r="H705" s="27">
        <v>3</v>
      </c>
      <c r="I705" s="27">
        <v>5</v>
      </c>
      <c r="J705" s="27">
        <v>1</v>
      </c>
      <c r="K705" s="27">
        <v>983</v>
      </c>
      <c r="L705" s="27">
        <v>3</v>
      </c>
      <c r="M705" s="27">
        <v>0</v>
      </c>
      <c r="N705" s="27">
        <v>85</v>
      </c>
      <c r="O705" s="27">
        <v>3</v>
      </c>
      <c r="P705" s="27">
        <v>2</v>
      </c>
      <c r="Q705" s="27">
        <v>1</v>
      </c>
      <c r="R705" s="27">
        <v>4</v>
      </c>
      <c r="S705" s="27">
        <v>1</v>
      </c>
      <c r="T705" s="27">
        <v>5666</v>
      </c>
      <c r="U705" s="27">
        <v>19899</v>
      </c>
      <c r="V705" s="27">
        <v>1</v>
      </c>
      <c r="W705" s="27">
        <v>1</v>
      </c>
      <c r="X705" s="27">
        <v>13</v>
      </c>
      <c r="Y705" s="27">
        <v>3</v>
      </c>
      <c r="Z705" s="27">
        <v>2</v>
      </c>
      <c r="AA705" s="27">
        <v>80</v>
      </c>
      <c r="AB705" s="27">
        <v>0</v>
      </c>
      <c r="AC705" s="27">
        <v>6</v>
      </c>
      <c r="AD705" s="27">
        <v>1</v>
      </c>
      <c r="AE705" s="27">
        <v>3</v>
      </c>
      <c r="AF705" s="27">
        <v>5</v>
      </c>
      <c r="AG705" s="27">
        <v>3</v>
      </c>
      <c r="AH705" s="27">
        <v>1</v>
      </c>
      <c r="AI705" s="28">
        <v>3</v>
      </c>
      <c r="AK705" s="36">
        <v>672</v>
      </c>
      <c r="AL705" s="33">
        <v>10</v>
      </c>
      <c r="AM705" s="33">
        <v>1</v>
      </c>
      <c r="AN705" s="33">
        <v>2</v>
      </c>
      <c r="AO705" s="33">
        <v>1</v>
      </c>
      <c r="AP705" s="33">
        <v>0</v>
      </c>
      <c r="AQ705" s="33">
        <v>2</v>
      </c>
      <c r="AR705" s="33">
        <v>3</v>
      </c>
      <c r="AS705" s="33">
        <v>1</v>
      </c>
      <c r="AT705" s="33">
        <v>1</v>
      </c>
      <c r="AU705" s="43">
        <v>9.4165514254161031E-2</v>
      </c>
      <c r="AV705" s="33">
        <v>0</v>
      </c>
      <c r="AW705" s="33">
        <v>0</v>
      </c>
      <c r="AY705" s="36">
        <v>677</v>
      </c>
      <c r="AZ705" s="33">
        <v>2</v>
      </c>
      <c r="BA705" s="33">
        <v>4</v>
      </c>
      <c r="BB705" s="33">
        <v>1</v>
      </c>
      <c r="BC705" s="33">
        <v>1</v>
      </c>
      <c r="BD705" s="43">
        <v>0.19951405628110813</v>
      </c>
      <c r="BE705" s="33">
        <v>0</v>
      </c>
      <c r="BF705" s="33">
        <v>0</v>
      </c>
      <c r="CE705" s="36">
        <v>671</v>
      </c>
      <c r="CF705" s="33">
        <v>4</v>
      </c>
      <c r="CG705" s="33">
        <v>1</v>
      </c>
      <c r="CH705" s="33">
        <v>3</v>
      </c>
      <c r="CI705" s="33">
        <v>1</v>
      </c>
      <c r="CJ705" s="33">
        <v>1</v>
      </c>
      <c r="CK705" s="33">
        <v>0</v>
      </c>
      <c r="CL705" s="33">
        <v>0</v>
      </c>
      <c r="CM705" s="33">
        <v>3</v>
      </c>
      <c r="CN705" s="33">
        <v>1</v>
      </c>
      <c r="CO705" s="33">
        <v>0</v>
      </c>
      <c r="CP705" s="43">
        <v>0.17135424928489776</v>
      </c>
      <c r="CQ705" s="33">
        <v>0</v>
      </c>
      <c r="CR705" s="33">
        <v>0</v>
      </c>
    </row>
    <row r="706" spans="1:96" ht="15" customHeight="1" x14ac:dyDescent="0.25">
      <c r="A706" s="26">
        <v>704</v>
      </c>
      <c r="B706" s="27">
        <v>35</v>
      </c>
      <c r="C706" s="27">
        <v>0</v>
      </c>
      <c r="D706" s="27">
        <v>1</v>
      </c>
      <c r="E706" s="27">
        <v>882</v>
      </c>
      <c r="F706" s="27">
        <v>1</v>
      </c>
      <c r="G706" s="27">
        <v>3</v>
      </c>
      <c r="H706" s="27">
        <v>4</v>
      </c>
      <c r="I706" s="27">
        <v>1</v>
      </c>
      <c r="J706" s="27">
        <v>1</v>
      </c>
      <c r="K706" s="27">
        <v>984</v>
      </c>
      <c r="L706" s="27">
        <v>4</v>
      </c>
      <c r="M706" s="27">
        <v>1</v>
      </c>
      <c r="N706" s="27">
        <v>92</v>
      </c>
      <c r="O706" s="27">
        <v>3</v>
      </c>
      <c r="P706" s="27">
        <v>3</v>
      </c>
      <c r="Q706" s="27">
        <v>1</v>
      </c>
      <c r="R706" s="27">
        <v>4</v>
      </c>
      <c r="S706" s="27">
        <v>3</v>
      </c>
      <c r="T706" s="27">
        <v>7823</v>
      </c>
      <c r="U706" s="27">
        <v>6812</v>
      </c>
      <c r="V706" s="27">
        <v>6</v>
      </c>
      <c r="W706" s="27">
        <v>0</v>
      </c>
      <c r="X706" s="27">
        <v>13</v>
      </c>
      <c r="Y706" s="27">
        <v>3</v>
      </c>
      <c r="Z706" s="27">
        <v>2</v>
      </c>
      <c r="AA706" s="27">
        <v>80</v>
      </c>
      <c r="AB706" s="27">
        <v>1</v>
      </c>
      <c r="AC706" s="27">
        <v>12</v>
      </c>
      <c r="AD706" s="27">
        <v>2</v>
      </c>
      <c r="AE706" s="27">
        <v>3</v>
      </c>
      <c r="AF706" s="27">
        <v>10</v>
      </c>
      <c r="AG706" s="27">
        <v>9</v>
      </c>
      <c r="AH706" s="27">
        <v>0</v>
      </c>
      <c r="AI706" s="28">
        <v>8</v>
      </c>
      <c r="AK706" s="36">
        <v>673</v>
      </c>
      <c r="AL706" s="33">
        <v>14</v>
      </c>
      <c r="AM706" s="33">
        <v>2</v>
      </c>
      <c r="AN706" s="33">
        <v>3</v>
      </c>
      <c r="AO706" s="33">
        <v>7</v>
      </c>
      <c r="AP706" s="33">
        <v>0</v>
      </c>
      <c r="AQ706" s="33">
        <v>0</v>
      </c>
      <c r="AR706" s="33">
        <v>3</v>
      </c>
      <c r="AS706" s="33">
        <v>5</v>
      </c>
      <c r="AT706" s="33">
        <v>0</v>
      </c>
      <c r="AU706" s="43">
        <v>0.14976182777189986</v>
      </c>
      <c r="AV706" s="33">
        <v>0</v>
      </c>
      <c r="AW706" s="33">
        <v>0</v>
      </c>
      <c r="AY706" s="36">
        <v>678</v>
      </c>
      <c r="AZ706" s="33">
        <v>3</v>
      </c>
      <c r="BA706" s="33">
        <v>2</v>
      </c>
      <c r="BB706" s="33">
        <v>0</v>
      </c>
      <c r="BC706" s="33">
        <v>1</v>
      </c>
      <c r="BD706" s="43">
        <v>5.6480788250011953E-2</v>
      </c>
      <c r="BE706" s="33">
        <v>0</v>
      </c>
      <c r="BF706" s="33">
        <v>0</v>
      </c>
      <c r="CE706" s="36">
        <v>672</v>
      </c>
      <c r="CF706" s="33">
        <v>10</v>
      </c>
      <c r="CG706" s="33">
        <v>1</v>
      </c>
      <c r="CH706" s="33">
        <v>2</v>
      </c>
      <c r="CI706" s="33">
        <v>3</v>
      </c>
      <c r="CJ706" s="33">
        <v>1</v>
      </c>
      <c r="CK706" s="33">
        <v>0</v>
      </c>
      <c r="CL706" s="33">
        <v>2</v>
      </c>
      <c r="CM706" s="33">
        <v>3</v>
      </c>
      <c r="CN706" s="33">
        <v>1</v>
      </c>
      <c r="CO706" s="33">
        <v>1</v>
      </c>
      <c r="CP706" s="43">
        <v>7.5569650945389116E-2</v>
      </c>
      <c r="CQ706" s="33">
        <v>0</v>
      </c>
      <c r="CR706" s="33">
        <v>0</v>
      </c>
    </row>
    <row r="707" spans="1:96" ht="15" customHeight="1" x14ac:dyDescent="0.25">
      <c r="A707" s="26">
        <v>705</v>
      </c>
      <c r="B707" s="27">
        <v>39</v>
      </c>
      <c r="C707" s="27">
        <v>0</v>
      </c>
      <c r="D707" s="27">
        <v>1</v>
      </c>
      <c r="E707" s="27">
        <v>903</v>
      </c>
      <c r="F707" s="27">
        <v>1</v>
      </c>
      <c r="G707" s="27">
        <v>2</v>
      </c>
      <c r="H707" s="27">
        <v>5</v>
      </c>
      <c r="I707" s="27">
        <v>1</v>
      </c>
      <c r="J707" s="27">
        <v>1</v>
      </c>
      <c r="K707" s="27">
        <v>985</v>
      </c>
      <c r="L707" s="27">
        <v>1</v>
      </c>
      <c r="M707" s="27">
        <v>1</v>
      </c>
      <c r="N707" s="27">
        <v>41</v>
      </c>
      <c r="O707" s="27">
        <v>4</v>
      </c>
      <c r="P707" s="27">
        <v>3</v>
      </c>
      <c r="Q707" s="27">
        <v>1</v>
      </c>
      <c r="R707" s="27">
        <v>3</v>
      </c>
      <c r="S707" s="27">
        <v>1</v>
      </c>
      <c r="T707" s="27">
        <v>7880</v>
      </c>
      <c r="U707" s="27">
        <v>2560</v>
      </c>
      <c r="V707" s="27">
        <v>0</v>
      </c>
      <c r="W707" s="27">
        <v>0</v>
      </c>
      <c r="X707" s="27">
        <v>18</v>
      </c>
      <c r="Y707" s="27">
        <v>3</v>
      </c>
      <c r="Z707" s="27">
        <v>4</v>
      </c>
      <c r="AA707" s="27">
        <v>80</v>
      </c>
      <c r="AB707" s="27">
        <v>0</v>
      </c>
      <c r="AC707" s="27">
        <v>9</v>
      </c>
      <c r="AD707" s="27">
        <v>3</v>
      </c>
      <c r="AE707" s="27">
        <v>3</v>
      </c>
      <c r="AF707" s="27">
        <v>8</v>
      </c>
      <c r="AG707" s="27">
        <v>7</v>
      </c>
      <c r="AH707" s="27">
        <v>0</v>
      </c>
      <c r="AI707" s="28">
        <v>7</v>
      </c>
      <c r="AK707" s="36">
        <v>674</v>
      </c>
      <c r="AL707" s="33">
        <v>1</v>
      </c>
      <c r="AM707" s="33">
        <v>1</v>
      </c>
      <c r="AN707" s="33">
        <v>1</v>
      </c>
      <c r="AO707" s="33">
        <v>3</v>
      </c>
      <c r="AP707" s="33">
        <v>1</v>
      </c>
      <c r="AQ707" s="33">
        <v>0</v>
      </c>
      <c r="AR707" s="33">
        <v>3</v>
      </c>
      <c r="AS707" s="33">
        <v>3</v>
      </c>
      <c r="AT707" s="33">
        <v>0</v>
      </c>
      <c r="AU707" s="43">
        <v>0.56105417134256275</v>
      </c>
      <c r="AV707" s="33">
        <v>1</v>
      </c>
      <c r="AW707" s="33">
        <v>0</v>
      </c>
      <c r="AY707" s="36">
        <v>679</v>
      </c>
      <c r="AZ707" s="33">
        <v>1</v>
      </c>
      <c r="BA707" s="33">
        <v>3</v>
      </c>
      <c r="BB707" s="33">
        <v>0</v>
      </c>
      <c r="BC707" s="33">
        <v>2</v>
      </c>
      <c r="BD707" s="43">
        <v>7.4543423691031577E-2</v>
      </c>
      <c r="BE707" s="33">
        <v>0</v>
      </c>
      <c r="BF707" s="33">
        <v>0</v>
      </c>
      <c r="CE707" s="36">
        <v>673</v>
      </c>
      <c r="CF707" s="33">
        <v>14</v>
      </c>
      <c r="CG707" s="33">
        <v>2</v>
      </c>
      <c r="CH707" s="33">
        <v>3</v>
      </c>
      <c r="CI707" s="33">
        <v>1</v>
      </c>
      <c r="CJ707" s="33">
        <v>7</v>
      </c>
      <c r="CK707" s="33">
        <v>0</v>
      </c>
      <c r="CL707" s="33">
        <v>0</v>
      </c>
      <c r="CM707" s="33">
        <v>3</v>
      </c>
      <c r="CN707" s="33">
        <v>5</v>
      </c>
      <c r="CO707" s="33">
        <v>0</v>
      </c>
      <c r="CP707" s="43">
        <v>0.1735715255184096</v>
      </c>
      <c r="CQ707" s="33">
        <v>0</v>
      </c>
      <c r="CR707" s="33">
        <v>0</v>
      </c>
    </row>
    <row r="708" spans="1:96" ht="15" customHeight="1" x14ac:dyDescent="0.25">
      <c r="A708" s="26">
        <v>706</v>
      </c>
      <c r="B708" s="27">
        <v>40</v>
      </c>
      <c r="C708" s="27">
        <v>1</v>
      </c>
      <c r="D708" s="27">
        <v>3</v>
      </c>
      <c r="E708" s="27">
        <v>1479</v>
      </c>
      <c r="F708" s="27">
        <v>1</v>
      </c>
      <c r="G708" s="27">
        <v>24</v>
      </c>
      <c r="H708" s="27">
        <v>3</v>
      </c>
      <c r="I708" s="27">
        <v>1</v>
      </c>
      <c r="J708" s="27">
        <v>1</v>
      </c>
      <c r="K708" s="27">
        <v>986</v>
      </c>
      <c r="L708" s="27">
        <v>2</v>
      </c>
      <c r="M708" s="27">
        <v>0</v>
      </c>
      <c r="N708" s="27">
        <v>100</v>
      </c>
      <c r="O708" s="27">
        <v>4</v>
      </c>
      <c r="P708" s="27">
        <v>4</v>
      </c>
      <c r="Q708" s="27">
        <v>1</v>
      </c>
      <c r="R708" s="27">
        <v>2</v>
      </c>
      <c r="S708" s="27">
        <v>1</v>
      </c>
      <c r="T708" s="27">
        <v>13194</v>
      </c>
      <c r="U708" s="27">
        <v>17071</v>
      </c>
      <c r="V708" s="27">
        <v>4</v>
      </c>
      <c r="W708" s="27">
        <v>1</v>
      </c>
      <c r="X708" s="27">
        <v>16</v>
      </c>
      <c r="Y708" s="27">
        <v>3</v>
      </c>
      <c r="Z708" s="27">
        <v>4</v>
      </c>
      <c r="AA708" s="27">
        <v>80</v>
      </c>
      <c r="AB708" s="27">
        <v>0</v>
      </c>
      <c r="AC708" s="27">
        <v>22</v>
      </c>
      <c r="AD708" s="27">
        <v>2</v>
      </c>
      <c r="AE708" s="27">
        <v>2</v>
      </c>
      <c r="AF708" s="27">
        <v>1</v>
      </c>
      <c r="AG708" s="27">
        <v>0</v>
      </c>
      <c r="AH708" s="27">
        <v>0</v>
      </c>
      <c r="AI708" s="28">
        <v>0</v>
      </c>
      <c r="AK708" s="36">
        <v>675</v>
      </c>
      <c r="AL708" s="33">
        <v>5</v>
      </c>
      <c r="AM708" s="33">
        <v>3</v>
      </c>
      <c r="AN708" s="33">
        <v>2</v>
      </c>
      <c r="AO708" s="33">
        <v>2</v>
      </c>
      <c r="AP708" s="33">
        <v>1</v>
      </c>
      <c r="AQ708" s="33">
        <v>1</v>
      </c>
      <c r="AR708" s="33">
        <v>3</v>
      </c>
      <c r="AS708" s="33">
        <v>6</v>
      </c>
      <c r="AT708" s="33">
        <v>0</v>
      </c>
      <c r="AU708" s="43">
        <v>0.13208715217300801</v>
      </c>
      <c r="AV708" s="33">
        <v>0</v>
      </c>
      <c r="AW708" s="33">
        <v>0</v>
      </c>
      <c r="AY708" s="36">
        <v>680</v>
      </c>
      <c r="AZ708" s="33">
        <v>2</v>
      </c>
      <c r="BA708" s="33">
        <v>3</v>
      </c>
      <c r="BB708" s="33">
        <v>0</v>
      </c>
      <c r="BC708" s="33">
        <v>1</v>
      </c>
      <c r="BD708" s="43">
        <v>7.244788656931947E-2</v>
      </c>
      <c r="BE708" s="33">
        <v>0</v>
      </c>
      <c r="BF708" s="33">
        <v>0</v>
      </c>
      <c r="CE708" s="36">
        <v>674</v>
      </c>
      <c r="CF708" s="33">
        <v>1</v>
      </c>
      <c r="CG708" s="33">
        <v>1</v>
      </c>
      <c r="CH708" s="33">
        <v>1</v>
      </c>
      <c r="CI708" s="33">
        <v>1</v>
      </c>
      <c r="CJ708" s="33">
        <v>3</v>
      </c>
      <c r="CK708" s="33">
        <v>1</v>
      </c>
      <c r="CL708" s="33">
        <v>0</v>
      </c>
      <c r="CM708" s="33">
        <v>3</v>
      </c>
      <c r="CN708" s="33">
        <v>3</v>
      </c>
      <c r="CO708" s="33">
        <v>0</v>
      </c>
      <c r="CP708" s="43">
        <v>0.61916502453027977</v>
      </c>
      <c r="CQ708" s="33">
        <v>1</v>
      </c>
      <c r="CR708" s="33">
        <v>0</v>
      </c>
    </row>
    <row r="709" spans="1:96" ht="15" customHeight="1" x14ac:dyDescent="0.25">
      <c r="A709" s="26">
        <v>707</v>
      </c>
      <c r="B709" s="27">
        <v>47</v>
      </c>
      <c r="C709" s="27">
        <v>0</v>
      </c>
      <c r="D709" s="27">
        <v>2</v>
      </c>
      <c r="E709" s="27">
        <v>1379</v>
      </c>
      <c r="F709" s="27">
        <v>2</v>
      </c>
      <c r="G709" s="27">
        <v>16</v>
      </c>
      <c r="H709" s="27">
        <v>4</v>
      </c>
      <c r="I709" s="27">
        <v>3</v>
      </c>
      <c r="J709" s="27">
        <v>1</v>
      </c>
      <c r="K709" s="27">
        <v>987</v>
      </c>
      <c r="L709" s="27">
        <v>3</v>
      </c>
      <c r="M709" s="27">
        <v>1</v>
      </c>
      <c r="N709" s="27">
        <v>64</v>
      </c>
      <c r="O709" s="27">
        <v>4</v>
      </c>
      <c r="P709" s="27">
        <v>2</v>
      </c>
      <c r="Q709" s="27">
        <v>4</v>
      </c>
      <c r="R709" s="27">
        <v>3</v>
      </c>
      <c r="S709" s="27">
        <v>3</v>
      </c>
      <c r="T709" s="27">
        <v>5067</v>
      </c>
      <c r="U709" s="27">
        <v>6759</v>
      </c>
      <c r="V709" s="27">
        <v>1</v>
      </c>
      <c r="W709" s="27">
        <v>1</v>
      </c>
      <c r="X709" s="27">
        <v>19</v>
      </c>
      <c r="Y709" s="27">
        <v>3</v>
      </c>
      <c r="Z709" s="27">
        <v>3</v>
      </c>
      <c r="AA709" s="27">
        <v>80</v>
      </c>
      <c r="AB709" s="27">
        <v>0</v>
      </c>
      <c r="AC709" s="27">
        <v>20</v>
      </c>
      <c r="AD709" s="27">
        <v>3</v>
      </c>
      <c r="AE709" s="27">
        <v>4</v>
      </c>
      <c r="AF709" s="27">
        <v>19</v>
      </c>
      <c r="AG709" s="27">
        <v>10</v>
      </c>
      <c r="AH709" s="27">
        <v>2</v>
      </c>
      <c r="AI709" s="28">
        <v>7</v>
      </c>
      <c r="AK709" s="36">
        <v>676</v>
      </c>
      <c r="AL709" s="33">
        <v>7</v>
      </c>
      <c r="AM709" s="33">
        <v>1</v>
      </c>
      <c r="AN709" s="33">
        <v>3</v>
      </c>
      <c r="AO709" s="33">
        <v>3</v>
      </c>
      <c r="AP709" s="33">
        <v>0</v>
      </c>
      <c r="AQ709" s="33">
        <v>0</v>
      </c>
      <c r="AR709" s="33">
        <v>4</v>
      </c>
      <c r="AS709" s="33">
        <v>7</v>
      </c>
      <c r="AT709" s="33">
        <v>5</v>
      </c>
      <c r="AU709" s="43">
        <v>0.17274606234393849</v>
      </c>
      <c r="AV709" s="33">
        <v>0</v>
      </c>
      <c r="AW709" s="33">
        <v>0</v>
      </c>
      <c r="AY709" s="36">
        <v>681</v>
      </c>
      <c r="AZ709" s="33">
        <v>1</v>
      </c>
      <c r="BA709" s="33">
        <v>4</v>
      </c>
      <c r="BB709" s="33">
        <v>0</v>
      </c>
      <c r="BC709" s="33">
        <v>0</v>
      </c>
      <c r="BD709" s="43">
        <v>0.1472907617042678</v>
      </c>
      <c r="BE709" s="33">
        <v>0</v>
      </c>
      <c r="BF709" s="33">
        <v>0</v>
      </c>
      <c r="CE709" s="36">
        <v>675</v>
      </c>
      <c r="CF709" s="33">
        <v>5</v>
      </c>
      <c r="CG709" s="33">
        <v>3</v>
      </c>
      <c r="CH709" s="33">
        <v>2</v>
      </c>
      <c r="CI709" s="33">
        <v>3</v>
      </c>
      <c r="CJ709" s="33">
        <v>2</v>
      </c>
      <c r="CK709" s="33">
        <v>1</v>
      </c>
      <c r="CL709" s="33">
        <v>1</v>
      </c>
      <c r="CM709" s="33">
        <v>3</v>
      </c>
      <c r="CN709" s="33">
        <v>6</v>
      </c>
      <c r="CO709" s="33">
        <v>0</v>
      </c>
      <c r="CP709" s="43">
        <v>8.2684360134337276E-2</v>
      </c>
      <c r="CQ709" s="33">
        <v>0</v>
      </c>
      <c r="CR709" s="33">
        <v>0</v>
      </c>
    </row>
    <row r="710" spans="1:96" ht="15" customHeight="1" x14ac:dyDescent="0.25">
      <c r="A710" s="26">
        <v>708</v>
      </c>
      <c r="B710" s="27">
        <v>36</v>
      </c>
      <c r="C710" s="27">
        <v>0</v>
      </c>
      <c r="D710" s="27">
        <v>3</v>
      </c>
      <c r="E710" s="27">
        <v>1229</v>
      </c>
      <c r="F710" s="27">
        <v>1</v>
      </c>
      <c r="G710" s="27">
        <v>8</v>
      </c>
      <c r="H710" s="27">
        <v>4</v>
      </c>
      <c r="I710" s="27">
        <v>5</v>
      </c>
      <c r="J710" s="27">
        <v>1</v>
      </c>
      <c r="K710" s="27">
        <v>990</v>
      </c>
      <c r="L710" s="27">
        <v>1</v>
      </c>
      <c r="M710" s="27">
        <v>1</v>
      </c>
      <c r="N710" s="27">
        <v>84</v>
      </c>
      <c r="O710" s="27">
        <v>3</v>
      </c>
      <c r="P710" s="27">
        <v>2</v>
      </c>
      <c r="Q710" s="27">
        <v>1</v>
      </c>
      <c r="R710" s="27">
        <v>4</v>
      </c>
      <c r="S710" s="27">
        <v>3</v>
      </c>
      <c r="T710" s="27">
        <v>5079</v>
      </c>
      <c r="U710" s="27">
        <v>25952</v>
      </c>
      <c r="V710" s="27">
        <v>4</v>
      </c>
      <c r="W710" s="27">
        <v>0</v>
      </c>
      <c r="X710" s="27">
        <v>13</v>
      </c>
      <c r="Y710" s="27">
        <v>3</v>
      </c>
      <c r="Z710" s="27">
        <v>4</v>
      </c>
      <c r="AA710" s="27">
        <v>80</v>
      </c>
      <c r="AB710" s="27">
        <v>2</v>
      </c>
      <c r="AC710" s="27">
        <v>12</v>
      </c>
      <c r="AD710" s="27">
        <v>3</v>
      </c>
      <c r="AE710" s="27">
        <v>3</v>
      </c>
      <c r="AF710" s="27">
        <v>7</v>
      </c>
      <c r="AG710" s="27">
        <v>7</v>
      </c>
      <c r="AH710" s="27">
        <v>0</v>
      </c>
      <c r="AI710" s="28">
        <v>7</v>
      </c>
      <c r="AK710" s="36">
        <v>677</v>
      </c>
      <c r="AL710" s="33">
        <v>21</v>
      </c>
      <c r="AM710" s="33">
        <v>2</v>
      </c>
      <c r="AN710" s="33">
        <v>4</v>
      </c>
      <c r="AO710" s="33">
        <v>1</v>
      </c>
      <c r="AP710" s="33">
        <v>1</v>
      </c>
      <c r="AQ710" s="33">
        <v>1</v>
      </c>
      <c r="AR710" s="33">
        <v>1</v>
      </c>
      <c r="AS710" s="33">
        <v>10</v>
      </c>
      <c r="AT710" s="33">
        <v>0</v>
      </c>
      <c r="AU710" s="43">
        <v>0.21682670127936218</v>
      </c>
      <c r="AV710" s="33">
        <v>0</v>
      </c>
      <c r="AW710" s="33">
        <v>0</v>
      </c>
      <c r="AY710" s="36">
        <v>682</v>
      </c>
      <c r="AZ710" s="33">
        <v>3</v>
      </c>
      <c r="BA710" s="33">
        <v>1</v>
      </c>
      <c r="BB710" s="33">
        <v>0</v>
      </c>
      <c r="BC710" s="33">
        <v>1</v>
      </c>
      <c r="BD710" s="43">
        <v>7.4238208059117641E-2</v>
      </c>
      <c r="BE710" s="33">
        <v>0</v>
      </c>
      <c r="BF710" s="33">
        <v>0</v>
      </c>
      <c r="CE710" s="36">
        <v>676</v>
      </c>
      <c r="CF710" s="33">
        <v>7</v>
      </c>
      <c r="CG710" s="33">
        <v>1</v>
      </c>
      <c r="CH710" s="33">
        <v>3</v>
      </c>
      <c r="CI710" s="33">
        <v>2</v>
      </c>
      <c r="CJ710" s="33">
        <v>3</v>
      </c>
      <c r="CK710" s="33">
        <v>0</v>
      </c>
      <c r="CL710" s="33">
        <v>0</v>
      </c>
      <c r="CM710" s="33">
        <v>4</v>
      </c>
      <c r="CN710" s="33">
        <v>7</v>
      </c>
      <c r="CO710" s="33">
        <v>5</v>
      </c>
      <c r="CP710" s="43">
        <v>0.12324918211518232</v>
      </c>
      <c r="CQ710" s="33">
        <v>0</v>
      </c>
      <c r="CR710" s="33">
        <v>0</v>
      </c>
    </row>
    <row r="711" spans="1:96" ht="15" customHeight="1" x14ac:dyDescent="0.25">
      <c r="A711" s="26">
        <v>709</v>
      </c>
      <c r="B711" s="27">
        <v>31</v>
      </c>
      <c r="C711" s="27">
        <v>1</v>
      </c>
      <c r="D711" s="27">
        <v>3</v>
      </c>
      <c r="E711" s="27">
        <v>335</v>
      </c>
      <c r="F711" s="27">
        <v>2</v>
      </c>
      <c r="G711" s="27">
        <v>9</v>
      </c>
      <c r="H711" s="27">
        <v>2</v>
      </c>
      <c r="I711" s="27">
        <v>3</v>
      </c>
      <c r="J711" s="27">
        <v>1</v>
      </c>
      <c r="K711" s="27">
        <v>991</v>
      </c>
      <c r="L711" s="27">
        <v>3</v>
      </c>
      <c r="M711" s="27">
        <v>1</v>
      </c>
      <c r="N711" s="27">
        <v>46</v>
      </c>
      <c r="O711" s="27">
        <v>2</v>
      </c>
      <c r="P711" s="27">
        <v>1</v>
      </c>
      <c r="Q711" s="27">
        <v>2</v>
      </c>
      <c r="R711" s="27">
        <v>1</v>
      </c>
      <c r="S711" s="27">
        <v>1</v>
      </c>
      <c r="T711" s="27">
        <v>2321</v>
      </c>
      <c r="U711" s="27">
        <v>10322</v>
      </c>
      <c r="V711" s="27">
        <v>0</v>
      </c>
      <c r="W711" s="27">
        <v>1</v>
      </c>
      <c r="X711" s="27">
        <v>22</v>
      </c>
      <c r="Y711" s="27">
        <v>4</v>
      </c>
      <c r="Z711" s="27">
        <v>1</v>
      </c>
      <c r="AA711" s="27">
        <v>80</v>
      </c>
      <c r="AB711" s="27">
        <v>0</v>
      </c>
      <c r="AC711" s="27">
        <v>4</v>
      </c>
      <c r="AD711" s="27">
        <v>0</v>
      </c>
      <c r="AE711" s="27">
        <v>3</v>
      </c>
      <c r="AF711" s="27">
        <v>3</v>
      </c>
      <c r="AG711" s="27">
        <v>2</v>
      </c>
      <c r="AH711" s="27">
        <v>1</v>
      </c>
      <c r="AI711" s="28">
        <v>2</v>
      </c>
      <c r="AK711" s="36">
        <v>678</v>
      </c>
      <c r="AL711" s="33">
        <v>8</v>
      </c>
      <c r="AM711" s="33">
        <v>3</v>
      </c>
      <c r="AN711" s="33">
        <v>2</v>
      </c>
      <c r="AO711" s="33">
        <v>4</v>
      </c>
      <c r="AP711" s="33">
        <v>0</v>
      </c>
      <c r="AQ711" s="33">
        <v>1</v>
      </c>
      <c r="AR711" s="33">
        <v>2</v>
      </c>
      <c r="AS711" s="33">
        <v>26</v>
      </c>
      <c r="AT711" s="33">
        <v>1</v>
      </c>
      <c r="AU711" s="43">
        <v>1.4990211320063659E-2</v>
      </c>
      <c r="AV711" s="33">
        <v>0</v>
      </c>
      <c r="AW711" s="33">
        <v>0</v>
      </c>
      <c r="AY711" s="36">
        <v>683</v>
      </c>
      <c r="AZ711" s="33">
        <v>1</v>
      </c>
      <c r="BA711" s="33">
        <v>2</v>
      </c>
      <c r="BB711" s="33">
        <v>0</v>
      </c>
      <c r="BC711" s="33">
        <v>0</v>
      </c>
      <c r="BD711" s="43">
        <v>0.23662845161334917</v>
      </c>
      <c r="BE711" s="33">
        <v>0</v>
      </c>
      <c r="BF711" s="33">
        <v>0</v>
      </c>
      <c r="CE711" s="36">
        <v>677</v>
      </c>
      <c r="CF711" s="33">
        <v>21</v>
      </c>
      <c r="CG711" s="33">
        <v>2</v>
      </c>
      <c r="CH711" s="33">
        <v>4</v>
      </c>
      <c r="CI711" s="33">
        <v>2</v>
      </c>
      <c r="CJ711" s="33">
        <v>1</v>
      </c>
      <c r="CK711" s="33">
        <v>1</v>
      </c>
      <c r="CL711" s="33">
        <v>1</v>
      </c>
      <c r="CM711" s="33">
        <v>1</v>
      </c>
      <c r="CN711" s="33">
        <v>10</v>
      </c>
      <c r="CO711" s="33">
        <v>0</v>
      </c>
      <c r="CP711" s="43">
        <v>0.21789721187263217</v>
      </c>
      <c r="CQ711" s="33">
        <v>0</v>
      </c>
      <c r="CR711" s="33">
        <v>0</v>
      </c>
    </row>
    <row r="712" spans="1:96" ht="15" customHeight="1" x14ac:dyDescent="0.25">
      <c r="A712" s="26">
        <v>710</v>
      </c>
      <c r="B712" s="27">
        <v>33</v>
      </c>
      <c r="C712" s="27">
        <v>0</v>
      </c>
      <c r="D712" s="27">
        <v>3</v>
      </c>
      <c r="E712" s="27">
        <v>722</v>
      </c>
      <c r="F712" s="27">
        <v>1</v>
      </c>
      <c r="G712" s="27">
        <v>17</v>
      </c>
      <c r="H712" s="27">
        <v>3</v>
      </c>
      <c r="I712" s="27">
        <v>1</v>
      </c>
      <c r="J712" s="27">
        <v>1</v>
      </c>
      <c r="K712" s="27">
        <v>992</v>
      </c>
      <c r="L712" s="27">
        <v>4</v>
      </c>
      <c r="M712" s="27">
        <v>1</v>
      </c>
      <c r="N712" s="27">
        <v>38</v>
      </c>
      <c r="O712" s="27">
        <v>3</v>
      </c>
      <c r="P712" s="27">
        <v>4</v>
      </c>
      <c r="Q712" s="27">
        <v>6</v>
      </c>
      <c r="R712" s="27">
        <v>3</v>
      </c>
      <c r="S712" s="27">
        <v>1</v>
      </c>
      <c r="T712" s="27">
        <v>17444</v>
      </c>
      <c r="U712" s="27">
        <v>20489</v>
      </c>
      <c r="V712" s="27">
        <v>1</v>
      </c>
      <c r="W712" s="27">
        <v>0</v>
      </c>
      <c r="X712" s="27">
        <v>11</v>
      </c>
      <c r="Y712" s="27">
        <v>3</v>
      </c>
      <c r="Z712" s="27">
        <v>4</v>
      </c>
      <c r="AA712" s="27">
        <v>80</v>
      </c>
      <c r="AB712" s="27">
        <v>0</v>
      </c>
      <c r="AC712" s="27">
        <v>10</v>
      </c>
      <c r="AD712" s="27">
        <v>2</v>
      </c>
      <c r="AE712" s="27">
        <v>3</v>
      </c>
      <c r="AF712" s="27">
        <v>10</v>
      </c>
      <c r="AG712" s="27">
        <v>8</v>
      </c>
      <c r="AH712" s="27">
        <v>6</v>
      </c>
      <c r="AI712" s="28">
        <v>0</v>
      </c>
      <c r="AK712" s="36">
        <v>679</v>
      </c>
      <c r="AL712" s="33">
        <v>20</v>
      </c>
      <c r="AM712" s="33">
        <v>1</v>
      </c>
      <c r="AN712" s="33">
        <v>3</v>
      </c>
      <c r="AO712" s="33">
        <v>4</v>
      </c>
      <c r="AP712" s="33">
        <v>0</v>
      </c>
      <c r="AQ712" s="33">
        <v>2</v>
      </c>
      <c r="AR712" s="33">
        <v>2</v>
      </c>
      <c r="AS712" s="33">
        <v>0</v>
      </c>
      <c r="AT712" s="33">
        <v>0</v>
      </c>
      <c r="AU712" s="43">
        <v>0.14477129999529742</v>
      </c>
      <c r="AV712" s="33">
        <v>0</v>
      </c>
      <c r="AW712" s="33">
        <v>0</v>
      </c>
      <c r="AY712" s="36">
        <v>684</v>
      </c>
      <c r="AZ712" s="33">
        <v>1</v>
      </c>
      <c r="BA712" s="33">
        <v>2</v>
      </c>
      <c r="BB712" s="33">
        <v>1</v>
      </c>
      <c r="BC712" s="33">
        <v>3</v>
      </c>
      <c r="BD712" s="43">
        <v>0.2139229997628791</v>
      </c>
      <c r="BE712" s="33">
        <v>0</v>
      </c>
      <c r="BF712" s="33">
        <v>1</v>
      </c>
      <c r="CE712" s="36">
        <v>678</v>
      </c>
      <c r="CF712" s="33">
        <v>8</v>
      </c>
      <c r="CG712" s="33">
        <v>3</v>
      </c>
      <c r="CH712" s="33">
        <v>2</v>
      </c>
      <c r="CI712" s="33">
        <v>2</v>
      </c>
      <c r="CJ712" s="33">
        <v>4</v>
      </c>
      <c r="CK712" s="33">
        <v>0</v>
      </c>
      <c r="CL712" s="33">
        <v>1</v>
      </c>
      <c r="CM712" s="33">
        <v>2</v>
      </c>
      <c r="CN712" s="33">
        <v>26</v>
      </c>
      <c r="CO712" s="33">
        <v>1</v>
      </c>
      <c r="CP712" s="43">
        <v>1.5005869018526673E-2</v>
      </c>
      <c r="CQ712" s="33">
        <v>0</v>
      </c>
      <c r="CR712" s="33">
        <v>0</v>
      </c>
    </row>
    <row r="713" spans="1:96" ht="15" customHeight="1" x14ac:dyDescent="0.25">
      <c r="A713" s="26">
        <v>711</v>
      </c>
      <c r="B713" s="27">
        <v>29</v>
      </c>
      <c r="C713" s="27">
        <v>1</v>
      </c>
      <c r="D713" s="27">
        <v>1</v>
      </c>
      <c r="E713" s="27">
        <v>906</v>
      </c>
      <c r="F713" s="27">
        <v>2</v>
      </c>
      <c r="G713" s="27">
        <v>10</v>
      </c>
      <c r="H713" s="27">
        <v>3</v>
      </c>
      <c r="I713" s="27">
        <v>1</v>
      </c>
      <c r="J713" s="27">
        <v>1</v>
      </c>
      <c r="K713" s="27">
        <v>994</v>
      </c>
      <c r="L713" s="27">
        <v>4</v>
      </c>
      <c r="M713" s="27">
        <v>0</v>
      </c>
      <c r="N713" s="27">
        <v>92</v>
      </c>
      <c r="O713" s="27">
        <v>2</v>
      </c>
      <c r="P713" s="27">
        <v>1</v>
      </c>
      <c r="Q713" s="27">
        <v>2</v>
      </c>
      <c r="R713" s="27">
        <v>1</v>
      </c>
      <c r="S713" s="27">
        <v>1</v>
      </c>
      <c r="T713" s="27">
        <v>2404</v>
      </c>
      <c r="U713" s="27">
        <v>11479</v>
      </c>
      <c r="V713" s="27">
        <v>6</v>
      </c>
      <c r="W713" s="27">
        <v>1</v>
      </c>
      <c r="X713" s="27">
        <v>20</v>
      </c>
      <c r="Y713" s="27">
        <v>4</v>
      </c>
      <c r="Z713" s="27">
        <v>3</v>
      </c>
      <c r="AA713" s="27">
        <v>80</v>
      </c>
      <c r="AB713" s="27">
        <v>0</v>
      </c>
      <c r="AC713" s="27">
        <v>3</v>
      </c>
      <c r="AD713" s="27">
        <v>5</v>
      </c>
      <c r="AE713" s="27">
        <v>3</v>
      </c>
      <c r="AF713" s="27">
        <v>0</v>
      </c>
      <c r="AG713" s="27">
        <v>0</v>
      </c>
      <c r="AH713" s="27">
        <v>0</v>
      </c>
      <c r="AI713" s="28">
        <v>0</v>
      </c>
      <c r="AK713" s="36">
        <v>680</v>
      </c>
      <c r="AL713" s="33">
        <v>20</v>
      </c>
      <c r="AM713" s="33">
        <v>2</v>
      </c>
      <c r="AN713" s="33">
        <v>3</v>
      </c>
      <c r="AO713" s="33">
        <v>1</v>
      </c>
      <c r="AP713" s="33">
        <v>0</v>
      </c>
      <c r="AQ713" s="33">
        <v>1</v>
      </c>
      <c r="AR713" s="33">
        <v>2</v>
      </c>
      <c r="AS713" s="33">
        <v>9</v>
      </c>
      <c r="AT713" s="33">
        <v>0</v>
      </c>
      <c r="AU713" s="43">
        <v>6.5278762839488538E-2</v>
      </c>
      <c r="AV713" s="33">
        <v>0</v>
      </c>
      <c r="AW713" s="33">
        <v>0</v>
      </c>
      <c r="AY713" s="36">
        <v>685</v>
      </c>
      <c r="AZ713" s="33">
        <v>3</v>
      </c>
      <c r="BA713" s="33">
        <v>2</v>
      </c>
      <c r="BB713" s="33">
        <v>0</v>
      </c>
      <c r="BC713" s="33">
        <v>1</v>
      </c>
      <c r="BD713" s="43">
        <v>5.6480788250011953E-2</v>
      </c>
      <c r="BE713" s="33">
        <v>0</v>
      </c>
      <c r="BF713" s="33">
        <v>0</v>
      </c>
      <c r="CE713" s="36">
        <v>679</v>
      </c>
      <c r="CF713" s="33">
        <v>20</v>
      </c>
      <c r="CG713" s="33">
        <v>1</v>
      </c>
      <c r="CH713" s="33">
        <v>3</v>
      </c>
      <c r="CI713" s="33">
        <v>2</v>
      </c>
      <c r="CJ713" s="33">
        <v>4</v>
      </c>
      <c r="CK713" s="33">
        <v>0</v>
      </c>
      <c r="CL713" s="33">
        <v>2</v>
      </c>
      <c r="CM713" s="33">
        <v>2</v>
      </c>
      <c r="CN713" s="33">
        <v>0</v>
      </c>
      <c r="CO713" s="33">
        <v>0</v>
      </c>
      <c r="CP713" s="43">
        <v>0.18763146495895994</v>
      </c>
      <c r="CQ713" s="33">
        <v>0</v>
      </c>
      <c r="CR713" s="33">
        <v>0</v>
      </c>
    </row>
    <row r="714" spans="1:96" ht="15" customHeight="1" x14ac:dyDescent="0.25">
      <c r="A714" s="26">
        <v>712</v>
      </c>
      <c r="B714" s="27">
        <v>33</v>
      </c>
      <c r="C714" s="27">
        <v>0</v>
      </c>
      <c r="D714" s="27">
        <v>1</v>
      </c>
      <c r="E714" s="27">
        <v>461</v>
      </c>
      <c r="F714" s="27">
        <v>2</v>
      </c>
      <c r="G714" s="27">
        <v>13</v>
      </c>
      <c r="H714" s="27">
        <v>1</v>
      </c>
      <c r="I714" s="27">
        <v>1</v>
      </c>
      <c r="J714" s="27">
        <v>1</v>
      </c>
      <c r="K714" s="27">
        <v>995</v>
      </c>
      <c r="L714" s="27">
        <v>2</v>
      </c>
      <c r="M714" s="27">
        <v>0</v>
      </c>
      <c r="N714" s="27">
        <v>53</v>
      </c>
      <c r="O714" s="27">
        <v>3</v>
      </c>
      <c r="P714" s="27">
        <v>1</v>
      </c>
      <c r="Q714" s="27">
        <v>2</v>
      </c>
      <c r="R714" s="27">
        <v>4</v>
      </c>
      <c r="S714" s="27">
        <v>1</v>
      </c>
      <c r="T714" s="27">
        <v>3452</v>
      </c>
      <c r="U714" s="27">
        <v>17241</v>
      </c>
      <c r="V714" s="27">
        <v>3</v>
      </c>
      <c r="W714" s="27">
        <v>0</v>
      </c>
      <c r="X714" s="27">
        <v>18</v>
      </c>
      <c r="Y714" s="27">
        <v>3</v>
      </c>
      <c r="Z714" s="27">
        <v>1</v>
      </c>
      <c r="AA714" s="27">
        <v>80</v>
      </c>
      <c r="AB714" s="27">
        <v>0</v>
      </c>
      <c r="AC714" s="27">
        <v>5</v>
      </c>
      <c r="AD714" s="27">
        <v>4</v>
      </c>
      <c r="AE714" s="27">
        <v>3</v>
      </c>
      <c r="AF714" s="27">
        <v>3</v>
      </c>
      <c r="AG714" s="27">
        <v>2</v>
      </c>
      <c r="AH714" s="27">
        <v>0</v>
      </c>
      <c r="AI714" s="28">
        <v>2</v>
      </c>
      <c r="AK714" s="36">
        <v>681</v>
      </c>
      <c r="AL714" s="33">
        <v>7</v>
      </c>
      <c r="AM714" s="33">
        <v>1</v>
      </c>
      <c r="AN714" s="33">
        <v>4</v>
      </c>
      <c r="AO714" s="33">
        <v>2</v>
      </c>
      <c r="AP714" s="33">
        <v>0</v>
      </c>
      <c r="AQ714" s="33">
        <v>0</v>
      </c>
      <c r="AR714" s="33">
        <v>3</v>
      </c>
      <c r="AS714" s="33">
        <v>6</v>
      </c>
      <c r="AT714" s="33">
        <v>0</v>
      </c>
      <c r="AU714" s="43">
        <v>9.9355382287554028E-2</v>
      </c>
      <c r="AV714" s="33">
        <v>0</v>
      </c>
      <c r="AW714" s="33">
        <v>0</v>
      </c>
      <c r="AY714" s="36">
        <v>686</v>
      </c>
      <c r="AZ714" s="33">
        <v>2</v>
      </c>
      <c r="BA714" s="33">
        <v>1</v>
      </c>
      <c r="BB714" s="33">
        <v>0</v>
      </c>
      <c r="BC714" s="33">
        <v>0</v>
      </c>
      <c r="BD714" s="43">
        <v>0.19196561144667343</v>
      </c>
      <c r="BE714" s="33">
        <v>0</v>
      </c>
      <c r="BF714" s="33">
        <v>0</v>
      </c>
      <c r="CE714" s="36">
        <v>680</v>
      </c>
      <c r="CF714" s="33">
        <v>20</v>
      </c>
      <c r="CG714" s="33">
        <v>2</v>
      </c>
      <c r="CH714" s="33">
        <v>3</v>
      </c>
      <c r="CI714" s="33">
        <v>2</v>
      </c>
      <c r="CJ714" s="33">
        <v>1</v>
      </c>
      <c r="CK714" s="33">
        <v>0</v>
      </c>
      <c r="CL714" s="33">
        <v>1</v>
      </c>
      <c r="CM714" s="33">
        <v>2</v>
      </c>
      <c r="CN714" s="33">
        <v>9</v>
      </c>
      <c r="CO714" s="33">
        <v>0</v>
      </c>
      <c r="CP714" s="43">
        <v>6.3406021785861022E-2</v>
      </c>
      <c r="CQ714" s="33">
        <v>0</v>
      </c>
      <c r="CR714" s="33">
        <v>0</v>
      </c>
    </row>
    <row r="715" spans="1:96" ht="15" customHeight="1" x14ac:dyDescent="0.25">
      <c r="A715" s="26">
        <v>713</v>
      </c>
      <c r="B715" s="27">
        <v>45</v>
      </c>
      <c r="C715" s="27">
        <v>0</v>
      </c>
      <c r="D715" s="27">
        <v>1</v>
      </c>
      <c r="E715" s="27">
        <v>974</v>
      </c>
      <c r="F715" s="27">
        <v>2</v>
      </c>
      <c r="G715" s="27">
        <v>1</v>
      </c>
      <c r="H715" s="27">
        <v>4</v>
      </c>
      <c r="I715" s="27">
        <v>3</v>
      </c>
      <c r="J715" s="27">
        <v>1</v>
      </c>
      <c r="K715" s="27">
        <v>996</v>
      </c>
      <c r="L715" s="27">
        <v>4</v>
      </c>
      <c r="M715" s="27">
        <v>0</v>
      </c>
      <c r="N715" s="27">
        <v>91</v>
      </c>
      <c r="O715" s="27">
        <v>3</v>
      </c>
      <c r="P715" s="27">
        <v>1</v>
      </c>
      <c r="Q715" s="27">
        <v>3</v>
      </c>
      <c r="R715" s="27">
        <v>4</v>
      </c>
      <c r="S715" s="27">
        <v>3</v>
      </c>
      <c r="T715" s="27">
        <v>2270</v>
      </c>
      <c r="U715" s="27">
        <v>11005</v>
      </c>
      <c r="V715" s="27">
        <v>3</v>
      </c>
      <c r="W715" s="27">
        <v>0</v>
      </c>
      <c r="X715" s="27">
        <v>14</v>
      </c>
      <c r="Y715" s="27">
        <v>3</v>
      </c>
      <c r="Z715" s="27">
        <v>4</v>
      </c>
      <c r="AA715" s="27">
        <v>80</v>
      </c>
      <c r="AB715" s="27">
        <v>2</v>
      </c>
      <c r="AC715" s="27">
        <v>8</v>
      </c>
      <c r="AD715" s="27">
        <v>2</v>
      </c>
      <c r="AE715" s="27">
        <v>3</v>
      </c>
      <c r="AF715" s="27">
        <v>5</v>
      </c>
      <c r="AG715" s="27">
        <v>3</v>
      </c>
      <c r="AH715" s="27">
        <v>0</v>
      </c>
      <c r="AI715" s="28">
        <v>2</v>
      </c>
      <c r="AK715" s="36">
        <v>682</v>
      </c>
      <c r="AL715" s="33">
        <v>1</v>
      </c>
      <c r="AM715" s="33">
        <v>3</v>
      </c>
      <c r="AN715" s="33">
        <v>1</v>
      </c>
      <c r="AO715" s="33">
        <v>1</v>
      </c>
      <c r="AP715" s="33">
        <v>0</v>
      </c>
      <c r="AQ715" s="33">
        <v>1</v>
      </c>
      <c r="AR715" s="33">
        <v>3</v>
      </c>
      <c r="AS715" s="33">
        <v>15</v>
      </c>
      <c r="AT715" s="33">
        <v>5</v>
      </c>
      <c r="AU715" s="43">
        <v>3.3355100306682962E-2</v>
      </c>
      <c r="AV715" s="33">
        <v>0</v>
      </c>
      <c r="AW715" s="33">
        <v>0</v>
      </c>
      <c r="AY715" s="36">
        <v>687</v>
      </c>
      <c r="AZ715" s="33">
        <v>1</v>
      </c>
      <c r="BA715" s="33">
        <v>1</v>
      </c>
      <c r="BB715" s="33">
        <v>1</v>
      </c>
      <c r="BC715" s="33">
        <v>0</v>
      </c>
      <c r="BD715" s="43">
        <v>0.63965103699986936</v>
      </c>
      <c r="BE715" s="33">
        <v>1</v>
      </c>
      <c r="BF715" s="33">
        <v>0</v>
      </c>
      <c r="CE715" s="36">
        <v>681</v>
      </c>
      <c r="CF715" s="33">
        <v>7</v>
      </c>
      <c r="CG715" s="33">
        <v>1</v>
      </c>
      <c r="CH715" s="33">
        <v>4</v>
      </c>
      <c r="CI715" s="33">
        <v>1</v>
      </c>
      <c r="CJ715" s="33">
        <v>2</v>
      </c>
      <c r="CK715" s="33">
        <v>0</v>
      </c>
      <c r="CL715" s="33">
        <v>0</v>
      </c>
      <c r="CM715" s="33">
        <v>3</v>
      </c>
      <c r="CN715" s="33">
        <v>6</v>
      </c>
      <c r="CO715" s="33">
        <v>0</v>
      </c>
      <c r="CP715" s="43">
        <v>0.11263856656795118</v>
      </c>
      <c r="CQ715" s="33">
        <v>0</v>
      </c>
      <c r="CR715" s="33">
        <v>0</v>
      </c>
    </row>
    <row r="716" spans="1:96" ht="15" customHeight="1" x14ac:dyDescent="0.25">
      <c r="A716" s="26">
        <v>714</v>
      </c>
      <c r="B716" s="27">
        <v>50</v>
      </c>
      <c r="C716" s="27">
        <v>0</v>
      </c>
      <c r="D716" s="27">
        <v>1</v>
      </c>
      <c r="E716" s="27">
        <v>1126</v>
      </c>
      <c r="F716" s="27">
        <v>2</v>
      </c>
      <c r="G716" s="27">
        <v>1</v>
      </c>
      <c r="H716" s="27">
        <v>2</v>
      </c>
      <c r="I716" s="27">
        <v>3</v>
      </c>
      <c r="J716" s="27">
        <v>1</v>
      </c>
      <c r="K716" s="27">
        <v>997</v>
      </c>
      <c r="L716" s="27">
        <v>4</v>
      </c>
      <c r="M716" s="27">
        <v>1</v>
      </c>
      <c r="N716" s="27">
        <v>66</v>
      </c>
      <c r="O716" s="27">
        <v>3</v>
      </c>
      <c r="P716" s="27">
        <v>4</v>
      </c>
      <c r="Q716" s="27">
        <v>8</v>
      </c>
      <c r="R716" s="27">
        <v>4</v>
      </c>
      <c r="S716" s="27">
        <v>3</v>
      </c>
      <c r="T716" s="27">
        <v>17399</v>
      </c>
      <c r="U716" s="27">
        <v>6615</v>
      </c>
      <c r="V716" s="27">
        <v>9</v>
      </c>
      <c r="W716" s="27">
        <v>0</v>
      </c>
      <c r="X716" s="27">
        <v>22</v>
      </c>
      <c r="Y716" s="27">
        <v>4</v>
      </c>
      <c r="Z716" s="27">
        <v>3</v>
      </c>
      <c r="AA716" s="27">
        <v>80</v>
      </c>
      <c r="AB716" s="27">
        <v>1</v>
      </c>
      <c r="AC716" s="27">
        <v>32</v>
      </c>
      <c r="AD716" s="27">
        <v>1</v>
      </c>
      <c r="AE716" s="27">
        <v>2</v>
      </c>
      <c r="AF716" s="27">
        <v>5</v>
      </c>
      <c r="AG716" s="27">
        <v>4</v>
      </c>
      <c r="AH716" s="27">
        <v>1</v>
      </c>
      <c r="AI716" s="28">
        <v>3</v>
      </c>
      <c r="AK716" s="36">
        <v>683</v>
      </c>
      <c r="AL716" s="33">
        <v>1</v>
      </c>
      <c r="AM716" s="33">
        <v>1</v>
      </c>
      <c r="AN716" s="33">
        <v>2</v>
      </c>
      <c r="AO716" s="33">
        <v>6</v>
      </c>
      <c r="AP716" s="33">
        <v>0</v>
      </c>
      <c r="AQ716" s="33">
        <v>0</v>
      </c>
      <c r="AR716" s="33">
        <v>3</v>
      </c>
      <c r="AS716" s="33">
        <v>3</v>
      </c>
      <c r="AT716" s="33">
        <v>0</v>
      </c>
      <c r="AU716" s="43">
        <v>0.21927281607392315</v>
      </c>
      <c r="AV716" s="33">
        <v>0</v>
      </c>
      <c r="AW716" s="33">
        <v>0</v>
      </c>
      <c r="AY716" s="36">
        <v>688</v>
      </c>
      <c r="AZ716" s="33">
        <v>1</v>
      </c>
      <c r="BA716" s="33">
        <v>3</v>
      </c>
      <c r="BB716" s="33">
        <v>0</v>
      </c>
      <c r="BC716" s="33">
        <v>0</v>
      </c>
      <c r="BD716" s="43">
        <v>0.18791247240909698</v>
      </c>
      <c r="BE716" s="33">
        <v>0</v>
      </c>
      <c r="BF716" s="33">
        <v>0</v>
      </c>
      <c r="CE716" s="36">
        <v>682</v>
      </c>
      <c r="CF716" s="33">
        <v>1</v>
      </c>
      <c r="CG716" s="33">
        <v>3</v>
      </c>
      <c r="CH716" s="33">
        <v>1</v>
      </c>
      <c r="CI716" s="33">
        <v>2</v>
      </c>
      <c r="CJ716" s="33">
        <v>1</v>
      </c>
      <c r="CK716" s="33">
        <v>0</v>
      </c>
      <c r="CL716" s="33">
        <v>1</v>
      </c>
      <c r="CM716" s="33">
        <v>3</v>
      </c>
      <c r="CN716" s="33">
        <v>15</v>
      </c>
      <c r="CO716" s="33">
        <v>5</v>
      </c>
      <c r="CP716" s="43">
        <v>3.3958063474707111E-2</v>
      </c>
      <c r="CQ716" s="33">
        <v>0</v>
      </c>
      <c r="CR716" s="33">
        <v>0</v>
      </c>
    </row>
    <row r="717" spans="1:96" ht="15" customHeight="1" x14ac:dyDescent="0.25">
      <c r="A717" s="26">
        <v>715</v>
      </c>
      <c r="B717" s="27">
        <v>33</v>
      </c>
      <c r="C717" s="27">
        <v>0</v>
      </c>
      <c r="D717" s="27">
        <v>2</v>
      </c>
      <c r="E717" s="27">
        <v>827</v>
      </c>
      <c r="F717" s="27">
        <v>2</v>
      </c>
      <c r="G717" s="27">
        <v>1</v>
      </c>
      <c r="H717" s="27">
        <v>4</v>
      </c>
      <c r="I717" s="27">
        <v>6</v>
      </c>
      <c r="J717" s="27">
        <v>1</v>
      </c>
      <c r="K717" s="27">
        <v>998</v>
      </c>
      <c r="L717" s="27">
        <v>3</v>
      </c>
      <c r="M717" s="27">
        <v>0</v>
      </c>
      <c r="N717" s="27">
        <v>84</v>
      </c>
      <c r="O717" s="27">
        <v>4</v>
      </c>
      <c r="P717" s="27">
        <v>2</v>
      </c>
      <c r="Q717" s="27">
        <v>5</v>
      </c>
      <c r="R717" s="27">
        <v>2</v>
      </c>
      <c r="S717" s="27">
        <v>2</v>
      </c>
      <c r="T717" s="27">
        <v>5488</v>
      </c>
      <c r="U717" s="27">
        <v>20161</v>
      </c>
      <c r="V717" s="27">
        <v>1</v>
      </c>
      <c r="W717" s="27">
        <v>1</v>
      </c>
      <c r="X717" s="27">
        <v>13</v>
      </c>
      <c r="Y717" s="27">
        <v>3</v>
      </c>
      <c r="Z717" s="27">
        <v>1</v>
      </c>
      <c r="AA717" s="27">
        <v>80</v>
      </c>
      <c r="AB717" s="27">
        <v>1</v>
      </c>
      <c r="AC717" s="27">
        <v>6</v>
      </c>
      <c r="AD717" s="27">
        <v>2</v>
      </c>
      <c r="AE717" s="27">
        <v>3</v>
      </c>
      <c r="AF717" s="27">
        <v>6</v>
      </c>
      <c r="AG717" s="27">
        <v>5</v>
      </c>
      <c r="AH717" s="27">
        <v>1</v>
      </c>
      <c r="AI717" s="28">
        <v>2</v>
      </c>
      <c r="AK717" s="36">
        <v>684</v>
      </c>
      <c r="AL717" s="33">
        <v>19</v>
      </c>
      <c r="AM717" s="33">
        <v>1</v>
      </c>
      <c r="AN717" s="33">
        <v>2</v>
      </c>
      <c r="AO717" s="33">
        <v>1</v>
      </c>
      <c r="AP717" s="33">
        <v>1</v>
      </c>
      <c r="AQ717" s="33">
        <v>3</v>
      </c>
      <c r="AR717" s="33">
        <v>3</v>
      </c>
      <c r="AS717" s="33">
        <v>1</v>
      </c>
      <c r="AT717" s="33">
        <v>0</v>
      </c>
      <c r="AU717" s="43">
        <v>0.23753084285449827</v>
      </c>
      <c r="AV717" s="33">
        <v>0</v>
      </c>
      <c r="AW717" s="33">
        <v>1</v>
      </c>
      <c r="AY717" s="36">
        <v>689</v>
      </c>
      <c r="AZ717" s="33">
        <v>1</v>
      </c>
      <c r="BA717" s="33">
        <v>2</v>
      </c>
      <c r="BB717" s="33">
        <v>1</v>
      </c>
      <c r="BC717" s="33">
        <v>0</v>
      </c>
      <c r="BD717" s="43">
        <v>0.56990699338636852</v>
      </c>
      <c r="BE717" s="33">
        <v>1</v>
      </c>
      <c r="BF717" s="33">
        <v>1</v>
      </c>
      <c r="CE717" s="36">
        <v>683</v>
      </c>
      <c r="CF717" s="33">
        <v>1</v>
      </c>
      <c r="CG717" s="33">
        <v>1</v>
      </c>
      <c r="CH717" s="33">
        <v>2</v>
      </c>
      <c r="CI717" s="33">
        <v>2</v>
      </c>
      <c r="CJ717" s="33">
        <v>6</v>
      </c>
      <c r="CK717" s="33">
        <v>0</v>
      </c>
      <c r="CL717" s="33">
        <v>0</v>
      </c>
      <c r="CM717" s="33">
        <v>3</v>
      </c>
      <c r="CN717" s="33">
        <v>3</v>
      </c>
      <c r="CO717" s="33">
        <v>0</v>
      </c>
      <c r="CP717" s="43">
        <v>0.16279490498930904</v>
      </c>
      <c r="CQ717" s="33">
        <v>0</v>
      </c>
      <c r="CR717" s="33">
        <v>0</v>
      </c>
    </row>
    <row r="718" spans="1:96" ht="15" customHeight="1" x14ac:dyDescent="0.25">
      <c r="A718" s="26">
        <v>716</v>
      </c>
      <c r="B718" s="27">
        <v>41</v>
      </c>
      <c r="C718" s="27">
        <v>0</v>
      </c>
      <c r="D718" s="27">
        <v>2</v>
      </c>
      <c r="E718" s="27">
        <v>840</v>
      </c>
      <c r="F718" s="27">
        <v>2</v>
      </c>
      <c r="G718" s="27">
        <v>9</v>
      </c>
      <c r="H718" s="27">
        <v>3</v>
      </c>
      <c r="I718" s="27">
        <v>3</v>
      </c>
      <c r="J718" s="27">
        <v>1</v>
      </c>
      <c r="K718" s="27">
        <v>999</v>
      </c>
      <c r="L718" s="27">
        <v>1</v>
      </c>
      <c r="M718" s="27">
        <v>1</v>
      </c>
      <c r="N718" s="27">
        <v>64</v>
      </c>
      <c r="O718" s="27">
        <v>3</v>
      </c>
      <c r="P718" s="27">
        <v>5</v>
      </c>
      <c r="Q718" s="27">
        <v>8</v>
      </c>
      <c r="R718" s="27">
        <v>3</v>
      </c>
      <c r="S718" s="27">
        <v>3</v>
      </c>
      <c r="T718" s="27">
        <v>19419</v>
      </c>
      <c r="U718" s="27">
        <v>3735</v>
      </c>
      <c r="V718" s="27">
        <v>2</v>
      </c>
      <c r="W718" s="27">
        <v>0</v>
      </c>
      <c r="X718" s="27">
        <v>17</v>
      </c>
      <c r="Y718" s="27">
        <v>3</v>
      </c>
      <c r="Z718" s="27">
        <v>2</v>
      </c>
      <c r="AA718" s="27">
        <v>80</v>
      </c>
      <c r="AB718" s="27">
        <v>1</v>
      </c>
      <c r="AC718" s="27">
        <v>21</v>
      </c>
      <c r="AD718" s="27">
        <v>2</v>
      </c>
      <c r="AE718" s="27">
        <v>4</v>
      </c>
      <c r="AF718" s="27">
        <v>18</v>
      </c>
      <c r="AG718" s="27">
        <v>16</v>
      </c>
      <c r="AH718" s="27">
        <v>0</v>
      </c>
      <c r="AI718" s="28">
        <v>11</v>
      </c>
      <c r="AK718" s="36">
        <v>685</v>
      </c>
      <c r="AL718" s="33">
        <v>10</v>
      </c>
      <c r="AM718" s="33">
        <v>3</v>
      </c>
      <c r="AN718" s="33">
        <v>2</v>
      </c>
      <c r="AO718" s="33">
        <v>2</v>
      </c>
      <c r="AP718" s="33">
        <v>0</v>
      </c>
      <c r="AQ718" s="33">
        <v>1</v>
      </c>
      <c r="AR718" s="33">
        <v>2</v>
      </c>
      <c r="AS718" s="33">
        <v>1</v>
      </c>
      <c r="AT718" s="33">
        <v>0</v>
      </c>
      <c r="AU718" s="43">
        <v>6.9353109262435708E-2</v>
      </c>
      <c r="AV718" s="33">
        <v>0</v>
      </c>
      <c r="AW718" s="33">
        <v>0</v>
      </c>
      <c r="AY718" s="36">
        <v>690</v>
      </c>
      <c r="AZ718" s="33">
        <v>1</v>
      </c>
      <c r="BA718" s="33">
        <v>1</v>
      </c>
      <c r="BB718" s="33">
        <v>0</v>
      </c>
      <c r="BC718" s="33">
        <v>0</v>
      </c>
      <c r="BD718" s="43">
        <v>0.29341085656570393</v>
      </c>
      <c r="BE718" s="33">
        <v>0</v>
      </c>
      <c r="BF718" s="33">
        <v>1</v>
      </c>
      <c r="CE718" s="36">
        <v>684</v>
      </c>
      <c r="CF718" s="33">
        <v>19</v>
      </c>
      <c r="CG718" s="33">
        <v>1</v>
      </c>
      <c r="CH718" s="33">
        <v>2</v>
      </c>
      <c r="CI718" s="33">
        <v>2</v>
      </c>
      <c r="CJ718" s="33">
        <v>1</v>
      </c>
      <c r="CK718" s="33">
        <v>1</v>
      </c>
      <c r="CL718" s="33">
        <v>3</v>
      </c>
      <c r="CM718" s="33">
        <v>3</v>
      </c>
      <c r="CN718" s="33">
        <v>1</v>
      </c>
      <c r="CO718" s="33">
        <v>0</v>
      </c>
      <c r="CP718" s="43">
        <v>0.38367017368023654</v>
      </c>
      <c r="CQ718" s="33">
        <v>0</v>
      </c>
      <c r="CR718" s="33">
        <v>1</v>
      </c>
    </row>
    <row r="719" spans="1:96" ht="15" customHeight="1" x14ac:dyDescent="0.25">
      <c r="A719" s="26">
        <v>717</v>
      </c>
      <c r="B719" s="27">
        <v>27</v>
      </c>
      <c r="C719" s="27">
        <v>0</v>
      </c>
      <c r="D719" s="27">
        <v>1</v>
      </c>
      <c r="E719" s="27">
        <v>1134</v>
      </c>
      <c r="F719" s="27">
        <v>2</v>
      </c>
      <c r="G719" s="27">
        <v>16</v>
      </c>
      <c r="H719" s="27">
        <v>4</v>
      </c>
      <c r="I719" s="27">
        <v>5</v>
      </c>
      <c r="J719" s="27">
        <v>1</v>
      </c>
      <c r="K719" s="27">
        <v>1001</v>
      </c>
      <c r="L719" s="27">
        <v>3</v>
      </c>
      <c r="M719" s="27">
        <v>0</v>
      </c>
      <c r="N719" s="27">
        <v>37</v>
      </c>
      <c r="O719" s="27">
        <v>3</v>
      </c>
      <c r="P719" s="27">
        <v>1</v>
      </c>
      <c r="Q719" s="27">
        <v>3</v>
      </c>
      <c r="R719" s="27">
        <v>2</v>
      </c>
      <c r="S719" s="27">
        <v>2</v>
      </c>
      <c r="T719" s="27">
        <v>2811</v>
      </c>
      <c r="U719" s="27">
        <v>12086</v>
      </c>
      <c r="V719" s="27">
        <v>9</v>
      </c>
      <c r="W719" s="27">
        <v>0</v>
      </c>
      <c r="X719" s="27">
        <v>14</v>
      </c>
      <c r="Y719" s="27">
        <v>3</v>
      </c>
      <c r="Z719" s="27">
        <v>2</v>
      </c>
      <c r="AA719" s="27">
        <v>80</v>
      </c>
      <c r="AB719" s="27">
        <v>1</v>
      </c>
      <c r="AC719" s="27">
        <v>4</v>
      </c>
      <c r="AD719" s="27">
        <v>2</v>
      </c>
      <c r="AE719" s="27">
        <v>3</v>
      </c>
      <c r="AF719" s="27">
        <v>2</v>
      </c>
      <c r="AG719" s="27">
        <v>2</v>
      </c>
      <c r="AH719" s="27">
        <v>2</v>
      </c>
      <c r="AI719" s="28">
        <v>2</v>
      </c>
      <c r="AK719" s="36">
        <v>686</v>
      </c>
      <c r="AL719" s="33">
        <v>1</v>
      </c>
      <c r="AM719" s="33">
        <v>2</v>
      </c>
      <c r="AN719" s="33">
        <v>1</v>
      </c>
      <c r="AO719" s="33">
        <v>1</v>
      </c>
      <c r="AP719" s="33">
        <v>0</v>
      </c>
      <c r="AQ719" s="33">
        <v>0</v>
      </c>
      <c r="AR719" s="33">
        <v>3</v>
      </c>
      <c r="AS719" s="33">
        <v>7</v>
      </c>
      <c r="AT719" s="33">
        <v>0</v>
      </c>
      <c r="AU719" s="43">
        <v>9.6405263437474534E-2</v>
      </c>
      <c r="AV719" s="33">
        <v>0</v>
      </c>
      <c r="AW719" s="33">
        <v>0</v>
      </c>
      <c r="AY719" s="36">
        <v>691</v>
      </c>
      <c r="AZ719" s="33">
        <v>2</v>
      </c>
      <c r="BA719" s="33">
        <v>4</v>
      </c>
      <c r="BB719" s="33">
        <v>1</v>
      </c>
      <c r="BC719" s="33">
        <v>2</v>
      </c>
      <c r="BD719" s="43">
        <v>0.12819971414072456</v>
      </c>
      <c r="BE719" s="33">
        <v>0</v>
      </c>
      <c r="BF719" s="33">
        <v>0</v>
      </c>
      <c r="CE719" s="36">
        <v>685</v>
      </c>
      <c r="CF719" s="33">
        <v>10</v>
      </c>
      <c r="CG719" s="33">
        <v>3</v>
      </c>
      <c r="CH719" s="33">
        <v>2</v>
      </c>
      <c r="CI719" s="33">
        <v>3</v>
      </c>
      <c r="CJ719" s="33">
        <v>2</v>
      </c>
      <c r="CK719" s="33">
        <v>0</v>
      </c>
      <c r="CL719" s="33">
        <v>1</v>
      </c>
      <c r="CM719" s="33">
        <v>2</v>
      </c>
      <c r="CN719" s="33">
        <v>1</v>
      </c>
      <c r="CO719" s="33">
        <v>0</v>
      </c>
      <c r="CP719" s="43">
        <v>4.1350342283017927E-2</v>
      </c>
      <c r="CQ719" s="33">
        <v>0</v>
      </c>
      <c r="CR719" s="33">
        <v>0</v>
      </c>
    </row>
    <row r="720" spans="1:96" ht="15" customHeight="1" x14ac:dyDescent="0.25">
      <c r="A720" s="26">
        <v>718</v>
      </c>
      <c r="B720" s="27">
        <v>45</v>
      </c>
      <c r="C720" s="27">
        <v>0</v>
      </c>
      <c r="D720" s="27">
        <v>3</v>
      </c>
      <c r="E720" s="27">
        <v>248</v>
      </c>
      <c r="F720" s="27">
        <v>2</v>
      </c>
      <c r="G720" s="27">
        <v>23</v>
      </c>
      <c r="H720" s="27">
        <v>2</v>
      </c>
      <c r="I720" s="27">
        <v>1</v>
      </c>
      <c r="J720" s="27">
        <v>1</v>
      </c>
      <c r="K720" s="27">
        <v>1002</v>
      </c>
      <c r="L720" s="27">
        <v>4</v>
      </c>
      <c r="M720" s="27">
        <v>1</v>
      </c>
      <c r="N720" s="27">
        <v>42</v>
      </c>
      <c r="O720" s="27">
        <v>3</v>
      </c>
      <c r="P720" s="27">
        <v>2</v>
      </c>
      <c r="Q720" s="27">
        <v>3</v>
      </c>
      <c r="R720" s="27">
        <v>1</v>
      </c>
      <c r="S720" s="27">
        <v>2</v>
      </c>
      <c r="T720" s="27">
        <v>3633</v>
      </c>
      <c r="U720" s="27">
        <v>14039</v>
      </c>
      <c r="V720" s="27">
        <v>1</v>
      </c>
      <c r="W720" s="27">
        <v>1</v>
      </c>
      <c r="X720" s="27">
        <v>15</v>
      </c>
      <c r="Y720" s="27">
        <v>3</v>
      </c>
      <c r="Z720" s="27">
        <v>3</v>
      </c>
      <c r="AA720" s="27">
        <v>80</v>
      </c>
      <c r="AB720" s="27">
        <v>1</v>
      </c>
      <c r="AC720" s="27">
        <v>9</v>
      </c>
      <c r="AD720" s="27">
        <v>2</v>
      </c>
      <c r="AE720" s="27">
        <v>3</v>
      </c>
      <c r="AF720" s="27">
        <v>9</v>
      </c>
      <c r="AG720" s="27">
        <v>8</v>
      </c>
      <c r="AH720" s="27">
        <v>0</v>
      </c>
      <c r="AI720" s="28">
        <v>8</v>
      </c>
      <c r="AK720" s="36">
        <v>687</v>
      </c>
      <c r="AL720" s="33">
        <v>6</v>
      </c>
      <c r="AM720" s="33">
        <v>1</v>
      </c>
      <c r="AN720" s="33">
        <v>1</v>
      </c>
      <c r="AO720" s="33">
        <v>2</v>
      </c>
      <c r="AP720" s="33">
        <v>1</v>
      </c>
      <c r="AQ720" s="33">
        <v>0</v>
      </c>
      <c r="AR720" s="33">
        <v>3</v>
      </c>
      <c r="AS720" s="33">
        <v>18</v>
      </c>
      <c r="AT720" s="33">
        <v>2</v>
      </c>
      <c r="AU720" s="43">
        <v>0.37162621056983908</v>
      </c>
      <c r="AV720" s="33">
        <v>0</v>
      </c>
      <c r="AW720" s="33">
        <v>0</v>
      </c>
      <c r="AY720" s="36">
        <v>692</v>
      </c>
      <c r="AZ720" s="33">
        <v>1</v>
      </c>
      <c r="BA720" s="33">
        <v>2</v>
      </c>
      <c r="BB720" s="33">
        <v>1</v>
      </c>
      <c r="BC720" s="33">
        <v>1</v>
      </c>
      <c r="BD720" s="43">
        <v>0.43876762926038776</v>
      </c>
      <c r="BE720" s="33">
        <v>0</v>
      </c>
      <c r="BF720" s="33">
        <v>0</v>
      </c>
      <c r="CE720" s="36">
        <v>686</v>
      </c>
      <c r="CF720" s="33">
        <v>1</v>
      </c>
      <c r="CG720" s="33">
        <v>2</v>
      </c>
      <c r="CH720" s="33">
        <v>1</v>
      </c>
      <c r="CI720" s="33">
        <v>1</v>
      </c>
      <c r="CJ720" s="33">
        <v>1</v>
      </c>
      <c r="CK720" s="33">
        <v>0</v>
      </c>
      <c r="CL720" s="33">
        <v>0</v>
      </c>
      <c r="CM720" s="33">
        <v>3</v>
      </c>
      <c r="CN720" s="33">
        <v>7</v>
      </c>
      <c r="CO720" s="33">
        <v>0</v>
      </c>
      <c r="CP720" s="43">
        <v>0.11595447638980862</v>
      </c>
      <c r="CQ720" s="33">
        <v>0</v>
      </c>
      <c r="CR720" s="33">
        <v>0</v>
      </c>
    </row>
    <row r="721" spans="1:96" ht="15" customHeight="1" x14ac:dyDescent="0.25">
      <c r="A721" s="26">
        <v>719</v>
      </c>
      <c r="B721" s="27">
        <v>47</v>
      </c>
      <c r="C721" s="27">
        <v>0</v>
      </c>
      <c r="D721" s="27">
        <v>1</v>
      </c>
      <c r="E721" s="27">
        <v>955</v>
      </c>
      <c r="F721" s="27">
        <v>1</v>
      </c>
      <c r="G721" s="27">
        <v>4</v>
      </c>
      <c r="H721" s="27">
        <v>2</v>
      </c>
      <c r="I721" s="27">
        <v>1</v>
      </c>
      <c r="J721" s="27">
        <v>1</v>
      </c>
      <c r="K721" s="27">
        <v>1003</v>
      </c>
      <c r="L721" s="27">
        <v>4</v>
      </c>
      <c r="M721" s="27">
        <v>0</v>
      </c>
      <c r="N721" s="27">
        <v>83</v>
      </c>
      <c r="O721" s="27">
        <v>3</v>
      </c>
      <c r="P721" s="27">
        <v>2</v>
      </c>
      <c r="Q721" s="27">
        <v>1</v>
      </c>
      <c r="R721" s="27">
        <v>4</v>
      </c>
      <c r="S721" s="27">
        <v>1</v>
      </c>
      <c r="T721" s="27">
        <v>4163</v>
      </c>
      <c r="U721" s="27">
        <v>8571</v>
      </c>
      <c r="V721" s="27">
        <v>1</v>
      </c>
      <c r="W721" s="27">
        <v>1</v>
      </c>
      <c r="X721" s="27">
        <v>17</v>
      </c>
      <c r="Y721" s="27">
        <v>3</v>
      </c>
      <c r="Z721" s="27">
        <v>3</v>
      </c>
      <c r="AA721" s="27">
        <v>80</v>
      </c>
      <c r="AB721" s="27">
        <v>0</v>
      </c>
      <c r="AC721" s="27">
        <v>9</v>
      </c>
      <c r="AD721" s="27">
        <v>0</v>
      </c>
      <c r="AE721" s="27">
        <v>3</v>
      </c>
      <c r="AF721" s="27">
        <v>9</v>
      </c>
      <c r="AG721" s="27">
        <v>0</v>
      </c>
      <c r="AH721" s="27">
        <v>0</v>
      </c>
      <c r="AI721" s="28">
        <v>7</v>
      </c>
      <c r="AK721" s="36">
        <v>688</v>
      </c>
      <c r="AL721" s="33">
        <v>2</v>
      </c>
      <c r="AM721" s="33">
        <v>1</v>
      </c>
      <c r="AN721" s="33">
        <v>3</v>
      </c>
      <c r="AO721" s="33">
        <v>4</v>
      </c>
      <c r="AP721" s="33">
        <v>0</v>
      </c>
      <c r="AQ721" s="33">
        <v>0</v>
      </c>
      <c r="AR721" s="33">
        <v>3</v>
      </c>
      <c r="AS721" s="33">
        <v>11</v>
      </c>
      <c r="AT721" s="33">
        <v>3</v>
      </c>
      <c r="AU721" s="43">
        <v>0.12641145241609103</v>
      </c>
      <c r="AV721" s="33">
        <v>0</v>
      </c>
      <c r="AW721" s="33">
        <v>0</v>
      </c>
      <c r="AY721" s="36">
        <v>693</v>
      </c>
      <c r="AZ721" s="33">
        <v>2</v>
      </c>
      <c r="BA721" s="33">
        <v>1</v>
      </c>
      <c r="BB721" s="33">
        <v>0</v>
      </c>
      <c r="BC721" s="33">
        <v>1</v>
      </c>
      <c r="BD721" s="43">
        <v>0.12293502213131684</v>
      </c>
      <c r="BE721" s="33">
        <v>0</v>
      </c>
      <c r="BF721" s="33">
        <v>0</v>
      </c>
      <c r="CE721" s="36">
        <v>687</v>
      </c>
      <c r="CF721" s="33">
        <v>6</v>
      </c>
      <c r="CG721" s="33">
        <v>1</v>
      </c>
      <c r="CH721" s="33">
        <v>1</v>
      </c>
      <c r="CI721" s="33">
        <v>1</v>
      </c>
      <c r="CJ721" s="33">
        <v>2</v>
      </c>
      <c r="CK721" s="33">
        <v>1</v>
      </c>
      <c r="CL721" s="33">
        <v>0</v>
      </c>
      <c r="CM721" s="33">
        <v>3</v>
      </c>
      <c r="CN721" s="33">
        <v>18</v>
      </c>
      <c r="CO721" s="33">
        <v>2</v>
      </c>
      <c r="CP721" s="43">
        <v>0.42810971128380626</v>
      </c>
      <c r="CQ721" s="33">
        <v>0</v>
      </c>
      <c r="CR721" s="33">
        <v>0</v>
      </c>
    </row>
    <row r="722" spans="1:96" ht="15" customHeight="1" x14ac:dyDescent="0.25">
      <c r="A722" s="26">
        <v>720</v>
      </c>
      <c r="B722" s="27">
        <v>30</v>
      </c>
      <c r="C722" s="27">
        <v>1</v>
      </c>
      <c r="D722" s="27">
        <v>1</v>
      </c>
      <c r="E722" s="27">
        <v>138</v>
      </c>
      <c r="F722" s="27">
        <v>2</v>
      </c>
      <c r="G722" s="27">
        <v>22</v>
      </c>
      <c r="H722" s="27">
        <v>3</v>
      </c>
      <c r="I722" s="27">
        <v>1</v>
      </c>
      <c r="J722" s="27">
        <v>1</v>
      </c>
      <c r="K722" s="27">
        <v>1004</v>
      </c>
      <c r="L722" s="27">
        <v>1</v>
      </c>
      <c r="M722" s="27">
        <v>0</v>
      </c>
      <c r="N722" s="27">
        <v>48</v>
      </c>
      <c r="O722" s="27">
        <v>3</v>
      </c>
      <c r="P722" s="27">
        <v>1</v>
      </c>
      <c r="Q722" s="27">
        <v>2</v>
      </c>
      <c r="R722" s="27">
        <v>3</v>
      </c>
      <c r="S722" s="27">
        <v>2</v>
      </c>
      <c r="T722" s="27">
        <v>2132</v>
      </c>
      <c r="U722" s="27">
        <v>11539</v>
      </c>
      <c r="V722" s="27">
        <v>4</v>
      </c>
      <c r="W722" s="27">
        <v>1</v>
      </c>
      <c r="X722" s="27">
        <v>11</v>
      </c>
      <c r="Y722" s="27">
        <v>3</v>
      </c>
      <c r="Z722" s="27">
        <v>2</v>
      </c>
      <c r="AA722" s="27">
        <v>80</v>
      </c>
      <c r="AB722" s="27">
        <v>0</v>
      </c>
      <c r="AC722" s="27">
        <v>7</v>
      </c>
      <c r="AD722" s="27">
        <v>2</v>
      </c>
      <c r="AE722" s="27">
        <v>3</v>
      </c>
      <c r="AF722" s="27">
        <v>5</v>
      </c>
      <c r="AG722" s="27">
        <v>2</v>
      </c>
      <c r="AH722" s="27">
        <v>0</v>
      </c>
      <c r="AI722" s="28">
        <v>1</v>
      </c>
      <c r="AK722" s="36">
        <v>689</v>
      </c>
      <c r="AL722" s="33">
        <v>21</v>
      </c>
      <c r="AM722" s="33">
        <v>1</v>
      </c>
      <c r="AN722" s="33">
        <v>2</v>
      </c>
      <c r="AO722" s="33">
        <v>1</v>
      </c>
      <c r="AP722" s="33">
        <v>1</v>
      </c>
      <c r="AQ722" s="33">
        <v>0</v>
      </c>
      <c r="AR722" s="33">
        <v>4</v>
      </c>
      <c r="AS722" s="33">
        <v>1</v>
      </c>
      <c r="AT722" s="33">
        <v>0</v>
      </c>
      <c r="AU722" s="43">
        <v>0.59142033117560633</v>
      </c>
      <c r="AV722" s="33">
        <v>1</v>
      </c>
      <c r="AW722" s="33">
        <v>1</v>
      </c>
      <c r="AY722" s="36">
        <v>694</v>
      </c>
      <c r="AZ722" s="33">
        <v>3</v>
      </c>
      <c r="BA722" s="33">
        <v>4</v>
      </c>
      <c r="BB722" s="33">
        <v>1</v>
      </c>
      <c r="BC722" s="33">
        <v>1</v>
      </c>
      <c r="BD722" s="43">
        <v>0.12479921665315721</v>
      </c>
      <c r="BE722" s="33">
        <v>0</v>
      </c>
      <c r="BF722" s="33">
        <v>1</v>
      </c>
      <c r="CE722" s="36">
        <v>688</v>
      </c>
      <c r="CF722" s="33">
        <v>2</v>
      </c>
      <c r="CG722" s="33">
        <v>1</v>
      </c>
      <c r="CH722" s="33">
        <v>3</v>
      </c>
      <c r="CI722" s="33">
        <v>1</v>
      </c>
      <c r="CJ722" s="33">
        <v>4</v>
      </c>
      <c r="CK722" s="33">
        <v>0</v>
      </c>
      <c r="CL722" s="33">
        <v>0</v>
      </c>
      <c r="CM722" s="33">
        <v>3</v>
      </c>
      <c r="CN722" s="33">
        <v>11</v>
      </c>
      <c r="CO722" s="33">
        <v>3</v>
      </c>
      <c r="CP722" s="43">
        <v>0.146370286766208</v>
      </c>
      <c r="CQ722" s="33">
        <v>0</v>
      </c>
      <c r="CR722" s="33">
        <v>0</v>
      </c>
    </row>
    <row r="723" spans="1:96" ht="15" customHeight="1" x14ac:dyDescent="0.25">
      <c r="A723" s="26">
        <v>721</v>
      </c>
      <c r="B723" s="27">
        <v>50</v>
      </c>
      <c r="C723" s="27">
        <v>0</v>
      </c>
      <c r="D723" s="27">
        <v>1</v>
      </c>
      <c r="E723" s="27">
        <v>939</v>
      </c>
      <c r="F723" s="27">
        <v>2</v>
      </c>
      <c r="G723" s="27">
        <v>24</v>
      </c>
      <c r="H723" s="27">
        <v>3</v>
      </c>
      <c r="I723" s="27">
        <v>1</v>
      </c>
      <c r="J723" s="27">
        <v>1</v>
      </c>
      <c r="K723" s="27">
        <v>1005</v>
      </c>
      <c r="L723" s="27">
        <v>4</v>
      </c>
      <c r="M723" s="27">
        <v>1</v>
      </c>
      <c r="N723" s="27">
        <v>95</v>
      </c>
      <c r="O723" s="27">
        <v>3</v>
      </c>
      <c r="P723" s="27">
        <v>4</v>
      </c>
      <c r="Q723" s="27">
        <v>4</v>
      </c>
      <c r="R723" s="27">
        <v>3</v>
      </c>
      <c r="S723" s="27">
        <v>2</v>
      </c>
      <c r="T723" s="27">
        <v>13973</v>
      </c>
      <c r="U723" s="27">
        <v>4161</v>
      </c>
      <c r="V723" s="27">
        <v>3</v>
      </c>
      <c r="W723" s="27">
        <v>1</v>
      </c>
      <c r="X723" s="27">
        <v>18</v>
      </c>
      <c r="Y723" s="27">
        <v>3</v>
      </c>
      <c r="Z723" s="27">
        <v>4</v>
      </c>
      <c r="AA723" s="27">
        <v>80</v>
      </c>
      <c r="AB723" s="27">
        <v>1</v>
      </c>
      <c r="AC723" s="27">
        <v>22</v>
      </c>
      <c r="AD723" s="27">
        <v>2</v>
      </c>
      <c r="AE723" s="27">
        <v>3</v>
      </c>
      <c r="AF723" s="27">
        <v>12</v>
      </c>
      <c r="AG723" s="27">
        <v>11</v>
      </c>
      <c r="AH723" s="27">
        <v>1</v>
      </c>
      <c r="AI723" s="28">
        <v>5</v>
      </c>
      <c r="AK723" s="36">
        <v>690</v>
      </c>
      <c r="AL723" s="33">
        <v>4</v>
      </c>
      <c r="AM723" s="33">
        <v>1</v>
      </c>
      <c r="AN723" s="33">
        <v>1</v>
      </c>
      <c r="AO723" s="33">
        <v>1</v>
      </c>
      <c r="AP723" s="33">
        <v>0</v>
      </c>
      <c r="AQ723" s="33">
        <v>0</v>
      </c>
      <c r="AR723" s="33">
        <v>3</v>
      </c>
      <c r="AS723" s="33">
        <v>1</v>
      </c>
      <c r="AT723" s="33">
        <v>0</v>
      </c>
      <c r="AU723" s="43">
        <v>0.23999677103141046</v>
      </c>
      <c r="AV723" s="33">
        <v>0</v>
      </c>
      <c r="AW723" s="33">
        <v>1</v>
      </c>
      <c r="AY723" s="36">
        <v>695</v>
      </c>
      <c r="AZ723" s="33">
        <v>2</v>
      </c>
      <c r="BA723" s="33">
        <v>4</v>
      </c>
      <c r="BB723" s="33">
        <v>0</v>
      </c>
      <c r="BC723" s="33">
        <v>0</v>
      </c>
      <c r="BD723" s="43">
        <v>8.9935487507215722E-2</v>
      </c>
      <c r="BE723" s="33">
        <v>0</v>
      </c>
      <c r="BF723" s="33">
        <v>0</v>
      </c>
      <c r="CE723" s="36">
        <v>689</v>
      </c>
      <c r="CF723" s="33">
        <v>21</v>
      </c>
      <c r="CG723" s="33">
        <v>1</v>
      </c>
      <c r="CH723" s="33">
        <v>2</v>
      </c>
      <c r="CI723" s="33">
        <v>1</v>
      </c>
      <c r="CJ723" s="33">
        <v>1</v>
      </c>
      <c r="CK723" s="33">
        <v>1</v>
      </c>
      <c r="CL723" s="33">
        <v>0</v>
      </c>
      <c r="CM723" s="33">
        <v>4</v>
      </c>
      <c r="CN723" s="33">
        <v>1</v>
      </c>
      <c r="CO723" s="33">
        <v>0</v>
      </c>
      <c r="CP723" s="43">
        <v>0.63819193075170044</v>
      </c>
      <c r="CQ723" s="33">
        <v>1</v>
      </c>
      <c r="CR723" s="33">
        <v>1</v>
      </c>
    </row>
    <row r="724" spans="1:96" ht="15" customHeight="1" x14ac:dyDescent="0.25">
      <c r="A724" s="26">
        <v>722</v>
      </c>
      <c r="B724" s="27">
        <v>38</v>
      </c>
      <c r="C724" s="27">
        <v>0</v>
      </c>
      <c r="D724" s="27">
        <v>2</v>
      </c>
      <c r="E724" s="27">
        <v>1391</v>
      </c>
      <c r="F724" s="27">
        <v>2</v>
      </c>
      <c r="G724" s="27">
        <v>10</v>
      </c>
      <c r="H724" s="27">
        <v>1</v>
      </c>
      <c r="I724" s="27">
        <v>3</v>
      </c>
      <c r="J724" s="27">
        <v>1</v>
      </c>
      <c r="K724" s="27">
        <v>1006</v>
      </c>
      <c r="L724" s="27">
        <v>3</v>
      </c>
      <c r="M724" s="27">
        <v>1</v>
      </c>
      <c r="N724" s="27">
        <v>66</v>
      </c>
      <c r="O724" s="27">
        <v>3</v>
      </c>
      <c r="P724" s="27">
        <v>1</v>
      </c>
      <c r="Q724" s="27">
        <v>2</v>
      </c>
      <c r="R724" s="27">
        <v>3</v>
      </c>
      <c r="S724" s="27">
        <v>2</v>
      </c>
      <c r="T724" s="27">
        <v>2684</v>
      </c>
      <c r="U724" s="27">
        <v>12127</v>
      </c>
      <c r="V724" s="27">
        <v>0</v>
      </c>
      <c r="W724" s="27">
        <v>0</v>
      </c>
      <c r="X724" s="27">
        <v>17</v>
      </c>
      <c r="Y724" s="27">
        <v>3</v>
      </c>
      <c r="Z724" s="27">
        <v>2</v>
      </c>
      <c r="AA724" s="27">
        <v>80</v>
      </c>
      <c r="AB724" s="27">
        <v>1</v>
      </c>
      <c r="AC724" s="27">
        <v>3</v>
      </c>
      <c r="AD724" s="27">
        <v>0</v>
      </c>
      <c r="AE724" s="27">
        <v>2</v>
      </c>
      <c r="AF724" s="27">
        <v>2</v>
      </c>
      <c r="AG724" s="27">
        <v>1</v>
      </c>
      <c r="AH724" s="27">
        <v>0</v>
      </c>
      <c r="AI724" s="28">
        <v>2</v>
      </c>
      <c r="AK724" s="36">
        <v>691</v>
      </c>
      <c r="AL724" s="33">
        <v>12</v>
      </c>
      <c r="AM724" s="33">
        <v>2</v>
      </c>
      <c r="AN724" s="33">
        <v>4</v>
      </c>
      <c r="AO724" s="33">
        <v>0</v>
      </c>
      <c r="AP724" s="33">
        <v>1</v>
      </c>
      <c r="AQ724" s="33">
        <v>2</v>
      </c>
      <c r="AR724" s="33">
        <v>1</v>
      </c>
      <c r="AS724" s="33">
        <v>9</v>
      </c>
      <c r="AT724" s="33">
        <v>8</v>
      </c>
      <c r="AU724" s="43">
        <v>0.22111347708432103</v>
      </c>
      <c r="AV724" s="33">
        <v>0</v>
      </c>
      <c r="AW724" s="33">
        <v>0</v>
      </c>
      <c r="AY724" s="36">
        <v>696</v>
      </c>
      <c r="AZ724" s="33">
        <v>3</v>
      </c>
      <c r="BA724" s="33">
        <v>3</v>
      </c>
      <c r="BB724" s="33">
        <v>0</v>
      </c>
      <c r="BC724" s="33">
        <v>0</v>
      </c>
      <c r="BD724" s="43">
        <v>7.0406776741937793E-2</v>
      </c>
      <c r="BE724" s="33">
        <v>0</v>
      </c>
      <c r="BF724" s="33">
        <v>1</v>
      </c>
      <c r="CE724" s="36">
        <v>690</v>
      </c>
      <c r="CF724" s="33">
        <v>4</v>
      </c>
      <c r="CG724" s="33">
        <v>1</v>
      </c>
      <c r="CH724" s="33">
        <v>1</v>
      </c>
      <c r="CI724" s="33">
        <v>1</v>
      </c>
      <c r="CJ724" s="33">
        <v>1</v>
      </c>
      <c r="CK724" s="33">
        <v>0</v>
      </c>
      <c r="CL724" s="33">
        <v>0</v>
      </c>
      <c r="CM724" s="33">
        <v>3</v>
      </c>
      <c r="CN724" s="33">
        <v>1</v>
      </c>
      <c r="CO724" s="33">
        <v>0</v>
      </c>
      <c r="CP724" s="43">
        <v>0.27780727835161162</v>
      </c>
      <c r="CQ724" s="33">
        <v>0</v>
      </c>
      <c r="CR724" s="33">
        <v>1</v>
      </c>
    </row>
    <row r="725" spans="1:96" ht="15" customHeight="1" x14ac:dyDescent="0.25">
      <c r="A725" s="26">
        <v>723</v>
      </c>
      <c r="B725" s="27">
        <v>46</v>
      </c>
      <c r="C725" s="27">
        <v>0</v>
      </c>
      <c r="D725" s="27">
        <v>1</v>
      </c>
      <c r="E725" s="27">
        <v>566</v>
      </c>
      <c r="F725" s="27">
        <v>2</v>
      </c>
      <c r="G725" s="27">
        <v>7</v>
      </c>
      <c r="H725" s="27">
        <v>2</v>
      </c>
      <c r="I725" s="27">
        <v>3</v>
      </c>
      <c r="J725" s="27">
        <v>1</v>
      </c>
      <c r="K725" s="27">
        <v>1007</v>
      </c>
      <c r="L725" s="27">
        <v>4</v>
      </c>
      <c r="M725" s="27">
        <v>1</v>
      </c>
      <c r="N725" s="27">
        <v>75</v>
      </c>
      <c r="O725" s="27">
        <v>3</v>
      </c>
      <c r="P725" s="27">
        <v>3</v>
      </c>
      <c r="Q725" s="27">
        <v>4</v>
      </c>
      <c r="R725" s="27">
        <v>3</v>
      </c>
      <c r="S725" s="27">
        <v>3</v>
      </c>
      <c r="T725" s="27">
        <v>10845</v>
      </c>
      <c r="U725" s="27">
        <v>24208</v>
      </c>
      <c r="V725" s="27">
        <v>6</v>
      </c>
      <c r="W725" s="27">
        <v>0</v>
      </c>
      <c r="X725" s="27">
        <v>13</v>
      </c>
      <c r="Y725" s="27">
        <v>3</v>
      </c>
      <c r="Z725" s="27">
        <v>2</v>
      </c>
      <c r="AA725" s="27">
        <v>80</v>
      </c>
      <c r="AB725" s="27">
        <v>1</v>
      </c>
      <c r="AC725" s="27">
        <v>13</v>
      </c>
      <c r="AD725" s="27">
        <v>3</v>
      </c>
      <c r="AE725" s="27">
        <v>3</v>
      </c>
      <c r="AF725" s="27">
        <v>8</v>
      </c>
      <c r="AG725" s="27">
        <v>7</v>
      </c>
      <c r="AH725" s="27">
        <v>0</v>
      </c>
      <c r="AI725" s="28">
        <v>7</v>
      </c>
      <c r="AK725" s="36">
        <v>692</v>
      </c>
      <c r="AL725" s="33">
        <v>9</v>
      </c>
      <c r="AM725" s="33">
        <v>1</v>
      </c>
      <c r="AN725" s="33">
        <v>2</v>
      </c>
      <c r="AO725" s="33">
        <v>8</v>
      </c>
      <c r="AP725" s="33">
        <v>1</v>
      </c>
      <c r="AQ725" s="33">
        <v>1</v>
      </c>
      <c r="AR725" s="33">
        <v>3</v>
      </c>
      <c r="AS725" s="33">
        <v>1</v>
      </c>
      <c r="AT725" s="33">
        <v>0</v>
      </c>
      <c r="AU725" s="43">
        <v>0.55466232291684292</v>
      </c>
      <c r="AV725" s="33">
        <v>1</v>
      </c>
      <c r="AW725" s="33">
        <v>0</v>
      </c>
      <c r="AY725" s="36">
        <v>697</v>
      </c>
      <c r="AZ725" s="33">
        <v>2</v>
      </c>
      <c r="BA725" s="33">
        <v>2</v>
      </c>
      <c r="BB725" s="33">
        <v>0</v>
      </c>
      <c r="BC725" s="33">
        <v>0</v>
      </c>
      <c r="BD725" s="43">
        <v>0.15063023792355215</v>
      </c>
      <c r="BE725" s="33">
        <v>0</v>
      </c>
      <c r="BF725" s="33">
        <v>0</v>
      </c>
      <c r="CE725" s="36">
        <v>691</v>
      </c>
      <c r="CF725" s="33">
        <v>12</v>
      </c>
      <c r="CG725" s="33">
        <v>2</v>
      </c>
      <c r="CH725" s="33">
        <v>4</v>
      </c>
      <c r="CI725" s="33">
        <v>2</v>
      </c>
      <c r="CJ725" s="33">
        <v>0</v>
      </c>
      <c r="CK725" s="33">
        <v>1</v>
      </c>
      <c r="CL725" s="33">
        <v>2</v>
      </c>
      <c r="CM725" s="33">
        <v>1</v>
      </c>
      <c r="CN725" s="33">
        <v>9</v>
      </c>
      <c r="CO725" s="33">
        <v>8</v>
      </c>
      <c r="CP725" s="43">
        <v>0.29255652901179974</v>
      </c>
      <c r="CQ725" s="33">
        <v>0</v>
      </c>
      <c r="CR725" s="33">
        <v>0</v>
      </c>
    </row>
    <row r="726" spans="1:96" ht="15" customHeight="1" x14ac:dyDescent="0.25">
      <c r="A726" s="26">
        <v>724</v>
      </c>
      <c r="B726" s="27">
        <v>24</v>
      </c>
      <c r="C726" s="27">
        <v>0</v>
      </c>
      <c r="D726" s="27">
        <v>1</v>
      </c>
      <c r="E726" s="27">
        <v>1206</v>
      </c>
      <c r="F726" s="27">
        <v>2</v>
      </c>
      <c r="G726" s="27">
        <v>17</v>
      </c>
      <c r="H726" s="27">
        <v>1</v>
      </c>
      <c r="I726" s="27">
        <v>3</v>
      </c>
      <c r="J726" s="27">
        <v>1</v>
      </c>
      <c r="K726" s="27">
        <v>1009</v>
      </c>
      <c r="L726" s="27">
        <v>4</v>
      </c>
      <c r="M726" s="27">
        <v>0</v>
      </c>
      <c r="N726" s="27">
        <v>41</v>
      </c>
      <c r="O726" s="27">
        <v>2</v>
      </c>
      <c r="P726" s="27">
        <v>2</v>
      </c>
      <c r="Q726" s="27">
        <v>4</v>
      </c>
      <c r="R726" s="27">
        <v>3</v>
      </c>
      <c r="S726" s="27">
        <v>3</v>
      </c>
      <c r="T726" s="27">
        <v>4377</v>
      </c>
      <c r="U726" s="27">
        <v>24117</v>
      </c>
      <c r="V726" s="27">
        <v>1</v>
      </c>
      <c r="W726" s="27">
        <v>0</v>
      </c>
      <c r="X726" s="27">
        <v>15</v>
      </c>
      <c r="Y726" s="27">
        <v>3</v>
      </c>
      <c r="Z726" s="27">
        <v>2</v>
      </c>
      <c r="AA726" s="27">
        <v>80</v>
      </c>
      <c r="AB726" s="27">
        <v>2</v>
      </c>
      <c r="AC726" s="27">
        <v>5</v>
      </c>
      <c r="AD726" s="27">
        <v>6</v>
      </c>
      <c r="AE726" s="27">
        <v>3</v>
      </c>
      <c r="AF726" s="27">
        <v>4</v>
      </c>
      <c r="AG726" s="27">
        <v>2</v>
      </c>
      <c r="AH726" s="27">
        <v>3</v>
      </c>
      <c r="AI726" s="28">
        <v>2</v>
      </c>
      <c r="AK726" s="36">
        <v>693</v>
      </c>
      <c r="AL726" s="33">
        <v>3</v>
      </c>
      <c r="AM726" s="33">
        <v>2</v>
      </c>
      <c r="AN726" s="33">
        <v>1</v>
      </c>
      <c r="AO726" s="33">
        <v>1</v>
      </c>
      <c r="AP726" s="33">
        <v>0</v>
      </c>
      <c r="AQ726" s="33">
        <v>1</v>
      </c>
      <c r="AR726" s="33">
        <v>4</v>
      </c>
      <c r="AS726" s="33">
        <v>8</v>
      </c>
      <c r="AT726" s="33">
        <v>6</v>
      </c>
      <c r="AU726" s="43">
        <v>8.60996980933912E-2</v>
      </c>
      <c r="AV726" s="33">
        <v>0</v>
      </c>
      <c r="AW726" s="33">
        <v>0</v>
      </c>
      <c r="AY726" s="36">
        <v>698</v>
      </c>
      <c r="AZ726" s="33">
        <v>1</v>
      </c>
      <c r="BA726" s="33">
        <v>4</v>
      </c>
      <c r="BB726" s="33">
        <v>0</v>
      </c>
      <c r="BC726" s="33">
        <v>1</v>
      </c>
      <c r="BD726" s="43">
        <v>9.2486413274924434E-2</v>
      </c>
      <c r="BE726" s="33">
        <v>0</v>
      </c>
      <c r="BF726" s="33">
        <v>0</v>
      </c>
      <c r="CE726" s="36">
        <v>692</v>
      </c>
      <c r="CF726" s="33">
        <v>9</v>
      </c>
      <c r="CG726" s="33">
        <v>1</v>
      </c>
      <c r="CH726" s="33">
        <v>2</v>
      </c>
      <c r="CI726" s="33">
        <v>3</v>
      </c>
      <c r="CJ726" s="33">
        <v>8</v>
      </c>
      <c r="CK726" s="33">
        <v>1</v>
      </c>
      <c r="CL726" s="33">
        <v>1</v>
      </c>
      <c r="CM726" s="33">
        <v>3</v>
      </c>
      <c r="CN726" s="33">
        <v>1</v>
      </c>
      <c r="CO726" s="33">
        <v>0</v>
      </c>
      <c r="CP726" s="43">
        <v>0.42152566291939753</v>
      </c>
      <c r="CQ726" s="33">
        <v>0</v>
      </c>
      <c r="CR726" s="33">
        <v>0</v>
      </c>
    </row>
    <row r="727" spans="1:96" ht="15" customHeight="1" x14ac:dyDescent="0.25">
      <c r="A727" s="26">
        <v>725</v>
      </c>
      <c r="B727" s="27">
        <v>35</v>
      </c>
      <c r="C727" s="27">
        <v>1</v>
      </c>
      <c r="D727" s="27">
        <v>1</v>
      </c>
      <c r="E727" s="27">
        <v>622</v>
      </c>
      <c r="F727" s="27">
        <v>2</v>
      </c>
      <c r="G727" s="27">
        <v>14</v>
      </c>
      <c r="H727" s="27">
        <v>4</v>
      </c>
      <c r="I727" s="27">
        <v>6</v>
      </c>
      <c r="J727" s="27">
        <v>1</v>
      </c>
      <c r="K727" s="27">
        <v>1010</v>
      </c>
      <c r="L727" s="27">
        <v>3</v>
      </c>
      <c r="M727" s="27">
        <v>1</v>
      </c>
      <c r="N727" s="27">
        <v>39</v>
      </c>
      <c r="O727" s="27">
        <v>2</v>
      </c>
      <c r="P727" s="27">
        <v>1</v>
      </c>
      <c r="Q727" s="27">
        <v>3</v>
      </c>
      <c r="R727" s="27">
        <v>2</v>
      </c>
      <c r="S727" s="27">
        <v>3</v>
      </c>
      <c r="T727" s="27">
        <v>3743</v>
      </c>
      <c r="U727" s="27">
        <v>10074</v>
      </c>
      <c r="V727" s="27">
        <v>1</v>
      </c>
      <c r="W727" s="27">
        <v>1</v>
      </c>
      <c r="X727" s="27">
        <v>24</v>
      </c>
      <c r="Y727" s="27">
        <v>4</v>
      </c>
      <c r="Z727" s="27">
        <v>4</v>
      </c>
      <c r="AA727" s="27">
        <v>80</v>
      </c>
      <c r="AB727" s="27">
        <v>1</v>
      </c>
      <c r="AC727" s="27">
        <v>5</v>
      </c>
      <c r="AD727" s="27">
        <v>2</v>
      </c>
      <c r="AE727" s="27">
        <v>1</v>
      </c>
      <c r="AF727" s="27">
        <v>4</v>
      </c>
      <c r="AG727" s="27">
        <v>2</v>
      </c>
      <c r="AH727" s="27">
        <v>0</v>
      </c>
      <c r="AI727" s="28">
        <v>2</v>
      </c>
      <c r="AK727" s="36">
        <v>694</v>
      </c>
      <c r="AL727" s="33">
        <v>3</v>
      </c>
      <c r="AM727" s="33">
        <v>3</v>
      </c>
      <c r="AN727" s="33">
        <v>4</v>
      </c>
      <c r="AO727" s="33">
        <v>1</v>
      </c>
      <c r="AP727" s="33">
        <v>1</v>
      </c>
      <c r="AQ727" s="33">
        <v>1</v>
      </c>
      <c r="AR727" s="33">
        <v>3</v>
      </c>
      <c r="AS727" s="33">
        <v>16</v>
      </c>
      <c r="AT727" s="33">
        <v>3</v>
      </c>
      <c r="AU727" s="43">
        <v>4.7473483191805978E-2</v>
      </c>
      <c r="AV727" s="33">
        <v>0</v>
      </c>
      <c r="AW727" s="33">
        <v>1</v>
      </c>
      <c r="AY727" s="36">
        <v>699</v>
      </c>
      <c r="AZ727" s="33">
        <v>2</v>
      </c>
      <c r="BA727" s="33">
        <v>3</v>
      </c>
      <c r="BB727" s="33">
        <v>0</v>
      </c>
      <c r="BC727" s="33">
        <v>0</v>
      </c>
      <c r="BD727" s="43">
        <v>0.11690772887050198</v>
      </c>
      <c r="BE727" s="33">
        <v>0</v>
      </c>
      <c r="BF727" s="33">
        <v>0</v>
      </c>
      <c r="CE727" s="36">
        <v>693</v>
      </c>
      <c r="CF727" s="33">
        <v>3</v>
      </c>
      <c r="CG727" s="33">
        <v>2</v>
      </c>
      <c r="CH727" s="33">
        <v>1</v>
      </c>
      <c r="CI727" s="33">
        <v>2</v>
      </c>
      <c r="CJ727" s="33">
        <v>1</v>
      </c>
      <c r="CK727" s="33">
        <v>0</v>
      </c>
      <c r="CL727" s="33">
        <v>1</v>
      </c>
      <c r="CM727" s="33">
        <v>4</v>
      </c>
      <c r="CN727" s="33">
        <v>8</v>
      </c>
      <c r="CO727" s="33">
        <v>6</v>
      </c>
      <c r="CP727" s="43">
        <v>8.5859414895133102E-2</v>
      </c>
      <c r="CQ727" s="33">
        <v>0</v>
      </c>
      <c r="CR727" s="33">
        <v>0</v>
      </c>
    </row>
    <row r="728" spans="1:96" ht="15" customHeight="1" x14ac:dyDescent="0.25">
      <c r="A728" s="26">
        <v>726</v>
      </c>
      <c r="B728" s="27">
        <v>31</v>
      </c>
      <c r="C728" s="27">
        <v>0</v>
      </c>
      <c r="D728" s="27">
        <v>2</v>
      </c>
      <c r="E728" s="27">
        <v>853</v>
      </c>
      <c r="F728" s="27">
        <v>2</v>
      </c>
      <c r="G728" s="27">
        <v>1</v>
      </c>
      <c r="H728" s="27">
        <v>1</v>
      </c>
      <c r="I728" s="27">
        <v>1</v>
      </c>
      <c r="J728" s="27">
        <v>1</v>
      </c>
      <c r="K728" s="27">
        <v>1011</v>
      </c>
      <c r="L728" s="27">
        <v>3</v>
      </c>
      <c r="M728" s="27">
        <v>0</v>
      </c>
      <c r="N728" s="27">
        <v>96</v>
      </c>
      <c r="O728" s="27">
        <v>3</v>
      </c>
      <c r="P728" s="27">
        <v>2</v>
      </c>
      <c r="Q728" s="27">
        <v>4</v>
      </c>
      <c r="R728" s="27">
        <v>1</v>
      </c>
      <c r="S728" s="27">
        <v>2</v>
      </c>
      <c r="T728" s="27">
        <v>4148</v>
      </c>
      <c r="U728" s="27">
        <v>11275</v>
      </c>
      <c r="V728" s="27">
        <v>1</v>
      </c>
      <c r="W728" s="27">
        <v>0</v>
      </c>
      <c r="X728" s="27">
        <v>12</v>
      </c>
      <c r="Y728" s="27">
        <v>3</v>
      </c>
      <c r="Z728" s="27">
        <v>3</v>
      </c>
      <c r="AA728" s="27">
        <v>80</v>
      </c>
      <c r="AB728" s="27">
        <v>1</v>
      </c>
      <c r="AC728" s="27">
        <v>4</v>
      </c>
      <c r="AD728" s="27">
        <v>1</v>
      </c>
      <c r="AE728" s="27">
        <v>3</v>
      </c>
      <c r="AF728" s="27">
        <v>4</v>
      </c>
      <c r="AG728" s="27">
        <v>3</v>
      </c>
      <c r="AH728" s="27">
        <v>0</v>
      </c>
      <c r="AI728" s="28">
        <v>3</v>
      </c>
      <c r="AK728" s="36">
        <v>695</v>
      </c>
      <c r="AL728" s="33">
        <v>1</v>
      </c>
      <c r="AM728" s="33">
        <v>2</v>
      </c>
      <c r="AN728" s="33">
        <v>4</v>
      </c>
      <c r="AO728" s="33">
        <v>0</v>
      </c>
      <c r="AP728" s="33">
        <v>0</v>
      </c>
      <c r="AQ728" s="33">
        <v>0</v>
      </c>
      <c r="AR728" s="33">
        <v>3</v>
      </c>
      <c r="AS728" s="33">
        <v>5</v>
      </c>
      <c r="AT728" s="33">
        <v>1</v>
      </c>
      <c r="AU728" s="43">
        <v>5.0195770437361384E-2</v>
      </c>
      <c r="AV728" s="33">
        <v>0</v>
      </c>
      <c r="AW728" s="33">
        <v>0</v>
      </c>
      <c r="AY728" s="36">
        <v>700</v>
      </c>
      <c r="AZ728" s="33">
        <v>4</v>
      </c>
      <c r="BA728" s="33">
        <v>4</v>
      </c>
      <c r="BB728" s="33">
        <v>0</v>
      </c>
      <c r="BC728" s="33">
        <v>1</v>
      </c>
      <c r="BD728" s="43">
        <v>1.872698143618769E-2</v>
      </c>
      <c r="BE728" s="33">
        <v>0</v>
      </c>
      <c r="BF728" s="33">
        <v>0</v>
      </c>
      <c r="CE728" s="36">
        <v>694</v>
      </c>
      <c r="CF728" s="33">
        <v>3</v>
      </c>
      <c r="CG728" s="33">
        <v>3</v>
      </c>
      <c r="CH728" s="33">
        <v>4</v>
      </c>
      <c r="CI728" s="33">
        <v>2</v>
      </c>
      <c r="CJ728" s="33">
        <v>1</v>
      </c>
      <c r="CK728" s="33">
        <v>1</v>
      </c>
      <c r="CL728" s="33">
        <v>1</v>
      </c>
      <c r="CM728" s="33">
        <v>3</v>
      </c>
      <c r="CN728" s="33">
        <v>16</v>
      </c>
      <c r="CO728" s="33">
        <v>3</v>
      </c>
      <c r="CP728" s="43">
        <v>4.7323873891367461E-2</v>
      </c>
      <c r="CQ728" s="33">
        <v>0</v>
      </c>
      <c r="CR728" s="33">
        <v>1</v>
      </c>
    </row>
    <row r="729" spans="1:96" ht="15" customHeight="1" x14ac:dyDescent="0.25">
      <c r="A729" s="26">
        <v>727</v>
      </c>
      <c r="B729" s="27">
        <v>18</v>
      </c>
      <c r="C729" s="27">
        <v>0</v>
      </c>
      <c r="D729" s="27">
        <v>3</v>
      </c>
      <c r="E729" s="27">
        <v>287</v>
      </c>
      <c r="F729" s="27">
        <v>2</v>
      </c>
      <c r="G729" s="27">
        <v>5</v>
      </c>
      <c r="H729" s="27">
        <v>2</v>
      </c>
      <c r="I729" s="27">
        <v>1</v>
      </c>
      <c r="J729" s="27">
        <v>1</v>
      </c>
      <c r="K729" s="27">
        <v>1012</v>
      </c>
      <c r="L729" s="27">
        <v>2</v>
      </c>
      <c r="M729" s="27">
        <v>1</v>
      </c>
      <c r="N729" s="27">
        <v>73</v>
      </c>
      <c r="O729" s="27">
        <v>3</v>
      </c>
      <c r="P729" s="27">
        <v>1</v>
      </c>
      <c r="Q729" s="27">
        <v>2</v>
      </c>
      <c r="R729" s="27">
        <v>4</v>
      </c>
      <c r="S729" s="27">
        <v>1</v>
      </c>
      <c r="T729" s="27">
        <v>1051</v>
      </c>
      <c r="U729" s="27">
        <v>13493</v>
      </c>
      <c r="V729" s="27">
        <v>1</v>
      </c>
      <c r="W729" s="27">
        <v>0</v>
      </c>
      <c r="X729" s="27">
        <v>15</v>
      </c>
      <c r="Y729" s="27">
        <v>3</v>
      </c>
      <c r="Z729" s="27">
        <v>4</v>
      </c>
      <c r="AA729" s="27">
        <v>80</v>
      </c>
      <c r="AB729" s="27">
        <v>0</v>
      </c>
      <c r="AC729" s="27">
        <v>0</v>
      </c>
      <c r="AD729" s="27">
        <v>2</v>
      </c>
      <c r="AE729" s="27">
        <v>3</v>
      </c>
      <c r="AF729" s="27">
        <v>0</v>
      </c>
      <c r="AG729" s="27">
        <v>0</v>
      </c>
      <c r="AH729" s="27">
        <v>0</v>
      </c>
      <c r="AI729" s="28">
        <v>0</v>
      </c>
      <c r="AK729" s="36">
        <v>696</v>
      </c>
      <c r="AL729" s="33">
        <v>1</v>
      </c>
      <c r="AM729" s="33">
        <v>3</v>
      </c>
      <c r="AN729" s="33">
        <v>3</v>
      </c>
      <c r="AO729" s="33">
        <v>5</v>
      </c>
      <c r="AP729" s="33">
        <v>0</v>
      </c>
      <c r="AQ729" s="33">
        <v>0</v>
      </c>
      <c r="AR729" s="33">
        <v>1</v>
      </c>
      <c r="AS729" s="33">
        <v>14</v>
      </c>
      <c r="AT729" s="33">
        <v>11</v>
      </c>
      <c r="AU729" s="43">
        <v>0.13819939119656133</v>
      </c>
      <c r="AV729" s="33">
        <v>0</v>
      </c>
      <c r="AW729" s="33">
        <v>1</v>
      </c>
      <c r="AY729" s="36">
        <v>701</v>
      </c>
      <c r="AZ729" s="33">
        <v>1</v>
      </c>
      <c r="BA729" s="33">
        <v>3</v>
      </c>
      <c r="BB729" s="33">
        <v>0</v>
      </c>
      <c r="BC729" s="33">
        <v>0</v>
      </c>
      <c r="BD729" s="43">
        <v>0.18791247240909698</v>
      </c>
      <c r="BE729" s="33">
        <v>0</v>
      </c>
      <c r="BF729" s="33">
        <v>1</v>
      </c>
      <c r="CE729" s="36">
        <v>695</v>
      </c>
      <c r="CF729" s="33">
        <v>1</v>
      </c>
      <c r="CG729" s="33">
        <v>2</v>
      </c>
      <c r="CH729" s="33">
        <v>4</v>
      </c>
      <c r="CI729" s="33">
        <v>1</v>
      </c>
      <c r="CJ729" s="33">
        <v>0</v>
      </c>
      <c r="CK729" s="33">
        <v>0</v>
      </c>
      <c r="CL729" s="33">
        <v>0</v>
      </c>
      <c r="CM729" s="33">
        <v>3</v>
      </c>
      <c r="CN729" s="33">
        <v>5</v>
      </c>
      <c r="CO729" s="33">
        <v>1</v>
      </c>
      <c r="CP729" s="43">
        <v>5.8072041632981082E-2</v>
      </c>
      <c r="CQ729" s="33">
        <v>0</v>
      </c>
      <c r="CR729" s="33">
        <v>0</v>
      </c>
    </row>
    <row r="730" spans="1:96" ht="15" customHeight="1" x14ac:dyDescent="0.25">
      <c r="A730" s="26">
        <v>728</v>
      </c>
      <c r="B730" s="27">
        <v>54</v>
      </c>
      <c r="C730" s="27">
        <v>0</v>
      </c>
      <c r="D730" s="27">
        <v>1</v>
      </c>
      <c r="E730" s="27">
        <v>1441</v>
      </c>
      <c r="F730" s="27">
        <v>2</v>
      </c>
      <c r="G730" s="27">
        <v>17</v>
      </c>
      <c r="H730" s="27">
        <v>3</v>
      </c>
      <c r="I730" s="27">
        <v>5</v>
      </c>
      <c r="J730" s="27">
        <v>1</v>
      </c>
      <c r="K730" s="27">
        <v>1013</v>
      </c>
      <c r="L730" s="27">
        <v>3</v>
      </c>
      <c r="M730" s="27">
        <v>0</v>
      </c>
      <c r="N730" s="27">
        <v>56</v>
      </c>
      <c r="O730" s="27">
        <v>3</v>
      </c>
      <c r="P730" s="27">
        <v>3</v>
      </c>
      <c r="Q730" s="27">
        <v>4</v>
      </c>
      <c r="R730" s="27">
        <v>3</v>
      </c>
      <c r="S730" s="27">
        <v>2</v>
      </c>
      <c r="T730" s="27">
        <v>10739</v>
      </c>
      <c r="U730" s="27">
        <v>13943</v>
      </c>
      <c r="V730" s="27">
        <v>8</v>
      </c>
      <c r="W730" s="27">
        <v>0</v>
      </c>
      <c r="X730" s="27">
        <v>11</v>
      </c>
      <c r="Y730" s="27">
        <v>3</v>
      </c>
      <c r="Z730" s="27">
        <v>3</v>
      </c>
      <c r="AA730" s="27">
        <v>80</v>
      </c>
      <c r="AB730" s="27">
        <v>1</v>
      </c>
      <c r="AC730" s="27">
        <v>22</v>
      </c>
      <c r="AD730" s="27">
        <v>2</v>
      </c>
      <c r="AE730" s="27">
        <v>3</v>
      </c>
      <c r="AF730" s="27">
        <v>10</v>
      </c>
      <c r="AG730" s="27">
        <v>7</v>
      </c>
      <c r="AH730" s="27">
        <v>0</v>
      </c>
      <c r="AI730" s="28">
        <v>8</v>
      </c>
      <c r="AK730" s="36">
        <v>697</v>
      </c>
      <c r="AL730" s="33">
        <v>4</v>
      </c>
      <c r="AM730" s="33">
        <v>2</v>
      </c>
      <c r="AN730" s="33">
        <v>2</v>
      </c>
      <c r="AO730" s="33">
        <v>1</v>
      </c>
      <c r="AP730" s="33">
        <v>0</v>
      </c>
      <c r="AQ730" s="33">
        <v>0</v>
      </c>
      <c r="AR730" s="33">
        <v>2</v>
      </c>
      <c r="AS730" s="33">
        <v>9</v>
      </c>
      <c r="AT730" s="33">
        <v>0</v>
      </c>
      <c r="AU730" s="43">
        <v>8.7814895264020504E-2</v>
      </c>
      <c r="AV730" s="33">
        <v>0</v>
      </c>
      <c r="AW730" s="33">
        <v>0</v>
      </c>
      <c r="AY730" s="36">
        <v>702</v>
      </c>
      <c r="AZ730" s="33">
        <v>4</v>
      </c>
      <c r="BA730" s="33">
        <v>3</v>
      </c>
      <c r="BB730" s="33">
        <v>0</v>
      </c>
      <c r="BC730" s="33">
        <v>1</v>
      </c>
      <c r="BD730" s="43">
        <v>2.4928302134756671E-2</v>
      </c>
      <c r="BE730" s="33">
        <v>0</v>
      </c>
      <c r="BF730" s="33">
        <v>0</v>
      </c>
      <c r="CE730" s="36">
        <v>696</v>
      </c>
      <c r="CF730" s="33">
        <v>1</v>
      </c>
      <c r="CG730" s="33">
        <v>3</v>
      </c>
      <c r="CH730" s="33">
        <v>3</v>
      </c>
      <c r="CI730" s="33">
        <v>2</v>
      </c>
      <c r="CJ730" s="33">
        <v>5</v>
      </c>
      <c r="CK730" s="33">
        <v>0</v>
      </c>
      <c r="CL730" s="33">
        <v>0</v>
      </c>
      <c r="CM730" s="33">
        <v>1</v>
      </c>
      <c r="CN730" s="33">
        <v>14</v>
      </c>
      <c r="CO730" s="33">
        <v>11</v>
      </c>
      <c r="CP730" s="43">
        <v>0.10572645560611474</v>
      </c>
      <c r="CQ730" s="33">
        <v>0</v>
      </c>
      <c r="CR730" s="33">
        <v>1</v>
      </c>
    </row>
    <row r="731" spans="1:96" ht="15" customHeight="1" x14ac:dyDescent="0.25">
      <c r="A731" s="26">
        <v>729</v>
      </c>
      <c r="B731" s="27">
        <v>35</v>
      </c>
      <c r="C731" s="27">
        <v>0</v>
      </c>
      <c r="D731" s="27">
        <v>1</v>
      </c>
      <c r="E731" s="27">
        <v>583</v>
      </c>
      <c r="F731" s="27">
        <v>2</v>
      </c>
      <c r="G731" s="27">
        <v>25</v>
      </c>
      <c r="H731" s="27">
        <v>4</v>
      </c>
      <c r="I731" s="27">
        <v>3</v>
      </c>
      <c r="J731" s="27">
        <v>1</v>
      </c>
      <c r="K731" s="27">
        <v>1014</v>
      </c>
      <c r="L731" s="27">
        <v>3</v>
      </c>
      <c r="M731" s="27">
        <v>0</v>
      </c>
      <c r="N731" s="27">
        <v>57</v>
      </c>
      <c r="O731" s="27">
        <v>3</v>
      </c>
      <c r="P731" s="27">
        <v>3</v>
      </c>
      <c r="Q731" s="27">
        <v>5</v>
      </c>
      <c r="R731" s="27">
        <v>3</v>
      </c>
      <c r="S731" s="27">
        <v>3</v>
      </c>
      <c r="T731" s="27">
        <v>10388</v>
      </c>
      <c r="U731" s="27">
        <v>6975</v>
      </c>
      <c r="V731" s="27">
        <v>1</v>
      </c>
      <c r="W731" s="27">
        <v>1</v>
      </c>
      <c r="X731" s="27">
        <v>11</v>
      </c>
      <c r="Y731" s="27">
        <v>3</v>
      </c>
      <c r="Z731" s="27">
        <v>3</v>
      </c>
      <c r="AA731" s="27">
        <v>80</v>
      </c>
      <c r="AB731" s="27">
        <v>1</v>
      </c>
      <c r="AC731" s="27">
        <v>16</v>
      </c>
      <c r="AD731" s="27">
        <v>3</v>
      </c>
      <c r="AE731" s="27">
        <v>2</v>
      </c>
      <c r="AF731" s="27">
        <v>16</v>
      </c>
      <c r="AG731" s="27">
        <v>10</v>
      </c>
      <c r="AH731" s="27">
        <v>10</v>
      </c>
      <c r="AI731" s="28">
        <v>1</v>
      </c>
      <c r="AK731" s="36">
        <v>698</v>
      </c>
      <c r="AL731" s="33">
        <v>20</v>
      </c>
      <c r="AM731" s="33">
        <v>1</v>
      </c>
      <c r="AN731" s="33">
        <v>4</v>
      </c>
      <c r="AO731" s="33">
        <v>1</v>
      </c>
      <c r="AP731" s="33">
        <v>0</v>
      </c>
      <c r="AQ731" s="33">
        <v>1</v>
      </c>
      <c r="AR731" s="33">
        <v>3</v>
      </c>
      <c r="AS731" s="33">
        <v>3</v>
      </c>
      <c r="AT731" s="33">
        <v>0</v>
      </c>
      <c r="AU731" s="43">
        <v>9.9577282536350606E-2</v>
      </c>
      <c r="AV731" s="33">
        <v>0</v>
      </c>
      <c r="AW731" s="33">
        <v>0</v>
      </c>
      <c r="AY731" s="36">
        <v>703</v>
      </c>
      <c r="AZ731" s="33">
        <v>3</v>
      </c>
      <c r="BA731" s="33">
        <v>3</v>
      </c>
      <c r="BB731" s="33">
        <v>0</v>
      </c>
      <c r="BC731" s="33">
        <v>1</v>
      </c>
      <c r="BD731" s="43">
        <v>4.2774603045834733E-2</v>
      </c>
      <c r="BE731" s="33">
        <v>0</v>
      </c>
      <c r="BF731" s="33">
        <v>0</v>
      </c>
      <c r="CE731" s="36">
        <v>697</v>
      </c>
      <c r="CF731" s="33">
        <v>4</v>
      </c>
      <c r="CG731" s="33">
        <v>2</v>
      </c>
      <c r="CH731" s="33">
        <v>2</v>
      </c>
      <c r="CI731" s="33">
        <v>2</v>
      </c>
      <c r="CJ731" s="33">
        <v>1</v>
      </c>
      <c r="CK731" s="33">
        <v>0</v>
      </c>
      <c r="CL731" s="33">
        <v>0</v>
      </c>
      <c r="CM731" s="33">
        <v>2</v>
      </c>
      <c r="CN731" s="33">
        <v>9</v>
      </c>
      <c r="CO731" s="33">
        <v>0</v>
      </c>
      <c r="CP731" s="43">
        <v>6.3427788195883239E-2</v>
      </c>
      <c r="CQ731" s="33">
        <v>0</v>
      </c>
      <c r="CR731" s="33">
        <v>0</v>
      </c>
    </row>
    <row r="732" spans="1:96" ht="15" customHeight="1" x14ac:dyDescent="0.25">
      <c r="A732" s="26">
        <v>730</v>
      </c>
      <c r="B732" s="27">
        <v>30</v>
      </c>
      <c r="C732" s="27">
        <v>0</v>
      </c>
      <c r="D732" s="27">
        <v>1</v>
      </c>
      <c r="E732" s="27">
        <v>153</v>
      </c>
      <c r="F732" s="27">
        <v>2</v>
      </c>
      <c r="G732" s="27">
        <v>8</v>
      </c>
      <c r="H732" s="27">
        <v>2</v>
      </c>
      <c r="I732" s="27">
        <v>1</v>
      </c>
      <c r="J732" s="27">
        <v>1</v>
      </c>
      <c r="K732" s="27">
        <v>1015</v>
      </c>
      <c r="L732" s="27">
        <v>2</v>
      </c>
      <c r="M732" s="27">
        <v>0</v>
      </c>
      <c r="N732" s="27">
        <v>73</v>
      </c>
      <c r="O732" s="27">
        <v>4</v>
      </c>
      <c r="P732" s="27">
        <v>3</v>
      </c>
      <c r="Q732" s="27">
        <v>8</v>
      </c>
      <c r="R732" s="27">
        <v>1</v>
      </c>
      <c r="S732" s="27">
        <v>2</v>
      </c>
      <c r="T732" s="27">
        <v>11416</v>
      </c>
      <c r="U732" s="27">
        <v>17802</v>
      </c>
      <c r="V732" s="27">
        <v>0</v>
      </c>
      <c r="W732" s="27">
        <v>1</v>
      </c>
      <c r="X732" s="27">
        <v>12</v>
      </c>
      <c r="Y732" s="27">
        <v>3</v>
      </c>
      <c r="Z732" s="27">
        <v>3</v>
      </c>
      <c r="AA732" s="27">
        <v>80</v>
      </c>
      <c r="AB732" s="27">
        <v>3</v>
      </c>
      <c r="AC732" s="27">
        <v>9</v>
      </c>
      <c r="AD732" s="27">
        <v>4</v>
      </c>
      <c r="AE732" s="27">
        <v>2</v>
      </c>
      <c r="AF732" s="27">
        <v>8</v>
      </c>
      <c r="AG732" s="27">
        <v>7</v>
      </c>
      <c r="AH732" s="27">
        <v>1</v>
      </c>
      <c r="AI732" s="28">
        <v>7</v>
      </c>
      <c r="AK732" s="36">
        <v>699</v>
      </c>
      <c r="AL732" s="33">
        <v>18</v>
      </c>
      <c r="AM732" s="33">
        <v>2</v>
      </c>
      <c r="AN732" s="33">
        <v>3</v>
      </c>
      <c r="AO732" s="33">
        <v>1</v>
      </c>
      <c r="AP732" s="33">
        <v>0</v>
      </c>
      <c r="AQ732" s="33">
        <v>0</v>
      </c>
      <c r="AR732" s="33">
        <v>3</v>
      </c>
      <c r="AS732" s="33">
        <v>5</v>
      </c>
      <c r="AT732" s="33">
        <v>1</v>
      </c>
      <c r="AU732" s="43">
        <v>0.11999299529759042</v>
      </c>
      <c r="AV732" s="33">
        <v>0</v>
      </c>
      <c r="AW732" s="33">
        <v>0</v>
      </c>
      <c r="AY732" s="36">
        <v>704</v>
      </c>
      <c r="AZ732" s="33">
        <v>2</v>
      </c>
      <c r="BA732" s="33">
        <v>4</v>
      </c>
      <c r="BB732" s="33">
        <v>1</v>
      </c>
      <c r="BC732" s="33">
        <v>0</v>
      </c>
      <c r="BD732" s="43">
        <v>0.29698480921718856</v>
      </c>
      <c r="BE732" s="33">
        <v>0</v>
      </c>
      <c r="BF732" s="33">
        <v>0</v>
      </c>
      <c r="CE732" s="36">
        <v>698</v>
      </c>
      <c r="CF732" s="33">
        <v>20</v>
      </c>
      <c r="CG732" s="33">
        <v>1</v>
      </c>
      <c r="CH732" s="33">
        <v>4</v>
      </c>
      <c r="CI732" s="33">
        <v>2</v>
      </c>
      <c r="CJ732" s="33">
        <v>1</v>
      </c>
      <c r="CK732" s="33">
        <v>0</v>
      </c>
      <c r="CL732" s="33">
        <v>1</v>
      </c>
      <c r="CM732" s="33">
        <v>3</v>
      </c>
      <c r="CN732" s="33">
        <v>3</v>
      </c>
      <c r="CO732" s="33">
        <v>0</v>
      </c>
      <c r="CP732" s="43">
        <v>9.3141659613387912E-2</v>
      </c>
      <c r="CQ732" s="33">
        <v>0</v>
      </c>
      <c r="CR732" s="33">
        <v>0</v>
      </c>
    </row>
    <row r="733" spans="1:96" ht="15" customHeight="1" x14ac:dyDescent="0.25">
      <c r="A733" s="26">
        <v>731</v>
      </c>
      <c r="B733" s="27">
        <v>20</v>
      </c>
      <c r="C733" s="27">
        <v>1</v>
      </c>
      <c r="D733" s="27">
        <v>1</v>
      </c>
      <c r="E733" s="27">
        <v>1097</v>
      </c>
      <c r="F733" s="27">
        <v>2</v>
      </c>
      <c r="G733" s="27">
        <v>11</v>
      </c>
      <c r="H733" s="27">
        <v>3</v>
      </c>
      <c r="I733" s="27">
        <v>3</v>
      </c>
      <c r="J733" s="27">
        <v>1</v>
      </c>
      <c r="K733" s="27">
        <v>1016</v>
      </c>
      <c r="L733" s="27">
        <v>4</v>
      </c>
      <c r="M733" s="27">
        <v>0</v>
      </c>
      <c r="N733" s="27">
        <v>98</v>
      </c>
      <c r="O733" s="27">
        <v>2</v>
      </c>
      <c r="P733" s="27">
        <v>1</v>
      </c>
      <c r="Q733" s="27">
        <v>2</v>
      </c>
      <c r="R733" s="27">
        <v>1</v>
      </c>
      <c r="S733" s="27">
        <v>1</v>
      </c>
      <c r="T733" s="27">
        <v>2600</v>
      </c>
      <c r="U733" s="27">
        <v>18275</v>
      </c>
      <c r="V733" s="27">
        <v>1</v>
      </c>
      <c r="W733" s="27">
        <v>1</v>
      </c>
      <c r="X733" s="27">
        <v>15</v>
      </c>
      <c r="Y733" s="27">
        <v>3</v>
      </c>
      <c r="Z733" s="27">
        <v>1</v>
      </c>
      <c r="AA733" s="27">
        <v>80</v>
      </c>
      <c r="AB733" s="27">
        <v>0</v>
      </c>
      <c r="AC733" s="27">
        <v>1</v>
      </c>
      <c r="AD733" s="27">
        <v>2</v>
      </c>
      <c r="AE733" s="27">
        <v>3</v>
      </c>
      <c r="AF733" s="27">
        <v>1</v>
      </c>
      <c r="AG733" s="27">
        <v>0</v>
      </c>
      <c r="AH733" s="27">
        <v>0</v>
      </c>
      <c r="AI733" s="28">
        <v>0</v>
      </c>
      <c r="AK733" s="36">
        <v>700</v>
      </c>
      <c r="AL733" s="33">
        <v>1</v>
      </c>
      <c r="AM733" s="33">
        <v>4</v>
      </c>
      <c r="AN733" s="33">
        <v>4</v>
      </c>
      <c r="AO733" s="33">
        <v>2</v>
      </c>
      <c r="AP733" s="33">
        <v>0</v>
      </c>
      <c r="AQ733" s="33">
        <v>1</v>
      </c>
      <c r="AR733" s="33">
        <v>2</v>
      </c>
      <c r="AS733" s="33">
        <v>9</v>
      </c>
      <c r="AT733" s="33">
        <v>7</v>
      </c>
      <c r="AU733" s="43">
        <v>2.1490373896275491E-2</v>
      </c>
      <c r="AV733" s="33">
        <v>0</v>
      </c>
      <c r="AW733" s="33">
        <v>0</v>
      </c>
      <c r="AY733" s="36">
        <v>705</v>
      </c>
      <c r="AZ733" s="33">
        <v>3</v>
      </c>
      <c r="BA733" s="33">
        <v>4</v>
      </c>
      <c r="BB733" s="33">
        <v>0</v>
      </c>
      <c r="BC733" s="33">
        <v>1</v>
      </c>
      <c r="BD733" s="43">
        <v>3.2280700557178299E-2</v>
      </c>
      <c r="BE733" s="33">
        <v>0</v>
      </c>
      <c r="BF733" s="33">
        <v>0</v>
      </c>
      <c r="CE733" s="36">
        <v>699</v>
      </c>
      <c r="CF733" s="33">
        <v>18</v>
      </c>
      <c r="CG733" s="33">
        <v>2</v>
      </c>
      <c r="CH733" s="33">
        <v>3</v>
      </c>
      <c r="CI733" s="33">
        <v>2</v>
      </c>
      <c r="CJ733" s="33">
        <v>1</v>
      </c>
      <c r="CK733" s="33">
        <v>0</v>
      </c>
      <c r="CL733" s="33">
        <v>0</v>
      </c>
      <c r="CM733" s="33">
        <v>3</v>
      </c>
      <c r="CN733" s="33">
        <v>5</v>
      </c>
      <c r="CO733" s="33">
        <v>1</v>
      </c>
      <c r="CP733" s="43">
        <v>8.4857715759215191E-2</v>
      </c>
      <c r="CQ733" s="33">
        <v>0</v>
      </c>
      <c r="CR733" s="33">
        <v>0</v>
      </c>
    </row>
    <row r="734" spans="1:96" ht="15" customHeight="1" x14ac:dyDescent="0.25">
      <c r="A734" s="26">
        <v>732</v>
      </c>
      <c r="B734" s="27">
        <v>30</v>
      </c>
      <c r="C734" s="27">
        <v>1</v>
      </c>
      <c r="D734" s="27">
        <v>2</v>
      </c>
      <c r="E734" s="27">
        <v>109</v>
      </c>
      <c r="F734" s="27">
        <v>2</v>
      </c>
      <c r="G734" s="27">
        <v>5</v>
      </c>
      <c r="H734" s="27">
        <v>3</v>
      </c>
      <c r="I734" s="27">
        <v>3</v>
      </c>
      <c r="J734" s="27">
        <v>1</v>
      </c>
      <c r="K734" s="27">
        <v>1017</v>
      </c>
      <c r="L734" s="27">
        <v>2</v>
      </c>
      <c r="M734" s="27">
        <v>0</v>
      </c>
      <c r="N734" s="27">
        <v>60</v>
      </c>
      <c r="O734" s="27">
        <v>3</v>
      </c>
      <c r="P734" s="27">
        <v>1</v>
      </c>
      <c r="Q734" s="27">
        <v>3</v>
      </c>
      <c r="R734" s="27">
        <v>2</v>
      </c>
      <c r="S734" s="27">
        <v>1</v>
      </c>
      <c r="T734" s="27">
        <v>2422</v>
      </c>
      <c r="U734" s="27">
        <v>25725</v>
      </c>
      <c r="V734" s="27">
        <v>0</v>
      </c>
      <c r="W734" s="27">
        <v>0</v>
      </c>
      <c r="X734" s="27">
        <v>17</v>
      </c>
      <c r="Y734" s="27">
        <v>3</v>
      </c>
      <c r="Z734" s="27">
        <v>1</v>
      </c>
      <c r="AA734" s="27">
        <v>80</v>
      </c>
      <c r="AB734" s="27">
        <v>0</v>
      </c>
      <c r="AC734" s="27">
        <v>4</v>
      </c>
      <c r="AD734" s="27">
        <v>3</v>
      </c>
      <c r="AE734" s="27">
        <v>3</v>
      </c>
      <c r="AF734" s="27">
        <v>3</v>
      </c>
      <c r="AG734" s="27">
        <v>2</v>
      </c>
      <c r="AH734" s="27">
        <v>1</v>
      </c>
      <c r="AI734" s="28">
        <v>2</v>
      </c>
      <c r="AK734" s="36">
        <v>701</v>
      </c>
      <c r="AL734" s="33">
        <v>2</v>
      </c>
      <c r="AM734" s="33">
        <v>1</v>
      </c>
      <c r="AN734" s="33">
        <v>3</v>
      </c>
      <c r="AO734" s="33">
        <v>4</v>
      </c>
      <c r="AP734" s="33">
        <v>0</v>
      </c>
      <c r="AQ734" s="33">
        <v>0</v>
      </c>
      <c r="AR734" s="33">
        <v>3</v>
      </c>
      <c r="AS734" s="33">
        <v>1</v>
      </c>
      <c r="AT734" s="33">
        <v>0</v>
      </c>
      <c r="AU734" s="43">
        <v>0.17478868735541667</v>
      </c>
      <c r="AV734" s="33">
        <v>0</v>
      </c>
      <c r="AW734" s="33">
        <v>1</v>
      </c>
      <c r="AY734" s="36">
        <v>706</v>
      </c>
      <c r="AZ734" s="33">
        <v>3</v>
      </c>
      <c r="BA734" s="33">
        <v>3</v>
      </c>
      <c r="BB734" s="33">
        <v>0</v>
      </c>
      <c r="BC734" s="33">
        <v>0</v>
      </c>
      <c r="BD734" s="43">
        <v>7.0406776741937793E-2</v>
      </c>
      <c r="BE734" s="33">
        <v>0</v>
      </c>
      <c r="BF734" s="33">
        <v>0</v>
      </c>
      <c r="CE734" s="36">
        <v>700</v>
      </c>
      <c r="CF734" s="33">
        <v>1</v>
      </c>
      <c r="CG734" s="33">
        <v>4</v>
      </c>
      <c r="CH734" s="33">
        <v>4</v>
      </c>
      <c r="CI734" s="33">
        <v>2</v>
      </c>
      <c r="CJ734" s="33">
        <v>2</v>
      </c>
      <c r="CK734" s="33">
        <v>0</v>
      </c>
      <c r="CL734" s="33">
        <v>1</v>
      </c>
      <c r="CM734" s="33">
        <v>2</v>
      </c>
      <c r="CN734" s="33">
        <v>9</v>
      </c>
      <c r="CO734" s="33">
        <v>7</v>
      </c>
      <c r="CP734" s="43">
        <v>2.1530015968712981E-2</v>
      </c>
      <c r="CQ734" s="33">
        <v>0</v>
      </c>
      <c r="CR734" s="33">
        <v>0</v>
      </c>
    </row>
    <row r="735" spans="1:96" ht="15" customHeight="1" x14ac:dyDescent="0.25">
      <c r="A735" s="26">
        <v>733</v>
      </c>
      <c r="B735" s="27">
        <v>26</v>
      </c>
      <c r="C735" s="27">
        <v>0</v>
      </c>
      <c r="D735" s="27">
        <v>1</v>
      </c>
      <c r="E735" s="27">
        <v>1066</v>
      </c>
      <c r="F735" s="27">
        <v>2</v>
      </c>
      <c r="G735" s="27">
        <v>2</v>
      </c>
      <c r="H735" s="27">
        <v>2</v>
      </c>
      <c r="I735" s="27">
        <v>3</v>
      </c>
      <c r="J735" s="27">
        <v>1</v>
      </c>
      <c r="K735" s="27">
        <v>1018</v>
      </c>
      <c r="L735" s="27">
        <v>4</v>
      </c>
      <c r="M735" s="27">
        <v>1</v>
      </c>
      <c r="N735" s="27">
        <v>32</v>
      </c>
      <c r="O735" s="27">
        <v>4</v>
      </c>
      <c r="P735" s="27">
        <v>2</v>
      </c>
      <c r="Q735" s="27">
        <v>4</v>
      </c>
      <c r="R735" s="27">
        <v>4</v>
      </c>
      <c r="S735" s="27">
        <v>2</v>
      </c>
      <c r="T735" s="27">
        <v>5472</v>
      </c>
      <c r="U735" s="27">
        <v>3334</v>
      </c>
      <c r="V735" s="27">
        <v>1</v>
      </c>
      <c r="W735" s="27">
        <v>0</v>
      </c>
      <c r="X735" s="27">
        <v>12</v>
      </c>
      <c r="Y735" s="27">
        <v>3</v>
      </c>
      <c r="Z735" s="27">
        <v>2</v>
      </c>
      <c r="AA735" s="27">
        <v>80</v>
      </c>
      <c r="AB735" s="27">
        <v>0</v>
      </c>
      <c r="AC735" s="27">
        <v>8</v>
      </c>
      <c r="AD735" s="27">
        <v>2</v>
      </c>
      <c r="AE735" s="27">
        <v>3</v>
      </c>
      <c r="AF735" s="27">
        <v>8</v>
      </c>
      <c r="AG735" s="27">
        <v>7</v>
      </c>
      <c r="AH735" s="27">
        <v>1</v>
      </c>
      <c r="AI735" s="28">
        <v>3</v>
      </c>
      <c r="AK735" s="36">
        <v>702</v>
      </c>
      <c r="AL735" s="33">
        <v>2</v>
      </c>
      <c r="AM735" s="33">
        <v>4</v>
      </c>
      <c r="AN735" s="33">
        <v>3</v>
      </c>
      <c r="AO735" s="33">
        <v>6</v>
      </c>
      <c r="AP735" s="33">
        <v>0</v>
      </c>
      <c r="AQ735" s="33">
        <v>1</v>
      </c>
      <c r="AR735" s="33">
        <v>4</v>
      </c>
      <c r="AS735" s="33">
        <v>17</v>
      </c>
      <c r="AT735" s="33">
        <v>15</v>
      </c>
      <c r="AU735" s="43">
        <v>3.5848850361844466E-2</v>
      </c>
      <c r="AV735" s="33">
        <v>0</v>
      </c>
      <c r="AW735" s="33">
        <v>0</v>
      </c>
      <c r="AY735" s="36">
        <v>707</v>
      </c>
      <c r="AZ735" s="33">
        <v>4</v>
      </c>
      <c r="BA735" s="33">
        <v>2</v>
      </c>
      <c r="BB735" s="33">
        <v>1</v>
      </c>
      <c r="BC735" s="33">
        <v>0</v>
      </c>
      <c r="BD735" s="43">
        <v>0.19880707357703922</v>
      </c>
      <c r="BE735" s="33">
        <v>0</v>
      </c>
      <c r="BF735" s="33">
        <v>1</v>
      </c>
      <c r="CE735" s="36">
        <v>701</v>
      </c>
      <c r="CF735" s="33">
        <v>2</v>
      </c>
      <c r="CG735" s="33">
        <v>1</v>
      </c>
      <c r="CH735" s="33">
        <v>3</v>
      </c>
      <c r="CI735" s="33">
        <v>1</v>
      </c>
      <c r="CJ735" s="33">
        <v>4</v>
      </c>
      <c r="CK735" s="33">
        <v>0</v>
      </c>
      <c r="CL735" s="33">
        <v>0</v>
      </c>
      <c r="CM735" s="33">
        <v>3</v>
      </c>
      <c r="CN735" s="33">
        <v>1</v>
      </c>
      <c r="CO735" s="33">
        <v>0</v>
      </c>
      <c r="CP735" s="43">
        <v>0.2000182252177326</v>
      </c>
      <c r="CQ735" s="33">
        <v>0</v>
      </c>
      <c r="CR735" s="33">
        <v>1</v>
      </c>
    </row>
    <row r="736" spans="1:96" ht="15" customHeight="1" x14ac:dyDescent="0.25">
      <c r="A736" s="26">
        <v>734</v>
      </c>
      <c r="B736" s="27">
        <v>22</v>
      </c>
      <c r="C736" s="27">
        <v>0</v>
      </c>
      <c r="D736" s="27">
        <v>1</v>
      </c>
      <c r="E736" s="27">
        <v>217</v>
      </c>
      <c r="F736" s="27">
        <v>2</v>
      </c>
      <c r="G736" s="27">
        <v>8</v>
      </c>
      <c r="H736" s="27">
        <v>1</v>
      </c>
      <c r="I736" s="27">
        <v>1</v>
      </c>
      <c r="J736" s="27">
        <v>1</v>
      </c>
      <c r="K736" s="27">
        <v>1019</v>
      </c>
      <c r="L736" s="27">
        <v>2</v>
      </c>
      <c r="M736" s="27">
        <v>1</v>
      </c>
      <c r="N736" s="27">
        <v>94</v>
      </c>
      <c r="O736" s="27">
        <v>1</v>
      </c>
      <c r="P736" s="27">
        <v>1</v>
      </c>
      <c r="Q736" s="27">
        <v>3</v>
      </c>
      <c r="R736" s="27">
        <v>1</v>
      </c>
      <c r="S736" s="27">
        <v>2</v>
      </c>
      <c r="T736" s="27">
        <v>2451</v>
      </c>
      <c r="U736" s="27">
        <v>6881</v>
      </c>
      <c r="V736" s="27">
        <v>1</v>
      </c>
      <c r="W736" s="27">
        <v>0</v>
      </c>
      <c r="X736" s="27">
        <v>15</v>
      </c>
      <c r="Y736" s="27">
        <v>3</v>
      </c>
      <c r="Z736" s="27">
        <v>1</v>
      </c>
      <c r="AA736" s="27">
        <v>80</v>
      </c>
      <c r="AB736" s="27">
        <v>1</v>
      </c>
      <c r="AC736" s="27">
        <v>4</v>
      </c>
      <c r="AD736" s="27">
        <v>3</v>
      </c>
      <c r="AE736" s="27">
        <v>2</v>
      </c>
      <c r="AF736" s="27">
        <v>4</v>
      </c>
      <c r="AG736" s="27">
        <v>3</v>
      </c>
      <c r="AH736" s="27">
        <v>1</v>
      </c>
      <c r="AI736" s="28">
        <v>1</v>
      </c>
      <c r="AK736" s="36">
        <v>703</v>
      </c>
      <c r="AL736" s="33">
        <v>8</v>
      </c>
      <c r="AM736" s="33">
        <v>3</v>
      </c>
      <c r="AN736" s="33">
        <v>3</v>
      </c>
      <c r="AO736" s="33">
        <v>5</v>
      </c>
      <c r="AP736" s="33">
        <v>0</v>
      </c>
      <c r="AQ736" s="33">
        <v>1</v>
      </c>
      <c r="AR736" s="33">
        <v>4</v>
      </c>
      <c r="AS736" s="33">
        <v>8</v>
      </c>
      <c r="AT736" s="33">
        <v>7</v>
      </c>
      <c r="AU736" s="43">
        <v>5.3132419797244777E-2</v>
      </c>
      <c r="AV736" s="33">
        <v>0</v>
      </c>
      <c r="AW736" s="33">
        <v>0</v>
      </c>
      <c r="AY736" s="36">
        <v>708</v>
      </c>
      <c r="AZ736" s="33">
        <v>2</v>
      </c>
      <c r="BA736" s="33">
        <v>3</v>
      </c>
      <c r="BB736" s="33">
        <v>1</v>
      </c>
      <c r="BC736" s="33">
        <v>0</v>
      </c>
      <c r="BD736" s="43">
        <v>0.36139389867144694</v>
      </c>
      <c r="BE736" s="33">
        <v>0</v>
      </c>
      <c r="BF736" s="33">
        <v>0</v>
      </c>
      <c r="CE736" s="36">
        <v>702</v>
      </c>
      <c r="CF736" s="33">
        <v>2</v>
      </c>
      <c r="CG736" s="33">
        <v>4</v>
      </c>
      <c r="CH736" s="33">
        <v>3</v>
      </c>
      <c r="CI736" s="33">
        <v>3</v>
      </c>
      <c r="CJ736" s="33">
        <v>6</v>
      </c>
      <c r="CK736" s="33">
        <v>0</v>
      </c>
      <c r="CL736" s="33">
        <v>1</v>
      </c>
      <c r="CM736" s="33">
        <v>4</v>
      </c>
      <c r="CN736" s="33">
        <v>17</v>
      </c>
      <c r="CO736" s="33">
        <v>15</v>
      </c>
      <c r="CP736" s="43">
        <v>2.1191246347122789E-2</v>
      </c>
      <c r="CQ736" s="33">
        <v>0</v>
      </c>
      <c r="CR736" s="33">
        <v>0</v>
      </c>
    </row>
    <row r="737" spans="1:96" ht="15" customHeight="1" x14ac:dyDescent="0.25">
      <c r="A737" s="26">
        <v>735</v>
      </c>
      <c r="B737" s="27">
        <v>48</v>
      </c>
      <c r="C737" s="27">
        <v>0</v>
      </c>
      <c r="D737" s="27">
        <v>1</v>
      </c>
      <c r="E737" s="27">
        <v>277</v>
      </c>
      <c r="F737" s="27">
        <v>2</v>
      </c>
      <c r="G737" s="27">
        <v>6</v>
      </c>
      <c r="H737" s="27">
        <v>3</v>
      </c>
      <c r="I737" s="27">
        <v>1</v>
      </c>
      <c r="J737" s="27">
        <v>1</v>
      </c>
      <c r="K737" s="27">
        <v>1022</v>
      </c>
      <c r="L737" s="27">
        <v>1</v>
      </c>
      <c r="M737" s="27">
        <v>1</v>
      </c>
      <c r="N737" s="27">
        <v>97</v>
      </c>
      <c r="O737" s="27">
        <v>2</v>
      </c>
      <c r="P737" s="27">
        <v>2</v>
      </c>
      <c r="Q737" s="27">
        <v>5</v>
      </c>
      <c r="R737" s="27">
        <v>3</v>
      </c>
      <c r="S737" s="27">
        <v>1</v>
      </c>
      <c r="T737" s="27">
        <v>4240</v>
      </c>
      <c r="U737" s="27">
        <v>13119</v>
      </c>
      <c r="V737" s="27">
        <v>2</v>
      </c>
      <c r="W737" s="27">
        <v>0</v>
      </c>
      <c r="X737" s="27">
        <v>13</v>
      </c>
      <c r="Y737" s="27">
        <v>3</v>
      </c>
      <c r="Z737" s="27">
        <v>4</v>
      </c>
      <c r="AA737" s="27">
        <v>80</v>
      </c>
      <c r="AB737" s="27">
        <v>0</v>
      </c>
      <c r="AC737" s="27">
        <v>19</v>
      </c>
      <c r="AD737" s="27">
        <v>0</v>
      </c>
      <c r="AE737" s="27">
        <v>3</v>
      </c>
      <c r="AF737" s="27">
        <v>2</v>
      </c>
      <c r="AG737" s="27">
        <v>2</v>
      </c>
      <c r="AH737" s="27">
        <v>2</v>
      </c>
      <c r="AI737" s="28">
        <v>2</v>
      </c>
      <c r="AK737" s="36">
        <v>704</v>
      </c>
      <c r="AL737" s="33">
        <v>10</v>
      </c>
      <c r="AM737" s="33">
        <v>2</v>
      </c>
      <c r="AN737" s="33">
        <v>4</v>
      </c>
      <c r="AO737" s="33">
        <v>1</v>
      </c>
      <c r="AP737" s="33">
        <v>1</v>
      </c>
      <c r="AQ737" s="33">
        <v>0</v>
      </c>
      <c r="AR737" s="33">
        <v>3</v>
      </c>
      <c r="AS737" s="33">
        <v>5</v>
      </c>
      <c r="AT737" s="33">
        <v>1</v>
      </c>
      <c r="AU737" s="43">
        <v>0.25382259901362764</v>
      </c>
      <c r="AV737" s="33">
        <v>0</v>
      </c>
      <c r="AW737" s="33">
        <v>0</v>
      </c>
      <c r="AY737" s="36">
        <v>709</v>
      </c>
      <c r="AZ737" s="33">
        <v>2</v>
      </c>
      <c r="BA737" s="33">
        <v>4</v>
      </c>
      <c r="BB737" s="33">
        <v>0</v>
      </c>
      <c r="BC737" s="33">
        <v>2</v>
      </c>
      <c r="BD737" s="43">
        <v>3.3256067423154199E-2</v>
      </c>
      <c r="BE737" s="33">
        <v>0</v>
      </c>
      <c r="BF737" s="33">
        <v>0</v>
      </c>
      <c r="CE737" s="36">
        <v>703</v>
      </c>
      <c r="CF737" s="33">
        <v>8</v>
      </c>
      <c r="CG737" s="33">
        <v>3</v>
      </c>
      <c r="CH737" s="33">
        <v>3</v>
      </c>
      <c r="CI737" s="33">
        <v>3</v>
      </c>
      <c r="CJ737" s="33">
        <v>5</v>
      </c>
      <c r="CK737" s="33">
        <v>0</v>
      </c>
      <c r="CL737" s="33">
        <v>1</v>
      </c>
      <c r="CM737" s="33">
        <v>4</v>
      </c>
      <c r="CN737" s="33">
        <v>8</v>
      </c>
      <c r="CO737" s="33">
        <v>7</v>
      </c>
      <c r="CP737" s="43">
        <v>3.0609087955990912E-2</v>
      </c>
      <c r="CQ737" s="33">
        <v>0</v>
      </c>
      <c r="CR737" s="33">
        <v>0</v>
      </c>
    </row>
    <row r="738" spans="1:96" ht="15" customHeight="1" x14ac:dyDescent="0.25">
      <c r="A738" s="26">
        <v>736</v>
      </c>
      <c r="B738" s="27">
        <v>48</v>
      </c>
      <c r="C738" s="27">
        <v>0</v>
      </c>
      <c r="D738" s="27">
        <v>1</v>
      </c>
      <c r="E738" s="27">
        <v>1355</v>
      </c>
      <c r="F738" s="27">
        <v>2</v>
      </c>
      <c r="G738" s="27">
        <v>4</v>
      </c>
      <c r="H738" s="27">
        <v>4</v>
      </c>
      <c r="I738" s="27">
        <v>1</v>
      </c>
      <c r="J738" s="27">
        <v>1</v>
      </c>
      <c r="K738" s="27">
        <v>1024</v>
      </c>
      <c r="L738" s="27">
        <v>3</v>
      </c>
      <c r="M738" s="27">
        <v>1</v>
      </c>
      <c r="N738" s="27">
        <v>78</v>
      </c>
      <c r="O738" s="27">
        <v>2</v>
      </c>
      <c r="P738" s="27">
        <v>3</v>
      </c>
      <c r="Q738" s="27">
        <v>5</v>
      </c>
      <c r="R738" s="27">
        <v>3</v>
      </c>
      <c r="S738" s="27">
        <v>1</v>
      </c>
      <c r="T738" s="27">
        <v>10999</v>
      </c>
      <c r="U738" s="27">
        <v>22245</v>
      </c>
      <c r="V738" s="27">
        <v>7</v>
      </c>
      <c r="W738" s="27">
        <v>0</v>
      </c>
      <c r="X738" s="27">
        <v>14</v>
      </c>
      <c r="Y738" s="27">
        <v>3</v>
      </c>
      <c r="Z738" s="27">
        <v>2</v>
      </c>
      <c r="AA738" s="27">
        <v>80</v>
      </c>
      <c r="AB738" s="27">
        <v>0</v>
      </c>
      <c r="AC738" s="27">
        <v>27</v>
      </c>
      <c r="AD738" s="27">
        <v>3</v>
      </c>
      <c r="AE738" s="27">
        <v>3</v>
      </c>
      <c r="AF738" s="27">
        <v>15</v>
      </c>
      <c r="AG738" s="27">
        <v>11</v>
      </c>
      <c r="AH738" s="27">
        <v>4</v>
      </c>
      <c r="AI738" s="28">
        <v>8</v>
      </c>
      <c r="AK738" s="36">
        <v>705</v>
      </c>
      <c r="AL738" s="33">
        <v>3</v>
      </c>
      <c r="AM738" s="33">
        <v>3</v>
      </c>
      <c r="AN738" s="33">
        <v>4</v>
      </c>
      <c r="AO738" s="33">
        <v>6</v>
      </c>
      <c r="AP738" s="33">
        <v>0</v>
      </c>
      <c r="AQ738" s="33">
        <v>1</v>
      </c>
      <c r="AR738" s="33">
        <v>3</v>
      </c>
      <c r="AS738" s="33">
        <v>10</v>
      </c>
      <c r="AT738" s="33">
        <v>0</v>
      </c>
      <c r="AU738" s="43">
        <v>1.8675081825907925E-2</v>
      </c>
      <c r="AV738" s="33">
        <v>0</v>
      </c>
      <c r="AW738" s="33">
        <v>0</v>
      </c>
      <c r="AY738" s="36">
        <v>710</v>
      </c>
      <c r="AZ738" s="33">
        <v>1</v>
      </c>
      <c r="BA738" s="33">
        <v>1</v>
      </c>
      <c r="BB738" s="33">
        <v>1</v>
      </c>
      <c r="BC738" s="33">
        <v>0</v>
      </c>
      <c r="BD738" s="43">
        <v>0.63965103699986936</v>
      </c>
      <c r="BE738" s="33">
        <v>1</v>
      </c>
      <c r="BF738" s="33">
        <v>1</v>
      </c>
      <c r="CE738" s="36">
        <v>704</v>
      </c>
      <c r="CF738" s="33">
        <v>10</v>
      </c>
      <c r="CG738" s="33">
        <v>2</v>
      </c>
      <c r="CH738" s="33">
        <v>4</v>
      </c>
      <c r="CI738" s="33">
        <v>1</v>
      </c>
      <c r="CJ738" s="33">
        <v>1</v>
      </c>
      <c r="CK738" s="33">
        <v>1</v>
      </c>
      <c r="CL738" s="33">
        <v>0</v>
      </c>
      <c r="CM738" s="33">
        <v>3</v>
      </c>
      <c r="CN738" s="33">
        <v>5</v>
      </c>
      <c r="CO738" s="33">
        <v>1</v>
      </c>
      <c r="CP738" s="43">
        <v>0.29208754543721432</v>
      </c>
      <c r="CQ738" s="33">
        <v>0</v>
      </c>
      <c r="CR738" s="33">
        <v>0</v>
      </c>
    </row>
    <row r="739" spans="1:96" ht="15" customHeight="1" x14ac:dyDescent="0.25">
      <c r="A739" s="26">
        <v>737</v>
      </c>
      <c r="B739" s="27">
        <v>41</v>
      </c>
      <c r="C739" s="27">
        <v>0</v>
      </c>
      <c r="D739" s="27">
        <v>1</v>
      </c>
      <c r="E739" s="27">
        <v>549</v>
      </c>
      <c r="F739" s="27">
        <v>2</v>
      </c>
      <c r="G739" s="27">
        <v>7</v>
      </c>
      <c r="H739" s="27">
        <v>2</v>
      </c>
      <c r="I739" s="27">
        <v>3</v>
      </c>
      <c r="J739" s="27">
        <v>1</v>
      </c>
      <c r="K739" s="27">
        <v>1025</v>
      </c>
      <c r="L739" s="27">
        <v>4</v>
      </c>
      <c r="M739" s="27">
        <v>0</v>
      </c>
      <c r="N739" s="27">
        <v>42</v>
      </c>
      <c r="O739" s="27">
        <v>3</v>
      </c>
      <c r="P739" s="27">
        <v>2</v>
      </c>
      <c r="Q739" s="27">
        <v>4</v>
      </c>
      <c r="R739" s="27">
        <v>3</v>
      </c>
      <c r="S739" s="27">
        <v>1</v>
      </c>
      <c r="T739" s="27">
        <v>5003</v>
      </c>
      <c r="U739" s="27">
        <v>23371</v>
      </c>
      <c r="V739" s="27">
        <v>6</v>
      </c>
      <c r="W739" s="27">
        <v>0</v>
      </c>
      <c r="X739" s="27">
        <v>14</v>
      </c>
      <c r="Y739" s="27">
        <v>3</v>
      </c>
      <c r="Z739" s="27">
        <v>2</v>
      </c>
      <c r="AA739" s="27">
        <v>80</v>
      </c>
      <c r="AB739" s="27">
        <v>0</v>
      </c>
      <c r="AC739" s="27">
        <v>8</v>
      </c>
      <c r="AD739" s="27">
        <v>6</v>
      </c>
      <c r="AE739" s="27">
        <v>3</v>
      </c>
      <c r="AF739" s="27">
        <v>2</v>
      </c>
      <c r="AG739" s="27">
        <v>2</v>
      </c>
      <c r="AH739" s="27">
        <v>2</v>
      </c>
      <c r="AI739" s="28">
        <v>1</v>
      </c>
      <c r="AK739" s="36">
        <v>706</v>
      </c>
      <c r="AL739" s="33">
        <v>2</v>
      </c>
      <c r="AM739" s="33">
        <v>3</v>
      </c>
      <c r="AN739" s="33">
        <v>3</v>
      </c>
      <c r="AO739" s="33">
        <v>0</v>
      </c>
      <c r="AP739" s="33">
        <v>0</v>
      </c>
      <c r="AQ739" s="33">
        <v>0</v>
      </c>
      <c r="AR739" s="33">
        <v>3</v>
      </c>
      <c r="AS739" s="33">
        <v>8</v>
      </c>
      <c r="AT739" s="33">
        <v>0</v>
      </c>
      <c r="AU739" s="43">
        <v>2.9428820557002425E-2</v>
      </c>
      <c r="AV739" s="33">
        <v>0</v>
      </c>
      <c r="AW739" s="33">
        <v>0</v>
      </c>
      <c r="AY739" s="36">
        <v>711</v>
      </c>
      <c r="AZ739" s="33">
        <v>4</v>
      </c>
      <c r="BA739" s="33">
        <v>3</v>
      </c>
      <c r="BB739" s="33">
        <v>0</v>
      </c>
      <c r="BC739" s="33">
        <v>0</v>
      </c>
      <c r="BD739" s="43">
        <v>4.1532060460370328E-2</v>
      </c>
      <c r="BE739" s="33">
        <v>0</v>
      </c>
      <c r="BF739" s="33">
        <v>0</v>
      </c>
      <c r="CE739" s="36">
        <v>705</v>
      </c>
      <c r="CF739" s="33">
        <v>3</v>
      </c>
      <c r="CG739" s="33">
        <v>3</v>
      </c>
      <c r="CH739" s="33">
        <v>4</v>
      </c>
      <c r="CI739" s="33">
        <v>3</v>
      </c>
      <c r="CJ739" s="33">
        <v>6</v>
      </c>
      <c r="CK739" s="33">
        <v>0</v>
      </c>
      <c r="CL739" s="33">
        <v>1</v>
      </c>
      <c r="CM739" s="33">
        <v>3</v>
      </c>
      <c r="CN739" s="33">
        <v>10</v>
      </c>
      <c r="CO739" s="33">
        <v>0</v>
      </c>
      <c r="CP739" s="43">
        <v>1.0376196350707969E-2</v>
      </c>
      <c r="CQ739" s="33">
        <v>0</v>
      </c>
      <c r="CR739" s="33">
        <v>0</v>
      </c>
    </row>
    <row r="740" spans="1:96" ht="15" customHeight="1" x14ac:dyDescent="0.25">
      <c r="A740" s="26">
        <v>738</v>
      </c>
      <c r="B740" s="27">
        <v>39</v>
      </c>
      <c r="C740" s="27">
        <v>0</v>
      </c>
      <c r="D740" s="27">
        <v>1</v>
      </c>
      <c r="E740" s="27">
        <v>466</v>
      </c>
      <c r="F740" s="27">
        <v>2</v>
      </c>
      <c r="G740" s="27">
        <v>1</v>
      </c>
      <c r="H740" s="27">
        <v>1</v>
      </c>
      <c r="I740" s="27">
        <v>1</v>
      </c>
      <c r="J740" s="27">
        <v>1</v>
      </c>
      <c r="K740" s="27">
        <v>1026</v>
      </c>
      <c r="L740" s="27">
        <v>4</v>
      </c>
      <c r="M740" s="27">
        <v>0</v>
      </c>
      <c r="N740" s="27">
        <v>65</v>
      </c>
      <c r="O740" s="27">
        <v>2</v>
      </c>
      <c r="P740" s="27">
        <v>4</v>
      </c>
      <c r="Q740" s="27">
        <v>4</v>
      </c>
      <c r="R740" s="27">
        <v>4</v>
      </c>
      <c r="S740" s="27">
        <v>2</v>
      </c>
      <c r="T740" s="27">
        <v>12742</v>
      </c>
      <c r="U740" s="27">
        <v>7060</v>
      </c>
      <c r="V740" s="27">
        <v>1</v>
      </c>
      <c r="W740" s="27">
        <v>0</v>
      </c>
      <c r="X740" s="27">
        <v>16</v>
      </c>
      <c r="Y740" s="27">
        <v>3</v>
      </c>
      <c r="Z740" s="27">
        <v>3</v>
      </c>
      <c r="AA740" s="27">
        <v>80</v>
      </c>
      <c r="AB740" s="27">
        <v>1</v>
      </c>
      <c r="AC740" s="27">
        <v>21</v>
      </c>
      <c r="AD740" s="27">
        <v>3</v>
      </c>
      <c r="AE740" s="27">
        <v>3</v>
      </c>
      <c r="AF740" s="27">
        <v>21</v>
      </c>
      <c r="AG740" s="27">
        <v>6</v>
      </c>
      <c r="AH740" s="27">
        <v>11</v>
      </c>
      <c r="AI740" s="28">
        <v>8</v>
      </c>
      <c r="AK740" s="36">
        <v>707</v>
      </c>
      <c r="AL740" s="33">
        <v>24</v>
      </c>
      <c r="AM740" s="33">
        <v>4</v>
      </c>
      <c r="AN740" s="33">
        <v>2</v>
      </c>
      <c r="AO740" s="33">
        <v>4</v>
      </c>
      <c r="AP740" s="33">
        <v>1</v>
      </c>
      <c r="AQ740" s="33">
        <v>0</v>
      </c>
      <c r="AR740" s="33">
        <v>2</v>
      </c>
      <c r="AS740" s="33">
        <v>1</v>
      </c>
      <c r="AT740" s="33">
        <v>0</v>
      </c>
      <c r="AU740" s="43">
        <v>0.3853354427983951</v>
      </c>
      <c r="AV740" s="33">
        <v>0</v>
      </c>
      <c r="AW740" s="33">
        <v>1</v>
      </c>
      <c r="AY740" s="36">
        <v>712</v>
      </c>
      <c r="AZ740" s="33">
        <v>1</v>
      </c>
      <c r="BA740" s="33">
        <v>1</v>
      </c>
      <c r="BB740" s="33">
        <v>1</v>
      </c>
      <c r="BC740" s="33">
        <v>0</v>
      </c>
      <c r="BD740" s="43">
        <v>0.63965103699986936</v>
      </c>
      <c r="BE740" s="33">
        <v>1</v>
      </c>
      <c r="BF740" s="33">
        <v>1</v>
      </c>
      <c r="CE740" s="36">
        <v>706</v>
      </c>
      <c r="CF740" s="33">
        <v>2</v>
      </c>
      <c r="CG740" s="33">
        <v>3</v>
      </c>
      <c r="CH740" s="33">
        <v>3</v>
      </c>
      <c r="CI740" s="33">
        <v>1</v>
      </c>
      <c r="CJ740" s="33">
        <v>0</v>
      </c>
      <c r="CK740" s="33">
        <v>0</v>
      </c>
      <c r="CL740" s="33">
        <v>0</v>
      </c>
      <c r="CM740" s="33">
        <v>3</v>
      </c>
      <c r="CN740" s="33">
        <v>8</v>
      </c>
      <c r="CO740" s="33">
        <v>0</v>
      </c>
      <c r="CP740" s="43">
        <v>3.499124708219685E-2</v>
      </c>
      <c r="CQ740" s="33">
        <v>0</v>
      </c>
      <c r="CR740" s="33">
        <v>0</v>
      </c>
    </row>
    <row r="741" spans="1:96" ht="15" customHeight="1" x14ac:dyDescent="0.25">
      <c r="A741" s="26">
        <v>739</v>
      </c>
      <c r="B741" s="27">
        <v>27</v>
      </c>
      <c r="C741" s="27">
        <v>0</v>
      </c>
      <c r="D741" s="27">
        <v>1</v>
      </c>
      <c r="E741" s="27">
        <v>1055</v>
      </c>
      <c r="F741" s="27">
        <v>2</v>
      </c>
      <c r="G741" s="27">
        <v>2</v>
      </c>
      <c r="H741" s="27">
        <v>4</v>
      </c>
      <c r="I741" s="27">
        <v>1</v>
      </c>
      <c r="J741" s="27">
        <v>1</v>
      </c>
      <c r="K741" s="27">
        <v>1027</v>
      </c>
      <c r="L741" s="27">
        <v>1</v>
      </c>
      <c r="M741" s="27">
        <v>0</v>
      </c>
      <c r="N741" s="27">
        <v>47</v>
      </c>
      <c r="O741" s="27">
        <v>3</v>
      </c>
      <c r="P741" s="27">
        <v>2</v>
      </c>
      <c r="Q741" s="27">
        <v>4</v>
      </c>
      <c r="R741" s="27">
        <v>4</v>
      </c>
      <c r="S741" s="27">
        <v>2</v>
      </c>
      <c r="T741" s="27">
        <v>4227</v>
      </c>
      <c r="U741" s="27">
        <v>4658</v>
      </c>
      <c r="V741" s="27">
        <v>0</v>
      </c>
      <c r="W741" s="27">
        <v>0</v>
      </c>
      <c r="X741" s="27">
        <v>18</v>
      </c>
      <c r="Y741" s="27">
        <v>3</v>
      </c>
      <c r="Z741" s="27">
        <v>2</v>
      </c>
      <c r="AA741" s="27">
        <v>80</v>
      </c>
      <c r="AB741" s="27">
        <v>1</v>
      </c>
      <c r="AC741" s="27">
        <v>4</v>
      </c>
      <c r="AD741" s="27">
        <v>2</v>
      </c>
      <c r="AE741" s="27">
        <v>3</v>
      </c>
      <c r="AF741" s="27">
        <v>3</v>
      </c>
      <c r="AG741" s="27">
        <v>2</v>
      </c>
      <c r="AH741" s="27">
        <v>2</v>
      </c>
      <c r="AI741" s="28">
        <v>2</v>
      </c>
      <c r="AK741" s="36">
        <v>708</v>
      </c>
      <c r="AL741" s="33">
        <v>16</v>
      </c>
      <c r="AM741" s="33">
        <v>2</v>
      </c>
      <c r="AN741" s="33">
        <v>3</v>
      </c>
      <c r="AO741" s="33">
        <v>1</v>
      </c>
      <c r="AP741" s="33">
        <v>1</v>
      </c>
      <c r="AQ741" s="33">
        <v>0</v>
      </c>
      <c r="AR741" s="33">
        <v>4</v>
      </c>
      <c r="AS741" s="33">
        <v>19</v>
      </c>
      <c r="AT741" s="33">
        <v>2</v>
      </c>
      <c r="AU741" s="43">
        <v>0.15275589980128731</v>
      </c>
      <c r="AV741" s="33">
        <v>0</v>
      </c>
      <c r="AW741" s="33">
        <v>0</v>
      </c>
      <c r="AY741" s="36">
        <v>713</v>
      </c>
      <c r="AZ741" s="33">
        <v>1</v>
      </c>
      <c r="BA741" s="33">
        <v>4</v>
      </c>
      <c r="BB741" s="33">
        <v>0</v>
      </c>
      <c r="BC741" s="33">
        <v>0</v>
      </c>
      <c r="BD741" s="43">
        <v>0.1472907617042678</v>
      </c>
      <c r="BE741" s="33">
        <v>0</v>
      </c>
      <c r="BF741" s="33">
        <v>0</v>
      </c>
      <c r="CE741" s="36">
        <v>707</v>
      </c>
      <c r="CF741" s="33">
        <v>24</v>
      </c>
      <c r="CG741" s="33">
        <v>4</v>
      </c>
      <c r="CH741" s="33">
        <v>2</v>
      </c>
      <c r="CI741" s="33">
        <v>1</v>
      </c>
      <c r="CJ741" s="33">
        <v>4</v>
      </c>
      <c r="CK741" s="33">
        <v>1</v>
      </c>
      <c r="CL741" s="33">
        <v>0</v>
      </c>
      <c r="CM741" s="33">
        <v>2</v>
      </c>
      <c r="CN741" s="33">
        <v>1</v>
      </c>
      <c r="CO741" s="33">
        <v>0</v>
      </c>
      <c r="CP741" s="43">
        <v>0.4504051882434984</v>
      </c>
      <c r="CQ741" s="33">
        <v>0</v>
      </c>
      <c r="CR741" s="33">
        <v>1</v>
      </c>
    </row>
    <row r="742" spans="1:96" ht="15" customHeight="1" x14ac:dyDescent="0.25">
      <c r="A742" s="26">
        <v>740</v>
      </c>
      <c r="B742" s="27">
        <v>35</v>
      </c>
      <c r="C742" s="27">
        <v>0</v>
      </c>
      <c r="D742" s="27">
        <v>1</v>
      </c>
      <c r="E742" s="27">
        <v>802</v>
      </c>
      <c r="F742" s="27">
        <v>2</v>
      </c>
      <c r="G742" s="27">
        <v>10</v>
      </c>
      <c r="H742" s="27">
        <v>3</v>
      </c>
      <c r="I742" s="27">
        <v>6</v>
      </c>
      <c r="J742" s="27">
        <v>1</v>
      </c>
      <c r="K742" s="27">
        <v>1028</v>
      </c>
      <c r="L742" s="27">
        <v>2</v>
      </c>
      <c r="M742" s="27">
        <v>1</v>
      </c>
      <c r="N742" s="27">
        <v>45</v>
      </c>
      <c r="O742" s="27">
        <v>3</v>
      </c>
      <c r="P742" s="27">
        <v>1</v>
      </c>
      <c r="Q742" s="27">
        <v>3</v>
      </c>
      <c r="R742" s="27">
        <v>4</v>
      </c>
      <c r="S742" s="27">
        <v>3</v>
      </c>
      <c r="T742" s="27">
        <v>3917</v>
      </c>
      <c r="U742" s="27">
        <v>9541</v>
      </c>
      <c r="V742" s="27">
        <v>1</v>
      </c>
      <c r="W742" s="27">
        <v>0</v>
      </c>
      <c r="X742" s="27">
        <v>20</v>
      </c>
      <c r="Y742" s="27">
        <v>4</v>
      </c>
      <c r="Z742" s="27">
        <v>1</v>
      </c>
      <c r="AA742" s="27">
        <v>80</v>
      </c>
      <c r="AB742" s="27">
        <v>1</v>
      </c>
      <c r="AC742" s="27">
        <v>3</v>
      </c>
      <c r="AD742" s="27">
        <v>4</v>
      </c>
      <c r="AE742" s="27">
        <v>2</v>
      </c>
      <c r="AF742" s="27">
        <v>3</v>
      </c>
      <c r="AG742" s="27">
        <v>2</v>
      </c>
      <c r="AH742" s="27">
        <v>1</v>
      </c>
      <c r="AI742" s="28">
        <v>2</v>
      </c>
      <c r="AK742" s="36">
        <v>709</v>
      </c>
      <c r="AL742" s="33">
        <v>8</v>
      </c>
      <c r="AM742" s="33">
        <v>2</v>
      </c>
      <c r="AN742" s="33">
        <v>4</v>
      </c>
      <c r="AO742" s="33">
        <v>4</v>
      </c>
      <c r="AP742" s="33">
        <v>0</v>
      </c>
      <c r="AQ742" s="33">
        <v>2</v>
      </c>
      <c r="AR742" s="33">
        <v>3</v>
      </c>
      <c r="AS742" s="33">
        <v>7</v>
      </c>
      <c r="AT742" s="33">
        <v>0</v>
      </c>
      <c r="AU742" s="43">
        <v>2.2737694882510984E-2</v>
      </c>
      <c r="AV742" s="33">
        <v>0</v>
      </c>
      <c r="AW742" s="33">
        <v>0</v>
      </c>
      <c r="AY742" s="36">
        <v>714</v>
      </c>
      <c r="AZ742" s="33">
        <v>1</v>
      </c>
      <c r="BA742" s="33">
        <v>4</v>
      </c>
      <c r="BB742" s="33">
        <v>0</v>
      </c>
      <c r="BC742" s="33">
        <v>2</v>
      </c>
      <c r="BD742" s="43">
        <v>5.6717470552978752E-2</v>
      </c>
      <c r="BE742" s="33">
        <v>0</v>
      </c>
      <c r="BF742" s="33">
        <v>0</v>
      </c>
      <c r="CE742" s="36">
        <v>708</v>
      </c>
      <c r="CF742" s="33">
        <v>16</v>
      </c>
      <c r="CG742" s="33">
        <v>2</v>
      </c>
      <c r="CH742" s="33">
        <v>3</v>
      </c>
      <c r="CI742" s="33">
        <v>3</v>
      </c>
      <c r="CJ742" s="33">
        <v>1</v>
      </c>
      <c r="CK742" s="33">
        <v>1</v>
      </c>
      <c r="CL742" s="33">
        <v>0</v>
      </c>
      <c r="CM742" s="33">
        <v>4</v>
      </c>
      <c r="CN742" s="33">
        <v>19</v>
      </c>
      <c r="CO742" s="33">
        <v>2</v>
      </c>
      <c r="CP742" s="43">
        <v>6.707102608127595E-2</v>
      </c>
      <c r="CQ742" s="33">
        <v>0</v>
      </c>
      <c r="CR742" s="33">
        <v>0</v>
      </c>
    </row>
    <row r="743" spans="1:96" ht="15" customHeight="1" x14ac:dyDescent="0.25">
      <c r="A743" s="26">
        <v>741</v>
      </c>
      <c r="B743" s="27">
        <v>42</v>
      </c>
      <c r="C743" s="27">
        <v>0</v>
      </c>
      <c r="D743" s="27">
        <v>1</v>
      </c>
      <c r="E743" s="27">
        <v>265</v>
      </c>
      <c r="F743" s="27">
        <v>1</v>
      </c>
      <c r="G743" s="27">
        <v>5</v>
      </c>
      <c r="H743" s="27">
        <v>2</v>
      </c>
      <c r="I743" s="27">
        <v>4</v>
      </c>
      <c r="J743" s="27">
        <v>1</v>
      </c>
      <c r="K743" s="27">
        <v>1029</v>
      </c>
      <c r="L743" s="27">
        <v>4</v>
      </c>
      <c r="M743" s="27">
        <v>1</v>
      </c>
      <c r="N743" s="27">
        <v>90</v>
      </c>
      <c r="O743" s="27">
        <v>3</v>
      </c>
      <c r="P743" s="27">
        <v>5</v>
      </c>
      <c r="Q743" s="27">
        <v>6</v>
      </c>
      <c r="R743" s="27">
        <v>3</v>
      </c>
      <c r="S743" s="27">
        <v>2</v>
      </c>
      <c r="T743" s="27">
        <v>18303</v>
      </c>
      <c r="U743" s="27">
        <v>7770</v>
      </c>
      <c r="V743" s="27">
        <v>6</v>
      </c>
      <c r="W743" s="27">
        <v>0</v>
      </c>
      <c r="X743" s="27">
        <v>13</v>
      </c>
      <c r="Y743" s="27">
        <v>3</v>
      </c>
      <c r="Z743" s="27">
        <v>2</v>
      </c>
      <c r="AA743" s="27">
        <v>80</v>
      </c>
      <c r="AB743" s="27">
        <v>0</v>
      </c>
      <c r="AC743" s="27">
        <v>21</v>
      </c>
      <c r="AD743" s="27">
        <v>3</v>
      </c>
      <c r="AE743" s="27">
        <v>4</v>
      </c>
      <c r="AF743" s="27">
        <v>1</v>
      </c>
      <c r="AG743" s="27">
        <v>0</v>
      </c>
      <c r="AH743" s="27">
        <v>0</v>
      </c>
      <c r="AI743" s="28">
        <v>0</v>
      </c>
      <c r="AK743" s="36">
        <v>710</v>
      </c>
      <c r="AL743" s="33">
        <v>9</v>
      </c>
      <c r="AM743" s="33">
        <v>1</v>
      </c>
      <c r="AN743" s="33">
        <v>1</v>
      </c>
      <c r="AO743" s="33">
        <v>0</v>
      </c>
      <c r="AP743" s="33">
        <v>1</v>
      </c>
      <c r="AQ743" s="33">
        <v>0</v>
      </c>
      <c r="AR743" s="33">
        <v>3</v>
      </c>
      <c r="AS743" s="33">
        <v>3</v>
      </c>
      <c r="AT743" s="33">
        <v>1</v>
      </c>
      <c r="AU743" s="43">
        <v>0.59288878241701271</v>
      </c>
      <c r="AV743" s="33">
        <v>1</v>
      </c>
      <c r="AW743" s="33">
        <v>1</v>
      </c>
      <c r="AY743" s="36">
        <v>715</v>
      </c>
      <c r="AZ743" s="33">
        <v>4</v>
      </c>
      <c r="BA743" s="33">
        <v>4</v>
      </c>
      <c r="BB743" s="33">
        <v>0</v>
      </c>
      <c r="BC743" s="33">
        <v>1</v>
      </c>
      <c r="BD743" s="43">
        <v>1.872698143618769E-2</v>
      </c>
      <c r="BE743" s="33">
        <v>0</v>
      </c>
      <c r="BF743" s="33">
        <v>0</v>
      </c>
      <c r="CE743" s="36">
        <v>709</v>
      </c>
      <c r="CF743" s="33">
        <v>8</v>
      </c>
      <c r="CG743" s="33">
        <v>2</v>
      </c>
      <c r="CH743" s="33">
        <v>4</v>
      </c>
      <c r="CI743" s="33">
        <v>3</v>
      </c>
      <c r="CJ743" s="33">
        <v>4</v>
      </c>
      <c r="CK743" s="33">
        <v>0</v>
      </c>
      <c r="CL743" s="33">
        <v>2</v>
      </c>
      <c r="CM743" s="33">
        <v>3</v>
      </c>
      <c r="CN743" s="33">
        <v>7</v>
      </c>
      <c r="CO743" s="33">
        <v>0</v>
      </c>
      <c r="CP743" s="43">
        <v>1.7510593175561022E-2</v>
      </c>
      <c r="CQ743" s="33">
        <v>0</v>
      </c>
      <c r="CR743" s="33">
        <v>0</v>
      </c>
    </row>
    <row r="744" spans="1:96" ht="15" customHeight="1" x14ac:dyDescent="0.25">
      <c r="A744" s="26">
        <v>742</v>
      </c>
      <c r="B744" s="27">
        <v>50</v>
      </c>
      <c r="C744" s="27">
        <v>0</v>
      </c>
      <c r="D744" s="27">
        <v>1</v>
      </c>
      <c r="E744" s="27">
        <v>804</v>
      </c>
      <c r="F744" s="27">
        <v>2</v>
      </c>
      <c r="G744" s="27">
        <v>9</v>
      </c>
      <c r="H744" s="27">
        <v>3</v>
      </c>
      <c r="I744" s="27">
        <v>1</v>
      </c>
      <c r="J744" s="27">
        <v>1</v>
      </c>
      <c r="K744" s="27">
        <v>1030</v>
      </c>
      <c r="L744" s="27">
        <v>1</v>
      </c>
      <c r="M744" s="27">
        <v>1</v>
      </c>
      <c r="N744" s="27">
        <v>64</v>
      </c>
      <c r="O744" s="27">
        <v>3</v>
      </c>
      <c r="P744" s="27">
        <v>1</v>
      </c>
      <c r="Q744" s="27">
        <v>3</v>
      </c>
      <c r="R744" s="27">
        <v>4</v>
      </c>
      <c r="S744" s="27">
        <v>2</v>
      </c>
      <c r="T744" s="27">
        <v>2380</v>
      </c>
      <c r="U744" s="27">
        <v>20165</v>
      </c>
      <c r="V744" s="27">
        <v>4</v>
      </c>
      <c r="W744" s="27">
        <v>0</v>
      </c>
      <c r="X744" s="27">
        <v>18</v>
      </c>
      <c r="Y744" s="27">
        <v>3</v>
      </c>
      <c r="Z744" s="27">
        <v>2</v>
      </c>
      <c r="AA744" s="27">
        <v>80</v>
      </c>
      <c r="AB744" s="27">
        <v>0</v>
      </c>
      <c r="AC744" s="27">
        <v>8</v>
      </c>
      <c r="AD744" s="27">
        <v>5</v>
      </c>
      <c r="AE744" s="27">
        <v>3</v>
      </c>
      <c r="AF744" s="27">
        <v>1</v>
      </c>
      <c r="AG744" s="27">
        <v>0</v>
      </c>
      <c r="AH744" s="27">
        <v>0</v>
      </c>
      <c r="AI744" s="28">
        <v>0</v>
      </c>
      <c r="AK744" s="36">
        <v>711</v>
      </c>
      <c r="AL744" s="33">
        <v>17</v>
      </c>
      <c r="AM744" s="33">
        <v>4</v>
      </c>
      <c r="AN744" s="33">
        <v>3</v>
      </c>
      <c r="AO744" s="33">
        <v>1</v>
      </c>
      <c r="AP744" s="33">
        <v>0</v>
      </c>
      <c r="AQ744" s="33">
        <v>0</v>
      </c>
      <c r="AR744" s="33">
        <v>3</v>
      </c>
      <c r="AS744" s="33">
        <v>10</v>
      </c>
      <c r="AT744" s="33">
        <v>6</v>
      </c>
      <c r="AU744" s="43">
        <v>5.1024578756120764E-2</v>
      </c>
      <c r="AV744" s="33">
        <v>0</v>
      </c>
      <c r="AW744" s="33">
        <v>0</v>
      </c>
      <c r="AY744" s="36">
        <v>716</v>
      </c>
      <c r="AZ744" s="33">
        <v>2</v>
      </c>
      <c r="BA744" s="33">
        <v>2</v>
      </c>
      <c r="BB744" s="33">
        <v>1</v>
      </c>
      <c r="BC744" s="33">
        <v>1</v>
      </c>
      <c r="BD744" s="43">
        <v>0.30904710588370227</v>
      </c>
      <c r="BE744" s="33">
        <v>0</v>
      </c>
      <c r="BF744" s="33">
        <v>0</v>
      </c>
      <c r="CE744" s="36">
        <v>710</v>
      </c>
      <c r="CF744" s="33">
        <v>9</v>
      </c>
      <c r="CG744" s="33">
        <v>1</v>
      </c>
      <c r="CH744" s="33">
        <v>1</v>
      </c>
      <c r="CI744" s="33">
        <v>1</v>
      </c>
      <c r="CJ744" s="33">
        <v>0</v>
      </c>
      <c r="CK744" s="33">
        <v>1</v>
      </c>
      <c r="CL744" s="33">
        <v>0</v>
      </c>
      <c r="CM744" s="33">
        <v>3</v>
      </c>
      <c r="CN744" s="33">
        <v>3</v>
      </c>
      <c r="CO744" s="33">
        <v>1</v>
      </c>
      <c r="CP744" s="43">
        <v>0.64849279199494547</v>
      </c>
      <c r="CQ744" s="33">
        <v>1</v>
      </c>
      <c r="CR744" s="33">
        <v>1</v>
      </c>
    </row>
    <row r="745" spans="1:96" ht="15" customHeight="1" x14ac:dyDescent="0.25">
      <c r="A745" s="26">
        <v>743</v>
      </c>
      <c r="B745" s="27">
        <v>59</v>
      </c>
      <c r="C745" s="27">
        <v>0</v>
      </c>
      <c r="D745" s="27">
        <v>1</v>
      </c>
      <c r="E745" s="27">
        <v>715</v>
      </c>
      <c r="F745" s="27">
        <v>2</v>
      </c>
      <c r="G745" s="27">
        <v>2</v>
      </c>
      <c r="H745" s="27">
        <v>3</v>
      </c>
      <c r="I745" s="27">
        <v>1</v>
      </c>
      <c r="J745" s="27">
        <v>1</v>
      </c>
      <c r="K745" s="27">
        <v>1032</v>
      </c>
      <c r="L745" s="27">
        <v>3</v>
      </c>
      <c r="M745" s="27">
        <v>0</v>
      </c>
      <c r="N745" s="27">
        <v>69</v>
      </c>
      <c r="O745" s="27">
        <v>2</v>
      </c>
      <c r="P745" s="27">
        <v>4</v>
      </c>
      <c r="Q745" s="27">
        <v>4</v>
      </c>
      <c r="R745" s="27">
        <v>4</v>
      </c>
      <c r="S745" s="27">
        <v>1</v>
      </c>
      <c r="T745" s="27">
        <v>13726</v>
      </c>
      <c r="U745" s="27">
        <v>21829</v>
      </c>
      <c r="V745" s="27">
        <v>3</v>
      </c>
      <c r="W745" s="27">
        <v>1</v>
      </c>
      <c r="X745" s="27">
        <v>13</v>
      </c>
      <c r="Y745" s="27">
        <v>3</v>
      </c>
      <c r="Z745" s="27">
        <v>1</v>
      </c>
      <c r="AA745" s="27">
        <v>80</v>
      </c>
      <c r="AB745" s="27">
        <v>0</v>
      </c>
      <c r="AC745" s="27">
        <v>30</v>
      </c>
      <c r="AD745" s="27">
        <v>4</v>
      </c>
      <c r="AE745" s="27">
        <v>3</v>
      </c>
      <c r="AF745" s="27">
        <v>5</v>
      </c>
      <c r="AG745" s="27">
        <v>3</v>
      </c>
      <c r="AH745" s="27">
        <v>4</v>
      </c>
      <c r="AI745" s="28">
        <v>3</v>
      </c>
      <c r="AK745" s="36">
        <v>712</v>
      </c>
      <c r="AL745" s="33">
        <v>10</v>
      </c>
      <c r="AM745" s="33">
        <v>1</v>
      </c>
      <c r="AN745" s="33">
        <v>1</v>
      </c>
      <c r="AO745" s="33">
        <v>6</v>
      </c>
      <c r="AP745" s="33">
        <v>1</v>
      </c>
      <c r="AQ745" s="33">
        <v>0</v>
      </c>
      <c r="AR745" s="33">
        <v>3</v>
      </c>
      <c r="AS745" s="33">
        <v>0</v>
      </c>
      <c r="AT745" s="33">
        <v>0</v>
      </c>
      <c r="AU745" s="43">
        <v>0.73427935588847748</v>
      </c>
      <c r="AV745" s="33">
        <v>1</v>
      </c>
      <c r="AW745" s="33">
        <v>1</v>
      </c>
      <c r="AY745" s="36">
        <v>717</v>
      </c>
      <c r="AZ745" s="33">
        <v>5</v>
      </c>
      <c r="BA745" s="33">
        <v>3</v>
      </c>
      <c r="BB745" s="33">
        <v>0</v>
      </c>
      <c r="BC745" s="33">
        <v>1</v>
      </c>
      <c r="BD745" s="43">
        <v>1.4415653001325196E-2</v>
      </c>
      <c r="BE745" s="33">
        <v>0</v>
      </c>
      <c r="BF745" s="33">
        <v>0</v>
      </c>
      <c r="CE745" s="36">
        <v>711</v>
      </c>
      <c r="CF745" s="33">
        <v>17</v>
      </c>
      <c r="CG745" s="33">
        <v>4</v>
      </c>
      <c r="CH745" s="33">
        <v>3</v>
      </c>
      <c r="CI745" s="33">
        <v>1</v>
      </c>
      <c r="CJ745" s="33">
        <v>1</v>
      </c>
      <c r="CK745" s="33">
        <v>0</v>
      </c>
      <c r="CL745" s="33">
        <v>0</v>
      </c>
      <c r="CM745" s="33">
        <v>3</v>
      </c>
      <c r="CN745" s="33">
        <v>10</v>
      </c>
      <c r="CO745" s="33">
        <v>6</v>
      </c>
      <c r="CP745" s="43">
        <v>6.1861589506585983E-2</v>
      </c>
      <c r="CQ745" s="33">
        <v>0</v>
      </c>
      <c r="CR745" s="33">
        <v>0</v>
      </c>
    </row>
    <row r="746" spans="1:96" ht="15" customHeight="1" x14ac:dyDescent="0.25">
      <c r="A746" s="26">
        <v>744</v>
      </c>
      <c r="B746" s="27">
        <v>37</v>
      </c>
      <c r="C746" s="27">
        <v>1</v>
      </c>
      <c r="D746" s="27">
        <v>1</v>
      </c>
      <c r="E746" s="27">
        <v>1141</v>
      </c>
      <c r="F746" s="27">
        <v>2</v>
      </c>
      <c r="G746" s="27">
        <v>11</v>
      </c>
      <c r="H746" s="27">
        <v>2</v>
      </c>
      <c r="I746" s="27">
        <v>3</v>
      </c>
      <c r="J746" s="27">
        <v>1</v>
      </c>
      <c r="K746" s="27">
        <v>1033</v>
      </c>
      <c r="L746" s="27">
        <v>1</v>
      </c>
      <c r="M746" s="27">
        <v>0</v>
      </c>
      <c r="N746" s="27">
        <v>61</v>
      </c>
      <c r="O746" s="27">
        <v>1</v>
      </c>
      <c r="P746" s="27">
        <v>2</v>
      </c>
      <c r="Q746" s="27">
        <v>5</v>
      </c>
      <c r="R746" s="27">
        <v>2</v>
      </c>
      <c r="S746" s="27">
        <v>2</v>
      </c>
      <c r="T746" s="27">
        <v>4777</v>
      </c>
      <c r="U746" s="27">
        <v>14382</v>
      </c>
      <c r="V746" s="27">
        <v>5</v>
      </c>
      <c r="W746" s="27">
        <v>0</v>
      </c>
      <c r="X746" s="27">
        <v>15</v>
      </c>
      <c r="Y746" s="27">
        <v>3</v>
      </c>
      <c r="Z746" s="27">
        <v>1</v>
      </c>
      <c r="AA746" s="27">
        <v>80</v>
      </c>
      <c r="AB746" s="27">
        <v>0</v>
      </c>
      <c r="AC746" s="27">
        <v>15</v>
      </c>
      <c r="AD746" s="27">
        <v>2</v>
      </c>
      <c r="AE746" s="27">
        <v>1</v>
      </c>
      <c r="AF746" s="27">
        <v>1</v>
      </c>
      <c r="AG746" s="27">
        <v>0</v>
      </c>
      <c r="AH746" s="27">
        <v>0</v>
      </c>
      <c r="AI746" s="28">
        <v>0</v>
      </c>
      <c r="AK746" s="36">
        <v>713</v>
      </c>
      <c r="AL746" s="33">
        <v>13</v>
      </c>
      <c r="AM746" s="33">
        <v>1</v>
      </c>
      <c r="AN746" s="33">
        <v>4</v>
      </c>
      <c r="AO746" s="33">
        <v>3</v>
      </c>
      <c r="AP746" s="33">
        <v>0</v>
      </c>
      <c r="AQ746" s="33">
        <v>0</v>
      </c>
      <c r="AR746" s="33">
        <v>3</v>
      </c>
      <c r="AS746" s="33">
        <v>3</v>
      </c>
      <c r="AT746" s="33">
        <v>0</v>
      </c>
      <c r="AU746" s="43">
        <v>0.15416677417108254</v>
      </c>
      <c r="AV746" s="33">
        <v>0</v>
      </c>
      <c r="AW746" s="33">
        <v>0</v>
      </c>
      <c r="AY746" s="36">
        <v>718</v>
      </c>
      <c r="AZ746" s="33">
        <v>1</v>
      </c>
      <c r="BA746" s="33">
        <v>2</v>
      </c>
      <c r="BB746" s="33">
        <v>0</v>
      </c>
      <c r="BC746" s="33">
        <v>1</v>
      </c>
      <c r="BD746" s="43">
        <v>0.15461023487664</v>
      </c>
      <c r="BE746" s="33">
        <v>0</v>
      </c>
      <c r="BF746" s="33">
        <v>0</v>
      </c>
      <c r="CE746" s="36">
        <v>712</v>
      </c>
      <c r="CF746" s="33">
        <v>10</v>
      </c>
      <c r="CG746" s="33">
        <v>1</v>
      </c>
      <c r="CH746" s="33">
        <v>1</v>
      </c>
      <c r="CI746" s="33">
        <v>1</v>
      </c>
      <c r="CJ746" s="33">
        <v>6</v>
      </c>
      <c r="CK746" s="33">
        <v>1</v>
      </c>
      <c r="CL746" s="33">
        <v>0</v>
      </c>
      <c r="CM746" s="33">
        <v>3</v>
      </c>
      <c r="CN746" s="33">
        <v>0</v>
      </c>
      <c r="CO746" s="33">
        <v>0</v>
      </c>
      <c r="CP746" s="43">
        <v>0.77907861061846118</v>
      </c>
      <c r="CQ746" s="33">
        <v>1</v>
      </c>
      <c r="CR746" s="33">
        <v>1</v>
      </c>
    </row>
    <row r="747" spans="1:96" ht="15" customHeight="1" x14ac:dyDescent="0.25">
      <c r="A747" s="26">
        <v>745</v>
      </c>
      <c r="B747" s="27">
        <v>55</v>
      </c>
      <c r="C747" s="27">
        <v>0</v>
      </c>
      <c r="D747" s="27">
        <v>2</v>
      </c>
      <c r="E747" s="27">
        <v>135</v>
      </c>
      <c r="F747" s="27">
        <v>2</v>
      </c>
      <c r="G747" s="27">
        <v>18</v>
      </c>
      <c r="H747" s="27">
        <v>4</v>
      </c>
      <c r="I747" s="27">
        <v>3</v>
      </c>
      <c r="J747" s="27">
        <v>1</v>
      </c>
      <c r="K747" s="27">
        <v>1034</v>
      </c>
      <c r="L747" s="27">
        <v>3</v>
      </c>
      <c r="M747" s="27">
        <v>1</v>
      </c>
      <c r="N747" s="27">
        <v>62</v>
      </c>
      <c r="O747" s="27">
        <v>3</v>
      </c>
      <c r="P747" s="27">
        <v>2</v>
      </c>
      <c r="Q747" s="27">
        <v>5</v>
      </c>
      <c r="R747" s="27">
        <v>2</v>
      </c>
      <c r="S747" s="27">
        <v>2</v>
      </c>
      <c r="T747" s="27">
        <v>6385</v>
      </c>
      <c r="U747" s="27">
        <v>12992</v>
      </c>
      <c r="V747" s="27">
        <v>3</v>
      </c>
      <c r="W747" s="27">
        <v>1</v>
      </c>
      <c r="X747" s="27">
        <v>14</v>
      </c>
      <c r="Y747" s="27">
        <v>3</v>
      </c>
      <c r="Z747" s="27">
        <v>4</v>
      </c>
      <c r="AA747" s="27">
        <v>80</v>
      </c>
      <c r="AB747" s="27">
        <v>2</v>
      </c>
      <c r="AC747" s="27">
        <v>17</v>
      </c>
      <c r="AD747" s="27">
        <v>3</v>
      </c>
      <c r="AE747" s="27">
        <v>3</v>
      </c>
      <c r="AF747" s="27">
        <v>8</v>
      </c>
      <c r="AG747" s="27">
        <v>7</v>
      </c>
      <c r="AH747" s="27">
        <v>6</v>
      </c>
      <c r="AI747" s="28">
        <v>7</v>
      </c>
      <c r="AK747" s="36">
        <v>714</v>
      </c>
      <c r="AL747" s="33">
        <v>1</v>
      </c>
      <c r="AM747" s="33">
        <v>1</v>
      </c>
      <c r="AN747" s="33">
        <v>4</v>
      </c>
      <c r="AO747" s="33">
        <v>3</v>
      </c>
      <c r="AP747" s="33">
        <v>0</v>
      </c>
      <c r="AQ747" s="33">
        <v>2</v>
      </c>
      <c r="AR747" s="33">
        <v>3</v>
      </c>
      <c r="AS747" s="33">
        <v>5</v>
      </c>
      <c r="AT747" s="33">
        <v>0</v>
      </c>
      <c r="AU747" s="43">
        <v>3.2787252201575988E-2</v>
      </c>
      <c r="AV747" s="33">
        <v>0</v>
      </c>
      <c r="AW747" s="33">
        <v>0</v>
      </c>
      <c r="AY747" s="36">
        <v>719</v>
      </c>
      <c r="AZ747" s="33">
        <v>2</v>
      </c>
      <c r="BA747" s="33">
        <v>1</v>
      </c>
      <c r="BB747" s="33">
        <v>1</v>
      </c>
      <c r="BC747" s="33">
        <v>1</v>
      </c>
      <c r="BD747" s="43">
        <v>0.37467799024663817</v>
      </c>
      <c r="BE747" s="33">
        <v>0</v>
      </c>
      <c r="BF747" s="33">
        <v>0</v>
      </c>
      <c r="CE747" s="36">
        <v>713</v>
      </c>
      <c r="CF747" s="33">
        <v>13</v>
      </c>
      <c r="CG747" s="33">
        <v>1</v>
      </c>
      <c r="CH747" s="33">
        <v>4</v>
      </c>
      <c r="CI747" s="33">
        <v>1</v>
      </c>
      <c r="CJ747" s="33">
        <v>3</v>
      </c>
      <c r="CK747" s="33">
        <v>0</v>
      </c>
      <c r="CL747" s="33">
        <v>0</v>
      </c>
      <c r="CM747" s="33">
        <v>3</v>
      </c>
      <c r="CN747" s="33">
        <v>3</v>
      </c>
      <c r="CO747" s="33">
        <v>0</v>
      </c>
      <c r="CP747" s="43">
        <v>0.17353912563541957</v>
      </c>
      <c r="CQ747" s="33">
        <v>0</v>
      </c>
      <c r="CR747" s="33">
        <v>0</v>
      </c>
    </row>
    <row r="748" spans="1:96" ht="15" customHeight="1" x14ac:dyDescent="0.25">
      <c r="A748" s="26">
        <v>746</v>
      </c>
      <c r="B748" s="27">
        <v>41</v>
      </c>
      <c r="C748" s="27">
        <v>0</v>
      </c>
      <c r="D748" s="27">
        <v>3</v>
      </c>
      <c r="E748" s="27">
        <v>247</v>
      </c>
      <c r="F748" s="27">
        <v>2</v>
      </c>
      <c r="G748" s="27">
        <v>7</v>
      </c>
      <c r="H748" s="27">
        <v>1</v>
      </c>
      <c r="I748" s="27">
        <v>1</v>
      </c>
      <c r="J748" s="27">
        <v>1</v>
      </c>
      <c r="K748" s="27">
        <v>1035</v>
      </c>
      <c r="L748" s="27">
        <v>2</v>
      </c>
      <c r="M748" s="27">
        <v>0</v>
      </c>
      <c r="N748" s="27">
        <v>55</v>
      </c>
      <c r="O748" s="27">
        <v>1</v>
      </c>
      <c r="P748" s="27">
        <v>5</v>
      </c>
      <c r="Q748" s="27">
        <v>8</v>
      </c>
      <c r="R748" s="27">
        <v>3</v>
      </c>
      <c r="S748" s="27">
        <v>3</v>
      </c>
      <c r="T748" s="27">
        <v>19973</v>
      </c>
      <c r="U748" s="27">
        <v>20284</v>
      </c>
      <c r="V748" s="27">
        <v>1</v>
      </c>
      <c r="W748" s="27">
        <v>0</v>
      </c>
      <c r="X748" s="27">
        <v>22</v>
      </c>
      <c r="Y748" s="27">
        <v>4</v>
      </c>
      <c r="Z748" s="27">
        <v>2</v>
      </c>
      <c r="AA748" s="27">
        <v>80</v>
      </c>
      <c r="AB748" s="27">
        <v>2</v>
      </c>
      <c r="AC748" s="27">
        <v>21</v>
      </c>
      <c r="AD748" s="27">
        <v>3</v>
      </c>
      <c r="AE748" s="27">
        <v>3</v>
      </c>
      <c r="AF748" s="27">
        <v>21</v>
      </c>
      <c r="AG748" s="27">
        <v>16</v>
      </c>
      <c r="AH748" s="27">
        <v>5</v>
      </c>
      <c r="AI748" s="28">
        <v>10</v>
      </c>
      <c r="AK748" s="36">
        <v>715</v>
      </c>
      <c r="AL748" s="33">
        <v>1</v>
      </c>
      <c r="AM748" s="33">
        <v>4</v>
      </c>
      <c r="AN748" s="33">
        <v>4</v>
      </c>
      <c r="AO748" s="33">
        <v>9</v>
      </c>
      <c r="AP748" s="33">
        <v>0</v>
      </c>
      <c r="AQ748" s="33">
        <v>1</v>
      </c>
      <c r="AR748" s="33">
        <v>2</v>
      </c>
      <c r="AS748" s="33">
        <v>5</v>
      </c>
      <c r="AT748" s="33">
        <v>1</v>
      </c>
      <c r="AU748" s="43">
        <v>2.6028403351617269E-2</v>
      </c>
      <c r="AV748" s="33">
        <v>0</v>
      </c>
      <c r="AW748" s="33">
        <v>0</v>
      </c>
      <c r="AY748" s="36">
        <v>720</v>
      </c>
      <c r="AZ748" s="33">
        <v>2</v>
      </c>
      <c r="BA748" s="33">
        <v>4</v>
      </c>
      <c r="BB748" s="33">
        <v>1</v>
      </c>
      <c r="BC748" s="33">
        <v>0</v>
      </c>
      <c r="BD748" s="43">
        <v>0.29698480921718856</v>
      </c>
      <c r="BE748" s="33">
        <v>0</v>
      </c>
      <c r="BF748" s="33">
        <v>0</v>
      </c>
      <c r="CE748" s="36">
        <v>714</v>
      </c>
      <c r="CF748" s="33">
        <v>1</v>
      </c>
      <c r="CG748" s="33">
        <v>1</v>
      </c>
      <c r="CH748" s="33">
        <v>4</v>
      </c>
      <c r="CI748" s="33">
        <v>3</v>
      </c>
      <c r="CJ748" s="33">
        <v>3</v>
      </c>
      <c r="CK748" s="33">
        <v>0</v>
      </c>
      <c r="CL748" s="33">
        <v>2</v>
      </c>
      <c r="CM748" s="33">
        <v>3</v>
      </c>
      <c r="CN748" s="33">
        <v>5</v>
      </c>
      <c r="CO748" s="33">
        <v>0</v>
      </c>
      <c r="CP748" s="43">
        <v>2.5073031696087395E-2</v>
      </c>
      <c r="CQ748" s="33">
        <v>0</v>
      </c>
      <c r="CR748" s="33">
        <v>0</v>
      </c>
    </row>
    <row r="749" spans="1:96" ht="15" customHeight="1" x14ac:dyDescent="0.25">
      <c r="A749" s="26">
        <v>747</v>
      </c>
      <c r="B749" s="27">
        <v>38</v>
      </c>
      <c r="C749" s="27">
        <v>0</v>
      </c>
      <c r="D749" s="27">
        <v>1</v>
      </c>
      <c r="E749" s="27">
        <v>1035</v>
      </c>
      <c r="F749" s="27">
        <v>1</v>
      </c>
      <c r="G749" s="27">
        <v>3</v>
      </c>
      <c r="H749" s="27">
        <v>4</v>
      </c>
      <c r="I749" s="27">
        <v>1</v>
      </c>
      <c r="J749" s="27">
        <v>1</v>
      </c>
      <c r="K749" s="27">
        <v>1036</v>
      </c>
      <c r="L749" s="27">
        <v>2</v>
      </c>
      <c r="M749" s="27">
        <v>1</v>
      </c>
      <c r="N749" s="27">
        <v>42</v>
      </c>
      <c r="O749" s="27">
        <v>3</v>
      </c>
      <c r="P749" s="27">
        <v>2</v>
      </c>
      <c r="Q749" s="27">
        <v>1</v>
      </c>
      <c r="R749" s="27">
        <v>4</v>
      </c>
      <c r="S749" s="27">
        <v>1</v>
      </c>
      <c r="T749" s="27">
        <v>6861</v>
      </c>
      <c r="U749" s="27">
        <v>4981</v>
      </c>
      <c r="V749" s="27">
        <v>8</v>
      </c>
      <c r="W749" s="27">
        <v>1</v>
      </c>
      <c r="X749" s="27">
        <v>12</v>
      </c>
      <c r="Y749" s="27">
        <v>3</v>
      </c>
      <c r="Z749" s="27">
        <v>3</v>
      </c>
      <c r="AA749" s="27">
        <v>80</v>
      </c>
      <c r="AB749" s="27">
        <v>0</v>
      </c>
      <c r="AC749" s="27">
        <v>19</v>
      </c>
      <c r="AD749" s="27">
        <v>1</v>
      </c>
      <c r="AE749" s="27">
        <v>3</v>
      </c>
      <c r="AF749" s="27">
        <v>1</v>
      </c>
      <c r="AG749" s="27">
        <v>0</v>
      </c>
      <c r="AH749" s="27">
        <v>0</v>
      </c>
      <c r="AI749" s="28">
        <v>0</v>
      </c>
      <c r="AK749" s="36">
        <v>716</v>
      </c>
      <c r="AL749" s="33">
        <v>1</v>
      </c>
      <c r="AM749" s="33">
        <v>2</v>
      </c>
      <c r="AN749" s="33">
        <v>2</v>
      </c>
      <c r="AO749" s="33">
        <v>1</v>
      </c>
      <c r="AP749" s="33">
        <v>1</v>
      </c>
      <c r="AQ749" s="33">
        <v>1</v>
      </c>
      <c r="AR749" s="33">
        <v>3</v>
      </c>
      <c r="AS749" s="33">
        <v>6</v>
      </c>
      <c r="AT749" s="33">
        <v>1</v>
      </c>
      <c r="AU749" s="43">
        <v>0.19212987544312832</v>
      </c>
      <c r="AV749" s="33">
        <v>0</v>
      </c>
      <c r="AW749" s="33">
        <v>0</v>
      </c>
      <c r="AY749" s="36">
        <v>721</v>
      </c>
      <c r="AZ749" s="33">
        <v>1</v>
      </c>
      <c r="BA749" s="33">
        <v>3</v>
      </c>
      <c r="BB749" s="33">
        <v>1</v>
      </c>
      <c r="BC749" s="33">
        <v>0</v>
      </c>
      <c r="BD749" s="43">
        <v>0.49727340882350407</v>
      </c>
      <c r="BE749" s="33">
        <v>0</v>
      </c>
      <c r="BF749" s="33">
        <v>1</v>
      </c>
      <c r="CE749" s="36">
        <v>715</v>
      </c>
      <c r="CF749" s="33">
        <v>1</v>
      </c>
      <c r="CG749" s="33">
        <v>4</v>
      </c>
      <c r="CH749" s="33">
        <v>4</v>
      </c>
      <c r="CI749" s="33">
        <v>3</v>
      </c>
      <c r="CJ749" s="33">
        <v>9</v>
      </c>
      <c r="CK749" s="33">
        <v>0</v>
      </c>
      <c r="CL749" s="33">
        <v>1</v>
      </c>
      <c r="CM749" s="33">
        <v>2</v>
      </c>
      <c r="CN749" s="33">
        <v>5</v>
      </c>
      <c r="CO749" s="33">
        <v>1</v>
      </c>
      <c r="CP749" s="43">
        <v>1.507025628495888E-2</v>
      </c>
      <c r="CQ749" s="33">
        <v>0</v>
      </c>
      <c r="CR749" s="33">
        <v>0</v>
      </c>
    </row>
    <row r="750" spans="1:96" ht="15" customHeight="1" x14ac:dyDescent="0.25">
      <c r="A750" s="26">
        <v>748</v>
      </c>
      <c r="B750" s="27">
        <v>26</v>
      </c>
      <c r="C750" s="27">
        <v>1</v>
      </c>
      <c r="D750" s="27">
        <v>3</v>
      </c>
      <c r="E750" s="27">
        <v>265</v>
      </c>
      <c r="F750" s="27">
        <v>1</v>
      </c>
      <c r="G750" s="27">
        <v>29</v>
      </c>
      <c r="H750" s="27">
        <v>2</v>
      </c>
      <c r="I750" s="27">
        <v>3</v>
      </c>
      <c r="J750" s="27">
        <v>1</v>
      </c>
      <c r="K750" s="27">
        <v>1037</v>
      </c>
      <c r="L750" s="27">
        <v>2</v>
      </c>
      <c r="M750" s="27">
        <v>1</v>
      </c>
      <c r="N750" s="27">
        <v>79</v>
      </c>
      <c r="O750" s="27">
        <v>1</v>
      </c>
      <c r="P750" s="27">
        <v>2</v>
      </c>
      <c r="Q750" s="27">
        <v>1</v>
      </c>
      <c r="R750" s="27">
        <v>1</v>
      </c>
      <c r="S750" s="27">
        <v>1</v>
      </c>
      <c r="T750" s="27">
        <v>4969</v>
      </c>
      <c r="U750" s="27">
        <v>21813</v>
      </c>
      <c r="V750" s="27">
        <v>8</v>
      </c>
      <c r="W750" s="27">
        <v>0</v>
      </c>
      <c r="X750" s="27">
        <v>18</v>
      </c>
      <c r="Y750" s="27">
        <v>3</v>
      </c>
      <c r="Z750" s="27">
        <v>4</v>
      </c>
      <c r="AA750" s="27">
        <v>80</v>
      </c>
      <c r="AB750" s="27">
        <v>0</v>
      </c>
      <c r="AC750" s="27">
        <v>7</v>
      </c>
      <c r="AD750" s="27">
        <v>6</v>
      </c>
      <c r="AE750" s="27">
        <v>3</v>
      </c>
      <c r="AF750" s="27">
        <v>2</v>
      </c>
      <c r="AG750" s="27">
        <v>2</v>
      </c>
      <c r="AH750" s="27">
        <v>2</v>
      </c>
      <c r="AI750" s="28">
        <v>2</v>
      </c>
      <c r="AK750" s="36">
        <v>717</v>
      </c>
      <c r="AL750" s="33">
        <v>9</v>
      </c>
      <c r="AM750" s="33">
        <v>5</v>
      </c>
      <c r="AN750" s="33">
        <v>3</v>
      </c>
      <c r="AO750" s="33">
        <v>2</v>
      </c>
      <c r="AP750" s="33">
        <v>0</v>
      </c>
      <c r="AQ750" s="33">
        <v>1</v>
      </c>
      <c r="AR750" s="33">
        <v>4</v>
      </c>
      <c r="AS750" s="33">
        <v>18</v>
      </c>
      <c r="AT750" s="33">
        <v>0</v>
      </c>
      <c r="AU750" s="43">
        <v>3.2808687862714682E-3</v>
      </c>
      <c r="AV750" s="33">
        <v>0</v>
      </c>
      <c r="AW750" s="33">
        <v>0</v>
      </c>
      <c r="AY750" s="36">
        <v>722</v>
      </c>
      <c r="AZ750" s="33">
        <v>4</v>
      </c>
      <c r="BA750" s="33">
        <v>3</v>
      </c>
      <c r="BB750" s="33">
        <v>1</v>
      </c>
      <c r="BC750" s="33">
        <v>1</v>
      </c>
      <c r="BD750" s="43">
        <v>9.8519683934659791E-2</v>
      </c>
      <c r="BE750" s="33">
        <v>0</v>
      </c>
      <c r="BF750" s="33">
        <v>0</v>
      </c>
      <c r="CE750" s="36">
        <v>716</v>
      </c>
      <c r="CF750" s="33">
        <v>1</v>
      </c>
      <c r="CG750" s="33">
        <v>2</v>
      </c>
      <c r="CH750" s="33">
        <v>2</v>
      </c>
      <c r="CI750" s="33">
        <v>2</v>
      </c>
      <c r="CJ750" s="33">
        <v>1</v>
      </c>
      <c r="CK750" s="33">
        <v>1</v>
      </c>
      <c r="CL750" s="33">
        <v>1</v>
      </c>
      <c r="CM750" s="33">
        <v>3</v>
      </c>
      <c r="CN750" s="33">
        <v>6</v>
      </c>
      <c r="CO750" s="33">
        <v>1</v>
      </c>
      <c r="CP750" s="43">
        <v>0.19553358288298989</v>
      </c>
      <c r="CQ750" s="33">
        <v>0</v>
      </c>
      <c r="CR750" s="33">
        <v>0</v>
      </c>
    </row>
    <row r="751" spans="1:96" ht="15" customHeight="1" x14ac:dyDescent="0.25">
      <c r="A751" s="26">
        <v>749</v>
      </c>
      <c r="B751" s="27">
        <v>52</v>
      </c>
      <c r="C751" s="27">
        <v>1</v>
      </c>
      <c r="D751" s="27">
        <v>1</v>
      </c>
      <c r="E751" s="27">
        <v>266</v>
      </c>
      <c r="F751" s="27">
        <v>1</v>
      </c>
      <c r="G751" s="27">
        <v>2</v>
      </c>
      <c r="H751" s="27">
        <v>1</v>
      </c>
      <c r="I751" s="27">
        <v>4</v>
      </c>
      <c r="J751" s="27">
        <v>1</v>
      </c>
      <c r="K751" s="27">
        <v>1038</v>
      </c>
      <c r="L751" s="27">
        <v>1</v>
      </c>
      <c r="M751" s="27">
        <v>0</v>
      </c>
      <c r="N751" s="27">
        <v>57</v>
      </c>
      <c r="O751" s="27">
        <v>1</v>
      </c>
      <c r="P751" s="27">
        <v>5</v>
      </c>
      <c r="Q751" s="27">
        <v>6</v>
      </c>
      <c r="R751" s="27">
        <v>4</v>
      </c>
      <c r="S751" s="27">
        <v>2</v>
      </c>
      <c r="T751" s="27">
        <v>19845</v>
      </c>
      <c r="U751" s="27">
        <v>25846</v>
      </c>
      <c r="V751" s="27">
        <v>1</v>
      </c>
      <c r="W751" s="27">
        <v>0</v>
      </c>
      <c r="X751" s="27">
        <v>15</v>
      </c>
      <c r="Y751" s="27">
        <v>3</v>
      </c>
      <c r="Z751" s="27">
        <v>4</v>
      </c>
      <c r="AA751" s="27">
        <v>80</v>
      </c>
      <c r="AB751" s="27">
        <v>1</v>
      </c>
      <c r="AC751" s="27">
        <v>33</v>
      </c>
      <c r="AD751" s="27">
        <v>3</v>
      </c>
      <c r="AE751" s="27">
        <v>3</v>
      </c>
      <c r="AF751" s="27">
        <v>32</v>
      </c>
      <c r="AG751" s="27">
        <v>14</v>
      </c>
      <c r="AH751" s="27">
        <v>6</v>
      </c>
      <c r="AI751" s="28">
        <v>9</v>
      </c>
      <c r="AK751" s="36">
        <v>718</v>
      </c>
      <c r="AL751" s="33">
        <v>16</v>
      </c>
      <c r="AM751" s="33">
        <v>1</v>
      </c>
      <c r="AN751" s="33">
        <v>2</v>
      </c>
      <c r="AO751" s="33">
        <v>9</v>
      </c>
      <c r="AP751" s="33">
        <v>0</v>
      </c>
      <c r="AQ751" s="33">
        <v>1</v>
      </c>
      <c r="AR751" s="33">
        <v>3</v>
      </c>
      <c r="AS751" s="33">
        <v>2</v>
      </c>
      <c r="AT751" s="33">
        <v>2</v>
      </c>
      <c r="AU751" s="43">
        <v>0.3139484446932882</v>
      </c>
      <c r="AV751" s="33">
        <v>0</v>
      </c>
      <c r="AW751" s="33">
        <v>0</v>
      </c>
      <c r="AY751" s="36">
        <v>723</v>
      </c>
      <c r="AZ751" s="33">
        <v>1</v>
      </c>
      <c r="BA751" s="33">
        <v>3</v>
      </c>
      <c r="BB751" s="33">
        <v>0</v>
      </c>
      <c r="BC751" s="33">
        <v>1</v>
      </c>
      <c r="BD751" s="43">
        <v>0.12012271365792118</v>
      </c>
      <c r="BE751" s="33">
        <v>0</v>
      </c>
      <c r="BF751" s="33">
        <v>0</v>
      </c>
      <c r="CE751" s="36">
        <v>717</v>
      </c>
      <c r="CF751" s="33">
        <v>9</v>
      </c>
      <c r="CG751" s="33">
        <v>5</v>
      </c>
      <c r="CH751" s="33">
        <v>3</v>
      </c>
      <c r="CI751" s="33">
        <v>3</v>
      </c>
      <c r="CJ751" s="33">
        <v>2</v>
      </c>
      <c r="CK751" s="33">
        <v>0</v>
      </c>
      <c r="CL751" s="33">
        <v>1</v>
      </c>
      <c r="CM751" s="33">
        <v>4</v>
      </c>
      <c r="CN751" s="33">
        <v>18</v>
      </c>
      <c r="CO751" s="33">
        <v>0</v>
      </c>
      <c r="CP751" s="43">
        <v>1.8332596357034136E-3</v>
      </c>
      <c r="CQ751" s="33">
        <v>0</v>
      </c>
      <c r="CR751" s="33">
        <v>0</v>
      </c>
    </row>
    <row r="752" spans="1:96" ht="15" customHeight="1" x14ac:dyDescent="0.25">
      <c r="A752" s="26">
        <v>750</v>
      </c>
      <c r="B752" s="27">
        <v>44</v>
      </c>
      <c r="C752" s="27">
        <v>0</v>
      </c>
      <c r="D752" s="27">
        <v>1</v>
      </c>
      <c r="E752" s="27">
        <v>1448</v>
      </c>
      <c r="F752" s="27">
        <v>1</v>
      </c>
      <c r="G752" s="27">
        <v>28</v>
      </c>
      <c r="H752" s="27">
        <v>3</v>
      </c>
      <c r="I752" s="27">
        <v>3</v>
      </c>
      <c r="J752" s="27">
        <v>1</v>
      </c>
      <c r="K752" s="27">
        <v>1039</v>
      </c>
      <c r="L752" s="27">
        <v>4</v>
      </c>
      <c r="M752" s="27">
        <v>0</v>
      </c>
      <c r="N752" s="27">
        <v>53</v>
      </c>
      <c r="O752" s="27">
        <v>4</v>
      </c>
      <c r="P752" s="27">
        <v>4</v>
      </c>
      <c r="Q752" s="27">
        <v>1</v>
      </c>
      <c r="R752" s="27">
        <v>4</v>
      </c>
      <c r="S752" s="27">
        <v>2</v>
      </c>
      <c r="T752" s="27">
        <v>13320</v>
      </c>
      <c r="U752" s="27">
        <v>11737</v>
      </c>
      <c r="V752" s="27">
        <v>3</v>
      </c>
      <c r="W752" s="27">
        <v>1</v>
      </c>
      <c r="X752" s="27">
        <v>18</v>
      </c>
      <c r="Y752" s="27">
        <v>3</v>
      </c>
      <c r="Z752" s="27">
        <v>3</v>
      </c>
      <c r="AA752" s="27">
        <v>80</v>
      </c>
      <c r="AB752" s="27">
        <v>1</v>
      </c>
      <c r="AC752" s="27">
        <v>23</v>
      </c>
      <c r="AD752" s="27">
        <v>2</v>
      </c>
      <c r="AE752" s="27">
        <v>3</v>
      </c>
      <c r="AF752" s="27">
        <v>12</v>
      </c>
      <c r="AG752" s="27">
        <v>11</v>
      </c>
      <c r="AH752" s="27">
        <v>11</v>
      </c>
      <c r="AI752" s="28">
        <v>11</v>
      </c>
      <c r="AK752" s="36">
        <v>719</v>
      </c>
      <c r="AL752" s="33">
        <v>23</v>
      </c>
      <c r="AM752" s="33">
        <v>2</v>
      </c>
      <c r="AN752" s="33">
        <v>1</v>
      </c>
      <c r="AO752" s="33">
        <v>1</v>
      </c>
      <c r="AP752" s="33">
        <v>1</v>
      </c>
      <c r="AQ752" s="33">
        <v>1</v>
      </c>
      <c r="AR752" s="33">
        <v>3</v>
      </c>
      <c r="AS752" s="33">
        <v>9</v>
      </c>
      <c r="AT752" s="33">
        <v>0</v>
      </c>
      <c r="AU752" s="43">
        <v>0.32434547005485881</v>
      </c>
      <c r="AV752" s="33">
        <v>0</v>
      </c>
      <c r="AW752" s="33">
        <v>0</v>
      </c>
      <c r="AY752" s="36">
        <v>724</v>
      </c>
      <c r="AZ752" s="33">
        <v>3</v>
      </c>
      <c r="BA752" s="33">
        <v>3</v>
      </c>
      <c r="BB752" s="33">
        <v>0</v>
      </c>
      <c r="BC752" s="33">
        <v>1</v>
      </c>
      <c r="BD752" s="43">
        <v>4.2774603045834733E-2</v>
      </c>
      <c r="BE752" s="33">
        <v>0</v>
      </c>
      <c r="BF752" s="33">
        <v>0</v>
      </c>
      <c r="CE752" s="36">
        <v>718</v>
      </c>
      <c r="CF752" s="33">
        <v>16</v>
      </c>
      <c r="CG752" s="33">
        <v>1</v>
      </c>
      <c r="CH752" s="33">
        <v>2</v>
      </c>
      <c r="CI752" s="33">
        <v>2</v>
      </c>
      <c r="CJ752" s="33">
        <v>9</v>
      </c>
      <c r="CK752" s="33">
        <v>0</v>
      </c>
      <c r="CL752" s="33">
        <v>1</v>
      </c>
      <c r="CM752" s="33">
        <v>3</v>
      </c>
      <c r="CN752" s="33">
        <v>2</v>
      </c>
      <c r="CO752" s="33">
        <v>2</v>
      </c>
      <c r="CP752" s="43">
        <v>0.3102304697238697</v>
      </c>
      <c r="CQ752" s="33">
        <v>0</v>
      </c>
      <c r="CR752" s="33">
        <v>0</v>
      </c>
    </row>
    <row r="753" spans="1:96" ht="15" customHeight="1" x14ac:dyDescent="0.25">
      <c r="A753" s="26">
        <v>751</v>
      </c>
      <c r="B753" s="27">
        <v>50</v>
      </c>
      <c r="C753" s="27">
        <v>0</v>
      </c>
      <c r="D753" s="27">
        <v>3</v>
      </c>
      <c r="E753" s="27">
        <v>145</v>
      </c>
      <c r="F753" s="27">
        <v>1</v>
      </c>
      <c r="G753" s="27">
        <v>1</v>
      </c>
      <c r="H753" s="27">
        <v>3</v>
      </c>
      <c r="I753" s="27">
        <v>1</v>
      </c>
      <c r="J753" s="27">
        <v>1</v>
      </c>
      <c r="K753" s="27">
        <v>1040</v>
      </c>
      <c r="L753" s="27">
        <v>4</v>
      </c>
      <c r="M753" s="27">
        <v>0</v>
      </c>
      <c r="N753" s="27">
        <v>95</v>
      </c>
      <c r="O753" s="27">
        <v>3</v>
      </c>
      <c r="P753" s="27">
        <v>2</v>
      </c>
      <c r="Q753" s="27">
        <v>1</v>
      </c>
      <c r="R753" s="27">
        <v>3</v>
      </c>
      <c r="S753" s="27">
        <v>2</v>
      </c>
      <c r="T753" s="27">
        <v>6347</v>
      </c>
      <c r="U753" s="27">
        <v>24920</v>
      </c>
      <c r="V753" s="27">
        <v>0</v>
      </c>
      <c r="W753" s="27">
        <v>0</v>
      </c>
      <c r="X753" s="27">
        <v>12</v>
      </c>
      <c r="Y753" s="27">
        <v>3</v>
      </c>
      <c r="Z753" s="27">
        <v>1</v>
      </c>
      <c r="AA753" s="27">
        <v>80</v>
      </c>
      <c r="AB753" s="27">
        <v>1</v>
      </c>
      <c r="AC753" s="27">
        <v>19</v>
      </c>
      <c r="AD753" s="27">
        <v>3</v>
      </c>
      <c r="AE753" s="27">
        <v>3</v>
      </c>
      <c r="AF753" s="27">
        <v>18</v>
      </c>
      <c r="AG753" s="27">
        <v>7</v>
      </c>
      <c r="AH753" s="27">
        <v>0</v>
      </c>
      <c r="AI753" s="28">
        <v>13</v>
      </c>
      <c r="AK753" s="36">
        <v>720</v>
      </c>
      <c r="AL753" s="33">
        <v>4</v>
      </c>
      <c r="AM753" s="33">
        <v>2</v>
      </c>
      <c r="AN753" s="33">
        <v>4</v>
      </c>
      <c r="AO753" s="33">
        <v>1</v>
      </c>
      <c r="AP753" s="33">
        <v>1</v>
      </c>
      <c r="AQ753" s="33">
        <v>0</v>
      </c>
      <c r="AR753" s="33">
        <v>3</v>
      </c>
      <c r="AS753" s="33">
        <v>9</v>
      </c>
      <c r="AT753" s="33">
        <v>0</v>
      </c>
      <c r="AU753" s="43">
        <v>0.15684187594655957</v>
      </c>
      <c r="AV753" s="33">
        <v>0</v>
      </c>
      <c r="AW753" s="33">
        <v>0</v>
      </c>
      <c r="AY753" s="36">
        <v>725</v>
      </c>
      <c r="AZ753" s="33">
        <v>2</v>
      </c>
      <c r="BA753" s="33">
        <v>3</v>
      </c>
      <c r="BB753" s="33">
        <v>0</v>
      </c>
      <c r="BC753" s="33">
        <v>2</v>
      </c>
      <c r="BD753" s="43">
        <v>4.4052611042036123E-2</v>
      </c>
      <c r="BE753" s="33">
        <v>0</v>
      </c>
      <c r="BF753" s="33">
        <v>0</v>
      </c>
      <c r="CE753" s="36">
        <v>719</v>
      </c>
      <c r="CF753" s="33">
        <v>23</v>
      </c>
      <c r="CG753" s="33">
        <v>2</v>
      </c>
      <c r="CH753" s="33">
        <v>1</v>
      </c>
      <c r="CI753" s="33">
        <v>2</v>
      </c>
      <c r="CJ753" s="33">
        <v>1</v>
      </c>
      <c r="CK753" s="33">
        <v>1</v>
      </c>
      <c r="CL753" s="33">
        <v>1</v>
      </c>
      <c r="CM753" s="33">
        <v>3</v>
      </c>
      <c r="CN753" s="33">
        <v>9</v>
      </c>
      <c r="CO753" s="33">
        <v>0</v>
      </c>
      <c r="CP753" s="43">
        <v>0.33064624328977493</v>
      </c>
      <c r="CQ753" s="33">
        <v>0</v>
      </c>
      <c r="CR753" s="33">
        <v>0</v>
      </c>
    </row>
    <row r="754" spans="1:96" ht="15" customHeight="1" x14ac:dyDescent="0.25">
      <c r="A754" s="26">
        <v>752</v>
      </c>
      <c r="B754" s="27">
        <v>36</v>
      </c>
      <c r="C754" s="27">
        <v>1</v>
      </c>
      <c r="D754" s="27">
        <v>1</v>
      </c>
      <c r="E754" s="27">
        <v>885</v>
      </c>
      <c r="F754" s="27">
        <v>2</v>
      </c>
      <c r="G754" s="27">
        <v>16</v>
      </c>
      <c r="H754" s="27">
        <v>4</v>
      </c>
      <c r="I754" s="27">
        <v>1</v>
      </c>
      <c r="J754" s="27">
        <v>1</v>
      </c>
      <c r="K754" s="27">
        <v>1042</v>
      </c>
      <c r="L754" s="27">
        <v>3</v>
      </c>
      <c r="M754" s="27">
        <v>0</v>
      </c>
      <c r="N754" s="27">
        <v>43</v>
      </c>
      <c r="O754" s="27">
        <v>4</v>
      </c>
      <c r="P754" s="27">
        <v>1</v>
      </c>
      <c r="Q754" s="27">
        <v>3</v>
      </c>
      <c r="R754" s="27">
        <v>1</v>
      </c>
      <c r="S754" s="27">
        <v>1</v>
      </c>
      <c r="T754" s="27">
        <v>2743</v>
      </c>
      <c r="U754" s="27">
        <v>8269</v>
      </c>
      <c r="V754" s="27">
        <v>1</v>
      </c>
      <c r="W754" s="27">
        <v>0</v>
      </c>
      <c r="X754" s="27">
        <v>16</v>
      </c>
      <c r="Y754" s="27">
        <v>3</v>
      </c>
      <c r="Z754" s="27">
        <v>3</v>
      </c>
      <c r="AA754" s="27">
        <v>80</v>
      </c>
      <c r="AB754" s="27">
        <v>0</v>
      </c>
      <c r="AC754" s="27">
        <v>18</v>
      </c>
      <c r="AD754" s="27">
        <v>1</v>
      </c>
      <c r="AE754" s="27">
        <v>3</v>
      </c>
      <c r="AF754" s="27">
        <v>17</v>
      </c>
      <c r="AG754" s="27">
        <v>13</v>
      </c>
      <c r="AH754" s="27">
        <v>15</v>
      </c>
      <c r="AI754" s="28">
        <v>14</v>
      </c>
      <c r="AK754" s="36">
        <v>721</v>
      </c>
      <c r="AL754" s="33">
        <v>22</v>
      </c>
      <c r="AM754" s="33">
        <v>1</v>
      </c>
      <c r="AN754" s="33">
        <v>3</v>
      </c>
      <c r="AO754" s="33">
        <v>4</v>
      </c>
      <c r="AP754" s="33">
        <v>1</v>
      </c>
      <c r="AQ754" s="33">
        <v>0</v>
      </c>
      <c r="AR754" s="33">
        <v>3</v>
      </c>
      <c r="AS754" s="33">
        <v>5</v>
      </c>
      <c r="AT754" s="33">
        <v>0</v>
      </c>
      <c r="AU754" s="43">
        <v>0.57628113305425277</v>
      </c>
      <c r="AV754" s="33">
        <v>1</v>
      </c>
      <c r="AW754" s="33">
        <v>1</v>
      </c>
      <c r="AY754" s="36">
        <v>726</v>
      </c>
      <c r="AZ754" s="33">
        <v>1</v>
      </c>
      <c r="BA754" s="33">
        <v>2</v>
      </c>
      <c r="BB754" s="33">
        <v>1</v>
      </c>
      <c r="BC754" s="33">
        <v>1</v>
      </c>
      <c r="BD754" s="43">
        <v>0.43876762926038776</v>
      </c>
      <c r="BE754" s="33">
        <v>0</v>
      </c>
      <c r="BF754" s="33">
        <v>1</v>
      </c>
      <c r="CE754" s="36">
        <v>720</v>
      </c>
      <c r="CF754" s="33">
        <v>4</v>
      </c>
      <c r="CG754" s="33">
        <v>2</v>
      </c>
      <c r="CH754" s="33">
        <v>4</v>
      </c>
      <c r="CI754" s="33">
        <v>1</v>
      </c>
      <c r="CJ754" s="33">
        <v>1</v>
      </c>
      <c r="CK754" s="33">
        <v>1</v>
      </c>
      <c r="CL754" s="33">
        <v>0</v>
      </c>
      <c r="CM754" s="33">
        <v>3</v>
      </c>
      <c r="CN754" s="33">
        <v>9</v>
      </c>
      <c r="CO754" s="33">
        <v>0</v>
      </c>
      <c r="CP754" s="43">
        <v>0.18361150780759919</v>
      </c>
      <c r="CQ754" s="33">
        <v>0</v>
      </c>
      <c r="CR754" s="33">
        <v>0</v>
      </c>
    </row>
    <row r="755" spans="1:96" ht="15" customHeight="1" x14ac:dyDescent="0.25">
      <c r="A755" s="26">
        <v>753</v>
      </c>
      <c r="B755" s="27">
        <v>39</v>
      </c>
      <c r="C755" s="27">
        <v>0</v>
      </c>
      <c r="D755" s="27">
        <v>2</v>
      </c>
      <c r="E755" s="27">
        <v>945</v>
      </c>
      <c r="F755" s="27">
        <v>2</v>
      </c>
      <c r="G755" s="27">
        <v>22</v>
      </c>
      <c r="H755" s="27">
        <v>3</v>
      </c>
      <c r="I755" s="27">
        <v>3</v>
      </c>
      <c r="J755" s="27">
        <v>1</v>
      </c>
      <c r="K755" s="27">
        <v>1043</v>
      </c>
      <c r="L755" s="27">
        <v>4</v>
      </c>
      <c r="M755" s="27">
        <v>0</v>
      </c>
      <c r="N755" s="27">
        <v>82</v>
      </c>
      <c r="O755" s="27">
        <v>3</v>
      </c>
      <c r="P755" s="27">
        <v>3</v>
      </c>
      <c r="Q755" s="27">
        <v>4</v>
      </c>
      <c r="R755" s="27">
        <v>1</v>
      </c>
      <c r="S755" s="27">
        <v>1</v>
      </c>
      <c r="T755" s="27">
        <v>10880</v>
      </c>
      <c r="U755" s="27">
        <v>5083</v>
      </c>
      <c r="V755" s="27">
        <v>1</v>
      </c>
      <c r="W755" s="27">
        <v>1</v>
      </c>
      <c r="X755" s="27">
        <v>13</v>
      </c>
      <c r="Y755" s="27">
        <v>3</v>
      </c>
      <c r="Z755" s="27">
        <v>3</v>
      </c>
      <c r="AA755" s="27">
        <v>80</v>
      </c>
      <c r="AB755" s="27">
        <v>0</v>
      </c>
      <c r="AC755" s="27">
        <v>21</v>
      </c>
      <c r="AD755" s="27">
        <v>2</v>
      </c>
      <c r="AE755" s="27">
        <v>3</v>
      </c>
      <c r="AF755" s="27">
        <v>21</v>
      </c>
      <c r="AG755" s="27">
        <v>6</v>
      </c>
      <c r="AH755" s="27">
        <v>2</v>
      </c>
      <c r="AI755" s="28">
        <v>8</v>
      </c>
      <c r="AK755" s="36">
        <v>722</v>
      </c>
      <c r="AL755" s="33">
        <v>24</v>
      </c>
      <c r="AM755" s="33">
        <v>4</v>
      </c>
      <c r="AN755" s="33">
        <v>3</v>
      </c>
      <c r="AO755" s="33">
        <v>3</v>
      </c>
      <c r="AP755" s="33">
        <v>1</v>
      </c>
      <c r="AQ755" s="33">
        <v>1</v>
      </c>
      <c r="AR755" s="33">
        <v>3</v>
      </c>
      <c r="AS755" s="33">
        <v>12</v>
      </c>
      <c r="AT755" s="33">
        <v>1</v>
      </c>
      <c r="AU755" s="43">
        <v>8.9281019136149775E-2</v>
      </c>
      <c r="AV755" s="33">
        <v>0</v>
      </c>
      <c r="AW755" s="33">
        <v>0</v>
      </c>
      <c r="AY755" s="36">
        <v>727</v>
      </c>
      <c r="AZ755" s="33">
        <v>2</v>
      </c>
      <c r="BA755" s="33">
        <v>1</v>
      </c>
      <c r="BB755" s="33">
        <v>0</v>
      </c>
      <c r="BC755" s="33">
        <v>1</v>
      </c>
      <c r="BD755" s="43">
        <v>0.12293502213131684</v>
      </c>
      <c r="BE755" s="33">
        <v>0</v>
      </c>
      <c r="BF755" s="33">
        <v>0</v>
      </c>
      <c r="CE755" s="36">
        <v>721</v>
      </c>
      <c r="CF755" s="33">
        <v>22</v>
      </c>
      <c r="CG755" s="33">
        <v>1</v>
      </c>
      <c r="CH755" s="33">
        <v>3</v>
      </c>
      <c r="CI755" s="33">
        <v>2</v>
      </c>
      <c r="CJ755" s="33">
        <v>4</v>
      </c>
      <c r="CK755" s="33">
        <v>1</v>
      </c>
      <c r="CL755" s="33">
        <v>0</v>
      </c>
      <c r="CM755" s="33">
        <v>3</v>
      </c>
      <c r="CN755" s="33">
        <v>5</v>
      </c>
      <c r="CO755" s="33">
        <v>0</v>
      </c>
      <c r="CP755" s="43">
        <v>0.487786732852247</v>
      </c>
      <c r="CQ755" s="33">
        <v>0</v>
      </c>
      <c r="CR755" s="33">
        <v>1</v>
      </c>
    </row>
    <row r="756" spans="1:96" ht="15" customHeight="1" x14ac:dyDescent="0.25">
      <c r="A756" s="26">
        <v>754</v>
      </c>
      <c r="B756" s="27">
        <v>33</v>
      </c>
      <c r="C756" s="27">
        <v>0</v>
      </c>
      <c r="D756" s="27">
        <v>3</v>
      </c>
      <c r="E756" s="27">
        <v>1038</v>
      </c>
      <c r="F756" s="27">
        <v>1</v>
      </c>
      <c r="G756" s="27">
        <v>8</v>
      </c>
      <c r="H756" s="27">
        <v>1</v>
      </c>
      <c r="I756" s="27">
        <v>1</v>
      </c>
      <c r="J756" s="27">
        <v>1</v>
      </c>
      <c r="K756" s="27">
        <v>1044</v>
      </c>
      <c r="L756" s="27">
        <v>2</v>
      </c>
      <c r="M756" s="27">
        <v>0</v>
      </c>
      <c r="N756" s="27">
        <v>88</v>
      </c>
      <c r="O756" s="27">
        <v>2</v>
      </c>
      <c r="P756" s="27">
        <v>1</v>
      </c>
      <c r="Q756" s="27">
        <v>7</v>
      </c>
      <c r="R756" s="27">
        <v>4</v>
      </c>
      <c r="S756" s="27">
        <v>1</v>
      </c>
      <c r="T756" s="27">
        <v>2342</v>
      </c>
      <c r="U756" s="27">
        <v>21437</v>
      </c>
      <c r="V756" s="27">
        <v>0</v>
      </c>
      <c r="W756" s="27">
        <v>0</v>
      </c>
      <c r="X756" s="27">
        <v>19</v>
      </c>
      <c r="Y756" s="27">
        <v>3</v>
      </c>
      <c r="Z756" s="27">
        <v>4</v>
      </c>
      <c r="AA756" s="27">
        <v>80</v>
      </c>
      <c r="AB756" s="27">
        <v>0</v>
      </c>
      <c r="AC756" s="27">
        <v>3</v>
      </c>
      <c r="AD756" s="27">
        <v>2</v>
      </c>
      <c r="AE756" s="27">
        <v>2</v>
      </c>
      <c r="AF756" s="27">
        <v>2</v>
      </c>
      <c r="AG756" s="27">
        <v>2</v>
      </c>
      <c r="AH756" s="27">
        <v>2</v>
      </c>
      <c r="AI756" s="28">
        <v>2</v>
      </c>
      <c r="AK756" s="36">
        <v>723</v>
      </c>
      <c r="AL756" s="33">
        <v>10</v>
      </c>
      <c r="AM756" s="33">
        <v>1</v>
      </c>
      <c r="AN756" s="33">
        <v>3</v>
      </c>
      <c r="AO756" s="33">
        <v>0</v>
      </c>
      <c r="AP756" s="33">
        <v>0</v>
      </c>
      <c r="AQ756" s="33">
        <v>1</v>
      </c>
      <c r="AR756" s="33">
        <v>2</v>
      </c>
      <c r="AS756" s="33">
        <v>2</v>
      </c>
      <c r="AT756" s="33">
        <v>0</v>
      </c>
      <c r="AU756" s="43">
        <v>0.11654007184671931</v>
      </c>
      <c r="AV756" s="33">
        <v>0</v>
      </c>
      <c r="AW756" s="33">
        <v>0</v>
      </c>
      <c r="AY756" s="36">
        <v>728</v>
      </c>
      <c r="AZ756" s="33">
        <v>1</v>
      </c>
      <c r="BA756" s="33">
        <v>4</v>
      </c>
      <c r="BB756" s="33">
        <v>0</v>
      </c>
      <c r="BC756" s="33">
        <v>0</v>
      </c>
      <c r="BD756" s="43">
        <v>0.1472907617042678</v>
      </c>
      <c r="BE756" s="33">
        <v>0</v>
      </c>
      <c r="BF756" s="33">
        <v>0</v>
      </c>
      <c r="CE756" s="36">
        <v>722</v>
      </c>
      <c r="CF756" s="33">
        <v>24</v>
      </c>
      <c r="CG756" s="33">
        <v>4</v>
      </c>
      <c r="CH756" s="33">
        <v>3</v>
      </c>
      <c r="CI756" s="33">
        <v>2</v>
      </c>
      <c r="CJ756" s="33">
        <v>3</v>
      </c>
      <c r="CK756" s="33">
        <v>1</v>
      </c>
      <c r="CL756" s="33">
        <v>1</v>
      </c>
      <c r="CM756" s="33">
        <v>3</v>
      </c>
      <c r="CN756" s="33">
        <v>12</v>
      </c>
      <c r="CO756" s="33">
        <v>1</v>
      </c>
      <c r="CP756" s="43">
        <v>9.0826923871801704E-2</v>
      </c>
      <c r="CQ756" s="33">
        <v>0</v>
      </c>
      <c r="CR756" s="33">
        <v>0</v>
      </c>
    </row>
    <row r="757" spans="1:96" ht="15" customHeight="1" x14ac:dyDescent="0.25">
      <c r="A757" s="26">
        <v>755</v>
      </c>
      <c r="B757" s="27">
        <v>45</v>
      </c>
      <c r="C757" s="27">
        <v>0</v>
      </c>
      <c r="D757" s="27">
        <v>1</v>
      </c>
      <c r="E757" s="27">
        <v>1234</v>
      </c>
      <c r="F757" s="27">
        <v>1</v>
      </c>
      <c r="G757" s="27">
        <v>11</v>
      </c>
      <c r="H757" s="27">
        <v>2</v>
      </c>
      <c r="I757" s="27">
        <v>1</v>
      </c>
      <c r="J757" s="27">
        <v>1</v>
      </c>
      <c r="K757" s="27">
        <v>1045</v>
      </c>
      <c r="L757" s="27">
        <v>4</v>
      </c>
      <c r="M757" s="27">
        <v>0</v>
      </c>
      <c r="N757" s="27">
        <v>90</v>
      </c>
      <c r="O757" s="27">
        <v>3</v>
      </c>
      <c r="P757" s="27">
        <v>4</v>
      </c>
      <c r="Q757" s="27">
        <v>6</v>
      </c>
      <c r="R757" s="27">
        <v>4</v>
      </c>
      <c r="S757" s="27">
        <v>2</v>
      </c>
      <c r="T757" s="27">
        <v>17650</v>
      </c>
      <c r="U757" s="27">
        <v>5404</v>
      </c>
      <c r="V757" s="27">
        <v>3</v>
      </c>
      <c r="W757" s="27">
        <v>0</v>
      </c>
      <c r="X757" s="27">
        <v>13</v>
      </c>
      <c r="Y757" s="27">
        <v>3</v>
      </c>
      <c r="Z757" s="27">
        <v>2</v>
      </c>
      <c r="AA757" s="27">
        <v>80</v>
      </c>
      <c r="AB757" s="27">
        <v>1</v>
      </c>
      <c r="AC757" s="27">
        <v>26</v>
      </c>
      <c r="AD757" s="27">
        <v>4</v>
      </c>
      <c r="AE757" s="27">
        <v>4</v>
      </c>
      <c r="AF757" s="27">
        <v>9</v>
      </c>
      <c r="AG757" s="27">
        <v>3</v>
      </c>
      <c r="AH757" s="27">
        <v>1</v>
      </c>
      <c r="AI757" s="28">
        <v>1</v>
      </c>
      <c r="AK757" s="36">
        <v>724</v>
      </c>
      <c r="AL757" s="33">
        <v>7</v>
      </c>
      <c r="AM757" s="33">
        <v>3</v>
      </c>
      <c r="AN757" s="33">
        <v>3</v>
      </c>
      <c r="AO757" s="33">
        <v>6</v>
      </c>
      <c r="AP757" s="33">
        <v>0</v>
      </c>
      <c r="AQ757" s="33">
        <v>1</v>
      </c>
      <c r="AR757" s="33">
        <v>3</v>
      </c>
      <c r="AS757" s="33">
        <v>8</v>
      </c>
      <c r="AT757" s="33">
        <v>0</v>
      </c>
      <c r="AU757" s="43">
        <v>3.25800808636438E-2</v>
      </c>
      <c r="AV757" s="33">
        <v>0</v>
      </c>
      <c r="AW757" s="33">
        <v>0</v>
      </c>
      <c r="AY757" s="36">
        <v>729</v>
      </c>
      <c r="AZ757" s="33">
        <v>3</v>
      </c>
      <c r="BA757" s="33">
        <v>3</v>
      </c>
      <c r="BB757" s="33">
        <v>0</v>
      </c>
      <c r="BC757" s="33">
        <v>1</v>
      </c>
      <c r="BD757" s="43">
        <v>4.2774603045834733E-2</v>
      </c>
      <c r="BE757" s="33">
        <v>0</v>
      </c>
      <c r="BF757" s="33">
        <v>0</v>
      </c>
      <c r="CE757" s="36">
        <v>723</v>
      </c>
      <c r="CF757" s="33">
        <v>10</v>
      </c>
      <c r="CG757" s="33">
        <v>1</v>
      </c>
      <c r="CH757" s="33">
        <v>3</v>
      </c>
      <c r="CI757" s="33">
        <v>2</v>
      </c>
      <c r="CJ757" s="33">
        <v>0</v>
      </c>
      <c r="CK757" s="33">
        <v>0</v>
      </c>
      <c r="CL757" s="33">
        <v>1</v>
      </c>
      <c r="CM757" s="33">
        <v>2</v>
      </c>
      <c r="CN757" s="33">
        <v>2</v>
      </c>
      <c r="CO757" s="33">
        <v>0</v>
      </c>
      <c r="CP757" s="43">
        <v>0.11276451349683134</v>
      </c>
      <c r="CQ757" s="33">
        <v>0</v>
      </c>
      <c r="CR757" s="33">
        <v>0</v>
      </c>
    </row>
    <row r="758" spans="1:96" ht="15" customHeight="1" x14ac:dyDescent="0.25">
      <c r="A758" s="26">
        <v>756</v>
      </c>
      <c r="B758" s="27">
        <v>32</v>
      </c>
      <c r="C758" s="27">
        <v>0</v>
      </c>
      <c r="D758" s="27">
        <v>3</v>
      </c>
      <c r="E758" s="27">
        <v>1109</v>
      </c>
      <c r="F758" s="27">
        <v>2</v>
      </c>
      <c r="G758" s="27">
        <v>29</v>
      </c>
      <c r="H758" s="27">
        <v>4</v>
      </c>
      <c r="I758" s="27">
        <v>3</v>
      </c>
      <c r="J758" s="27">
        <v>1</v>
      </c>
      <c r="K758" s="27">
        <v>1046</v>
      </c>
      <c r="L758" s="27">
        <v>4</v>
      </c>
      <c r="M758" s="27">
        <v>0</v>
      </c>
      <c r="N758" s="27">
        <v>69</v>
      </c>
      <c r="O758" s="27">
        <v>3</v>
      </c>
      <c r="P758" s="27">
        <v>1</v>
      </c>
      <c r="Q758" s="27">
        <v>3</v>
      </c>
      <c r="R758" s="27">
        <v>3</v>
      </c>
      <c r="S758" s="27">
        <v>1</v>
      </c>
      <c r="T758" s="27">
        <v>4025</v>
      </c>
      <c r="U758" s="27">
        <v>11135</v>
      </c>
      <c r="V758" s="27">
        <v>9</v>
      </c>
      <c r="W758" s="27">
        <v>0</v>
      </c>
      <c r="X758" s="27">
        <v>12</v>
      </c>
      <c r="Y758" s="27">
        <v>3</v>
      </c>
      <c r="Z758" s="27">
        <v>2</v>
      </c>
      <c r="AA758" s="27">
        <v>80</v>
      </c>
      <c r="AB758" s="27">
        <v>0</v>
      </c>
      <c r="AC758" s="27">
        <v>10</v>
      </c>
      <c r="AD758" s="27">
        <v>2</v>
      </c>
      <c r="AE758" s="27">
        <v>3</v>
      </c>
      <c r="AF758" s="27">
        <v>8</v>
      </c>
      <c r="AG758" s="27">
        <v>7</v>
      </c>
      <c r="AH758" s="27">
        <v>7</v>
      </c>
      <c r="AI758" s="28">
        <v>7</v>
      </c>
      <c r="AK758" s="36">
        <v>725</v>
      </c>
      <c r="AL758" s="33">
        <v>17</v>
      </c>
      <c r="AM758" s="33">
        <v>2</v>
      </c>
      <c r="AN758" s="33">
        <v>3</v>
      </c>
      <c r="AO758" s="33">
        <v>1</v>
      </c>
      <c r="AP758" s="33">
        <v>0</v>
      </c>
      <c r="AQ758" s="33">
        <v>2</v>
      </c>
      <c r="AR758" s="33">
        <v>3</v>
      </c>
      <c r="AS758" s="33">
        <v>4</v>
      </c>
      <c r="AT758" s="33">
        <v>3</v>
      </c>
      <c r="AU758" s="43">
        <v>5.4086108910218429E-2</v>
      </c>
      <c r="AV758" s="33">
        <v>0</v>
      </c>
      <c r="AW758" s="33">
        <v>0</v>
      </c>
      <c r="AY758" s="36">
        <v>730</v>
      </c>
      <c r="AZ758" s="33">
        <v>3</v>
      </c>
      <c r="BA758" s="33">
        <v>3</v>
      </c>
      <c r="BB758" s="33">
        <v>1</v>
      </c>
      <c r="BC758" s="33">
        <v>1</v>
      </c>
      <c r="BD758" s="43">
        <v>0.16038463669030681</v>
      </c>
      <c r="BE758" s="33">
        <v>0</v>
      </c>
      <c r="BF758" s="33">
        <v>0</v>
      </c>
      <c r="CE758" s="36">
        <v>724</v>
      </c>
      <c r="CF758" s="33">
        <v>7</v>
      </c>
      <c r="CG758" s="33">
        <v>3</v>
      </c>
      <c r="CH758" s="33">
        <v>3</v>
      </c>
      <c r="CI758" s="33">
        <v>3</v>
      </c>
      <c r="CJ758" s="33">
        <v>6</v>
      </c>
      <c r="CK758" s="33">
        <v>0</v>
      </c>
      <c r="CL758" s="33">
        <v>1</v>
      </c>
      <c r="CM758" s="33">
        <v>3</v>
      </c>
      <c r="CN758" s="33">
        <v>8</v>
      </c>
      <c r="CO758" s="33">
        <v>0</v>
      </c>
      <c r="CP758" s="43">
        <v>1.8543431741999315E-2</v>
      </c>
      <c r="CQ758" s="33">
        <v>0</v>
      </c>
      <c r="CR758" s="33">
        <v>0</v>
      </c>
    </row>
    <row r="759" spans="1:96" ht="15" customHeight="1" x14ac:dyDescent="0.25">
      <c r="A759" s="26">
        <v>757</v>
      </c>
      <c r="B759" s="27">
        <v>34</v>
      </c>
      <c r="C759" s="27">
        <v>0</v>
      </c>
      <c r="D759" s="27">
        <v>1</v>
      </c>
      <c r="E759" s="27">
        <v>216</v>
      </c>
      <c r="F759" s="27">
        <v>1</v>
      </c>
      <c r="G759" s="27">
        <v>1</v>
      </c>
      <c r="H759" s="27">
        <v>4</v>
      </c>
      <c r="I759" s="27">
        <v>4</v>
      </c>
      <c r="J759" s="27">
        <v>1</v>
      </c>
      <c r="K759" s="27">
        <v>1047</v>
      </c>
      <c r="L759" s="27">
        <v>2</v>
      </c>
      <c r="M759" s="27">
        <v>1</v>
      </c>
      <c r="N759" s="27">
        <v>75</v>
      </c>
      <c r="O759" s="27">
        <v>4</v>
      </c>
      <c r="P759" s="27">
        <v>2</v>
      </c>
      <c r="Q759" s="27">
        <v>1</v>
      </c>
      <c r="R759" s="27">
        <v>4</v>
      </c>
      <c r="S759" s="27">
        <v>3</v>
      </c>
      <c r="T759" s="27">
        <v>9725</v>
      </c>
      <c r="U759" s="27">
        <v>12278</v>
      </c>
      <c r="V759" s="27">
        <v>0</v>
      </c>
      <c r="W759" s="27">
        <v>0</v>
      </c>
      <c r="X759" s="27">
        <v>11</v>
      </c>
      <c r="Y759" s="27">
        <v>3</v>
      </c>
      <c r="Z759" s="27">
        <v>4</v>
      </c>
      <c r="AA759" s="27">
        <v>80</v>
      </c>
      <c r="AB759" s="27">
        <v>1</v>
      </c>
      <c r="AC759" s="27">
        <v>16</v>
      </c>
      <c r="AD759" s="27">
        <v>2</v>
      </c>
      <c r="AE759" s="27">
        <v>2</v>
      </c>
      <c r="AF759" s="27">
        <v>15</v>
      </c>
      <c r="AG759" s="27">
        <v>1</v>
      </c>
      <c r="AH759" s="27">
        <v>0</v>
      </c>
      <c r="AI759" s="28">
        <v>9</v>
      </c>
      <c r="AK759" s="36">
        <v>726</v>
      </c>
      <c r="AL759" s="33">
        <v>14</v>
      </c>
      <c r="AM759" s="33">
        <v>1</v>
      </c>
      <c r="AN759" s="33">
        <v>2</v>
      </c>
      <c r="AO759" s="33">
        <v>1</v>
      </c>
      <c r="AP759" s="33">
        <v>1</v>
      </c>
      <c r="AQ759" s="33">
        <v>1</v>
      </c>
      <c r="AR759" s="33">
        <v>1</v>
      </c>
      <c r="AS759" s="33">
        <v>4</v>
      </c>
      <c r="AT759" s="33">
        <v>0</v>
      </c>
      <c r="AU759" s="43">
        <v>0.51213702712095377</v>
      </c>
      <c r="AV759" s="33">
        <v>1</v>
      </c>
      <c r="AW759" s="33">
        <v>1</v>
      </c>
      <c r="AY759" s="36">
        <v>731</v>
      </c>
      <c r="AZ759" s="33">
        <v>3</v>
      </c>
      <c r="BA759" s="33">
        <v>1</v>
      </c>
      <c r="BB759" s="33">
        <v>1</v>
      </c>
      <c r="BC759" s="33">
        <v>3</v>
      </c>
      <c r="BD759" s="43">
        <v>0.10660616384241882</v>
      </c>
      <c r="BE759" s="33">
        <v>0</v>
      </c>
      <c r="BF759" s="33">
        <v>0</v>
      </c>
      <c r="CE759" s="36">
        <v>725</v>
      </c>
      <c r="CF759" s="33">
        <v>17</v>
      </c>
      <c r="CG759" s="33">
        <v>2</v>
      </c>
      <c r="CH759" s="33">
        <v>3</v>
      </c>
      <c r="CI759" s="33">
        <v>3</v>
      </c>
      <c r="CJ759" s="33">
        <v>1</v>
      </c>
      <c r="CK759" s="33">
        <v>0</v>
      </c>
      <c r="CL759" s="33">
        <v>2</v>
      </c>
      <c r="CM759" s="33">
        <v>3</v>
      </c>
      <c r="CN759" s="33">
        <v>4</v>
      </c>
      <c r="CO759" s="33">
        <v>3</v>
      </c>
      <c r="CP759" s="43">
        <v>4.2836162283467503E-2</v>
      </c>
      <c r="CQ759" s="33">
        <v>0</v>
      </c>
      <c r="CR759" s="33">
        <v>0</v>
      </c>
    </row>
    <row r="760" spans="1:96" ht="15" customHeight="1" x14ac:dyDescent="0.25">
      <c r="A760" s="26">
        <v>758</v>
      </c>
      <c r="B760" s="27">
        <v>59</v>
      </c>
      <c r="C760" s="27">
        <v>0</v>
      </c>
      <c r="D760" s="27">
        <v>1</v>
      </c>
      <c r="E760" s="27">
        <v>1089</v>
      </c>
      <c r="F760" s="27">
        <v>1</v>
      </c>
      <c r="G760" s="27">
        <v>1</v>
      </c>
      <c r="H760" s="27">
        <v>2</v>
      </c>
      <c r="I760" s="27">
        <v>5</v>
      </c>
      <c r="J760" s="27">
        <v>1</v>
      </c>
      <c r="K760" s="27">
        <v>1048</v>
      </c>
      <c r="L760" s="27">
        <v>2</v>
      </c>
      <c r="M760" s="27">
        <v>1</v>
      </c>
      <c r="N760" s="27">
        <v>66</v>
      </c>
      <c r="O760" s="27">
        <v>3</v>
      </c>
      <c r="P760" s="27">
        <v>3</v>
      </c>
      <c r="Q760" s="27">
        <v>6</v>
      </c>
      <c r="R760" s="27">
        <v>4</v>
      </c>
      <c r="S760" s="27">
        <v>2</v>
      </c>
      <c r="T760" s="27">
        <v>11904</v>
      </c>
      <c r="U760" s="27">
        <v>11038</v>
      </c>
      <c r="V760" s="27">
        <v>3</v>
      </c>
      <c r="W760" s="27">
        <v>1</v>
      </c>
      <c r="X760" s="27">
        <v>14</v>
      </c>
      <c r="Y760" s="27">
        <v>3</v>
      </c>
      <c r="Z760" s="27">
        <v>3</v>
      </c>
      <c r="AA760" s="27">
        <v>80</v>
      </c>
      <c r="AB760" s="27">
        <v>1</v>
      </c>
      <c r="AC760" s="27">
        <v>14</v>
      </c>
      <c r="AD760" s="27">
        <v>1</v>
      </c>
      <c r="AE760" s="27">
        <v>1</v>
      </c>
      <c r="AF760" s="27">
        <v>6</v>
      </c>
      <c r="AG760" s="27">
        <v>4</v>
      </c>
      <c r="AH760" s="27">
        <v>0</v>
      </c>
      <c r="AI760" s="28">
        <v>4</v>
      </c>
      <c r="AK760" s="36">
        <v>727</v>
      </c>
      <c r="AL760" s="33">
        <v>1</v>
      </c>
      <c r="AM760" s="33">
        <v>2</v>
      </c>
      <c r="AN760" s="33">
        <v>1</v>
      </c>
      <c r="AO760" s="33">
        <v>1</v>
      </c>
      <c r="AP760" s="33">
        <v>0</v>
      </c>
      <c r="AQ760" s="33">
        <v>1</v>
      </c>
      <c r="AR760" s="33">
        <v>3</v>
      </c>
      <c r="AS760" s="33">
        <v>4</v>
      </c>
      <c r="AT760" s="33">
        <v>0</v>
      </c>
      <c r="AU760" s="43">
        <v>6.987397308541464E-2</v>
      </c>
      <c r="AV760" s="33">
        <v>0</v>
      </c>
      <c r="AW760" s="33">
        <v>0</v>
      </c>
      <c r="AY760" s="36">
        <v>732</v>
      </c>
      <c r="AZ760" s="33">
        <v>1</v>
      </c>
      <c r="BA760" s="33">
        <v>1</v>
      </c>
      <c r="BB760" s="33">
        <v>1</v>
      </c>
      <c r="BC760" s="33">
        <v>0</v>
      </c>
      <c r="BD760" s="43">
        <v>0.63965103699986936</v>
      </c>
      <c r="BE760" s="33">
        <v>1</v>
      </c>
      <c r="BF760" s="33">
        <v>1</v>
      </c>
      <c r="CE760" s="36">
        <v>726</v>
      </c>
      <c r="CF760" s="33">
        <v>14</v>
      </c>
      <c r="CG760" s="33">
        <v>1</v>
      </c>
      <c r="CH760" s="33">
        <v>2</v>
      </c>
      <c r="CI760" s="33">
        <v>3</v>
      </c>
      <c r="CJ760" s="33">
        <v>1</v>
      </c>
      <c r="CK760" s="33">
        <v>1</v>
      </c>
      <c r="CL760" s="33">
        <v>1</v>
      </c>
      <c r="CM760" s="33">
        <v>1</v>
      </c>
      <c r="CN760" s="33">
        <v>4</v>
      </c>
      <c r="CO760" s="33">
        <v>0</v>
      </c>
      <c r="CP760" s="43">
        <v>0.38491832334565801</v>
      </c>
      <c r="CQ760" s="33">
        <v>0</v>
      </c>
      <c r="CR760" s="33">
        <v>1</v>
      </c>
    </row>
    <row r="761" spans="1:96" ht="15" customHeight="1" x14ac:dyDescent="0.25">
      <c r="A761" s="26">
        <v>759</v>
      </c>
      <c r="B761" s="27">
        <v>45</v>
      </c>
      <c r="C761" s="27">
        <v>0</v>
      </c>
      <c r="D761" s="27">
        <v>1</v>
      </c>
      <c r="E761" s="27">
        <v>788</v>
      </c>
      <c r="F761" s="27">
        <v>3</v>
      </c>
      <c r="G761" s="27">
        <v>24</v>
      </c>
      <c r="H761" s="27">
        <v>4</v>
      </c>
      <c r="I761" s="27">
        <v>3</v>
      </c>
      <c r="J761" s="27">
        <v>1</v>
      </c>
      <c r="K761" s="27">
        <v>1049</v>
      </c>
      <c r="L761" s="27">
        <v>2</v>
      </c>
      <c r="M761" s="27">
        <v>1</v>
      </c>
      <c r="N761" s="27">
        <v>36</v>
      </c>
      <c r="O761" s="27">
        <v>3</v>
      </c>
      <c r="P761" s="27">
        <v>1</v>
      </c>
      <c r="Q761" s="27">
        <v>9</v>
      </c>
      <c r="R761" s="27">
        <v>2</v>
      </c>
      <c r="S761" s="27">
        <v>1</v>
      </c>
      <c r="T761" s="27">
        <v>2177</v>
      </c>
      <c r="U761" s="27">
        <v>8318</v>
      </c>
      <c r="V761" s="27">
        <v>1</v>
      </c>
      <c r="W761" s="27">
        <v>0</v>
      </c>
      <c r="X761" s="27">
        <v>16</v>
      </c>
      <c r="Y761" s="27">
        <v>3</v>
      </c>
      <c r="Z761" s="27">
        <v>1</v>
      </c>
      <c r="AA761" s="27">
        <v>80</v>
      </c>
      <c r="AB761" s="27">
        <v>0</v>
      </c>
      <c r="AC761" s="27">
        <v>6</v>
      </c>
      <c r="AD761" s="27">
        <v>3</v>
      </c>
      <c r="AE761" s="27">
        <v>3</v>
      </c>
      <c r="AF761" s="27">
        <v>6</v>
      </c>
      <c r="AG761" s="27">
        <v>3</v>
      </c>
      <c r="AH761" s="27">
        <v>0</v>
      </c>
      <c r="AI761" s="28">
        <v>4</v>
      </c>
      <c r="AK761" s="36">
        <v>728</v>
      </c>
      <c r="AL761" s="33">
        <v>5</v>
      </c>
      <c r="AM761" s="33">
        <v>1</v>
      </c>
      <c r="AN761" s="33">
        <v>4</v>
      </c>
      <c r="AO761" s="33">
        <v>1</v>
      </c>
      <c r="AP761" s="33">
        <v>0</v>
      </c>
      <c r="AQ761" s="33">
        <v>0</v>
      </c>
      <c r="AR761" s="33">
        <v>3</v>
      </c>
      <c r="AS761" s="33">
        <v>0</v>
      </c>
      <c r="AT761" s="33">
        <v>0</v>
      </c>
      <c r="AU761" s="43">
        <v>0.12752359669749175</v>
      </c>
      <c r="AV761" s="33">
        <v>0</v>
      </c>
      <c r="AW761" s="33">
        <v>0</v>
      </c>
      <c r="AY761" s="36">
        <v>733</v>
      </c>
      <c r="AZ761" s="33">
        <v>1</v>
      </c>
      <c r="BA761" s="33">
        <v>2</v>
      </c>
      <c r="BB761" s="33">
        <v>0</v>
      </c>
      <c r="BC761" s="33">
        <v>0</v>
      </c>
      <c r="BD761" s="43">
        <v>0.23662845161334917</v>
      </c>
      <c r="BE761" s="33">
        <v>0</v>
      </c>
      <c r="BF761" s="33">
        <v>1</v>
      </c>
      <c r="CE761" s="36">
        <v>727</v>
      </c>
      <c r="CF761" s="33">
        <v>1</v>
      </c>
      <c r="CG761" s="33">
        <v>2</v>
      </c>
      <c r="CH761" s="33">
        <v>1</v>
      </c>
      <c r="CI761" s="33">
        <v>2</v>
      </c>
      <c r="CJ761" s="33">
        <v>1</v>
      </c>
      <c r="CK761" s="33">
        <v>0</v>
      </c>
      <c r="CL761" s="33">
        <v>1</v>
      </c>
      <c r="CM761" s="33">
        <v>3</v>
      </c>
      <c r="CN761" s="33">
        <v>4</v>
      </c>
      <c r="CO761" s="33">
        <v>0</v>
      </c>
      <c r="CP761" s="43">
        <v>6.9733963384520578E-2</v>
      </c>
      <c r="CQ761" s="33">
        <v>0</v>
      </c>
      <c r="CR761" s="33">
        <v>0</v>
      </c>
    </row>
    <row r="762" spans="1:96" ht="15" customHeight="1" x14ac:dyDescent="0.25">
      <c r="A762" s="26">
        <v>760</v>
      </c>
      <c r="B762" s="27">
        <v>53</v>
      </c>
      <c r="C762" s="27">
        <v>0</v>
      </c>
      <c r="D762" s="27">
        <v>2</v>
      </c>
      <c r="E762" s="27">
        <v>124</v>
      </c>
      <c r="F762" s="27">
        <v>1</v>
      </c>
      <c r="G762" s="27">
        <v>2</v>
      </c>
      <c r="H762" s="27">
        <v>3</v>
      </c>
      <c r="I762" s="27">
        <v>4</v>
      </c>
      <c r="J762" s="27">
        <v>1</v>
      </c>
      <c r="K762" s="27">
        <v>1050</v>
      </c>
      <c r="L762" s="27">
        <v>3</v>
      </c>
      <c r="M762" s="27">
        <v>0</v>
      </c>
      <c r="N762" s="27">
        <v>38</v>
      </c>
      <c r="O762" s="27">
        <v>2</v>
      </c>
      <c r="P762" s="27">
        <v>3</v>
      </c>
      <c r="Q762" s="27">
        <v>1</v>
      </c>
      <c r="R762" s="27">
        <v>2</v>
      </c>
      <c r="S762" s="27">
        <v>2</v>
      </c>
      <c r="T762" s="27">
        <v>7525</v>
      </c>
      <c r="U762" s="27">
        <v>23537</v>
      </c>
      <c r="V762" s="27">
        <v>2</v>
      </c>
      <c r="W762" s="27">
        <v>0</v>
      </c>
      <c r="X762" s="27">
        <v>12</v>
      </c>
      <c r="Y762" s="27">
        <v>3</v>
      </c>
      <c r="Z762" s="27">
        <v>1</v>
      </c>
      <c r="AA762" s="27">
        <v>80</v>
      </c>
      <c r="AB762" s="27">
        <v>1</v>
      </c>
      <c r="AC762" s="27">
        <v>30</v>
      </c>
      <c r="AD762" s="27">
        <v>2</v>
      </c>
      <c r="AE762" s="27">
        <v>3</v>
      </c>
      <c r="AF762" s="27">
        <v>15</v>
      </c>
      <c r="AG762" s="27">
        <v>7</v>
      </c>
      <c r="AH762" s="27">
        <v>6</v>
      </c>
      <c r="AI762" s="28">
        <v>12</v>
      </c>
      <c r="AK762" s="36">
        <v>729</v>
      </c>
      <c r="AL762" s="33">
        <v>17</v>
      </c>
      <c r="AM762" s="33">
        <v>3</v>
      </c>
      <c r="AN762" s="33">
        <v>3</v>
      </c>
      <c r="AO762" s="33">
        <v>8</v>
      </c>
      <c r="AP762" s="33">
        <v>0</v>
      </c>
      <c r="AQ762" s="33">
        <v>1</v>
      </c>
      <c r="AR762" s="33">
        <v>3</v>
      </c>
      <c r="AS762" s="33">
        <v>10</v>
      </c>
      <c r="AT762" s="33">
        <v>0</v>
      </c>
      <c r="AU762" s="43">
        <v>4.6053371382299813E-2</v>
      </c>
      <c r="AV762" s="33">
        <v>0</v>
      </c>
      <c r="AW762" s="33">
        <v>0</v>
      </c>
      <c r="AY762" s="36">
        <v>734</v>
      </c>
      <c r="AZ762" s="33">
        <v>2</v>
      </c>
      <c r="BA762" s="33">
        <v>4</v>
      </c>
      <c r="BB762" s="33">
        <v>0</v>
      </c>
      <c r="BC762" s="33">
        <v>0</v>
      </c>
      <c r="BD762" s="43">
        <v>8.9935487507215722E-2</v>
      </c>
      <c r="BE762" s="33">
        <v>0</v>
      </c>
      <c r="BF762" s="33">
        <v>0</v>
      </c>
      <c r="CE762" s="36">
        <v>728</v>
      </c>
      <c r="CF762" s="33">
        <v>5</v>
      </c>
      <c r="CG762" s="33">
        <v>1</v>
      </c>
      <c r="CH762" s="33">
        <v>4</v>
      </c>
      <c r="CI762" s="33">
        <v>1</v>
      </c>
      <c r="CJ762" s="33">
        <v>1</v>
      </c>
      <c r="CK762" s="33">
        <v>0</v>
      </c>
      <c r="CL762" s="33">
        <v>0</v>
      </c>
      <c r="CM762" s="33">
        <v>3</v>
      </c>
      <c r="CN762" s="33">
        <v>0</v>
      </c>
      <c r="CO762" s="33">
        <v>0</v>
      </c>
      <c r="CP762" s="43">
        <v>0.14424649429457684</v>
      </c>
      <c r="CQ762" s="33">
        <v>0</v>
      </c>
      <c r="CR762" s="33">
        <v>0</v>
      </c>
    </row>
    <row r="763" spans="1:96" ht="15" customHeight="1" x14ac:dyDescent="0.25">
      <c r="A763" s="26">
        <v>761</v>
      </c>
      <c r="B763" s="27">
        <v>36</v>
      </c>
      <c r="C763" s="27">
        <v>1</v>
      </c>
      <c r="D763" s="27">
        <v>1</v>
      </c>
      <c r="E763" s="27">
        <v>660</v>
      </c>
      <c r="F763" s="27">
        <v>2</v>
      </c>
      <c r="G763" s="27">
        <v>15</v>
      </c>
      <c r="H763" s="27">
        <v>3</v>
      </c>
      <c r="I763" s="27">
        <v>6</v>
      </c>
      <c r="J763" s="27">
        <v>1</v>
      </c>
      <c r="K763" s="27">
        <v>1052</v>
      </c>
      <c r="L763" s="27">
        <v>1</v>
      </c>
      <c r="M763" s="27">
        <v>1</v>
      </c>
      <c r="N763" s="27">
        <v>81</v>
      </c>
      <c r="O763" s="27">
        <v>3</v>
      </c>
      <c r="P763" s="27">
        <v>2</v>
      </c>
      <c r="Q763" s="27">
        <v>3</v>
      </c>
      <c r="R763" s="27">
        <v>3</v>
      </c>
      <c r="S763" s="27">
        <v>3</v>
      </c>
      <c r="T763" s="27">
        <v>4834</v>
      </c>
      <c r="U763" s="27">
        <v>7858</v>
      </c>
      <c r="V763" s="27">
        <v>7</v>
      </c>
      <c r="W763" s="27">
        <v>0</v>
      </c>
      <c r="X763" s="27">
        <v>14</v>
      </c>
      <c r="Y763" s="27">
        <v>3</v>
      </c>
      <c r="Z763" s="27">
        <v>2</v>
      </c>
      <c r="AA763" s="27">
        <v>80</v>
      </c>
      <c r="AB763" s="27">
        <v>1</v>
      </c>
      <c r="AC763" s="27">
        <v>9</v>
      </c>
      <c r="AD763" s="27">
        <v>3</v>
      </c>
      <c r="AE763" s="27">
        <v>2</v>
      </c>
      <c r="AF763" s="27">
        <v>1</v>
      </c>
      <c r="AG763" s="27">
        <v>0</v>
      </c>
      <c r="AH763" s="27">
        <v>0</v>
      </c>
      <c r="AI763" s="28">
        <v>0</v>
      </c>
      <c r="AK763" s="36">
        <v>730</v>
      </c>
      <c r="AL763" s="33">
        <v>25</v>
      </c>
      <c r="AM763" s="33">
        <v>3</v>
      </c>
      <c r="AN763" s="33">
        <v>3</v>
      </c>
      <c r="AO763" s="33">
        <v>1</v>
      </c>
      <c r="AP763" s="33">
        <v>1</v>
      </c>
      <c r="AQ763" s="33">
        <v>1</v>
      </c>
      <c r="AR763" s="33">
        <v>2</v>
      </c>
      <c r="AS763" s="33">
        <v>16</v>
      </c>
      <c r="AT763" s="33">
        <v>10</v>
      </c>
      <c r="AU763" s="43">
        <v>0.28071051294645666</v>
      </c>
      <c r="AV763" s="33">
        <v>0</v>
      </c>
      <c r="AW763" s="33">
        <v>0</v>
      </c>
      <c r="AY763" s="36">
        <v>735</v>
      </c>
      <c r="AZ763" s="33">
        <v>1</v>
      </c>
      <c r="BA763" s="33">
        <v>1</v>
      </c>
      <c r="BB763" s="33">
        <v>0</v>
      </c>
      <c r="BC763" s="33">
        <v>1</v>
      </c>
      <c r="BD763" s="43">
        <v>0.19678474515944386</v>
      </c>
      <c r="BE763" s="33">
        <v>0</v>
      </c>
      <c r="BF763" s="33">
        <v>0</v>
      </c>
      <c r="CE763" s="36">
        <v>729</v>
      </c>
      <c r="CF763" s="33">
        <v>17</v>
      </c>
      <c r="CG763" s="33">
        <v>3</v>
      </c>
      <c r="CH763" s="33">
        <v>3</v>
      </c>
      <c r="CI763" s="33">
        <v>2</v>
      </c>
      <c r="CJ763" s="33">
        <v>8</v>
      </c>
      <c r="CK763" s="33">
        <v>0</v>
      </c>
      <c r="CL763" s="33">
        <v>1</v>
      </c>
      <c r="CM763" s="33">
        <v>3</v>
      </c>
      <c r="CN763" s="33">
        <v>10</v>
      </c>
      <c r="CO763" s="33">
        <v>0</v>
      </c>
      <c r="CP763" s="43">
        <v>4.49695560839617E-2</v>
      </c>
      <c r="CQ763" s="33">
        <v>0</v>
      </c>
      <c r="CR763" s="33">
        <v>0</v>
      </c>
    </row>
    <row r="764" spans="1:96" ht="15" customHeight="1" x14ac:dyDescent="0.25">
      <c r="A764" s="26">
        <v>762</v>
      </c>
      <c r="B764" s="27">
        <v>26</v>
      </c>
      <c r="C764" s="27">
        <v>1</v>
      </c>
      <c r="D764" s="27">
        <v>2</v>
      </c>
      <c r="E764" s="27">
        <v>342</v>
      </c>
      <c r="F764" s="27">
        <v>2</v>
      </c>
      <c r="G764" s="27">
        <v>2</v>
      </c>
      <c r="H764" s="27">
        <v>3</v>
      </c>
      <c r="I764" s="27">
        <v>1</v>
      </c>
      <c r="J764" s="27">
        <v>1</v>
      </c>
      <c r="K764" s="27">
        <v>1053</v>
      </c>
      <c r="L764" s="27">
        <v>1</v>
      </c>
      <c r="M764" s="27">
        <v>1</v>
      </c>
      <c r="N764" s="27">
        <v>57</v>
      </c>
      <c r="O764" s="27">
        <v>3</v>
      </c>
      <c r="P764" s="27">
        <v>1</v>
      </c>
      <c r="Q764" s="27">
        <v>2</v>
      </c>
      <c r="R764" s="27">
        <v>1</v>
      </c>
      <c r="S764" s="27">
        <v>2</v>
      </c>
      <c r="T764" s="27">
        <v>2042</v>
      </c>
      <c r="U764" s="27">
        <v>15346</v>
      </c>
      <c r="V764" s="27">
        <v>6</v>
      </c>
      <c r="W764" s="27">
        <v>1</v>
      </c>
      <c r="X764" s="27">
        <v>14</v>
      </c>
      <c r="Y764" s="27">
        <v>3</v>
      </c>
      <c r="Z764" s="27">
        <v>2</v>
      </c>
      <c r="AA764" s="27">
        <v>80</v>
      </c>
      <c r="AB764" s="27">
        <v>1</v>
      </c>
      <c r="AC764" s="27">
        <v>6</v>
      </c>
      <c r="AD764" s="27">
        <v>2</v>
      </c>
      <c r="AE764" s="27">
        <v>3</v>
      </c>
      <c r="AF764" s="27">
        <v>3</v>
      </c>
      <c r="AG764" s="27">
        <v>2</v>
      </c>
      <c r="AH764" s="27">
        <v>1</v>
      </c>
      <c r="AI764" s="28">
        <v>2</v>
      </c>
      <c r="AK764" s="36">
        <v>731</v>
      </c>
      <c r="AL764" s="33">
        <v>8</v>
      </c>
      <c r="AM764" s="33">
        <v>3</v>
      </c>
      <c r="AN764" s="33">
        <v>1</v>
      </c>
      <c r="AO764" s="33">
        <v>0</v>
      </c>
      <c r="AP764" s="33">
        <v>1</v>
      </c>
      <c r="AQ764" s="33">
        <v>3</v>
      </c>
      <c r="AR764" s="33">
        <v>2</v>
      </c>
      <c r="AS764" s="33">
        <v>8</v>
      </c>
      <c r="AT764" s="33">
        <v>1</v>
      </c>
      <c r="AU764" s="43">
        <v>6.9769298302513411E-2</v>
      </c>
      <c r="AV764" s="33">
        <v>0</v>
      </c>
      <c r="AW764" s="33">
        <v>0</v>
      </c>
      <c r="AY764" s="36">
        <v>736</v>
      </c>
      <c r="AZ764" s="33">
        <v>2</v>
      </c>
      <c r="BA764" s="33">
        <v>3</v>
      </c>
      <c r="BB764" s="33">
        <v>0</v>
      </c>
      <c r="BC764" s="33">
        <v>0</v>
      </c>
      <c r="BD764" s="43">
        <v>0.11690772887050198</v>
      </c>
      <c r="BE764" s="33">
        <v>0</v>
      </c>
      <c r="BF764" s="33">
        <v>0</v>
      </c>
      <c r="CE764" s="36">
        <v>730</v>
      </c>
      <c r="CF764" s="33">
        <v>25</v>
      </c>
      <c r="CG764" s="33">
        <v>3</v>
      </c>
      <c r="CH764" s="33">
        <v>3</v>
      </c>
      <c r="CI764" s="33">
        <v>3</v>
      </c>
      <c r="CJ764" s="33">
        <v>1</v>
      </c>
      <c r="CK764" s="33">
        <v>1</v>
      </c>
      <c r="CL764" s="33">
        <v>1</v>
      </c>
      <c r="CM764" s="33">
        <v>2</v>
      </c>
      <c r="CN764" s="33">
        <v>16</v>
      </c>
      <c r="CO764" s="33">
        <v>10</v>
      </c>
      <c r="CP764" s="43">
        <v>0.19005286315268424</v>
      </c>
      <c r="CQ764" s="33">
        <v>0</v>
      </c>
      <c r="CR764" s="33">
        <v>0</v>
      </c>
    </row>
    <row r="765" spans="1:96" ht="15" customHeight="1" x14ac:dyDescent="0.25">
      <c r="A765" s="26">
        <v>763</v>
      </c>
      <c r="B765" s="27">
        <v>34</v>
      </c>
      <c r="C765" s="27">
        <v>0</v>
      </c>
      <c r="D765" s="27">
        <v>1</v>
      </c>
      <c r="E765" s="27">
        <v>1333</v>
      </c>
      <c r="F765" s="27">
        <v>1</v>
      </c>
      <c r="G765" s="27">
        <v>10</v>
      </c>
      <c r="H765" s="27">
        <v>4</v>
      </c>
      <c r="I765" s="27">
        <v>1</v>
      </c>
      <c r="J765" s="27">
        <v>1</v>
      </c>
      <c r="K765" s="27">
        <v>1055</v>
      </c>
      <c r="L765" s="27">
        <v>3</v>
      </c>
      <c r="M765" s="27">
        <v>0</v>
      </c>
      <c r="N765" s="27">
        <v>87</v>
      </c>
      <c r="O765" s="27">
        <v>3</v>
      </c>
      <c r="P765" s="27">
        <v>1</v>
      </c>
      <c r="Q765" s="27">
        <v>7</v>
      </c>
      <c r="R765" s="27">
        <v>3</v>
      </c>
      <c r="S765" s="27">
        <v>2</v>
      </c>
      <c r="T765" s="27">
        <v>2220</v>
      </c>
      <c r="U765" s="27">
        <v>18410</v>
      </c>
      <c r="V765" s="27">
        <v>1</v>
      </c>
      <c r="W765" s="27">
        <v>1</v>
      </c>
      <c r="X765" s="27">
        <v>19</v>
      </c>
      <c r="Y765" s="27">
        <v>3</v>
      </c>
      <c r="Z765" s="27">
        <v>4</v>
      </c>
      <c r="AA765" s="27">
        <v>80</v>
      </c>
      <c r="AB765" s="27">
        <v>1</v>
      </c>
      <c r="AC765" s="27">
        <v>1</v>
      </c>
      <c r="AD765" s="27">
        <v>2</v>
      </c>
      <c r="AE765" s="27">
        <v>3</v>
      </c>
      <c r="AF765" s="27">
        <v>1</v>
      </c>
      <c r="AG765" s="27">
        <v>1</v>
      </c>
      <c r="AH765" s="27">
        <v>0</v>
      </c>
      <c r="AI765" s="28">
        <v>0</v>
      </c>
      <c r="AK765" s="36">
        <v>732</v>
      </c>
      <c r="AL765" s="33">
        <v>11</v>
      </c>
      <c r="AM765" s="33">
        <v>1</v>
      </c>
      <c r="AN765" s="33">
        <v>1</v>
      </c>
      <c r="AO765" s="33">
        <v>1</v>
      </c>
      <c r="AP765" s="33">
        <v>1</v>
      </c>
      <c r="AQ765" s="33">
        <v>0</v>
      </c>
      <c r="AR765" s="33">
        <v>3</v>
      </c>
      <c r="AS765" s="33">
        <v>1</v>
      </c>
      <c r="AT765" s="33">
        <v>0</v>
      </c>
      <c r="AU765" s="43">
        <v>0.63599912762597677</v>
      </c>
      <c r="AV765" s="33">
        <v>1</v>
      </c>
      <c r="AW765" s="33">
        <v>1</v>
      </c>
      <c r="AY765" s="36">
        <v>737</v>
      </c>
      <c r="AZ765" s="33">
        <v>3</v>
      </c>
      <c r="BA765" s="33">
        <v>3</v>
      </c>
      <c r="BB765" s="33">
        <v>0</v>
      </c>
      <c r="BC765" s="33">
        <v>0</v>
      </c>
      <c r="BD765" s="43">
        <v>7.0406776741937793E-2</v>
      </c>
      <c r="BE765" s="33">
        <v>0</v>
      </c>
      <c r="BF765" s="33">
        <v>0</v>
      </c>
      <c r="CE765" s="36">
        <v>731</v>
      </c>
      <c r="CF765" s="33">
        <v>8</v>
      </c>
      <c r="CG765" s="33">
        <v>3</v>
      </c>
      <c r="CH765" s="33">
        <v>1</v>
      </c>
      <c r="CI765" s="33">
        <v>2</v>
      </c>
      <c r="CJ765" s="33">
        <v>0</v>
      </c>
      <c r="CK765" s="33">
        <v>1</v>
      </c>
      <c r="CL765" s="33">
        <v>3</v>
      </c>
      <c r="CM765" s="33">
        <v>2</v>
      </c>
      <c r="CN765" s="33">
        <v>8</v>
      </c>
      <c r="CO765" s="33">
        <v>1</v>
      </c>
      <c r="CP765" s="43">
        <v>0.13712741675645598</v>
      </c>
      <c r="CQ765" s="33">
        <v>0</v>
      </c>
      <c r="CR765" s="33">
        <v>0</v>
      </c>
    </row>
    <row r="766" spans="1:96" ht="15" customHeight="1" x14ac:dyDescent="0.25">
      <c r="A766" s="26">
        <v>764</v>
      </c>
      <c r="B766" s="27">
        <v>28</v>
      </c>
      <c r="C766" s="27">
        <v>0</v>
      </c>
      <c r="D766" s="27">
        <v>1</v>
      </c>
      <c r="E766" s="27">
        <v>1144</v>
      </c>
      <c r="F766" s="27">
        <v>1</v>
      </c>
      <c r="G766" s="27">
        <v>10</v>
      </c>
      <c r="H766" s="27">
        <v>1</v>
      </c>
      <c r="I766" s="27">
        <v>3</v>
      </c>
      <c r="J766" s="27">
        <v>1</v>
      </c>
      <c r="K766" s="27">
        <v>1056</v>
      </c>
      <c r="L766" s="27">
        <v>4</v>
      </c>
      <c r="M766" s="27">
        <v>1</v>
      </c>
      <c r="N766" s="27">
        <v>74</v>
      </c>
      <c r="O766" s="27">
        <v>3</v>
      </c>
      <c r="P766" s="27">
        <v>1</v>
      </c>
      <c r="Q766" s="27">
        <v>7</v>
      </c>
      <c r="R766" s="27">
        <v>2</v>
      </c>
      <c r="S766" s="27">
        <v>2</v>
      </c>
      <c r="T766" s="27">
        <v>1052</v>
      </c>
      <c r="U766" s="27">
        <v>23384</v>
      </c>
      <c r="V766" s="27">
        <v>1</v>
      </c>
      <c r="W766" s="27">
        <v>0</v>
      </c>
      <c r="X766" s="27">
        <v>22</v>
      </c>
      <c r="Y766" s="27">
        <v>4</v>
      </c>
      <c r="Z766" s="27">
        <v>2</v>
      </c>
      <c r="AA766" s="27">
        <v>80</v>
      </c>
      <c r="AB766" s="27">
        <v>0</v>
      </c>
      <c r="AC766" s="27">
        <v>1</v>
      </c>
      <c r="AD766" s="27">
        <v>5</v>
      </c>
      <c r="AE766" s="27">
        <v>3</v>
      </c>
      <c r="AF766" s="27">
        <v>1</v>
      </c>
      <c r="AG766" s="27">
        <v>0</v>
      </c>
      <c r="AH766" s="27">
        <v>0</v>
      </c>
      <c r="AI766" s="28">
        <v>0</v>
      </c>
      <c r="AK766" s="36">
        <v>733</v>
      </c>
      <c r="AL766" s="33">
        <v>5</v>
      </c>
      <c r="AM766" s="33">
        <v>1</v>
      </c>
      <c r="AN766" s="33">
        <v>2</v>
      </c>
      <c r="AO766" s="33">
        <v>0</v>
      </c>
      <c r="AP766" s="33">
        <v>0</v>
      </c>
      <c r="AQ766" s="33">
        <v>0</v>
      </c>
      <c r="AR766" s="33">
        <v>3</v>
      </c>
      <c r="AS766" s="33">
        <v>3</v>
      </c>
      <c r="AT766" s="33">
        <v>1</v>
      </c>
      <c r="AU766" s="43">
        <v>0.17858918060063544</v>
      </c>
      <c r="AV766" s="33">
        <v>0</v>
      </c>
      <c r="AW766" s="33">
        <v>1</v>
      </c>
      <c r="AY766" s="36">
        <v>738</v>
      </c>
      <c r="AZ766" s="33">
        <v>2</v>
      </c>
      <c r="BA766" s="33">
        <v>3</v>
      </c>
      <c r="BB766" s="33">
        <v>0</v>
      </c>
      <c r="BC766" s="33">
        <v>0</v>
      </c>
      <c r="BD766" s="43">
        <v>0.11690772887050198</v>
      </c>
      <c r="BE766" s="33">
        <v>0</v>
      </c>
      <c r="BF766" s="33">
        <v>0</v>
      </c>
      <c r="CE766" s="36">
        <v>732</v>
      </c>
      <c r="CF766" s="33">
        <v>11</v>
      </c>
      <c r="CG766" s="33">
        <v>1</v>
      </c>
      <c r="CH766" s="33">
        <v>1</v>
      </c>
      <c r="CI766" s="33">
        <v>1</v>
      </c>
      <c r="CJ766" s="33">
        <v>1</v>
      </c>
      <c r="CK766" s="33">
        <v>1</v>
      </c>
      <c r="CL766" s="33">
        <v>0</v>
      </c>
      <c r="CM766" s="33">
        <v>3</v>
      </c>
      <c r="CN766" s="33">
        <v>1</v>
      </c>
      <c r="CO766" s="33">
        <v>0</v>
      </c>
      <c r="CP766" s="43">
        <v>0.68857420264716984</v>
      </c>
      <c r="CQ766" s="33">
        <v>1</v>
      </c>
      <c r="CR766" s="33">
        <v>1</v>
      </c>
    </row>
    <row r="767" spans="1:96" ht="15" customHeight="1" x14ac:dyDescent="0.25">
      <c r="A767" s="26">
        <v>765</v>
      </c>
      <c r="B767" s="27">
        <v>38</v>
      </c>
      <c r="C767" s="27">
        <v>0</v>
      </c>
      <c r="D767" s="27">
        <v>2</v>
      </c>
      <c r="E767" s="27">
        <v>1186</v>
      </c>
      <c r="F767" s="27">
        <v>2</v>
      </c>
      <c r="G767" s="27">
        <v>3</v>
      </c>
      <c r="H767" s="27">
        <v>4</v>
      </c>
      <c r="I767" s="27">
        <v>6</v>
      </c>
      <c r="J767" s="27">
        <v>1</v>
      </c>
      <c r="K767" s="27">
        <v>1060</v>
      </c>
      <c r="L767" s="27">
        <v>3</v>
      </c>
      <c r="M767" s="27">
        <v>1</v>
      </c>
      <c r="N767" s="27">
        <v>44</v>
      </c>
      <c r="O767" s="27">
        <v>3</v>
      </c>
      <c r="P767" s="27">
        <v>1</v>
      </c>
      <c r="Q767" s="27">
        <v>2</v>
      </c>
      <c r="R767" s="27">
        <v>3</v>
      </c>
      <c r="S767" s="27">
        <v>2</v>
      </c>
      <c r="T767" s="27">
        <v>2821</v>
      </c>
      <c r="U767" s="27">
        <v>2997</v>
      </c>
      <c r="V767" s="27">
        <v>3</v>
      </c>
      <c r="W767" s="27">
        <v>0</v>
      </c>
      <c r="X767" s="27">
        <v>16</v>
      </c>
      <c r="Y767" s="27">
        <v>3</v>
      </c>
      <c r="Z767" s="27">
        <v>1</v>
      </c>
      <c r="AA767" s="27">
        <v>80</v>
      </c>
      <c r="AB767" s="27">
        <v>1</v>
      </c>
      <c r="AC767" s="27">
        <v>8</v>
      </c>
      <c r="AD767" s="27">
        <v>2</v>
      </c>
      <c r="AE767" s="27">
        <v>3</v>
      </c>
      <c r="AF767" s="27">
        <v>2</v>
      </c>
      <c r="AG767" s="27">
        <v>2</v>
      </c>
      <c r="AH767" s="27">
        <v>2</v>
      </c>
      <c r="AI767" s="28">
        <v>2</v>
      </c>
      <c r="AK767" s="36">
        <v>734</v>
      </c>
      <c r="AL767" s="33">
        <v>2</v>
      </c>
      <c r="AM767" s="33">
        <v>2</v>
      </c>
      <c r="AN767" s="33">
        <v>4</v>
      </c>
      <c r="AO767" s="33">
        <v>1</v>
      </c>
      <c r="AP767" s="33">
        <v>0</v>
      </c>
      <c r="AQ767" s="33">
        <v>0</v>
      </c>
      <c r="AR767" s="33">
        <v>3</v>
      </c>
      <c r="AS767" s="33">
        <v>8</v>
      </c>
      <c r="AT767" s="33">
        <v>1</v>
      </c>
      <c r="AU767" s="43">
        <v>4.569395347296204E-2</v>
      </c>
      <c r="AV767" s="33">
        <v>0</v>
      </c>
      <c r="AW767" s="33">
        <v>0</v>
      </c>
      <c r="AY767" s="36">
        <v>739</v>
      </c>
      <c r="AZ767" s="33">
        <v>4</v>
      </c>
      <c r="BA767" s="33">
        <v>4</v>
      </c>
      <c r="BB767" s="33">
        <v>0</v>
      </c>
      <c r="BC767" s="33">
        <v>1</v>
      </c>
      <c r="BD767" s="43">
        <v>1.872698143618769E-2</v>
      </c>
      <c r="BE767" s="33">
        <v>0</v>
      </c>
      <c r="BF767" s="33">
        <v>0</v>
      </c>
      <c r="CE767" s="36">
        <v>733</v>
      </c>
      <c r="CF767" s="33">
        <v>5</v>
      </c>
      <c r="CG767" s="33">
        <v>1</v>
      </c>
      <c r="CH767" s="33">
        <v>2</v>
      </c>
      <c r="CI767" s="33">
        <v>1</v>
      </c>
      <c r="CJ767" s="33">
        <v>0</v>
      </c>
      <c r="CK767" s="33">
        <v>0</v>
      </c>
      <c r="CL767" s="33">
        <v>0</v>
      </c>
      <c r="CM767" s="33">
        <v>3</v>
      </c>
      <c r="CN767" s="33">
        <v>3</v>
      </c>
      <c r="CO767" s="33">
        <v>1</v>
      </c>
      <c r="CP767" s="43">
        <v>0.20639599502359429</v>
      </c>
      <c r="CQ767" s="33">
        <v>0</v>
      </c>
      <c r="CR767" s="33">
        <v>1</v>
      </c>
    </row>
    <row r="768" spans="1:96" ht="15" customHeight="1" x14ac:dyDescent="0.25">
      <c r="A768" s="26">
        <v>766</v>
      </c>
      <c r="B768" s="27">
        <v>50</v>
      </c>
      <c r="C768" s="27">
        <v>0</v>
      </c>
      <c r="D768" s="27">
        <v>1</v>
      </c>
      <c r="E768" s="27">
        <v>1464</v>
      </c>
      <c r="F768" s="27">
        <v>2</v>
      </c>
      <c r="G768" s="27">
        <v>2</v>
      </c>
      <c r="H768" s="27">
        <v>4</v>
      </c>
      <c r="I768" s="27">
        <v>3</v>
      </c>
      <c r="J768" s="27">
        <v>1</v>
      </c>
      <c r="K768" s="27">
        <v>1061</v>
      </c>
      <c r="L768" s="27">
        <v>2</v>
      </c>
      <c r="M768" s="27">
        <v>1</v>
      </c>
      <c r="N768" s="27">
        <v>62</v>
      </c>
      <c r="O768" s="27">
        <v>3</v>
      </c>
      <c r="P768" s="27">
        <v>5</v>
      </c>
      <c r="Q768" s="27">
        <v>8</v>
      </c>
      <c r="R768" s="27">
        <v>3</v>
      </c>
      <c r="S768" s="27">
        <v>2</v>
      </c>
      <c r="T768" s="27">
        <v>19237</v>
      </c>
      <c r="U768" s="27">
        <v>12853</v>
      </c>
      <c r="V768" s="27">
        <v>2</v>
      </c>
      <c r="W768" s="27">
        <v>1</v>
      </c>
      <c r="X768" s="27">
        <v>11</v>
      </c>
      <c r="Y768" s="27">
        <v>3</v>
      </c>
      <c r="Z768" s="27">
        <v>4</v>
      </c>
      <c r="AA768" s="27">
        <v>80</v>
      </c>
      <c r="AB768" s="27">
        <v>1</v>
      </c>
      <c r="AC768" s="27">
        <v>29</v>
      </c>
      <c r="AD768" s="27">
        <v>2</v>
      </c>
      <c r="AE768" s="27">
        <v>2</v>
      </c>
      <c r="AF768" s="27">
        <v>8</v>
      </c>
      <c r="AG768" s="27">
        <v>1</v>
      </c>
      <c r="AH768" s="27">
        <v>7</v>
      </c>
      <c r="AI768" s="28">
        <v>7</v>
      </c>
      <c r="AK768" s="36">
        <v>735</v>
      </c>
      <c r="AL768" s="33">
        <v>8</v>
      </c>
      <c r="AM768" s="33">
        <v>1</v>
      </c>
      <c r="AN768" s="33">
        <v>1</v>
      </c>
      <c r="AO768" s="33">
        <v>1</v>
      </c>
      <c r="AP768" s="33">
        <v>0</v>
      </c>
      <c r="AQ768" s="33">
        <v>1</v>
      </c>
      <c r="AR768" s="33">
        <v>2</v>
      </c>
      <c r="AS768" s="33">
        <v>4</v>
      </c>
      <c r="AT768" s="33">
        <v>1</v>
      </c>
      <c r="AU768" s="43">
        <v>0.18912506677366714</v>
      </c>
      <c r="AV768" s="33">
        <v>0</v>
      </c>
      <c r="AW768" s="33">
        <v>0</v>
      </c>
      <c r="AY768" s="36">
        <v>740</v>
      </c>
      <c r="AZ768" s="33">
        <v>2</v>
      </c>
      <c r="BA768" s="33">
        <v>4</v>
      </c>
      <c r="BB768" s="33">
        <v>0</v>
      </c>
      <c r="BC768" s="33">
        <v>1</v>
      </c>
      <c r="BD768" s="43">
        <v>5.5093218126976727E-2</v>
      </c>
      <c r="BE768" s="33">
        <v>0</v>
      </c>
      <c r="BF768" s="33">
        <v>0</v>
      </c>
      <c r="CE768" s="36">
        <v>734</v>
      </c>
      <c r="CF768" s="33">
        <v>2</v>
      </c>
      <c r="CG768" s="33">
        <v>2</v>
      </c>
      <c r="CH768" s="33">
        <v>4</v>
      </c>
      <c r="CI768" s="33">
        <v>2</v>
      </c>
      <c r="CJ768" s="33">
        <v>1</v>
      </c>
      <c r="CK768" s="33">
        <v>0</v>
      </c>
      <c r="CL768" s="33">
        <v>0</v>
      </c>
      <c r="CM768" s="33">
        <v>3</v>
      </c>
      <c r="CN768" s="33">
        <v>8</v>
      </c>
      <c r="CO768" s="33">
        <v>1</v>
      </c>
      <c r="CP768" s="43">
        <v>3.1084130890836479E-2</v>
      </c>
      <c r="CQ768" s="33">
        <v>0</v>
      </c>
      <c r="CR768" s="33">
        <v>0</v>
      </c>
    </row>
    <row r="769" spans="1:96" ht="15" customHeight="1" x14ac:dyDescent="0.25">
      <c r="A769" s="26">
        <v>767</v>
      </c>
      <c r="B769" s="27">
        <v>37</v>
      </c>
      <c r="C769" s="27">
        <v>0</v>
      </c>
      <c r="D769" s="27">
        <v>1</v>
      </c>
      <c r="E769" s="27">
        <v>124</v>
      </c>
      <c r="F769" s="27">
        <v>2</v>
      </c>
      <c r="G769" s="27">
        <v>3</v>
      </c>
      <c r="H769" s="27">
        <v>3</v>
      </c>
      <c r="I769" s="27">
        <v>6</v>
      </c>
      <c r="J769" s="27">
        <v>1</v>
      </c>
      <c r="K769" s="27">
        <v>1062</v>
      </c>
      <c r="L769" s="27">
        <v>4</v>
      </c>
      <c r="M769" s="27">
        <v>0</v>
      </c>
      <c r="N769" s="27">
        <v>35</v>
      </c>
      <c r="O769" s="27">
        <v>3</v>
      </c>
      <c r="P769" s="27">
        <v>2</v>
      </c>
      <c r="Q769" s="27">
        <v>5</v>
      </c>
      <c r="R769" s="27">
        <v>2</v>
      </c>
      <c r="S769" s="27">
        <v>1</v>
      </c>
      <c r="T769" s="27">
        <v>4107</v>
      </c>
      <c r="U769" s="27">
        <v>13848</v>
      </c>
      <c r="V769" s="27">
        <v>3</v>
      </c>
      <c r="W769" s="27">
        <v>0</v>
      </c>
      <c r="X769" s="27">
        <v>15</v>
      </c>
      <c r="Y769" s="27">
        <v>3</v>
      </c>
      <c r="Z769" s="27">
        <v>1</v>
      </c>
      <c r="AA769" s="27">
        <v>80</v>
      </c>
      <c r="AB769" s="27">
        <v>0</v>
      </c>
      <c r="AC769" s="27">
        <v>8</v>
      </c>
      <c r="AD769" s="27">
        <v>3</v>
      </c>
      <c r="AE769" s="27">
        <v>2</v>
      </c>
      <c r="AF769" s="27">
        <v>4</v>
      </c>
      <c r="AG769" s="27">
        <v>3</v>
      </c>
      <c r="AH769" s="27">
        <v>0</v>
      </c>
      <c r="AI769" s="28">
        <v>1</v>
      </c>
      <c r="AK769" s="36">
        <v>736</v>
      </c>
      <c r="AL769" s="33">
        <v>6</v>
      </c>
      <c r="AM769" s="33">
        <v>2</v>
      </c>
      <c r="AN769" s="33">
        <v>3</v>
      </c>
      <c r="AO769" s="33">
        <v>2</v>
      </c>
      <c r="AP769" s="33">
        <v>0</v>
      </c>
      <c r="AQ769" s="33">
        <v>0</v>
      </c>
      <c r="AR769" s="33">
        <v>3</v>
      </c>
      <c r="AS769" s="33">
        <v>2</v>
      </c>
      <c r="AT769" s="33">
        <v>2</v>
      </c>
      <c r="AU769" s="43">
        <v>0.12105488413148903</v>
      </c>
      <c r="AV769" s="33">
        <v>0</v>
      </c>
      <c r="AW769" s="33">
        <v>0</v>
      </c>
      <c r="AY769" s="36">
        <v>741</v>
      </c>
      <c r="AZ769" s="33">
        <v>1</v>
      </c>
      <c r="BA769" s="33">
        <v>4</v>
      </c>
      <c r="BB769" s="33">
        <v>0</v>
      </c>
      <c r="BC769" s="33">
        <v>1</v>
      </c>
      <c r="BD769" s="43">
        <v>9.2486413274924434E-2</v>
      </c>
      <c r="BE769" s="33">
        <v>0</v>
      </c>
      <c r="BF769" s="33">
        <v>0</v>
      </c>
      <c r="CE769" s="36">
        <v>735</v>
      </c>
      <c r="CF769" s="33">
        <v>8</v>
      </c>
      <c r="CG769" s="33">
        <v>1</v>
      </c>
      <c r="CH769" s="33">
        <v>1</v>
      </c>
      <c r="CI769" s="33">
        <v>2</v>
      </c>
      <c r="CJ769" s="33">
        <v>1</v>
      </c>
      <c r="CK769" s="33">
        <v>0</v>
      </c>
      <c r="CL769" s="33">
        <v>1</v>
      </c>
      <c r="CM769" s="33">
        <v>2</v>
      </c>
      <c r="CN769" s="33">
        <v>4</v>
      </c>
      <c r="CO769" s="33">
        <v>1</v>
      </c>
      <c r="CP769" s="43">
        <v>0.18967250706749991</v>
      </c>
      <c r="CQ769" s="33">
        <v>0</v>
      </c>
      <c r="CR769" s="33">
        <v>0</v>
      </c>
    </row>
    <row r="770" spans="1:96" ht="15" customHeight="1" x14ac:dyDescent="0.25">
      <c r="A770" s="26">
        <v>768</v>
      </c>
      <c r="B770" s="27">
        <v>40</v>
      </c>
      <c r="C770" s="27">
        <v>0</v>
      </c>
      <c r="D770" s="27">
        <v>1</v>
      </c>
      <c r="E770" s="27">
        <v>300</v>
      </c>
      <c r="F770" s="27">
        <v>1</v>
      </c>
      <c r="G770" s="27">
        <v>26</v>
      </c>
      <c r="H770" s="27">
        <v>3</v>
      </c>
      <c r="I770" s="27">
        <v>4</v>
      </c>
      <c r="J770" s="27">
        <v>1</v>
      </c>
      <c r="K770" s="27">
        <v>1066</v>
      </c>
      <c r="L770" s="27">
        <v>3</v>
      </c>
      <c r="M770" s="27">
        <v>1</v>
      </c>
      <c r="N770" s="27">
        <v>74</v>
      </c>
      <c r="O770" s="27">
        <v>3</v>
      </c>
      <c r="P770" s="27">
        <v>2</v>
      </c>
      <c r="Q770" s="27">
        <v>1</v>
      </c>
      <c r="R770" s="27">
        <v>1</v>
      </c>
      <c r="S770" s="27">
        <v>2</v>
      </c>
      <c r="T770" s="27">
        <v>8396</v>
      </c>
      <c r="U770" s="27">
        <v>22217</v>
      </c>
      <c r="V770" s="27">
        <v>1</v>
      </c>
      <c r="W770" s="27">
        <v>0</v>
      </c>
      <c r="X770" s="27">
        <v>14</v>
      </c>
      <c r="Y770" s="27">
        <v>3</v>
      </c>
      <c r="Z770" s="27">
        <v>2</v>
      </c>
      <c r="AA770" s="27">
        <v>80</v>
      </c>
      <c r="AB770" s="27">
        <v>1</v>
      </c>
      <c r="AC770" s="27">
        <v>8</v>
      </c>
      <c r="AD770" s="27">
        <v>3</v>
      </c>
      <c r="AE770" s="27">
        <v>2</v>
      </c>
      <c r="AF770" s="27">
        <v>7</v>
      </c>
      <c r="AG770" s="27">
        <v>7</v>
      </c>
      <c r="AH770" s="27">
        <v>7</v>
      </c>
      <c r="AI770" s="28">
        <v>5</v>
      </c>
      <c r="AK770" s="36">
        <v>737</v>
      </c>
      <c r="AL770" s="33">
        <v>4</v>
      </c>
      <c r="AM770" s="33">
        <v>3</v>
      </c>
      <c r="AN770" s="33">
        <v>3</v>
      </c>
      <c r="AO770" s="33">
        <v>7</v>
      </c>
      <c r="AP770" s="33">
        <v>0</v>
      </c>
      <c r="AQ770" s="33">
        <v>0</v>
      </c>
      <c r="AR770" s="33">
        <v>3</v>
      </c>
      <c r="AS770" s="33">
        <v>15</v>
      </c>
      <c r="AT770" s="33">
        <v>4</v>
      </c>
      <c r="AU770" s="43">
        <v>5.2546955029317305E-2</v>
      </c>
      <c r="AV770" s="33">
        <v>0</v>
      </c>
      <c r="AW770" s="33">
        <v>0</v>
      </c>
      <c r="AY770" s="36">
        <v>742</v>
      </c>
      <c r="AZ770" s="33">
        <v>5</v>
      </c>
      <c r="BA770" s="33">
        <v>3</v>
      </c>
      <c r="BB770" s="33">
        <v>0</v>
      </c>
      <c r="BC770" s="33">
        <v>0</v>
      </c>
      <c r="BD770" s="43">
        <v>2.4191068412310078E-2</v>
      </c>
      <c r="BE770" s="33">
        <v>0</v>
      </c>
      <c r="BF770" s="33">
        <v>0</v>
      </c>
      <c r="CE770" s="36">
        <v>736</v>
      </c>
      <c r="CF770" s="33">
        <v>6</v>
      </c>
      <c r="CG770" s="33">
        <v>2</v>
      </c>
      <c r="CH770" s="33">
        <v>3</v>
      </c>
      <c r="CI770" s="33">
        <v>1</v>
      </c>
      <c r="CJ770" s="33">
        <v>2</v>
      </c>
      <c r="CK770" s="33">
        <v>0</v>
      </c>
      <c r="CL770" s="33">
        <v>0</v>
      </c>
      <c r="CM770" s="33">
        <v>3</v>
      </c>
      <c r="CN770" s="33">
        <v>2</v>
      </c>
      <c r="CO770" s="33">
        <v>2</v>
      </c>
      <c r="CP770" s="43">
        <v>0.14136134377343554</v>
      </c>
      <c r="CQ770" s="33">
        <v>0</v>
      </c>
      <c r="CR770" s="33">
        <v>0</v>
      </c>
    </row>
    <row r="771" spans="1:96" ht="15" customHeight="1" x14ac:dyDescent="0.25">
      <c r="A771" s="26">
        <v>769</v>
      </c>
      <c r="B771" s="27">
        <v>26</v>
      </c>
      <c r="C771" s="27">
        <v>0</v>
      </c>
      <c r="D771" s="27">
        <v>2</v>
      </c>
      <c r="E771" s="27">
        <v>921</v>
      </c>
      <c r="F771" s="27">
        <v>2</v>
      </c>
      <c r="G771" s="27">
        <v>1</v>
      </c>
      <c r="H771" s="27">
        <v>1</v>
      </c>
      <c r="I771" s="27">
        <v>3</v>
      </c>
      <c r="J771" s="27">
        <v>1</v>
      </c>
      <c r="K771" s="27">
        <v>1068</v>
      </c>
      <c r="L771" s="27">
        <v>1</v>
      </c>
      <c r="M771" s="27">
        <v>0</v>
      </c>
      <c r="N771" s="27">
        <v>66</v>
      </c>
      <c r="O771" s="27">
        <v>2</v>
      </c>
      <c r="P771" s="27">
        <v>1</v>
      </c>
      <c r="Q771" s="27">
        <v>2</v>
      </c>
      <c r="R771" s="27">
        <v>3</v>
      </c>
      <c r="S771" s="27">
        <v>3</v>
      </c>
      <c r="T771" s="27">
        <v>2007</v>
      </c>
      <c r="U771" s="27">
        <v>25265</v>
      </c>
      <c r="V771" s="27">
        <v>1</v>
      </c>
      <c r="W771" s="27">
        <v>0</v>
      </c>
      <c r="X771" s="27">
        <v>13</v>
      </c>
      <c r="Y771" s="27">
        <v>3</v>
      </c>
      <c r="Z771" s="27">
        <v>3</v>
      </c>
      <c r="AA771" s="27">
        <v>80</v>
      </c>
      <c r="AB771" s="27">
        <v>2</v>
      </c>
      <c r="AC771" s="27">
        <v>5</v>
      </c>
      <c r="AD771" s="27">
        <v>5</v>
      </c>
      <c r="AE771" s="27">
        <v>3</v>
      </c>
      <c r="AF771" s="27">
        <v>5</v>
      </c>
      <c r="AG771" s="27">
        <v>3</v>
      </c>
      <c r="AH771" s="27">
        <v>1</v>
      </c>
      <c r="AI771" s="28">
        <v>3</v>
      </c>
      <c r="AK771" s="36">
        <v>738</v>
      </c>
      <c r="AL771" s="33">
        <v>7</v>
      </c>
      <c r="AM771" s="33">
        <v>2</v>
      </c>
      <c r="AN771" s="33">
        <v>3</v>
      </c>
      <c r="AO771" s="33">
        <v>6</v>
      </c>
      <c r="AP771" s="33">
        <v>0</v>
      </c>
      <c r="AQ771" s="33">
        <v>0</v>
      </c>
      <c r="AR771" s="33">
        <v>3</v>
      </c>
      <c r="AS771" s="33">
        <v>2</v>
      </c>
      <c r="AT771" s="33">
        <v>2</v>
      </c>
      <c r="AU771" s="43">
        <v>0.16618705096974046</v>
      </c>
      <c r="AV771" s="33">
        <v>0</v>
      </c>
      <c r="AW771" s="33">
        <v>0</v>
      </c>
      <c r="AY771" s="36">
        <v>743</v>
      </c>
      <c r="AZ771" s="33">
        <v>1</v>
      </c>
      <c r="BA771" s="33">
        <v>4</v>
      </c>
      <c r="BB771" s="33">
        <v>0</v>
      </c>
      <c r="BC771" s="33">
        <v>0</v>
      </c>
      <c r="BD771" s="43">
        <v>0.1472907617042678</v>
      </c>
      <c r="BE771" s="33">
        <v>0</v>
      </c>
      <c r="BF771" s="33">
        <v>0</v>
      </c>
      <c r="CE771" s="36">
        <v>737</v>
      </c>
      <c r="CF771" s="33">
        <v>4</v>
      </c>
      <c r="CG771" s="33">
        <v>3</v>
      </c>
      <c r="CH771" s="33">
        <v>3</v>
      </c>
      <c r="CI771" s="33">
        <v>1</v>
      </c>
      <c r="CJ771" s="33">
        <v>7</v>
      </c>
      <c r="CK771" s="33">
        <v>0</v>
      </c>
      <c r="CL771" s="33">
        <v>0</v>
      </c>
      <c r="CM771" s="33">
        <v>3</v>
      </c>
      <c r="CN771" s="33">
        <v>15</v>
      </c>
      <c r="CO771" s="33">
        <v>4</v>
      </c>
      <c r="CP771" s="43">
        <v>6.3282315545368464E-2</v>
      </c>
      <c r="CQ771" s="33">
        <v>0</v>
      </c>
      <c r="CR771" s="33">
        <v>0</v>
      </c>
    </row>
    <row r="772" spans="1:96" ht="15" customHeight="1" x14ac:dyDescent="0.25">
      <c r="A772" s="26">
        <v>770</v>
      </c>
      <c r="B772" s="27">
        <v>46</v>
      </c>
      <c r="C772" s="27">
        <v>0</v>
      </c>
      <c r="D772" s="27">
        <v>1</v>
      </c>
      <c r="E772" s="27">
        <v>430</v>
      </c>
      <c r="F772" s="27">
        <v>2</v>
      </c>
      <c r="G772" s="27">
        <v>1</v>
      </c>
      <c r="H772" s="27">
        <v>4</v>
      </c>
      <c r="I772" s="27">
        <v>3</v>
      </c>
      <c r="J772" s="27">
        <v>1</v>
      </c>
      <c r="K772" s="27">
        <v>1069</v>
      </c>
      <c r="L772" s="27">
        <v>4</v>
      </c>
      <c r="M772" s="27">
        <v>1</v>
      </c>
      <c r="N772" s="27">
        <v>40</v>
      </c>
      <c r="O772" s="27">
        <v>3</v>
      </c>
      <c r="P772" s="27">
        <v>5</v>
      </c>
      <c r="Q772" s="27">
        <v>8</v>
      </c>
      <c r="R772" s="27">
        <v>4</v>
      </c>
      <c r="S772" s="27">
        <v>3</v>
      </c>
      <c r="T772" s="27">
        <v>19627</v>
      </c>
      <c r="U772" s="27">
        <v>21445</v>
      </c>
      <c r="V772" s="27">
        <v>9</v>
      </c>
      <c r="W772" s="27">
        <v>0</v>
      </c>
      <c r="X772" s="27">
        <v>17</v>
      </c>
      <c r="Y772" s="27">
        <v>3</v>
      </c>
      <c r="Z772" s="27">
        <v>4</v>
      </c>
      <c r="AA772" s="27">
        <v>80</v>
      </c>
      <c r="AB772" s="27">
        <v>2</v>
      </c>
      <c r="AC772" s="27">
        <v>23</v>
      </c>
      <c r="AD772" s="27">
        <v>0</v>
      </c>
      <c r="AE772" s="27">
        <v>3</v>
      </c>
      <c r="AF772" s="27">
        <v>2</v>
      </c>
      <c r="AG772" s="27">
        <v>2</v>
      </c>
      <c r="AH772" s="27">
        <v>2</v>
      </c>
      <c r="AI772" s="28">
        <v>2</v>
      </c>
      <c r="AK772" s="36">
        <v>739</v>
      </c>
      <c r="AL772" s="33">
        <v>1</v>
      </c>
      <c r="AM772" s="33">
        <v>4</v>
      </c>
      <c r="AN772" s="33">
        <v>4</v>
      </c>
      <c r="AO772" s="33">
        <v>1</v>
      </c>
      <c r="AP772" s="33">
        <v>0</v>
      </c>
      <c r="AQ772" s="33">
        <v>1</v>
      </c>
      <c r="AR772" s="33">
        <v>3</v>
      </c>
      <c r="AS772" s="33">
        <v>21</v>
      </c>
      <c r="AT772" s="33">
        <v>11</v>
      </c>
      <c r="AU772" s="43">
        <v>1.048970302909182E-2</v>
      </c>
      <c r="AV772" s="33">
        <v>0</v>
      </c>
      <c r="AW772" s="33">
        <v>0</v>
      </c>
      <c r="AY772" s="36">
        <v>744</v>
      </c>
      <c r="AZ772" s="33">
        <v>4</v>
      </c>
      <c r="BA772" s="33">
        <v>4</v>
      </c>
      <c r="BB772" s="33">
        <v>1</v>
      </c>
      <c r="BC772" s="33">
        <v>0</v>
      </c>
      <c r="BD772" s="43">
        <v>0.12147634917774761</v>
      </c>
      <c r="BE772" s="33">
        <v>0</v>
      </c>
      <c r="BF772" s="33">
        <v>0</v>
      </c>
      <c r="CE772" s="36">
        <v>738</v>
      </c>
      <c r="CF772" s="33">
        <v>7</v>
      </c>
      <c r="CG772" s="33">
        <v>2</v>
      </c>
      <c r="CH772" s="33">
        <v>3</v>
      </c>
      <c r="CI772" s="33">
        <v>1</v>
      </c>
      <c r="CJ772" s="33">
        <v>6</v>
      </c>
      <c r="CK772" s="33">
        <v>0</v>
      </c>
      <c r="CL772" s="33">
        <v>0</v>
      </c>
      <c r="CM772" s="33">
        <v>3</v>
      </c>
      <c r="CN772" s="33">
        <v>2</v>
      </c>
      <c r="CO772" s="33">
        <v>2</v>
      </c>
      <c r="CP772" s="43">
        <v>0.19330496864055333</v>
      </c>
      <c r="CQ772" s="33">
        <v>0</v>
      </c>
      <c r="CR772" s="33">
        <v>0</v>
      </c>
    </row>
    <row r="773" spans="1:96" ht="15" customHeight="1" x14ac:dyDescent="0.25">
      <c r="A773" s="26">
        <v>771</v>
      </c>
      <c r="B773" s="27">
        <v>54</v>
      </c>
      <c r="C773" s="27">
        <v>0</v>
      </c>
      <c r="D773" s="27">
        <v>1</v>
      </c>
      <c r="E773" s="27">
        <v>1082</v>
      </c>
      <c r="F773" s="27">
        <v>1</v>
      </c>
      <c r="G773" s="27">
        <v>2</v>
      </c>
      <c r="H773" s="27">
        <v>4</v>
      </c>
      <c r="I773" s="27">
        <v>1</v>
      </c>
      <c r="J773" s="27">
        <v>1</v>
      </c>
      <c r="K773" s="27">
        <v>1070</v>
      </c>
      <c r="L773" s="27">
        <v>3</v>
      </c>
      <c r="M773" s="27">
        <v>0</v>
      </c>
      <c r="N773" s="27">
        <v>41</v>
      </c>
      <c r="O773" s="27">
        <v>2</v>
      </c>
      <c r="P773" s="27">
        <v>3</v>
      </c>
      <c r="Q773" s="27">
        <v>1</v>
      </c>
      <c r="R773" s="27">
        <v>3</v>
      </c>
      <c r="S773" s="27">
        <v>2</v>
      </c>
      <c r="T773" s="27">
        <v>10686</v>
      </c>
      <c r="U773" s="27">
        <v>8392</v>
      </c>
      <c r="V773" s="27">
        <v>6</v>
      </c>
      <c r="W773" s="27">
        <v>0</v>
      </c>
      <c r="X773" s="27">
        <v>11</v>
      </c>
      <c r="Y773" s="27">
        <v>3</v>
      </c>
      <c r="Z773" s="27">
        <v>2</v>
      </c>
      <c r="AA773" s="27">
        <v>80</v>
      </c>
      <c r="AB773" s="27">
        <v>1</v>
      </c>
      <c r="AC773" s="27">
        <v>13</v>
      </c>
      <c r="AD773" s="27">
        <v>4</v>
      </c>
      <c r="AE773" s="27">
        <v>3</v>
      </c>
      <c r="AF773" s="27">
        <v>9</v>
      </c>
      <c r="AG773" s="27">
        <v>4</v>
      </c>
      <c r="AH773" s="27">
        <v>7</v>
      </c>
      <c r="AI773" s="28">
        <v>0</v>
      </c>
      <c r="AK773" s="36">
        <v>740</v>
      </c>
      <c r="AL773" s="33">
        <v>2</v>
      </c>
      <c r="AM773" s="33">
        <v>2</v>
      </c>
      <c r="AN773" s="33">
        <v>4</v>
      </c>
      <c r="AO773" s="33">
        <v>0</v>
      </c>
      <c r="AP773" s="33">
        <v>0</v>
      </c>
      <c r="AQ773" s="33">
        <v>1</v>
      </c>
      <c r="AR773" s="33">
        <v>3</v>
      </c>
      <c r="AS773" s="33">
        <v>3</v>
      </c>
      <c r="AT773" s="33">
        <v>2</v>
      </c>
      <c r="AU773" s="43">
        <v>3.8558710543183626E-2</v>
      </c>
      <c r="AV773" s="33">
        <v>0</v>
      </c>
      <c r="AW773" s="33">
        <v>0</v>
      </c>
      <c r="AY773" s="36">
        <v>745</v>
      </c>
      <c r="AZ773" s="33">
        <v>2</v>
      </c>
      <c r="BA773" s="33">
        <v>2</v>
      </c>
      <c r="BB773" s="33">
        <v>0</v>
      </c>
      <c r="BC773" s="33">
        <v>0</v>
      </c>
      <c r="BD773" s="43">
        <v>0.15063023792355215</v>
      </c>
      <c r="BE773" s="33">
        <v>0</v>
      </c>
      <c r="BF773" s="33">
        <v>1</v>
      </c>
      <c r="CE773" s="36">
        <v>739</v>
      </c>
      <c r="CF773" s="33">
        <v>1</v>
      </c>
      <c r="CG773" s="33">
        <v>4</v>
      </c>
      <c r="CH773" s="33">
        <v>4</v>
      </c>
      <c r="CI773" s="33">
        <v>2</v>
      </c>
      <c r="CJ773" s="33">
        <v>1</v>
      </c>
      <c r="CK773" s="33">
        <v>0</v>
      </c>
      <c r="CL773" s="33">
        <v>1</v>
      </c>
      <c r="CM773" s="33">
        <v>3</v>
      </c>
      <c r="CN773" s="33">
        <v>21</v>
      </c>
      <c r="CO773" s="33">
        <v>11</v>
      </c>
      <c r="CP773" s="43">
        <v>1.0385300040158262E-2</v>
      </c>
      <c r="CQ773" s="33">
        <v>0</v>
      </c>
      <c r="CR773" s="33">
        <v>0</v>
      </c>
    </row>
    <row r="774" spans="1:96" ht="15" customHeight="1" x14ac:dyDescent="0.25">
      <c r="A774" s="26">
        <v>772</v>
      </c>
      <c r="B774" s="27">
        <v>56</v>
      </c>
      <c r="C774" s="27">
        <v>0</v>
      </c>
      <c r="D774" s="27">
        <v>2</v>
      </c>
      <c r="E774" s="27">
        <v>1240</v>
      </c>
      <c r="F774" s="27">
        <v>2</v>
      </c>
      <c r="G774" s="27">
        <v>9</v>
      </c>
      <c r="H774" s="27">
        <v>3</v>
      </c>
      <c r="I774" s="27">
        <v>3</v>
      </c>
      <c r="J774" s="27">
        <v>1</v>
      </c>
      <c r="K774" s="27">
        <v>1071</v>
      </c>
      <c r="L774" s="27">
        <v>1</v>
      </c>
      <c r="M774" s="27">
        <v>0</v>
      </c>
      <c r="N774" s="27">
        <v>63</v>
      </c>
      <c r="O774" s="27">
        <v>3</v>
      </c>
      <c r="P774" s="27">
        <v>1</v>
      </c>
      <c r="Q774" s="27">
        <v>2</v>
      </c>
      <c r="R774" s="27">
        <v>3</v>
      </c>
      <c r="S774" s="27">
        <v>2</v>
      </c>
      <c r="T774" s="27">
        <v>2942</v>
      </c>
      <c r="U774" s="27">
        <v>12154</v>
      </c>
      <c r="V774" s="27">
        <v>2</v>
      </c>
      <c r="W774" s="27">
        <v>0</v>
      </c>
      <c r="X774" s="27">
        <v>19</v>
      </c>
      <c r="Y774" s="27">
        <v>3</v>
      </c>
      <c r="Z774" s="27">
        <v>2</v>
      </c>
      <c r="AA774" s="27">
        <v>80</v>
      </c>
      <c r="AB774" s="27">
        <v>1</v>
      </c>
      <c r="AC774" s="27">
        <v>18</v>
      </c>
      <c r="AD774" s="27">
        <v>4</v>
      </c>
      <c r="AE774" s="27">
        <v>3</v>
      </c>
      <c r="AF774" s="27">
        <v>5</v>
      </c>
      <c r="AG774" s="27">
        <v>4</v>
      </c>
      <c r="AH774" s="27">
        <v>0</v>
      </c>
      <c r="AI774" s="28">
        <v>3</v>
      </c>
      <c r="AK774" s="36">
        <v>741</v>
      </c>
      <c r="AL774" s="33">
        <v>10</v>
      </c>
      <c r="AM774" s="33">
        <v>1</v>
      </c>
      <c r="AN774" s="33">
        <v>4</v>
      </c>
      <c r="AO774" s="33">
        <v>1</v>
      </c>
      <c r="AP774" s="33">
        <v>0</v>
      </c>
      <c r="AQ774" s="33">
        <v>1</v>
      </c>
      <c r="AR774" s="33">
        <v>2</v>
      </c>
      <c r="AS774" s="33">
        <v>3</v>
      </c>
      <c r="AT774" s="33">
        <v>1</v>
      </c>
      <c r="AU774" s="43">
        <v>0.10043450261830927</v>
      </c>
      <c r="AV774" s="33">
        <v>0</v>
      </c>
      <c r="AW774" s="33">
        <v>0</v>
      </c>
      <c r="AY774" s="36">
        <v>746</v>
      </c>
      <c r="AZ774" s="33">
        <v>2</v>
      </c>
      <c r="BA774" s="33">
        <v>2</v>
      </c>
      <c r="BB774" s="33">
        <v>1</v>
      </c>
      <c r="BC774" s="33">
        <v>2</v>
      </c>
      <c r="BD774" s="43">
        <v>0.20879326203931967</v>
      </c>
      <c r="BE774" s="33">
        <v>0</v>
      </c>
      <c r="BF774" s="33">
        <v>0</v>
      </c>
      <c r="CE774" s="36">
        <v>740</v>
      </c>
      <c r="CF774" s="33">
        <v>2</v>
      </c>
      <c r="CG774" s="33">
        <v>2</v>
      </c>
      <c r="CH774" s="33">
        <v>4</v>
      </c>
      <c r="CI774" s="33">
        <v>2</v>
      </c>
      <c r="CJ774" s="33">
        <v>0</v>
      </c>
      <c r="CK774" s="33">
        <v>0</v>
      </c>
      <c r="CL774" s="33">
        <v>1</v>
      </c>
      <c r="CM774" s="33">
        <v>3</v>
      </c>
      <c r="CN774" s="33">
        <v>3</v>
      </c>
      <c r="CO774" s="33">
        <v>2</v>
      </c>
      <c r="CP774" s="43">
        <v>3.6662187364956099E-2</v>
      </c>
      <c r="CQ774" s="33">
        <v>0</v>
      </c>
      <c r="CR774" s="33">
        <v>0</v>
      </c>
    </row>
    <row r="775" spans="1:96" ht="15" customHeight="1" x14ac:dyDescent="0.25">
      <c r="A775" s="26">
        <v>773</v>
      </c>
      <c r="B775" s="27">
        <v>36</v>
      </c>
      <c r="C775" s="27">
        <v>0</v>
      </c>
      <c r="D775" s="27">
        <v>1</v>
      </c>
      <c r="E775" s="27">
        <v>796</v>
      </c>
      <c r="F775" s="27">
        <v>2</v>
      </c>
      <c r="G775" s="27">
        <v>12</v>
      </c>
      <c r="H775" s="27">
        <v>5</v>
      </c>
      <c r="I775" s="27">
        <v>3</v>
      </c>
      <c r="J775" s="27">
        <v>1</v>
      </c>
      <c r="K775" s="27">
        <v>1073</v>
      </c>
      <c r="L775" s="27">
        <v>4</v>
      </c>
      <c r="M775" s="27">
        <v>0</v>
      </c>
      <c r="N775" s="27">
        <v>51</v>
      </c>
      <c r="O775" s="27">
        <v>2</v>
      </c>
      <c r="P775" s="27">
        <v>3</v>
      </c>
      <c r="Q775" s="27">
        <v>4</v>
      </c>
      <c r="R775" s="27">
        <v>4</v>
      </c>
      <c r="S775" s="27">
        <v>1</v>
      </c>
      <c r="T775" s="27">
        <v>8858</v>
      </c>
      <c r="U775" s="27">
        <v>15669</v>
      </c>
      <c r="V775" s="27">
        <v>0</v>
      </c>
      <c r="W775" s="27">
        <v>0</v>
      </c>
      <c r="X775" s="27">
        <v>11</v>
      </c>
      <c r="Y775" s="27">
        <v>3</v>
      </c>
      <c r="Z775" s="27">
        <v>2</v>
      </c>
      <c r="AA775" s="27">
        <v>80</v>
      </c>
      <c r="AB775" s="27">
        <v>0</v>
      </c>
      <c r="AC775" s="27">
        <v>15</v>
      </c>
      <c r="AD775" s="27">
        <v>2</v>
      </c>
      <c r="AE775" s="27">
        <v>2</v>
      </c>
      <c r="AF775" s="27">
        <v>14</v>
      </c>
      <c r="AG775" s="27">
        <v>8</v>
      </c>
      <c r="AH775" s="27">
        <v>7</v>
      </c>
      <c r="AI775" s="28">
        <v>8</v>
      </c>
      <c r="AK775" s="36">
        <v>742</v>
      </c>
      <c r="AL775" s="33">
        <v>5</v>
      </c>
      <c r="AM775" s="33">
        <v>5</v>
      </c>
      <c r="AN775" s="33">
        <v>3</v>
      </c>
      <c r="AO775" s="33">
        <v>6</v>
      </c>
      <c r="AP775" s="33">
        <v>0</v>
      </c>
      <c r="AQ775" s="33">
        <v>0</v>
      </c>
      <c r="AR775" s="33">
        <v>4</v>
      </c>
      <c r="AS775" s="33">
        <v>1</v>
      </c>
      <c r="AT775" s="33">
        <v>0</v>
      </c>
      <c r="AU775" s="43">
        <v>2.3613426624328405E-2</v>
      </c>
      <c r="AV775" s="33">
        <v>0</v>
      </c>
      <c r="AW775" s="33">
        <v>0</v>
      </c>
      <c r="AY775" s="36">
        <v>747</v>
      </c>
      <c r="AZ775" s="33">
        <v>5</v>
      </c>
      <c r="BA775" s="33">
        <v>3</v>
      </c>
      <c r="BB775" s="33">
        <v>0</v>
      </c>
      <c r="BC775" s="33">
        <v>2</v>
      </c>
      <c r="BD775" s="43">
        <v>8.5557694644739814E-3</v>
      </c>
      <c r="BE775" s="33">
        <v>0</v>
      </c>
      <c r="BF775" s="33">
        <v>0</v>
      </c>
      <c r="CE775" s="36">
        <v>741</v>
      </c>
      <c r="CF775" s="33">
        <v>10</v>
      </c>
      <c r="CG775" s="33">
        <v>1</v>
      </c>
      <c r="CH775" s="33">
        <v>4</v>
      </c>
      <c r="CI775" s="33">
        <v>3</v>
      </c>
      <c r="CJ775" s="33">
        <v>1</v>
      </c>
      <c r="CK775" s="33">
        <v>0</v>
      </c>
      <c r="CL775" s="33">
        <v>1</v>
      </c>
      <c r="CM775" s="33">
        <v>2</v>
      </c>
      <c r="CN775" s="33">
        <v>3</v>
      </c>
      <c r="CO775" s="33">
        <v>1</v>
      </c>
      <c r="CP775" s="43">
        <v>5.7427091684262119E-2</v>
      </c>
      <c r="CQ775" s="33">
        <v>0</v>
      </c>
      <c r="CR775" s="33">
        <v>0</v>
      </c>
    </row>
    <row r="776" spans="1:96" ht="15" customHeight="1" x14ac:dyDescent="0.25">
      <c r="A776" s="26">
        <v>774</v>
      </c>
      <c r="B776" s="27">
        <v>55</v>
      </c>
      <c r="C776" s="27">
        <v>0</v>
      </c>
      <c r="D776" s="27">
        <v>3</v>
      </c>
      <c r="E776" s="27">
        <v>444</v>
      </c>
      <c r="F776" s="27">
        <v>2</v>
      </c>
      <c r="G776" s="27">
        <v>2</v>
      </c>
      <c r="H776" s="27">
        <v>1</v>
      </c>
      <c r="I776" s="27">
        <v>3</v>
      </c>
      <c r="J776" s="27">
        <v>1</v>
      </c>
      <c r="K776" s="27">
        <v>1074</v>
      </c>
      <c r="L776" s="27">
        <v>3</v>
      </c>
      <c r="M776" s="27">
        <v>1</v>
      </c>
      <c r="N776" s="27">
        <v>40</v>
      </c>
      <c r="O776" s="27">
        <v>2</v>
      </c>
      <c r="P776" s="27">
        <v>4</v>
      </c>
      <c r="Q776" s="27">
        <v>6</v>
      </c>
      <c r="R776" s="27">
        <v>1</v>
      </c>
      <c r="S776" s="27">
        <v>1</v>
      </c>
      <c r="T776" s="27">
        <v>16756</v>
      </c>
      <c r="U776" s="27">
        <v>17323</v>
      </c>
      <c r="V776" s="27">
        <v>7</v>
      </c>
      <c r="W776" s="27">
        <v>0</v>
      </c>
      <c r="X776" s="27">
        <v>15</v>
      </c>
      <c r="Y776" s="27">
        <v>3</v>
      </c>
      <c r="Z776" s="27">
        <v>2</v>
      </c>
      <c r="AA776" s="27">
        <v>80</v>
      </c>
      <c r="AB776" s="27">
        <v>0</v>
      </c>
      <c r="AC776" s="27">
        <v>31</v>
      </c>
      <c r="AD776" s="27">
        <v>3</v>
      </c>
      <c r="AE776" s="27">
        <v>4</v>
      </c>
      <c r="AF776" s="27">
        <v>9</v>
      </c>
      <c r="AG776" s="27">
        <v>7</v>
      </c>
      <c r="AH776" s="27">
        <v>6</v>
      </c>
      <c r="AI776" s="28">
        <v>2</v>
      </c>
      <c r="AK776" s="36">
        <v>743</v>
      </c>
      <c r="AL776" s="33">
        <v>9</v>
      </c>
      <c r="AM776" s="33">
        <v>1</v>
      </c>
      <c r="AN776" s="33">
        <v>4</v>
      </c>
      <c r="AO776" s="33">
        <v>4</v>
      </c>
      <c r="AP776" s="33">
        <v>0</v>
      </c>
      <c r="AQ776" s="33">
        <v>0</v>
      </c>
      <c r="AR776" s="33">
        <v>3</v>
      </c>
      <c r="AS776" s="33">
        <v>1</v>
      </c>
      <c r="AT776" s="33">
        <v>0</v>
      </c>
      <c r="AU776" s="43">
        <v>0.16677828773371617</v>
      </c>
      <c r="AV776" s="33">
        <v>0</v>
      </c>
      <c r="AW776" s="33">
        <v>0</v>
      </c>
      <c r="AY776" s="36">
        <v>748</v>
      </c>
      <c r="AZ776" s="33">
        <v>2</v>
      </c>
      <c r="BA776" s="33">
        <v>4</v>
      </c>
      <c r="BB776" s="33">
        <v>1</v>
      </c>
      <c r="BC776" s="33">
        <v>0</v>
      </c>
      <c r="BD776" s="43">
        <v>0.29698480921718856</v>
      </c>
      <c r="BE776" s="33">
        <v>0</v>
      </c>
      <c r="BF776" s="33">
        <v>0</v>
      </c>
      <c r="CE776" s="36">
        <v>742</v>
      </c>
      <c r="CF776" s="33">
        <v>5</v>
      </c>
      <c r="CG776" s="33">
        <v>5</v>
      </c>
      <c r="CH776" s="33">
        <v>3</v>
      </c>
      <c r="CI776" s="33">
        <v>2</v>
      </c>
      <c r="CJ776" s="33">
        <v>6</v>
      </c>
      <c r="CK776" s="33">
        <v>0</v>
      </c>
      <c r="CL776" s="33">
        <v>0</v>
      </c>
      <c r="CM776" s="33">
        <v>4</v>
      </c>
      <c r="CN776" s="33">
        <v>1</v>
      </c>
      <c r="CO776" s="33">
        <v>0</v>
      </c>
      <c r="CP776" s="43">
        <v>1.6641506869589335E-2</v>
      </c>
      <c r="CQ776" s="33">
        <v>0</v>
      </c>
      <c r="CR776" s="33">
        <v>0</v>
      </c>
    </row>
    <row r="777" spans="1:96" ht="15" customHeight="1" x14ac:dyDescent="0.25">
      <c r="A777" s="26">
        <v>775</v>
      </c>
      <c r="B777" s="27">
        <v>43</v>
      </c>
      <c r="C777" s="27">
        <v>0</v>
      </c>
      <c r="D777" s="27">
        <v>1</v>
      </c>
      <c r="E777" s="27">
        <v>415</v>
      </c>
      <c r="F777" s="27">
        <v>1</v>
      </c>
      <c r="G777" s="27">
        <v>25</v>
      </c>
      <c r="H777" s="27">
        <v>3</v>
      </c>
      <c r="I777" s="27">
        <v>3</v>
      </c>
      <c r="J777" s="27">
        <v>1</v>
      </c>
      <c r="K777" s="27">
        <v>1076</v>
      </c>
      <c r="L777" s="27">
        <v>3</v>
      </c>
      <c r="M777" s="27">
        <v>1</v>
      </c>
      <c r="N777" s="27">
        <v>79</v>
      </c>
      <c r="O777" s="27">
        <v>2</v>
      </c>
      <c r="P777" s="27">
        <v>3</v>
      </c>
      <c r="Q777" s="27">
        <v>1</v>
      </c>
      <c r="R777" s="27">
        <v>4</v>
      </c>
      <c r="S777" s="27">
        <v>3</v>
      </c>
      <c r="T777" s="27">
        <v>10798</v>
      </c>
      <c r="U777" s="27">
        <v>5268</v>
      </c>
      <c r="V777" s="27">
        <v>5</v>
      </c>
      <c r="W777" s="27">
        <v>0</v>
      </c>
      <c r="X777" s="27">
        <v>13</v>
      </c>
      <c r="Y777" s="27">
        <v>3</v>
      </c>
      <c r="Z777" s="27">
        <v>3</v>
      </c>
      <c r="AA777" s="27">
        <v>80</v>
      </c>
      <c r="AB777" s="27">
        <v>1</v>
      </c>
      <c r="AC777" s="27">
        <v>18</v>
      </c>
      <c r="AD777" s="27">
        <v>5</v>
      </c>
      <c r="AE777" s="27">
        <v>3</v>
      </c>
      <c r="AF777" s="27">
        <v>1</v>
      </c>
      <c r="AG777" s="27">
        <v>0</v>
      </c>
      <c r="AH777" s="27">
        <v>0</v>
      </c>
      <c r="AI777" s="28">
        <v>0</v>
      </c>
      <c r="AK777" s="36">
        <v>744</v>
      </c>
      <c r="AL777" s="33">
        <v>2</v>
      </c>
      <c r="AM777" s="33">
        <v>4</v>
      </c>
      <c r="AN777" s="33">
        <v>4</v>
      </c>
      <c r="AO777" s="33">
        <v>3</v>
      </c>
      <c r="AP777" s="33">
        <v>1</v>
      </c>
      <c r="AQ777" s="33">
        <v>0</v>
      </c>
      <c r="AR777" s="33">
        <v>3</v>
      </c>
      <c r="AS777" s="33">
        <v>5</v>
      </c>
      <c r="AT777" s="33">
        <v>4</v>
      </c>
      <c r="AU777" s="43">
        <v>0.12536703282895159</v>
      </c>
      <c r="AV777" s="33">
        <v>0</v>
      </c>
      <c r="AW777" s="33">
        <v>0</v>
      </c>
      <c r="AY777" s="36">
        <v>749</v>
      </c>
      <c r="AZ777" s="33">
        <v>2</v>
      </c>
      <c r="BA777" s="33">
        <v>1</v>
      </c>
      <c r="BB777" s="33">
        <v>0</v>
      </c>
      <c r="BC777" s="33">
        <v>0</v>
      </c>
      <c r="BD777" s="43">
        <v>0.19196561144667343</v>
      </c>
      <c r="BE777" s="33">
        <v>0</v>
      </c>
      <c r="BF777" s="33">
        <v>1</v>
      </c>
      <c r="CE777" s="36">
        <v>743</v>
      </c>
      <c r="CF777" s="33">
        <v>9</v>
      </c>
      <c r="CG777" s="33">
        <v>1</v>
      </c>
      <c r="CH777" s="33">
        <v>4</v>
      </c>
      <c r="CI777" s="33">
        <v>2</v>
      </c>
      <c r="CJ777" s="33">
        <v>4</v>
      </c>
      <c r="CK777" s="33">
        <v>0</v>
      </c>
      <c r="CL777" s="33">
        <v>0</v>
      </c>
      <c r="CM777" s="33">
        <v>3</v>
      </c>
      <c r="CN777" s="33">
        <v>1</v>
      </c>
      <c r="CO777" s="33">
        <v>0</v>
      </c>
      <c r="CP777" s="43">
        <v>0.1173818349166061</v>
      </c>
      <c r="CQ777" s="33">
        <v>0</v>
      </c>
      <c r="CR777" s="33">
        <v>0</v>
      </c>
    </row>
    <row r="778" spans="1:96" ht="15" customHeight="1" x14ac:dyDescent="0.25">
      <c r="A778" s="26">
        <v>776</v>
      </c>
      <c r="B778" s="27">
        <v>20</v>
      </c>
      <c r="C778" s="27">
        <v>1</v>
      </c>
      <c r="D778" s="27">
        <v>2</v>
      </c>
      <c r="E778" s="27">
        <v>769</v>
      </c>
      <c r="F778" s="27">
        <v>1</v>
      </c>
      <c r="G778" s="27">
        <v>9</v>
      </c>
      <c r="H778" s="27">
        <v>3</v>
      </c>
      <c r="I778" s="27">
        <v>4</v>
      </c>
      <c r="J778" s="27">
        <v>1</v>
      </c>
      <c r="K778" s="27">
        <v>1077</v>
      </c>
      <c r="L778" s="27">
        <v>4</v>
      </c>
      <c r="M778" s="27">
        <v>0</v>
      </c>
      <c r="N778" s="27">
        <v>54</v>
      </c>
      <c r="O778" s="27">
        <v>3</v>
      </c>
      <c r="P778" s="27">
        <v>1</v>
      </c>
      <c r="Q778" s="27">
        <v>7</v>
      </c>
      <c r="R778" s="27">
        <v>4</v>
      </c>
      <c r="S778" s="27">
        <v>1</v>
      </c>
      <c r="T778" s="27">
        <v>2323</v>
      </c>
      <c r="U778" s="27">
        <v>17205</v>
      </c>
      <c r="V778" s="27">
        <v>1</v>
      </c>
      <c r="W778" s="27">
        <v>1</v>
      </c>
      <c r="X778" s="27">
        <v>14</v>
      </c>
      <c r="Y778" s="27">
        <v>3</v>
      </c>
      <c r="Z778" s="27">
        <v>2</v>
      </c>
      <c r="AA778" s="27">
        <v>80</v>
      </c>
      <c r="AB778" s="27">
        <v>0</v>
      </c>
      <c r="AC778" s="27">
        <v>2</v>
      </c>
      <c r="AD778" s="27">
        <v>3</v>
      </c>
      <c r="AE778" s="27">
        <v>3</v>
      </c>
      <c r="AF778" s="27">
        <v>2</v>
      </c>
      <c r="AG778" s="27">
        <v>2</v>
      </c>
      <c r="AH778" s="27">
        <v>0</v>
      </c>
      <c r="AI778" s="28">
        <v>2</v>
      </c>
      <c r="AK778" s="36">
        <v>745</v>
      </c>
      <c r="AL778" s="33">
        <v>11</v>
      </c>
      <c r="AM778" s="33">
        <v>2</v>
      </c>
      <c r="AN778" s="33">
        <v>2</v>
      </c>
      <c r="AO778" s="33">
        <v>5</v>
      </c>
      <c r="AP778" s="33">
        <v>0</v>
      </c>
      <c r="AQ778" s="33">
        <v>0</v>
      </c>
      <c r="AR778" s="33">
        <v>1</v>
      </c>
      <c r="AS778" s="33">
        <v>1</v>
      </c>
      <c r="AT778" s="33">
        <v>0</v>
      </c>
      <c r="AU778" s="43">
        <v>0.27691204700760236</v>
      </c>
      <c r="AV778" s="33">
        <v>0</v>
      </c>
      <c r="AW778" s="33">
        <v>1</v>
      </c>
      <c r="AY778" s="36">
        <v>750</v>
      </c>
      <c r="AZ778" s="33">
        <v>5</v>
      </c>
      <c r="BA778" s="33">
        <v>4</v>
      </c>
      <c r="BB778" s="33">
        <v>0</v>
      </c>
      <c r="BC778" s="33">
        <v>1</v>
      </c>
      <c r="BD778" s="43">
        <v>1.0800557147898916E-2</v>
      </c>
      <c r="BE778" s="33">
        <v>0</v>
      </c>
      <c r="BF778" s="33">
        <v>1</v>
      </c>
      <c r="CE778" s="36">
        <v>744</v>
      </c>
      <c r="CF778" s="33">
        <v>2</v>
      </c>
      <c r="CG778" s="33">
        <v>4</v>
      </c>
      <c r="CH778" s="33">
        <v>4</v>
      </c>
      <c r="CI778" s="33">
        <v>1</v>
      </c>
      <c r="CJ778" s="33">
        <v>3</v>
      </c>
      <c r="CK778" s="33">
        <v>1</v>
      </c>
      <c r="CL778" s="33">
        <v>0</v>
      </c>
      <c r="CM778" s="33">
        <v>3</v>
      </c>
      <c r="CN778" s="33">
        <v>5</v>
      </c>
      <c r="CO778" s="33">
        <v>4</v>
      </c>
      <c r="CP778" s="43">
        <v>0.15288161208985676</v>
      </c>
      <c r="CQ778" s="33">
        <v>0</v>
      </c>
      <c r="CR778" s="33">
        <v>0</v>
      </c>
    </row>
    <row r="779" spans="1:96" ht="15" customHeight="1" x14ac:dyDescent="0.25">
      <c r="A779" s="26">
        <v>777</v>
      </c>
      <c r="B779" s="27">
        <v>21</v>
      </c>
      <c r="C779" s="27">
        <v>1</v>
      </c>
      <c r="D779" s="27">
        <v>1</v>
      </c>
      <c r="E779" s="27">
        <v>1334</v>
      </c>
      <c r="F779" s="27">
        <v>2</v>
      </c>
      <c r="G779" s="27">
        <v>10</v>
      </c>
      <c r="H779" s="27">
        <v>3</v>
      </c>
      <c r="I779" s="27">
        <v>1</v>
      </c>
      <c r="J779" s="27">
        <v>1</v>
      </c>
      <c r="K779" s="27">
        <v>1079</v>
      </c>
      <c r="L779" s="27">
        <v>3</v>
      </c>
      <c r="M779" s="27">
        <v>0</v>
      </c>
      <c r="N779" s="27">
        <v>36</v>
      </c>
      <c r="O779" s="27">
        <v>2</v>
      </c>
      <c r="P779" s="27">
        <v>1</v>
      </c>
      <c r="Q779" s="27">
        <v>3</v>
      </c>
      <c r="R779" s="27">
        <v>1</v>
      </c>
      <c r="S779" s="27">
        <v>1</v>
      </c>
      <c r="T779" s="27">
        <v>1416</v>
      </c>
      <c r="U779" s="27">
        <v>17258</v>
      </c>
      <c r="V779" s="27">
        <v>1</v>
      </c>
      <c r="W779" s="27">
        <v>0</v>
      </c>
      <c r="X779" s="27">
        <v>13</v>
      </c>
      <c r="Y779" s="27">
        <v>3</v>
      </c>
      <c r="Z779" s="27">
        <v>1</v>
      </c>
      <c r="AA779" s="27">
        <v>80</v>
      </c>
      <c r="AB779" s="27">
        <v>0</v>
      </c>
      <c r="AC779" s="27">
        <v>1</v>
      </c>
      <c r="AD779" s="27">
        <v>6</v>
      </c>
      <c r="AE779" s="27">
        <v>2</v>
      </c>
      <c r="AF779" s="27">
        <v>1</v>
      </c>
      <c r="AG779" s="27">
        <v>0</v>
      </c>
      <c r="AH779" s="27">
        <v>1</v>
      </c>
      <c r="AI779" s="28">
        <v>0</v>
      </c>
      <c r="AK779" s="36">
        <v>746</v>
      </c>
      <c r="AL779" s="33">
        <v>18</v>
      </c>
      <c r="AM779" s="33">
        <v>2</v>
      </c>
      <c r="AN779" s="33">
        <v>2</v>
      </c>
      <c r="AO779" s="33">
        <v>3</v>
      </c>
      <c r="AP779" s="33">
        <v>1</v>
      </c>
      <c r="AQ779" s="33">
        <v>2</v>
      </c>
      <c r="AR779" s="33">
        <v>3</v>
      </c>
      <c r="AS779" s="33">
        <v>8</v>
      </c>
      <c r="AT779" s="33">
        <v>6</v>
      </c>
      <c r="AU779" s="43">
        <v>0.30131861428743073</v>
      </c>
      <c r="AV779" s="33">
        <v>0</v>
      </c>
      <c r="AW779" s="33">
        <v>0</v>
      </c>
      <c r="AY779" s="36">
        <v>751</v>
      </c>
      <c r="AZ779" s="33">
        <v>4</v>
      </c>
      <c r="BA779" s="33">
        <v>4</v>
      </c>
      <c r="BB779" s="33">
        <v>1</v>
      </c>
      <c r="BC779" s="33">
        <v>1</v>
      </c>
      <c r="BD779" s="43">
        <v>7.5427466859562448E-2</v>
      </c>
      <c r="BE779" s="33">
        <v>0</v>
      </c>
      <c r="BF779" s="33">
        <v>0</v>
      </c>
      <c r="CE779" s="36">
        <v>745</v>
      </c>
      <c r="CF779" s="33">
        <v>11</v>
      </c>
      <c r="CG779" s="33">
        <v>2</v>
      </c>
      <c r="CH779" s="33">
        <v>2</v>
      </c>
      <c r="CI779" s="33">
        <v>2</v>
      </c>
      <c r="CJ779" s="33">
        <v>5</v>
      </c>
      <c r="CK779" s="33">
        <v>0</v>
      </c>
      <c r="CL779" s="33">
        <v>0</v>
      </c>
      <c r="CM779" s="33">
        <v>1</v>
      </c>
      <c r="CN779" s="33">
        <v>1</v>
      </c>
      <c r="CO779" s="33">
        <v>0</v>
      </c>
      <c r="CP779" s="43">
        <v>0.21632368762897092</v>
      </c>
      <c r="CQ779" s="33">
        <v>0</v>
      </c>
      <c r="CR779" s="33">
        <v>1</v>
      </c>
    </row>
    <row r="780" spans="1:96" ht="15" customHeight="1" x14ac:dyDescent="0.25">
      <c r="A780" s="26">
        <v>778</v>
      </c>
      <c r="B780" s="27">
        <v>46</v>
      </c>
      <c r="C780" s="27">
        <v>0</v>
      </c>
      <c r="D780" s="27">
        <v>1</v>
      </c>
      <c r="E780" s="27">
        <v>1003</v>
      </c>
      <c r="F780" s="27">
        <v>2</v>
      </c>
      <c r="G780" s="27">
        <v>8</v>
      </c>
      <c r="H780" s="27">
        <v>4</v>
      </c>
      <c r="I780" s="27">
        <v>1</v>
      </c>
      <c r="J780" s="27">
        <v>1</v>
      </c>
      <c r="K780" s="27">
        <v>1080</v>
      </c>
      <c r="L780" s="27">
        <v>4</v>
      </c>
      <c r="M780" s="27">
        <v>0</v>
      </c>
      <c r="N780" s="27">
        <v>74</v>
      </c>
      <c r="O780" s="27">
        <v>2</v>
      </c>
      <c r="P780" s="27">
        <v>2</v>
      </c>
      <c r="Q780" s="27">
        <v>2</v>
      </c>
      <c r="R780" s="27">
        <v>1</v>
      </c>
      <c r="S780" s="27">
        <v>3</v>
      </c>
      <c r="T780" s="27">
        <v>4615</v>
      </c>
      <c r="U780" s="27">
        <v>21029</v>
      </c>
      <c r="V780" s="27">
        <v>8</v>
      </c>
      <c r="W780" s="27">
        <v>1</v>
      </c>
      <c r="X780" s="27">
        <v>23</v>
      </c>
      <c r="Y780" s="27">
        <v>4</v>
      </c>
      <c r="Z780" s="27">
        <v>1</v>
      </c>
      <c r="AA780" s="27">
        <v>80</v>
      </c>
      <c r="AB780" s="27">
        <v>3</v>
      </c>
      <c r="AC780" s="27">
        <v>19</v>
      </c>
      <c r="AD780" s="27">
        <v>2</v>
      </c>
      <c r="AE780" s="27">
        <v>3</v>
      </c>
      <c r="AF780" s="27">
        <v>16</v>
      </c>
      <c r="AG780" s="27">
        <v>13</v>
      </c>
      <c r="AH780" s="27">
        <v>1</v>
      </c>
      <c r="AI780" s="28">
        <v>7</v>
      </c>
      <c r="AK780" s="36">
        <v>747</v>
      </c>
      <c r="AL780" s="33">
        <v>7</v>
      </c>
      <c r="AM780" s="33">
        <v>5</v>
      </c>
      <c r="AN780" s="33">
        <v>3</v>
      </c>
      <c r="AO780" s="33">
        <v>1</v>
      </c>
      <c r="AP780" s="33">
        <v>0</v>
      </c>
      <c r="AQ780" s="33">
        <v>2</v>
      </c>
      <c r="AR780" s="33">
        <v>3</v>
      </c>
      <c r="AS780" s="33">
        <v>21</v>
      </c>
      <c r="AT780" s="33">
        <v>5</v>
      </c>
      <c r="AU780" s="43">
        <v>2.8665521507202775E-3</v>
      </c>
      <c r="AV780" s="33">
        <v>0</v>
      </c>
      <c r="AW780" s="33">
        <v>0</v>
      </c>
      <c r="AY780" s="36">
        <v>752</v>
      </c>
      <c r="AZ780" s="33">
        <v>2</v>
      </c>
      <c r="BA780" s="33">
        <v>3</v>
      </c>
      <c r="BB780" s="33">
        <v>0</v>
      </c>
      <c r="BC780" s="33">
        <v>1</v>
      </c>
      <c r="BD780" s="43">
        <v>7.244788656931947E-2</v>
      </c>
      <c r="BE780" s="33">
        <v>0</v>
      </c>
      <c r="BF780" s="33">
        <v>0</v>
      </c>
      <c r="CE780" s="36">
        <v>746</v>
      </c>
      <c r="CF780" s="33">
        <v>18</v>
      </c>
      <c r="CG780" s="33">
        <v>2</v>
      </c>
      <c r="CH780" s="33">
        <v>2</v>
      </c>
      <c r="CI780" s="33">
        <v>2</v>
      </c>
      <c r="CJ780" s="33">
        <v>3</v>
      </c>
      <c r="CK780" s="33">
        <v>1</v>
      </c>
      <c r="CL780" s="33">
        <v>2</v>
      </c>
      <c r="CM780" s="33">
        <v>3</v>
      </c>
      <c r="CN780" s="33">
        <v>8</v>
      </c>
      <c r="CO780" s="33">
        <v>6</v>
      </c>
      <c r="CP780" s="43">
        <v>0.38614039099598746</v>
      </c>
      <c r="CQ780" s="33">
        <v>0</v>
      </c>
      <c r="CR780" s="33">
        <v>0</v>
      </c>
    </row>
    <row r="781" spans="1:96" ht="15" customHeight="1" x14ac:dyDescent="0.25">
      <c r="A781" s="26">
        <v>779</v>
      </c>
      <c r="B781" s="27">
        <v>51</v>
      </c>
      <c r="C781" s="27">
        <v>1</v>
      </c>
      <c r="D781" s="27">
        <v>1</v>
      </c>
      <c r="E781" s="27">
        <v>1323</v>
      </c>
      <c r="F781" s="27">
        <v>2</v>
      </c>
      <c r="G781" s="27">
        <v>4</v>
      </c>
      <c r="H781" s="27">
        <v>4</v>
      </c>
      <c r="I781" s="27">
        <v>1</v>
      </c>
      <c r="J781" s="27">
        <v>1</v>
      </c>
      <c r="K781" s="27">
        <v>1081</v>
      </c>
      <c r="L781" s="27">
        <v>1</v>
      </c>
      <c r="M781" s="27">
        <v>1</v>
      </c>
      <c r="N781" s="27">
        <v>34</v>
      </c>
      <c r="O781" s="27">
        <v>3</v>
      </c>
      <c r="P781" s="27">
        <v>1</v>
      </c>
      <c r="Q781" s="27">
        <v>2</v>
      </c>
      <c r="R781" s="27">
        <v>3</v>
      </c>
      <c r="S781" s="27">
        <v>2</v>
      </c>
      <c r="T781" s="27">
        <v>2461</v>
      </c>
      <c r="U781" s="27">
        <v>10332</v>
      </c>
      <c r="V781" s="27">
        <v>9</v>
      </c>
      <c r="W781" s="27">
        <v>1</v>
      </c>
      <c r="X781" s="27">
        <v>12</v>
      </c>
      <c r="Y781" s="27">
        <v>3</v>
      </c>
      <c r="Z781" s="27">
        <v>3</v>
      </c>
      <c r="AA781" s="27">
        <v>80</v>
      </c>
      <c r="AB781" s="27">
        <v>3</v>
      </c>
      <c r="AC781" s="27">
        <v>18</v>
      </c>
      <c r="AD781" s="27">
        <v>2</v>
      </c>
      <c r="AE781" s="27">
        <v>4</v>
      </c>
      <c r="AF781" s="27">
        <v>10</v>
      </c>
      <c r="AG781" s="27">
        <v>0</v>
      </c>
      <c r="AH781" s="27">
        <v>2</v>
      </c>
      <c r="AI781" s="28">
        <v>7</v>
      </c>
      <c r="AK781" s="36">
        <v>748</v>
      </c>
      <c r="AL781" s="33">
        <v>3</v>
      </c>
      <c r="AM781" s="33">
        <v>2</v>
      </c>
      <c r="AN781" s="33">
        <v>4</v>
      </c>
      <c r="AO781" s="33">
        <v>8</v>
      </c>
      <c r="AP781" s="33">
        <v>1</v>
      </c>
      <c r="AQ781" s="33">
        <v>0</v>
      </c>
      <c r="AR781" s="33">
        <v>3</v>
      </c>
      <c r="AS781" s="33">
        <v>1</v>
      </c>
      <c r="AT781" s="33">
        <v>0</v>
      </c>
      <c r="AU781" s="43">
        <v>0.36567842723708416</v>
      </c>
      <c r="AV781" s="33">
        <v>0</v>
      </c>
      <c r="AW781" s="33">
        <v>0</v>
      </c>
      <c r="AY781" s="36">
        <v>753</v>
      </c>
      <c r="AZ781" s="33">
        <v>1</v>
      </c>
      <c r="BA781" s="33">
        <v>1</v>
      </c>
      <c r="BB781" s="33">
        <v>0</v>
      </c>
      <c r="BC781" s="33">
        <v>0</v>
      </c>
      <c r="BD781" s="43">
        <v>0.29341085656570393</v>
      </c>
      <c r="BE781" s="33">
        <v>0</v>
      </c>
      <c r="BF781" s="33">
        <v>1</v>
      </c>
      <c r="CE781" s="36">
        <v>747</v>
      </c>
      <c r="CF781" s="33">
        <v>7</v>
      </c>
      <c r="CG781" s="33">
        <v>5</v>
      </c>
      <c r="CH781" s="33">
        <v>3</v>
      </c>
      <c r="CI781" s="33">
        <v>3</v>
      </c>
      <c r="CJ781" s="33">
        <v>1</v>
      </c>
      <c r="CK781" s="33">
        <v>0</v>
      </c>
      <c r="CL781" s="33">
        <v>2</v>
      </c>
      <c r="CM781" s="33">
        <v>3</v>
      </c>
      <c r="CN781" s="33">
        <v>21</v>
      </c>
      <c r="CO781" s="33">
        <v>5</v>
      </c>
      <c r="CP781" s="43">
        <v>2.3233953958324521E-3</v>
      </c>
      <c r="CQ781" s="33">
        <v>0</v>
      </c>
      <c r="CR781" s="33">
        <v>0</v>
      </c>
    </row>
    <row r="782" spans="1:96" ht="15" customHeight="1" x14ac:dyDescent="0.25">
      <c r="A782" s="26">
        <v>780</v>
      </c>
      <c r="B782" s="27">
        <v>28</v>
      </c>
      <c r="C782" s="27">
        <v>1</v>
      </c>
      <c r="D782" s="27">
        <v>3</v>
      </c>
      <c r="E782" s="27">
        <v>1366</v>
      </c>
      <c r="F782" s="27">
        <v>2</v>
      </c>
      <c r="G782" s="27">
        <v>24</v>
      </c>
      <c r="H782" s="27">
        <v>2</v>
      </c>
      <c r="I782" s="27">
        <v>5</v>
      </c>
      <c r="J782" s="27">
        <v>1</v>
      </c>
      <c r="K782" s="27">
        <v>1082</v>
      </c>
      <c r="L782" s="27">
        <v>2</v>
      </c>
      <c r="M782" s="27">
        <v>1</v>
      </c>
      <c r="N782" s="27">
        <v>72</v>
      </c>
      <c r="O782" s="27">
        <v>2</v>
      </c>
      <c r="P782" s="27">
        <v>3</v>
      </c>
      <c r="Q782" s="27">
        <v>5</v>
      </c>
      <c r="R782" s="27">
        <v>1</v>
      </c>
      <c r="S782" s="27">
        <v>1</v>
      </c>
      <c r="T782" s="27">
        <v>8722</v>
      </c>
      <c r="U782" s="27">
        <v>12355</v>
      </c>
      <c r="V782" s="27">
        <v>1</v>
      </c>
      <c r="W782" s="27">
        <v>0</v>
      </c>
      <c r="X782" s="27">
        <v>12</v>
      </c>
      <c r="Y782" s="27">
        <v>3</v>
      </c>
      <c r="Z782" s="27">
        <v>1</v>
      </c>
      <c r="AA782" s="27">
        <v>80</v>
      </c>
      <c r="AB782" s="27">
        <v>0</v>
      </c>
      <c r="AC782" s="27">
        <v>10</v>
      </c>
      <c r="AD782" s="27">
        <v>2</v>
      </c>
      <c r="AE782" s="27">
        <v>2</v>
      </c>
      <c r="AF782" s="27">
        <v>10</v>
      </c>
      <c r="AG782" s="27">
        <v>7</v>
      </c>
      <c r="AH782" s="27">
        <v>1</v>
      </c>
      <c r="AI782" s="28">
        <v>9</v>
      </c>
      <c r="AK782" s="36">
        <v>749</v>
      </c>
      <c r="AL782" s="33">
        <v>29</v>
      </c>
      <c r="AM782" s="33">
        <v>2</v>
      </c>
      <c r="AN782" s="33">
        <v>1</v>
      </c>
      <c r="AO782" s="33">
        <v>8</v>
      </c>
      <c r="AP782" s="33">
        <v>0</v>
      </c>
      <c r="AQ782" s="33">
        <v>0</v>
      </c>
      <c r="AR782" s="33">
        <v>3</v>
      </c>
      <c r="AS782" s="33">
        <v>2</v>
      </c>
      <c r="AT782" s="33">
        <v>2</v>
      </c>
      <c r="AU782" s="43">
        <v>0.46981862324883833</v>
      </c>
      <c r="AV782" s="33">
        <v>0</v>
      </c>
      <c r="AW782" s="33">
        <v>1</v>
      </c>
      <c r="AY782" s="36">
        <v>754</v>
      </c>
      <c r="AZ782" s="33">
        <v>3</v>
      </c>
      <c r="BA782" s="33">
        <v>1</v>
      </c>
      <c r="BB782" s="33">
        <v>1</v>
      </c>
      <c r="BC782" s="33">
        <v>0</v>
      </c>
      <c r="BD782" s="43">
        <v>0.36749559266393544</v>
      </c>
      <c r="BE782" s="33">
        <v>0</v>
      </c>
      <c r="BF782" s="33">
        <v>0</v>
      </c>
      <c r="CE782" s="36">
        <v>748</v>
      </c>
      <c r="CF782" s="33">
        <v>3</v>
      </c>
      <c r="CG782" s="33">
        <v>2</v>
      </c>
      <c r="CH782" s="33">
        <v>4</v>
      </c>
      <c r="CI782" s="33">
        <v>1</v>
      </c>
      <c r="CJ782" s="33">
        <v>8</v>
      </c>
      <c r="CK782" s="33">
        <v>1</v>
      </c>
      <c r="CL782" s="33">
        <v>0</v>
      </c>
      <c r="CM782" s="33">
        <v>3</v>
      </c>
      <c r="CN782" s="33">
        <v>1</v>
      </c>
      <c r="CO782" s="33">
        <v>0</v>
      </c>
      <c r="CP782" s="43">
        <v>0.41439581710662859</v>
      </c>
      <c r="CQ782" s="33">
        <v>0</v>
      </c>
      <c r="CR782" s="33">
        <v>0</v>
      </c>
    </row>
    <row r="783" spans="1:96" ht="15" customHeight="1" x14ac:dyDescent="0.25">
      <c r="A783" s="26">
        <v>781</v>
      </c>
      <c r="B783" s="27">
        <v>26</v>
      </c>
      <c r="C783" s="27">
        <v>0</v>
      </c>
      <c r="D783" s="27">
        <v>1</v>
      </c>
      <c r="E783" s="27">
        <v>192</v>
      </c>
      <c r="F783" s="27">
        <v>2</v>
      </c>
      <c r="G783" s="27">
        <v>1</v>
      </c>
      <c r="H783" s="27">
        <v>2</v>
      </c>
      <c r="I783" s="27">
        <v>3</v>
      </c>
      <c r="J783" s="27">
        <v>1</v>
      </c>
      <c r="K783" s="27">
        <v>1083</v>
      </c>
      <c r="L783" s="27">
        <v>1</v>
      </c>
      <c r="M783" s="27">
        <v>1</v>
      </c>
      <c r="N783" s="27">
        <v>59</v>
      </c>
      <c r="O783" s="27">
        <v>2</v>
      </c>
      <c r="P783" s="27">
        <v>1</v>
      </c>
      <c r="Q783" s="27">
        <v>3</v>
      </c>
      <c r="R783" s="27">
        <v>1</v>
      </c>
      <c r="S783" s="27">
        <v>2</v>
      </c>
      <c r="T783" s="27">
        <v>3955</v>
      </c>
      <c r="U783" s="27">
        <v>11141</v>
      </c>
      <c r="V783" s="27">
        <v>1</v>
      </c>
      <c r="W783" s="27">
        <v>0</v>
      </c>
      <c r="X783" s="27">
        <v>16</v>
      </c>
      <c r="Y783" s="27">
        <v>3</v>
      </c>
      <c r="Z783" s="27">
        <v>1</v>
      </c>
      <c r="AA783" s="27">
        <v>80</v>
      </c>
      <c r="AB783" s="27">
        <v>2</v>
      </c>
      <c r="AC783" s="27">
        <v>6</v>
      </c>
      <c r="AD783" s="27">
        <v>2</v>
      </c>
      <c r="AE783" s="27">
        <v>3</v>
      </c>
      <c r="AF783" s="27">
        <v>5</v>
      </c>
      <c r="AG783" s="27">
        <v>3</v>
      </c>
      <c r="AH783" s="27">
        <v>1</v>
      </c>
      <c r="AI783" s="28">
        <v>3</v>
      </c>
      <c r="AK783" s="36">
        <v>750</v>
      </c>
      <c r="AL783" s="33">
        <v>2</v>
      </c>
      <c r="AM783" s="33">
        <v>5</v>
      </c>
      <c r="AN783" s="33">
        <v>4</v>
      </c>
      <c r="AO783" s="33">
        <v>1</v>
      </c>
      <c r="AP783" s="33">
        <v>0</v>
      </c>
      <c r="AQ783" s="33">
        <v>1</v>
      </c>
      <c r="AR783" s="33">
        <v>3</v>
      </c>
      <c r="AS783" s="33">
        <v>32</v>
      </c>
      <c r="AT783" s="33">
        <v>6</v>
      </c>
      <c r="AU783" s="43">
        <v>1.6184459025657047E-3</v>
      </c>
      <c r="AV783" s="33">
        <v>0</v>
      </c>
      <c r="AW783" s="33">
        <v>1</v>
      </c>
      <c r="AY783" s="36">
        <v>755</v>
      </c>
      <c r="AZ783" s="33">
        <v>1</v>
      </c>
      <c r="BA783" s="33">
        <v>4</v>
      </c>
      <c r="BB783" s="33">
        <v>0</v>
      </c>
      <c r="BC783" s="33">
        <v>0</v>
      </c>
      <c r="BD783" s="43">
        <v>0.1472907617042678</v>
      </c>
      <c r="BE783" s="33">
        <v>0</v>
      </c>
      <c r="BF783" s="33">
        <v>0</v>
      </c>
      <c r="CE783" s="36">
        <v>749</v>
      </c>
      <c r="CF783" s="33">
        <v>29</v>
      </c>
      <c r="CG783" s="33">
        <v>2</v>
      </c>
      <c r="CH783" s="33">
        <v>1</v>
      </c>
      <c r="CI783" s="33">
        <v>1</v>
      </c>
      <c r="CJ783" s="33">
        <v>8</v>
      </c>
      <c r="CK783" s="33">
        <v>0</v>
      </c>
      <c r="CL783" s="33">
        <v>0</v>
      </c>
      <c r="CM783" s="33">
        <v>3</v>
      </c>
      <c r="CN783" s="33">
        <v>2</v>
      </c>
      <c r="CO783" s="33">
        <v>2</v>
      </c>
      <c r="CP783" s="43">
        <v>0.52400988249809211</v>
      </c>
      <c r="CQ783" s="33">
        <v>1</v>
      </c>
      <c r="CR783" s="33">
        <v>1</v>
      </c>
    </row>
    <row r="784" spans="1:96" ht="15" customHeight="1" x14ac:dyDescent="0.25">
      <c r="A784" s="26">
        <v>782</v>
      </c>
      <c r="B784" s="27">
        <v>30</v>
      </c>
      <c r="C784" s="27">
        <v>0</v>
      </c>
      <c r="D784" s="27">
        <v>1</v>
      </c>
      <c r="E784" s="27">
        <v>1176</v>
      </c>
      <c r="F784" s="27">
        <v>2</v>
      </c>
      <c r="G784" s="27">
        <v>20</v>
      </c>
      <c r="H784" s="27">
        <v>3</v>
      </c>
      <c r="I784" s="27">
        <v>6</v>
      </c>
      <c r="J784" s="27">
        <v>1</v>
      </c>
      <c r="K784" s="27">
        <v>1084</v>
      </c>
      <c r="L784" s="27">
        <v>3</v>
      </c>
      <c r="M784" s="27">
        <v>1</v>
      </c>
      <c r="N784" s="27">
        <v>85</v>
      </c>
      <c r="O784" s="27">
        <v>3</v>
      </c>
      <c r="P784" s="27">
        <v>2</v>
      </c>
      <c r="Q784" s="27">
        <v>4</v>
      </c>
      <c r="R784" s="27">
        <v>1</v>
      </c>
      <c r="S784" s="27">
        <v>2</v>
      </c>
      <c r="T784" s="27">
        <v>9957</v>
      </c>
      <c r="U784" s="27">
        <v>9096</v>
      </c>
      <c r="V784" s="27">
        <v>0</v>
      </c>
      <c r="W784" s="27">
        <v>0</v>
      </c>
      <c r="X784" s="27">
        <v>15</v>
      </c>
      <c r="Y784" s="27">
        <v>3</v>
      </c>
      <c r="Z784" s="27">
        <v>3</v>
      </c>
      <c r="AA784" s="27">
        <v>80</v>
      </c>
      <c r="AB784" s="27">
        <v>1</v>
      </c>
      <c r="AC784" s="27">
        <v>7</v>
      </c>
      <c r="AD784" s="27">
        <v>1</v>
      </c>
      <c r="AE784" s="27">
        <v>2</v>
      </c>
      <c r="AF784" s="27">
        <v>6</v>
      </c>
      <c r="AG784" s="27">
        <v>2</v>
      </c>
      <c r="AH784" s="27">
        <v>0</v>
      </c>
      <c r="AI784" s="28">
        <v>2</v>
      </c>
      <c r="AK784" s="36">
        <v>751</v>
      </c>
      <c r="AL784" s="33">
        <v>28</v>
      </c>
      <c r="AM784" s="33">
        <v>4</v>
      </c>
      <c r="AN784" s="33">
        <v>4</v>
      </c>
      <c r="AO784" s="33">
        <v>3</v>
      </c>
      <c r="AP784" s="33">
        <v>1</v>
      </c>
      <c r="AQ784" s="33">
        <v>1</v>
      </c>
      <c r="AR784" s="33">
        <v>3</v>
      </c>
      <c r="AS784" s="33">
        <v>12</v>
      </c>
      <c r="AT784" s="33">
        <v>11</v>
      </c>
      <c r="AU784" s="43">
        <v>0.20645444457841786</v>
      </c>
      <c r="AV784" s="33">
        <v>0</v>
      </c>
      <c r="AW784" s="33">
        <v>0</v>
      </c>
      <c r="AY784" s="36">
        <v>756</v>
      </c>
      <c r="AZ784" s="33">
        <v>4</v>
      </c>
      <c r="BA784" s="33">
        <v>4</v>
      </c>
      <c r="BB784" s="33">
        <v>0</v>
      </c>
      <c r="BC784" s="33">
        <v>1</v>
      </c>
      <c r="BD784" s="43">
        <v>1.872698143618769E-2</v>
      </c>
      <c r="BE784" s="33">
        <v>0</v>
      </c>
      <c r="BF784" s="33">
        <v>0</v>
      </c>
      <c r="CE784" s="36">
        <v>750</v>
      </c>
      <c r="CF784" s="33">
        <v>2</v>
      </c>
      <c r="CG784" s="33">
        <v>5</v>
      </c>
      <c r="CH784" s="33">
        <v>4</v>
      </c>
      <c r="CI784" s="33">
        <v>2</v>
      </c>
      <c r="CJ784" s="33">
        <v>1</v>
      </c>
      <c r="CK784" s="33">
        <v>0</v>
      </c>
      <c r="CL784" s="33">
        <v>1</v>
      </c>
      <c r="CM784" s="33">
        <v>3</v>
      </c>
      <c r="CN784" s="33">
        <v>32</v>
      </c>
      <c r="CO784" s="33">
        <v>6</v>
      </c>
      <c r="CP784" s="43">
        <v>1.586662373672173E-3</v>
      </c>
      <c r="CQ784" s="33">
        <v>0</v>
      </c>
      <c r="CR784" s="33">
        <v>1</v>
      </c>
    </row>
    <row r="785" spans="1:96" ht="15" customHeight="1" x14ac:dyDescent="0.25">
      <c r="A785" s="26">
        <v>783</v>
      </c>
      <c r="B785" s="27">
        <v>41</v>
      </c>
      <c r="C785" s="27">
        <v>0</v>
      </c>
      <c r="D785" s="27">
        <v>1</v>
      </c>
      <c r="E785" s="27">
        <v>509</v>
      </c>
      <c r="F785" s="27">
        <v>2</v>
      </c>
      <c r="G785" s="27">
        <v>7</v>
      </c>
      <c r="H785" s="27">
        <v>2</v>
      </c>
      <c r="I785" s="27">
        <v>5</v>
      </c>
      <c r="J785" s="27">
        <v>1</v>
      </c>
      <c r="K785" s="27">
        <v>1085</v>
      </c>
      <c r="L785" s="27">
        <v>2</v>
      </c>
      <c r="M785" s="27">
        <v>0</v>
      </c>
      <c r="N785" s="27">
        <v>43</v>
      </c>
      <c r="O785" s="27">
        <v>4</v>
      </c>
      <c r="P785" s="27">
        <v>1</v>
      </c>
      <c r="Q785" s="27">
        <v>2</v>
      </c>
      <c r="R785" s="27">
        <v>3</v>
      </c>
      <c r="S785" s="27">
        <v>2</v>
      </c>
      <c r="T785" s="27">
        <v>3376</v>
      </c>
      <c r="U785" s="27">
        <v>18863</v>
      </c>
      <c r="V785" s="27">
        <v>1</v>
      </c>
      <c r="W785" s="27">
        <v>0</v>
      </c>
      <c r="X785" s="27">
        <v>13</v>
      </c>
      <c r="Y785" s="27">
        <v>3</v>
      </c>
      <c r="Z785" s="27">
        <v>3</v>
      </c>
      <c r="AA785" s="27">
        <v>80</v>
      </c>
      <c r="AB785" s="27">
        <v>0</v>
      </c>
      <c r="AC785" s="27">
        <v>10</v>
      </c>
      <c r="AD785" s="27">
        <v>3</v>
      </c>
      <c r="AE785" s="27">
        <v>3</v>
      </c>
      <c r="AF785" s="27">
        <v>10</v>
      </c>
      <c r="AG785" s="27">
        <v>6</v>
      </c>
      <c r="AH785" s="27">
        <v>0</v>
      </c>
      <c r="AI785" s="28">
        <v>8</v>
      </c>
      <c r="AK785" s="36">
        <v>752</v>
      </c>
      <c r="AL785" s="33">
        <v>1</v>
      </c>
      <c r="AM785" s="33">
        <v>2</v>
      </c>
      <c r="AN785" s="33">
        <v>3</v>
      </c>
      <c r="AO785" s="33">
        <v>0</v>
      </c>
      <c r="AP785" s="33">
        <v>0</v>
      </c>
      <c r="AQ785" s="33">
        <v>1</v>
      </c>
      <c r="AR785" s="33">
        <v>3</v>
      </c>
      <c r="AS785" s="33">
        <v>18</v>
      </c>
      <c r="AT785" s="33">
        <v>0</v>
      </c>
      <c r="AU785" s="43">
        <v>1.3841549385326958E-2</v>
      </c>
      <c r="AV785" s="33">
        <v>0</v>
      </c>
      <c r="AW785" s="33">
        <v>0</v>
      </c>
      <c r="AY785" s="36">
        <v>757</v>
      </c>
      <c r="AZ785" s="33">
        <v>1</v>
      </c>
      <c r="BA785" s="33">
        <v>3</v>
      </c>
      <c r="BB785" s="33">
        <v>0</v>
      </c>
      <c r="BC785" s="33">
        <v>0</v>
      </c>
      <c r="BD785" s="43">
        <v>0.18791247240909698</v>
      </c>
      <c r="BE785" s="33">
        <v>0</v>
      </c>
      <c r="BF785" s="33">
        <v>0</v>
      </c>
      <c r="CE785" s="36">
        <v>751</v>
      </c>
      <c r="CF785" s="33">
        <v>28</v>
      </c>
      <c r="CG785" s="33">
        <v>4</v>
      </c>
      <c r="CH785" s="33">
        <v>4</v>
      </c>
      <c r="CI785" s="33">
        <v>2</v>
      </c>
      <c r="CJ785" s="33">
        <v>3</v>
      </c>
      <c r="CK785" s="33">
        <v>1</v>
      </c>
      <c r="CL785" s="33">
        <v>1</v>
      </c>
      <c r="CM785" s="33">
        <v>3</v>
      </c>
      <c r="CN785" s="33">
        <v>12</v>
      </c>
      <c r="CO785" s="33">
        <v>11</v>
      </c>
      <c r="CP785" s="43">
        <v>0.21131688051963343</v>
      </c>
      <c r="CQ785" s="33">
        <v>0</v>
      </c>
      <c r="CR785" s="33">
        <v>0</v>
      </c>
    </row>
    <row r="786" spans="1:96" ht="15" customHeight="1" x14ac:dyDescent="0.25">
      <c r="A786" s="26">
        <v>784</v>
      </c>
      <c r="B786" s="27">
        <v>38</v>
      </c>
      <c r="C786" s="27">
        <v>0</v>
      </c>
      <c r="D786" s="27">
        <v>1</v>
      </c>
      <c r="E786" s="27">
        <v>330</v>
      </c>
      <c r="F786" s="27">
        <v>2</v>
      </c>
      <c r="G786" s="27">
        <v>17</v>
      </c>
      <c r="H786" s="27">
        <v>1</v>
      </c>
      <c r="I786" s="27">
        <v>1</v>
      </c>
      <c r="J786" s="27">
        <v>1</v>
      </c>
      <c r="K786" s="27">
        <v>1088</v>
      </c>
      <c r="L786" s="27">
        <v>3</v>
      </c>
      <c r="M786" s="27">
        <v>0</v>
      </c>
      <c r="N786" s="27">
        <v>65</v>
      </c>
      <c r="O786" s="27">
        <v>2</v>
      </c>
      <c r="P786" s="27">
        <v>3</v>
      </c>
      <c r="Q786" s="27">
        <v>5</v>
      </c>
      <c r="R786" s="27">
        <v>3</v>
      </c>
      <c r="S786" s="27">
        <v>2</v>
      </c>
      <c r="T786" s="27">
        <v>8823</v>
      </c>
      <c r="U786" s="27">
        <v>24608</v>
      </c>
      <c r="V786" s="27">
        <v>0</v>
      </c>
      <c r="W786" s="27">
        <v>0</v>
      </c>
      <c r="X786" s="27">
        <v>18</v>
      </c>
      <c r="Y786" s="27">
        <v>3</v>
      </c>
      <c r="Z786" s="27">
        <v>1</v>
      </c>
      <c r="AA786" s="27">
        <v>80</v>
      </c>
      <c r="AB786" s="27">
        <v>1</v>
      </c>
      <c r="AC786" s="27">
        <v>20</v>
      </c>
      <c r="AD786" s="27">
        <v>4</v>
      </c>
      <c r="AE786" s="27">
        <v>2</v>
      </c>
      <c r="AF786" s="27">
        <v>19</v>
      </c>
      <c r="AG786" s="27">
        <v>9</v>
      </c>
      <c r="AH786" s="27">
        <v>1</v>
      </c>
      <c r="AI786" s="28">
        <v>9</v>
      </c>
      <c r="AK786" s="36">
        <v>753</v>
      </c>
      <c r="AL786" s="33">
        <v>16</v>
      </c>
      <c r="AM786" s="33">
        <v>1</v>
      </c>
      <c r="AN786" s="33">
        <v>1</v>
      </c>
      <c r="AO786" s="33">
        <v>1</v>
      </c>
      <c r="AP786" s="33">
        <v>0</v>
      </c>
      <c r="AQ786" s="33">
        <v>0</v>
      </c>
      <c r="AR786" s="33">
        <v>3</v>
      </c>
      <c r="AS786" s="33">
        <v>17</v>
      </c>
      <c r="AT786" s="33">
        <v>15</v>
      </c>
      <c r="AU786" s="43">
        <v>0.44954576698079507</v>
      </c>
      <c r="AV786" s="33">
        <v>0</v>
      </c>
      <c r="AW786" s="33">
        <v>1</v>
      </c>
      <c r="AY786" s="36">
        <v>758</v>
      </c>
      <c r="AZ786" s="33">
        <v>2</v>
      </c>
      <c r="BA786" s="33">
        <v>4</v>
      </c>
      <c r="BB786" s="33">
        <v>0</v>
      </c>
      <c r="BC786" s="33">
        <v>1</v>
      </c>
      <c r="BD786" s="43">
        <v>5.5093218126976727E-2</v>
      </c>
      <c r="BE786" s="33">
        <v>0</v>
      </c>
      <c r="BF786" s="33">
        <v>0</v>
      </c>
      <c r="CE786" s="36">
        <v>752</v>
      </c>
      <c r="CF786" s="33">
        <v>1</v>
      </c>
      <c r="CG786" s="33">
        <v>2</v>
      </c>
      <c r="CH786" s="33">
        <v>3</v>
      </c>
      <c r="CI786" s="33">
        <v>2</v>
      </c>
      <c r="CJ786" s="33">
        <v>0</v>
      </c>
      <c r="CK786" s="33">
        <v>0</v>
      </c>
      <c r="CL786" s="33">
        <v>1</v>
      </c>
      <c r="CM786" s="33">
        <v>3</v>
      </c>
      <c r="CN786" s="33">
        <v>18</v>
      </c>
      <c r="CO786" s="33">
        <v>0</v>
      </c>
      <c r="CP786" s="43">
        <v>1.3206380035280418E-2</v>
      </c>
      <c r="CQ786" s="33">
        <v>0</v>
      </c>
      <c r="CR786" s="33">
        <v>0</v>
      </c>
    </row>
    <row r="787" spans="1:96" ht="15" customHeight="1" x14ac:dyDescent="0.25">
      <c r="A787" s="26">
        <v>785</v>
      </c>
      <c r="B787" s="27">
        <v>40</v>
      </c>
      <c r="C787" s="27">
        <v>0</v>
      </c>
      <c r="D787" s="27">
        <v>1</v>
      </c>
      <c r="E787" s="27">
        <v>1492</v>
      </c>
      <c r="F787" s="27">
        <v>2</v>
      </c>
      <c r="G787" s="27">
        <v>20</v>
      </c>
      <c r="H787" s="27">
        <v>4</v>
      </c>
      <c r="I787" s="27">
        <v>5</v>
      </c>
      <c r="J787" s="27">
        <v>1</v>
      </c>
      <c r="K787" s="27">
        <v>1092</v>
      </c>
      <c r="L787" s="27">
        <v>1</v>
      </c>
      <c r="M787" s="27">
        <v>1</v>
      </c>
      <c r="N787" s="27">
        <v>61</v>
      </c>
      <c r="O787" s="27">
        <v>3</v>
      </c>
      <c r="P787" s="27">
        <v>3</v>
      </c>
      <c r="Q787" s="27">
        <v>5</v>
      </c>
      <c r="R787" s="27">
        <v>4</v>
      </c>
      <c r="S787" s="27">
        <v>2</v>
      </c>
      <c r="T787" s="27">
        <v>10322</v>
      </c>
      <c r="U787" s="27">
        <v>26542</v>
      </c>
      <c r="V787" s="27">
        <v>4</v>
      </c>
      <c r="W787" s="27">
        <v>0</v>
      </c>
      <c r="X787" s="27">
        <v>20</v>
      </c>
      <c r="Y787" s="27">
        <v>4</v>
      </c>
      <c r="Z787" s="27">
        <v>4</v>
      </c>
      <c r="AA787" s="27">
        <v>80</v>
      </c>
      <c r="AB787" s="27">
        <v>1</v>
      </c>
      <c r="AC787" s="27">
        <v>14</v>
      </c>
      <c r="AD787" s="27">
        <v>6</v>
      </c>
      <c r="AE787" s="27">
        <v>3</v>
      </c>
      <c r="AF787" s="27">
        <v>11</v>
      </c>
      <c r="AG787" s="27">
        <v>10</v>
      </c>
      <c r="AH787" s="27">
        <v>11</v>
      </c>
      <c r="AI787" s="28">
        <v>1</v>
      </c>
      <c r="AK787" s="36">
        <v>754</v>
      </c>
      <c r="AL787" s="33">
        <v>22</v>
      </c>
      <c r="AM787" s="33">
        <v>3</v>
      </c>
      <c r="AN787" s="33">
        <v>1</v>
      </c>
      <c r="AO787" s="33">
        <v>1</v>
      </c>
      <c r="AP787" s="33">
        <v>1</v>
      </c>
      <c r="AQ787" s="33">
        <v>0</v>
      </c>
      <c r="AR787" s="33">
        <v>3</v>
      </c>
      <c r="AS787" s="33">
        <v>21</v>
      </c>
      <c r="AT787" s="33">
        <v>2</v>
      </c>
      <c r="AU787" s="43">
        <v>0.19932257096762426</v>
      </c>
      <c r="AV787" s="33">
        <v>0</v>
      </c>
      <c r="AW787" s="33">
        <v>0</v>
      </c>
      <c r="AY787" s="36">
        <v>759</v>
      </c>
      <c r="AZ787" s="33">
        <v>3</v>
      </c>
      <c r="BA787" s="33">
        <v>4</v>
      </c>
      <c r="BB787" s="33">
        <v>1</v>
      </c>
      <c r="BC787" s="33">
        <v>1</v>
      </c>
      <c r="BD787" s="43">
        <v>0.12479921665315721</v>
      </c>
      <c r="BE787" s="33">
        <v>0</v>
      </c>
      <c r="BF787" s="33">
        <v>0</v>
      </c>
      <c r="CE787" s="36">
        <v>753</v>
      </c>
      <c r="CF787" s="33">
        <v>16</v>
      </c>
      <c r="CG787" s="33">
        <v>1</v>
      </c>
      <c r="CH787" s="33">
        <v>1</v>
      </c>
      <c r="CI787" s="33">
        <v>1</v>
      </c>
      <c r="CJ787" s="33">
        <v>1</v>
      </c>
      <c r="CK787" s="33">
        <v>0</v>
      </c>
      <c r="CL787" s="33">
        <v>0</v>
      </c>
      <c r="CM787" s="33">
        <v>3</v>
      </c>
      <c r="CN787" s="33">
        <v>17</v>
      </c>
      <c r="CO787" s="33">
        <v>15</v>
      </c>
      <c r="CP787" s="43">
        <v>0.5069796305249552</v>
      </c>
      <c r="CQ787" s="33">
        <v>1</v>
      </c>
      <c r="CR787" s="33">
        <v>1</v>
      </c>
    </row>
    <row r="788" spans="1:96" ht="15" customHeight="1" x14ac:dyDescent="0.25">
      <c r="A788" s="26">
        <v>786</v>
      </c>
      <c r="B788" s="27">
        <v>27</v>
      </c>
      <c r="C788" s="27">
        <v>0</v>
      </c>
      <c r="D788" s="27">
        <v>3</v>
      </c>
      <c r="E788" s="27">
        <v>1277</v>
      </c>
      <c r="F788" s="27">
        <v>2</v>
      </c>
      <c r="G788" s="27">
        <v>8</v>
      </c>
      <c r="H788" s="27">
        <v>5</v>
      </c>
      <c r="I788" s="27">
        <v>1</v>
      </c>
      <c r="J788" s="27">
        <v>1</v>
      </c>
      <c r="K788" s="27">
        <v>1094</v>
      </c>
      <c r="L788" s="27">
        <v>1</v>
      </c>
      <c r="M788" s="27">
        <v>1</v>
      </c>
      <c r="N788" s="27">
        <v>87</v>
      </c>
      <c r="O788" s="27">
        <v>1</v>
      </c>
      <c r="P788" s="27">
        <v>1</v>
      </c>
      <c r="Q788" s="27">
        <v>3</v>
      </c>
      <c r="R788" s="27">
        <v>3</v>
      </c>
      <c r="S788" s="27">
        <v>2</v>
      </c>
      <c r="T788" s="27">
        <v>4621</v>
      </c>
      <c r="U788" s="27">
        <v>5869</v>
      </c>
      <c r="V788" s="27">
        <v>1</v>
      </c>
      <c r="W788" s="27">
        <v>0</v>
      </c>
      <c r="X788" s="27">
        <v>19</v>
      </c>
      <c r="Y788" s="27">
        <v>3</v>
      </c>
      <c r="Z788" s="27">
        <v>4</v>
      </c>
      <c r="AA788" s="27">
        <v>80</v>
      </c>
      <c r="AB788" s="27">
        <v>3</v>
      </c>
      <c r="AC788" s="27">
        <v>3</v>
      </c>
      <c r="AD788" s="27">
        <v>4</v>
      </c>
      <c r="AE788" s="27">
        <v>3</v>
      </c>
      <c r="AF788" s="27">
        <v>3</v>
      </c>
      <c r="AG788" s="27">
        <v>2</v>
      </c>
      <c r="AH788" s="27">
        <v>1</v>
      </c>
      <c r="AI788" s="28">
        <v>2</v>
      </c>
      <c r="AK788" s="36">
        <v>755</v>
      </c>
      <c r="AL788" s="33">
        <v>8</v>
      </c>
      <c r="AM788" s="33">
        <v>1</v>
      </c>
      <c r="AN788" s="33">
        <v>4</v>
      </c>
      <c r="AO788" s="33">
        <v>0</v>
      </c>
      <c r="AP788" s="33">
        <v>0</v>
      </c>
      <c r="AQ788" s="33">
        <v>0</v>
      </c>
      <c r="AR788" s="33">
        <v>2</v>
      </c>
      <c r="AS788" s="33">
        <v>2</v>
      </c>
      <c r="AT788" s="33">
        <v>2</v>
      </c>
      <c r="AU788" s="43">
        <v>0.16923098187650204</v>
      </c>
      <c r="AV788" s="33">
        <v>0</v>
      </c>
      <c r="AW788" s="33">
        <v>0</v>
      </c>
      <c r="AY788" s="36">
        <v>760</v>
      </c>
      <c r="AZ788" s="33">
        <v>1</v>
      </c>
      <c r="BA788" s="33">
        <v>2</v>
      </c>
      <c r="BB788" s="33">
        <v>0</v>
      </c>
      <c r="BC788" s="33">
        <v>0</v>
      </c>
      <c r="BD788" s="43">
        <v>0.23662845161334917</v>
      </c>
      <c r="BE788" s="33">
        <v>0</v>
      </c>
      <c r="BF788" s="33">
        <v>0</v>
      </c>
      <c r="CE788" s="36">
        <v>754</v>
      </c>
      <c r="CF788" s="33">
        <v>22</v>
      </c>
      <c r="CG788" s="33">
        <v>3</v>
      </c>
      <c r="CH788" s="33">
        <v>1</v>
      </c>
      <c r="CI788" s="33">
        <v>1</v>
      </c>
      <c r="CJ788" s="33">
        <v>1</v>
      </c>
      <c r="CK788" s="33">
        <v>1</v>
      </c>
      <c r="CL788" s="33">
        <v>0</v>
      </c>
      <c r="CM788" s="33">
        <v>3</v>
      </c>
      <c r="CN788" s="33">
        <v>21</v>
      </c>
      <c r="CO788" s="33">
        <v>2</v>
      </c>
      <c r="CP788" s="43">
        <v>0.24227487548675339</v>
      </c>
      <c r="CQ788" s="33">
        <v>0</v>
      </c>
      <c r="CR788" s="33">
        <v>0</v>
      </c>
    </row>
    <row r="789" spans="1:96" ht="15" customHeight="1" x14ac:dyDescent="0.25">
      <c r="A789" s="26">
        <v>787</v>
      </c>
      <c r="B789" s="27">
        <v>55</v>
      </c>
      <c r="C789" s="27">
        <v>0</v>
      </c>
      <c r="D789" s="27">
        <v>2</v>
      </c>
      <c r="E789" s="27">
        <v>1091</v>
      </c>
      <c r="F789" s="27">
        <v>2</v>
      </c>
      <c r="G789" s="27">
        <v>2</v>
      </c>
      <c r="H789" s="27">
        <v>1</v>
      </c>
      <c r="I789" s="27">
        <v>1</v>
      </c>
      <c r="J789" s="27">
        <v>1</v>
      </c>
      <c r="K789" s="27">
        <v>1096</v>
      </c>
      <c r="L789" s="27">
        <v>4</v>
      </c>
      <c r="M789" s="27">
        <v>1</v>
      </c>
      <c r="N789" s="27">
        <v>65</v>
      </c>
      <c r="O789" s="27">
        <v>3</v>
      </c>
      <c r="P789" s="27">
        <v>3</v>
      </c>
      <c r="Q789" s="27">
        <v>4</v>
      </c>
      <c r="R789" s="27">
        <v>2</v>
      </c>
      <c r="S789" s="27">
        <v>2</v>
      </c>
      <c r="T789" s="27">
        <v>10976</v>
      </c>
      <c r="U789" s="27">
        <v>15813</v>
      </c>
      <c r="V789" s="27">
        <v>3</v>
      </c>
      <c r="W789" s="27">
        <v>0</v>
      </c>
      <c r="X789" s="27">
        <v>18</v>
      </c>
      <c r="Y789" s="27">
        <v>3</v>
      </c>
      <c r="Z789" s="27">
        <v>2</v>
      </c>
      <c r="AA789" s="27">
        <v>80</v>
      </c>
      <c r="AB789" s="27">
        <v>1</v>
      </c>
      <c r="AC789" s="27">
        <v>23</v>
      </c>
      <c r="AD789" s="27">
        <v>4</v>
      </c>
      <c r="AE789" s="27">
        <v>3</v>
      </c>
      <c r="AF789" s="27">
        <v>3</v>
      </c>
      <c r="AG789" s="27">
        <v>2</v>
      </c>
      <c r="AH789" s="27">
        <v>1</v>
      </c>
      <c r="AI789" s="28">
        <v>2</v>
      </c>
      <c r="AK789" s="36">
        <v>756</v>
      </c>
      <c r="AL789" s="33">
        <v>11</v>
      </c>
      <c r="AM789" s="33">
        <v>4</v>
      </c>
      <c r="AN789" s="33">
        <v>4</v>
      </c>
      <c r="AO789" s="33">
        <v>3</v>
      </c>
      <c r="AP789" s="33">
        <v>0</v>
      </c>
      <c r="AQ789" s="33">
        <v>1</v>
      </c>
      <c r="AR789" s="33">
        <v>4</v>
      </c>
      <c r="AS789" s="33">
        <v>9</v>
      </c>
      <c r="AT789" s="33">
        <v>1</v>
      </c>
      <c r="AU789" s="43">
        <v>1.052680735482445E-2</v>
      </c>
      <c r="AV789" s="33">
        <v>0</v>
      </c>
      <c r="AW789" s="33">
        <v>0</v>
      </c>
      <c r="AY789" s="36">
        <v>761</v>
      </c>
      <c r="AZ789" s="33">
        <v>3</v>
      </c>
      <c r="BA789" s="33">
        <v>2</v>
      </c>
      <c r="BB789" s="33">
        <v>0</v>
      </c>
      <c r="BC789" s="33">
        <v>1</v>
      </c>
      <c r="BD789" s="43">
        <v>5.6480788250011953E-2</v>
      </c>
      <c r="BE789" s="33">
        <v>0</v>
      </c>
      <c r="BF789" s="33">
        <v>0</v>
      </c>
      <c r="CE789" s="36">
        <v>755</v>
      </c>
      <c r="CF789" s="33">
        <v>8</v>
      </c>
      <c r="CG789" s="33">
        <v>1</v>
      </c>
      <c r="CH789" s="33">
        <v>4</v>
      </c>
      <c r="CI789" s="33">
        <v>1</v>
      </c>
      <c r="CJ789" s="33">
        <v>0</v>
      </c>
      <c r="CK789" s="33">
        <v>0</v>
      </c>
      <c r="CL789" s="33">
        <v>0</v>
      </c>
      <c r="CM789" s="33">
        <v>2</v>
      </c>
      <c r="CN789" s="33">
        <v>2</v>
      </c>
      <c r="CO789" s="33">
        <v>2</v>
      </c>
      <c r="CP789" s="43">
        <v>0.19314222983274434</v>
      </c>
      <c r="CQ789" s="33">
        <v>0</v>
      </c>
      <c r="CR789" s="33">
        <v>0</v>
      </c>
    </row>
    <row r="790" spans="1:96" ht="15" customHeight="1" x14ac:dyDescent="0.25">
      <c r="A790" s="26">
        <v>788</v>
      </c>
      <c r="B790" s="27">
        <v>28</v>
      </c>
      <c r="C790" s="27">
        <v>0</v>
      </c>
      <c r="D790" s="27">
        <v>1</v>
      </c>
      <c r="E790" s="27">
        <v>857</v>
      </c>
      <c r="F790" s="27">
        <v>2</v>
      </c>
      <c r="G790" s="27">
        <v>10</v>
      </c>
      <c r="H790" s="27">
        <v>3</v>
      </c>
      <c r="I790" s="27">
        <v>6</v>
      </c>
      <c r="J790" s="27">
        <v>1</v>
      </c>
      <c r="K790" s="27">
        <v>1097</v>
      </c>
      <c r="L790" s="27">
        <v>3</v>
      </c>
      <c r="M790" s="27">
        <v>0</v>
      </c>
      <c r="N790" s="27">
        <v>59</v>
      </c>
      <c r="O790" s="27">
        <v>3</v>
      </c>
      <c r="P790" s="27">
        <v>2</v>
      </c>
      <c r="Q790" s="27">
        <v>2</v>
      </c>
      <c r="R790" s="27">
        <v>3</v>
      </c>
      <c r="S790" s="27">
        <v>1</v>
      </c>
      <c r="T790" s="27">
        <v>3660</v>
      </c>
      <c r="U790" s="27">
        <v>7909</v>
      </c>
      <c r="V790" s="27">
        <v>3</v>
      </c>
      <c r="W790" s="27">
        <v>0</v>
      </c>
      <c r="X790" s="27">
        <v>13</v>
      </c>
      <c r="Y790" s="27">
        <v>3</v>
      </c>
      <c r="Z790" s="27">
        <v>4</v>
      </c>
      <c r="AA790" s="27">
        <v>80</v>
      </c>
      <c r="AB790" s="27">
        <v>0</v>
      </c>
      <c r="AC790" s="27">
        <v>10</v>
      </c>
      <c r="AD790" s="27">
        <v>4</v>
      </c>
      <c r="AE790" s="27">
        <v>4</v>
      </c>
      <c r="AF790" s="27">
        <v>8</v>
      </c>
      <c r="AG790" s="27">
        <v>7</v>
      </c>
      <c r="AH790" s="27">
        <v>1</v>
      </c>
      <c r="AI790" s="28">
        <v>7</v>
      </c>
      <c r="AK790" s="36">
        <v>757</v>
      </c>
      <c r="AL790" s="33">
        <v>29</v>
      </c>
      <c r="AM790" s="33">
        <v>1</v>
      </c>
      <c r="AN790" s="33">
        <v>3</v>
      </c>
      <c r="AO790" s="33">
        <v>9</v>
      </c>
      <c r="AP790" s="33">
        <v>0</v>
      </c>
      <c r="AQ790" s="33">
        <v>0</v>
      </c>
      <c r="AR790" s="33">
        <v>3</v>
      </c>
      <c r="AS790" s="33">
        <v>8</v>
      </c>
      <c r="AT790" s="33">
        <v>7</v>
      </c>
      <c r="AU790" s="43">
        <v>0.5161840423567795</v>
      </c>
      <c r="AV790" s="33">
        <v>1</v>
      </c>
      <c r="AW790" s="33">
        <v>0</v>
      </c>
      <c r="AY790" s="36">
        <v>762</v>
      </c>
      <c r="AZ790" s="33">
        <v>2</v>
      </c>
      <c r="BA790" s="33">
        <v>3</v>
      </c>
      <c r="BB790" s="33">
        <v>0</v>
      </c>
      <c r="BC790" s="33">
        <v>1</v>
      </c>
      <c r="BD790" s="43">
        <v>7.244788656931947E-2</v>
      </c>
      <c r="BE790" s="33">
        <v>0</v>
      </c>
      <c r="BF790" s="33">
        <v>1</v>
      </c>
      <c r="CE790" s="36">
        <v>756</v>
      </c>
      <c r="CF790" s="33">
        <v>11</v>
      </c>
      <c r="CG790" s="33">
        <v>4</v>
      </c>
      <c r="CH790" s="33">
        <v>4</v>
      </c>
      <c r="CI790" s="33">
        <v>2</v>
      </c>
      <c r="CJ790" s="33">
        <v>3</v>
      </c>
      <c r="CK790" s="33">
        <v>0</v>
      </c>
      <c r="CL790" s="33">
        <v>1</v>
      </c>
      <c r="CM790" s="33">
        <v>4</v>
      </c>
      <c r="CN790" s="33">
        <v>9</v>
      </c>
      <c r="CO790" s="33">
        <v>1</v>
      </c>
      <c r="CP790" s="43">
        <v>1.0014945366685483E-2</v>
      </c>
      <c r="CQ790" s="33">
        <v>0</v>
      </c>
      <c r="CR790" s="33">
        <v>0</v>
      </c>
    </row>
    <row r="791" spans="1:96" ht="15" customHeight="1" x14ac:dyDescent="0.25">
      <c r="A791" s="26">
        <v>789</v>
      </c>
      <c r="B791" s="27">
        <v>44</v>
      </c>
      <c r="C791" s="27">
        <v>1</v>
      </c>
      <c r="D791" s="27">
        <v>1</v>
      </c>
      <c r="E791" s="27">
        <v>1376</v>
      </c>
      <c r="F791" s="27">
        <v>3</v>
      </c>
      <c r="G791" s="27">
        <v>1</v>
      </c>
      <c r="H791" s="27">
        <v>2</v>
      </c>
      <c r="I791" s="27">
        <v>3</v>
      </c>
      <c r="J791" s="27">
        <v>1</v>
      </c>
      <c r="K791" s="27">
        <v>1098</v>
      </c>
      <c r="L791" s="27">
        <v>2</v>
      </c>
      <c r="M791" s="27">
        <v>1</v>
      </c>
      <c r="N791" s="27">
        <v>91</v>
      </c>
      <c r="O791" s="27">
        <v>2</v>
      </c>
      <c r="P791" s="27">
        <v>3</v>
      </c>
      <c r="Q791" s="27">
        <v>9</v>
      </c>
      <c r="R791" s="27">
        <v>1</v>
      </c>
      <c r="S791" s="27">
        <v>2</v>
      </c>
      <c r="T791" s="27">
        <v>10482</v>
      </c>
      <c r="U791" s="27">
        <v>2326</v>
      </c>
      <c r="V791" s="27">
        <v>9</v>
      </c>
      <c r="W791" s="27">
        <v>0</v>
      </c>
      <c r="X791" s="27">
        <v>14</v>
      </c>
      <c r="Y791" s="27">
        <v>3</v>
      </c>
      <c r="Z791" s="27">
        <v>4</v>
      </c>
      <c r="AA791" s="27">
        <v>80</v>
      </c>
      <c r="AB791" s="27">
        <v>1</v>
      </c>
      <c r="AC791" s="27">
        <v>24</v>
      </c>
      <c r="AD791" s="27">
        <v>1</v>
      </c>
      <c r="AE791" s="27">
        <v>3</v>
      </c>
      <c r="AF791" s="27">
        <v>20</v>
      </c>
      <c r="AG791" s="27">
        <v>6</v>
      </c>
      <c r="AH791" s="27">
        <v>3</v>
      </c>
      <c r="AI791" s="28">
        <v>6</v>
      </c>
      <c r="AK791" s="36">
        <v>758</v>
      </c>
      <c r="AL791" s="33">
        <v>1</v>
      </c>
      <c r="AM791" s="33">
        <v>2</v>
      </c>
      <c r="AN791" s="33">
        <v>4</v>
      </c>
      <c r="AO791" s="33">
        <v>0</v>
      </c>
      <c r="AP791" s="33">
        <v>0</v>
      </c>
      <c r="AQ791" s="33">
        <v>1</v>
      </c>
      <c r="AR791" s="33">
        <v>2</v>
      </c>
      <c r="AS791" s="33">
        <v>15</v>
      </c>
      <c r="AT791" s="33">
        <v>0</v>
      </c>
      <c r="AU791" s="43">
        <v>1.6153784388015523E-2</v>
      </c>
      <c r="AV791" s="33">
        <v>0</v>
      </c>
      <c r="AW791" s="33">
        <v>0</v>
      </c>
      <c r="AY791" s="36">
        <v>763</v>
      </c>
      <c r="AZ791" s="33">
        <v>1</v>
      </c>
      <c r="BA791" s="33">
        <v>1</v>
      </c>
      <c r="BB791" s="33">
        <v>1</v>
      </c>
      <c r="BC791" s="33">
        <v>1</v>
      </c>
      <c r="BD791" s="43">
        <v>0.51155121875600029</v>
      </c>
      <c r="BE791" s="33">
        <v>1</v>
      </c>
      <c r="BF791" s="33">
        <v>1</v>
      </c>
      <c r="CE791" s="36">
        <v>757</v>
      </c>
      <c r="CF791" s="33">
        <v>29</v>
      </c>
      <c r="CG791" s="33">
        <v>1</v>
      </c>
      <c r="CH791" s="33">
        <v>3</v>
      </c>
      <c r="CI791" s="33">
        <v>1</v>
      </c>
      <c r="CJ791" s="33">
        <v>9</v>
      </c>
      <c r="CK791" s="33">
        <v>0</v>
      </c>
      <c r="CL791" s="33">
        <v>0</v>
      </c>
      <c r="CM791" s="33">
        <v>3</v>
      </c>
      <c r="CN791" s="33">
        <v>8</v>
      </c>
      <c r="CO791" s="33">
        <v>7</v>
      </c>
      <c r="CP791" s="43">
        <v>0.56148788569277808</v>
      </c>
      <c r="CQ791" s="33">
        <v>1</v>
      </c>
      <c r="CR791" s="33">
        <v>0</v>
      </c>
    </row>
    <row r="792" spans="1:96" ht="15" customHeight="1" x14ac:dyDescent="0.25">
      <c r="A792" s="26">
        <v>790</v>
      </c>
      <c r="B792" s="27">
        <v>33</v>
      </c>
      <c r="C792" s="27">
        <v>0</v>
      </c>
      <c r="D792" s="27">
        <v>1</v>
      </c>
      <c r="E792" s="27">
        <v>654</v>
      </c>
      <c r="F792" s="27">
        <v>2</v>
      </c>
      <c r="G792" s="27">
        <v>5</v>
      </c>
      <c r="H792" s="27">
        <v>3</v>
      </c>
      <c r="I792" s="27">
        <v>1</v>
      </c>
      <c r="J792" s="27">
        <v>1</v>
      </c>
      <c r="K792" s="27">
        <v>1099</v>
      </c>
      <c r="L792" s="27">
        <v>4</v>
      </c>
      <c r="M792" s="27">
        <v>1</v>
      </c>
      <c r="N792" s="27">
        <v>34</v>
      </c>
      <c r="O792" s="27">
        <v>2</v>
      </c>
      <c r="P792" s="27">
        <v>3</v>
      </c>
      <c r="Q792" s="27">
        <v>5</v>
      </c>
      <c r="R792" s="27">
        <v>4</v>
      </c>
      <c r="S792" s="27">
        <v>3</v>
      </c>
      <c r="T792" s="27">
        <v>7119</v>
      </c>
      <c r="U792" s="27">
        <v>21214</v>
      </c>
      <c r="V792" s="27">
        <v>4</v>
      </c>
      <c r="W792" s="27">
        <v>0</v>
      </c>
      <c r="X792" s="27">
        <v>15</v>
      </c>
      <c r="Y792" s="27">
        <v>3</v>
      </c>
      <c r="Z792" s="27">
        <v>3</v>
      </c>
      <c r="AA792" s="27">
        <v>80</v>
      </c>
      <c r="AB792" s="27">
        <v>1</v>
      </c>
      <c r="AC792" s="27">
        <v>9</v>
      </c>
      <c r="AD792" s="27">
        <v>2</v>
      </c>
      <c r="AE792" s="27">
        <v>3</v>
      </c>
      <c r="AF792" s="27">
        <v>3</v>
      </c>
      <c r="AG792" s="27">
        <v>2</v>
      </c>
      <c r="AH792" s="27">
        <v>1</v>
      </c>
      <c r="AI792" s="28">
        <v>2</v>
      </c>
      <c r="AK792" s="36">
        <v>759</v>
      </c>
      <c r="AL792" s="33">
        <v>1</v>
      </c>
      <c r="AM792" s="33">
        <v>3</v>
      </c>
      <c r="AN792" s="33">
        <v>4</v>
      </c>
      <c r="AO792" s="33">
        <v>3</v>
      </c>
      <c r="AP792" s="33">
        <v>1</v>
      </c>
      <c r="AQ792" s="33">
        <v>1</v>
      </c>
      <c r="AR792" s="33">
        <v>1</v>
      </c>
      <c r="AS792" s="33">
        <v>6</v>
      </c>
      <c r="AT792" s="33">
        <v>0</v>
      </c>
      <c r="AU792" s="43">
        <v>0.11383367553341199</v>
      </c>
      <c r="AV792" s="33">
        <v>0</v>
      </c>
      <c r="AW792" s="33">
        <v>0</v>
      </c>
      <c r="AY792" s="36">
        <v>764</v>
      </c>
      <c r="AZ792" s="33">
        <v>1</v>
      </c>
      <c r="BA792" s="33">
        <v>3</v>
      </c>
      <c r="BB792" s="33">
        <v>1</v>
      </c>
      <c r="BC792" s="33">
        <v>1</v>
      </c>
      <c r="BD792" s="43">
        <v>0.36852652578740397</v>
      </c>
      <c r="BE792" s="33">
        <v>0</v>
      </c>
      <c r="BF792" s="33">
        <v>0</v>
      </c>
      <c r="CE792" s="36">
        <v>758</v>
      </c>
      <c r="CF792" s="33">
        <v>1</v>
      </c>
      <c r="CG792" s="33">
        <v>2</v>
      </c>
      <c r="CH792" s="33">
        <v>4</v>
      </c>
      <c r="CI792" s="33">
        <v>3</v>
      </c>
      <c r="CJ792" s="33">
        <v>0</v>
      </c>
      <c r="CK792" s="33">
        <v>0</v>
      </c>
      <c r="CL792" s="33">
        <v>1</v>
      </c>
      <c r="CM792" s="33">
        <v>2</v>
      </c>
      <c r="CN792" s="33">
        <v>15</v>
      </c>
      <c r="CO792" s="33">
        <v>0</v>
      </c>
      <c r="CP792" s="43">
        <v>8.9102211390707804E-3</v>
      </c>
      <c r="CQ792" s="33">
        <v>0</v>
      </c>
      <c r="CR792" s="33">
        <v>0</v>
      </c>
    </row>
    <row r="793" spans="1:96" ht="15" customHeight="1" x14ac:dyDescent="0.25">
      <c r="A793" s="26">
        <v>791</v>
      </c>
      <c r="B793" s="27">
        <v>35</v>
      </c>
      <c r="C793" s="27">
        <v>1</v>
      </c>
      <c r="D793" s="27">
        <v>1</v>
      </c>
      <c r="E793" s="27">
        <v>1204</v>
      </c>
      <c r="F793" s="27">
        <v>1</v>
      </c>
      <c r="G793" s="27">
        <v>4</v>
      </c>
      <c r="H793" s="27">
        <v>3</v>
      </c>
      <c r="I793" s="27">
        <v>5</v>
      </c>
      <c r="J793" s="27">
        <v>1</v>
      </c>
      <c r="K793" s="27">
        <v>1100</v>
      </c>
      <c r="L793" s="27">
        <v>4</v>
      </c>
      <c r="M793" s="27">
        <v>1</v>
      </c>
      <c r="N793" s="27">
        <v>86</v>
      </c>
      <c r="O793" s="27">
        <v>3</v>
      </c>
      <c r="P793" s="27">
        <v>3</v>
      </c>
      <c r="Q793" s="27">
        <v>1</v>
      </c>
      <c r="R793" s="27">
        <v>1</v>
      </c>
      <c r="S793" s="27">
        <v>1</v>
      </c>
      <c r="T793" s="27">
        <v>9582</v>
      </c>
      <c r="U793" s="27">
        <v>10333</v>
      </c>
      <c r="V793" s="27">
        <v>0</v>
      </c>
      <c r="W793" s="27">
        <v>1</v>
      </c>
      <c r="X793" s="27">
        <v>22</v>
      </c>
      <c r="Y793" s="27">
        <v>4</v>
      </c>
      <c r="Z793" s="27">
        <v>1</v>
      </c>
      <c r="AA793" s="27">
        <v>80</v>
      </c>
      <c r="AB793" s="27">
        <v>0</v>
      </c>
      <c r="AC793" s="27">
        <v>9</v>
      </c>
      <c r="AD793" s="27">
        <v>2</v>
      </c>
      <c r="AE793" s="27">
        <v>3</v>
      </c>
      <c r="AF793" s="27">
        <v>8</v>
      </c>
      <c r="AG793" s="27">
        <v>7</v>
      </c>
      <c r="AH793" s="27">
        <v>4</v>
      </c>
      <c r="AI793" s="28">
        <v>7</v>
      </c>
      <c r="AK793" s="36">
        <v>760</v>
      </c>
      <c r="AL793" s="33">
        <v>24</v>
      </c>
      <c r="AM793" s="33">
        <v>1</v>
      </c>
      <c r="AN793" s="33">
        <v>2</v>
      </c>
      <c r="AO793" s="33">
        <v>1</v>
      </c>
      <c r="AP793" s="33">
        <v>0</v>
      </c>
      <c r="AQ793" s="33">
        <v>0</v>
      </c>
      <c r="AR793" s="33">
        <v>3</v>
      </c>
      <c r="AS793" s="33">
        <v>6</v>
      </c>
      <c r="AT793" s="33">
        <v>0</v>
      </c>
      <c r="AU793" s="43">
        <v>0.24369517935591017</v>
      </c>
      <c r="AV793" s="33">
        <v>0</v>
      </c>
      <c r="AW793" s="33">
        <v>0</v>
      </c>
      <c r="AY793" s="36">
        <v>765</v>
      </c>
      <c r="AZ793" s="33">
        <v>1</v>
      </c>
      <c r="BA793" s="33">
        <v>2</v>
      </c>
      <c r="BB793" s="33">
        <v>0</v>
      </c>
      <c r="BC793" s="33">
        <v>0</v>
      </c>
      <c r="BD793" s="43">
        <v>0.23662845161334917</v>
      </c>
      <c r="BE793" s="33">
        <v>0</v>
      </c>
      <c r="BF793" s="33">
        <v>0</v>
      </c>
      <c r="CE793" s="36">
        <v>759</v>
      </c>
      <c r="CF793" s="33">
        <v>1</v>
      </c>
      <c r="CG793" s="33">
        <v>3</v>
      </c>
      <c r="CH793" s="33">
        <v>4</v>
      </c>
      <c r="CI793" s="33">
        <v>2</v>
      </c>
      <c r="CJ793" s="33">
        <v>3</v>
      </c>
      <c r="CK793" s="33">
        <v>1</v>
      </c>
      <c r="CL793" s="33">
        <v>1</v>
      </c>
      <c r="CM793" s="33">
        <v>1</v>
      </c>
      <c r="CN793" s="33">
        <v>6</v>
      </c>
      <c r="CO793" s="33">
        <v>0</v>
      </c>
      <c r="CP793" s="43">
        <v>0.11679915405149466</v>
      </c>
      <c r="CQ793" s="33">
        <v>0</v>
      </c>
      <c r="CR793" s="33">
        <v>0</v>
      </c>
    </row>
    <row r="794" spans="1:96" ht="15" customHeight="1" x14ac:dyDescent="0.25">
      <c r="A794" s="26">
        <v>792</v>
      </c>
      <c r="B794" s="27">
        <v>33</v>
      </c>
      <c r="C794" s="27">
        <v>1</v>
      </c>
      <c r="D794" s="27">
        <v>2</v>
      </c>
      <c r="E794" s="27">
        <v>827</v>
      </c>
      <c r="F794" s="27">
        <v>2</v>
      </c>
      <c r="G794" s="27">
        <v>29</v>
      </c>
      <c r="H794" s="27">
        <v>4</v>
      </c>
      <c r="I794" s="27">
        <v>3</v>
      </c>
      <c r="J794" s="27">
        <v>1</v>
      </c>
      <c r="K794" s="27">
        <v>1101</v>
      </c>
      <c r="L794" s="27">
        <v>1</v>
      </c>
      <c r="M794" s="27">
        <v>0</v>
      </c>
      <c r="N794" s="27">
        <v>54</v>
      </c>
      <c r="O794" s="27">
        <v>2</v>
      </c>
      <c r="P794" s="27">
        <v>2</v>
      </c>
      <c r="Q794" s="27">
        <v>2</v>
      </c>
      <c r="R794" s="27">
        <v>3</v>
      </c>
      <c r="S794" s="27">
        <v>1</v>
      </c>
      <c r="T794" s="27">
        <v>4508</v>
      </c>
      <c r="U794" s="27">
        <v>3129</v>
      </c>
      <c r="V794" s="27">
        <v>1</v>
      </c>
      <c r="W794" s="27">
        <v>0</v>
      </c>
      <c r="X794" s="27">
        <v>22</v>
      </c>
      <c r="Y794" s="27">
        <v>4</v>
      </c>
      <c r="Z794" s="27">
        <v>2</v>
      </c>
      <c r="AA794" s="27">
        <v>80</v>
      </c>
      <c r="AB794" s="27">
        <v>0</v>
      </c>
      <c r="AC794" s="27">
        <v>14</v>
      </c>
      <c r="AD794" s="27">
        <v>4</v>
      </c>
      <c r="AE794" s="27">
        <v>3</v>
      </c>
      <c r="AF794" s="27">
        <v>13</v>
      </c>
      <c r="AG794" s="27">
        <v>7</v>
      </c>
      <c r="AH794" s="27">
        <v>3</v>
      </c>
      <c r="AI794" s="28">
        <v>8</v>
      </c>
      <c r="AK794" s="36">
        <v>761</v>
      </c>
      <c r="AL794" s="33">
        <v>2</v>
      </c>
      <c r="AM794" s="33">
        <v>3</v>
      </c>
      <c r="AN794" s="33">
        <v>2</v>
      </c>
      <c r="AO794" s="33">
        <v>2</v>
      </c>
      <c r="AP794" s="33">
        <v>0</v>
      </c>
      <c r="AQ794" s="33">
        <v>1</v>
      </c>
      <c r="AR794" s="33">
        <v>3</v>
      </c>
      <c r="AS794" s="33">
        <v>15</v>
      </c>
      <c r="AT794" s="33">
        <v>6</v>
      </c>
      <c r="AU794" s="43">
        <v>3.1441683693090507E-2</v>
      </c>
      <c r="AV794" s="33">
        <v>0</v>
      </c>
      <c r="AW794" s="33">
        <v>0</v>
      </c>
      <c r="AY794" s="36">
        <v>766</v>
      </c>
      <c r="AZ794" s="33">
        <v>1</v>
      </c>
      <c r="BA794" s="33">
        <v>3</v>
      </c>
      <c r="BB794" s="33">
        <v>0</v>
      </c>
      <c r="BC794" s="33">
        <v>1</v>
      </c>
      <c r="BD794" s="43">
        <v>0.12012271365792118</v>
      </c>
      <c r="BE794" s="33">
        <v>0</v>
      </c>
      <c r="BF794" s="33">
        <v>0</v>
      </c>
      <c r="CE794" s="36">
        <v>760</v>
      </c>
      <c r="CF794" s="33">
        <v>24</v>
      </c>
      <c r="CG794" s="33">
        <v>1</v>
      </c>
      <c r="CH794" s="33">
        <v>2</v>
      </c>
      <c r="CI794" s="33">
        <v>1</v>
      </c>
      <c r="CJ794" s="33">
        <v>1</v>
      </c>
      <c r="CK794" s="33">
        <v>0</v>
      </c>
      <c r="CL794" s="33">
        <v>0</v>
      </c>
      <c r="CM794" s="33">
        <v>3</v>
      </c>
      <c r="CN794" s="33">
        <v>6</v>
      </c>
      <c r="CO794" s="33">
        <v>0</v>
      </c>
      <c r="CP794" s="43">
        <v>0.2763959371421944</v>
      </c>
      <c r="CQ794" s="33">
        <v>0</v>
      </c>
      <c r="CR794" s="33">
        <v>0</v>
      </c>
    </row>
    <row r="795" spans="1:96" ht="15" customHeight="1" x14ac:dyDescent="0.25">
      <c r="A795" s="26">
        <v>793</v>
      </c>
      <c r="B795" s="27">
        <v>28</v>
      </c>
      <c r="C795" s="27">
        <v>0</v>
      </c>
      <c r="D795" s="27">
        <v>1</v>
      </c>
      <c r="E795" s="27">
        <v>895</v>
      </c>
      <c r="F795" s="27">
        <v>2</v>
      </c>
      <c r="G795" s="27">
        <v>15</v>
      </c>
      <c r="H795" s="27">
        <v>2</v>
      </c>
      <c r="I795" s="27">
        <v>1</v>
      </c>
      <c r="J795" s="27">
        <v>1</v>
      </c>
      <c r="K795" s="27">
        <v>1102</v>
      </c>
      <c r="L795" s="27">
        <v>1</v>
      </c>
      <c r="M795" s="27">
        <v>1</v>
      </c>
      <c r="N795" s="27">
        <v>50</v>
      </c>
      <c r="O795" s="27">
        <v>3</v>
      </c>
      <c r="P795" s="27">
        <v>1</v>
      </c>
      <c r="Q795" s="27">
        <v>3</v>
      </c>
      <c r="R795" s="27">
        <v>3</v>
      </c>
      <c r="S795" s="27">
        <v>3</v>
      </c>
      <c r="T795" s="27">
        <v>2207</v>
      </c>
      <c r="U795" s="27">
        <v>22482</v>
      </c>
      <c r="V795" s="27">
        <v>1</v>
      </c>
      <c r="W795" s="27">
        <v>0</v>
      </c>
      <c r="X795" s="27">
        <v>16</v>
      </c>
      <c r="Y795" s="27">
        <v>3</v>
      </c>
      <c r="Z795" s="27">
        <v>4</v>
      </c>
      <c r="AA795" s="27">
        <v>80</v>
      </c>
      <c r="AB795" s="27">
        <v>1</v>
      </c>
      <c r="AC795" s="27">
        <v>4</v>
      </c>
      <c r="AD795" s="27">
        <v>5</v>
      </c>
      <c r="AE795" s="27">
        <v>2</v>
      </c>
      <c r="AF795" s="27">
        <v>4</v>
      </c>
      <c r="AG795" s="27">
        <v>2</v>
      </c>
      <c r="AH795" s="27">
        <v>2</v>
      </c>
      <c r="AI795" s="28">
        <v>2</v>
      </c>
      <c r="AK795" s="36">
        <v>762</v>
      </c>
      <c r="AL795" s="33">
        <v>15</v>
      </c>
      <c r="AM795" s="33">
        <v>2</v>
      </c>
      <c r="AN795" s="33">
        <v>3</v>
      </c>
      <c r="AO795" s="33">
        <v>7</v>
      </c>
      <c r="AP795" s="33">
        <v>0</v>
      </c>
      <c r="AQ795" s="33">
        <v>1</v>
      </c>
      <c r="AR795" s="33">
        <v>2</v>
      </c>
      <c r="AS795" s="33">
        <v>1</v>
      </c>
      <c r="AT795" s="33">
        <v>0</v>
      </c>
      <c r="AU795" s="43">
        <v>0.14817355571507712</v>
      </c>
      <c r="AV795" s="33">
        <v>0</v>
      </c>
      <c r="AW795" s="33">
        <v>1</v>
      </c>
      <c r="AY795" s="36">
        <v>767</v>
      </c>
      <c r="AZ795" s="33">
        <v>5</v>
      </c>
      <c r="BA795" s="33">
        <v>3</v>
      </c>
      <c r="BB795" s="33">
        <v>1</v>
      </c>
      <c r="BC795" s="33">
        <v>1</v>
      </c>
      <c r="BD795" s="43">
        <v>5.8845347099450079E-2</v>
      </c>
      <c r="BE795" s="33">
        <v>0</v>
      </c>
      <c r="BF795" s="33">
        <v>0</v>
      </c>
      <c r="CE795" s="36">
        <v>761</v>
      </c>
      <c r="CF795" s="33">
        <v>2</v>
      </c>
      <c r="CG795" s="33">
        <v>3</v>
      </c>
      <c r="CH795" s="33">
        <v>2</v>
      </c>
      <c r="CI795" s="33">
        <v>2</v>
      </c>
      <c r="CJ795" s="33">
        <v>2</v>
      </c>
      <c r="CK795" s="33">
        <v>0</v>
      </c>
      <c r="CL795" s="33">
        <v>1</v>
      </c>
      <c r="CM795" s="33">
        <v>3</v>
      </c>
      <c r="CN795" s="33">
        <v>15</v>
      </c>
      <c r="CO795" s="33">
        <v>6</v>
      </c>
      <c r="CP795" s="43">
        <v>3.1577130140375255E-2</v>
      </c>
      <c r="CQ795" s="33">
        <v>0</v>
      </c>
      <c r="CR795" s="33">
        <v>0</v>
      </c>
    </row>
    <row r="796" spans="1:96" ht="15" customHeight="1" x14ac:dyDescent="0.25">
      <c r="A796" s="26">
        <v>794</v>
      </c>
      <c r="B796" s="27">
        <v>34</v>
      </c>
      <c r="C796" s="27">
        <v>0</v>
      </c>
      <c r="D796" s="27">
        <v>2</v>
      </c>
      <c r="E796" s="27">
        <v>618</v>
      </c>
      <c r="F796" s="27">
        <v>2</v>
      </c>
      <c r="G796" s="27">
        <v>3</v>
      </c>
      <c r="H796" s="27">
        <v>1</v>
      </c>
      <c r="I796" s="27">
        <v>1</v>
      </c>
      <c r="J796" s="27">
        <v>1</v>
      </c>
      <c r="K796" s="27">
        <v>1103</v>
      </c>
      <c r="L796" s="27">
        <v>1</v>
      </c>
      <c r="M796" s="27">
        <v>1</v>
      </c>
      <c r="N796" s="27">
        <v>45</v>
      </c>
      <c r="O796" s="27">
        <v>3</v>
      </c>
      <c r="P796" s="27">
        <v>2</v>
      </c>
      <c r="Q796" s="27">
        <v>5</v>
      </c>
      <c r="R796" s="27">
        <v>4</v>
      </c>
      <c r="S796" s="27">
        <v>1</v>
      </c>
      <c r="T796" s="27">
        <v>7756</v>
      </c>
      <c r="U796" s="27">
        <v>22266</v>
      </c>
      <c r="V796" s="27">
        <v>0</v>
      </c>
      <c r="W796" s="27">
        <v>0</v>
      </c>
      <c r="X796" s="27">
        <v>17</v>
      </c>
      <c r="Y796" s="27">
        <v>3</v>
      </c>
      <c r="Z796" s="27">
        <v>3</v>
      </c>
      <c r="AA796" s="27">
        <v>80</v>
      </c>
      <c r="AB796" s="27">
        <v>0</v>
      </c>
      <c r="AC796" s="27">
        <v>7</v>
      </c>
      <c r="AD796" s="27">
        <v>1</v>
      </c>
      <c r="AE796" s="27">
        <v>2</v>
      </c>
      <c r="AF796" s="27">
        <v>6</v>
      </c>
      <c r="AG796" s="27">
        <v>2</v>
      </c>
      <c r="AH796" s="27">
        <v>0</v>
      </c>
      <c r="AI796" s="28">
        <v>4</v>
      </c>
      <c r="AK796" s="36">
        <v>763</v>
      </c>
      <c r="AL796" s="33">
        <v>2</v>
      </c>
      <c r="AM796" s="33">
        <v>1</v>
      </c>
      <c r="AN796" s="33">
        <v>1</v>
      </c>
      <c r="AO796" s="33">
        <v>6</v>
      </c>
      <c r="AP796" s="33">
        <v>1</v>
      </c>
      <c r="AQ796" s="33">
        <v>1</v>
      </c>
      <c r="AR796" s="33">
        <v>3</v>
      </c>
      <c r="AS796" s="33">
        <v>3</v>
      </c>
      <c r="AT796" s="33">
        <v>1</v>
      </c>
      <c r="AU796" s="43">
        <v>0.5193065318543808</v>
      </c>
      <c r="AV796" s="33">
        <v>1</v>
      </c>
      <c r="AW796" s="33">
        <v>1</v>
      </c>
      <c r="AY796" s="36">
        <v>768</v>
      </c>
      <c r="AZ796" s="33">
        <v>2</v>
      </c>
      <c r="BA796" s="33">
        <v>2</v>
      </c>
      <c r="BB796" s="33">
        <v>0</v>
      </c>
      <c r="BC796" s="33">
        <v>0</v>
      </c>
      <c r="BD796" s="43">
        <v>0.15063023792355215</v>
      </c>
      <c r="BE796" s="33">
        <v>0</v>
      </c>
      <c r="BF796" s="33">
        <v>0</v>
      </c>
      <c r="CE796" s="36">
        <v>762</v>
      </c>
      <c r="CF796" s="33">
        <v>15</v>
      </c>
      <c r="CG796" s="33">
        <v>2</v>
      </c>
      <c r="CH796" s="33">
        <v>3</v>
      </c>
      <c r="CI796" s="33">
        <v>3</v>
      </c>
      <c r="CJ796" s="33">
        <v>7</v>
      </c>
      <c r="CK796" s="33">
        <v>0</v>
      </c>
      <c r="CL796" s="33">
        <v>1</v>
      </c>
      <c r="CM796" s="33">
        <v>2</v>
      </c>
      <c r="CN796" s="33">
        <v>1</v>
      </c>
      <c r="CO796" s="33">
        <v>0</v>
      </c>
      <c r="CP796" s="43">
        <v>8.9526905909687579E-2</v>
      </c>
      <c r="CQ796" s="33">
        <v>0</v>
      </c>
      <c r="CR796" s="33">
        <v>1</v>
      </c>
    </row>
    <row r="797" spans="1:96" ht="15" customHeight="1" x14ac:dyDescent="0.25">
      <c r="A797" s="26">
        <v>795</v>
      </c>
      <c r="B797" s="27">
        <v>37</v>
      </c>
      <c r="C797" s="27">
        <v>0</v>
      </c>
      <c r="D797" s="27">
        <v>1</v>
      </c>
      <c r="E797" s="27">
        <v>309</v>
      </c>
      <c r="F797" s="27">
        <v>1</v>
      </c>
      <c r="G797" s="27">
        <v>10</v>
      </c>
      <c r="H797" s="27">
        <v>4</v>
      </c>
      <c r="I797" s="27">
        <v>1</v>
      </c>
      <c r="J797" s="27">
        <v>1</v>
      </c>
      <c r="K797" s="27">
        <v>1105</v>
      </c>
      <c r="L797" s="27">
        <v>4</v>
      </c>
      <c r="M797" s="27">
        <v>0</v>
      </c>
      <c r="N797" s="27">
        <v>88</v>
      </c>
      <c r="O797" s="27">
        <v>2</v>
      </c>
      <c r="P797" s="27">
        <v>2</v>
      </c>
      <c r="Q797" s="27">
        <v>1</v>
      </c>
      <c r="R797" s="27">
        <v>4</v>
      </c>
      <c r="S797" s="27">
        <v>3</v>
      </c>
      <c r="T797" s="27">
        <v>6694</v>
      </c>
      <c r="U797" s="27">
        <v>24223</v>
      </c>
      <c r="V797" s="27">
        <v>2</v>
      </c>
      <c r="W797" s="27">
        <v>1</v>
      </c>
      <c r="X797" s="27">
        <v>14</v>
      </c>
      <c r="Y797" s="27">
        <v>3</v>
      </c>
      <c r="Z797" s="27">
        <v>3</v>
      </c>
      <c r="AA797" s="27">
        <v>80</v>
      </c>
      <c r="AB797" s="27">
        <v>3</v>
      </c>
      <c r="AC797" s="27">
        <v>8</v>
      </c>
      <c r="AD797" s="27">
        <v>5</v>
      </c>
      <c r="AE797" s="27">
        <v>3</v>
      </c>
      <c r="AF797" s="27">
        <v>1</v>
      </c>
      <c r="AG797" s="27">
        <v>0</v>
      </c>
      <c r="AH797" s="27">
        <v>0</v>
      </c>
      <c r="AI797" s="28">
        <v>0</v>
      </c>
      <c r="AK797" s="36">
        <v>764</v>
      </c>
      <c r="AL797" s="33">
        <v>10</v>
      </c>
      <c r="AM797" s="33">
        <v>1</v>
      </c>
      <c r="AN797" s="33">
        <v>3</v>
      </c>
      <c r="AO797" s="33">
        <v>1</v>
      </c>
      <c r="AP797" s="33">
        <v>1</v>
      </c>
      <c r="AQ797" s="33">
        <v>1</v>
      </c>
      <c r="AR797" s="33">
        <v>3</v>
      </c>
      <c r="AS797" s="33">
        <v>1</v>
      </c>
      <c r="AT797" s="33">
        <v>0</v>
      </c>
      <c r="AU797" s="43">
        <v>0.34824313003729779</v>
      </c>
      <c r="AV797" s="33">
        <v>0</v>
      </c>
      <c r="AW797" s="33">
        <v>0</v>
      </c>
      <c r="AY797" s="36">
        <v>769</v>
      </c>
      <c r="AZ797" s="33">
        <v>2</v>
      </c>
      <c r="BA797" s="33">
        <v>1</v>
      </c>
      <c r="BB797" s="33">
        <v>0</v>
      </c>
      <c r="BC797" s="33">
        <v>1</v>
      </c>
      <c r="BD797" s="43">
        <v>0.12293502213131684</v>
      </c>
      <c r="BE797" s="33">
        <v>0</v>
      </c>
      <c r="BF797" s="33">
        <v>0</v>
      </c>
      <c r="CE797" s="36">
        <v>763</v>
      </c>
      <c r="CF797" s="33">
        <v>2</v>
      </c>
      <c r="CG797" s="33">
        <v>1</v>
      </c>
      <c r="CH797" s="33">
        <v>1</v>
      </c>
      <c r="CI797" s="33">
        <v>2</v>
      </c>
      <c r="CJ797" s="33">
        <v>6</v>
      </c>
      <c r="CK797" s="33">
        <v>1</v>
      </c>
      <c r="CL797" s="33">
        <v>1</v>
      </c>
      <c r="CM797" s="33">
        <v>3</v>
      </c>
      <c r="CN797" s="33">
        <v>3</v>
      </c>
      <c r="CO797" s="33">
        <v>1</v>
      </c>
      <c r="CP797" s="43">
        <v>0.52868377035411995</v>
      </c>
      <c r="CQ797" s="33">
        <v>1</v>
      </c>
      <c r="CR797" s="33">
        <v>1</v>
      </c>
    </row>
    <row r="798" spans="1:96" ht="15" customHeight="1" x14ac:dyDescent="0.25">
      <c r="A798" s="26">
        <v>796</v>
      </c>
      <c r="B798" s="27">
        <v>25</v>
      </c>
      <c r="C798" s="27">
        <v>1</v>
      </c>
      <c r="D798" s="27">
        <v>1</v>
      </c>
      <c r="E798" s="27">
        <v>1219</v>
      </c>
      <c r="F798" s="27">
        <v>2</v>
      </c>
      <c r="G798" s="27">
        <v>4</v>
      </c>
      <c r="H798" s="27">
        <v>1</v>
      </c>
      <c r="I798" s="27">
        <v>5</v>
      </c>
      <c r="J798" s="27">
        <v>1</v>
      </c>
      <c r="K798" s="27">
        <v>1106</v>
      </c>
      <c r="L798" s="27">
        <v>4</v>
      </c>
      <c r="M798" s="27">
        <v>1</v>
      </c>
      <c r="N798" s="27">
        <v>32</v>
      </c>
      <c r="O798" s="27">
        <v>3</v>
      </c>
      <c r="P798" s="27">
        <v>1</v>
      </c>
      <c r="Q798" s="27">
        <v>3</v>
      </c>
      <c r="R798" s="27">
        <v>4</v>
      </c>
      <c r="S798" s="27">
        <v>2</v>
      </c>
      <c r="T798" s="27">
        <v>3691</v>
      </c>
      <c r="U798" s="27">
        <v>4605</v>
      </c>
      <c r="V798" s="27">
        <v>1</v>
      </c>
      <c r="W798" s="27">
        <v>1</v>
      </c>
      <c r="X798" s="27">
        <v>15</v>
      </c>
      <c r="Y798" s="27">
        <v>3</v>
      </c>
      <c r="Z798" s="27">
        <v>2</v>
      </c>
      <c r="AA798" s="27">
        <v>80</v>
      </c>
      <c r="AB798" s="27">
        <v>1</v>
      </c>
      <c r="AC798" s="27">
        <v>7</v>
      </c>
      <c r="AD798" s="27">
        <v>3</v>
      </c>
      <c r="AE798" s="27">
        <v>4</v>
      </c>
      <c r="AF798" s="27">
        <v>7</v>
      </c>
      <c r="AG798" s="27">
        <v>7</v>
      </c>
      <c r="AH798" s="27">
        <v>5</v>
      </c>
      <c r="AI798" s="28">
        <v>6</v>
      </c>
      <c r="AK798" s="36">
        <v>765</v>
      </c>
      <c r="AL798" s="33">
        <v>10</v>
      </c>
      <c r="AM798" s="33">
        <v>1</v>
      </c>
      <c r="AN798" s="33">
        <v>2</v>
      </c>
      <c r="AO798" s="33">
        <v>1</v>
      </c>
      <c r="AP798" s="33">
        <v>0</v>
      </c>
      <c r="AQ798" s="33">
        <v>0</v>
      </c>
      <c r="AR798" s="33">
        <v>3</v>
      </c>
      <c r="AS798" s="33">
        <v>1</v>
      </c>
      <c r="AT798" s="33">
        <v>0</v>
      </c>
      <c r="AU798" s="43">
        <v>0.22393053578241592</v>
      </c>
      <c r="AV798" s="33">
        <v>0</v>
      </c>
      <c r="AW798" s="33">
        <v>0</v>
      </c>
      <c r="AY798" s="36">
        <v>770</v>
      </c>
      <c r="AZ798" s="33">
        <v>1</v>
      </c>
      <c r="BA798" s="33">
        <v>3</v>
      </c>
      <c r="BB798" s="33">
        <v>0</v>
      </c>
      <c r="BC798" s="33">
        <v>2</v>
      </c>
      <c r="BD798" s="43">
        <v>7.4543423691031577E-2</v>
      </c>
      <c r="BE798" s="33">
        <v>0</v>
      </c>
      <c r="BF798" s="33">
        <v>0</v>
      </c>
      <c r="CE798" s="36">
        <v>764</v>
      </c>
      <c r="CF798" s="33">
        <v>10</v>
      </c>
      <c r="CG798" s="33">
        <v>1</v>
      </c>
      <c r="CH798" s="33">
        <v>3</v>
      </c>
      <c r="CI798" s="33">
        <v>2</v>
      </c>
      <c r="CJ798" s="33">
        <v>1</v>
      </c>
      <c r="CK798" s="33">
        <v>1</v>
      </c>
      <c r="CL798" s="33">
        <v>1</v>
      </c>
      <c r="CM798" s="33">
        <v>3</v>
      </c>
      <c r="CN798" s="33">
        <v>1</v>
      </c>
      <c r="CO798" s="33">
        <v>0</v>
      </c>
      <c r="CP798" s="43">
        <v>0.34571966766596191</v>
      </c>
      <c r="CQ798" s="33">
        <v>0</v>
      </c>
      <c r="CR798" s="33">
        <v>0</v>
      </c>
    </row>
    <row r="799" spans="1:96" ht="15" customHeight="1" x14ac:dyDescent="0.25">
      <c r="A799" s="26">
        <v>797</v>
      </c>
      <c r="B799" s="27">
        <v>26</v>
      </c>
      <c r="C799" s="27">
        <v>1</v>
      </c>
      <c r="D799" s="27">
        <v>1</v>
      </c>
      <c r="E799" s="27">
        <v>1330</v>
      </c>
      <c r="F799" s="27">
        <v>2</v>
      </c>
      <c r="G799" s="27">
        <v>21</v>
      </c>
      <c r="H799" s="27">
        <v>3</v>
      </c>
      <c r="I799" s="27">
        <v>3</v>
      </c>
      <c r="J799" s="27">
        <v>1</v>
      </c>
      <c r="K799" s="27">
        <v>1107</v>
      </c>
      <c r="L799" s="27">
        <v>1</v>
      </c>
      <c r="M799" s="27">
        <v>1</v>
      </c>
      <c r="N799" s="27">
        <v>37</v>
      </c>
      <c r="O799" s="27">
        <v>3</v>
      </c>
      <c r="P799" s="27">
        <v>1</v>
      </c>
      <c r="Q799" s="27">
        <v>3</v>
      </c>
      <c r="R799" s="27">
        <v>3</v>
      </c>
      <c r="S799" s="27">
        <v>3</v>
      </c>
      <c r="T799" s="27">
        <v>2377</v>
      </c>
      <c r="U799" s="27">
        <v>19373</v>
      </c>
      <c r="V799" s="27">
        <v>1</v>
      </c>
      <c r="W799" s="27">
        <v>0</v>
      </c>
      <c r="X799" s="27">
        <v>20</v>
      </c>
      <c r="Y799" s="27">
        <v>4</v>
      </c>
      <c r="Z799" s="27">
        <v>3</v>
      </c>
      <c r="AA799" s="27">
        <v>80</v>
      </c>
      <c r="AB799" s="27">
        <v>1</v>
      </c>
      <c r="AC799" s="27">
        <v>1</v>
      </c>
      <c r="AD799" s="27">
        <v>0</v>
      </c>
      <c r="AE799" s="27">
        <v>2</v>
      </c>
      <c r="AF799" s="27">
        <v>1</v>
      </c>
      <c r="AG799" s="27">
        <v>1</v>
      </c>
      <c r="AH799" s="27">
        <v>0</v>
      </c>
      <c r="AI799" s="28">
        <v>0</v>
      </c>
      <c r="AK799" s="36">
        <v>766</v>
      </c>
      <c r="AL799" s="33">
        <v>3</v>
      </c>
      <c r="AM799" s="33">
        <v>1</v>
      </c>
      <c r="AN799" s="33">
        <v>3</v>
      </c>
      <c r="AO799" s="33">
        <v>3</v>
      </c>
      <c r="AP799" s="33">
        <v>0</v>
      </c>
      <c r="AQ799" s="33">
        <v>1</v>
      </c>
      <c r="AR799" s="33">
        <v>3</v>
      </c>
      <c r="AS799" s="33">
        <v>2</v>
      </c>
      <c r="AT799" s="33">
        <v>2</v>
      </c>
      <c r="AU799" s="43">
        <v>0.11764305269546081</v>
      </c>
      <c r="AV799" s="33">
        <v>0</v>
      </c>
      <c r="AW799" s="33">
        <v>0</v>
      </c>
      <c r="AY799" s="36">
        <v>771</v>
      </c>
      <c r="AZ799" s="33">
        <v>5</v>
      </c>
      <c r="BA799" s="33">
        <v>4</v>
      </c>
      <c r="BB799" s="33">
        <v>0</v>
      </c>
      <c r="BC799" s="33">
        <v>2</v>
      </c>
      <c r="BD799" s="43">
        <v>6.4006467307220058E-3</v>
      </c>
      <c r="BE799" s="33">
        <v>0</v>
      </c>
      <c r="BF799" s="33">
        <v>0</v>
      </c>
      <c r="CE799" s="36">
        <v>765</v>
      </c>
      <c r="CF799" s="33">
        <v>10</v>
      </c>
      <c r="CG799" s="33">
        <v>1</v>
      </c>
      <c r="CH799" s="33">
        <v>2</v>
      </c>
      <c r="CI799" s="33">
        <v>2</v>
      </c>
      <c r="CJ799" s="33">
        <v>1</v>
      </c>
      <c r="CK799" s="33">
        <v>0</v>
      </c>
      <c r="CL799" s="33">
        <v>0</v>
      </c>
      <c r="CM799" s="33">
        <v>3</v>
      </c>
      <c r="CN799" s="33">
        <v>1</v>
      </c>
      <c r="CO799" s="33">
        <v>0</v>
      </c>
      <c r="CP799" s="43">
        <v>0.16520952461006425</v>
      </c>
      <c r="CQ799" s="33">
        <v>0</v>
      </c>
      <c r="CR799" s="33">
        <v>0</v>
      </c>
    </row>
    <row r="800" spans="1:96" ht="15" customHeight="1" x14ac:dyDescent="0.25">
      <c r="A800" s="26">
        <v>798</v>
      </c>
      <c r="B800" s="27">
        <v>33</v>
      </c>
      <c r="C800" s="27">
        <v>1</v>
      </c>
      <c r="D800" s="27">
        <v>1</v>
      </c>
      <c r="E800" s="27">
        <v>1017</v>
      </c>
      <c r="F800" s="27">
        <v>2</v>
      </c>
      <c r="G800" s="27">
        <v>25</v>
      </c>
      <c r="H800" s="27">
        <v>3</v>
      </c>
      <c r="I800" s="27">
        <v>3</v>
      </c>
      <c r="J800" s="27">
        <v>1</v>
      </c>
      <c r="K800" s="27">
        <v>1108</v>
      </c>
      <c r="L800" s="27">
        <v>1</v>
      </c>
      <c r="M800" s="27">
        <v>1</v>
      </c>
      <c r="N800" s="27">
        <v>55</v>
      </c>
      <c r="O800" s="27">
        <v>2</v>
      </c>
      <c r="P800" s="27">
        <v>1</v>
      </c>
      <c r="Q800" s="27">
        <v>2</v>
      </c>
      <c r="R800" s="27">
        <v>2</v>
      </c>
      <c r="S800" s="27">
        <v>1</v>
      </c>
      <c r="T800" s="27">
        <v>2313</v>
      </c>
      <c r="U800" s="27">
        <v>2993</v>
      </c>
      <c r="V800" s="27">
        <v>4</v>
      </c>
      <c r="W800" s="27">
        <v>1</v>
      </c>
      <c r="X800" s="27">
        <v>20</v>
      </c>
      <c r="Y800" s="27">
        <v>4</v>
      </c>
      <c r="Z800" s="27">
        <v>2</v>
      </c>
      <c r="AA800" s="27">
        <v>80</v>
      </c>
      <c r="AB800" s="27">
        <v>0</v>
      </c>
      <c r="AC800" s="27">
        <v>5</v>
      </c>
      <c r="AD800" s="27">
        <v>0</v>
      </c>
      <c r="AE800" s="27">
        <v>3</v>
      </c>
      <c r="AF800" s="27">
        <v>2</v>
      </c>
      <c r="AG800" s="27">
        <v>2</v>
      </c>
      <c r="AH800" s="27">
        <v>2</v>
      </c>
      <c r="AI800" s="28">
        <v>2</v>
      </c>
      <c r="AK800" s="36">
        <v>767</v>
      </c>
      <c r="AL800" s="33">
        <v>2</v>
      </c>
      <c r="AM800" s="33">
        <v>5</v>
      </c>
      <c r="AN800" s="33">
        <v>3</v>
      </c>
      <c r="AO800" s="33">
        <v>2</v>
      </c>
      <c r="AP800" s="33">
        <v>1</v>
      </c>
      <c r="AQ800" s="33">
        <v>1</v>
      </c>
      <c r="AR800" s="33">
        <v>2</v>
      </c>
      <c r="AS800" s="33">
        <v>8</v>
      </c>
      <c r="AT800" s="33">
        <v>7</v>
      </c>
      <c r="AU800" s="43">
        <v>7.6071942577033647E-2</v>
      </c>
      <c r="AV800" s="33">
        <v>0</v>
      </c>
      <c r="AW800" s="33">
        <v>0</v>
      </c>
      <c r="AY800" s="36">
        <v>772</v>
      </c>
      <c r="AZ800" s="33">
        <v>3</v>
      </c>
      <c r="BA800" s="33">
        <v>3</v>
      </c>
      <c r="BB800" s="33">
        <v>0</v>
      </c>
      <c r="BC800" s="33">
        <v>1</v>
      </c>
      <c r="BD800" s="43">
        <v>4.2774603045834733E-2</v>
      </c>
      <c r="BE800" s="33">
        <v>0</v>
      </c>
      <c r="BF800" s="33">
        <v>0</v>
      </c>
      <c r="CE800" s="36">
        <v>766</v>
      </c>
      <c r="CF800" s="33">
        <v>3</v>
      </c>
      <c r="CG800" s="33">
        <v>1</v>
      </c>
      <c r="CH800" s="33">
        <v>3</v>
      </c>
      <c r="CI800" s="33">
        <v>2</v>
      </c>
      <c r="CJ800" s="33">
        <v>3</v>
      </c>
      <c r="CK800" s="33">
        <v>0</v>
      </c>
      <c r="CL800" s="33">
        <v>1</v>
      </c>
      <c r="CM800" s="33">
        <v>3</v>
      </c>
      <c r="CN800" s="33">
        <v>2</v>
      </c>
      <c r="CO800" s="33">
        <v>2</v>
      </c>
      <c r="CP800" s="43">
        <v>0.11348586973242122</v>
      </c>
      <c r="CQ800" s="33">
        <v>0</v>
      </c>
      <c r="CR800" s="33">
        <v>0</v>
      </c>
    </row>
    <row r="801" spans="1:96" ht="15" customHeight="1" x14ac:dyDescent="0.25">
      <c r="A801" s="26">
        <v>799</v>
      </c>
      <c r="B801" s="27">
        <v>42</v>
      </c>
      <c r="C801" s="27">
        <v>0</v>
      </c>
      <c r="D801" s="27">
        <v>1</v>
      </c>
      <c r="E801" s="27">
        <v>469</v>
      </c>
      <c r="F801" s="27">
        <v>2</v>
      </c>
      <c r="G801" s="27">
        <v>2</v>
      </c>
      <c r="H801" s="27">
        <v>2</v>
      </c>
      <c r="I801" s="27">
        <v>3</v>
      </c>
      <c r="J801" s="27">
        <v>1</v>
      </c>
      <c r="K801" s="27">
        <v>1109</v>
      </c>
      <c r="L801" s="27">
        <v>4</v>
      </c>
      <c r="M801" s="27">
        <v>1</v>
      </c>
      <c r="N801" s="27">
        <v>35</v>
      </c>
      <c r="O801" s="27">
        <v>3</v>
      </c>
      <c r="P801" s="27">
        <v>4</v>
      </c>
      <c r="Q801" s="27">
        <v>6</v>
      </c>
      <c r="R801" s="27">
        <v>1</v>
      </c>
      <c r="S801" s="27">
        <v>2</v>
      </c>
      <c r="T801" s="27">
        <v>17665</v>
      </c>
      <c r="U801" s="27">
        <v>14399</v>
      </c>
      <c r="V801" s="27">
        <v>0</v>
      </c>
      <c r="W801" s="27">
        <v>0</v>
      </c>
      <c r="X801" s="27">
        <v>17</v>
      </c>
      <c r="Y801" s="27">
        <v>3</v>
      </c>
      <c r="Z801" s="27">
        <v>4</v>
      </c>
      <c r="AA801" s="27">
        <v>80</v>
      </c>
      <c r="AB801" s="27">
        <v>1</v>
      </c>
      <c r="AC801" s="27">
        <v>23</v>
      </c>
      <c r="AD801" s="27">
        <v>3</v>
      </c>
      <c r="AE801" s="27">
        <v>3</v>
      </c>
      <c r="AF801" s="27">
        <v>22</v>
      </c>
      <c r="AG801" s="27">
        <v>6</v>
      </c>
      <c r="AH801" s="27">
        <v>13</v>
      </c>
      <c r="AI801" s="28">
        <v>7</v>
      </c>
      <c r="AK801" s="36">
        <v>768</v>
      </c>
      <c r="AL801" s="33">
        <v>3</v>
      </c>
      <c r="AM801" s="33">
        <v>2</v>
      </c>
      <c r="AN801" s="33">
        <v>2</v>
      </c>
      <c r="AO801" s="33">
        <v>3</v>
      </c>
      <c r="AP801" s="33">
        <v>0</v>
      </c>
      <c r="AQ801" s="33">
        <v>0</v>
      </c>
      <c r="AR801" s="33">
        <v>2</v>
      </c>
      <c r="AS801" s="33">
        <v>4</v>
      </c>
      <c r="AT801" s="33">
        <v>0</v>
      </c>
      <c r="AU801" s="43">
        <v>0.13637298736219894</v>
      </c>
      <c r="AV801" s="33">
        <v>0</v>
      </c>
      <c r="AW801" s="33">
        <v>0</v>
      </c>
      <c r="AY801" s="36">
        <v>773</v>
      </c>
      <c r="AZ801" s="33">
        <v>1</v>
      </c>
      <c r="BA801" s="33">
        <v>3</v>
      </c>
      <c r="BB801" s="33">
        <v>0</v>
      </c>
      <c r="BC801" s="33">
        <v>1</v>
      </c>
      <c r="BD801" s="43">
        <v>0.12012271365792118</v>
      </c>
      <c r="BE801" s="33">
        <v>0</v>
      </c>
      <c r="BF801" s="33">
        <v>0</v>
      </c>
      <c r="CE801" s="36">
        <v>767</v>
      </c>
      <c r="CF801" s="33">
        <v>2</v>
      </c>
      <c r="CG801" s="33">
        <v>5</v>
      </c>
      <c r="CH801" s="33">
        <v>3</v>
      </c>
      <c r="CI801" s="33">
        <v>2</v>
      </c>
      <c r="CJ801" s="33">
        <v>2</v>
      </c>
      <c r="CK801" s="33">
        <v>1</v>
      </c>
      <c r="CL801" s="33">
        <v>1</v>
      </c>
      <c r="CM801" s="33">
        <v>2</v>
      </c>
      <c r="CN801" s="33">
        <v>8</v>
      </c>
      <c r="CO801" s="33">
        <v>7</v>
      </c>
      <c r="CP801" s="43">
        <v>8.1294109169425366E-2</v>
      </c>
      <c r="CQ801" s="33">
        <v>0</v>
      </c>
      <c r="CR801" s="33">
        <v>0</v>
      </c>
    </row>
    <row r="802" spans="1:96" ht="15" customHeight="1" x14ac:dyDescent="0.25">
      <c r="A802" s="26">
        <v>800</v>
      </c>
      <c r="B802" s="27">
        <v>28</v>
      </c>
      <c r="C802" s="27">
        <v>1</v>
      </c>
      <c r="D802" s="27">
        <v>2</v>
      </c>
      <c r="E802" s="27">
        <v>1009</v>
      </c>
      <c r="F802" s="27">
        <v>2</v>
      </c>
      <c r="G802" s="27">
        <v>1</v>
      </c>
      <c r="H802" s="27">
        <v>3</v>
      </c>
      <c r="I802" s="27">
        <v>3</v>
      </c>
      <c r="J802" s="27">
        <v>1</v>
      </c>
      <c r="K802" s="27">
        <v>1111</v>
      </c>
      <c r="L802" s="27">
        <v>1</v>
      </c>
      <c r="M802" s="27">
        <v>1</v>
      </c>
      <c r="N802" s="27">
        <v>45</v>
      </c>
      <c r="O802" s="27">
        <v>2</v>
      </c>
      <c r="P802" s="27">
        <v>1</v>
      </c>
      <c r="Q802" s="27">
        <v>3</v>
      </c>
      <c r="R802" s="27">
        <v>2</v>
      </c>
      <c r="S802" s="27">
        <v>3</v>
      </c>
      <c r="T802" s="27">
        <v>2596</v>
      </c>
      <c r="U802" s="27">
        <v>7160</v>
      </c>
      <c r="V802" s="27">
        <v>1</v>
      </c>
      <c r="W802" s="27">
        <v>0</v>
      </c>
      <c r="X802" s="27">
        <v>15</v>
      </c>
      <c r="Y802" s="27">
        <v>3</v>
      </c>
      <c r="Z802" s="27">
        <v>1</v>
      </c>
      <c r="AA802" s="27">
        <v>80</v>
      </c>
      <c r="AB802" s="27">
        <v>2</v>
      </c>
      <c r="AC802" s="27">
        <v>1</v>
      </c>
      <c r="AD802" s="27">
        <v>2</v>
      </c>
      <c r="AE802" s="27">
        <v>3</v>
      </c>
      <c r="AF802" s="27">
        <v>1</v>
      </c>
      <c r="AG802" s="27">
        <v>0</v>
      </c>
      <c r="AH802" s="27">
        <v>0</v>
      </c>
      <c r="AI802" s="28">
        <v>0</v>
      </c>
      <c r="AK802" s="36">
        <v>769</v>
      </c>
      <c r="AL802" s="33">
        <v>26</v>
      </c>
      <c r="AM802" s="33">
        <v>2</v>
      </c>
      <c r="AN802" s="33">
        <v>1</v>
      </c>
      <c r="AO802" s="33">
        <v>1</v>
      </c>
      <c r="AP802" s="33">
        <v>0</v>
      </c>
      <c r="AQ802" s="33">
        <v>1</v>
      </c>
      <c r="AR802" s="33">
        <v>2</v>
      </c>
      <c r="AS802" s="33">
        <v>7</v>
      </c>
      <c r="AT802" s="33">
        <v>7</v>
      </c>
      <c r="AU802" s="43">
        <v>0.28129358172820362</v>
      </c>
      <c r="AV802" s="33">
        <v>0</v>
      </c>
      <c r="AW802" s="33">
        <v>0</v>
      </c>
      <c r="AY802" s="36">
        <v>774</v>
      </c>
      <c r="AZ802" s="33">
        <v>3</v>
      </c>
      <c r="BA802" s="33">
        <v>4</v>
      </c>
      <c r="BB802" s="33">
        <v>0</v>
      </c>
      <c r="BC802" s="33">
        <v>0</v>
      </c>
      <c r="BD802" s="43">
        <v>5.3512841598087578E-2</v>
      </c>
      <c r="BE802" s="33">
        <v>0</v>
      </c>
      <c r="BF802" s="33">
        <v>0</v>
      </c>
      <c r="CE802" s="36">
        <v>768</v>
      </c>
      <c r="CF802" s="33">
        <v>3</v>
      </c>
      <c r="CG802" s="33">
        <v>2</v>
      </c>
      <c r="CH802" s="33">
        <v>2</v>
      </c>
      <c r="CI802" s="33">
        <v>1</v>
      </c>
      <c r="CJ802" s="33">
        <v>3</v>
      </c>
      <c r="CK802" s="33">
        <v>0</v>
      </c>
      <c r="CL802" s="33">
        <v>0</v>
      </c>
      <c r="CM802" s="33">
        <v>2</v>
      </c>
      <c r="CN802" s="33">
        <v>4</v>
      </c>
      <c r="CO802" s="33">
        <v>0</v>
      </c>
      <c r="CP802" s="43">
        <v>0.16283111278807685</v>
      </c>
      <c r="CQ802" s="33">
        <v>0</v>
      </c>
      <c r="CR802" s="33">
        <v>0</v>
      </c>
    </row>
    <row r="803" spans="1:96" ht="15" customHeight="1" x14ac:dyDescent="0.25">
      <c r="A803" s="26">
        <v>801</v>
      </c>
      <c r="B803" s="27">
        <v>50</v>
      </c>
      <c r="C803" s="27">
        <v>1</v>
      </c>
      <c r="D803" s="27">
        <v>2</v>
      </c>
      <c r="E803" s="27">
        <v>959</v>
      </c>
      <c r="F803" s="27">
        <v>1</v>
      </c>
      <c r="G803" s="27">
        <v>1</v>
      </c>
      <c r="H803" s="27">
        <v>4</v>
      </c>
      <c r="I803" s="27">
        <v>6</v>
      </c>
      <c r="J803" s="27">
        <v>1</v>
      </c>
      <c r="K803" s="27">
        <v>1113</v>
      </c>
      <c r="L803" s="27">
        <v>4</v>
      </c>
      <c r="M803" s="27">
        <v>1</v>
      </c>
      <c r="N803" s="27">
        <v>81</v>
      </c>
      <c r="O803" s="27">
        <v>3</v>
      </c>
      <c r="P803" s="27">
        <v>2</v>
      </c>
      <c r="Q803" s="27">
        <v>1</v>
      </c>
      <c r="R803" s="27">
        <v>3</v>
      </c>
      <c r="S803" s="27">
        <v>1</v>
      </c>
      <c r="T803" s="27">
        <v>4728</v>
      </c>
      <c r="U803" s="27">
        <v>17251</v>
      </c>
      <c r="V803" s="27">
        <v>3</v>
      </c>
      <c r="W803" s="27">
        <v>1</v>
      </c>
      <c r="X803" s="27">
        <v>14</v>
      </c>
      <c r="Y803" s="27">
        <v>3</v>
      </c>
      <c r="Z803" s="27">
        <v>4</v>
      </c>
      <c r="AA803" s="27">
        <v>80</v>
      </c>
      <c r="AB803" s="27">
        <v>0</v>
      </c>
      <c r="AC803" s="27">
        <v>5</v>
      </c>
      <c r="AD803" s="27">
        <v>4</v>
      </c>
      <c r="AE803" s="27">
        <v>3</v>
      </c>
      <c r="AF803" s="27">
        <v>0</v>
      </c>
      <c r="AG803" s="27">
        <v>0</v>
      </c>
      <c r="AH803" s="27">
        <v>0</v>
      </c>
      <c r="AI803" s="28">
        <v>0</v>
      </c>
      <c r="AK803" s="36">
        <v>770</v>
      </c>
      <c r="AL803" s="33">
        <v>1</v>
      </c>
      <c r="AM803" s="33">
        <v>1</v>
      </c>
      <c r="AN803" s="33">
        <v>3</v>
      </c>
      <c r="AO803" s="33">
        <v>1</v>
      </c>
      <c r="AP803" s="33">
        <v>0</v>
      </c>
      <c r="AQ803" s="33">
        <v>2</v>
      </c>
      <c r="AR803" s="33">
        <v>3</v>
      </c>
      <c r="AS803" s="33">
        <v>5</v>
      </c>
      <c r="AT803" s="33">
        <v>1</v>
      </c>
      <c r="AU803" s="43">
        <v>4.1210579544527781E-2</v>
      </c>
      <c r="AV803" s="33">
        <v>0</v>
      </c>
      <c r="AW803" s="33">
        <v>0</v>
      </c>
      <c r="AY803" s="36">
        <v>775</v>
      </c>
      <c r="AZ803" s="33">
        <v>4</v>
      </c>
      <c r="BA803" s="33">
        <v>1</v>
      </c>
      <c r="BB803" s="33">
        <v>0</v>
      </c>
      <c r="BC803" s="33">
        <v>0</v>
      </c>
      <c r="BD803" s="43">
        <v>7.2150582122512491E-2</v>
      </c>
      <c r="BE803" s="33">
        <v>0</v>
      </c>
      <c r="BF803" s="33">
        <v>0</v>
      </c>
      <c r="CE803" s="36">
        <v>769</v>
      </c>
      <c r="CF803" s="33">
        <v>26</v>
      </c>
      <c r="CG803" s="33">
        <v>2</v>
      </c>
      <c r="CH803" s="33">
        <v>1</v>
      </c>
      <c r="CI803" s="33">
        <v>2</v>
      </c>
      <c r="CJ803" s="33">
        <v>1</v>
      </c>
      <c r="CK803" s="33">
        <v>0</v>
      </c>
      <c r="CL803" s="33">
        <v>1</v>
      </c>
      <c r="CM803" s="33">
        <v>2</v>
      </c>
      <c r="CN803" s="33">
        <v>7</v>
      </c>
      <c r="CO803" s="33">
        <v>7</v>
      </c>
      <c r="CP803" s="43">
        <v>0.28653609268311397</v>
      </c>
      <c r="CQ803" s="33">
        <v>0</v>
      </c>
      <c r="CR803" s="33">
        <v>0</v>
      </c>
    </row>
    <row r="804" spans="1:96" ht="15" customHeight="1" x14ac:dyDescent="0.25">
      <c r="A804" s="26">
        <v>802</v>
      </c>
      <c r="B804" s="27">
        <v>33</v>
      </c>
      <c r="C804" s="27">
        <v>0</v>
      </c>
      <c r="D804" s="27">
        <v>2</v>
      </c>
      <c r="E804" s="27">
        <v>970</v>
      </c>
      <c r="F804" s="27">
        <v>1</v>
      </c>
      <c r="G804" s="27">
        <v>7</v>
      </c>
      <c r="H804" s="27">
        <v>3</v>
      </c>
      <c r="I804" s="27">
        <v>1</v>
      </c>
      <c r="J804" s="27">
        <v>1</v>
      </c>
      <c r="K804" s="27">
        <v>1114</v>
      </c>
      <c r="L804" s="27">
        <v>4</v>
      </c>
      <c r="M804" s="27">
        <v>0</v>
      </c>
      <c r="N804" s="27">
        <v>30</v>
      </c>
      <c r="O804" s="27">
        <v>3</v>
      </c>
      <c r="P804" s="27">
        <v>2</v>
      </c>
      <c r="Q804" s="27">
        <v>1</v>
      </c>
      <c r="R804" s="27">
        <v>2</v>
      </c>
      <c r="S804" s="27">
        <v>2</v>
      </c>
      <c r="T804" s="27">
        <v>4302</v>
      </c>
      <c r="U804" s="27">
        <v>13401</v>
      </c>
      <c r="V804" s="27">
        <v>0</v>
      </c>
      <c r="W804" s="27">
        <v>0</v>
      </c>
      <c r="X804" s="27">
        <v>17</v>
      </c>
      <c r="Y804" s="27">
        <v>3</v>
      </c>
      <c r="Z804" s="27">
        <v>3</v>
      </c>
      <c r="AA804" s="27">
        <v>80</v>
      </c>
      <c r="AB804" s="27">
        <v>1</v>
      </c>
      <c r="AC804" s="27">
        <v>4</v>
      </c>
      <c r="AD804" s="27">
        <v>3</v>
      </c>
      <c r="AE804" s="27">
        <v>3</v>
      </c>
      <c r="AF804" s="27">
        <v>3</v>
      </c>
      <c r="AG804" s="27">
        <v>2</v>
      </c>
      <c r="AH804" s="27">
        <v>0</v>
      </c>
      <c r="AI804" s="28">
        <v>2</v>
      </c>
      <c r="AK804" s="36">
        <v>771</v>
      </c>
      <c r="AL804" s="33">
        <v>1</v>
      </c>
      <c r="AM804" s="33">
        <v>5</v>
      </c>
      <c r="AN804" s="33">
        <v>4</v>
      </c>
      <c r="AO804" s="33">
        <v>9</v>
      </c>
      <c r="AP804" s="33">
        <v>0</v>
      </c>
      <c r="AQ804" s="33">
        <v>2</v>
      </c>
      <c r="AR804" s="33">
        <v>3</v>
      </c>
      <c r="AS804" s="33">
        <v>2</v>
      </c>
      <c r="AT804" s="33">
        <v>2</v>
      </c>
      <c r="AU804" s="43">
        <v>9.529674161486059E-3</v>
      </c>
      <c r="AV804" s="33">
        <v>0</v>
      </c>
      <c r="AW804" s="33">
        <v>0</v>
      </c>
      <c r="AY804" s="36">
        <v>776</v>
      </c>
      <c r="AZ804" s="33">
        <v>3</v>
      </c>
      <c r="BA804" s="33">
        <v>4</v>
      </c>
      <c r="BB804" s="33">
        <v>0</v>
      </c>
      <c r="BC804" s="33">
        <v>1</v>
      </c>
      <c r="BD804" s="43">
        <v>3.2280700557178299E-2</v>
      </c>
      <c r="BE804" s="33">
        <v>0</v>
      </c>
      <c r="BF804" s="33">
        <v>0</v>
      </c>
      <c r="CE804" s="36">
        <v>770</v>
      </c>
      <c r="CF804" s="33">
        <v>1</v>
      </c>
      <c r="CG804" s="33">
        <v>1</v>
      </c>
      <c r="CH804" s="33">
        <v>3</v>
      </c>
      <c r="CI804" s="33">
        <v>3</v>
      </c>
      <c r="CJ804" s="33">
        <v>1</v>
      </c>
      <c r="CK804" s="33">
        <v>0</v>
      </c>
      <c r="CL804" s="33">
        <v>2</v>
      </c>
      <c r="CM804" s="33">
        <v>3</v>
      </c>
      <c r="CN804" s="33">
        <v>5</v>
      </c>
      <c r="CO804" s="33">
        <v>1</v>
      </c>
      <c r="CP804" s="43">
        <v>3.2143491056615604E-2</v>
      </c>
      <c r="CQ804" s="33">
        <v>0</v>
      </c>
      <c r="CR804" s="33">
        <v>0</v>
      </c>
    </row>
    <row r="805" spans="1:96" ht="15" customHeight="1" x14ac:dyDescent="0.25">
      <c r="A805" s="26">
        <v>803</v>
      </c>
      <c r="B805" s="27">
        <v>34</v>
      </c>
      <c r="C805" s="27">
        <v>0</v>
      </c>
      <c r="D805" s="27">
        <v>3</v>
      </c>
      <c r="E805" s="27">
        <v>697</v>
      </c>
      <c r="F805" s="27">
        <v>2</v>
      </c>
      <c r="G805" s="27">
        <v>3</v>
      </c>
      <c r="H805" s="27">
        <v>4</v>
      </c>
      <c r="I805" s="27">
        <v>1</v>
      </c>
      <c r="J805" s="27">
        <v>1</v>
      </c>
      <c r="K805" s="27">
        <v>1115</v>
      </c>
      <c r="L805" s="27">
        <v>3</v>
      </c>
      <c r="M805" s="27">
        <v>1</v>
      </c>
      <c r="N805" s="27">
        <v>40</v>
      </c>
      <c r="O805" s="27">
        <v>2</v>
      </c>
      <c r="P805" s="27">
        <v>1</v>
      </c>
      <c r="Q805" s="27">
        <v>2</v>
      </c>
      <c r="R805" s="27">
        <v>4</v>
      </c>
      <c r="S805" s="27">
        <v>2</v>
      </c>
      <c r="T805" s="27">
        <v>2979</v>
      </c>
      <c r="U805" s="27">
        <v>22478</v>
      </c>
      <c r="V805" s="27">
        <v>3</v>
      </c>
      <c r="W805" s="27">
        <v>0</v>
      </c>
      <c r="X805" s="27">
        <v>17</v>
      </c>
      <c r="Y805" s="27">
        <v>3</v>
      </c>
      <c r="Z805" s="27">
        <v>4</v>
      </c>
      <c r="AA805" s="27">
        <v>80</v>
      </c>
      <c r="AB805" s="27">
        <v>3</v>
      </c>
      <c r="AC805" s="27">
        <v>6</v>
      </c>
      <c r="AD805" s="27">
        <v>2</v>
      </c>
      <c r="AE805" s="27">
        <v>3</v>
      </c>
      <c r="AF805" s="27">
        <v>0</v>
      </c>
      <c r="AG805" s="27">
        <v>0</v>
      </c>
      <c r="AH805" s="27">
        <v>0</v>
      </c>
      <c r="AI805" s="28">
        <v>0</v>
      </c>
      <c r="AK805" s="36">
        <v>772</v>
      </c>
      <c r="AL805" s="33">
        <v>2</v>
      </c>
      <c r="AM805" s="33">
        <v>3</v>
      </c>
      <c r="AN805" s="33">
        <v>3</v>
      </c>
      <c r="AO805" s="33">
        <v>6</v>
      </c>
      <c r="AP805" s="33">
        <v>0</v>
      </c>
      <c r="AQ805" s="33">
        <v>1</v>
      </c>
      <c r="AR805" s="33">
        <v>3</v>
      </c>
      <c r="AS805" s="33">
        <v>9</v>
      </c>
      <c r="AT805" s="33">
        <v>7</v>
      </c>
      <c r="AU805" s="43">
        <v>5.5316896846752971E-2</v>
      </c>
      <c r="AV805" s="33">
        <v>0</v>
      </c>
      <c r="AW805" s="33">
        <v>0</v>
      </c>
      <c r="AY805" s="36">
        <v>777</v>
      </c>
      <c r="AZ805" s="33">
        <v>1</v>
      </c>
      <c r="BA805" s="33">
        <v>4</v>
      </c>
      <c r="BB805" s="33">
        <v>1</v>
      </c>
      <c r="BC805" s="33">
        <v>0</v>
      </c>
      <c r="BD805" s="43">
        <v>0.42475472169672474</v>
      </c>
      <c r="BE805" s="33">
        <v>0</v>
      </c>
      <c r="BF805" s="33">
        <v>1</v>
      </c>
      <c r="CE805" s="36">
        <v>771</v>
      </c>
      <c r="CF805" s="33">
        <v>1</v>
      </c>
      <c r="CG805" s="33">
        <v>5</v>
      </c>
      <c r="CH805" s="33">
        <v>4</v>
      </c>
      <c r="CI805" s="33">
        <v>3</v>
      </c>
      <c r="CJ805" s="33">
        <v>9</v>
      </c>
      <c r="CK805" s="33">
        <v>0</v>
      </c>
      <c r="CL805" s="33">
        <v>2</v>
      </c>
      <c r="CM805" s="33">
        <v>3</v>
      </c>
      <c r="CN805" s="33">
        <v>2</v>
      </c>
      <c r="CO805" s="33">
        <v>2</v>
      </c>
      <c r="CP805" s="43">
        <v>7.7076939814009092E-3</v>
      </c>
      <c r="CQ805" s="33">
        <v>0</v>
      </c>
      <c r="CR805" s="33">
        <v>0</v>
      </c>
    </row>
    <row r="806" spans="1:96" ht="15" customHeight="1" x14ac:dyDescent="0.25">
      <c r="A806" s="26">
        <v>804</v>
      </c>
      <c r="B806" s="27">
        <v>48</v>
      </c>
      <c r="C806" s="27">
        <v>0</v>
      </c>
      <c r="D806" s="27">
        <v>3</v>
      </c>
      <c r="E806" s="27">
        <v>1262</v>
      </c>
      <c r="F806" s="27">
        <v>2</v>
      </c>
      <c r="G806" s="27">
        <v>1</v>
      </c>
      <c r="H806" s="27">
        <v>4</v>
      </c>
      <c r="I806" s="27">
        <v>3</v>
      </c>
      <c r="J806" s="27">
        <v>1</v>
      </c>
      <c r="K806" s="27">
        <v>1116</v>
      </c>
      <c r="L806" s="27">
        <v>1</v>
      </c>
      <c r="M806" s="27">
        <v>1</v>
      </c>
      <c r="N806" s="27">
        <v>35</v>
      </c>
      <c r="O806" s="27">
        <v>4</v>
      </c>
      <c r="P806" s="27">
        <v>4</v>
      </c>
      <c r="Q806" s="27">
        <v>6</v>
      </c>
      <c r="R806" s="27">
        <v>4</v>
      </c>
      <c r="S806" s="27">
        <v>1</v>
      </c>
      <c r="T806" s="27">
        <v>16885</v>
      </c>
      <c r="U806" s="27">
        <v>16154</v>
      </c>
      <c r="V806" s="27">
        <v>2</v>
      </c>
      <c r="W806" s="27">
        <v>0</v>
      </c>
      <c r="X806" s="27">
        <v>22</v>
      </c>
      <c r="Y806" s="27">
        <v>4</v>
      </c>
      <c r="Z806" s="27">
        <v>3</v>
      </c>
      <c r="AA806" s="27">
        <v>80</v>
      </c>
      <c r="AB806" s="27">
        <v>0</v>
      </c>
      <c r="AC806" s="27">
        <v>27</v>
      </c>
      <c r="AD806" s="27">
        <v>3</v>
      </c>
      <c r="AE806" s="27">
        <v>2</v>
      </c>
      <c r="AF806" s="27">
        <v>5</v>
      </c>
      <c r="AG806" s="27">
        <v>4</v>
      </c>
      <c r="AH806" s="27">
        <v>2</v>
      </c>
      <c r="AI806" s="28">
        <v>1</v>
      </c>
      <c r="AK806" s="36">
        <v>773</v>
      </c>
      <c r="AL806" s="33">
        <v>9</v>
      </c>
      <c r="AM806" s="33">
        <v>1</v>
      </c>
      <c r="AN806" s="33">
        <v>3</v>
      </c>
      <c r="AO806" s="33">
        <v>2</v>
      </c>
      <c r="AP806" s="33">
        <v>0</v>
      </c>
      <c r="AQ806" s="33">
        <v>1</v>
      </c>
      <c r="AR806" s="33">
        <v>3</v>
      </c>
      <c r="AS806" s="33">
        <v>5</v>
      </c>
      <c r="AT806" s="33">
        <v>0</v>
      </c>
      <c r="AU806" s="43">
        <v>8.7853774243376384E-2</v>
      </c>
      <c r="AV806" s="33">
        <v>0</v>
      </c>
      <c r="AW806" s="33">
        <v>0</v>
      </c>
      <c r="AY806" s="36">
        <v>778</v>
      </c>
      <c r="AZ806" s="33">
        <v>1</v>
      </c>
      <c r="BA806" s="33">
        <v>1</v>
      </c>
      <c r="BB806" s="33">
        <v>0</v>
      </c>
      <c r="BC806" s="33">
        <v>0</v>
      </c>
      <c r="BD806" s="43">
        <v>0.29341085656570393</v>
      </c>
      <c r="BE806" s="33">
        <v>0</v>
      </c>
      <c r="BF806" s="33">
        <v>1</v>
      </c>
      <c r="CE806" s="36">
        <v>772</v>
      </c>
      <c r="CF806" s="33">
        <v>2</v>
      </c>
      <c r="CG806" s="33">
        <v>3</v>
      </c>
      <c r="CH806" s="33">
        <v>3</v>
      </c>
      <c r="CI806" s="33">
        <v>2</v>
      </c>
      <c r="CJ806" s="33">
        <v>6</v>
      </c>
      <c r="CK806" s="33">
        <v>0</v>
      </c>
      <c r="CL806" s="33">
        <v>1</v>
      </c>
      <c r="CM806" s="33">
        <v>3</v>
      </c>
      <c r="CN806" s="33">
        <v>9</v>
      </c>
      <c r="CO806" s="33">
        <v>7</v>
      </c>
      <c r="CP806" s="43">
        <v>5.5230333598518228E-2</v>
      </c>
      <c r="CQ806" s="33">
        <v>0</v>
      </c>
      <c r="CR806" s="33">
        <v>0</v>
      </c>
    </row>
    <row r="807" spans="1:96" ht="15" customHeight="1" x14ac:dyDescent="0.25">
      <c r="A807" s="26">
        <v>805</v>
      </c>
      <c r="B807" s="27">
        <v>45</v>
      </c>
      <c r="C807" s="27">
        <v>0</v>
      </c>
      <c r="D807" s="27">
        <v>3</v>
      </c>
      <c r="E807" s="27">
        <v>1050</v>
      </c>
      <c r="F807" s="27">
        <v>1</v>
      </c>
      <c r="G807" s="27">
        <v>9</v>
      </c>
      <c r="H807" s="27">
        <v>4</v>
      </c>
      <c r="I807" s="27">
        <v>1</v>
      </c>
      <c r="J807" s="27">
        <v>1</v>
      </c>
      <c r="K807" s="27">
        <v>1117</v>
      </c>
      <c r="L807" s="27">
        <v>2</v>
      </c>
      <c r="M807" s="27">
        <v>0</v>
      </c>
      <c r="N807" s="27">
        <v>65</v>
      </c>
      <c r="O807" s="27">
        <v>2</v>
      </c>
      <c r="P807" s="27">
        <v>2</v>
      </c>
      <c r="Q807" s="27">
        <v>1</v>
      </c>
      <c r="R807" s="27">
        <v>3</v>
      </c>
      <c r="S807" s="27">
        <v>2</v>
      </c>
      <c r="T807" s="27">
        <v>5593</v>
      </c>
      <c r="U807" s="27">
        <v>17970</v>
      </c>
      <c r="V807" s="27">
        <v>1</v>
      </c>
      <c r="W807" s="27">
        <v>0</v>
      </c>
      <c r="X807" s="27">
        <v>13</v>
      </c>
      <c r="Y807" s="27">
        <v>3</v>
      </c>
      <c r="Z807" s="27">
        <v>4</v>
      </c>
      <c r="AA807" s="27">
        <v>80</v>
      </c>
      <c r="AB807" s="27">
        <v>1</v>
      </c>
      <c r="AC807" s="27">
        <v>15</v>
      </c>
      <c r="AD807" s="27">
        <v>2</v>
      </c>
      <c r="AE807" s="27">
        <v>3</v>
      </c>
      <c r="AF807" s="27">
        <v>15</v>
      </c>
      <c r="AG807" s="27">
        <v>10</v>
      </c>
      <c r="AH807" s="27">
        <v>4</v>
      </c>
      <c r="AI807" s="28">
        <v>12</v>
      </c>
      <c r="AK807" s="36">
        <v>774</v>
      </c>
      <c r="AL807" s="33">
        <v>12</v>
      </c>
      <c r="AM807" s="33">
        <v>3</v>
      </c>
      <c r="AN807" s="33">
        <v>4</v>
      </c>
      <c r="AO807" s="33">
        <v>0</v>
      </c>
      <c r="AP807" s="33">
        <v>0</v>
      </c>
      <c r="AQ807" s="33">
        <v>0</v>
      </c>
      <c r="AR807" s="33">
        <v>2</v>
      </c>
      <c r="AS807" s="33">
        <v>14</v>
      </c>
      <c r="AT807" s="33">
        <v>7</v>
      </c>
      <c r="AU807" s="43">
        <v>5.4257803373798888E-2</v>
      </c>
      <c r="AV807" s="33">
        <v>0</v>
      </c>
      <c r="AW807" s="33">
        <v>0</v>
      </c>
      <c r="AY807" s="36">
        <v>779</v>
      </c>
      <c r="AZ807" s="33">
        <v>2</v>
      </c>
      <c r="BA807" s="33">
        <v>1</v>
      </c>
      <c r="BB807" s="33">
        <v>1</v>
      </c>
      <c r="BC807" s="33">
        <v>3</v>
      </c>
      <c r="BD807" s="43">
        <v>0.1725768895660891</v>
      </c>
      <c r="BE807" s="33">
        <v>0</v>
      </c>
      <c r="BF807" s="33">
        <v>0</v>
      </c>
      <c r="CE807" s="36">
        <v>773</v>
      </c>
      <c r="CF807" s="33">
        <v>9</v>
      </c>
      <c r="CG807" s="33">
        <v>1</v>
      </c>
      <c r="CH807" s="33">
        <v>3</v>
      </c>
      <c r="CI807" s="33">
        <v>2</v>
      </c>
      <c r="CJ807" s="33">
        <v>2</v>
      </c>
      <c r="CK807" s="33">
        <v>0</v>
      </c>
      <c r="CL807" s="33">
        <v>1</v>
      </c>
      <c r="CM807" s="33">
        <v>3</v>
      </c>
      <c r="CN807" s="33">
        <v>5</v>
      </c>
      <c r="CO807" s="33">
        <v>0</v>
      </c>
      <c r="CP807" s="43">
        <v>8.3799916945106884E-2</v>
      </c>
      <c r="CQ807" s="33">
        <v>0</v>
      </c>
      <c r="CR807" s="33">
        <v>0</v>
      </c>
    </row>
    <row r="808" spans="1:96" ht="15" customHeight="1" x14ac:dyDescent="0.25">
      <c r="A808" s="26">
        <v>806</v>
      </c>
      <c r="B808" s="27">
        <v>52</v>
      </c>
      <c r="C808" s="27">
        <v>0</v>
      </c>
      <c r="D808" s="27">
        <v>1</v>
      </c>
      <c r="E808" s="27">
        <v>994</v>
      </c>
      <c r="F808" s="27">
        <v>2</v>
      </c>
      <c r="G808" s="27">
        <v>7</v>
      </c>
      <c r="H808" s="27">
        <v>4</v>
      </c>
      <c r="I808" s="27">
        <v>1</v>
      </c>
      <c r="J808" s="27">
        <v>1</v>
      </c>
      <c r="K808" s="27">
        <v>1118</v>
      </c>
      <c r="L808" s="27">
        <v>2</v>
      </c>
      <c r="M808" s="27">
        <v>1</v>
      </c>
      <c r="N808" s="27">
        <v>87</v>
      </c>
      <c r="O808" s="27">
        <v>3</v>
      </c>
      <c r="P808" s="27">
        <v>3</v>
      </c>
      <c r="Q808" s="27">
        <v>5</v>
      </c>
      <c r="R808" s="27">
        <v>2</v>
      </c>
      <c r="S808" s="27">
        <v>1</v>
      </c>
      <c r="T808" s="27">
        <v>10445</v>
      </c>
      <c r="U808" s="27">
        <v>15322</v>
      </c>
      <c r="V808" s="27">
        <v>7</v>
      </c>
      <c r="W808" s="27">
        <v>0</v>
      </c>
      <c r="X808" s="27">
        <v>19</v>
      </c>
      <c r="Y808" s="27">
        <v>3</v>
      </c>
      <c r="Z808" s="27">
        <v>4</v>
      </c>
      <c r="AA808" s="27">
        <v>80</v>
      </c>
      <c r="AB808" s="27">
        <v>0</v>
      </c>
      <c r="AC808" s="27">
        <v>18</v>
      </c>
      <c r="AD808" s="27">
        <v>4</v>
      </c>
      <c r="AE808" s="27">
        <v>3</v>
      </c>
      <c r="AF808" s="27">
        <v>8</v>
      </c>
      <c r="AG808" s="27">
        <v>6</v>
      </c>
      <c r="AH808" s="27">
        <v>4</v>
      </c>
      <c r="AI808" s="28">
        <v>0</v>
      </c>
      <c r="AK808" s="36">
        <v>775</v>
      </c>
      <c r="AL808" s="33">
        <v>2</v>
      </c>
      <c r="AM808" s="33">
        <v>4</v>
      </c>
      <c r="AN808" s="33">
        <v>1</v>
      </c>
      <c r="AO808" s="33">
        <v>7</v>
      </c>
      <c r="AP808" s="33">
        <v>0</v>
      </c>
      <c r="AQ808" s="33">
        <v>0</v>
      </c>
      <c r="AR808" s="33">
        <v>4</v>
      </c>
      <c r="AS808" s="33">
        <v>9</v>
      </c>
      <c r="AT808" s="33">
        <v>6</v>
      </c>
      <c r="AU808" s="43">
        <v>7.585278367240475E-2</v>
      </c>
      <c r="AV808" s="33">
        <v>0</v>
      </c>
      <c r="AW808" s="33">
        <v>0</v>
      </c>
      <c r="AY808" s="36">
        <v>780</v>
      </c>
      <c r="AZ808" s="33">
        <v>1</v>
      </c>
      <c r="BA808" s="33">
        <v>3</v>
      </c>
      <c r="BB808" s="33">
        <v>1</v>
      </c>
      <c r="BC808" s="33">
        <v>3</v>
      </c>
      <c r="BD808" s="43">
        <v>0.16884757913162352</v>
      </c>
      <c r="BE808" s="33">
        <v>0</v>
      </c>
      <c r="BF808" s="33">
        <v>1</v>
      </c>
      <c r="CE808" s="36">
        <v>774</v>
      </c>
      <c r="CF808" s="33">
        <v>12</v>
      </c>
      <c r="CG808" s="33">
        <v>3</v>
      </c>
      <c r="CH808" s="33">
        <v>4</v>
      </c>
      <c r="CI808" s="33">
        <v>1</v>
      </c>
      <c r="CJ808" s="33">
        <v>0</v>
      </c>
      <c r="CK808" s="33">
        <v>0</v>
      </c>
      <c r="CL808" s="33">
        <v>0</v>
      </c>
      <c r="CM808" s="33">
        <v>2</v>
      </c>
      <c r="CN808" s="33">
        <v>14</v>
      </c>
      <c r="CO808" s="33">
        <v>7</v>
      </c>
      <c r="CP808" s="43">
        <v>6.4974533296154921E-2</v>
      </c>
      <c r="CQ808" s="33">
        <v>0</v>
      </c>
      <c r="CR808" s="33">
        <v>0</v>
      </c>
    </row>
    <row r="809" spans="1:96" ht="15" customHeight="1" x14ac:dyDescent="0.25">
      <c r="A809" s="26">
        <v>807</v>
      </c>
      <c r="B809" s="27">
        <v>38</v>
      </c>
      <c r="C809" s="27">
        <v>0</v>
      </c>
      <c r="D809" s="27">
        <v>1</v>
      </c>
      <c r="E809" s="27">
        <v>770</v>
      </c>
      <c r="F809" s="27">
        <v>1</v>
      </c>
      <c r="G809" s="27">
        <v>10</v>
      </c>
      <c r="H809" s="27">
        <v>4</v>
      </c>
      <c r="I809" s="27">
        <v>4</v>
      </c>
      <c r="J809" s="27">
        <v>1</v>
      </c>
      <c r="K809" s="27">
        <v>1119</v>
      </c>
      <c r="L809" s="27">
        <v>3</v>
      </c>
      <c r="M809" s="27">
        <v>1</v>
      </c>
      <c r="N809" s="27">
        <v>73</v>
      </c>
      <c r="O809" s="27">
        <v>2</v>
      </c>
      <c r="P809" s="27">
        <v>3</v>
      </c>
      <c r="Q809" s="27">
        <v>1</v>
      </c>
      <c r="R809" s="27">
        <v>3</v>
      </c>
      <c r="S809" s="27">
        <v>3</v>
      </c>
      <c r="T809" s="27">
        <v>8740</v>
      </c>
      <c r="U809" s="27">
        <v>5569</v>
      </c>
      <c r="V809" s="27">
        <v>0</v>
      </c>
      <c r="W809" s="27">
        <v>1</v>
      </c>
      <c r="X809" s="27">
        <v>14</v>
      </c>
      <c r="Y809" s="27">
        <v>3</v>
      </c>
      <c r="Z809" s="27">
        <v>2</v>
      </c>
      <c r="AA809" s="27">
        <v>80</v>
      </c>
      <c r="AB809" s="27">
        <v>2</v>
      </c>
      <c r="AC809" s="27">
        <v>9</v>
      </c>
      <c r="AD809" s="27">
        <v>2</v>
      </c>
      <c r="AE809" s="27">
        <v>3</v>
      </c>
      <c r="AF809" s="27">
        <v>8</v>
      </c>
      <c r="AG809" s="27">
        <v>7</v>
      </c>
      <c r="AH809" s="27">
        <v>2</v>
      </c>
      <c r="AI809" s="28">
        <v>7</v>
      </c>
      <c r="AK809" s="36">
        <v>776</v>
      </c>
      <c r="AL809" s="33">
        <v>25</v>
      </c>
      <c r="AM809" s="33">
        <v>3</v>
      </c>
      <c r="AN809" s="33">
        <v>4</v>
      </c>
      <c r="AO809" s="33">
        <v>5</v>
      </c>
      <c r="AP809" s="33">
        <v>0</v>
      </c>
      <c r="AQ809" s="33">
        <v>1</v>
      </c>
      <c r="AR809" s="33">
        <v>3</v>
      </c>
      <c r="AS809" s="33">
        <v>1</v>
      </c>
      <c r="AT809" s="33">
        <v>0</v>
      </c>
      <c r="AU809" s="43">
        <v>6.5573909588864915E-2</v>
      </c>
      <c r="AV809" s="33">
        <v>0</v>
      </c>
      <c r="AW809" s="33">
        <v>0</v>
      </c>
      <c r="AY809" s="36">
        <v>781</v>
      </c>
      <c r="AZ809" s="33">
        <v>3</v>
      </c>
      <c r="BA809" s="33">
        <v>1</v>
      </c>
      <c r="BB809" s="33">
        <v>0</v>
      </c>
      <c r="BC809" s="33">
        <v>0</v>
      </c>
      <c r="BD809" s="43">
        <v>0.11965500412792122</v>
      </c>
      <c r="BE809" s="33">
        <v>0</v>
      </c>
      <c r="BF809" s="33">
        <v>1</v>
      </c>
      <c r="CE809" s="36">
        <v>775</v>
      </c>
      <c r="CF809" s="33">
        <v>2</v>
      </c>
      <c r="CG809" s="33">
        <v>4</v>
      </c>
      <c r="CH809" s="33">
        <v>1</v>
      </c>
      <c r="CI809" s="33">
        <v>1</v>
      </c>
      <c r="CJ809" s="33">
        <v>7</v>
      </c>
      <c r="CK809" s="33">
        <v>0</v>
      </c>
      <c r="CL809" s="33">
        <v>0</v>
      </c>
      <c r="CM809" s="33">
        <v>4</v>
      </c>
      <c r="CN809" s="33">
        <v>9</v>
      </c>
      <c r="CO809" s="33">
        <v>6</v>
      </c>
      <c r="CP809" s="43">
        <v>9.4382241976777859E-2</v>
      </c>
      <c r="CQ809" s="33">
        <v>0</v>
      </c>
      <c r="CR809" s="33">
        <v>0</v>
      </c>
    </row>
    <row r="810" spans="1:96" ht="15" customHeight="1" x14ac:dyDescent="0.25">
      <c r="A810" s="26">
        <v>808</v>
      </c>
      <c r="B810" s="27">
        <v>29</v>
      </c>
      <c r="C810" s="27">
        <v>0</v>
      </c>
      <c r="D810" s="27">
        <v>1</v>
      </c>
      <c r="E810" s="27">
        <v>1107</v>
      </c>
      <c r="F810" s="27">
        <v>2</v>
      </c>
      <c r="G810" s="27">
        <v>28</v>
      </c>
      <c r="H810" s="27">
        <v>4</v>
      </c>
      <c r="I810" s="27">
        <v>1</v>
      </c>
      <c r="J810" s="27">
        <v>1</v>
      </c>
      <c r="K810" s="27">
        <v>1120</v>
      </c>
      <c r="L810" s="27">
        <v>3</v>
      </c>
      <c r="M810" s="27">
        <v>0</v>
      </c>
      <c r="N810" s="27">
        <v>93</v>
      </c>
      <c r="O810" s="27">
        <v>3</v>
      </c>
      <c r="P810" s="27">
        <v>1</v>
      </c>
      <c r="Q810" s="27">
        <v>2</v>
      </c>
      <c r="R810" s="27">
        <v>4</v>
      </c>
      <c r="S810" s="27">
        <v>3</v>
      </c>
      <c r="T810" s="27">
        <v>2514</v>
      </c>
      <c r="U810" s="27">
        <v>26968</v>
      </c>
      <c r="V810" s="27">
        <v>4</v>
      </c>
      <c r="W810" s="27">
        <v>0</v>
      </c>
      <c r="X810" s="27">
        <v>22</v>
      </c>
      <c r="Y810" s="27">
        <v>4</v>
      </c>
      <c r="Z810" s="27">
        <v>1</v>
      </c>
      <c r="AA810" s="27">
        <v>80</v>
      </c>
      <c r="AB810" s="27">
        <v>1</v>
      </c>
      <c r="AC810" s="27">
        <v>11</v>
      </c>
      <c r="AD810" s="27">
        <v>1</v>
      </c>
      <c r="AE810" s="27">
        <v>3</v>
      </c>
      <c r="AF810" s="27">
        <v>7</v>
      </c>
      <c r="AG810" s="27">
        <v>5</v>
      </c>
      <c r="AH810" s="27">
        <v>1</v>
      </c>
      <c r="AI810" s="28">
        <v>7</v>
      </c>
      <c r="AK810" s="36">
        <v>777</v>
      </c>
      <c r="AL810" s="33">
        <v>9</v>
      </c>
      <c r="AM810" s="33">
        <v>1</v>
      </c>
      <c r="AN810" s="33">
        <v>4</v>
      </c>
      <c r="AO810" s="33">
        <v>1</v>
      </c>
      <c r="AP810" s="33">
        <v>1</v>
      </c>
      <c r="AQ810" s="33">
        <v>0</v>
      </c>
      <c r="AR810" s="33">
        <v>3</v>
      </c>
      <c r="AS810" s="33">
        <v>2</v>
      </c>
      <c r="AT810" s="33">
        <v>0</v>
      </c>
      <c r="AU810" s="43">
        <v>0.38759910273455811</v>
      </c>
      <c r="AV810" s="33">
        <v>0</v>
      </c>
      <c r="AW810" s="33">
        <v>1</v>
      </c>
      <c r="AY810" s="36">
        <v>782</v>
      </c>
      <c r="AZ810" s="33">
        <v>1</v>
      </c>
      <c r="BA810" s="33">
        <v>1</v>
      </c>
      <c r="BB810" s="33">
        <v>0</v>
      </c>
      <c r="BC810" s="33">
        <v>2</v>
      </c>
      <c r="BD810" s="43">
        <v>0.12629205428487661</v>
      </c>
      <c r="BE810" s="33">
        <v>0</v>
      </c>
      <c r="BF810" s="33">
        <v>0</v>
      </c>
      <c r="CE810" s="36">
        <v>776</v>
      </c>
      <c r="CF810" s="33">
        <v>25</v>
      </c>
      <c r="CG810" s="33">
        <v>3</v>
      </c>
      <c r="CH810" s="33">
        <v>4</v>
      </c>
      <c r="CI810" s="33">
        <v>3</v>
      </c>
      <c r="CJ810" s="33">
        <v>5</v>
      </c>
      <c r="CK810" s="33">
        <v>0</v>
      </c>
      <c r="CL810" s="33">
        <v>1</v>
      </c>
      <c r="CM810" s="33">
        <v>3</v>
      </c>
      <c r="CN810" s="33">
        <v>1</v>
      </c>
      <c r="CO810" s="33">
        <v>0</v>
      </c>
      <c r="CP810" s="43">
        <v>3.709053382333112E-2</v>
      </c>
      <c r="CQ810" s="33">
        <v>0</v>
      </c>
      <c r="CR810" s="33">
        <v>0</v>
      </c>
    </row>
    <row r="811" spans="1:96" ht="15" customHeight="1" x14ac:dyDescent="0.25">
      <c r="A811" s="26">
        <v>809</v>
      </c>
      <c r="B811" s="27">
        <v>28</v>
      </c>
      <c r="C811" s="27">
        <v>0</v>
      </c>
      <c r="D811" s="27">
        <v>1</v>
      </c>
      <c r="E811" s="27">
        <v>950</v>
      </c>
      <c r="F811" s="27">
        <v>2</v>
      </c>
      <c r="G811" s="27">
        <v>3</v>
      </c>
      <c r="H811" s="27">
        <v>3</v>
      </c>
      <c r="I811" s="27">
        <v>3</v>
      </c>
      <c r="J811" s="27">
        <v>1</v>
      </c>
      <c r="K811" s="27">
        <v>1121</v>
      </c>
      <c r="L811" s="27">
        <v>4</v>
      </c>
      <c r="M811" s="27">
        <v>0</v>
      </c>
      <c r="N811" s="27">
        <v>93</v>
      </c>
      <c r="O811" s="27">
        <v>3</v>
      </c>
      <c r="P811" s="27">
        <v>3</v>
      </c>
      <c r="Q811" s="27">
        <v>4</v>
      </c>
      <c r="R811" s="27">
        <v>2</v>
      </c>
      <c r="S811" s="27">
        <v>3</v>
      </c>
      <c r="T811" s="27">
        <v>7655</v>
      </c>
      <c r="U811" s="27">
        <v>8039</v>
      </c>
      <c r="V811" s="27">
        <v>0</v>
      </c>
      <c r="W811" s="27">
        <v>0</v>
      </c>
      <c r="X811" s="27">
        <v>17</v>
      </c>
      <c r="Y811" s="27">
        <v>3</v>
      </c>
      <c r="Z811" s="27">
        <v>2</v>
      </c>
      <c r="AA811" s="27">
        <v>80</v>
      </c>
      <c r="AB811" s="27">
        <v>3</v>
      </c>
      <c r="AC811" s="27">
        <v>10</v>
      </c>
      <c r="AD811" s="27">
        <v>3</v>
      </c>
      <c r="AE811" s="27">
        <v>2</v>
      </c>
      <c r="AF811" s="27">
        <v>9</v>
      </c>
      <c r="AG811" s="27">
        <v>7</v>
      </c>
      <c r="AH811" s="27">
        <v>1</v>
      </c>
      <c r="AI811" s="28">
        <v>7</v>
      </c>
      <c r="AK811" s="36">
        <v>778</v>
      </c>
      <c r="AL811" s="33">
        <v>10</v>
      </c>
      <c r="AM811" s="33">
        <v>1</v>
      </c>
      <c r="AN811" s="33">
        <v>1</v>
      </c>
      <c r="AO811" s="33">
        <v>1</v>
      </c>
      <c r="AP811" s="33">
        <v>0</v>
      </c>
      <c r="AQ811" s="33">
        <v>0</v>
      </c>
      <c r="AR811" s="33">
        <v>2</v>
      </c>
      <c r="AS811" s="33">
        <v>1</v>
      </c>
      <c r="AT811" s="33">
        <v>1</v>
      </c>
      <c r="AU811" s="43">
        <v>0.35320207778474116</v>
      </c>
      <c r="AV811" s="33">
        <v>0</v>
      </c>
      <c r="AW811" s="33">
        <v>1</v>
      </c>
      <c r="AY811" s="36">
        <v>783</v>
      </c>
      <c r="AZ811" s="33">
        <v>2</v>
      </c>
      <c r="BA811" s="33">
        <v>1</v>
      </c>
      <c r="BB811" s="33">
        <v>0</v>
      </c>
      <c r="BC811" s="33">
        <v>1</v>
      </c>
      <c r="BD811" s="43">
        <v>0.12293502213131684</v>
      </c>
      <c r="BE811" s="33">
        <v>0</v>
      </c>
      <c r="BF811" s="33">
        <v>0</v>
      </c>
      <c r="CE811" s="36">
        <v>777</v>
      </c>
      <c r="CF811" s="33">
        <v>9</v>
      </c>
      <c r="CG811" s="33">
        <v>1</v>
      </c>
      <c r="CH811" s="33">
        <v>4</v>
      </c>
      <c r="CI811" s="33">
        <v>1</v>
      </c>
      <c r="CJ811" s="33">
        <v>1</v>
      </c>
      <c r="CK811" s="33">
        <v>1</v>
      </c>
      <c r="CL811" s="33">
        <v>0</v>
      </c>
      <c r="CM811" s="33">
        <v>3</v>
      </c>
      <c r="CN811" s="33">
        <v>2</v>
      </c>
      <c r="CO811" s="33">
        <v>0</v>
      </c>
      <c r="CP811" s="43">
        <v>0.4312258845842632</v>
      </c>
      <c r="CQ811" s="33">
        <v>0</v>
      </c>
      <c r="CR811" s="33">
        <v>1</v>
      </c>
    </row>
    <row r="812" spans="1:96" ht="15" customHeight="1" x14ac:dyDescent="0.25">
      <c r="A812" s="26">
        <v>810</v>
      </c>
      <c r="B812" s="27">
        <v>46</v>
      </c>
      <c r="C812" s="27">
        <v>0</v>
      </c>
      <c r="D812" s="27">
        <v>1</v>
      </c>
      <c r="E812" s="27">
        <v>406</v>
      </c>
      <c r="F812" s="27">
        <v>1</v>
      </c>
      <c r="G812" s="27">
        <v>3</v>
      </c>
      <c r="H812" s="27">
        <v>1</v>
      </c>
      <c r="I812" s="27">
        <v>4</v>
      </c>
      <c r="J812" s="27">
        <v>1</v>
      </c>
      <c r="K812" s="27">
        <v>1124</v>
      </c>
      <c r="L812" s="27">
        <v>1</v>
      </c>
      <c r="M812" s="27">
        <v>1</v>
      </c>
      <c r="N812" s="27">
        <v>52</v>
      </c>
      <c r="O812" s="27">
        <v>3</v>
      </c>
      <c r="P812" s="27">
        <v>4</v>
      </c>
      <c r="Q812" s="27">
        <v>6</v>
      </c>
      <c r="R812" s="27">
        <v>3</v>
      </c>
      <c r="S812" s="27">
        <v>2</v>
      </c>
      <c r="T812" s="27">
        <v>17465</v>
      </c>
      <c r="U812" s="27">
        <v>15596</v>
      </c>
      <c r="V812" s="27">
        <v>3</v>
      </c>
      <c r="W812" s="27">
        <v>0</v>
      </c>
      <c r="X812" s="27">
        <v>12</v>
      </c>
      <c r="Y812" s="27">
        <v>3</v>
      </c>
      <c r="Z812" s="27">
        <v>4</v>
      </c>
      <c r="AA812" s="27">
        <v>80</v>
      </c>
      <c r="AB812" s="27">
        <v>1</v>
      </c>
      <c r="AC812" s="27">
        <v>23</v>
      </c>
      <c r="AD812" s="27">
        <v>3</v>
      </c>
      <c r="AE812" s="27">
        <v>3</v>
      </c>
      <c r="AF812" s="27">
        <v>12</v>
      </c>
      <c r="AG812" s="27">
        <v>9</v>
      </c>
      <c r="AH812" s="27">
        <v>4</v>
      </c>
      <c r="AI812" s="28">
        <v>9</v>
      </c>
      <c r="AK812" s="36">
        <v>779</v>
      </c>
      <c r="AL812" s="33">
        <v>8</v>
      </c>
      <c r="AM812" s="33">
        <v>2</v>
      </c>
      <c r="AN812" s="33">
        <v>1</v>
      </c>
      <c r="AO812" s="33">
        <v>8</v>
      </c>
      <c r="AP812" s="33">
        <v>1</v>
      </c>
      <c r="AQ812" s="33">
        <v>3</v>
      </c>
      <c r="AR812" s="33">
        <v>3</v>
      </c>
      <c r="AS812" s="33">
        <v>16</v>
      </c>
      <c r="AT812" s="33">
        <v>1</v>
      </c>
      <c r="AU812" s="43">
        <v>0.10191340666074671</v>
      </c>
      <c r="AV812" s="33">
        <v>0</v>
      </c>
      <c r="AW812" s="33">
        <v>0</v>
      </c>
      <c r="AY812" s="36">
        <v>784</v>
      </c>
      <c r="AZ812" s="33">
        <v>1</v>
      </c>
      <c r="BA812" s="33">
        <v>3</v>
      </c>
      <c r="BB812" s="33">
        <v>0</v>
      </c>
      <c r="BC812" s="33">
        <v>0</v>
      </c>
      <c r="BD812" s="43">
        <v>0.18791247240909698</v>
      </c>
      <c r="BE812" s="33">
        <v>0</v>
      </c>
      <c r="BF812" s="33">
        <v>0</v>
      </c>
      <c r="CE812" s="36">
        <v>778</v>
      </c>
      <c r="CF812" s="33">
        <v>10</v>
      </c>
      <c r="CG812" s="33">
        <v>1</v>
      </c>
      <c r="CH812" s="33">
        <v>1</v>
      </c>
      <c r="CI812" s="33">
        <v>1</v>
      </c>
      <c r="CJ812" s="33">
        <v>1</v>
      </c>
      <c r="CK812" s="33">
        <v>0</v>
      </c>
      <c r="CL812" s="33">
        <v>0</v>
      </c>
      <c r="CM812" s="33">
        <v>2</v>
      </c>
      <c r="CN812" s="33">
        <v>1</v>
      </c>
      <c r="CO812" s="33">
        <v>1</v>
      </c>
      <c r="CP812" s="43">
        <v>0.4036539751448221</v>
      </c>
      <c r="CQ812" s="33">
        <v>0</v>
      </c>
      <c r="CR812" s="33">
        <v>1</v>
      </c>
    </row>
    <row r="813" spans="1:96" ht="15" customHeight="1" x14ac:dyDescent="0.25">
      <c r="A813" s="26">
        <v>811</v>
      </c>
      <c r="B813" s="27">
        <v>38</v>
      </c>
      <c r="C813" s="27">
        <v>0</v>
      </c>
      <c r="D813" s="27">
        <v>1</v>
      </c>
      <c r="E813" s="27">
        <v>130</v>
      </c>
      <c r="F813" s="27">
        <v>1</v>
      </c>
      <c r="G813" s="27">
        <v>2</v>
      </c>
      <c r="H813" s="27">
        <v>2</v>
      </c>
      <c r="I813" s="27">
        <v>4</v>
      </c>
      <c r="J813" s="27">
        <v>1</v>
      </c>
      <c r="K813" s="27">
        <v>1125</v>
      </c>
      <c r="L813" s="27">
        <v>4</v>
      </c>
      <c r="M813" s="27">
        <v>1</v>
      </c>
      <c r="N813" s="27">
        <v>32</v>
      </c>
      <c r="O813" s="27">
        <v>3</v>
      </c>
      <c r="P813" s="27">
        <v>3</v>
      </c>
      <c r="Q813" s="27">
        <v>1</v>
      </c>
      <c r="R813" s="27">
        <v>2</v>
      </c>
      <c r="S813" s="27">
        <v>1</v>
      </c>
      <c r="T813" s="27">
        <v>7351</v>
      </c>
      <c r="U813" s="27">
        <v>20619</v>
      </c>
      <c r="V813" s="27">
        <v>7</v>
      </c>
      <c r="W813" s="27">
        <v>0</v>
      </c>
      <c r="X813" s="27">
        <v>16</v>
      </c>
      <c r="Y813" s="27">
        <v>3</v>
      </c>
      <c r="Z813" s="27">
        <v>3</v>
      </c>
      <c r="AA813" s="27">
        <v>80</v>
      </c>
      <c r="AB813" s="27">
        <v>0</v>
      </c>
      <c r="AC813" s="27">
        <v>10</v>
      </c>
      <c r="AD813" s="27">
        <v>2</v>
      </c>
      <c r="AE813" s="27">
        <v>3</v>
      </c>
      <c r="AF813" s="27">
        <v>1</v>
      </c>
      <c r="AG813" s="27">
        <v>0</v>
      </c>
      <c r="AH813" s="27">
        <v>0</v>
      </c>
      <c r="AI813" s="28">
        <v>0</v>
      </c>
      <c r="AK813" s="36">
        <v>780</v>
      </c>
      <c r="AL813" s="33">
        <v>4</v>
      </c>
      <c r="AM813" s="33">
        <v>1</v>
      </c>
      <c r="AN813" s="33">
        <v>3</v>
      </c>
      <c r="AO813" s="33">
        <v>9</v>
      </c>
      <c r="AP813" s="33">
        <v>1</v>
      </c>
      <c r="AQ813" s="33">
        <v>3</v>
      </c>
      <c r="AR813" s="33">
        <v>4</v>
      </c>
      <c r="AS813" s="33">
        <v>10</v>
      </c>
      <c r="AT813" s="33">
        <v>2</v>
      </c>
      <c r="AU813" s="43">
        <v>0.12502009583388662</v>
      </c>
      <c r="AV813" s="33">
        <v>0</v>
      </c>
      <c r="AW813" s="33">
        <v>1</v>
      </c>
      <c r="AY813" s="36">
        <v>785</v>
      </c>
      <c r="AZ813" s="33">
        <v>3</v>
      </c>
      <c r="BA813" s="33">
        <v>3</v>
      </c>
      <c r="BB813" s="33">
        <v>0</v>
      </c>
      <c r="BC813" s="33">
        <v>1</v>
      </c>
      <c r="BD813" s="43">
        <v>4.2774603045834733E-2</v>
      </c>
      <c r="BE813" s="33">
        <v>0</v>
      </c>
      <c r="BF813" s="33">
        <v>0</v>
      </c>
      <c r="CE813" s="36">
        <v>779</v>
      </c>
      <c r="CF813" s="33">
        <v>8</v>
      </c>
      <c r="CG813" s="33">
        <v>2</v>
      </c>
      <c r="CH813" s="33">
        <v>1</v>
      </c>
      <c r="CI813" s="33">
        <v>3</v>
      </c>
      <c r="CJ813" s="33">
        <v>8</v>
      </c>
      <c r="CK813" s="33">
        <v>1</v>
      </c>
      <c r="CL813" s="33">
        <v>3</v>
      </c>
      <c r="CM813" s="33">
        <v>3</v>
      </c>
      <c r="CN813" s="33">
        <v>16</v>
      </c>
      <c r="CO813" s="33">
        <v>1</v>
      </c>
      <c r="CP813" s="43">
        <v>0.11929939766213488</v>
      </c>
      <c r="CQ813" s="33">
        <v>0</v>
      </c>
      <c r="CR813" s="33">
        <v>0</v>
      </c>
    </row>
    <row r="814" spans="1:96" ht="15" customHeight="1" x14ac:dyDescent="0.25">
      <c r="A814" s="26">
        <v>812</v>
      </c>
      <c r="B814" s="27">
        <v>43</v>
      </c>
      <c r="C814" s="27">
        <v>0</v>
      </c>
      <c r="D814" s="27">
        <v>2</v>
      </c>
      <c r="E814" s="27">
        <v>1082</v>
      </c>
      <c r="F814" s="27">
        <v>2</v>
      </c>
      <c r="G814" s="27">
        <v>27</v>
      </c>
      <c r="H814" s="27">
        <v>3</v>
      </c>
      <c r="I814" s="27">
        <v>1</v>
      </c>
      <c r="J814" s="27">
        <v>1</v>
      </c>
      <c r="K814" s="27">
        <v>1126</v>
      </c>
      <c r="L814" s="27">
        <v>3</v>
      </c>
      <c r="M814" s="27">
        <v>0</v>
      </c>
      <c r="N814" s="27">
        <v>83</v>
      </c>
      <c r="O814" s="27">
        <v>3</v>
      </c>
      <c r="P814" s="27">
        <v>3</v>
      </c>
      <c r="Q814" s="27">
        <v>4</v>
      </c>
      <c r="R814" s="27">
        <v>1</v>
      </c>
      <c r="S814" s="27">
        <v>2</v>
      </c>
      <c r="T814" s="27">
        <v>10820</v>
      </c>
      <c r="U814" s="27">
        <v>11535</v>
      </c>
      <c r="V814" s="27">
        <v>8</v>
      </c>
      <c r="W814" s="27">
        <v>0</v>
      </c>
      <c r="X814" s="27">
        <v>11</v>
      </c>
      <c r="Y814" s="27">
        <v>3</v>
      </c>
      <c r="Z814" s="27">
        <v>3</v>
      </c>
      <c r="AA814" s="27">
        <v>80</v>
      </c>
      <c r="AB814" s="27">
        <v>1</v>
      </c>
      <c r="AC814" s="27">
        <v>18</v>
      </c>
      <c r="AD814" s="27">
        <v>1</v>
      </c>
      <c r="AE814" s="27">
        <v>3</v>
      </c>
      <c r="AF814" s="27">
        <v>8</v>
      </c>
      <c r="AG814" s="27">
        <v>7</v>
      </c>
      <c r="AH814" s="27">
        <v>0</v>
      </c>
      <c r="AI814" s="28">
        <v>1</v>
      </c>
      <c r="AK814" s="36">
        <v>781</v>
      </c>
      <c r="AL814" s="33">
        <v>24</v>
      </c>
      <c r="AM814" s="33">
        <v>3</v>
      </c>
      <c r="AN814" s="33">
        <v>1</v>
      </c>
      <c r="AO814" s="33">
        <v>1</v>
      </c>
      <c r="AP814" s="33">
        <v>0</v>
      </c>
      <c r="AQ814" s="33">
        <v>0</v>
      </c>
      <c r="AR814" s="33">
        <v>2</v>
      </c>
      <c r="AS814" s="33">
        <v>10</v>
      </c>
      <c r="AT814" s="33">
        <v>1</v>
      </c>
      <c r="AU814" s="43">
        <v>0.13167848026312909</v>
      </c>
      <c r="AV814" s="33">
        <v>0</v>
      </c>
      <c r="AW814" s="33">
        <v>1</v>
      </c>
      <c r="AY814" s="36">
        <v>786</v>
      </c>
      <c r="AZ814" s="33">
        <v>3</v>
      </c>
      <c r="BA814" s="33">
        <v>4</v>
      </c>
      <c r="BB814" s="33">
        <v>0</v>
      </c>
      <c r="BC814" s="33">
        <v>1</v>
      </c>
      <c r="BD814" s="43">
        <v>3.2280700557178299E-2</v>
      </c>
      <c r="BE814" s="33">
        <v>0</v>
      </c>
      <c r="BF814" s="33">
        <v>0</v>
      </c>
      <c r="CE814" s="36">
        <v>780</v>
      </c>
      <c r="CF814" s="33">
        <v>4</v>
      </c>
      <c r="CG814" s="33">
        <v>1</v>
      </c>
      <c r="CH814" s="33">
        <v>3</v>
      </c>
      <c r="CI814" s="33">
        <v>2</v>
      </c>
      <c r="CJ814" s="33">
        <v>9</v>
      </c>
      <c r="CK814" s="33">
        <v>1</v>
      </c>
      <c r="CL814" s="33">
        <v>3</v>
      </c>
      <c r="CM814" s="33">
        <v>4</v>
      </c>
      <c r="CN814" s="33">
        <v>10</v>
      </c>
      <c r="CO814" s="33">
        <v>2</v>
      </c>
      <c r="CP814" s="43">
        <v>0.21928568365123341</v>
      </c>
      <c r="CQ814" s="33">
        <v>0</v>
      </c>
      <c r="CR814" s="33">
        <v>1</v>
      </c>
    </row>
    <row r="815" spans="1:96" ht="15" customHeight="1" x14ac:dyDescent="0.25">
      <c r="A815" s="26">
        <v>813</v>
      </c>
      <c r="B815" s="27">
        <v>39</v>
      </c>
      <c r="C815" s="27">
        <v>1</v>
      </c>
      <c r="D815" s="27">
        <v>2</v>
      </c>
      <c r="E815" s="27">
        <v>203</v>
      </c>
      <c r="F815" s="27">
        <v>2</v>
      </c>
      <c r="G815" s="27">
        <v>2</v>
      </c>
      <c r="H815" s="27">
        <v>3</v>
      </c>
      <c r="I815" s="27">
        <v>1</v>
      </c>
      <c r="J815" s="27">
        <v>1</v>
      </c>
      <c r="K815" s="27">
        <v>1127</v>
      </c>
      <c r="L815" s="27">
        <v>1</v>
      </c>
      <c r="M815" s="27">
        <v>1</v>
      </c>
      <c r="N815" s="27">
        <v>84</v>
      </c>
      <c r="O815" s="27">
        <v>3</v>
      </c>
      <c r="P815" s="27">
        <v>4</v>
      </c>
      <c r="Q815" s="27">
        <v>5</v>
      </c>
      <c r="R815" s="27">
        <v>4</v>
      </c>
      <c r="S815" s="27">
        <v>3</v>
      </c>
      <c r="T815" s="27">
        <v>12169</v>
      </c>
      <c r="U815" s="27">
        <v>13547</v>
      </c>
      <c r="V815" s="27">
        <v>7</v>
      </c>
      <c r="W815" s="27">
        <v>0</v>
      </c>
      <c r="X815" s="27">
        <v>11</v>
      </c>
      <c r="Y815" s="27">
        <v>3</v>
      </c>
      <c r="Z815" s="27">
        <v>4</v>
      </c>
      <c r="AA815" s="27">
        <v>80</v>
      </c>
      <c r="AB815" s="27">
        <v>3</v>
      </c>
      <c r="AC815" s="27">
        <v>21</v>
      </c>
      <c r="AD815" s="27">
        <v>4</v>
      </c>
      <c r="AE815" s="27">
        <v>3</v>
      </c>
      <c r="AF815" s="27">
        <v>18</v>
      </c>
      <c r="AG815" s="27">
        <v>7</v>
      </c>
      <c r="AH815" s="27">
        <v>11</v>
      </c>
      <c r="AI815" s="28">
        <v>5</v>
      </c>
      <c r="AK815" s="36">
        <v>782</v>
      </c>
      <c r="AL815" s="33">
        <v>1</v>
      </c>
      <c r="AM815" s="33">
        <v>1</v>
      </c>
      <c r="AN815" s="33">
        <v>1</v>
      </c>
      <c r="AO815" s="33">
        <v>1</v>
      </c>
      <c r="AP815" s="33">
        <v>0</v>
      </c>
      <c r="AQ815" s="33">
        <v>2</v>
      </c>
      <c r="AR815" s="33">
        <v>3</v>
      </c>
      <c r="AS815" s="33">
        <v>5</v>
      </c>
      <c r="AT815" s="33">
        <v>1</v>
      </c>
      <c r="AU815" s="43">
        <v>7.156302022756536E-2</v>
      </c>
      <c r="AV815" s="33">
        <v>0</v>
      </c>
      <c r="AW815" s="33">
        <v>0</v>
      </c>
      <c r="AY815" s="36">
        <v>787</v>
      </c>
      <c r="AZ815" s="33">
        <v>1</v>
      </c>
      <c r="BA815" s="33">
        <v>3</v>
      </c>
      <c r="BB815" s="33">
        <v>0</v>
      </c>
      <c r="BC815" s="33">
        <v>3</v>
      </c>
      <c r="BD815" s="43">
        <v>4.5366993313288043E-2</v>
      </c>
      <c r="BE815" s="33">
        <v>0</v>
      </c>
      <c r="BF815" s="33">
        <v>0</v>
      </c>
      <c r="CE815" s="36">
        <v>781</v>
      </c>
      <c r="CF815" s="33">
        <v>24</v>
      </c>
      <c r="CG815" s="33">
        <v>3</v>
      </c>
      <c r="CH815" s="33">
        <v>1</v>
      </c>
      <c r="CI815" s="33">
        <v>1</v>
      </c>
      <c r="CJ815" s="33">
        <v>1</v>
      </c>
      <c r="CK815" s="33">
        <v>0</v>
      </c>
      <c r="CL815" s="33">
        <v>0</v>
      </c>
      <c r="CM815" s="33">
        <v>2</v>
      </c>
      <c r="CN815" s="33">
        <v>10</v>
      </c>
      <c r="CO815" s="33">
        <v>1</v>
      </c>
      <c r="CP815" s="43">
        <v>0.16005219456726266</v>
      </c>
      <c r="CQ815" s="33">
        <v>0</v>
      </c>
      <c r="CR815" s="33">
        <v>1</v>
      </c>
    </row>
    <row r="816" spans="1:96" ht="15" customHeight="1" x14ac:dyDescent="0.25">
      <c r="A816" s="26">
        <v>814</v>
      </c>
      <c r="B816" s="27">
        <v>40</v>
      </c>
      <c r="C816" s="27">
        <v>0</v>
      </c>
      <c r="D816" s="27">
        <v>1</v>
      </c>
      <c r="E816" s="27">
        <v>1308</v>
      </c>
      <c r="F816" s="27">
        <v>2</v>
      </c>
      <c r="G816" s="27">
        <v>14</v>
      </c>
      <c r="H816" s="27">
        <v>3</v>
      </c>
      <c r="I816" s="27">
        <v>3</v>
      </c>
      <c r="J816" s="27">
        <v>1</v>
      </c>
      <c r="K816" s="27">
        <v>1128</v>
      </c>
      <c r="L816" s="27">
        <v>3</v>
      </c>
      <c r="M816" s="27">
        <v>1</v>
      </c>
      <c r="N816" s="27">
        <v>44</v>
      </c>
      <c r="O816" s="27">
        <v>2</v>
      </c>
      <c r="P816" s="27">
        <v>5</v>
      </c>
      <c r="Q816" s="27">
        <v>8</v>
      </c>
      <c r="R816" s="27">
        <v>3</v>
      </c>
      <c r="S816" s="27">
        <v>1</v>
      </c>
      <c r="T816" s="27">
        <v>19626</v>
      </c>
      <c r="U816" s="27">
        <v>17544</v>
      </c>
      <c r="V816" s="27">
        <v>1</v>
      </c>
      <c r="W816" s="27">
        <v>0</v>
      </c>
      <c r="X816" s="27">
        <v>14</v>
      </c>
      <c r="Y816" s="27">
        <v>3</v>
      </c>
      <c r="Z816" s="27">
        <v>1</v>
      </c>
      <c r="AA816" s="27">
        <v>80</v>
      </c>
      <c r="AB816" s="27">
        <v>0</v>
      </c>
      <c r="AC816" s="27">
        <v>21</v>
      </c>
      <c r="AD816" s="27">
        <v>2</v>
      </c>
      <c r="AE816" s="27">
        <v>4</v>
      </c>
      <c r="AF816" s="27">
        <v>20</v>
      </c>
      <c r="AG816" s="27">
        <v>7</v>
      </c>
      <c r="AH816" s="27">
        <v>4</v>
      </c>
      <c r="AI816" s="28">
        <v>9</v>
      </c>
      <c r="AK816" s="36">
        <v>783</v>
      </c>
      <c r="AL816" s="33">
        <v>20</v>
      </c>
      <c r="AM816" s="33">
        <v>2</v>
      </c>
      <c r="AN816" s="33">
        <v>1</v>
      </c>
      <c r="AO816" s="33">
        <v>0</v>
      </c>
      <c r="AP816" s="33">
        <v>0</v>
      </c>
      <c r="AQ816" s="33">
        <v>1</v>
      </c>
      <c r="AR816" s="33">
        <v>2</v>
      </c>
      <c r="AS816" s="33">
        <v>6</v>
      </c>
      <c r="AT816" s="33">
        <v>0</v>
      </c>
      <c r="AU816" s="43">
        <v>0.12507773387748961</v>
      </c>
      <c r="AV816" s="33">
        <v>0</v>
      </c>
      <c r="AW816" s="33">
        <v>0</v>
      </c>
      <c r="AY816" s="36">
        <v>788</v>
      </c>
      <c r="AZ816" s="33">
        <v>3</v>
      </c>
      <c r="BA816" s="33">
        <v>2</v>
      </c>
      <c r="BB816" s="33">
        <v>0</v>
      </c>
      <c r="BC816" s="33">
        <v>1</v>
      </c>
      <c r="BD816" s="43">
        <v>5.6480788250011953E-2</v>
      </c>
      <c r="BE816" s="33">
        <v>0</v>
      </c>
      <c r="BF816" s="33">
        <v>0</v>
      </c>
      <c r="CE816" s="36">
        <v>782</v>
      </c>
      <c r="CF816" s="33">
        <v>1</v>
      </c>
      <c r="CG816" s="33">
        <v>1</v>
      </c>
      <c r="CH816" s="33">
        <v>1</v>
      </c>
      <c r="CI816" s="33">
        <v>2</v>
      </c>
      <c r="CJ816" s="33">
        <v>1</v>
      </c>
      <c r="CK816" s="33">
        <v>0</v>
      </c>
      <c r="CL816" s="33">
        <v>2</v>
      </c>
      <c r="CM816" s="33">
        <v>3</v>
      </c>
      <c r="CN816" s="33">
        <v>5</v>
      </c>
      <c r="CO816" s="33">
        <v>1</v>
      </c>
      <c r="CP816" s="43">
        <v>9.7089203233446178E-2</v>
      </c>
      <c r="CQ816" s="33">
        <v>0</v>
      </c>
      <c r="CR816" s="33">
        <v>0</v>
      </c>
    </row>
    <row r="817" spans="1:96" ht="15" customHeight="1" x14ac:dyDescent="0.25">
      <c r="A817" s="26">
        <v>815</v>
      </c>
      <c r="B817" s="27">
        <v>21</v>
      </c>
      <c r="C817" s="27">
        <v>0</v>
      </c>
      <c r="D817" s="27">
        <v>1</v>
      </c>
      <c r="E817" s="27">
        <v>984</v>
      </c>
      <c r="F817" s="27">
        <v>2</v>
      </c>
      <c r="G817" s="27">
        <v>1</v>
      </c>
      <c r="H817" s="27">
        <v>1</v>
      </c>
      <c r="I817" s="27">
        <v>5</v>
      </c>
      <c r="J817" s="27">
        <v>1</v>
      </c>
      <c r="K817" s="27">
        <v>1131</v>
      </c>
      <c r="L817" s="27">
        <v>4</v>
      </c>
      <c r="M817" s="27">
        <v>0</v>
      </c>
      <c r="N817" s="27">
        <v>70</v>
      </c>
      <c r="O817" s="27">
        <v>2</v>
      </c>
      <c r="P817" s="27">
        <v>1</v>
      </c>
      <c r="Q817" s="27">
        <v>2</v>
      </c>
      <c r="R817" s="27">
        <v>2</v>
      </c>
      <c r="S817" s="27">
        <v>1</v>
      </c>
      <c r="T817" s="27">
        <v>2070</v>
      </c>
      <c r="U817" s="27">
        <v>25326</v>
      </c>
      <c r="V817" s="27">
        <v>1</v>
      </c>
      <c r="W817" s="27">
        <v>1</v>
      </c>
      <c r="X817" s="27">
        <v>11</v>
      </c>
      <c r="Y817" s="27">
        <v>3</v>
      </c>
      <c r="Z817" s="27">
        <v>3</v>
      </c>
      <c r="AA817" s="27">
        <v>80</v>
      </c>
      <c r="AB817" s="27">
        <v>0</v>
      </c>
      <c r="AC817" s="27">
        <v>2</v>
      </c>
      <c r="AD817" s="27">
        <v>6</v>
      </c>
      <c r="AE817" s="27">
        <v>4</v>
      </c>
      <c r="AF817" s="27">
        <v>2</v>
      </c>
      <c r="AG817" s="27">
        <v>2</v>
      </c>
      <c r="AH817" s="27">
        <v>2</v>
      </c>
      <c r="AI817" s="28">
        <v>2</v>
      </c>
      <c r="AK817" s="36">
        <v>784</v>
      </c>
      <c r="AL817" s="33">
        <v>7</v>
      </c>
      <c r="AM817" s="33">
        <v>1</v>
      </c>
      <c r="AN817" s="33">
        <v>3</v>
      </c>
      <c r="AO817" s="33">
        <v>1</v>
      </c>
      <c r="AP817" s="33">
        <v>0</v>
      </c>
      <c r="AQ817" s="33">
        <v>0</v>
      </c>
      <c r="AR817" s="33">
        <v>3</v>
      </c>
      <c r="AS817" s="33">
        <v>10</v>
      </c>
      <c r="AT817" s="33">
        <v>0</v>
      </c>
      <c r="AU817" s="43">
        <v>9.2390512416734641E-2</v>
      </c>
      <c r="AV817" s="33">
        <v>0</v>
      </c>
      <c r="AW817" s="33">
        <v>0</v>
      </c>
      <c r="AY817" s="36">
        <v>789</v>
      </c>
      <c r="AZ817" s="33">
        <v>2</v>
      </c>
      <c r="BA817" s="33">
        <v>3</v>
      </c>
      <c r="BB817" s="33">
        <v>0</v>
      </c>
      <c r="BC817" s="33">
        <v>0</v>
      </c>
      <c r="BD817" s="43">
        <v>0.11690772887050198</v>
      </c>
      <c r="BE817" s="33">
        <v>0</v>
      </c>
      <c r="BF817" s="33">
        <v>0</v>
      </c>
      <c r="CE817" s="36">
        <v>783</v>
      </c>
      <c r="CF817" s="33">
        <v>20</v>
      </c>
      <c r="CG817" s="33">
        <v>2</v>
      </c>
      <c r="CH817" s="33">
        <v>1</v>
      </c>
      <c r="CI817" s="33">
        <v>2</v>
      </c>
      <c r="CJ817" s="33">
        <v>0</v>
      </c>
      <c r="CK817" s="33">
        <v>0</v>
      </c>
      <c r="CL817" s="33">
        <v>1</v>
      </c>
      <c r="CM817" s="33">
        <v>2</v>
      </c>
      <c r="CN817" s="33">
        <v>6</v>
      </c>
      <c r="CO817" s="33">
        <v>0</v>
      </c>
      <c r="CP817" s="43">
        <v>0.12568927720354242</v>
      </c>
      <c r="CQ817" s="33">
        <v>0</v>
      </c>
      <c r="CR817" s="33">
        <v>0</v>
      </c>
    </row>
    <row r="818" spans="1:96" ht="15" customHeight="1" x14ac:dyDescent="0.25">
      <c r="A818" s="26">
        <v>816</v>
      </c>
      <c r="B818" s="27">
        <v>39</v>
      </c>
      <c r="C818" s="27">
        <v>0</v>
      </c>
      <c r="D818" s="27">
        <v>3</v>
      </c>
      <c r="E818" s="27">
        <v>439</v>
      </c>
      <c r="F818" s="27">
        <v>2</v>
      </c>
      <c r="G818" s="27">
        <v>9</v>
      </c>
      <c r="H818" s="27">
        <v>3</v>
      </c>
      <c r="I818" s="27">
        <v>1</v>
      </c>
      <c r="J818" s="27">
        <v>1</v>
      </c>
      <c r="K818" s="27">
        <v>1132</v>
      </c>
      <c r="L818" s="27">
        <v>3</v>
      </c>
      <c r="M818" s="27">
        <v>1</v>
      </c>
      <c r="N818" s="27">
        <v>70</v>
      </c>
      <c r="O818" s="27">
        <v>3</v>
      </c>
      <c r="P818" s="27">
        <v>2</v>
      </c>
      <c r="Q818" s="27">
        <v>3</v>
      </c>
      <c r="R818" s="27">
        <v>2</v>
      </c>
      <c r="S818" s="27">
        <v>1</v>
      </c>
      <c r="T818" s="27">
        <v>6782</v>
      </c>
      <c r="U818" s="27">
        <v>8770</v>
      </c>
      <c r="V818" s="27">
        <v>9</v>
      </c>
      <c r="W818" s="27">
        <v>0</v>
      </c>
      <c r="X818" s="27">
        <v>15</v>
      </c>
      <c r="Y818" s="27">
        <v>3</v>
      </c>
      <c r="Z818" s="27">
        <v>3</v>
      </c>
      <c r="AA818" s="27">
        <v>80</v>
      </c>
      <c r="AB818" s="27">
        <v>0</v>
      </c>
      <c r="AC818" s="27">
        <v>9</v>
      </c>
      <c r="AD818" s="27">
        <v>2</v>
      </c>
      <c r="AE818" s="27">
        <v>2</v>
      </c>
      <c r="AF818" s="27">
        <v>5</v>
      </c>
      <c r="AG818" s="27">
        <v>4</v>
      </c>
      <c r="AH818" s="27">
        <v>0</v>
      </c>
      <c r="AI818" s="28">
        <v>3</v>
      </c>
      <c r="AK818" s="36">
        <v>785</v>
      </c>
      <c r="AL818" s="33">
        <v>17</v>
      </c>
      <c r="AM818" s="33">
        <v>3</v>
      </c>
      <c r="AN818" s="33">
        <v>3</v>
      </c>
      <c r="AO818" s="33">
        <v>0</v>
      </c>
      <c r="AP818" s="33">
        <v>0</v>
      </c>
      <c r="AQ818" s="33">
        <v>1</v>
      </c>
      <c r="AR818" s="33">
        <v>2</v>
      </c>
      <c r="AS818" s="33">
        <v>19</v>
      </c>
      <c r="AT818" s="33">
        <v>1</v>
      </c>
      <c r="AU818" s="43">
        <v>1.7884693589930171E-2</v>
      </c>
      <c r="AV818" s="33">
        <v>0</v>
      </c>
      <c r="AW818" s="33">
        <v>0</v>
      </c>
      <c r="AY818" s="36">
        <v>790</v>
      </c>
      <c r="AZ818" s="33">
        <v>3</v>
      </c>
      <c r="BA818" s="33">
        <v>1</v>
      </c>
      <c r="BB818" s="33">
        <v>0</v>
      </c>
      <c r="BC818" s="33">
        <v>1</v>
      </c>
      <c r="BD818" s="43">
        <v>7.4238208059117641E-2</v>
      </c>
      <c r="BE818" s="33">
        <v>0</v>
      </c>
      <c r="BF818" s="33">
        <v>1</v>
      </c>
      <c r="CE818" s="36">
        <v>784</v>
      </c>
      <c r="CF818" s="33">
        <v>7</v>
      </c>
      <c r="CG818" s="33">
        <v>1</v>
      </c>
      <c r="CH818" s="33">
        <v>3</v>
      </c>
      <c r="CI818" s="33">
        <v>2</v>
      </c>
      <c r="CJ818" s="33">
        <v>1</v>
      </c>
      <c r="CK818" s="33">
        <v>0</v>
      </c>
      <c r="CL818" s="33">
        <v>0</v>
      </c>
      <c r="CM818" s="33">
        <v>3</v>
      </c>
      <c r="CN818" s="33">
        <v>10</v>
      </c>
      <c r="CO818" s="33">
        <v>0</v>
      </c>
      <c r="CP818" s="43">
        <v>6.3928879051299459E-2</v>
      </c>
      <c r="CQ818" s="33">
        <v>0</v>
      </c>
      <c r="CR818" s="33">
        <v>0</v>
      </c>
    </row>
    <row r="819" spans="1:96" ht="15" customHeight="1" x14ac:dyDescent="0.25">
      <c r="A819" s="26">
        <v>817</v>
      </c>
      <c r="B819" s="27">
        <v>36</v>
      </c>
      <c r="C819" s="27">
        <v>0</v>
      </c>
      <c r="D819" s="27">
        <v>3</v>
      </c>
      <c r="E819" s="27">
        <v>217</v>
      </c>
      <c r="F819" s="27">
        <v>2</v>
      </c>
      <c r="G819" s="27">
        <v>18</v>
      </c>
      <c r="H819" s="27">
        <v>4</v>
      </c>
      <c r="I819" s="27">
        <v>1</v>
      </c>
      <c r="J819" s="27">
        <v>1</v>
      </c>
      <c r="K819" s="27">
        <v>1133</v>
      </c>
      <c r="L819" s="27">
        <v>1</v>
      </c>
      <c r="M819" s="27">
        <v>1</v>
      </c>
      <c r="N819" s="27">
        <v>78</v>
      </c>
      <c r="O819" s="27">
        <v>3</v>
      </c>
      <c r="P819" s="27">
        <v>2</v>
      </c>
      <c r="Q819" s="27">
        <v>4</v>
      </c>
      <c r="R819" s="27">
        <v>4</v>
      </c>
      <c r="S819" s="27">
        <v>1</v>
      </c>
      <c r="T819" s="27">
        <v>7779</v>
      </c>
      <c r="U819" s="27">
        <v>23238</v>
      </c>
      <c r="V819" s="27">
        <v>2</v>
      </c>
      <c r="W819" s="27">
        <v>0</v>
      </c>
      <c r="X819" s="27">
        <v>20</v>
      </c>
      <c r="Y819" s="27">
        <v>4</v>
      </c>
      <c r="Z819" s="27">
        <v>1</v>
      </c>
      <c r="AA819" s="27">
        <v>80</v>
      </c>
      <c r="AB819" s="27">
        <v>0</v>
      </c>
      <c r="AC819" s="27">
        <v>18</v>
      </c>
      <c r="AD819" s="27">
        <v>0</v>
      </c>
      <c r="AE819" s="27">
        <v>3</v>
      </c>
      <c r="AF819" s="27">
        <v>11</v>
      </c>
      <c r="AG819" s="27">
        <v>9</v>
      </c>
      <c r="AH819" s="27">
        <v>0</v>
      </c>
      <c r="AI819" s="28">
        <v>9</v>
      </c>
      <c r="AK819" s="36">
        <v>786</v>
      </c>
      <c r="AL819" s="33">
        <v>20</v>
      </c>
      <c r="AM819" s="33">
        <v>3</v>
      </c>
      <c r="AN819" s="33">
        <v>4</v>
      </c>
      <c r="AO819" s="33">
        <v>4</v>
      </c>
      <c r="AP819" s="33">
        <v>0</v>
      </c>
      <c r="AQ819" s="33">
        <v>1</v>
      </c>
      <c r="AR819" s="33">
        <v>3</v>
      </c>
      <c r="AS819" s="33">
        <v>11</v>
      </c>
      <c r="AT819" s="33">
        <v>11</v>
      </c>
      <c r="AU819" s="43">
        <v>8.4468071501546949E-2</v>
      </c>
      <c r="AV819" s="33">
        <v>0</v>
      </c>
      <c r="AW819" s="33">
        <v>0</v>
      </c>
      <c r="AY819" s="36">
        <v>791</v>
      </c>
      <c r="AZ819" s="33">
        <v>3</v>
      </c>
      <c r="BA819" s="33">
        <v>4</v>
      </c>
      <c r="BB819" s="33">
        <v>0</v>
      </c>
      <c r="BC819" s="33">
        <v>1</v>
      </c>
      <c r="BD819" s="43">
        <v>3.2280700557178299E-2</v>
      </c>
      <c r="BE819" s="33">
        <v>0</v>
      </c>
      <c r="BF819" s="33">
        <v>0</v>
      </c>
      <c r="CE819" s="36">
        <v>785</v>
      </c>
      <c r="CF819" s="33">
        <v>17</v>
      </c>
      <c r="CG819" s="33">
        <v>3</v>
      </c>
      <c r="CH819" s="33">
        <v>3</v>
      </c>
      <c r="CI819" s="33">
        <v>2</v>
      </c>
      <c r="CJ819" s="33">
        <v>0</v>
      </c>
      <c r="CK819" s="33">
        <v>0</v>
      </c>
      <c r="CL819" s="33">
        <v>1</v>
      </c>
      <c r="CM819" s="33">
        <v>2</v>
      </c>
      <c r="CN819" s="33">
        <v>19</v>
      </c>
      <c r="CO819" s="33">
        <v>1</v>
      </c>
      <c r="CP819" s="43">
        <v>1.7493307292298123E-2</v>
      </c>
      <c r="CQ819" s="33">
        <v>0</v>
      </c>
      <c r="CR819" s="33">
        <v>0</v>
      </c>
    </row>
    <row r="820" spans="1:96" ht="15" customHeight="1" x14ac:dyDescent="0.25">
      <c r="A820" s="26">
        <v>818</v>
      </c>
      <c r="B820" s="27">
        <v>31</v>
      </c>
      <c r="C820" s="27">
        <v>0</v>
      </c>
      <c r="D820" s="27">
        <v>2</v>
      </c>
      <c r="E820" s="27">
        <v>793</v>
      </c>
      <c r="F820" s="27">
        <v>1</v>
      </c>
      <c r="G820" s="27">
        <v>20</v>
      </c>
      <c r="H820" s="27">
        <v>3</v>
      </c>
      <c r="I820" s="27">
        <v>1</v>
      </c>
      <c r="J820" s="27">
        <v>1</v>
      </c>
      <c r="K820" s="27">
        <v>1135</v>
      </c>
      <c r="L820" s="27">
        <v>3</v>
      </c>
      <c r="M820" s="27">
        <v>1</v>
      </c>
      <c r="N820" s="27">
        <v>67</v>
      </c>
      <c r="O820" s="27">
        <v>4</v>
      </c>
      <c r="P820" s="27">
        <v>1</v>
      </c>
      <c r="Q820" s="27">
        <v>7</v>
      </c>
      <c r="R820" s="27">
        <v>4</v>
      </c>
      <c r="S820" s="27">
        <v>2</v>
      </c>
      <c r="T820" s="27">
        <v>2791</v>
      </c>
      <c r="U820" s="27">
        <v>21981</v>
      </c>
      <c r="V820" s="27">
        <v>0</v>
      </c>
      <c r="W820" s="27">
        <v>0</v>
      </c>
      <c r="X820" s="27">
        <v>12</v>
      </c>
      <c r="Y820" s="27">
        <v>3</v>
      </c>
      <c r="Z820" s="27">
        <v>1</v>
      </c>
      <c r="AA820" s="27">
        <v>80</v>
      </c>
      <c r="AB820" s="27">
        <v>1</v>
      </c>
      <c r="AC820" s="27">
        <v>3</v>
      </c>
      <c r="AD820" s="27">
        <v>4</v>
      </c>
      <c r="AE820" s="27">
        <v>3</v>
      </c>
      <c r="AF820" s="27">
        <v>2</v>
      </c>
      <c r="AG820" s="27">
        <v>2</v>
      </c>
      <c r="AH820" s="27">
        <v>2</v>
      </c>
      <c r="AI820" s="28">
        <v>2</v>
      </c>
      <c r="AK820" s="36">
        <v>787</v>
      </c>
      <c r="AL820" s="33">
        <v>8</v>
      </c>
      <c r="AM820" s="33">
        <v>1</v>
      </c>
      <c r="AN820" s="33">
        <v>3</v>
      </c>
      <c r="AO820" s="33">
        <v>1</v>
      </c>
      <c r="AP820" s="33">
        <v>0</v>
      </c>
      <c r="AQ820" s="33">
        <v>3</v>
      </c>
      <c r="AR820" s="33">
        <v>3</v>
      </c>
      <c r="AS820" s="33">
        <v>3</v>
      </c>
      <c r="AT820" s="33">
        <v>1</v>
      </c>
      <c r="AU820" s="43">
        <v>3.4408571376725185E-2</v>
      </c>
      <c r="AV820" s="33">
        <v>0</v>
      </c>
      <c r="AW820" s="33">
        <v>0</v>
      </c>
      <c r="AY820" s="36">
        <v>792</v>
      </c>
      <c r="AZ820" s="33">
        <v>3</v>
      </c>
      <c r="BA820" s="33">
        <v>1</v>
      </c>
      <c r="BB820" s="33">
        <v>1</v>
      </c>
      <c r="BC820" s="33">
        <v>0</v>
      </c>
      <c r="BD820" s="43">
        <v>0.36749559266393544</v>
      </c>
      <c r="BE820" s="33">
        <v>0</v>
      </c>
      <c r="BF820" s="33">
        <v>1</v>
      </c>
      <c r="CE820" s="36">
        <v>786</v>
      </c>
      <c r="CF820" s="33">
        <v>20</v>
      </c>
      <c r="CG820" s="33">
        <v>3</v>
      </c>
      <c r="CH820" s="33">
        <v>4</v>
      </c>
      <c r="CI820" s="33">
        <v>2</v>
      </c>
      <c r="CJ820" s="33">
        <v>4</v>
      </c>
      <c r="CK820" s="33">
        <v>0</v>
      </c>
      <c r="CL820" s="33">
        <v>1</v>
      </c>
      <c r="CM820" s="33">
        <v>3</v>
      </c>
      <c r="CN820" s="33">
        <v>11</v>
      </c>
      <c r="CO820" s="33">
        <v>11</v>
      </c>
      <c r="CP820" s="43">
        <v>8.3111777237572848E-2</v>
      </c>
      <c r="CQ820" s="33">
        <v>0</v>
      </c>
      <c r="CR820" s="33">
        <v>0</v>
      </c>
    </row>
    <row r="821" spans="1:96" ht="15" customHeight="1" x14ac:dyDescent="0.25">
      <c r="A821" s="26">
        <v>819</v>
      </c>
      <c r="B821" s="27">
        <v>28</v>
      </c>
      <c r="C821" s="27">
        <v>0</v>
      </c>
      <c r="D821" s="27">
        <v>1</v>
      </c>
      <c r="E821" s="27">
        <v>1451</v>
      </c>
      <c r="F821" s="27">
        <v>2</v>
      </c>
      <c r="G821" s="27">
        <v>2</v>
      </c>
      <c r="H821" s="27">
        <v>1</v>
      </c>
      <c r="I821" s="27">
        <v>1</v>
      </c>
      <c r="J821" s="27">
        <v>1</v>
      </c>
      <c r="K821" s="27">
        <v>1136</v>
      </c>
      <c r="L821" s="27">
        <v>1</v>
      </c>
      <c r="M821" s="27">
        <v>1</v>
      </c>
      <c r="N821" s="27">
        <v>67</v>
      </c>
      <c r="O821" s="27">
        <v>2</v>
      </c>
      <c r="P821" s="27">
        <v>1</v>
      </c>
      <c r="Q821" s="27">
        <v>2</v>
      </c>
      <c r="R821" s="27">
        <v>2</v>
      </c>
      <c r="S821" s="27">
        <v>2</v>
      </c>
      <c r="T821" s="27">
        <v>3201</v>
      </c>
      <c r="U821" s="27">
        <v>19911</v>
      </c>
      <c r="V821" s="27">
        <v>0</v>
      </c>
      <c r="W821" s="27">
        <v>0</v>
      </c>
      <c r="X821" s="27">
        <v>17</v>
      </c>
      <c r="Y821" s="27">
        <v>3</v>
      </c>
      <c r="Z821" s="27">
        <v>1</v>
      </c>
      <c r="AA821" s="27">
        <v>80</v>
      </c>
      <c r="AB821" s="27">
        <v>0</v>
      </c>
      <c r="AC821" s="27">
        <v>6</v>
      </c>
      <c r="AD821" s="27">
        <v>2</v>
      </c>
      <c r="AE821" s="27">
        <v>1</v>
      </c>
      <c r="AF821" s="27">
        <v>5</v>
      </c>
      <c r="AG821" s="27">
        <v>3</v>
      </c>
      <c r="AH821" s="27">
        <v>0</v>
      </c>
      <c r="AI821" s="28">
        <v>4</v>
      </c>
      <c r="AK821" s="36">
        <v>788</v>
      </c>
      <c r="AL821" s="33">
        <v>2</v>
      </c>
      <c r="AM821" s="33">
        <v>3</v>
      </c>
      <c r="AN821" s="33">
        <v>2</v>
      </c>
      <c r="AO821" s="33">
        <v>3</v>
      </c>
      <c r="AP821" s="33">
        <v>0</v>
      </c>
      <c r="AQ821" s="33">
        <v>1</v>
      </c>
      <c r="AR821" s="33">
        <v>3</v>
      </c>
      <c r="AS821" s="33">
        <v>3</v>
      </c>
      <c r="AT821" s="33">
        <v>1</v>
      </c>
      <c r="AU821" s="43">
        <v>4.5426457228868143E-2</v>
      </c>
      <c r="AV821" s="33">
        <v>0</v>
      </c>
      <c r="AW821" s="33">
        <v>0</v>
      </c>
      <c r="AY821" s="36">
        <v>793</v>
      </c>
      <c r="AZ821" s="33">
        <v>2</v>
      </c>
      <c r="BA821" s="33">
        <v>3</v>
      </c>
      <c r="BB821" s="33">
        <v>0</v>
      </c>
      <c r="BC821" s="33">
        <v>0</v>
      </c>
      <c r="BD821" s="43">
        <v>0.11690772887050198</v>
      </c>
      <c r="BE821" s="33">
        <v>0</v>
      </c>
      <c r="BF821" s="33">
        <v>1</v>
      </c>
      <c r="CE821" s="36">
        <v>787</v>
      </c>
      <c r="CF821" s="33">
        <v>8</v>
      </c>
      <c r="CG821" s="33">
        <v>1</v>
      </c>
      <c r="CH821" s="33">
        <v>3</v>
      </c>
      <c r="CI821" s="33">
        <v>2</v>
      </c>
      <c r="CJ821" s="33">
        <v>1</v>
      </c>
      <c r="CK821" s="33">
        <v>0</v>
      </c>
      <c r="CL821" s="33">
        <v>3</v>
      </c>
      <c r="CM821" s="33">
        <v>3</v>
      </c>
      <c r="CN821" s="33">
        <v>3</v>
      </c>
      <c r="CO821" s="33">
        <v>1</v>
      </c>
      <c r="CP821" s="43">
        <v>6.324828076337731E-2</v>
      </c>
      <c r="CQ821" s="33">
        <v>0</v>
      </c>
      <c r="CR821" s="33">
        <v>0</v>
      </c>
    </row>
    <row r="822" spans="1:96" ht="15" customHeight="1" x14ac:dyDescent="0.25">
      <c r="A822" s="26">
        <v>820</v>
      </c>
      <c r="B822" s="27">
        <v>35</v>
      </c>
      <c r="C822" s="27">
        <v>0</v>
      </c>
      <c r="D822" s="27">
        <v>2</v>
      </c>
      <c r="E822" s="27">
        <v>1182</v>
      </c>
      <c r="F822" s="27">
        <v>1</v>
      </c>
      <c r="G822" s="27">
        <v>11</v>
      </c>
      <c r="H822" s="27">
        <v>2</v>
      </c>
      <c r="I822" s="27">
        <v>4</v>
      </c>
      <c r="J822" s="27">
        <v>1</v>
      </c>
      <c r="K822" s="27">
        <v>1137</v>
      </c>
      <c r="L822" s="27">
        <v>4</v>
      </c>
      <c r="M822" s="27">
        <v>1</v>
      </c>
      <c r="N822" s="27">
        <v>54</v>
      </c>
      <c r="O822" s="27">
        <v>3</v>
      </c>
      <c r="P822" s="27">
        <v>2</v>
      </c>
      <c r="Q822" s="27">
        <v>1</v>
      </c>
      <c r="R822" s="27">
        <v>4</v>
      </c>
      <c r="S822" s="27">
        <v>3</v>
      </c>
      <c r="T822" s="27">
        <v>4968</v>
      </c>
      <c r="U822" s="27">
        <v>18500</v>
      </c>
      <c r="V822" s="27">
        <v>1</v>
      </c>
      <c r="W822" s="27">
        <v>0</v>
      </c>
      <c r="X822" s="27">
        <v>11</v>
      </c>
      <c r="Y822" s="27">
        <v>3</v>
      </c>
      <c r="Z822" s="27">
        <v>4</v>
      </c>
      <c r="AA822" s="27">
        <v>80</v>
      </c>
      <c r="AB822" s="27">
        <v>1</v>
      </c>
      <c r="AC822" s="27">
        <v>5</v>
      </c>
      <c r="AD822" s="27">
        <v>3</v>
      </c>
      <c r="AE822" s="27">
        <v>3</v>
      </c>
      <c r="AF822" s="27">
        <v>5</v>
      </c>
      <c r="AG822" s="27">
        <v>2</v>
      </c>
      <c r="AH822" s="27">
        <v>0</v>
      </c>
      <c r="AI822" s="28">
        <v>2</v>
      </c>
      <c r="AK822" s="36">
        <v>789</v>
      </c>
      <c r="AL822" s="33">
        <v>10</v>
      </c>
      <c r="AM822" s="33">
        <v>2</v>
      </c>
      <c r="AN822" s="33">
        <v>3</v>
      </c>
      <c r="AO822" s="33">
        <v>3</v>
      </c>
      <c r="AP822" s="33">
        <v>0</v>
      </c>
      <c r="AQ822" s="33">
        <v>0</v>
      </c>
      <c r="AR822" s="33">
        <v>4</v>
      </c>
      <c r="AS822" s="33">
        <v>8</v>
      </c>
      <c r="AT822" s="33">
        <v>1</v>
      </c>
      <c r="AU822" s="43">
        <v>7.2934274502763061E-2</v>
      </c>
      <c r="AV822" s="33">
        <v>0</v>
      </c>
      <c r="AW822" s="33">
        <v>0</v>
      </c>
      <c r="AY822" s="36">
        <v>794</v>
      </c>
      <c r="AZ822" s="33">
        <v>1</v>
      </c>
      <c r="BA822" s="33">
        <v>3</v>
      </c>
      <c r="BB822" s="33">
        <v>0</v>
      </c>
      <c r="BC822" s="33">
        <v>1</v>
      </c>
      <c r="BD822" s="43">
        <v>0.12012271365792118</v>
      </c>
      <c r="BE822" s="33">
        <v>0</v>
      </c>
      <c r="BF822" s="33">
        <v>0</v>
      </c>
      <c r="CE822" s="36">
        <v>788</v>
      </c>
      <c r="CF822" s="33">
        <v>2</v>
      </c>
      <c r="CG822" s="33">
        <v>3</v>
      </c>
      <c r="CH822" s="33">
        <v>2</v>
      </c>
      <c r="CI822" s="33">
        <v>2</v>
      </c>
      <c r="CJ822" s="33">
        <v>3</v>
      </c>
      <c r="CK822" s="33">
        <v>0</v>
      </c>
      <c r="CL822" s="33">
        <v>1</v>
      </c>
      <c r="CM822" s="33">
        <v>3</v>
      </c>
      <c r="CN822" s="33">
        <v>3</v>
      </c>
      <c r="CO822" s="33">
        <v>1</v>
      </c>
      <c r="CP822" s="43">
        <v>4.530285985197282E-2</v>
      </c>
      <c r="CQ822" s="33">
        <v>0</v>
      </c>
      <c r="CR822" s="33">
        <v>0</v>
      </c>
    </row>
    <row r="823" spans="1:96" ht="15" customHeight="1" x14ac:dyDescent="0.25">
      <c r="A823" s="26">
        <v>821</v>
      </c>
      <c r="B823" s="27">
        <v>49</v>
      </c>
      <c r="C823" s="27">
        <v>0</v>
      </c>
      <c r="D823" s="27">
        <v>1</v>
      </c>
      <c r="E823" s="27">
        <v>174</v>
      </c>
      <c r="F823" s="27">
        <v>1</v>
      </c>
      <c r="G823" s="27">
        <v>8</v>
      </c>
      <c r="H823" s="27">
        <v>4</v>
      </c>
      <c r="I823" s="27">
        <v>5</v>
      </c>
      <c r="J823" s="27">
        <v>1</v>
      </c>
      <c r="K823" s="27">
        <v>1138</v>
      </c>
      <c r="L823" s="27">
        <v>4</v>
      </c>
      <c r="M823" s="27">
        <v>1</v>
      </c>
      <c r="N823" s="27">
        <v>56</v>
      </c>
      <c r="O823" s="27">
        <v>2</v>
      </c>
      <c r="P823" s="27">
        <v>4</v>
      </c>
      <c r="Q823" s="27">
        <v>1</v>
      </c>
      <c r="R823" s="27">
        <v>2</v>
      </c>
      <c r="S823" s="27">
        <v>2</v>
      </c>
      <c r="T823" s="27">
        <v>13120</v>
      </c>
      <c r="U823" s="27">
        <v>11879</v>
      </c>
      <c r="V823" s="27">
        <v>6</v>
      </c>
      <c r="W823" s="27">
        <v>0</v>
      </c>
      <c r="X823" s="27">
        <v>17</v>
      </c>
      <c r="Y823" s="27">
        <v>3</v>
      </c>
      <c r="Z823" s="27">
        <v>2</v>
      </c>
      <c r="AA823" s="27">
        <v>80</v>
      </c>
      <c r="AB823" s="27">
        <v>1</v>
      </c>
      <c r="AC823" s="27">
        <v>22</v>
      </c>
      <c r="AD823" s="27">
        <v>3</v>
      </c>
      <c r="AE823" s="27">
        <v>3</v>
      </c>
      <c r="AF823" s="27">
        <v>9</v>
      </c>
      <c r="AG823" s="27">
        <v>8</v>
      </c>
      <c r="AH823" s="27">
        <v>2</v>
      </c>
      <c r="AI823" s="28">
        <v>3</v>
      </c>
      <c r="AK823" s="36">
        <v>790</v>
      </c>
      <c r="AL823" s="33">
        <v>1</v>
      </c>
      <c r="AM823" s="33">
        <v>3</v>
      </c>
      <c r="AN823" s="33">
        <v>1</v>
      </c>
      <c r="AO823" s="33">
        <v>9</v>
      </c>
      <c r="AP823" s="33">
        <v>0</v>
      </c>
      <c r="AQ823" s="33">
        <v>1</v>
      </c>
      <c r="AR823" s="33">
        <v>3</v>
      </c>
      <c r="AS823" s="33">
        <v>20</v>
      </c>
      <c r="AT823" s="33">
        <v>3</v>
      </c>
      <c r="AU823" s="43">
        <v>3.6195535310502763E-2</v>
      </c>
      <c r="AV823" s="33">
        <v>0</v>
      </c>
      <c r="AW823" s="33">
        <v>1</v>
      </c>
      <c r="AY823" s="36">
        <v>795</v>
      </c>
      <c r="AZ823" s="33">
        <v>2</v>
      </c>
      <c r="BA823" s="33">
        <v>4</v>
      </c>
      <c r="BB823" s="33">
        <v>0</v>
      </c>
      <c r="BC823" s="33">
        <v>0</v>
      </c>
      <c r="BD823" s="43">
        <v>8.9935487507215722E-2</v>
      </c>
      <c r="BE823" s="33">
        <v>0</v>
      </c>
      <c r="BF823" s="33">
        <v>0</v>
      </c>
      <c r="CE823" s="36">
        <v>789</v>
      </c>
      <c r="CF823" s="33">
        <v>10</v>
      </c>
      <c r="CG823" s="33">
        <v>2</v>
      </c>
      <c r="CH823" s="33">
        <v>3</v>
      </c>
      <c r="CI823" s="33">
        <v>1</v>
      </c>
      <c r="CJ823" s="33">
        <v>3</v>
      </c>
      <c r="CK823" s="33">
        <v>0</v>
      </c>
      <c r="CL823" s="33">
        <v>0</v>
      </c>
      <c r="CM823" s="33">
        <v>4</v>
      </c>
      <c r="CN823" s="33">
        <v>8</v>
      </c>
      <c r="CO823" s="33">
        <v>1</v>
      </c>
      <c r="CP823" s="43">
        <v>8.4233767859775793E-2</v>
      </c>
      <c r="CQ823" s="33">
        <v>0</v>
      </c>
      <c r="CR823" s="33">
        <v>0</v>
      </c>
    </row>
    <row r="824" spans="1:96" ht="15" customHeight="1" x14ac:dyDescent="0.25">
      <c r="A824" s="26">
        <v>822</v>
      </c>
      <c r="B824" s="27">
        <v>34</v>
      </c>
      <c r="C824" s="27">
        <v>0</v>
      </c>
      <c r="D824" s="27">
        <v>2</v>
      </c>
      <c r="E824" s="27">
        <v>1003</v>
      </c>
      <c r="F824" s="27">
        <v>2</v>
      </c>
      <c r="G824" s="27">
        <v>2</v>
      </c>
      <c r="H824" s="27">
        <v>2</v>
      </c>
      <c r="I824" s="27">
        <v>1</v>
      </c>
      <c r="J824" s="27">
        <v>1</v>
      </c>
      <c r="K824" s="27">
        <v>1140</v>
      </c>
      <c r="L824" s="27">
        <v>4</v>
      </c>
      <c r="M824" s="27">
        <v>1</v>
      </c>
      <c r="N824" s="27">
        <v>95</v>
      </c>
      <c r="O824" s="27">
        <v>3</v>
      </c>
      <c r="P824" s="27">
        <v>2</v>
      </c>
      <c r="Q824" s="27">
        <v>4</v>
      </c>
      <c r="R824" s="27">
        <v>3</v>
      </c>
      <c r="S824" s="27">
        <v>1</v>
      </c>
      <c r="T824" s="27">
        <v>4033</v>
      </c>
      <c r="U824" s="27">
        <v>15834</v>
      </c>
      <c r="V824" s="27">
        <v>2</v>
      </c>
      <c r="W824" s="27">
        <v>0</v>
      </c>
      <c r="X824" s="27">
        <v>11</v>
      </c>
      <c r="Y824" s="27">
        <v>3</v>
      </c>
      <c r="Z824" s="27">
        <v>4</v>
      </c>
      <c r="AA824" s="27">
        <v>80</v>
      </c>
      <c r="AB824" s="27">
        <v>0</v>
      </c>
      <c r="AC824" s="27">
        <v>5</v>
      </c>
      <c r="AD824" s="27">
        <v>3</v>
      </c>
      <c r="AE824" s="27">
        <v>2</v>
      </c>
      <c r="AF824" s="27">
        <v>3</v>
      </c>
      <c r="AG824" s="27">
        <v>2</v>
      </c>
      <c r="AH824" s="27">
        <v>0</v>
      </c>
      <c r="AI824" s="28">
        <v>2</v>
      </c>
      <c r="AK824" s="36">
        <v>791</v>
      </c>
      <c r="AL824" s="33">
        <v>5</v>
      </c>
      <c r="AM824" s="33">
        <v>3</v>
      </c>
      <c r="AN824" s="33">
        <v>4</v>
      </c>
      <c r="AO824" s="33">
        <v>4</v>
      </c>
      <c r="AP824" s="33">
        <v>0</v>
      </c>
      <c r="AQ824" s="33">
        <v>1</v>
      </c>
      <c r="AR824" s="33">
        <v>3</v>
      </c>
      <c r="AS824" s="33">
        <v>3</v>
      </c>
      <c r="AT824" s="33">
        <v>1</v>
      </c>
      <c r="AU824" s="43">
        <v>3.0938491453509138E-2</v>
      </c>
      <c r="AV824" s="33">
        <v>0</v>
      </c>
      <c r="AW824" s="33">
        <v>0</v>
      </c>
      <c r="AY824" s="36">
        <v>796</v>
      </c>
      <c r="AZ824" s="33">
        <v>2</v>
      </c>
      <c r="BA824" s="33">
        <v>4</v>
      </c>
      <c r="BB824" s="33">
        <v>1</v>
      </c>
      <c r="BC824" s="33">
        <v>3</v>
      </c>
      <c r="BD824" s="43">
        <v>7.9833763836812441E-2</v>
      </c>
      <c r="BE824" s="33">
        <v>0</v>
      </c>
      <c r="BF824" s="33">
        <v>0</v>
      </c>
      <c r="CE824" s="36">
        <v>790</v>
      </c>
      <c r="CF824" s="33">
        <v>1</v>
      </c>
      <c r="CG824" s="33">
        <v>3</v>
      </c>
      <c r="CH824" s="33">
        <v>1</v>
      </c>
      <c r="CI824" s="33">
        <v>2</v>
      </c>
      <c r="CJ824" s="33">
        <v>9</v>
      </c>
      <c r="CK824" s="33">
        <v>0</v>
      </c>
      <c r="CL824" s="33">
        <v>1</v>
      </c>
      <c r="CM824" s="33">
        <v>3</v>
      </c>
      <c r="CN824" s="33">
        <v>20</v>
      </c>
      <c r="CO824" s="33">
        <v>3</v>
      </c>
      <c r="CP824" s="43">
        <v>3.6973454511771191E-2</v>
      </c>
      <c r="CQ824" s="33">
        <v>0</v>
      </c>
      <c r="CR824" s="33">
        <v>1</v>
      </c>
    </row>
    <row r="825" spans="1:96" ht="15" customHeight="1" x14ac:dyDescent="0.25">
      <c r="A825" s="26">
        <v>823</v>
      </c>
      <c r="B825" s="27">
        <v>29</v>
      </c>
      <c r="C825" s="27">
        <v>0</v>
      </c>
      <c r="D825" s="27">
        <v>2</v>
      </c>
      <c r="E825" s="27">
        <v>490</v>
      </c>
      <c r="F825" s="27">
        <v>2</v>
      </c>
      <c r="G825" s="27">
        <v>10</v>
      </c>
      <c r="H825" s="27">
        <v>3</v>
      </c>
      <c r="I825" s="27">
        <v>1</v>
      </c>
      <c r="J825" s="27">
        <v>1</v>
      </c>
      <c r="K825" s="27">
        <v>1143</v>
      </c>
      <c r="L825" s="27">
        <v>4</v>
      </c>
      <c r="M825" s="27">
        <v>0</v>
      </c>
      <c r="N825" s="27">
        <v>61</v>
      </c>
      <c r="O825" s="27">
        <v>3</v>
      </c>
      <c r="P825" s="27">
        <v>1</v>
      </c>
      <c r="Q825" s="27">
        <v>2</v>
      </c>
      <c r="R825" s="27">
        <v>2</v>
      </c>
      <c r="S825" s="27">
        <v>3</v>
      </c>
      <c r="T825" s="27">
        <v>3291</v>
      </c>
      <c r="U825" s="27">
        <v>17940</v>
      </c>
      <c r="V825" s="27">
        <v>0</v>
      </c>
      <c r="W825" s="27">
        <v>0</v>
      </c>
      <c r="X825" s="27">
        <v>14</v>
      </c>
      <c r="Y825" s="27">
        <v>3</v>
      </c>
      <c r="Z825" s="27">
        <v>4</v>
      </c>
      <c r="AA825" s="27">
        <v>80</v>
      </c>
      <c r="AB825" s="27">
        <v>2</v>
      </c>
      <c r="AC825" s="27">
        <v>8</v>
      </c>
      <c r="AD825" s="27">
        <v>2</v>
      </c>
      <c r="AE825" s="27">
        <v>2</v>
      </c>
      <c r="AF825" s="27">
        <v>7</v>
      </c>
      <c r="AG825" s="27">
        <v>5</v>
      </c>
      <c r="AH825" s="27">
        <v>1</v>
      </c>
      <c r="AI825" s="28">
        <v>1</v>
      </c>
      <c r="AK825" s="36">
        <v>792</v>
      </c>
      <c r="AL825" s="33">
        <v>4</v>
      </c>
      <c r="AM825" s="33">
        <v>3</v>
      </c>
      <c r="AN825" s="33">
        <v>1</v>
      </c>
      <c r="AO825" s="33">
        <v>0</v>
      </c>
      <c r="AP825" s="33">
        <v>1</v>
      </c>
      <c r="AQ825" s="33">
        <v>0</v>
      </c>
      <c r="AR825" s="33">
        <v>3</v>
      </c>
      <c r="AS825" s="33">
        <v>8</v>
      </c>
      <c r="AT825" s="33">
        <v>4</v>
      </c>
      <c r="AU825" s="43">
        <v>0.28579352078147163</v>
      </c>
      <c r="AV825" s="33">
        <v>0</v>
      </c>
      <c r="AW825" s="33">
        <v>1</v>
      </c>
      <c r="AY825" s="36">
        <v>797</v>
      </c>
      <c r="AZ825" s="33">
        <v>1</v>
      </c>
      <c r="BA825" s="33">
        <v>4</v>
      </c>
      <c r="BB825" s="33">
        <v>1</v>
      </c>
      <c r="BC825" s="33">
        <v>1</v>
      </c>
      <c r="BD825" s="43">
        <v>0.30345027699196836</v>
      </c>
      <c r="BE825" s="33">
        <v>0</v>
      </c>
      <c r="BF825" s="33">
        <v>1</v>
      </c>
      <c r="CE825" s="36">
        <v>791</v>
      </c>
      <c r="CF825" s="33">
        <v>5</v>
      </c>
      <c r="CG825" s="33">
        <v>3</v>
      </c>
      <c r="CH825" s="33">
        <v>4</v>
      </c>
      <c r="CI825" s="33">
        <v>3</v>
      </c>
      <c r="CJ825" s="33">
        <v>4</v>
      </c>
      <c r="CK825" s="33">
        <v>0</v>
      </c>
      <c r="CL825" s="33">
        <v>1</v>
      </c>
      <c r="CM825" s="33">
        <v>3</v>
      </c>
      <c r="CN825" s="33">
        <v>3</v>
      </c>
      <c r="CO825" s="33">
        <v>1</v>
      </c>
      <c r="CP825" s="43">
        <v>1.7336863901248285E-2</v>
      </c>
      <c r="CQ825" s="33">
        <v>0</v>
      </c>
      <c r="CR825" s="33">
        <v>0</v>
      </c>
    </row>
    <row r="826" spans="1:96" ht="15" customHeight="1" x14ac:dyDescent="0.25">
      <c r="A826" s="26">
        <v>824</v>
      </c>
      <c r="B826" s="27">
        <v>42</v>
      </c>
      <c r="C826" s="27">
        <v>0</v>
      </c>
      <c r="D826" s="27">
        <v>1</v>
      </c>
      <c r="E826" s="27">
        <v>188</v>
      </c>
      <c r="F826" s="27">
        <v>2</v>
      </c>
      <c r="G826" s="27">
        <v>29</v>
      </c>
      <c r="H826" s="27">
        <v>3</v>
      </c>
      <c r="I826" s="27">
        <v>3</v>
      </c>
      <c r="J826" s="27">
        <v>1</v>
      </c>
      <c r="K826" s="27">
        <v>1148</v>
      </c>
      <c r="L826" s="27">
        <v>2</v>
      </c>
      <c r="M826" s="27">
        <v>1</v>
      </c>
      <c r="N826" s="27">
        <v>56</v>
      </c>
      <c r="O826" s="27">
        <v>1</v>
      </c>
      <c r="P826" s="27">
        <v>2</v>
      </c>
      <c r="Q826" s="27">
        <v>3</v>
      </c>
      <c r="R826" s="27">
        <v>4</v>
      </c>
      <c r="S826" s="27">
        <v>1</v>
      </c>
      <c r="T826" s="27">
        <v>4272</v>
      </c>
      <c r="U826" s="27">
        <v>9558</v>
      </c>
      <c r="V826" s="27">
        <v>4</v>
      </c>
      <c r="W826" s="27">
        <v>0</v>
      </c>
      <c r="X826" s="27">
        <v>19</v>
      </c>
      <c r="Y826" s="27">
        <v>3</v>
      </c>
      <c r="Z826" s="27">
        <v>1</v>
      </c>
      <c r="AA826" s="27">
        <v>80</v>
      </c>
      <c r="AB826" s="27">
        <v>0</v>
      </c>
      <c r="AC826" s="27">
        <v>16</v>
      </c>
      <c r="AD826" s="27">
        <v>3</v>
      </c>
      <c r="AE826" s="27">
        <v>3</v>
      </c>
      <c r="AF826" s="27">
        <v>1</v>
      </c>
      <c r="AG826" s="27">
        <v>0</v>
      </c>
      <c r="AH826" s="27">
        <v>0</v>
      </c>
      <c r="AI826" s="28">
        <v>0</v>
      </c>
      <c r="AK826" s="36">
        <v>793</v>
      </c>
      <c r="AL826" s="33">
        <v>29</v>
      </c>
      <c r="AM826" s="33">
        <v>2</v>
      </c>
      <c r="AN826" s="33">
        <v>3</v>
      </c>
      <c r="AO826" s="33">
        <v>1</v>
      </c>
      <c r="AP826" s="33">
        <v>0</v>
      </c>
      <c r="AQ826" s="33">
        <v>0</v>
      </c>
      <c r="AR826" s="33">
        <v>3</v>
      </c>
      <c r="AS826" s="33">
        <v>13</v>
      </c>
      <c r="AT826" s="33">
        <v>3</v>
      </c>
      <c r="AU826" s="43">
        <v>0.12210533923837835</v>
      </c>
      <c r="AV826" s="33">
        <v>0</v>
      </c>
      <c r="AW826" s="33">
        <v>1</v>
      </c>
      <c r="AY826" s="36">
        <v>798</v>
      </c>
      <c r="AZ826" s="33">
        <v>1</v>
      </c>
      <c r="BA826" s="33">
        <v>3</v>
      </c>
      <c r="BB826" s="33">
        <v>0</v>
      </c>
      <c r="BC826" s="33">
        <v>1</v>
      </c>
      <c r="BD826" s="43">
        <v>0.12012271365792118</v>
      </c>
      <c r="BE826" s="33">
        <v>0</v>
      </c>
      <c r="BF826" s="33">
        <v>1</v>
      </c>
      <c r="CE826" s="36">
        <v>792</v>
      </c>
      <c r="CF826" s="33">
        <v>4</v>
      </c>
      <c r="CG826" s="33">
        <v>3</v>
      </c>
      <c r="CH826" s="33">
        <v>1</v>
      </c>
      <c r="CI826" s="33">
        <v>1</v>
      </c>
      <c r="CJ826" s="33">
        <v>0</v>
      </c>
      <c r="CK826" s="33">
        <v>1</v>
      </c>
      <c r="CL826" s="33">
        <v>0</v>
      </c>
      <c r="CM826" s="33">
        <v>3</v>
      </c>
      <c r="CN826" s="33">
        <v>8</v>
      </c>
      <c r="CO826" s="33">
        <v>4</v>
      </c>
      <c r="CP826" s="43">
        <v>0.34328868585136763</v>
      </c>
      <c r="CQ826" s="33">
        <v>0</v>
      </c>
      <c r="CR826" s="33">
        <v>1</v>
      </c>
    </row>
    <row r="827" spans="1:96" ht="15" customHeight="1" x14ac:dyDescent="0.25">
      <c r="A827" s="26">
        <v>825</v>
      </c>
      <c r="B827" s="27">
        <v>29</v>
      </c>
      <c r="C827" s="27">
        <v>0</v>
      </c>
      <c r="D827" s="27">
        <v>1</v>
      </c>
      <c r="E827" s="27">
        <v>718</v>
      </c>
      <c r="F827" s="27">
        <v>2</v>
      </c>
      <c r="G827" s="27">
        <v>8</v>
      </c>
      <c r="H827" s="27">
        <v>1</v>
      </c>
      <c r="I827" s="27">
        <v>3</v>
      </c>
      <c r="J827" s="27">
        <v>1</v>
      </c>
      <c r="K827" s="27">
        <v>1150</v>
      </c>
      <c r="L827" s="27">
        <v>2</v>
      </c>
      <c r="M827" s="27">
        <v>1</v>
      </c>
      <c r="N827" s="27">
        <v>79</v>
      </c>
      <c r="O827" s="27">
        <v>2</v>
      </c>
      <c r="P827" s="27">
        <v>2</v>
      </c>
      <c r="Q827" s="27">
        <v>4</v>
      </c>
      <c r="R827" s="27">
        <v>4</v>
      </c>
      <c r="S827" s="27">
        <v>2</v>
      </c>
      <c r="T827" s="27">
        <v>5056</v>
      </c>
      <c r="U827" s="27">
        <v>17689</v>
      </c>
      <c r="V827" s="27">
        <v>1</v>
      </c>
      <c r="W827" s="27">
        <v>1</v>
      </c>
      <c r="X827" s="27">
        <v>15</v>
      </c>
      <c r="Y827" s="27">
        <v>3</v>
      </c>
      <c r="Z827" s="27">
        <v>3</v>
      </c>
      <c r="AA827" s="27">
        <v>80</v>
      </c>
      <c r="AB827" s="27">
        <v>1</v>
      </c>
      <c r="AC827" s="27">
        <v>10</v>
      </c>
      <c r="AD827" s="27">
        <v>2</v>
      </c>
      <c r="AE827" s="27">
        <v>2</v>
      </c>
      <c r="AF827" s="27">
        <v>10</v>
      </c>
      <c r="AG827" s="27">
        <v>7</v>
      </c>
      <c r="AH827" s="27">
        <v>1</v>
      </c>
      <c r="AI827" s="28">
        <v>2</v>
      </c>
      <c r="AK827" s="36">
        <v>794</v>
      </c>
      <c r="AL827" s="33">
        <v>15</v>
      </c>
      <c r="AM827" s="33">
        <v>1</v>
      </c>
      <c r="AN827" s="33">
        <v>3</v>
      </c>
      <c r="AO827" s="33">
        <v>1</v>
      </c>
      <c r="AP827" s="33">
        <v>0</v>
      </c>
      <c r="AQ827" s="33">
        <v>1</v>
      </c>
      <c r="AR827" s="33">
        <v>2</v>
      </c>
      <c r="AS827" s="33">
        <v>4</v>
      </c>
      <c r="AT827" s="33">
        <v>2</v>
      </c>
      <c r="AU827" s="43">
        <v>0.15565033461046815</v>
      </c>
      <c r="AV827" s="33">
        <v>0</v>
      </c>
      <c r="AW827" s="33">
        <v>0</v>
      </c>
      <c r="AY827" s="36">
        <v>799</v>
      </c>
      <c r="AZ827" s="33">
        <v>1</v>
      </c>
      <c r="BA827" s="33">
        <v>2</v>
      </c>
      <c r="BB827" s="33">
        <v>1</v>
      </c>
      <c r="BC827" s="33">
        <v>0</v>
      </c>
      <c r="BD827" s="43">
        <v>0.56990699338636852</v>
      </c>
      <c r="BE827" s="33">
        <v>1</v>
      </c>
      <c r="BF827" s="33">
        <v>1</v>
      </c>
      <c r="CE827" s="36">
        <v>793</v>
      </c>
      <c r="CF827" s="33">
        <v>29</v>
      </c>
      <c r="CG827" s="33">
        <v>2</v>
      </c>
      <c r="CH827" s="33">
        <v>3</v>
      </c>
      <c r="CI827" s="33">
        <v>1</v>
      </c>
      <c r="CJ827" s="33">
        <v>1</v>
      </c>
      <c r="CK827" s="33">
        <v>0</v>
      </c>
      <c r="CL827" s="33">
        <v>0</v>
      </c>
      <c r="CM827" s="33">
        <v>3</v>
      </c>
      <c r="CN827" s="33">
        <v>13</v>
      </c>
      <c r="CO827" s="33">
        <v>3</v>
      </c>
      <c r="CP827" s="43">
        <v>0.1411627211499</v>
      </c>
      <c r="CQ827" s="33">
        <v>0</v>
      </c>
      <c r="CR827" s="33">
        <v>1</v>
      </c>
    </row>
    <row r="828" spans="1:96" ht="15" customHeight="1" x14ac:dyDescent="0.25">
      <c r="A828" s="26">
        <v>826</v>
      </c>
      <c r="B828" s="27">
        <v>38</v>
      </c>
      <c r="C828" s="27">
        <v>0</v>
      </c>
      <c r="D828" s="27">
        <v>1</v>
      </c>
      <c r="E828" s="27">
        <v>433</v>
      </c>
      <c r="F828" s="27">
        <v>3</v>
      </c>
      <c r="G828" s="27">
        <v>1</v>
      </c>
      <c r="H828" s="27">
        <v>3</v>
      </c>
      <c r="I828" s="27">
        <v>2</v>
      </c>
      <c r="J828" s="27">
        <v>1</v>
      </c>
      <c r="K828" s="27">
        <v>1152</v>
      </c>
      <c r="L828" s="27">
        <v>3</v>
      </c>
      <c r="M828" s="27">
        <v>1</v>
      </c>
      <c r="N828" s="27">
        <v>37</v>
      </c>
      <c r="O828" s="27">
        <v>4</v>
      </c>
      <c r="P828" s="27">
        <v>1</v>
      </c>
      <c r="Q828" s="27">
        <v>9</v>
      </c>
      <c r="R828" s="27">
        <v>3</v>
      </c>
      <c r="S828" s="27">
        <v>2</v>
      </c>
      <c r="T828" s="27">
        <v>2844</v>
      </c>
      <c r="U828" s="27">
        <v>6004</v>
      </c>
      <c r="V828" s="27">
        <v>1</v>
      </c>
      <c r="W828" s="27">
        <v>0</v>
      </c>
      <c r="X828" s="27">
        <v>13</v>
      </c>
      <c r="Y828" s="27">
        <v>3</v>
      </c>
      <c r="Z828" s="27">
        <v>4</v>
      </c>
      <c r="AA828" s="27">
        <v>80</v>
      </c>
      <c r="AB828" s="27">
        <v>1</v>
      </c>
      <c r="AC828" s="27">
        <v>7</v>
      </c>
      <c r="AD828" s="27">
        <v>2</v>
      </c>
      <c r="AE828" s="27">
        <v>4</v>
      </c>
      <c r="AF828" s="27">
        <v>7</v>
      </c>
      <c r="AG828" s="27">
        <v>6</v>
      </c>
      <c r="AH828" s="27">
        <v>5</v>
      </c>
      <c r="AI828" s="28">
        <v>0</v>
      </c>
      <c r="AK828" s="36">
        <v>795</v>
      </c>
      <c r="AL828" s="33">
        <v>3</v>
      </c>
      <c r="AM828" s="33">
        <v>2</v>
      </c>
      <c r="AN828" s="33">
        <v>4</v>
      </c>
      <c r="AO828" s="33">
        <v>0</v>
      </c>
      <c r="AP828" s="33">
        <v>0</v>
      </c>
      <c r="AQ828" s="33">
        <v>0</v>
      </c>
      <c r="AR828" s="33">
        <v>2</v>
      </c>
      <c r="AS828" s="33">
        <v>6</v>
      </c>
      <c r="AT828" s="33">
        <v>0</v>
      </c>
      <c r="AU828" s="43">
        <v>5.5936786131460851E-2</v>
      </c>
      <c r="AV828" s="33">
        <v>0</v>
      </c>
      <c r="AW828" s="33">
        <v>0</v>
      </c>
      <c r="AY828" s="36">
        <v>800</v>
      </c>
      <c r="AZ828" s="33">
        <v>4</v>
      </c>
      <c r="BA828" s="33">
        <v>1</v>
      </c>
      <c r="BB828" s="33">
        <v>0</v>
      </c>
      <c r="BC828" s="33">
        <v>1</v>
      </c>
      <c r="BD828" s="43">
        <v>4.3866321508597754E-2</v>
      </c>
      <c r="BE828" s="33">
        <v>0</v>
      </c>
      <c r="BF828" s="33">
        <v>0</v>
      </c>
      <c r="CE828" s="36">
        <v>794</v>
      </c>
      <c r="CF828" s="33">
        <v>15</v>
      </c>
      <c r="CG828" s="33">
        <v>1</v>
      </c>
      <c r="CH828" s="33">
        <v>3</v>
      </c>
      <c r="CI828" s="33">
        <v>3</v>
      </c>
      <c r="CJ828" s="33">
        <v>1</v>
      </c>
      <c r="CK828" s="33">
        <v>0</v>
      </c>
      <c r="CL828" s="33">
        <v>1</v>
      </c>
      <c r="CM828" s="33">
        <v>2</v>
      </c>
      <c r="CN828" s="33">
        <v>4</v>
      </c>
      <c r="CO828" s="33">
        <v>2</v>
      </c>
      <c r="CP828" s="43">
        <v>9.3011738364123367E-2</v>
      </c>
      <c r="CQ828" s="33">
        <v>0</v>
      </c>
      <c r="CR828" s="33">
        <v>0</v>
      </c>
    </row>
    <row r="829" spans="1:96" ht="15" customHeight="1" x14ac:dyDescent="0.25">
      <c r="A829" s="26">
        <v>827</v>
      </c>
      <c r="B829" s="27">
        <v>28</v>
      </c>
      <c r="C829" s="27">
        <v>0</v>
      </c>
      <c r="D829" s="27">
        <v>2</v>
      </c>
      <c r="E829" s="27">
        <v>773</v>
      </c>
      <c r="F829" s="27">
        <v>2</v>
      </c>
      <c r="G829" s="27">
        <v>6</v>
      </c>
      <c r="H829" s="27">
        <v>3</v>
      </c>
      <c r="I829" s="27">
        <v>1</v>
      </c>
      <c r="J829" s="27">
        <v>1</v>
      </c>
      <c r="K829" s="27">
        <v>1154</v>
      </c>
      <c r="L829" s="27">
        <v>3</v>
      </c>
      <c r="M829" s="27">
        <v>1</v>
      </c>
      <c r="N829" s="27">
        <v>39</v>
      </c>
      <c r="O829" s="27">
        <v>2</v>
      </c>
      <c r="P829" s="27">
        <v>1</v>
      </c>
      <c r="Q829" s="27">
        <v>2</v>
      </c>
      <c r="R829" s="27">
        <v>3</v>
      </c>
      <c r="S829" s="27">
        <v>3</v>
      </c>
      <c r="T829" s="27">
        <v>2703</v>
      </c>
      <c r="U829" s="27">
        <v>22088</v>
      </c>
      <c r="V829" s="27">
        <v>1</v>
      </c>
      <c r="W829" s="27">
        <v>1</v>
      </c>
      <c r="X829" s="27">
        <v>14</v>
      </c>
      <c r="Y829" s="27">
        <v>3</v>
      </c>
      <c r="Z829" s="27">
        <v>4</v>
      </c>
      <c r="AA829" s="27">
        <v>80</v>
      </c>
      <c r="AB829" s="27">
        <v>1</v>
      </c>
      <c r="AC829" s="27">
        <v>3</v>
      </c>
      <c r="AD829" s="27">
        <v>2</v>
      </c>
      <c r="AE829" s="27">
        <v>3</v>
      </c>
      <c r="AF829" s="27">
        <v>3</v>
      </c>
      <c r="AG829" s="27">
        <v>1</v>
      </c>
      <c r="AH829" s="27">
        <v>0</v>
      </c>
      <c r="AI829" s="28">
        <v>2</v>
      </c>
      <c r="AK829" s="36">
        <v>796</v>
      </c>
      <c r="AL829" s="33">
        <v>10</v>
      </c>
      <c r="AM829" s="33">
        <v>2</v>
      </c>
      <c r="AN829" s="33">
        <v>4</v>
      </c>
      <c r="AO829" s="33">
        <v>2</v>
      </c>
      <c r="AP829" s="33">
        <v>1</v>
      </c>
      <c r="AQ829" s="33">
        <v>3</v>
      </c>
      <c r="AR829" s="33">
        <v>3</v>
      </c>
      <c r="AS829" s="33">
        <v>1</v>
      </c>
      <c r="AT829" s="33">
        <v>0</v>
      </c>
      <c r="AU829" s="43">
        <v>7.4423995508626883E-2</v>
      </c>
      <c r="AV829" s="33">
        <v>0</v>
      </c>
      <c r="AW829" s="33">
        <v>0</v>
      </c>
      <c r="AY829" s="36">
        <v>801</v>
      </c>
      <c r="AZ829" s="33">
        <v>1</v>
      </c>
      <c r="BA829" s="33">
        <v>2</v>
      </c>
      <c r="BB829" s="33">
        <v>0</v>
      </c>
      <c r="BC829" s="33">
        <v>2</v>
      </c>
      <c r="BD829" s="43">
        <v>9.7393499888919863E-2</v>
      </c>
      <c r="BE829" s="33">
        <v>0</v>
      </c>
      <c r="BF829" s="33">
        <v>1</v>
      </c>
      <c r="CE829" s="36">
        <v>795</v>
      </c>
      <c r="CF829" s="33">
        <v>3</v>
      </c>
      <c r="CG829" s="33">
        <v>2</v>
      </c>
      <c r="CH829" s="33">
        <v>4</v>
      </c>
      <c r="CI829" s="33">
        <v>1</v>
      </c>
      <c r="CJ829" s="33">
        <v>0</v>
      </c>
      <c r="CK829" s="33">
        <v>0</v>
      </c>
      <c r="CL829" s="33">
        <v>0</v>
      </c>
      <c r="CM829" s="33">
        <v>2</v>
      </c>
      <c r="CN829" s="33">
        <v>6</v>
      </c>
      <c r="CO829" s="33">
        <v>0</v>
      </c>
      <c r="CP829" s="43">
        <v>6.5388535203384571E-2</v>
      </c>
      <c r="CQ829" s="33">
        <v>0</v>
      </c>
      <c r="CR829" s="33">
        <v>0</v>
      </c>
    </row>
    <row r="830" spans="1:96" ht="15" customHeight="1" x14ac:dyDescent="0.25">
      <c r="A830" s="26">
        <v>828</v>
      </c>
      <c r="B830" s="27">
        <v>18</v>
      </c>
      <c r="C830" s="27">
        <v>1</v>
      </c>
      <c r="D830" s="27">
        <v>3</v>
      </c>
      <c r="E830" s="27">
        <v>247</v>
      </c>
      <c r="F830" s="27">
        <v>2</v>
      </c>
      <c r="G830" s="27">
        <v>8</v>
      </c>
      <c r="H830" s="27">
        <v>1</v>
      </c>
      <c r="I830" s="27">
        <v>3</v>
      </c>
      <c r="J830" s="27">
        <v>1</v>
      </c>
      <c r="K830" s="27">
        <v>1156</v>
      </c>
      <c r="L830" s="27">
        <v>3</v>
      </c>
      <c r="M830" s="27">
        <v>1</v>
      </c>
      <c r="N830" s="27">
        <v>80</v>
      </c>
      <c r="O830" s="27">
        <v>3</v>
      </c>
      <c r="P830" s="27">
        <v>1</v>
      </c>
      <c r="Q830" s="27">
        <v>3</v>
      </c>
      <c r="R830" s="27">
        <v>3</v>
      </c>
      <c r="S830" s="27">
        <v>1</v>
      </c>
      <c r="T830" s="27">
        <v>1904</v>
      </c>
      <c r="U830" s="27">
        <v>13556</v>
      </c>
      <c r="V830" s="27">
        <v>1</v>
      </c>
      <c r="W830" s="27">
        <v>0</v>
      </c>
      <c r="X830" s="27">
        <v>12</v>
      </c>
      <c r="Y830" s="27">
        <v>3</v>
      </c>
      <c r="Z830" s="27">
        <v>4</v>
      </c>
      <c r="AA830" s="27">
        <v>80</v>
      </c>
      <c r="AB830" s="27">
        <v>0</v>
      </c>
      <c r="AC830" s="27">
        <v>0</v>
      </c>
      <c r="AD830" s="27">
        <v>0</v>
      </c>
      <c r="AE830" s="27">
        <v>3</v>
      </c>
      <c r="AF830" s="27">
        <v>0</v>
      </c>
      <c r="AG830" s="27">
        <v>0</v>
      </c>
      <c r="AH830" s="27">
        <v>0</v>
      </c>
      <c r="AI830" s="28">
        <v>0</v>
      </c>
      <c r="AK830" s="36">
        <v>797</v>
      </c>
      <c r="AL830" s="33">
        <v>4</v>
      </c>
      <c r="AM830" s="33">
        <v>1</v>
      </c>
      <c r="AN830" s="33">
        <v>4</v>
      </c>
      <c r="AO830" s="33">
        <v>1</v>
      </c>
      <c r="AP830" s="33">
        <v>1</v>
      </c>
      <c r="AQ830" s="33">
        <v>1</v>
      </c>
      <c r="AR830" s="33">
        <v>4</v>
      </c>
      <c r="AS830" s="33">
        <v>7</v>
      </c>
      <c r="AT830" s="33">
        <v>5</v>
      </c>
      <c r="AU830" s="43">
        <v>0.22810617734591576</v>
      </c>
      <c r="AV830" s="33">
        <v>0</v>
      </c>
      <c r="AW830" s="33">
        <v>1</v>
      </c>
      <c r="AY830" s="36">
        <v>802</v>
      </c>
      <c r="AZ830" s="33">
        <v>2</v>
      </c>
      <c r="BA830" s="33">
        <v>3</v>
      </c>
      <c r="BB830" s="33">
        <v>1</v>
      </c>
      <c r="BC830" s="33">
        <v>0</v>
      </c>
      <c r="BD830" s="43">
        <v>0.36139389867144694</v>
      </c>
      <c r="BE830" s="33">
        <v>0</v>
      </c>
      <c r="BF830" s="33">
        <v>1</v>
      </c>
      <c r="CE830" s="36">
        <v>796</v>
      </c>
      <c r="CF830" s="33">
        <v>10</v>
      </c>
      <c r="CG830" s="33">
        <v>2</v>
      </c>
      <c r="CH830" s="33">
        <v>4</v>
      </c>
      <c r="CI830" s="33">
        <v>3</v>
      </c>
      <c r="CJ830" s="33">
        <v>2</v>
      </c>
      <c r="CK830" s="33">
        <v>1</v>
      </c>
      <c r="CL830" s="33">
        <v>3</v>
      </c>
      <c r="CM830" s="33">
        <v>3</v>
      </c>
      <c r="CN830" s="33">
        <v>1</v>
      </c>
      <c r="CO830" s="33">
        <v>0</v>
      </c>
      <c r="CP830" s="43">
        <v>8.2907083516831848E-2</v>
      </c>
      <c r="CQ830" s="33">
        <v>0</v>
      </c>
      <c r="CR830" s="33">
        <v>0</v>
      </c>
    </row>
    <row r="831" spans="1:96" ht="15" customHeight="1" x14ac:dyDescent="0.25">
      <c r="A831" s="26">
        <v>829</v>
      </c>
      <c r="B831" s="27">
        <v>33</v>
      </c>
      <c r="C831" s="27">
        <v>1</v>
      </c>
      <c r="D831" s="27">
        <v>1</v>
      </c>
      <c r="E831" s="27">
        <v>603</v>
      </c>
      <c r="F831" s="27">
        <v>1</v>
      </c>
      <c r="G831" s="27">
        <v>9</v>
      </c>
      <c r="H831" s="27">
        <v>4</v>
      </c>
      <c r="I831" s="27">
        <v>4</v>
      </c>
      <c r="J831" s="27">
        <v>1</v>
      </c>
      <c r="K831" s="27">
        <v>1157</v>
      </c>
      <c r="L831" s="27">
        <v>1</v>
      </c>
      <c r="M831" s="27">
        <v>0</v>
      </c>
      <c r="N831" s="27">
        <v>77</v>
      </c>
      <c r="O831" s="27">
        <v>3</v>
      </c>
      <c r="P831" s="27">
        <v>2</v>
      </c>
      <c r="Q831" s="27">
        <v>1</v>
      </c>
      <c r="R831" s="27">
        <v>1</v>
      </c>
      <c r="S831" s="27">
        <v>1</v>
      </c>
      <c r="T831" s="27">
        <v>8224</v>
      </c>
      <c r="U831" s="27">
        <v>18385</v>
      </c>
      <c r="V831" s="27">
        <v>0</v>
      </c>
      <c r="W831" s="27">
        <v>1</v>
      </c>
      <c r="X831" s="27">
        <v>17</v>
      </c>
      <c r="Y831" s="27">
        <v>3</v>
      </c>
      <c r="Z831" s="27">
        <v>1</v>
      </c>
      <c r="AA831" s="27">
        <v>80</v>
      </c>
      <c r="AB831" s="27">
        <v>0</v>
      </c>
      <c r="AC831" s="27">
        <v>6</v>
      </c>
      <c r="AD831" s="27">
        <v>3</v>
      </c>
      <c r="AE831" s="27">
        <v>3</v>
      </c>
      <c r="AF831" s="27">
        <v>5</v>
      </c>
      <c r="AG831" s="27">
        <v>2</v>
      </c>
      <c r="AH831" s="27">
        <v>0</v>
      </c>
      <c r="AI831" s="28">
        <v>3</v>
      </c>
      <c r="AK831" s="36">
        <v>798</v>
      </c>
      <c r="AL831" s="33">
        <v>21</v>
      </c>
      <c r="AM831" s="33">
        <v>1</v>
      </c>
      <c r="AN831" s="33">
        <v>3</v>
      </c>
      <c r="AO831" s="33">
        <v>1</v>
      </c>
      <c r="AP831" s="33">
        <v>0</v>
      </c>
      <c r="AQ831" s="33">
        <v>1</v>
      </c>
      <c r="AR831" s="33">
        <v>2</v>
      </c>
      <c r="AS831" s="33">
        <v>1</v>
      </c>
      <c r="AT831" s="33">
        <v>0</v>
      </c>
      <c r="AU831" s="43">
        <v>0.18249709616373874</v>
      </c>
      <c r="AV831" s="33">
        <v>0</v>
      </c>
      <c r="AW831" s="33">
        <v>1</v>
      </c>
      <c r="AY831" s="36">
        <v>803</v>
      </c>
      <c r="AZ831" s="33">
        <v>2</v>
      </c>
      <c r="BA831" s="33">
        <v>2</v>
      </c>
      <c r="BB831" s="33">
        <v>0</v>
      </c>
      <c r="BC831" s="33">
        <v>1</v>
      </c>
      <c r="BD831" s="43">
        <v>9.4721355311452843E-2</v>
      </c>
      <c r="BE831" s="33">
        <v>0</v>
      </c>
      <c r="BF831" s="33">
        <v>0</v>
      </c>
      <c r="CE831" s="36">
        <v>797</v>
      </c>
      <c r="CF831" s="33">
        <v>4</v>
      </c>
      <c r="CG831" s="33">
        <v>1</v>
      </c>
      <c r="CH831" s="33">
        <v>4</v>
      </c>
      <c r="CI831" s="33">
        <v>2</v>
      </c>
      <c r="CJ831" s="33">
        <v>1</v>
      </c>
      <c r="CK831" s="33">
        <v>1</v>
      </c>
      <c r="CL831" s="33">
        <v>1</v>
      </c>
      <c r="CM831" s="33">
        <v>4</v>
      </c>
      <c r="CN831" s="33">
        <v>7</v>
      </c>
      <c r="CO831" s="33">
        <v>5</v>
      </c>
      <c r="CP831" s="43">
        <v>0.22253803859561569</v>
      </c>
      <c r="CQ831" s="33">
        <v>0</v>
      </c>
      <c r="CR831" s="33">
        <v>1</v>
      </c>
    </row>
    <row r="832" spans="1:96" ht="15" customHeight="1" x14ac:dyDescent="0.25">
      <c r="A832" s="26">
        <v>830</v>
      </c>
      <c r="B832" s="27">
        <v>41</v>
      </c>
      <c r="C832" s="27">
        <v>0</v>
      </c>
      <c r="D832" s="27">
        <v>1</v>
      </c>
      <c r="E832" s="27">
        <v>167</v>
      </c>
      <c r="F832" s="27">
        <v>2</v>
      </c>
      <c r="G832" s="27">
        <v>12</v>
      </c>
      <c r="H832" s="27">
        <v>4</v>
      </c>
      <c r="I832" s="27">
        <v>1</v>
      </c>
      <c r="J832" s="27">
        <v>1</v>
      </c>
      <c r="K832" s="27">
        <v>1158</v>
      </c>
      <c r="L832" s="27">
        <v>2</v>
      </c>
      <c r="M832" s="27">
        <v>1</v>
      </c>
      <c r="N832" s="27">
        <v>46</v>
      </c>
      <c r="O832" s="27">
        <v>3</v>
      </c>
      <c r="P832" s="27">
        <v>1</v>
      </c>
      <c r="Q832" s="27">
        <v>3</v>
      </c>
      <c r="R832" s="27">
        <v>4</v>
      </c>
      <c r="S832" s="27">
        <v>2</v>
      </c>
      <c r="T832" s="27">
        <v>4766</v>
      </c>
      <c r="U832" s="27">
        <v>9051</v>
      </c>
      <c r="V832" s="27">
        <v>3</v>
      </c>
      <c r="W832" s="27">
        <v>1</v>
      </c>
      <c r="X832" s="27">
        <v>11</v>
      </c>
      <c r="Y832" s="27">
        <v>3</v>
      </c>
      <c r="Z832" s="27">
        <v>1</v>
      </c>
      <c r="AA832" s="27">
        <v>80</v>
      </c>
      <c r="AB832" s="27">
        <v>1</v>
      </c>
      <c r="AC832" s="27">
        <v>6</v>
      </c>
      <c r="AD832" s="27">
        <v>4</v>
      </c>
      <c r="AE832" s="27">
        <v>3</v>
      </c>
      <c r="AF832" s="27">
        <v>1</v>
      </c>
      <c r="AG832" s="27">
        <v>0</v>
      </c>
      <c r="AH832" s="27">
        <v>0</v>
      </c>
      <c r="AI832" s="28">
        <v>0</v>
      </c>
      <c r="AK832" s="36">
        <v>799</v>
      </c>
      <c r="AL832" s="33">
        <v>25</v>
      </c>
      <c r="AM832" s="33">
        <v>1</v>
      </c>
      <c r="AN832" s="33">
        <v>2</v>
      </c>
      <c r="AO832" s="33">
        <v>4</v>
      </c>
      <c r="AP832" s="33">
        <v>1</v>
      </c>
      <c r="AQ832" s="33">
        <v>0</v>
      </c>
      <c r="AR832" s="33">
        <v>3</v>
      </c>
      <c r="AS832" s="33">
        <v>2</v>
      </c>
      <c r="AT832" s="33">
        <v>2</v>
      </c>
      <c r="AU832" s="43">
        <v>0.75831721430789623</v>
      </c>
      <c r="AV832" s="33">
        <v>1</v>
      </c>
      <c r="AW832" s="33">
        <v>1</v>
      </c>
      <c r="AY832" s="36">
        <v>804</v>
      </c>
      <c r="AZ832" s="33">
        <v>1</v>
      </c>
      <c r="BA832" s="33">
        <v>4</v>
      </c>
      <c r="BB832" s="33">
        <v>0</v>
      </c>
      <c r="BC832" s="33">
        <v>3</v>
      </c>
      <c r="BD832" s="43">
        <v>3.425986181697948E-2</v>
      </c>
      <c r="BE832" s="33">
        <v>0</v>
      </c>
      <c r="BF832" s="33">
        <v>0</v>
      </c>
      <c r="CE832" s="36">
        <v>798</v>
      </c>
      <c r="CF832" s="33">
        <v>21</v>
      </c>
      <c r="CG832" s="33">
        <v>1</v>
      </c>
      <c r="CH832" s="33">
        <v>3</v>
      </c>
      <c r="CI832" s="33">
        <v>3</v>
      </c>
      <c r="CJ832" s="33">
        <v>1</v>
      </c>
      <c r="CK832" s="33">
        <v>0</v>
      </c>
      <c r="CL832" s="33">
        <v>1</v>
      </c>
      <c r="CM832" s="33">
        <v>2</v>
      </c>
      <c r="CN832" s="33">
        <v>1</v>
      </c>
      <c r="CO832" s="33">
        <v>0</v>
      </c>
      <c r="CP832" s="43">
        <v>0.10984556230717202</v>
      </c>
      <c r="CQ832" s="33">
        <v>0</v>
      </c>
      <c r="CR832" s="33">
        <v>1</v>
      </c>
    </row>
    <row r="833" spans="1:96" ht="15" customHeight="1" x14ac:dyDescent="0.25">
      <c r="A833" s="26">
        <v>831</v>
      </c>
      <c r="B833" s="27">
        <v>31</v>
      </c>
      <c r="C833" s="27">
        <v>1</v>
      </c>
      <c r="D833" s="27">
        <v>2</v>
      </c>
      <c r="E833" s="27">
        <v>874</v>
      </c>
      <c r="F833" s="27">
        <v>2</v>
      </c>
      <c r="G833" s="27">
        <v>15</v>
      </c>
      <c r="H833" s="27">
        <v>3</v>
      </c>
      <c r="I833" s="27">
        <v>3</v>
      </c>
      <c r="J833" s="27">
        <v>1</v>
      </c>
      <c r="K833" s="27">
        <v>1160</v>
      </c>
      <c r="L833" s="27">
        <v>3</v>
      </c>
      <c r="M833" s="27">
        <v>1</v>
      </c>
      <c r="N833" s="27">
        <v>72</v>
      </c>
      <c r="O833" s="27">
        <v>3</v>
      </c>
      <c r="P833" s="27">
        <v>1</v>
      </c>
      <c r="Q833" s="27">
        <v>3</v>
      </c>
      <c r="R833" s="27">
        <v>3</v>
      </c>
      <c r="S833" s="27">
        <v>2</v>
      </c>
      <c r="T833" s="27">
        <v>2610</v>
      </c>
      <c r="U833" s="27">
        <v>6233</v>
      </c>
      <c r="V833" s="27">
        <v>1</v>
      </c>
      <c r="W833" s="27">
        <v>0</v>
      </c>
      <c r="X833" s="27">
        <v>12</v>
      </c>
      <c r="Y833" s="27">
        <v>3</v>
      </c>
      <c r="Z833" s="27">
        <v>3</v>
      </c>
      <c r="AA833" s="27">
        <v>80</v>
      </c>
      <c r="AB833" s="27">
        <v>1</v>
      </c>
      <c r="AC833" s="27">
        <v>2</v>
      </c>
      <c r="AD833" s="27">
        <v>5</v>
      </c>
      <c r="AE833" s="27">
        <v>2</v>
      </c>
      <c r="AF833" s="27">
        <v>2</v>
      </c>
      <c r="AG833" s="27">
        <v>2</v>
      </c>
      <c r="AH833" s="27">
        <v>2</v>
      </c>
      <c r="AI833" s="28">
        <v>2</v>
      </c>
      <c r="AK833" s="36">
        <v>800</v>
      </c>
      <c r="AL833" s="33">
        <v>2</v>
      </c>
      <c r="AM833" s="33">
        <v>4</v>
      </c>
      <c r="AN833" s="33">
        <v>1</v>
      </c>
      <c r="AO833" s="33">
        <v>0</v>
      </c>
      <c r="AP833" s="33">
        <v>0</v>
      </c>
      <c r="AQ833" s="33">
        <v>1</v>
      </c>
      <c r="AR833" s="33">
        <v>3</v>
      </c>
      <c r="AS833" s="33">
        <v>22</v>
      </c>
      <c r="AT833" s="33">
        <v>13</v>
      </c>
      <c r="AU833" s="43">
        <v>2.7478339841570536E-2</v>
      </c>
      <c r="AV833" s="33">
        <v>0</v>
      </c>
      <c r="AW833" s="33">
        <v>0</v>
      </c>
      <c r="AY833" s="36">
        <v>805</v>
      </c>
      <c r="AZ833" s="33">
        <v>4</v>
      </c>
      <c r="BA833" s="33">
        <v>4</v>
      </c>
      <c r="BB833" s="33">
        <v>0</v>
      </c>
      <c r="BC833" s="33">
        <v>0</v>
      </c>
      <c r="BD833" s="43">
        <v>3.1333013053779842E-2</v>
      </c>
      <c r="BE833" s="33">
        <v>0</v>
      </c>
      <c r="BF833" s="33">
        <v>0</v>
      </c>
      <c r="CE833" s="36">
        <v>799</v>
      </c>
      <c r="CF833" s="33">
        <v>25</v>
      </c>
      <c r="CG833" s="33">
        <v>1</v>
      </c>
      <c r="CH833" s="33">
        <v>2</v>
      </c>
      <c r="CI833" s="33">
        <v>1</v>
      </c>
      <c r="CJ833" s="33">
        <v>4</v>
      </c>
      <c r="CK833" s="33">
        <v>1</v>
      </c>
      <c r="CL833" s="33">
        <v>0</v>
      </c>
      <c r="CM833" s="33">
        <v>3</v>
      </c>
      <c r="CN833" s="33">
        <v>2</v>
      </c>
      <c r="CO833" s="33">
        <v>2</v>
      </c>
      <c r="CP833" s="43">
        <v>0.79677238365689618</v>
      </c>
      <c r="CQ833" s="33">
        <v>1</v>
      </c>
      <c r="CR833" s="33">
        <v>1</v>
      </c>
    </row>
    <row r="834" spans="1:96" ht="15" customHeight="1" x14ac:dyDescent="0.25">
      <c r="A834" s="26">
        <v>832</v>
      </c>
      <c r="B834" s="27">
        <v>37</v>
      </c>
      <c r="C834" s="27">
        <v>0</v>
      </c>
      <c r="D834" s="27">
        <v>1</v>
      </c>
      <c r="E834" s="27">
        <v>367</v>
      </c>
      <c r="F834" s="27">
        <v>2</v>
      </c>
      <c r="G834" s="27">
        <v>25</v>
      </c>
      <c r="H834" s="27">
        <v>2</v>
      </c>
      <c r="I834" s="27">
        <v>3</v>
      </c>
      <c r="J834" s="27">
        <v>1</v>
      </c>
      <c r="K834" s="27">
        <v>1161</v>
      </c>
      <c r="L834" s="27">
        <v>3</v>
      </c>
      <c r="M834" s="27">
        <v>0</v>
      </c>
      <c r="N834" s="27">
        <v>52</v>
      </c>
      <c r="O834" s="27">
        <v>2</v>
      </c>
      <c r="P834" s="27">
        <v>2</v>
      </c>
      <c r="Q834" s="27">
        <v>5</v>
      </c>
      <c r="R834" s="27">
        <v>4</v>
      </c>
      <c r="S834" s="27">
        <v>3</v>
      </c>
      <c r="T834" s="27">
        <v>5731</v>
      </c>
      <c r="U834" s="27">
        <v>17171</v>
      </c>
      <c r="V834" s="27">
        <v>7</v>
      </c>
      <c r="W834" s="27">
        <v>0</v>
      </c>
      <c r="X834" s="27">
        <v>13</v>
      </c>
      <c r="Y834" s="27">
        <v>3</v>
      </c>
      <c r="Z834" s="27">
        <v>3</v>
      </c>
      <c r="AA834" s="27">
        <v>80</v>
      </c>
      <c r="AB834" s="27">
        <v>2</v>
      </c>
      <c r="AC834" s="27">
        <v>9</v>
      </c>
      <c r="AD834" s="27">
        <v>2</v>
      </c>
      <c r="AE834" s="27">
        <v>3</v>
      </c>
      <c r="AF834" s="27">
        <v>6</v>
      </c>
      <c r="AG834" s="27">
        <v>2</v>
      </c>
      <c r="AH834" s="27">
        <v>1</v>
      </c>
      <c r="AI834" s="28">
        <v>3</v>
      </c>
      <c r="AK834" s="36">
        <v>801</v>
      </c>
      <c r="AL834" s="33">
        <v>1</v>
      </c>
      <c r="AM834" s="33">
        <v>1</v>
      </c>
      <c r="AN834" s="33">
        <v>2</v>
      </c>
      <c r="AO834" s="33">
        <v>1</v>
      </c>
      <c r="AP834" s="33">
        <v>0</v>
      </c>
      <c r="AQ834" s="33">
        <v>2</v>
      </c>
      <c r="AR834" s="33">
        <v>3</v>
      </c>
      <c r="AS834" s="33">
        <v>1</v>
      </c>
      <c r="AT834" s="33">
        <v>0</v>
      </c>
      <c r="AU834" s="43">
        <v>6.4171198227390466E-2</v>
      </c>
      <c r="AV834" s="33">
        <v>0</v>
      </c>
      <c r="AW834" s="33">
        <v>1</v>
      </c>
      <c r="AY834" s="36">
        <v>806</v>
      </c>
      <c r="AZ834" s="33">
        <v>2</v>
      </c>
      <c r="BA834" s="33">
        <v>3</v>
      </c>
      <c r="BB834" s="33">
        <v>0</v>
      </c>
      <c r="BC834" s="33">
        <v>1</v>
      </c>
      <c r="BD834" s="43">
        <v>7.244788656931947E-2</v>
      </c>
      <c r="BE834" s="33">
        <v>0</v>
      </c>
      <c r="BF834" s="33">
        <v>0</v>
      </c>
      <c r="CE834" s="36">
        <v>800</v>
      </c>
      <c r="CF834" s="33">
        <v>2</v>
      </c>
      <c r="CG834" s="33">
        <v>4</v>
      </c>
      <c r="CH834" s="33">
        <v>1</v>
      </c>
      <c r="CI834" s="33">
        <v>2</v>
      </c>
      <c r="CJ834" s="33">
        <v>0</v>
      </c>
      <c r="CK834" s="33">
        <v>0</v>
      </c>
      <c r="CL834" s="33">
        <v>1</v>
      </c>
      <c r="CM834" s="33">
        <v>3</v>
      </c>
      <c r="CN834" s="33">
        <v>22</v>
      </c>
      <c r="CO834" s="33">
        <v>13</v>
      </c>
      <c r="CP834" s="43">
        <v>2.8805313064858003E-2</v>
      </c>
      <c r="CQ834" s="33">
        <v>0</v>
      </c>
      <c r="CR834" s="33">
        <v>0</v>
      </c>
    </row>
    <row r="835" spans="1:96" ht="15" customHeight="1" x14ac:dyDescent="0.25">
      <c r="A835" s="26">
        <v>833</v>
      </c>
      <c r="B835" s="27">
        <v>27</v>
      </c>
      <c r="C835" s="27">
        <v>0</v>
      </c>
      <c r="D835" s="27">
        <v>1</v>
      </c>
      <c r="E835" s="27">
        <v>199</v>
      </c>
      <c r="F835" s="27">
        <v>2</v>
      </c>
      <c r="G835" s="27">
        <v>6</v>
      </c>
      <c r="H835" s="27">
        <v>3</v>
      </c>
      <c r="I835" s="27">
        <v>1</v>
      </c>
      <c r="J835" s="27">
        <v>1</v>
      </c>
      <c r="K835" s="27">
        <v>1162</v>
      </c>
      <c r="L835" s="27">
        <v>4</v>
      </c>
      <c r="M835" s="27">
        <v>1</v>
      </c>
      <c r="N835" s="27">
        <v>55</v>
      </c>
      <c r="O835" s="27">
        <v>2</v>
      </c>
      <c r="P835" s="27">
        <v>1</v>
      </c>
      <c r="Q835" s="27">
        <v>2</v>
      </c>
      <c r="R835" s="27">
        <v>3</v>
      </c>
      <c r="S835" s="27">
        <v>2</v>
      </c>
      <c r="T835" s="27">
        <v>2539</v>
      </c>
      <c r="U835" s="27">
        <v>7950</v>
      </c>
      <c r="V835" s="27">
        <v>1</v>
      </c>
      <c r="W835" s="27">
        <v>0</v>
      </c>
      <c r="X835" s="27">
        <v>13</v>
      </c>
      <c r="Y835" s="27">
        <v>3</v>
      </c>
      <c r="Z835" s="27">
        <v>3</v>
      </c>
      <c r="AA835" s="27">
        <v>80</v>
      </c>
      <c r="AB835" s="27">
        <v>1</v>
      </c>
      <c r="AC835" s="27">
        <v>4</v>
      </c>
      <c r="AD835" s="27">
        <v>0</v>
      </c>
      <c r="AE835" s="27">
        <v>3</v>
      </c>
      <c r="AF835" s="27">
        <v>4</v>
      </c>
      <c r="AG835" s="27">
        <v>2</v>
      </c>
      <c r="AH835" s="27">
        <v>2</v>
      </c>
      <c r="AI835" s="28">
        <v>2</v>
      </c>
      <c r="AK835" s="36">
        <v>802</v>
      </c>
      <c r="AL835" s="33">
        <v>1</v>
      </c>
      <c r="AM835" s="33">
        <v>2</v>
      </c>
      <c r="AN835" s="33">
        <v>3</v>
      </c>
      <c r="AO835" s="33">
        <v>3</v>
      </c>
      <c r="AP835" s="33">
        <v>1</v>
      </c>
      <c r="AQ835" s="33">
        <v>0</v>
      </c>
      <c r="AR835" s="33">
        <v>3</v>
      </c>
      <c r="AS835" s="33">
        <v>0</v>
      </c>
      <c r="AT835" s="33">
        <v>0</v>
      </c>
      <c r="AU835" s="43">
        <v>0.33762940693630084</v>
      </c>
      <c r="AV835" s="33">
        <v>0</v>
      </c>
      <c r="AW835" s="33">
        <v>1</v>
      </c>
      <c r="AY835" s="36">
        <v>807</v>
      </c>
      <c r="AZ835" s="33">
        <v>3</v>
      </c>
      <c r="BA835" s="33">
        <v>2</v>
      </c>
      <c r="BB835" s="33">
        <v>0</v>
      </c>
      <c r="BC835" s="33">
        <v>0</v>
      </c>
      <c r="BD835" s="43">
        <v>9.2115043168566224E-2</v>
      </c>
      <c r="BE835" s="33">
        <v>0</v>
      </c>
      <c r="BF835" s="33">
        <v>0</v>
      </c>
      <c r="CE835" s="36">
        <v>801</v>
      </c>
      <c r="CF835" s="33">
        <v>1</v>
      </c>
      <c r="CG835" s="33">
        <v>1</v>
      </c>
      <c r="CH835" s="33">
        <v>2</v>
      </c>
      <c r="CI835" s="33">
        <v>3</v>
      </c>
      <c r="CJ835" s="33">
        <v>1</v>
      </c>
      <c r="CK835" s="33">
        <v>0</v>
      </c>
      <c r="CL835" s="33">
        <v>2</v>
      </c>
      <c r="CM835" s="33">
        <v>3</v>
      </c>
      <c r="CN835" s="33">
        <v>1</v>
      </c>
      <c r="CO835" s="33">
        <v>0</v>
      </c>
      <c r="CP835" s="43">
        <v>5.1155128908838055E-2</v>
      </c>
      <c r="CQ835" s="33">
        <v>0</v>
      </c>
      <c r="CR835" s="33">
        <v>1</v>
      </c>
    </row>
    <row r="836" spans="1:96" ht="15" customHeight="1" x14ac:dyDescent="0.25">
      <c r="A836" s="26">
        <v>834</v>
      </c>
      <c r="B836" s="27">
        <v>34</v>
      </c>
      <c r="C836" s="27">
        <v>0</v>
      </c>
      <c r="D836" s="27">
        <v>1</v>
      </c>
      <c r="E836" s="27">
        <v>1400</v>
      </c>
      <c r="F836" s="27">
        <v>1</v>
      </c>
      <c r="G836" s="27">
        <v>9</v>
      </c>
      <c r="H836" s="27">
        <v>1</v>
      </c>
      <c r="I836" s="27">
        <v>1</v>
      </c>
      <c r="J836" s="27">
        <v>1</v>
      </c>
      <c r="K836" s="27">
        <v>1163</v>
      </c>
      <c r="L836" s="27">
        <v>2</v>
      </c>
      <c r="M836" s="27">
        <v>0</v>
      </c>
      <c r="N836" s="27">
        <v>70</v>
      </c>
      <c r="O836" s="27">
        <v>3</v>
      </c>
      <c r="P836" s="27">
        <v>2</v>
      </c>
      <c r="Q836" s="27">
        <v>1</v>
      </c>
      <c r="R836" s="27">
        <v>3</v>
      </c>
      <c r="S836" s="27">
        <v>2</v>
      </c>
      <c r="T836" s="27">
        <v>5714</v>
      </c>
      <c r="U836" s="27">
        <v>5829</v>
      </c>
      <c r="V836" s="27">
        <v>1</v>
      </c>
      <c r="W836" s="27">
        <v>0</v>
      </c>
      <c r="X836" s="27">
        <v>20</v>
      </c>
      <c r="Y836" s="27">
        <v>4</v>
      </c>
      <c r="Z836" s="27">
        <v>1</v>
      </c>
      <c r="AA836" s="27">
        <v>80</v>
      </c>
      <c r="AB836" s="27">
        <v>0</v>
      </c>
      <c r="AC836" s="27">
        <v>6</v>
      </c>
      <c r="AD836" s="27">
        <v>3</v>
      </c>
      <c r="AE836" s="27">
        <v>2</v>
      </c>
      <c r="AF836" s="27">
        <v>6</v>
      </c>
      <c r="AG836" s="27">
        <v>5</v>
      </c>
      <c r="AH836" s="27">
        <v>1</v>
      </c>
      <c r="AI836" s="28">
        <v>3</v>
      </c>
      <c r="AK836" s="36">
        <v>803</v>
      </c>
      <c r="AL836" s="33">
        <v>7</v>
      </c>
      <c r="AM836" s="33">
        <v>2</v>
      </c>
      <c r="AN836" s="33">
        <v>2</v>
      </c>
      <c r="AO836" s="33">
        <v>0</v>
      </c>
      <c r="AP836" s="33">
        <v>0</v>
      </c>
      <c r="AQ836" s="33">
        <v>1</v>
      </c>
      <c r="AR836" s="33">
        <v>3</v>
      </c>
      <c r="AS836" s="33">
        <v>3</v>
      </c>
      <c r="AT836" s="33">
        <v>0</v>
      </c>
      <c r="AU836" s="43">
        <v>6.3523345258542432E-2</v>
      </c>
      <c r="AV836" s="33">
        <v>0</v>
      </c>
      <c r="AW836" s="33">
        <v>0</v>
      </c>
      <c r="AY836" s="36">
        <v>808</v>
      </c>
      <c r="AZ836" s="33">
        <v>3</v>
      </c>
      <c r="BA836" s="33">
        <v>3</v>
      </c>
      <c r="BB836" s="33">
        <v>1</v>
      </c>
      <c r="BC836" s="33">
        <v>2</v>
      </c>
      <c r="BD836" s="43">
        <v>0.1012869927663855</v>
      </c>
      <c r="BE836" s="33">
        <v>0</v>
      </c>
      <c r="BF836" s="33">
        <v>0</v>
      </c>
      <c r="CE836" s="36">
        <v>802</v>
      </c>
      <c r="CF836" s="33">
        <v>1</v>
      </c>
      <c r="CG836" s="33">
        <v>2</v>
      </c>
      <c r="CH836" s="33">
        <v>3</v>
      </c>
      <c r="CI836" s="33">
        <v>1</v>
      </c>
      <c r="CJ836" s="33">
        <v>3</v>
      </c>
      <c r="CK836" s="33">
        <v>1</v>
      </c>
      <c r="CL836" s="33">
        <v>0</v>
      </c>
      <c r="CM836" s="33">
        <v>3</v>
      </c>
      <c r="CN836" s="33">
        <v>0</v>
      </c>
      <c r="CO836" s="33">
        <v>0</v>
      </c>
      <c r="CP836" s="43">
        <v>0.38769068922342542</v>
      </c>
      <c r="CQ836" s="33">
        <v>0</v>
      </c>
      <c r="CR836" s="33">
        <v>1</v>
      </c>
    </row>
    <row r="837" spans="1:96" ht="15" customHeight="1" x14ac:dyDescent="0.25">
      <c r="A837" s="26">
        <v>835</v>
      </c>
      <c r="B837" s="27">
        <v>35</v>
      </c>
      <c r="C837" s="27">
        <v>0</v>
      </c>
      <c r="D837" s="27">
        <v>1</v>
      </c>
      <c r="E837" s="27">
        <v>528</v>
      </c>
      <c r="F837" s="27">
        <v>3</v>
      </c>
      <c r="G837" s="27">
        <v>8</v>
      </c>
      <c r="H837" s="27">
        <v>4</v>
      </c>
      <c r="I837" s="27">
        <v>5</v>
      </c>
      <c r="J837" s="27">
        <v>1</v>
      </c>
      <c r="K837" s="27">
        <v>1164</v>
      </c>
      <c r="L837" s="27">
        <v>3</v>
      </c>
      <c r="M837" s="27">
        <v>1</v>
      </c>
      <c r="N837" s="27">
        <v>100</v>
      </c>
      <c r="O837" s="27">
        <v>3</v>
      </c>
      <c r="P837" s="27">
        <v>1</v>
      </c>
      <c r="Q837" s="27">
        <v>9</v>
      </c>
      <c r="R837" s="27">
        <v>3</v>
      </c>
      <c r="S837" s="27">
        <v>1</v>
      </c>
      <c r="T837" s="27">
        <v>4323</v>
      </c>
      <c r="U837" s="27">
        <v>7108</v>
      </c>
      <c r="V837" s="27">
        <v>1</v>
      </c>
      <c r="W837" s="27">
        <v>0</v>
      </c>
      <c r="X837" s="27">
        <v>17</v>
      </c>
      <c r="Y837" s="27">
        <v>3</v>
      </c>
      <c r="Z837" s="27">
        <v>2</v>
      </c>
      <c r="AA837" s="27">
        <v>80</v>
      </c>
      <c r="AB837" s="27">
        <v>0</v>
      </c>
      <c r="AC837" s="27">
        <v>6</v>
      </c>
      <c r="AD837" s="27">
        <v>2</v>
      </c>
      <c r="AE837" s="27">
        <v>1</v>
      </c>
      <c r="AF837" s="27">
        <v>5</v>
      </c>
      <c r="AG837" s="27">
        <v>4</v>
      </c>
      <c r="AH837" s="27">
        <v>1</v>
      </c>
      <c r="AI837" s="28">
        <v>4</v>
      </c>
      <c r="AK837" s="36">
        <v>804</v>
      </c>
      <c r="AL837" s="33">
        <v>3</v>
      </c>
      <c r="AM837" s="33">
        <v>1</v>
      </c>
      <c r="AN837" s="33">
        <v>4</v>
      </c>
      <c r="AO837" s="33">
        <v>3</v>
      </c>
      <c r="AP837" s="33">
        <v>0</v>
      </c>
      <c r="AQ837" s="33">
        <v>3</v>
      </c>
      <c r="AR837" s="33">
        <v>3</v>
      </c>
      <c r="AS837" s="33">
        <v>0</v>
      </c>
      <c r="AT837" s="33">
        <v>0</v>
      </c>
      <c r="AU837" s="43">
        <v>2.8645306333513702E-2</v>
      </c>
      <c r="AV837" s="33">
        <v>0</v>
      </c>
      <c r="AW837" s="33">
        <v>0</v>
      </c>
      <c r="AY837" s="36">
        <v>809</v>
      </c>
      <c r="AZ837" s="33">
        <v>1</v>
      </c>
      <c r="BA837" s="33">
        <v>4</v>
      </c>
      <c r="BB837" s="33">
        <v>0</v>
      </c>
      <c r="BC837" s="33">
        <v>1</v>
      </c>
      <c r="BD837" s="43">
        <v>9.2486413274924434E-2</v>
      </c>
      <c r="BE837" s="33">
        <v>0</v>
      </c>
      <c r="BF837" s="33">
        <v>0</v>
      </c>
      <c r="CE837" s="36">
        <v>803</v>
      </c>
      <c r="CF837" s="33">
        <v>7</v>
      </c>
      <c r="CG837" s="33">
        <v>2</v>
      </c>
      <c r="CH837" s="33">
        <v>2</v>
      </c>
      <c r="CI837" s="33">
        <v>2</v>
      </c>
      <c r="CJ837" s="33">
        <v>0</v>
      </c>
      <c r="CK837" s="33">
        <v>0</v>
      </c>
      <c r="CL837" s="33">
        <v>1</v>
      </c>
      <c r="CM837" s="33">
        <v>3</v>
      </c>
      <c r="CN837" s="33">
        <v>3</v>
      </c>
      <c r="CO837" s="33">
        <v>0</v>
      </c>
      <c r="CP837" s="43">
        <v>6.2147573815862014E-2</v>
      </c>
      <c r="CQ837" s="33">
        <v>0</v>
      </c>
      <c r="CR837" s="33">
        <v>0</v>
      </c>
    </row>
    <row r="838" spans="1:96" ht="15" customHeight="1" x14ac:dyDescent="0.25">
      <c r="A838" s="26">
        <v>836</v>
      </c>
      <c r="B838" s="27">
        <v>29</v>
      </c>
      <c r="C838" s="27">
        <v>1</v>
      </c>
      <c r="D838" s="27">
        <v>1</v>
      </c>
      <c r="E838" s="27">
        <v>408</v>
      </c>
      <c r="F838" s="27">
        <v>1</v>
      </c>
      <c r="G838" s="27">
        <v>23</v>
      </c>
      <c r="H838" s="27">
        <v>1</v>
      </c>
      <c r="I838" s="27">
        <v>1</v>
      </c>
      <c r="J838" s="27">
        <v>1</v>
      </c>
      <c r="K838" s="27">
        <v>1165</v>
      </c>
      <c r="L838" s="27">
        <v>4</v>
      </c>
      <c r="M838" s="27">
        <v>0</v>
      </c>
      <c r="N838" s="27">
        <v>45</v>
      </c>
      <c r="O838" s="27">
        <v>2</v>
      </c>
      <c r="P838" s="27">
        <v>3</v>
      </c>
      <c r="Q838" s="27">
        <v>1</v>
      </c>
      <c r="R838" s="27">
        <v>1</v>
      </c>
      <c r="S838" s="27">
        <v>2</v>
      </c>
      <c r="T838" s="27">
        <v>7336</v>
      </c>
      <c r="U838" s="27">
        <v>11162</v>
      </c>
      <c r="V838" s="27">
        <v>1</v>
      </c>
      <c r="W838" s="27">
        <v>0</v>
      </c>
      <c r="X838" s="27">
        <v>13</v>
      </c>
      <c r="Y838" s="27">
        <v>3</v>
      </c>
      <c r="Z838" s="27">
        <v>1</v>
      </c>
      <c r="AA838" s="27">
        <v>80</v>
      </c>
      <c r="AB838" s="27">
        <v>1</v>
      </c>
      <c r="AC838" s="27">
        <v>11</v>
      </c>
      <c r="AD838" s="27">
        <v>3</v>
      </c>
      <c r="AE838" s="27">
        <v>1</v>
      </c>
      <c r="AF838" s="27">
        <v>11</v>
      </c>
      <c r="AG838" s="27">
        <v>8</v>
      </c>
      <c r="AH838" s="27">
        <v>3</v>
      </c>
      <c r="AI838" s="28">
        <v>10</v>
      </c>
      <c r="AK838" s="36">
        <v>805</v>
      </c>
      <c r="AL838" s="33">
        <v>1</v>
      </c>
      <c r="AM838" s="33">
        <v>4</v>
      </c>
      <c r="AN838" s="33">
        <v>4</v>
      </c>
      <c r="AO838" s="33">
        <v>2</v>
      </c>
      <c r="AP838" s="33">
        <v>0</v>
      </c>
      <c r="AQ838" s="33">
        <v>0</v>
      </c>
      <c r="AR838" s="33">
        <v>2</v>
      </c>
      <c r="AS838" s="33">
        <v>5</v>
      </c>
      <c r="AT838" s="33">
        <v>2</v>
      </c>
      <c r="AU838" s="43">
        <v>2.848086267513357E-2</v>
      </c>
      <c r="AV838" s="33">
        <v>0</v>
      </c>
      <c r="AW838" s="33">
        <v>0</v>
      </c>
      <c r="AY838" s="36">
        <v>810</v>
      </c>
      <c r="AZ838" s="33">
        <v>3</v>
      </c>
      <c r="BA838" s="33">
        <v>2</v>
      </c>
      <c r="BB838" s="33">
        <v>0</v>
      </c>
      <c r="BC838" s="33">
        <v>3</v>
      </c>
      <c r="BD838" s="43">
        <v>2.0412387742342619E-2</v>
      </c>
      <c r="BE838" s="33">
        <v>0</v>
      </c>
      <c r="BF838" s="33">
        <v>0</v>
      </c>
      <c r="CE838" s="36">
        <v>804</v>
      </c>
      <c r="CF838" s="33">
        <v>3</v>
      </c>
      <c r="CG838" s="33">
        <v>1</v>
      </c>
      <c r="CH838" s="33">
        <v>4</v>
      </c>
      <c r="CI838" s="33">
        <v>2</v>
      </c>
      <c r="CJ838" s="33">
        <v>3</v>
      </c>
      <c r="CK838" s="33">
        <v>0</v>
      </c>
      <c r="CL838" s="33">
        <v>3</v>
      </c>
      <c r="CM838" s="33">
        <v>3</v>
      </c>
      <c r="CN838" s="33">
        <v>0</v>
      </c>
      <c r="CO838" s="33">
        <v>0</v>
      </c>
      <c r="CP838" s="43">
        <v>5.216469398902919E-2</v>
      </c>
      <c r="CQ838" s="33">
        <v>0</v>
      </c>
      <c r="CR838" s="33">
        <v>0</v>
      </c>
    </row>
    <row r="839" spans="1:96" ht="15" customHeight="1" x14ac:dyDescent="0.25">
      <c r="A839" s="26">
        <v>837</v>
      </c>
      <c r="B839" s="27">
        <v>40</v>
      </c>
      <c r="C839" s="27">
        <v>0</v>
      </c>
      <c r="D839" s="27">
        <v>2</v>
      </c>
      <c r="E839" s="27">
        <v>593</v>
      </c>
      <c r="F839" s="27">
        <v>2</v>
      </c>
      <c r="G839" s="27">
        <v>9</v>
      </c>
      <c r="H839" s="27">
        <v>4</v>
      </c>
      <c r="I839" s="27">
        <v>3</v>
      </c>
      <c r="J839" s="27">
        <v>1</v>
      </c>
      <c r="K839" s="27">
        <v>1166</v>
      </c>
      <c r="L839" s="27">
        <v>2</v>
      </c>
      <c r="M839" s="27">
        <v>0</v>
      </c>
      <c r="N839" s="27">
        <v>88</v>
      </c>
      <c r="O839" s="27">
        <v>3</v>
      </c>
      <c r="P839" s="27">
        <v>3</v>
      </c>
      <c r="Q839" s="27">
        <v>8</v>
      </c>
      <c r="R839" s="27">
        <v>3</v>
      </c>
      <c r="S839" s="27">
        <v>1</v>
      </c>
      <c r="T839" s="27">
        <v>13499</v>
      </c>
      <c r="U839" s="27">
        <v>13782</v>
      </c>
      <c r="V839" s="27">
        <v>9</v>
      </c>
      <c r="W839" s="27">
        <v>0</v>
      </c>
      <c r="X839" s="27">
        <v>17</v>
      </c>
      <c r="Y839" s="27">
        <v>3</v>
      </c>
      <c r="Z839" s="27">
        <v>3</v>
      </c>
      <c r="AA839" s="27">
        <v>80</v>
      </c>
      <c r="AB839" s="27">
        <v>0</v>
      </c>
      <c r="AC839" s="27">
        <v>20</v>
      </c>
      <c r="AD839" s="27">
        <v>3</v>
      </c>
      <c r="AE839" s="27">
        <v>2</v>
      </c>
      <c r="AF839" s="27">
        <v>18</v>
      </c>
      <c r="AG839" s="27">
        <v>7</v>
      </c>
      <c r="AH839" s="27">
        <v>2</v>
      </c>
      <c r="AI839" s="28">
        <v>13</v>
      </c>
      <c r="AK839" s="36">
        <v>806</v>
      </c>
      <c r="AL839" s="33">
        <v>9</v>
      </c>
      <c r="AM839" s="33">
        <v>2</v>
      </c>
      <c r="AN839" s="33">
        <v>3</v>
      </c>
      <c r="AO839" s="33">
        <v>1</v>
      </c>
      <c r="AP839" s="33">
        <v>0</v>
      </c>
      <c r="AQ839" s="33">
        <v>1</v>
      </c>
      <c r="AR839" s="33">
        <v>3</v>
      </c>
      <c r="AS839" s="33">
        <v>15</v>
      </c>
      <c r="AT839" s="33">
        <v>4</v>
      </c>
      <c r="AU839" s="43">
        <v>3.7566542664509123E-2</v>
      </c>
      <c r="AV839" s="33">
        <v>0</v>
      </c>
      <c r="AW839" s="33">
        <v>0</v>
      </c>
      <c r="AY839" s="36">
        <v>811</v>
      </c>
      <c r="AZ839" s="33">
        <v>4</v>
      </c>
      <c r="BA839" s="33">
        <v>3</v>
      </c>
      <c r="BB839" s="33">
        <v>0</v>
      </c>
      <c r="BC839" s="33">
        <v>1</v>
      </c>
      <c r="BD839" s="43">
        <v>2.4928302134756671E-2</v>
      </c>
      <c r="BE839" s="33">
        <v>0</v>
      </c>
      <c r="BF839" s="33">
        <v>0</v>
      </c>
      <c r="CE839" s="36">
        <v>805</v>
      </c>
      <c r="CF839" s="33">
        <v>1</v>
      </c>
      <c r="CG839" s="33">
        <v>4</v>
      </c>
      <c r="CH839" s="33">
        <v>4</v>
      </c>
      <c r="CI839" s="33">
        <v>1</v>
      </c>
      <c r="CJ839" s="33">
        <v>2</v>
      </c>
      <c r="CK839" s="33">
        <v>0</v>
      </c>
      <c r="CL839" s="33">
        <v>0</v>
      </c>
      <c r="CM839" s="33">
        <v>2</v>
      </c>
      <c r="CN839" s="33">
        <v>5</v>
      </c>
      <c r="CO839" s="33">
        <v>2</v>
      </c>
      <c r="CP839" s="43">
        <v>3.4539566906650353E-2</v>
      </c>
      <c r="CQ839" s="33">
        <v>0</v>
      </c>
      <c r="CR839" s="33">
        <v>0</v>
      </c>
    </row>
    <row r="840" spans="1:96" ht="15" customHeight="1" x14ac:dyDescent="0.25">
      <c r="A840" s="26">
        <v>838</v>
      </c>
      <c r="B840" s="27">
        <v>42</v>
      </c>
      <c r="C840" s="27">
        <v>1</v>
      </c>
      <c r="D840" s="27">
        <v>2</v>
      </c>
      <c r="E840" s="27">
        <v>481</v>
      </c>
      <c r="F840" s="27">
        <v>1</v>
      </c>
      <c r="G840" s="27">
        <v>12</v>
      </c>
      <c r="H840" s="27">
        <v>3</v>
      </c>
      <c r="I840" s="27">
        <v>1</v>
      </c>
      <c r="J840" s="27">
        <v>1</v>
      </c>
      <c r="K840" s="27">
        <v>1167</v>
      </c>
      <c r="L840" s="27">
        <v>3</v>
      </c>
      <c r="M840" s="27">
        <v>1</v>
      </c>
      <c r="N840" s="27">
        <v>44</v>
      </c>
      <c r="O840" s="27">
        <v>3</v>
      </c>
      <c r="P840" s="27">
        <v>4</v>
      </c>
      <c r="Q840" s="27">
        <v>1</v>
      </c>
      <c r="R840" s="27">
        <v>1</v>
      </c>
      <c r="S840" s="27">
        <v>1</v>
      </c>
      <c r="T840" s="27">
        <v>13758</v>
      </c>
      <c r="U840" s="27">
        <v>2447</v>
      </c>
      <c r="V840" s="27">
        <v>0</v>
      </c>
      <c r="W840" s="27">
        <v>1</v>
      </c>
      <c r="X840" s="27">
        <v>12</v>
      </c>
      <c r="Y840" s="27">
        <v>3</v>
      </c>
      <c r="Z840" s="27">
        <v>2</v>
      </c>
      <c r="AA840" s="27">
        <v>80</v>
      </c>
      <c r="AB840" s="27">
        <v>0</v>
      </c>
      <c r="AC840" s="27">
        <v>22</v>
      </c>
      <c r="AD840" s="27">
        <v>2</v>
      </c>
      <c r="AE840" s="27">
        <v>2</v>
      </c>
      <c r="AF840" s="27">
        <v>21</v>
      </c>
      <c r="AG840" s="27">
        <v>9</v>
      </c>
      <c r="AH840" s="27">
        <v>13</v>
      </c>
      <c r="AI840" s="28">
        <v>14</v>
      </c>
      <c r="AK840" s="36">
        <v>807</v>
      </c>
      <c r="AL840" s="33">
        <v>7</v>
      </c>
      <c r="AM840" s="33">
        <v>3</v>
      </c>
      <c r="AN840" s="33">
        <v>2</v>
      </c>
      <c r="AO840" s="33">
        <v>7</v>
      </c>
      <c r="AP840" s="33">
        <v>0</v>
      </c>
      <c r="AQ840" s="33">
        <v>0</v>
      </c>
      <c r="AR840" s="33">
        <v>3</v>
      </c>
      <c r="AS840" s="33">
        <v>8</v>
      </c>
      <c r="AT840" s="33">
        <v>4</v>
      </c>
      <c r="AU840" s="43">
        <v>0.11979242325936165</v>
      </c>
      <c r="AV840" s="33">
        <v>0</v>
      </c>
      <c r="AW840" s="33">
        <v>0</v>
      </c>
      <c r="AY840" s="36">
        <v>812</v>
      </c>
      <c r="AZ840" s="33">
        <v>3</v>
      </c>
      <c r="BA840" s="33">
        <v>2</v>
      </c>
      <c r="BB840" s="33">
        <v>0</v>
      </c>
      <c r="BC840" s="33">
        <v>0</v>
      </c>
      <c r="BD840" s="43">
        <v>9.2115043168566224E-2</v>
      </c>
      <c r="BE840" s="33">
        <v>0</v>
      </c>
      <c r="BF840" s="33">
        <v>0</v>
      </c>
      <c r="CE840" s="36">
        <v>806</v>
      </c>
      <c r="CF840" s="33">
        <v>9</v>
      </c>
      <c r="CG840" s="33">
        <v>2</v>
      </c>
      <c r="CH840" s="33">
        <v>3</v>
      </c>
      <c r="CI840" s="33">
        <v>2</v>
      </c>
      <c r="CJ840" s="33">
        <v>1</v>
      </c>
      <c r="CK840" s="33">
        <v>0</v>
      </c>
      <c r="CL840" s="33">
        <v>1</v>
      </c>
      <c r="CM840" s="33">
        <v>3</v>
      </c>
      <c r="CN840" s="33">
        <v>15</v>
      </c>
      <c r="CO840" s="33">
        <v>4</v>
      </c>
      <c r="CP840" s="43">
        <v>3.632160740456522E-2</v>
      </c>
      <c r="CQ840" s="33">
        <v>0</v>
      </c>
      <c r="CR840" s="33">
        <v>0</v>
      </c>
    </row>
    <row r="841" spans="1:96" ht="15" customHeight="1" x14ac:dyDescent="0.25">
      <c r="A841" s="26">
        <v>839</v>
      </c>
      <c r="B841" s="27">
        <v>42</v>
      </c>
      <c r="C841" s="27">
        <v>0</v>
      </c>
      <c r="D841" s="27">
        <v>1</v>
      </c>
      <c r="E841" s="27">
        <v>647</v>
      </c>
      <c r="F841" s="27">
        <v>1</v>
      </c>
      <c r="G841" s="27">
        <v>4</v>
      </c>
      <c r="H841" s="27">
        <v>4</v>
      </c>
      <c r="I841" s="27">
        <v>4</v>
      </c>
      <c r="J841" s="27">
        <v>1</v>
      </c>
      <c r="K841" s="27">
        <v>1171</v>
      </c>
      <c r="L841" s="27">
        <v>2</v>
      </c>
      <c r="M841" s="27">
        <v>1</v>
      </c>
      <c r="N841" s="27">
        <v>45</v>
      </c>
      <c r="O841" s="27">
        <v>3</v>
      </c>
      <c r="P841" s="27">
        <v>2</v>
      </c>
      <c r="Q841" s="27">
        <v>1</v>
      </c>
      <c r="R841" s="27">
        <v>1</v>
      </c>
      <c r="S841" s="27">
        <v>1</v>
      </c>
      <c r="T841" s="27">
        <v>5155</v>
      </c>
      <c r="U841" s="27">
        <v>2253</v>
      </c>
      <c r="V841" s="27">
        <v>7</v>
      </c>
      <c r="W841" s="27">
        <v>0</v>
      </c>
      <c r="X841" s="27">
        <v>13</v>
      </c>
      <c r="Y841" s="27">
        <v>3</v>
      </c>
      <c r="Z841" s="27">
        <v>4</v>
      </c>
      <c r="AA841" s="27">
        <v>80</v>
      </c>
      <c r="AB841" s="27">
        <v>0</v>
      </c>
      <c r="AC841" s="27">
        <v>9</v>
      </c>
      <c r="AD841" s="27">
        <v>3</v>
      </c>
      <c r="AE841" s="27">
        <v>4</v>
      </c>
      <c r="AF841" s="27">
        <v>6</v>
      </c>
      <c r="AG841" s="27">
        <v>4</v>
      </c>
      <c r="AH841" s="27">
        <v>1</v>
      </c>
      <c r="AI841" s="28">
        <v>5</v>
      </c>
      <c r="AK841" s="36">
        <v>808</v>
      </c>
      <c r="AL841" s="33">
        <v>10</v>
      </c>
      <c r="AM841" s="33">
        <v>3</v>
      </c>
      <c r="AN841" s="33">
        <v>3</v>
      </c>
      <c r="AO841" s="33">
        <v>0</v>
      </c>
      <c r="AP841" s="33">
        <v>1</v>
      </c>
      <c r="AQ841" s="33">
        <v>2</v>
      </c>
      <c r="AR841" s="33">
        <v>3</v>
      </c>
      <c r="AS841" s="33">
        <v>8</v>
      </c>
      <c r="AT841" s="33">
        <v>2</v>
      </c>
      <c r="AU841" s="43">
        <v>6.5431399123968517E-2</v>
      </c>
      <c r="AV841" s="33">
        <v>0</v>
      </c>
      <c r="AW841" s="33">
        <v>0</v>
      </c>
      <c r="AY841" s="36">
        <v>813</v>
      </c>
      <c r="AZ841" s="33">
        <v>3</v>
      </c>
      <c r="BA841" s="33">
        <v>1</v>
      </c>
      <c r="BB841" s="33">
        <v>0</v>
      </c>
      <c r="BC841" s="33">
        <v>1</v>
      </c>
      <c r="BD841" s="43">
        <v>7.4238208059117641E-2</v>
      </c>
      <c r="BE841" s="33">
        <v>0</v>
      </c>
      <c r="BF841" s="33">
        <v>0</v>
      </c>
      <c r="CE841" s="36">
        <v>807</v>
      </c>
      <c r="CF841" s="33">
        <v>7</v>
      </c>
      <c r="CG841" s="33">
        <v>3</v>
      </c>
      <c r="CH841" s="33">
        <v>2</v>
      </c>
      <c r="CI841" s="33">
        <v>1</v>
      </c>
      <c r="CJ841" s="33">
        <v>7</v>
      </c>
      <c r="CK841" s="33">
        <v>0</v>
      </c>
      <c r="CL841" s="33">
        <v>0</v>
      </c>
      <c r="CM841" s="33">
        <v>3</v>
      </c>
      <c r="CN841" s="33">
        <v>8</v>
      </c>
      <c r="CO841" s="33">
        <v>4</v>
      </c>
      <c r="CP841" s="43">
        <v>0.14478839878854854</v>
      </c>
      <c r="CQ841" s="33">
        <v>0</v>
      </c>
      <c r="CR841" s="33">
        <v>0</v>
      </c>
    </row>
    <row r="842" spans="1:96" ht="15" customHeight="1" x14ac:dyDescent="0.25">
      <c r="A842" s="26">
        <v>840</v>
      </c>
      <c r="B842" s="27">
        <v>35</v>
      </c>
      <c r="C842" s="27">
        <v>0</v>
      </c>
      <c r="D842" s="27">
        <v>1</v>
      </c>
      <c r="E842" s="27">
        <v>982</v>
      </c>
      <c r="F842" s="27">
        <v>2</v>
      </c>
      <c r="G842" s="27">
        <v>1</v>
      </c>
      <c r="H842" s="27">
        <v>4</v>
      </c>
      <c r="I842" s="27">
        <v>3</v>
      </c>
      <c r="J842" s="27">
        <v>1</v>
      </c>
      <c r="K842" s="27">
        <v>1172</v>
      </c>
      <c r="L842" s="27">
        <v>4</v>
      </c>
      <c r="M842" s="27">
        <v>1</v>
      </c>
      <c r="N842" s="27">
        <v>58</v>
      </c>
      <c r="O842" s="27">
        <v>2</v>
      </c>
      <c r="P842" s="27">
        <v>1</v>
      </c>
      <c r="Q842" s="27">
        <v>3</v>
      </c>
      <c r="R842" s="27">
        <v>3</v>
      </c>
      <c r="S842" s="27">
        <v>2</v>
      </c>
      <c r="T842" s="27">
        <v>2258</v>
      </c>
      <c r="U842" s="27">
        <v>16340</v>
      </c>
      <c r="V842" s="27">
        <v>6</v>
      </c>
      <c r="W842" s="27">
        <v>0</v>
      </c>
      <c r="X842" s="27">
        <v>12</v>
      </c>
      <c r="Y842" s="27">
        <v>3</v>
      </c>
      <c r="Z842" s="27">
        <v>2</v>
      </c>
      <c r="AA842" s="27">
        <v>80</v>
      </c>
      <c r="AB842" s="27">
        <v>1</v>
      </c>
      <c r="AC842" s="27">
        <v>10</v>
      </c>
      <c r="AD842" s="27">
        <v>2</v>
      </c>
      <c r="AE842" s="27">
        <v>3</v>
      </c>
      <c r="AF842" s="27">
        <v>8</v>
      </c>
      <c r="AG842" s="27">
        <v>0</v>
      </c>
      <c r="AH842" s="27">
        <v>1</v>
      </c>
      <c r="AI842" s="28">
        <v>7</v>
      </c>
      <c r="AK842" s="36">
        <v>809</v>
      </c>
      <c r="AL842" s="33">
        <v>28</v>
      </c>
      <c r="AM842" s="33">
        <v>1</v>
      </c>
      <c r="AN842" s="33">
        <v>4</v>
      </c>
      <c r="AO842" s="33">
        <v>4</v>
      </c>
      <c r="AP842" s="33">
        <v>0</v>
      </c>
      <c r="AQ842" s="33">
        <v>1</v>
      </c>
      <c r="AR842" s="33">
        <v>3</v>
      </c>
      <c r="AS842" s="33">
        <v>7</v>
      </c>
      <c r="AT842" s="33">
        <v>1</v>
      </c>
      <c r="AU842" s="43">
        <v>0.13517552584111051</v>
      </c>
      <c r="AV842" s="33">
        <v>0</v>
      </c>
      <c r="AW842" s="33">
        <v>0</v>
      </c>
      <c r="AY842" s="36">
        <v>814</v>
      </c>
      <c r="AZ842" s="33">
        <v>4</v>
      </c>
      <c r="BA842" s="33">
        <v>4</v>
      </c>
      <c r="BB842" s="33">
        <v>0</v>
      </c>
      <c r="BC842" s="33">
        <v>3</v>
      </c>
      <c r="BD842" s="43">
        <v>6.5993760195024219E-3</v>
      </c>
      <c r="BE842" s="33">
        <v>0</v>
      </c>
      <c r="BF842" s="33">
        <v>1</v>
      </c>
      <c r="CE842" s="36">
        <v>808</v>
      </c>
      <c r="CF842" s="33">
        <v>10</v>
      </c>
      <c r="CG842" s="33">
        <v>3</v>
      </c>
      <c r="CH842" s="33">
        <v>3</v>
      </c>
      <c r="CI842" s="33">
        <v>3</v>
      </c>
      <c r="CJ842" s="33">
        <v>0</v>
      </c>
      <c r="CK842" s="33">
        <v>1</v>
      </c>
      <c r="CL842" s="33">
        <v>2</v>
      </c>
      <c r="CM842" s="33">
        <v>3</v>
      </c>
      <c r="CN842" s="33">
        <v>8</v>
      </c>
      <c r="CO842" s="33">
        <v>2</v>
      </c>
      <c r="CP842" s="43">
        <v>5.4327319388621294E-2</v>
      </c>
      <c r="CQ842" s="33">
        <v>0</v>
      </c>
      <c r="CR842" s="33">
        <v>0</v>
      </c>
    </row>
    <row r="843" spans="1:96" ht="15" customHeight="1" x14ac:dyDescent="0.25">
      <c r="A843" s="26">
        <v>841</v>
      </c>
      <c r="B843" s="27">
        <v>24</v>
      </c>
      <c r="C843" s="27">
        <v>0</v>
      </c>
      <c r="D843" s="27">
        <v>1</v>
      </c>
      <c r="E843" s="27">
        <v>477</v>
      </c>
      <c r="F843" s="27">
        <v>2</v>
      </c>
      <c r="G843" s="27">
        <v>24</v>
      </c>
      <c r="H843" s="27">
        <v>3</v>
      </c>
      <c r="I843" s="27">
        <v>3</v>
      </c>
      <c r="J843" s="27">
        <v>1</v>
      </c>
      <c r="K843" s="27">
        <v>1173</v>
      </c>
      <c r="L843" s="27">
        <v>4</v>
      </c>
      <c r="M843" s="27">
        <v>1</v>
      </c>
      <c r="N843" s="27">
        <v>49</v>
      </c>
      <c r="O843" s="27">
        <v>3</v>
      </c>
      <c r="P843" s="27">
        <v>1</v>
      </c>
      <c r="Q843" s="27">
        <v>3</v>
      </c>
      <c r="R843" s="27">
        <v>2</v>
      </c>
      <c r="S843" s="27">
        <v>1</v>
      </c>
      <c r="T843" s="27">
        <v>3597</v>
      </c>
      <c r="U843" s="27">
        <v>6409</v>
      </c>
      <c r="V843" s="27">
        <v>8</v>
      </c>
      <c r="W843" s="27">
        <v>0</v>
      </c>
      <c r="X843" s="27">
        <v>22</v>
      </c>
      <c r="Y843" s="27">
        <v>4</v>
      </c>
      <c r="Z843" s="27">
        <v>4</v>
      </c>
      <c r="AA843" s="27">
        <v>80</v>
      </c>
      <c r="AB843" s="27">
        <v>0</v>
      </c>
      <c r="AC843" s="27">
        <v>6</v>
      </c>
      <c r="AD843" s="27">
        <v>2</v>
      </c>
      <c r="AE843" s="27">
        <v>3</v>
      </c>
      <c r="AF843" s="27">
        <v>4</v>
      </c>
      <c r="AG843" s="27">
        <v>3</v>
      </c>
      <c r="AH843" s="27">
        <v>1</v>
      </c>
      <c r="AI843" s="28">
        <v>2</v>
      </c>
      <c r="AK843" s="36">
        <v>810</v>
      </c>
      <c r="AL843" s="33">
        <v>3</v>
      </c>
      <c r="AM843" s="33">
        <v>3</v>
      </c>
      <c r="AN843" s="33">
        <v>2</v>
      </c>
      <c r="AO843" s="33">
        <v>0</v>
      </c>
      <c r="AP843" s="33">
        <v>0</v>
      </c>
      <c r="AQ843" s="33">
        <v>3</v>
      </c>
      <c r="AR843" s="33">
        <v>2</v>
      </c>
      <c r="AS843" s="33">
        <v>9</v>
      </c>
      <c r="AT843" s="33">
        <v>1</v>
      </c>
      <c r="AU843" s="43">
        <v>9.9731466852757134E-3</v>
      </c>
      <c r="AV843" s="33">
        <v>0</v>
      </c>
      <c r="AW843" s="33">
        <v>0</v>
      </c>
      <c r="AY843" s="36">
        <v>815</v>
      </c>
      <c r="AZ843" s="33">
        <v>5</v>
      </c>
      <c r="BA843" s="33">
        <v>3</v>
      </c>
      <c r="BB843" s="33">
        <v>0</v>
      </c>
      <c r="BC843" s="33">
        <v>0</v>
      </c>
      <c r="BD843" s="43">
        <v>2.4191068412310078E-2</v>
      </c>
      <c r="BE843" s="33">
        <v>0</v>
      </c>
      <c r="BF843" s="33">
        <v>0</v>
      </c>
      <c r="CE843" s="36">
        <v>809</v>
      </c>
      <c r="CF843" s="33">
        <v>28</v>
      </c>
      <c r="CG843" s="33">
        <v>1</v>
      </c>
      <c r="CH843" s="33">
        <v>4</v>
      </c>
      <c r="CI843" s="33">
        <v>3</v>
      </c>
      <c r="CJ843" s="33">
        <v>4</v>
      </c>
      <c r="CK843" s="33">
        <v>0</v>
      </c>
      <c r="CL843" s="33">
        <v>1</v>
      </c>
      <c r="CM843" s="33">
        <v>3</v>
      </c>
      <c r="CN843" s="33">
        <v>7</v>
      </c>
      <c r="CO843" s="33">
        <v>1</v>
      </c>
      <c r="CP843" s="43">
        <v>7.7194082766219224E-2</v>
      </c>
      <c r="CQ843" s="33">
        <v>0</v>
      </c>
      <c r="CR843" s="33">
        <v>0</v>
      </c>
    </row>
    <row r="844" spans="1:96" ht="15" customHeight="1" x14ac:dyDescent="0.25">
      <c r="A844" s="26">
        <v>842</v>
      </c>
      <c r="B844" s="27">
        <v>28</v>
      </c>
      <c r="C844" s="27">
        <v>1</v>
      </c>
      <c r="D844" s="27">
        <v>1</v>
      </c>
      <c r="E844" s="27">
        <v>1485</v>
      </c>
      <c r="F844" s="27">
        <v>2</v>
      </c>
      <c r="G844" s="27">
        <v>12</v>
      </c>
      <c r="H844" s="27">
        <v>1</v>
      </c>
      <c r="I844" s="27">
        <v>1</v>
      </c>
      <c r="J844" s="27">
        <v>1</v>
      </c>
      <c r="K844" s="27">
        <v>1175</v>
      </c>
      <c r="L844" s="27">
        <v>3</v>
      </c>
      <c r="M844" s="27">
        <v>0</v>
      </c>
      <c r="N844" s="27">
        <v>79</v>
      </c>
      <c r="O844" s="27">
        <v>3</v>
      </c>
      <c r="P844" s="27">
        <v>1</v>
      </c>
      <c r="Q844" s="27">
        <v>3</v>
      </c>
      <c r="R844" s="27">
        <v>4</v>
      </c>
      <c r="S844" s="27">
        <v>2</v>
      </c>
      <c r="T844" s="27">
        <v>2515</v>
      </c>
      <c r="U844" s="27">
        <v>22955</v>
      </c>
      <c r="V844" s="27">
        <v>1</v>
      </c>
      <c r="W844" s="27">
        <v>1</v>
      </c>
      <c r="X844" s="27">
        <v>11</v>
      </c>
      <c r="Y844" s="27">
        <v>3</v>
      </c>
      <c r="Z844" s="27">
        <v>4</v>
      </c>
      <c r="AA844" s="27">
        <v>80</v>
      </c>
      <c r="AB844" s="27">
        <v>0</v>
      </c>
      <c r="AC844" s="27">
        <v>1</v>
      </c>
      <c r="AD844" s="27">
        <v>4</v>
      </c>
      <c r="AE844" s="27">
        <v>2</v>
      </c>
      <c r="AF844" s="27">
        <v>1</v>
      </c>
      <c r="AG844" s="27">
        <v>1</v>
      </c>
      <c r="AH844" s="27">
        <v>0</v>
      </c>
      <c r="AI844" s="28">
        <v>0</v>
      </c>
      <c r="AK844" s="36">
        <v>811</v>
      </c>
      <c r="AL844" s="33">
        <v>3</v>
      </c>
      <c r="AM844" s="33">
        <v>4</v>
      </c>
      <c r="AN844" s="33">
        <v>3</v>
      </c>
      <c r="AO844" s="33">
        <v>3</v>
      </c>
      <c r="AP844" s="33">
        <v>0</v>
      </c>
      <c r="AQ844" s="33">
        <v>1</v>
      </c>
      <c r="AR844" s="33">
        <v>3</v>
      </c>
      <c r="AS844" s="33">
        <v>12</v>
      </c>
      <c r="AT844" s="33">
        <v>4</v>
      </c>
      <c r="AU844" s="43">
        <v>1.5306664926193444E-2</v>
      </c>
      <c r="AV844" s="33">
        <v>0</v>
      </c>
      <c r="AW844" s="33">
        <v>0</v>
      </c>
      <c r="AY844" s="36">
        <v>816</v>
      </c>
      <c r="AZ844" s="33">
        <v>1</v>
      </c>
      <c r="BA844" s="33">
        <v>2</v>
      </c>
      <c r="BB844" s="33">
        <v>1</v>
      </c>
      <c r="BC844" s="33">
        <v>0</v>
      </c>
      <c r="BD844" s="43">
        <v>0.56990699338636852</v>
      </c>
      <c r="BE844" s="33">
        <v>1</v>
      </c>
      <c r="BF844" s="33">
        <v>0</v>
      </c>
      <c r="CE844" s="36">
        <v>810</v>
      </c>
      <c r="CF844" s="33">
        <v>3</v>
      </c>
      <c r="CG844" s="33">
        <v>3</v>
      </c>
      <c r="CH844" s="33">
        <v>2</v>
      </c>
      <c r="CI844" s="33">
        <v>3</v>
      </c>
      <c r="CJ844" s="33">
        <v>0</v>
      </c>
      <c r="CK844" s="33">
        <v>0</v>
      </c>
      <c r="CL844" s="33">
        <v>3</v>
      </c>
      <c r="CM844" s="33">
        <v>2</v>
      </c>
      <c r="CN844" s="33">
        <v>9</v>
      </c>
      <c r="CO844" s="33">
        <v>1</v>
      </c>
      <c r="CP844" s="43">
        <v>1.1444916646568578E-2</v>
      </c>
      <c r="CQ844" s="33">
        <v>0</v>
      </c>
      <c r="CR844" s="33">
        <v>0</v>
      </c>
    </row>
    <row r="845" spans="1:96" ht="15" customHeight="1" x14ac:dyDescent="0.25">
      <c r="A845" s="26">
        <v>843</v>
      </c>
      <c r="B845" s="27">
        <v>26</v>
      </c>
      <c r="C845" s="27">
        <v>0</v>
      </c>
      <c r="D845" s="27">
        <v>1</v>
      </c>
      <c r="E845" s="27">
        <v>1384</v>
      </c>
      <c r="F845" s="27">
        <v>2</v>
      </c>
      <c r="G845" s="27">
        <v>3</v>
      </c>
      <c r="H845" s="27">
        <v>4</v>
      </c>
      <c r="I845" s="27">
        <v>3</v>
      </c>
      <c r="J845" s="27">
        <v>1</v>
      </c>
      <c r="K845" s="27">
        <v>1177</v>
      </c>
      <c r="L845" s="27">
        <v>1</v>
      </c>
      <c r="M845" s="27">
        <v>1</v>
      </c>
      <c r="N845" s="27">
        <v>82</v>
      </c>
      <c r="O845" s="27">
        <v>4</v>
      </c>
      <c r="P845" s="27">
        <v>1</v>
      </c>
      <c r="Q845" s="27">
        <v>3</v>
      </c>
      <c r="R845" s="27">
        <v>4</v>
      </c>
      <c r="S845" s="27">
        <v>2</v>
      </c>
      <c r="T845" s="27">
        <v>4420</v>
      </c>
      <c r="U845" s="27">
        <v>13421</v>
      </c>
      <c r="V845" s="27">
        <v>1</v>
      </c>
      <c r="W845" s="27">
        <v>0</v>
      </c>
      <c r="X845" s="27">
        <v>22</v>
      </c>
      <c r="Y845" s="27">
        <v>4</v>
      </c>
      <c r="Z845" s="27">
        <v>2</v>
      </c>
      <c r="AA845" s="27">
        <v>80</v>
      </c>
      <c r="AB845" s="27">
        <v>1</v>
      </c>
      <c r="AC845" s="27">
        <v>8</v>
      </c>
      <c r="AD845" s="27">
        <v>2</v>
      </c>
      <c r="AE845" s="27">
        <v>3</v>
      </c>
      <c r="AF845" s="27">
        <v>8</v>
      </c>
      <c r="AG845" s="27">
        <v>7</v>
      </c>
      <c r="AH845" s="27">
        <v>0</v>
      </c>
      <c r="AI845" s="28">
        <v>7</v>
      </c>
      <c r="AK845" s="36">
        <v>812</v>
      </c>
      <c r="AL845" s="33">
        <v>2</v>
      </c>
      <c r="AM845" s="33">
        <v>3</v>
      </c>
      <c r="AN845" s="33">
        <v>2</v>
      </c>
      <c r="AO845" s="33">
        <v>7</v>
      </c>
      <c r="AP845" s="33">
        <v>0</v>
      </c>
      <c r="AQ845" s="33">
        <v>0</v>
      </c>
      <c r="AR845" s="33">
        <v>3</v>
      </c>
      <c r="AS845" s="33">
        <v>1</v>
      </c>
      <c r="AT845" s="33">
        <v>0</v>
      </c>
      <c r="AU845" s="43">
        <v>0.10800927795451098</v>
      </c>
      <c r="AV845" s="33">
        <v>0</v>
      </c>
      <c r="AW845" s="33">
        <v>0</v>
      </c>
      <c r="AY845" s="36">
        <v>817</v>
      </c>
      <c r="AZ845" s="33">
        <v>2</v>
      </c>
      <c r="BA845" s="33">
        <v>2</v>
      </c>
      <c r="BB845" s="33">
        <v>0</v>
      </c>
      <c r="BC845" s="33">
        <v>0</v>
      </c>
      <c r="BD845" s="43">
        <v>0.15063023792355215</v>
      </c>
      <c r="BE845" s="33">
        <v>0</v>
      </c>
      <c r="BF845" s="33">
        <v>0</v>
      </c>
      <c r="CE845" s="36">
        <v>811</v>
      </c>
      <c r="CF845" s="33">
        <v>3</v>
      </c>
      <c r="CG845" s="33">
        <v>4</v>
      </c>
      <c r="CH845" s="33">
        <v>3</v>
      </c>
      <c r="CI845" s="33">
        <v>2</v>
      </c>
      <c r="CJ845" s="33">
        <v>3</v>
      </c>
      <c r="CK845" s="33">
        <v>0</v>
      </c>
      <c r="CL845" s="33">
        <v>1</v>
      </c>
      <c r="CM845" s="33">
        <v>3</v>
      </c>
      <c r="CN845" s="33">
        <v>12</v>
      </c>
      <c r="CO845" s="33">
        <v>4</v>
      </c>
      <c r="CP845" s="43">
        <v>1.5219804515088078E-2</v>
      </c>
      <c r="CQ845" s="33">
        <v>0</v>
      </c>
      <c r="CR845" s="33">
        <v>0</v>
      </c>
    </row>
    <row r="846" spans="1:96" ht="15" customHeight="1" x14ac:dyDescent="0.25">
      <c r="A846" s="26">
        <v>844</v>
      </c>
      <c r="B846" s="27">
        <v>30</v>
      </c>
      <c r="C846" s="27">
        <v>0</v>
      </c>
      <c r="D846" s="27">
        <v>1</v>
      </c>
      <c r="E846" s="27">
        <v>852</v>
      </c>
      <c r="F846" s="27">
        <v>1</v>
      </c>
      <c r="G846" s="27">
        <v>10</v>
      </c>
      <c r="H846" s="27">
        <v>3</v>
      </c>
      <c r="I846" s="27">
        <v>4</v>
      </c>
      <c r="J846" s="27">
        <v>1</v>
      </c>
      <c r="K846" s="27">
        <v>1179</v>
      </c>
      <c r="L846" s="27">
        <v>3</v>
      </c>
      <c r="M846" s="27">
        <v>1</v>
      </c>
      <c r="N846" s="27">
        <v>72</v>
      </c>
      <c r="O846" s="27">
        <v>2</v>
      </c>
      <c r="P846" s="27">
        <v>2</v>
      </c>
      <c r="Q846" s="27">
        <v>1</v>
      </c>
      <c r="R846" s="27">
        <v>3</v>
      </c>
      <c r="S846" s="27">
        <v>2</v>
      </c>
      <c r="T846" s="27">
        <v>6578</v>
      </c>
      <c r="U846" s="27">
        <v>2706</v>
      </c>
      <c r="V846" s="27">
        <v>1</v>
      </c>
      <c r="W846" s="27">
        <v>0</v>
      </c>
      <c r="X846" s="27">
        <v>18</v>
      </c>
      <c r="Y846" s="27">
        <v>3</v>
      </c>
      <c r="Z846" s="27">
        <v>1</v>
      </c>
      <c r="AA846" s="27">
        <v>80</v>
      </c>
      <c r="AB846" s="27">
        <v>1</v>
      </c>
      <c r="AC846" s="27">
        <v>10</v>
      </c>
      <c r="AD846" s="27">
        <v>3</v>
      </c>
      <c r="AE846" s="27">
        <v>3</v>
      </c>
      <c r="AF846" s="27">
        <v>10</v>
      </c>
      <c r="AG846" s="27">
        <v>3</v>
      </c>
      <c r="AH846" s="27">
        <v>1</v>
      </c>
      <c r="AI846" s="28">
        <v>4</v>
      </c>
      <c r="AK846" s="36">
        <v>813</v>
      </c>
      <c r="AL846" s="33">
        <v>27</v>
      </c>
      <c r="AM846" s="33">
        <v>3</v>
      </c>
      <c r="AN846" s="33">
        <v>1</v>
      </c>
      <c r="AO846" s="33">
        <v>8</v>
      </c>
      <c r="AP846" s="33">
        <v>0</v>
      </c>
      <c r="AQ846" s="33">
        <v>1</v>
      </c>
      <c r="AR846" s="33">
        <v>3</v>
      </c>
      <c r="AS846" s="33">
        <v>8</v>
      </c>
      <c r="AT846" s="33">
        <v>0</v>
      </c>
      <c r="AU846" s="43">
        <v>0.12279964230115743</v>
      </c>
      <c r="AV846" s="33">
        <v>0</v>
      </c>
      <c r="AW846" s="33">
        <v>0</v>
      </c>
      <c r="AY846" s="36">
        <v>818</v>
      </c>
      <c r="AZ846" s="33">
        <v>2</v>
      </c>
      <c r="BA846" s="33">
        <v>4</v>
      </c>
      <c r="BB846" s="33">
        <v>0</v>
      </c>
      <c r="BC846" s="33">
        <v>0</v>
      </c>
      <c r="BD846" s="43">
        <v>8.9935487507215722E-2</v>
      </c>
      <c r="BE846" s="33">
        <v>0</v>
      </c>
      <c r="BF846" s="33">
        <v>0</v>
      </c>
      <c r="CE846" s="36">
        <v>812</v>
      </c>
      <c r="CF846" s="33">
        <v>2</v>
      </c>
      <c r="CG846" s="33">
        <v>3</v>
      </c>
      <c r="CH846" s="33">
        <v>2</v>
      </c>
      <c r="CI846" s="33">
        <v>1</v>
      </c>
      <c r="CJ846" s="33">
        <v>7</v>
      </c>
      <c r="CK846" s="33">
        <v>0</v>
      </c>
      <c r="CL846" s="33">
        <v>0</v>
      </c>
      <c r="CM846" s="33">
        <v>3</v>
      </c>
      <c r="CN846" s="33">
        <v>1</v>
      </c>
      <c r="CO846" s="33">
        <v>0</v>
      </c>
      <c r="CP846" s="43">
        <v>0.1301366721232273</v>
      </c>
      <c r="CQ846" s="33">
        <v>0</v>
      </c>
      <c r="CR846" s="33">
        <v>0</v>
      </c>
    </row>
    <row r="847" spans="1:96" ht="15" customHeight="1" x14ac:dyDescent="0.25">
      <c r="A847" s="26">
        <v>845</v>
      </c>
      <c r="B847" s="27">
        <v>40</v>
      </c>
      <c r="C847" s="27">
        <v>0</v>
      </c>
      <c r="D847" s="27">
        <v>2</v>
      </c>
      <c r="E847" s="27">
        <v>902</v>
      </c>
      <c r="F847" s="27">
        <v>2</v>
      </c>
      <c r="G847" s="27">
        <v>26</v>
      </c>
      <c r="H847" s="27">
        <v>2</v>
      </c>
      <c r="I847" s="27">
        <v>3</v>
      </c>
      <c r="J847" s="27">
        <v>1</v>
      </c>
      <c r="K847" s="27">
        <v>1180</v>
      </c>
      <c r="L847" s="27">
        <v>3</v>
      </c>
      <c r="M847" s="27">
        <v>0</v>
      </c>
      <c r="N847" s="27">
        <v>92</v>
      </c>
      <c r="O847" s="27">
        <v>2</v>
      </c>
      <c r="P847" s="27">
        <v>2</v>
      </c>
      <c r="Q847" s="27">
        <v>2</v>
      </c>
      <c r="R847" s="27">
        <v>4</v>
      </c>
      <c r="S847" s="27">
        <v>2</v>
      </c>
      <c r="T847" s="27">
        <v>4422</v>
      </c>
      <c r="U847" s="27">
        <v>21203</v>
      </c>
      <c r="V847" s="27">
        <v>3</v>
      </c>
      <c r="W847" s="27">
        <v>1</v>
      </c>
      <c r="X847" s="27">
        <v>13</v>
      </c>
      <c r="Y847" s="27">
        <v>3</v>
      </c>
      <c r="Z847" s="27">
        <v>4</v>
      </c>
      <c r="AA847" s="27">
        <v>80</v>
      </c>
      <c r="AB847" s="27">
        <v>1</v>
      </c>
      <c r="AC847" s="27">
        <v>16</v>
      </c>
      <c r="AD847" s="27">
        <v>3</v>
      </c>
      <c r="AE847" s="27">
        <v>1</v>
      </c>
      <c r="AF847" s="27">
        <v>1</v>
      </c>
      <c r="AG847" s="27">
        <v>1</v>
      </c>
      <c r="AH847" s="27">
        <v>0</v>
      </c>
      <c r="AI847" s="28">
        <v>0</v>
      </c>
      <c r="AK847" s="36">
        <v>814</v>
      </c>
      <c r="AL847" s="33">
        <v>2</v>
      </c>
      <c r="AM847" s="33">
        <v>4</v>
      </c>
      <c r="AN847" s="33">
        <v>4</v>
      </c>
      <c r="AO847" s="33">
        <v>7</v>
      </c>
      <c r="AP847" s="33">
        <v>0</v>
      </c>
      <c r="AQ847" s="33">
        <v>3</v>
      </c>
      <c r="AR847" s="33">
        <v>3</v>
      </c>
      <c r="AS847" s="33">
        <v>18</v>
      </c>
      <c r="AT847" s="33">
        <v>11</v>
      </c>
      <c r="AU847" s="43">
        <v>7.1947072105458662E-3</v>
      </c>
      <c r="AV847" s="33">
        <v>0</v>
      </c>
      <c r="AW847" s="33">
        <v>1</v>
      </c>
      <c r="AY847" s="36">
        <v>819</v>
      </c>
      <c r="AZ847" s="33">
        <v>1</v>
      </c>
      <c r="BA847" s="33">
        <v>4</v>
      </c>
      <c r="BB847" s="33">
        <v>0</v>
      </c>
      <c r="BC847" s="33">
        <v>1</v>
      </c>
      <c r="BD847" s="43">
        <v>9.2486413274924434E-2</v>
      </c>
      <c r="BE847" s="33">
        <v>0</v>
      </c>
      <c r="BF847" s="33">
        <v>0</v>
      </c>
      <c r="CE847" s="36">
        <v>813</v>
      </c>
      <c r="CF847" s="33">
        <v>27</v>
      </c>
      <c r="CG847" s="33">
        <v>3</v>
      </c>
      <c r="CH847" s="33">
        <v>1</v>
      </c>
      <c r="CI847" s="33">
        <v>2</v>
      </c>
      <c r="CJ847" s="33">
        <v>8</v>
      </c>
      <c r="CK847" s="33">
        <v>0</v>
      </c>
      <c r="CL847" s="33">
        <v>1</v>
      </c>
      <c r="CM847" s="33">
        <v>3</v>
      </c>
      <c r="CN847" s="33">
        <v>8</v>
      </c>
      <c r="CO847" s="33">
        <v>0</v>
      </c>
      <c r="CP847" s="43">
        <v>0.12383648868162993</v>
      </c>
      <c r="CQ847" s="33">
        <v>0</v>
      </c>
      <c r="CR847" s="33">
        <v>0</v>
      </c>
    </row>
    <row r="848" spans="1:96" ht="15" customHeight="1" x14ac:dyDescent="0.25">
      <c r="A848" s="26">
        <v>846</v>
      </c>
      <c r="B848" s="27">
        <v>35</v>
      </c>
      <c r="C848" s="27">
        <v>0</v>
      </c>
      <c r="D848" s="27">
        <v>1</v>
      </c>
      <c r="E848" s="27">
        <v>819</v>
      </c>
      <c r="F848" s="27">
        <v>2</v>
      </c>
      <c r="G848" s="27">
        <v>2</v>
      </c>
      <c r="H848" s="27">
        <v>3</v>
      </c>
      <c r="I848" s="27">
        <v>1</v>
      </c>
      <c r="J848" s="27">
        <v>1</v>
      </c>
      <c r="K848" s="27">
        <v>1182</v>
      </c>
      <c r="L848" s="27">
        <v>3</v>
      </c>
      <c r="M848" s="27">
        <v>1</v>
      </c>
      <c r="N848" s="27">
        <v>44</v>
      </c>
      <c r="O848" s="27">
        <v>2</v>
      </c>
      <c r="P848" s="27">
        <v>3</v>
      </c>
      <c r="Q848" s="27">
        <v>4</v>
      </c>
      <c r="R848" s="27">
        <v>2</v>
      </c>
      <c r="S848" s="27">
        <v>3</v>
      </c>
      <c r="T848" s="27">
        <v>10274</v>
      </c>
      <c r="U848" s="27">
        <v>19588</v>
      </c>
      <c r="V848" s="27">
        <v>2</v>
      </c>
      <c r="W848" s="27">
        <v>0</v>
      </c>
      <c r="X848" s="27">
        <v>18</v>
      </c>
      <c r="Y848" s="27">
        <v>3</v>
      </c>
      <c r="Z848" s="27">
        <v>2</v>
      </c>
      <c r="AA848" s="27">
        <v>80</v>
      </c>
      <c r="AB848" s="27">
        <v>1</v>
      </c>
      <c r="AC848" s="27">
        <v>15</v>
      </c>
      <c r="AD848" s="27">
        <v>2</v>
      </c>
      <c r="AE848" s="27">
        <v>4</v>
      </c>
      <c r="AF848" s="27">
        <v>7</v>
      </c>
      <c r="AG848" s="27">
        <v>7</v>
      </c>
      <c r="AH848" s="27">
        <v>6</v>
      </c>
      <c r="AI848" s="28">
        <v>4</v>
      </c>
      <c r="AK848" s="36">
        <v>815</v>
      </c>
      <c r="AL848" s="33">
        <v>14</v>
      </c>
      <c r="AM848" s="33">
        <v>5</v>
      </c>
      <c r="AN848" s="33">
        <v>3</v>
      </c>
      <c r="AO848" s="33">
        <v>1</v>
      </c>
      <c r="AP848" s="33">
        <v>0</v>
      </c>
      <c r="AQ848" s="33">
        <v>0</v>
      </c>
      <c r="AR848" s="33">
        <v>4</v>
      </c>
      <c r="AS848" s="33">
        <v>20</v>
      </c>
      <c r="AT848" s="33">
        <v>4</v>
      </c>
      <c r="AU848" s="43">
        <v>8.5278289959646331E-3</v>
      </c>
      <c r="AV848" s="33">
        <v>0</v>
      </c>
      <c r="AW848" s="33">
        <v>0</v>
      </c>
      <c r="AY848" s="36">
        <v>820</v>
      </c>
      <c r="AZ848" s="33">
        <v>1</v>
      </c>
      <c r="BA848" s="33">
        <v>2</v>
      </c>
      <c r="BB848" s="33">
        <v>0</v>
      </c>
      <c r="BC848" s="33">
        <v>0</v>
      </c>
      <c r="BD848" s="43">
        <v>0.23662845161334917</v>
      </c>
      <c r="BE848" s="33">
        <v>0</v>
      </c>
      <c r="BF848" s="33">
        <v>0</v>
      </c>
      <c r="CE848" s="36">
        <v>814</v>
      </c>
      <c r="CF848" s="33">
        <v>2</v>
      </c>
      <c r="CG848" s="33">
        <v>4</v>
      </c>
      <c r="CH848" s="33">
        <v>4</v>
      </c>
      <c r="CI848" s="33">
        <v>3</v>
      </c>
      <c r="CJ848" s="33">
        <v>7</v>
      </c>
      <c r="CK848" s="33">
        <v>0</v>
      </c>
      <c r="CL848" s="33">
        <v>3</v>
      </c>
      <c r="CM848" s="33">
        <v>3</v>
      </c>
      <c r="CN848" s="33">
        <v>18</v>
      </c>
      <c r="CO848" s="33">
        <v>11</v>
      </c>
      <c r="CP848" s="43">
        <v>8.2178351805894216E-3</v>
      </c>
      <c r="CQ848" s="33">
        <v>0</v>
      </c>
      <c r="CR848" s="33">
        <v>1</v>
      </c>
    </row>
    <row r="849" spans="1:96" ht="15" customHeight="1" x14ac:dyDescent="0.25">
      <c r="A849" s="26">
        <v>847</v>
      </c>
      <c r="B849" s="27">
        <v>34</v>
      </c>
      <c r="C849" s="27">
        <v>0</v>
      </c>
      <c r="D849" s="27">
        <v>2</v>
      </c>
      <c r="E849" s="27">
        <v>669</v>
      </c>
      <c r="F849" s="27">
        <v>2</v>
      </c>
      <c r="G849" s="27">
        <v>1</v>
      </c>
      <c r="H849" s="27">
        <v>3</v>
      </c>
      <c r="I849" s="27">
        <v>3</v>
      </c>
      <c r="J849" s="27">
        <v>1</v>
      </c>
      <c r="K849" s="27">
        <v>1184</v>
      </c>
      <c r="L849" s="27">
        <v>4</v>
      </c>
      <c r="M849" s="27">
        <v>1</v>
      </c>
      <c r="N849" s="27">
        <v>97</v>
      </c>
      <c r="O849" s="27">
        <v>2</v>
      </c>
      <c r="P849" s="27">
        <v>2</v>
      </c>
      <c r="Q849" s="27">
        <v>5</v>
      </c>
      <c r="R849" s="27">
        <v>1</v>
      </c>
      <c r="S849" s="27">
        <v>1</v>
      </c>
      <c r="T849" s="27">
        <v>5343</v>
      </c>
      <c r="U849" s="27">
        <v>25755</v>
      </c>
      <c r="V849" s="27">
        <v>0</v>
      </c>
      <c r="W849" s="27">
        <v>0</v>
      </c>
      <c r="X849" s="27">
        <v>20</v>
      </c>
      <c r="Y849" s="27">
        <v>4</v>
      </c>
      <c r="Z849" s="27">
        <v>3</v>
      </c>
      <c r="AA849" s="27">
        <v>80</v>
      </c>
      <c r="AB849" s="27">
        <v>0</v>
      </c>
      <c r="AC849" s="27">
        <v>14</v>
      </c>
      <c r="AD849" s="27">
        <v>3</v>
      </c>
      <c r="AE849" s="27">
        <v>3</v>
      </c>
      <c r="AF849" s="27">
        <v>13</v>
      </c>
      <c r="AG849" s="27">
        <v>9</v>
      </c>
      <c r="AH849" s="27">
        <v>4</v>
      </c>
      <c r="AI849" s="28">
        <v>9</v>
      </c>
      <c r="AK849" s="36">
        <v>816</v>
      </c>
      <c r="AL849" s="33">
        <v>1</v>
      </c>
      <c r="AM849" s="33">
        <v>1</v>
      </c>
      <c r="AN849" s="33">
        <v>2</v>
      </c>
      <c r="AO849" s="33">
        <v>1</v>
      </c>
      <c r="AP849" s="33">
        <v>1</v>
      </c>
      <c r="AQ849" s="33">
        <v>0</v>
      </c>
      <c r="AR849" s="33">
        <v>4</v>
      </c>
      <c r="AS849" s="33">
        <v>2</v>
      </c>
      <c r="AT849" s="33">
        <v>2</v>
      </c>
      <c r="AU849" s="43">
        <v>0.46299515444183403</v>
      </c>
      <c r="AV849" s="33">
        <v>0</v>
      </c>
      <c r="AW849" s="33">
        <v>0</v>
      </c>
      <c r="AY849" s="36">
        <v>821</v>
      </c>
      <c r="AZ849" s="33">
        <v>2</v>
      </c>
      <c r="BA849" s="33">
        <v>4</v>
      </c>
      <c r="BB849" s="33">
        <v>0</v>
      </c>
      <c r="BC849" s="33">
        <v>1</v>
      </c>
      <c r="BD849" s="43">
        <v>5.5093218126976727E-2</v>
      </c>
      <c r="BE849" s="33">
        <v>0</v>
      </c>
      <c r="BF849" s="33">
        <v>0</v>
      </c>
      <c r="CE849" s="36">
        <v>815</v>
      </c>
      <c r="CF849" s="33">
        <v>14</v>
      </c>
      <c r="CG849" s="33">
        <v>5</v>
      </c>
      <c r="CH849" s="33">
        <v>3</v>
      </c>
      <c r="CI849" s="33">
        <v>1</v>
      </c>
      <c r="CJ849" s="33">
        <v>1</v>
      </c>
      <c r="CK849" s="33">
        <v>0</v>
      </c>
      <c r="CL849" s="33">
        <v>0</v>
      </c>
      <c r="CM849" s="33">
        <v>4</v>
      </c>
      <c r="CN849" s="33">
        <v>20</v>
      </c>
      <c r="CO849" s="33">
        <v>4</v>
      </c>
      <c r="CP849" s="43">
        <v>1.0282403484820448E-2</v>
      </c>
      <c r="CQ849" s="33">
        <v>0</v>
      </c>
      <c r="CR849" s="33">
        <v>0</v>
      </c>
    </row>
    <row r="850" spans="1:96" ht="15" customHeight="1" x14ac:dyDescent="0.25">
      <c r="A850" s="26">
        <v>848</v>
      </c>
      <c r="B850" s="27">
        <v>35</v>
      </c>
      <c r="C850" s="27">
        <v>0</v>
      </c>
      <c r="D850" s="27">
        <v>2</v>
      </c>
      <c r="E850" s="27">
        <v>636</v>
      </c>
      <c r="F850" s="27">
        <v>2</v>
      </c>
      <c r="G850" s="27">
        <v>4</v>
      </c>
      <c r="H850" s="27">
        <v>4</v>
      </c>
      <c r="I850" s="27">
        <v>6</v>
      </c>
      <c r="J850" s="27">
        <v>1</v>
      </c>
      <c r="K850" s="27">
        <v>1185</v>
      </c>
      <c r="L850" s="27">
        <v>4</v>
      </c>
      <c r="M850" s="27">
        <v>1</v>
      </c>
      <c r="N850" s="27">
        <v>47</v>
      </c>
      <c r="O850" s="27">
        <v>2</v>
      </c>
      <c r="P850" s="27">
        <v>1</v>
      </c>
      <c r="Q850" s="27">
        <v>3</v>
      </c>
      <c r="R850" s="27">
        <v>4</v>
      </c>
      <c r="S850" s="27">
        <v>2</v>
      </c>
      <c r="T850" s="27">
        <v>2376</v>
      </c>
      <c r="U850" s="27">
        <v>26537</v>
      </c>
      <c r="V850" s="27">
        <v>1</v>
      </c>
      <c r="W850" s="27">
        <v>0</v>
      </c>
      <c r="X850" s="27">
        <v>13</v>
      </c>
      <c r="Y850" s="27">
        <v>3</v>
      </c>
      <c r="Z850" s="27">
        <v>2</v>
      </c>
      <c r="AA850" s="27">
        <v>80</v>
      </c>
      <c r="AB850" s="27">
        <v>1</v>
      </c>
      <c r="AC850" s="27">
        <v>2</v>
      </c>
      <c r="AD850" s="27">
        <v>2</v>
      </c>
      <c r="AE850" s="27">
        <v>4</v>
      </c>
      <c r="AF850" s="27">
        <v>2</v>
      </c>
      <c r="AG850" s="27">
        <v>2</v>
      </c>
      <c r="AH850" s="27">
        <v>2</v>
      </c>
      <c r="AI850" s="28">
        <v>2</v>
      </c>
      <c r="AK850" s="36">
        <v>817</v>
      </c>
      <c r="AL850" s="33">
        <v>9</v>
      </c>
      <c r="AM850" s="33">
        <v>2</v>
      </c>
      <c r="AN850" s="33">
        <v>2</v>
      </c>
      <c r="AO850" s="33">
        <v>9</v>
      </c>
      <c r="AP850" s="33">
        <v>0</v>
      </c>
      <c r="AQ850" s="33">
        <v>0</v>
      </c>
      <c r="AR850" s="33">
        <v>2</v>
      </c>
      <c r="AS850" s="33">
        <v>5</v>
      </c>
      <c r="AT850" s="33">
        <v>0</v>
      </c>
      <c r="AU850" s="43">
        <v>0.22932707232354019</v>
      </c>
      <c r="AV850" s="33">
        <v>0</v>
      </c>
      <c r="AW850" s="33">
        <v>0</v>
      </c>
      <c r="AY850" s="36">
        <v>822</v>
      </c>
      <c r="AZ850" s="33">
        <v>4</v>
      </c>
      <c r="BA850" s="33">
        <v>2</v>
      </c>
      <c r="BB850" s="33">
        <v>0</v>
      </c>
      <c r="BC850" s="33">
        <v>1</v>
      </c>
      <c r="BD850" s="43">
        <v>3.3113852747679105E-2</v>
      </c>
      <c r="BE850" s="33">
        <v>0</v>
      </c>
      <c r="BF850" s="33">
        <v>0</v>
      </c>
      <c r="CE850" s="36">
        <v>816</v>
      </c>
      <c r="CF850" s="33">
        <v>1</v>
      </c>
      <c r="CG850" s="33">
        <v>1</v>
      </c>
      <c r="CH850" s="33">
        <v>2</v>
      </c>
      <c r="CI850" s="33">
        <v>1</v>
      </c>
      <c r="CJ850" s="33">
        <v>1</v>
      </c>
      <c r="CK850" s="33">
        <v>1</v>
      </c>
      <c r="CL850" s="33">
        <v>0</v>
      </c>
      <c r="CM850" s="33">
        <v>4</v>
      </c>
      <c r="CN850" s="33">
        <v>2</v>
      </c>
      <c r="CO850" s="33">
        <v>2</v>
      </c>
      <c r="CP850" s="43">
        <v>0.51529256666822121</v>
      </c>
      <c r="CQ850" s="33">
        <v>1</v>
      </c>
      <c r="CR850" s="33">
        <v>0</v>
      </c>
    </row>
    <row r="851" spans="1:96" ht="15" customHeight="1" x14ac:dyDescent="0.25">
      <c r="A851" s="26">
        <v>849</v>
      </c>
      <c r="B851" s="27">
        <v>43</v>
      </c>
      <c r="C851" s="27">
        <v>1</v>
      </c>
      <c r="D851" s="27">
        <v>1</v>
      </c>
      <c r="E851" s="27">
        <v>1372</v>
      </c>
      <c r="F851" s="27">
        <v>1</v>
      </c>
      <c r="G851" s="27">
        <v>9</v>
      </c>
      <c r="H851" s="27">
        <v>3</v>
      </c>
      <c r="I851" s="27">
        <v>4</v>
      </c>
      <c r="J851" s="27">
        <v>1</v>
      </c>
      <c r="K851" s="27">
        <v>1188</v>
      </c>
      <c r="L851" s="27">
        <v>1</v>
      </c>
      <c r="M851" s="27">
        <v>0</v>
      </c>
      <c r="N851" s="27">
        <v>85</v>
      </c>
      <c r="O851" s="27">
        <v>1</v>
      </c>
      <c r="P851" s="27">
        <v>2</v>
      </c>
      <c r="Q851" s="27">
        <v>1</v>
      </c>
      <c r="R851" s="27">
        <v>3</v>
      </c>
      <c r="S851" s="27">
        <v>1</v>
      </c>
      <c r="T851" s="27">
        <v>5346</v>
      </c>
      <c r="U851" s="27">
        <v>9489</v>
      </c>
      <c r="V851" s="27">
        <v>8</v>
      </c>
      <c r="W851" s="27">
        <v>0</v>
      </c>
      <c r="X851" s="27">
        <v>13</v>
      </c>
      <c r="Y851" s="27">
        <v>3</v>
      </c>
      <c r="Z851" s="27">
        <v>2</v>
      </c>
      <c r="AA851" s="27">
        <v>80</v>
      </c>
      <c r="AB851" s="27">
        <v>0</v>
      </c>
      <c r="AC851" s="27">
        <v>7</v>
      </c>
      <c r="AD851" s="27">
        <v>2</v>
      </c>
      <c r="AE851" s="27">
        <v>2</v>
      </c>
      <c r="AF851" s="27">
        <v>4</v>
      </c>
      <c r="AG851" s="27">
        <v>3</v>
      </c>
      <c r="AH851" s="27">
        <v>1</v>
      </c>
      <c r="AI851" s="28">
        <v>3</v>
      </c>
      <c r="AK851" s="36">
        <v>818</v>
      </c>
      <c r="AL851" s="33">
        <v>18</v>
      </c>
      <c r="AM851" s="33">
        <v>2</v>
      </c>
      <c r="AN851" s="33">
        <v>4</v>
      </c>
      <c r="AO851" s="33">
        <v>2</v>
      </c>
      <c r="AP851" s="33">
        <v>0</v>
      </c>
      <c r="AQ851" s="33">
        <v>0</v>
      </c>
      <c r="AR851" s="33">
        <v>3</v>
      </c>
      <c r="AS851" s="33">
        <v>11</v>
      </c>
      <c r="AT851" s="33">
        <v>0</v>
      </c>
      <c r="AU851" s="43">
        <v>6.0283595265364309E-2</v>
      </c>
      <c r="AV851" s="33">
        <v>0</v>
      </c>
      <c r="AW851" s="33">
        <v>0</v>
      </c>
      <c r="AY851" s="36">
        <v>823</v>
      </c>
      <c r="AZ851" s="33">
        <v>2</v>
      </c>
      <c r="BA851" s="33">
        <v>3</v>
      </c>
      <c r="BB851" s="33">
        <v>0</v>
      </c>
      <c r="BC851" s="33">
        <v>0</v>
      </c>
      <c r="BD851" s="43">
        <v>0.11690772887050198</v>
      </c>
      <c r="BE851" s="33">
        <v>0</v>
      </c>
      <c r="BF851" s="33">
        <v>0</v>
      </c>
      <c r="CE851" s="36">
        <v>817</v>
      </c>
      <c r="CF851" s="33">
        <v>9</v>
      </c>
      <c r="CG851" s="33">
        <v>2</v>
      </c>
      <c r="CH851" s="33">
        <v>2</v>
      </c>
      <c r="CI851" s="33">
        <v>1</v>
      </c>
      <c r="CJ851" s="33">
        <v>9</v>
      </c>
      <c r="CK851" s="33">
        <v>0</v>
      </c>
      <c r="CL851" s="33">
        <v>0</v>
      </c>
      <c r="CM851" s="33">
        <v>2</v>
      </c>
      <c r="CN851" s="33">
        <v>5</v>
      </c>
      <c r="CO851" s="33">
        <v>0</v>
      </c>
      <c r="CP851" s="43">
        <v>0.26953902800609852</v>
      </c>
      <c r="CQ851" s="33">
        <v>0</v>
      </c>
      <c r="CR851" s="33">
        <v>0</v>
      </c>
    </row>
    <row r="852" spans="1:96" ht="15" customHeight="1" x14ac:dyDescent="0.25">
      <c r="A852" s="26">
        <v>850</v>
      </c>
      <c r="B852" s="27">
        <v>32</v>
      </c>
      <c r="C852" s="27">
        <v>0</v>
      </c>
      <c r="D852" s="27">
        <v>3</v>
      </c>
      <c r="E852" s="27">
        <v>862</v>
      </c>
      <c r="F852" s="27">
        <v>1</v>
      </c>
      <c r="G852" s="27">
        <v>2</v>
      </c>
      <c r="H852" s="27">
        <v>1</v>
      </c>
      <c r="I852" s="27">
        <v>1</v>
      </c>
      <c r="J852" s="27">
        <v>1</v>
      </c>
      <c r="K852" s="27">
        <v>1190</v>
      </c>
      <c r="L852" s="27">
        <v>3</v>
      </c>
      <c r="M852" s="27">
        <v>0</v>
      </c>
      <c r="N852" s="27">
        <v>76</v>
      </c>
      <c r="O852" s="27">
        <v>3</v>
      </c>
      <c r="P852" s="27">
        <v>1</v>
      </c>
      <c r="Q852" s="27">
        <v>7</v>
      </c>
      <c r="R852" s="27">
        <v>1</v>
      </c>
      <c r="S852" s="27">
        <v>3</v>
      </c>
      <c r="T852" s="27">
        <v>2827</v>
      </c>
      <c r="U852" s="27">
        <v>14947</v>
      </c>
      <c r="V852" s="27">
        <v>1</v>
      </c>
      <c r="W852" s="27">
        <v>0</v>
      </c>
      <c r="X852" s="27">
        <v>12</v>
      </c>
      <c r="Y852" s="27">
        <v>3</v>
      </c>
      <c r="Z852" s="27">
        <v>3</v>
      </c>
      <c r="AA852" s="27">
        <v>80</v>
      </c>
      <c r="AB852" s="27">
        <v>3</v>
      </c>
      <c r="AC852" s="27">
        <v>1</v>
      </c>
      <c r="AD852" s="27">
        <v>3</v>
      </c>
      <c r="AE852" s="27">
        <v>3</v>
      </c>
      <c r="AF852" s="27">
        <v>1</v>
      </c>
      <c r="AG852" s="27">
        <v>0</v>
      </c>
      <c r="AH852" s="27">
        <v>0</v>
      </c>
      <c r="AI852" s="28">
        <v>0</v>
      </c>
      <c r="AK852" s="36">
        <v>819</v>
      </c>
      <c r="AL852" s="33">
        <v>20</v>
      </c>
      <c r="AM852" s="33">
        <v>1</v>
      </c>
      <c r="AN852" s="33">
        <v>4</v>
      </c>
      <c r="AO852" s="33">
        <v>0</v>
      </c>
      <c r="AP852" s="33">
        <v>0</v>
      </c>
      <c r="AQ852" s="33">
        <v>1</v>
      </c>
      <c r="AR852" s="33">
        <v>3</v>
      </c>
      <c r="AS852" s="33">
        <v>2</v>
      </c>
      <c r="AT852" s="33">
        <v>2</v>
      </c>
      <c r="AU852" s="43">
        <v>0.12056268182633911</v>
      </c>
      <c r="AV852" s="33">
        <v>0</v>
      </c>
      <c r="AW852" s="33">
        <v>0</v>
      </c>
      <c r="AY852" s="36">
        <v>824</v>
      </c>
      <c r="AZ852" s="33">
        <v>1</v>
      </c>
      <c r="BA852" s="33">
        <v>2</v>
      </c>
      <c r="BB852" s="33">
        <v>0</v>
      </c>
      <c r="BC852" s="33">
        <v>2</v>
      </c>
      <c r="BD852" s="43">
        <v>9.7393499888919863E-2</v>
      </c>
      <c r="BE852" s="33">
        <v>0</v>
      </c>
      <c r="BF852" s="33">
        <v>0</v>
      </c>
      <c r="CE852" s="36">
        <v>818</v>
      </c>
      <c r="CF852" s="33">
        <v>18</v>
      </c>
      <c r="CG852" s="33">
        <v>2</v>
      </c>
      <c r="CH852" s="33">
        <v>4</v>
      </c>
      <c r="CI852" s="33">
        <v>1</v>
      </c>
      <c r="CJ852" s="33">
        <v>2</v>
      </c>
      <c r="CK852" s="33">
        <v>0</v>
      </c>
      <c r="CL852" s="33">
        <v>0</v>
      </c>
      <c r="CM852" s="33">
        <v>3</v>
      </c>
      <c r="CN852" s="33">
        <v>11</v>
      </c>
      <c r="CO852" s="33">
        <v>0</v>
      </c>
      <c r="CP852" s="43">
        <v>6.908162864738461E-2</v>
      </c>
      <c r="CQ852" s="33">
        <v>0</v>
      </c>
      <c r="CR852" s="33">
        <v>0</v>
      </c>
    </row>
    <row r="853" spans="1:96" ht="15" customHeight="1" x14ac:dyDescent="0.25">
      <c r="A853" s="26">
        <v>851</v>
      </c>
      <c r="B853" s="27">
        <v>56</v>
      </c>
      <c r="C853" s="27">
        <v>0</v>
      </c>
      <c r="D853" s="27">
        <v>1</v>
      </c>
      <c r="E853" s="27">
        <v>718</v>
      </c>
      <c r="F853" s="27">
        <v>2</v>
      </c>
      <c r="G853" s="27">
        <v>4</v>
      </c>
      <c r="H853" s="27">
        <v>4</v>
      </c>
      <c r="I853" s="27">
        <v>5</v>
      </c>
      <c r="J853" s="27">
        <v>1</v>
      </c>
      <c r="K853" s="27">
        <v>1191</v>
      </c>
      <c r="L853" s="27">
        <v>4</v>
      </c>
      <c r="M853" s="27">
        <v>0</v>
      </c>
      <c r="N853" s="27">
        <v>92</v>
      </c>
      <c r="O853" s="27">
        <v>3</v>
      </c>
      <c r="P853" s="27">
        <v>5</v>
      </c>
      <c r="Q853" s="27">
        <v>6</v>
      </c>
      <c r="R853" s="27">
        <v>1</v>
      </c>
      <c r="S853" s="27">
        <v>3</v>
      </c>
      <c r="T853" s="27">
        <v>19943</v>
      </c>
      <c r="U853" s="27">
        <v>18575</v>
      </c>
      <c r="V853" s="27">
        <v>4</v>
      </c>
      <c r="W853" s="27">
        <v>0</v>
      </c>
      <c r="X853" s="27">
        <v>13</v>
      </c>
      <c r="Y853" s="27">
        <v>3</v>
      </c>
      <c r="Z853" s="27">
        <v>4</v>
      </c>
      <c r="AA853" s="27">
        <v>80</v>
      </c>
      <c r="AB853" s="27">
        <v>1</v>
      </c>
      <c r="AC853" s="27">
        <v>28</v>
      </c>
      <c r="AD853" s="27">
        <v>2</v>
      </c>
      <c r="AE853" s="27">
        <v>3</v>
      </c>
      <c r="AF853" s="27">
        <v>5</v>
      </c>
      <c r="AG853" s="27">
        <v>2</v>
      </c>
      <c r="AH853" s="27">
        <v>4</v>
      </c>
      <c r="AI853" s="28">
        <v>2</v>
      </c>
      <c r="AK853" s="36">
        <v>820</v>
      </c>
      <c r="AL853" s="33">
        <v>2</v>
      </c>
      <c r="AM853" s="33">
        <v>1</v>
      </c>
      <c r="AN853" s="33">
        <v>2</v>
      </c>
      <c r="AO853" s="33">
        <v>0</v>
      </c>
      <c r="AP853" s="33">
        <v>0</v>
      </c>
      <c r="AQ853" s="33">
        <v>0</v>
      </c>
      <c r="AR853" s="33">
        <v>1</v>
      </c>
      <c r="AS853" s="33">
        <v>5</v>
      </c>
      <c r="AT853" s="33">
        <v>0</v>
      </c>
      <c r="AU853" s="43">
        <v>0.19476651959319116</v>
      </c>
      <c r="AV853" s="33">
        <v>0</v>
      </c>
      <c r="AW853" s="33">
        <v>0</v>
      </c>
      <c r="AY853" s="36">
        <v>825</v>
      </c>
      <c r="AZ853" s="33">
        <v>2</v>
      </c>
      <c r="BA853" s="33">
        <v>4</v>
      </c>
      <c r="BB853" s="33">
        <v>0</v>
      </c>
      <c r="BC853" s="33">
        <v>0</v>
      </c>
      <c r="BD853" s="43">
        <v>8.9935487507215722E-2</v>
      </c>
      <c r="BE853" s="33">
        <v>0</v>
      </c>
      <c r="BF853" s="33">
        <v>0</v>
      </c>
      <c r="CE853" s="36">
        <v>819</v>
      </c>
      <c r="CF853" s="33">
        <v>20</v>
      </c>
      <c r="CG853" s="33">
        <v>1</v>
      </c>
      <c r="CH853" s="33">
        <v>4</v>
      </c>
      <c r="CI853" s="33">
        <v>2</v>
      </c>
      <c r="CJ853" s="33">
        <v>0</v>
      </c>
      <c r="CK853" s="33">
        <v>0</v>
      </c>
      <c r="CL853" s="33">
        <v>1</v>
      </c>
      <c r="CM853" s="33">
        <v>3</v>
      </c>
      <c r="CN853" s="33">
        <v>2</v>
      </c>
      <c r="CO853" s="33">
        <v>2</v>
      </c>
      <c r="CP853" s="43">
        <v>0.11344564041092116</v>
      </c>
      <c r="CQ853" s="33">
        <v>0</v>
      </c>
      <c r="CR853" s="33">
        <v>0</v>
      </c>
    </row>
    <row r="854" spans="1:96" ht="15" customHeight="1" x14ac:dyDescent="0.25">
      <c r="A854" s="26">
        <v>852</v>
      </c>
      <c r="B854" s="27">
        <v>29</v>
      </c>
      <c r="C854" s="27">
        <v>0</v>
      </c>
      <c r="D854" s="27">
        <v>1</v>
      </c>
      <c r="E854" s="27">
        <v>1401</v>
      </c>
      <c r="F854" s="27">
        <v>2</v>
      </c>
      <c r="G854" s="27">
        <v>6</v>
      </c>
      <c r="H854" s="27">
        <v>1</v>
      </c>
      <c r="I854" s="27">
        <v>3</v>
      </c>
      <c r="J854" s="27">
        <v>1</v>
      </c>
      <c r="K854" s="27">
        <v>1192</v>
      </c>
      <c r="L854" s="27">
        <v>2</v>
      </c>
      <c r="M854" s="27">
        <v>0</v>
      </c>
      <c r="N854" s="27">
        <v>54</v>
      </c>
      <c r="O854" s="27">
        <v>3</v>
      </c>
      <c r="P854" s="27">
        <v>1</v>
      </c>
      <c r="Q854" s="27">
        <v>3</v>
      </c>
      <c r="R854" s="27">
        <v>4</v>
      </c>
      <c r="S854" s="27">
        <v>2</v>
      </c>
      <c r="T854" s="27">
        <v>3131</v>
      </c>
      <c r="U854" s="27">
        <v>26342</v>
      </c>
      <c r="V854" s="27">
        <v>1</v>
      </c>
      <c r="W854" s="27">
        <v>0</v>
      </c>
      <c r="X854" s="27">
        <v>13</v>
      </c>
      <c r="Y854" s="27">
        <v>3</v>
      </c>
      <c r="Z854" s="27">
        <v>1</v>
      </c>
      <c r="AA854" s="27">
        <v>80</v>
      </c>
      <c r="AB854" s="27">
        <v>1</v>
      </c>
      <c r="AC854" s="27">
        <v>10</v>
      </c>
      <c r="AD854" s="27">
        <v>5</v>
      </c>
      <c r="AE854" s="27">
        <v>3</v>
      </c>
      <c r="AF854" s="27">
        <v>10</v>
      </c>
      <c r="AG854" s="27">
        <v>8</v>
      </c>
      <c r="AH854" s="27">
        <v>0</v>
      </c>
      <c r="AI854" s="28">
        <v>8</v>
      </c>
      <c r="AK854" s="36">
        <v>821</v>
      </c>
      <c r="AL854" s="33">
        <v>11</v>
      </c>
      <c r="AM854" s="33">
        <v>2</v>
      </c>
      <c r="AN854" s="33">
        <v>4</v>
      </c>
      <c r="AO854" s="33">
        <v>1</v>
      </c>
      <c r="AP854" s="33">
        <v>0</v>
      </c>
      <c r="AQ854" s="33">
        <v>1</v>
      </c>
      <c r="AR854" s="33">
        <v>3</v>
      </c>
      <c r="AS854" s="33">
        <v>5</v>
      </c>
      <c r="AT854" s="33">
        <v>0</v>
      </c>
      <c r="AU854" s="43">
        <v>3.9148838075134043E-2</v>
      </c>
      <c r="AV854" s="33">
        <v>0</v>
      </c>
      <c r="AW854" s="33">
        <v>0</v>
      </c>
      <c r="AY854" s="36">
        <v>826</v>
      </c>
      <c r="AZ854" s="33">
        <v>2</v>
      </c>
      <c r="BA854" s="33">
        <v>4</v>
      </c>
      <c r="BB854" s="33">
        <v>1</v>
      </c>
      <c r="BC854" s="33">
        <v>1</v>
      </c>
      <c r="BD854" s="43">
        <v>0.19951405628110813</v>
      </c>
      <c r="BE854" s="33">
        <v>0</v>
      </c>
      <c r="BF854" s="33">
        <v>0</v>
      </c>
      <c r="CE854" s="36">
        <v>820</v>
      </c>
      <c r="CF854" s="33">
        <v>2</v>
      </c>
      <c r="CG854" s="33">
        <v>1</v>
      </c>
      <c r="CH854" s="33">
        <v>2</v>
      </c>
      <c r="CI854" s="33">
        <v>2</v>
      </c>
      <c r="CJ854" s="33">
        <v>0</v>
      </c>
      <c r="CK854" s="33">
        <v>0</v>
      </c>
      <c r="CL854" s="33">
        <v>0</v>
      </c>
      <c r="CM854" s="33">
        <v>1</v>
      </c>
      <c r="CN854" s="33">
        <v>5</v>
      </c>
      <c r="CO854" s="33">
        <v>0</v>
      </c>
      <c r="CP854" s="43">
        <v>0.14617258122998719</v>
      </c>
      <c r="CQ854" s="33">
        <v>0</v>
      </c>
      <c r="CR854" s="33">
        <v>0</v>
      </c>
    </row>
    <row r="855" spans="1:96" ht="15" customHeight="1" x14ac:dyDescent="0.25">
      <c r="A855" s="26">
        <v>853</v>
      </c>
      <c r="B855" s="27">
        <v>19</v>
      </c>
      <c r="C855" s="27">
        <v>0</v>
      </c>
      <c r="D855" s="27">
        <v>1</v>
      </c>
      <c r="E855" s="27">
        <v>645</v>
      </c>
      <c r="F855" s="27">
        <v>2</v>
      </c>
      <c r="G855" s="27">
        <v>9</v>
      </c>
      <c r="H855" s="27">
        <v>2</v>
      </c>
      <c r="I855" s="27">
        <v>1</v>
      </c>
      <c r="J855" s="27">
        <v>1</v>
      </c>
      <c r="K855" s="27">
        <v>1193</v>
      </c>
      <c r="L855" s="27">
        <v>3</v>
      </c>
      <c r="M855" s="27">
        <v>1</v>
      </c>
      <c r="N855" s="27">
        <v>54</v>
      </c>
      <c r="O855" s="27">
        <v>3</v>
      </c>
      <c r="P855" s="27">
        <v>1</v>
      </c>
      <c r="Q855" s="27">
        <v>2</v>
      </c>
      <c r="R855" s="27">
        <v>1</v>
      </c>
      <c r="S855" s="27">
        <v>1</v>
      </c>
      <c r="T855" s="27">
        <v>2552</v>
      </c>
      <c r="U855" s="27">
        <v>7172</v>
      </c>
      <c r="V855" s="27">
        <v>1</v>
      </c>
      <c r="W855" s="27">
        <v>0</v>
      </c>
      <c r="X855" s="27">
        <v>25</v>
      </c>
      <c r="Y855" s="27">
        <v>4</v>
      </c>
      <c r="Z855" s="27">
        <v>3</v>
      </c>
      <c r="AA855" s="27">
        <v>80</v>
      </c>
      <c r="AB855" s="27">
        <v>0</v>
      </c>
      <c r="AC855" s="27">
        <v>1</v>
      </c>
      <c r="AD855" s="27">
        <v>4</v>
      </c>
      <c r="AE855" s="27">
        <v>3</v>
      </c>
      <c r="AF855" s="27">
        <v>1</v>
      </c>
      <c r="AG855" s="27">
        <v>1</v>
      </c>
      <c r="AH855" s="27">
        <v>0</v>
      </c>
      <c r="AI855" s="28">
        <v>0</v>
      </c>
      <c r="AK855" s="36">
        <v>822</v>
      </c>
      <c r="AL855" s="33">
        <v>8</v>
      </c>
      <c r="AM855" s="33">
        <v>4</v>
      </c>
      <c r="AN855" s="33">
        <v>2</v>
      </c>
      <c r="AO855" s="33">
        <v>6</v>
      </c>
      <c r="AP855" s="33">
        <v>0</v>
      </c>
      <c r="AQ855" s="33">
        <v>1</v>
      </c>
      <c r="AR855" s="33">
        <v>3</v>
      </c>
      <c r="AS855" s="33">
        <v>9</v>
      </c>
      <c r="AT855" s="33">
        <v>2</v>
      </c>
      <c r="AU855" s="43">
        <v>3.0405420194373669E-2</v>
      </c>
      <c r="AV855" s="33">
        <v>0</v>
      </c>
      <c r="AW855" s="33">
        <v>0</v>
      </c>
      <c r="AY855" s="36">
        <v>827</v>
      </c>
      <c r="AZ855" s="33">
        <v>1</v>
      </c>
      <c r="BA855" s="33">
        <v>3</v>
      </c>
      <c r="BB855" s="33">
        <v>0</v>
      </c>
      <c r="BC855" s="33">
        <v>1</v>
      </c>
      <c r="BD855" s="43">
        <v>0.12012271365792118</v>
      </c>
      <c r="BE855" s="33">
        <v>0</v>
      </c>
      <c r="BF855" s="33">
        <v>0</v>
      </c>
      <c r="CE855" s="36">
        <v>821</v>
      </c>
      <c r="CF855" s="33">
        <v>11</v>
      </c>
      <c r="CG855" s="33">
        <v>2</v>
      </c>
      <c r="CH855" s="33">
        <v>4</v>
      </c>
      <c r="CI855" s="33">
        <v>3</v>
      </c>
      <c r="CJ855" s="33">
        <v>1</v>
      </c>
      <c r="CK855" s="33">
        <v>0</v>
      </c>
      <c r="CL855" s="33">
        <v>1</v>
      </c>
      <c r="CM855" s="33">
        <v>3</v>
      </c>
      <c r="CN855" s="33">
        <v>5</v>
      </c>
      <c r="CO855" s="33">
        <v>0</v>
      </c>
      <c r="CP855" s="43">
        <v>2.155366945393462E-2</v>
      </c>
      <c r="CQ855" s="33">
        <v>0</v>
      </c>
      <c r="CR855" s="33">
        <v>0</v>
      </c>
    </row>
    <row r="856" spans="1:96" ht="15" customHeight="1" x14ac:dyDescent="0.25">
      <c r="A856" s="26">
        <v>854</v>
      </c>
      <c r="B856" s="27">
        <v>45</v>
      </c>
      <c r="C856" s="27">
        <v>0</v>
      </c>
      <c r="D856" s="27">
        <v>1</v>
      </c>
      <c r="E856" s="27">
        <v>1457</v>
      </c>
      <c r="F856" s="27">
        <v>2</v>
      </c>
      <c r="G856" s="27">
        <v>7</v>
      </c>
      <c r="H856" s="27">
        <v>3</v>
      </c>
      <c r="I856" s="27">
        <v>3</v>
      </c>
      <c r="J856" s="27">
        <v>1</v>
      </c>
      <c r="K856" s="27">
        <v>1195</v>
      </c>
      <c r="L856" s="27">
        <v>1</v>
      </c>
      <c r="M856" s="27">
        <v>0</v>
      </c>
      <c r="N856" s="27">
        <v>83</v>
      </c>
      <c r="O856" s="27">
        <v>3</v>
      </c>
      <c r="P856" s="27">
        <v>1</v>
      </c>
      <c r="Q856" s="27">
        <v>2</v>
      </c>
      <c r="R856" s="27">
        <v>3</v>
      </c>
      <c r="S856" s="27">
        <v>2</v>
      </c>
      <c r="T856" s="27">
        <v>4477</v>
      </c>
      <c r="U856" s="27">
        <v>20100</v>
      </c>
      <c r="V856" s="27">
        <v>4</v>
      </c>
      <c r="W856" s="27">
        <v>1</v>
      </c>
      <c r="X856" s="27">
        <v>19</v>
      </c>
      <c r="Y856" s="27">
        <v>3</v>
      </c>
      <c r="Z856" s="27">
        <v>3</v>
      </c>
      <c r="AA856" s="27">
        <v>80</v>
      </c>
      <c r="AB856" s="27">
        <v>1</v>
      </c>
      <c r="AC856" s="27">
        <v>7</v>
      </c>
      <c r="AD856" s="27">
        <v>2</v>
      </c>
      <c r="AE856" s="27">
        <v>2</v>
      </c>
      <c r="AF856" s="27">
        <v>3</v>
      </c>
      <c r="AG856" s="27">
        <v>2</v>
      </c>
      <c r="AH856" s="27">
        <v>0</v>
      </c>
      <c r="AI856" s="28">
        <v>2</v>
      </c>
      <c r="AK856" s="36">
        <v>823</v>
      </c>
      <c r="AL856" s="33">
        <v>2</v>
      </c>
      <c r="AM856" s="33">
        <v>2</v>
      </c>
      <c r="AN856" s="33">
        <v>3</v>
      </c>
      <c r="AO856" s="33">
        <v>2</v>
      </c>
      <c r="AP856" s="33">
        <v>0</v>
      </c>
      <c r="AQ856" s="33">
        <v>0</v>
      </c>
      <c r="AR856" s="33">
        <v>2</v>
      </c>
      <c r="AS856" s="33">
        <v>3</v>
      </c>
      <c r="AT856" s="33">
        <v>0</v>
      </c>
      <c r="AU856" s="43">
        <v>0.10126102534272653</v>
      </c>
      <c r="AV856" s="33">
        <v>0</v>
      </c>
      <c r="AW856" s="33">
        <v>0</v>
      </c>
      <c r="AY856" s="36">
        <v>828</v>
      </c>
      <c r="AZ856" s="33">
        <v>1</v>
      </c>
      <c r="BA856" s="33">
        <v>3</v>
      </c>
      <c r="BB856" s="33">
        <v>1</v>
      </c>
      <c r="BC856" s="33">
        <v>1</v>
      </c>
      <c r="BD856" s="43">
        <v>0.36852652578740397</v>
      </c>
      <c r="BE856" s="33">
        <v>0</v>
      </c>
      <c r="BF856" s="33">
        <v>0</v>
      </c>
      <c r="CE856" s="36">
        <v>822</v>
      </c>
      <c r="CF856" s="33">
        <v>8</v>
      </c>
      <c r="CG856" s="33">
        <v>4</v>
      </c>
      <c r="CH856" s="33">
        <v>2</v>
      </c>
      <c r="CI856" s="33">
        <v>2</v>
      </c>
      <c r="CJ856" s="33">
        <v>6</v>
      </c>
      <c r="CK856" s="33">
        <v>0</v>
      </c>
      <c r="CL856" s="33">
        <v>1</v>
      </c>
      <c r="CM856" s="33">
        <v>3</v>
      </c>
      <c r="CN856" s="33">
        <v>9</v>
      </c>
      <c r="CO856" s="33">
        <v>2</v>
      </c>
      <c r="CP856" s="43">
        <v>3.0733449145836145E-2</v>
      </c>
      <c r="CQ856" s="33">
        <v>0</v>
      </c>
      <c r="CR856" s="33">
        <v>0</v>
      </c>
    </row>
    <row r="857" spans="1:96" ht="15" customHeight="1" x14ac:dyDescent="0.25">
      <c r="A857" s="26">
        <v>855</v>
      </c>
      <c r="B857" s="27">
        <v>37</v>
      </c>
      <c r="C857" s="27">
        <v>0</v>
      </c>
      <c r="D857" s="27">
        <v>1</v>
      </c>
      <c r="E857" s="27">
        <v>977</v>
      </c>
      <c r="F857" s="27">
        <v>2</v>
      </c>
      <c r="G857" s="27">
        <v>1</v>
      </c>
      <c r="H857" s="27">
        <v>3</v>
      </c>
      <c r="I857" s="27">
        <v>1</v>
      </c>
      <c r="J857" s="27">
        <v>1</v>
      </c>
      <c r="K857" s="27">
        <v>1196</v>
      </c>
      <c r="L857" s="27">
        <v>4</v>
      </c>
      <c r="M857" s="27">
        <v>0</v>
      </c>
      <c r="N857" s="27">
        <v>56</v>
      </c>
      <c r="O857" s="27">
        <v>2</v>
      </c>
      <c r="P857" s="27">
        <v>2</v>
      </c>
      <c r="Q857" s="27">
        <v>4</v>
      </c>
      <c r="R857" s="27">
        <v>4</v>
      </c>
      <c r="S857" s="27">
        <v>2</v>
      </c>
      <c r="T857" s="27">
        <v>6474</v>
      </c>
      <c r="U857" s="27">
        <v>9961</v>
      </c>
      <c r="V857" s="27">
        <v>1</v>
      </c>
      <c r="W857" s="27">
        <v>0</v>
      </c>
      <c r="X857" s="27">
        <v>13</v>
      </c>
      <c r="Y857" s="27">
        <v>3</v>
      </c>
      <c r="Z857" s="27">
        <v>2</v>
      </c>
      <c r="AA857" s="27">
        <v>80</v>
      </c>
      <c r="AB857" s="27">
        <v>1</v>
      </c>
      <c r="AC857" s="27">
        <v>14</v>
      </c>
      <c r="AD857" s="27">
        <v>2</v>
      </c>
      <c r="AE857" s="27">
        <v>2</v>
      </c>
      <c r="AF857" s="27">
        <v>14</v>
      </c>
      <c r="AG857" s="27">
        <v>8</v>
      </c>
      <c r="AH857" s="27">
        <v>3</v>
      </c>
      <c r="AI857" s="28">
        <v>11</v>
      </c>
      <c r="AK857" s="36">
        <v>824</v>
      </c>
      <c r="AL857" s="33">
        <v>10</v>
      </c>
      <c r="AM857" s="33">
        <v>1</v>
      </c>
      <c r="AN857" s="33">
        <v>2</v>
      </c>
      <c r="AO857" s="33">
        <v>0</v>
      </c>
      <c r="AP857" s="33">
        <v>0</v>
      </c>
      <c r="AQ857" s="33">
        <v>2</v>
      </c>
      <c r="AR857" s="33">
        <v>2</v>
      </c>
      <c r="AS857" s="33">
        <v>7</v>
      </c>
      <c r="AT857" s="33">
        <v>1</v>
      </c>
      <c r="AU857" s="43">
        <v>7.2568690258572474E-2</v>
      </c>
      <c r="AV857" s="33">
        <v>0</v>
      </c>
      <c r="AW857" s="33">
        <v>0</v>
      </c>
      <c r="AY857" s="36">
        <v>829</v>
      </c>
      <c r="AZ857" s="33">
        <v>1</v>
      </c>
      <c r="BA857" s="33">
        <v>3</v>
      </c>
      <c r="BB857" s="33">
        <v>0</v>
      </c>
      <c r="BC857" s="33">
        <v>0</v>
      </c>
      <c r="BD857" s="43">
        <v>0.18791247240909698</v>
      </c>
      <c r="BE857" s="33">
        <v>0</v>
      </c>
      <c r="BF857" s="33">
        <v>1</v>
      </c>
      <c r="CE857" s="36">
        <v>823</v>
      </c>
      <c r="CF857" s="33">
        <v>2</v>
      </c>
      <c r="CG857" s="33">
        <v>2</v>
      </c>
      <c r="CH857" s="33">
        <v>3</v>
      </c>
      <c r="CI857" s="33">
        <v>1</v>
      </c>
      <c r="CJ857" s="33">
        <v>2</v>
      </c>
      <c r="CK857" s="33">
        <v>0</v>
      </c>
      <c r="CL857" s="33">
        <v>0</v>
      </c>
      <c r="CM857" s="33">
        <v>2</v>
      </c>
      <c r="CN857" s="33">
        <v>3</v>
      </c>
      <c r="CO857" s="33">
        <v>0</v>
      </c>
      <c r="CP857" s="43">
        <v>0.11984882109910784</v>
      </c>
      <c r="CQ857" s="33">
        <v>0</v>
      </c>
      <c r="CR857" s="33">
        <v>0</v>
      </c>
    </row>
    <row r="858" spans="1:96" ht="15" customHeight="1" x14ac:dyDescent="0.25">
      <c r="A858" s="26">
        <v>856</v>
      </c>
      <c r="B858" s="27">
        <v>20</v>
      </c>
      <c r="C858" s="27">
        <v>0</v>
      </c>
      <c r="D858" s="27">
        <v>1</v>
      </c>
      <c r="E858" s="27">
        <v>805</v>
      </c>
      <c r="F858" s="27">
        <v>2</v>
      </c>
      <c r="G858" s="27">
        <v>3</v>
      </c>
      <c r="H858" s="27">
        <v>3</v>
      </c>
      <c r="I858" s="27">
        <v>1</v>
      </c>
      <c r="J858" s="27">
        <v>1</v>
      </c>
      <c r="K858" s="27">
        <v>1198</v>
      </c>
      <c r="L858" s="27">
        <v>1</v>
      </c>
      <c r="M858" s="27">
        <v>1</v>
      </c>
      <c r="N858" s="27">
        <v>87</v>
      </c>
      <c r="O858" s="27">
        <v>2</v>
      </c>
      <c r="P858" s="27">
        <v>1</v>
      </c>
      <c r="Q858" s="27">
        <v>3</v>
      </c>
      <c r="R858" s="27">
        <v>3</v>
      </c>
      <c r="S858" s="27">
        <v>1</v>
      </c>
      <c r="T858" s="27">
        <v>3033</v>
      </c>
      <c r="U858" s="27">
        <v>12828</v>
      </c>
      <c r="V858" s="27">
        <v>1</v>
      </c>
      <c r="W858" s="27">
        <v>0</v>
      </c>
      <c r="X858" s="27">
        <v>12</v>
      </c>
      <c r="Y858" s="27">
        <v>3</v>
      </c>
      <c r="Z858" s="27">
        <v>1</v>
      </c>
      <c r="AA858" s="27">
        <v>80</v>
      </c>
      <c r="AB858" s="27">
        <v>0</v>
      </c>
      <c r="AC858" s="27">
        <v>2</v>
      </c>
      <c r="AD858" s="27">
        <v>2</v>
      </c>
      <c r="AE858" s="27">
        <v>2</v>
      </c>
      <c r="AF858" s="27">
        <v>2</v>
      </c>
      <c r="AG858" s="27">
        <v>2</v>
      </c>
      <c r="AH858" s="27">
        <v>1</v>
      </c>
      <c r="AI858" s="28">
        <v>2</v>
      </c>
      <c r="AK858" s="36">
        <v>825</v>
      </c>
      <c r="AL858" s="33">
        <v>29</v>
      </c>
      <c r="AM858" s="33">
        <v>2</v>
      </c>
      <c r="AN858" s="33">
        <v>4</v>
      </c>
      <c r="AO858" s="33">
        <v>4</v>
      </c>
      <c r="AP858" s="33">
        <v>0</v>
      </c>
      <c r="AQ858" s="33">
        <v>0</v>
      </c>
      <c r="AR858" s="33">
        <v>3</v>
      </c>
      <c r="AS858" s="33">
        <v>1</v>
      </c>
      <c r="AT858" s="33">
        <v>0</v>
      </c>
      <c r="AU858" s="43">
        <v>0.18429848410246139</v>
      </c>
      <c r="AV858" s="33">
        <v>0</v>
      </c>
      <c r="AW858" s="33">
        <v>0</v>
      </c>
      <c r="AY858" s="36">
        <v>830</v>
      </c>
      <c r="AZ858" s="33">
        <v>2</v>
      </c>
      <c r="BA858" s="33">
        <v>1</v>
      </c>
      <c r="BB858" s="33">
        <v>1</v>
      </c>
      <c r="BC858" s="33">
        <v>0</v>
      </c>
      <c r="BD858" s="43">
        <v>0.50385917417366921</v>
      </c>
      <c r="BE858" s="33">
        <v>1</v>
      </c>
      <c r="BF858" s="33">
        <v>1</v>
      </c>
      <c r="CE858" s="36">
        <v>824</v>
      </c>
      <c r="CF858" s="33">
        <v>10</v>
      </c>
      <c r="CG858" s="33">
        <v>1</v>
      </c>
      <c r="CH858" s="33">
        <v>2</v>
      </c>
      <c r="CI858" s="33">
        <v>3</v>
      </c>
      <c r="CJ858" s="33">
        <v>0</v>
      </c>
      <c r="CK858" s="33">
        <v>0</v>
      </c>
      <c r="CL858" s="33">
        <v>2</v>
      </c>
      <c r="CM858" s="33">
        <v>2</v>
      </c>
      <c r="CN858" s="33">
        <v>7</v>
      </c>
      <c r="CO858" s="33">
        <v>1</v>
      </c>
      <c r="CP858" s="43">
        <v>5.8602722258452679E-2</v>
      </c>
      <c r="CQ858" s="33">
        <v>0</v>
      </c>
      <c r="CR858" s="33">
        <v>0</v>
      </c>
    </row>
    <row r="859" spans="1:96" ht="15" customHeight="1" x14ac:dyDescent="0.25">
      <c r="A859" s="26">
        <v>857</v>
      </c>
      <c r="B859" s="27">
        <v>44</v>
      </c>
      <c r="C859" s="27">
        <v>1</v>
      </c>
      <c r="D859" s="27">
        <v>1</v>
      </c>
      <c r="E859" s="27">
        <v>1097</v>
      </c>
      <c r="F859" s="27">
        <v>2</v>
      </c>
      <c r="G859" s="27">
        <v>10</v>
      </c>
      <c r="H859" s="27">
        <v>4</v>
      </c>
      <c r="I859" s="27">
        <v>1</v>
      </c>
      <c r="J859" s="27">
        <v>1</v>
      </c>
      <c r="K859" s="27">
        <v>1200</v>
      </c>
      <c r="L859" s="27">
        <v>3</v>
      </c>
      <c r="M859" s="27">
        <v>1</v>
      </c>
      <c r="N859" s="27">
        <v>96</v>
      </c>
      <c r="O859" s="27">
        <v>3</v>
      </c>
      <c r="P859" s="27">
        <v>1</v>
      </c>
      <c r="Q859" s="27">
        <v>2</v>
      </c>
      <c r="R859" s="27">
        <v>3</v>
      </c>
      <c r="S859" s="27">
        <v>1</v>
      </c>
      <c r="T859" s="27">
        <v>2936</v>
      </c>
      <c r="U859" s="27">
        <v>10826</v>
      </c>
      <c r="V859" s="27">
        <v>1</v>
      </c>
      <c r="W859" s="27">
        <v>1</v>
      </c>
      <c r="X859" s="27">
        <v>11</v>
      </c>
      <c r="Y859" s="27">
        <v>3</v>
      </c>
      <c r="Z859" s="27">
        <v>3</v>
      </c>
      <c r="AA859" s="27">
        <v>80</v>
      </c>
      <c r="AB859" s="27">
        <v>0</v>
      </c>
      <c r="AC859" s="27">
        <v>6</v>
      </c>
      <c r="AD859" s="27">
        <v>4</v>
      </c>
      <c r="AE859" s="27">
        <v>3</v>
      </c>
      <c r="AF859" s="27">
        <v>6</v>
      </c>
      <c r="AG859" s="27">
        <v>4</v>
      </c>
      <c r="AH859" s="27">
        <v>0</v>
      </c>
      <c r="AI859" s="28">
        <v>2</v>
      </c>
      <c r="AK859" s="36">
        <v>826</v>
      </c>
      <c r="AL859" s="33">
        <v>8</v>
      </c>
      <c r="AM859" s="33">
        <v>2</v>
      </c>
      <c r="AN859" s="33">
        <v>4</v>
      </c>
      <c r="AO859" s="33">
        <v>1</v>
      </c>
      <c r="AP859" s="33">
        <v>1</v>
      </c>
      <c r="AQ859" s="33">
        <v>1</v>
      </c>
      <c r="AR859" s="33">
        <v>2</v>
      </c>
      <c r="AS859" s="33">
        <v>10</v>
      </c>
      <c r="AT859" s="33">
        <v>1</v>
      </c>
      <c r="AU859" s="43">
        <v>0.13696691888451812</v>
      </c>
      <c r="AV859" s="33">
        <v>0</v>
      </c>
      <c r="AW859" s="33">
        <v>0</v>
      </c>
      <c r="AY859" s="36">
        <v>831</v>
      </c>
      <c r="AZ859" s="33">
        <v>1</v>
      </c>
      <c r="BA859" s="33">
        <v>4</v>
      </c>
      <c r="BB859" s="33">
        <v>1</v>
      </c>
      <c r="BC859" s="33">
        <v>1</v>
      </c>
      <c r="BD859" s="43">
        <v>0.30345027699196836</v>
      </c>
      <c r="BE859" s="33">
        <v>0</v>
      </c>
      <c r="BF859" s="33">
        <v>0</v>
      </c>
      <c r="CE859" s="36">
        <v>825</v>
      </c>
      <c r="CF859" s="33">
        <v>29</v>
      </c>
      <c r="CG859" s="33">
        <v>2</v>
      </c>
      <c r="CH859" s="33">
        <v>4</v>
      </c>
      <c r="CI859" s="33">
        <v>1</v>
      </c>
      <c r="CJ859" s="33">
        <v>4</v>
      </c>
      <c r="CK859" s="33">
        <v>0</v>
      </c>
      <c r="CL859" s="33">
        <v>0</v>
      </c>
      <c r="CM859" s="33">
        <v>3</v>
      </c>
      <c r="CN859" s="33">
        <v>1</v>
      </c>
      <c r="CO859" s="33">
        <v>0</v>
      </c>
      <c r="CP859" s="43">
        <v>0.20799395056589823</v>
      </c>
      <c r="CQ859" s="33">
        <v>0</v>
      </c>
      <c r="CR859" s="33">
        <v>0</v>
      </c>
    </row>
    <row r="860" spans="1:96" ht="15" customHeight="1" x14ac:dyDescent="0.25">
      <c r="A860" s="26">
        <v>858</v>
      </c>
      <c r="B860" s="27">
        <v>53</v>
      </c>
      <c r="C860" s="27">
        <v>0</v>
      </c>
      <c r="D860" s="27">
        <v>1</v>
      </c>
      <c r="E860" s="27">
        <v>1223</v>
      </c>
      <c r="F860" s="27">
        <v>2</v>
      </c>
      <c r="G860" s="27">
        <v>7</v>
      </c>
      <c r="H860" s="27">
        <v>2</v>
      </c>
      <c r="I860" s="27">
        <v>3</v>
      </c>
      <c r="J860" s="27">
        <v>1</v>
      </c>
      <c r="K860" s="27">
        <v>1201</v>
      </c>
      <c r="L860" s="27">
        <v>4</v>
      </c>
      <c r="M860" s="27">
        <v>0</v>
      </c>
      <c r="N860" s="27">
        <v>50</v>
      </c>
      <c r="O860" s="27">
        <v>3</v>
      </c>
      <c r="P860" s="27">
        <v>5</v>
      </c>
      <c r="Q860" s="27">
        <v>6</v>
      </c>
      <c r="R860" s="27">
        <v>3</v>
      </c>
      <c r="S860" s="27">
        <v>3</v>
      </c>
      <c r="T860" s="27">
        <v>18606</v>
      </c>
      <c r="U860" s="27">
        <v>18640</v>
      </c>
      <c r="V860" s="27">
        <v>3</v>
      </c>
      <c r="W860" s="27">
        <v>0</v>
      </c>
      <c r="X860" s="27">
        <v>18</v>
      </c>
      <c r="Y860" s="27">
        <v>3</v>
      </c>
      <c r="Z860" s="27">
        <v>2</v>
      </c>
      <c r="AA860" s="27">
        <v>80</v>
      </c>
      <c r="AB860" s="27">
        <v>1</v>
      </c>
      <c r="AC860" s="27">
        <v>26</v>
      </c>
      <c r="AD860" s="27">
        <v>6</v>
      </c>
      <c r="AE860" s="27">
        <v>3</v>
      </c>
      <c r="AF860" s="27">
        <v>7</v>
      </c>
      <c r="AG860" s="27">
        <v>7</v>
      </c>
      <c r="AH860" s="27">
        <v>4</v>
      </c>
      <c r="AI860" s="28">
        <v>7</v>
      </c>
      <c r="AK860" s="36">
        <v>827</v>
      </c>
      <c r="AL860" s="33">
        <v>1</v>
      </c>
      <c r="AM860" s="33">
        <v>1</v>
      </c>
      <c r="AN860" s="33">
        <v>3</v>
      </c>
      <c r="AO860" s="33">
        <v>1</v>
      </c>
      <c r="AP860" s="33">
        <v>0</v>
      </c>
      <c r="AQ860" s="33">
        <v>1</v>
      </c>
      <c r="AR860" s="33">
        <v>4</v>
      </c>
      <c r="AS860" s="33">
        <v>7</v>
      </c>
      <c r="AT860" s="33">
        <v>5</v>
      </c>
      <c r="AU860" s="43">
        <v>7.5633951815777214E-2</v>
      </c>
      <c r="AV860" s="33">
        <v>0</v>
      </c>
      <c r="AW860" s="33">
        <v>0</v>
      </c>
      <c r="AY860" s="36">
        <v>832</v>
      </c>
      <c r="AZ860" s="33">
        <v>1</v>
      </c>
      <c r="BA860" s="33">
        <v>3</v>
      </c>
      <c r="BB860" s="33">
        <v>0</v>
      </c>
      <c r="BC860" s="33">
        <v>1</v>
      </c>
      <c r="BD860" s="43">
        <v>0.12012271365792118</v>
      </c>
      <c r="BE860" s="33">
        <v>0</v>
      </c>
      <c r="BF860" s="33">
        <v>1</v>
      </c>
      <c r="CE860" s="36">
        <v>826</v>
      </c>
      <c r="CF860" s="33">
        <v>8</v>
      </c>
      <c r="CG860" s="33">
        <v>2</v>
      </c>
      <c r="CH860" s="33">
        <v>4</v>
      </c>
      <c r="CI860" s="33">
        <v>2</v>
      </c>
      <c r="CJ860" s="33">
        <v>1</v>
      </c>
      <c r="CK860" s="33">
        <v>1</v>
      </c>
      <c r="CL860" s="33">
        <v>1</v>
      </c>
      <c r="CM860" s="33">
        <v>2</v>
      </c>
      <c r="CN860" s="33">
        <v>10</v>
      </c>
      <c r="CO860" s="33">
        <v>1</v>
      </c>
      <c r="CP860" s="43">
        <v>0.13662728953511705</v>
      </c>
      <c r="CQ860" s="33">
        <v>0</v>
      </c>
      <c r="CR860" s="33">
        <v>0</v>
      </c>
    </row>
    <row r="861" spans="1:96" ht="15" customHeight="1" x14ac:dyDescent="0.25">
      <c r="A861" s="26">
        <v>859</v>
      </c>
      <c r="B861" s="27">
        <v>29</v>
      </c>
      <c r="C861" s="27">
        <v>0</v>
      </c>
      <c r="D861" s="27">
        <v>1</v>
      </c>
      <c r="E861" s="27">
        <v>942</v>
      </c>
      <c r="F861" s="27">
        <v>2</v>
      </c>
      <c r="G861" s="27">
        <v>15</v>
      </c>
      <c r="H861" s="27">
        <v>1</v>
      </c>
      <c r="I861" s="27">
        <v>1</v>
      </c>
      <c r="J861" s="27">
        <v>1</v>
      </c>
      <c r="K861" s="27">
        <v>1202</v>
      </c>
      <c r="L861" s="27">
        <v>2</v>
      </c>
      <c r="M861" s="27">
        <v>0</v>
      </c>
      <c r="N861" s="27">
        <v>69</v>
      </c>
      <c r="O861" s="27">
        <v>1</v>
      </c>
      <c r="P861" s="27">
        <v>1</v>
      </c>
      <c r="Q861" s="27">
        <v>2</v>
      </c>
      <c r="R861" s="27">
        <v>4</v>
      </c>
      <c r="S861" s="27">
        <v>2</v>
      </c>
      <c r="T861" s="27">
        <v>2168</v>
      </c>
      <c r="U861" s="27">
        <v>26933</v>
      </c>
      <c r="V861" s="27">
        <v>0</v>
      </c>
      <c r="W861" s="27">
        <v>1</v>
      </c>
      <c r="X861" s="27">
        <v>18</v>
      </c>
      <c r="Y861" s="27">
        <v>3</v>
      </c>
      <c r="Z861" s="27">
        <v>1</v>
      </c>
      <c r="AA861" s="27">
        <v>80</v>
      </c>
      <c r="AB861" s="27">
        <v>1</v>
      </c>
      <c r="AC861" s="27">
        <v>6</v>
      </c>
      <c r="AD861" s="27">
        <v>2</v>
      </c>
      <c r="AE861" s="27">
        <v>2</v>
      </c>
      <c r="AF861" s="27">
        <v>5</v>
      </c>
      <c r="AG861" s="27">
        <v>4</v>
      </c>
      <c r="AH861" s="27">
        <v>1</v>
      </c>
      <c r="AI861" s="28">
        <v>3</v>
      </c>
      <c r="AK861" s="36">
        <v>828</v>
      </c>
      <c r="AL861" s="33">
        <v>6</v>
      </c>
      <c r="AM861" s="33">
        <v>1</v>
      </c>
      <c r="AN861" s="33">
        <v>3</v>
      </c>
      <c r="AO861" s="33">
        <v>1</v>
      </c>
      <c r="AP861" s="33">
        <v>1</v>
      </c>
      <c r="AQ861" s="33">
        <v>1</v>
      </c>
      <c r="AR861" s="33">
        <v>3</v>
      </c>
      <c r="AS861" s="33">
        <v>3</v>
      </c>
      <c r="AT861" s="33">
        <v>0</v>
      </c>
      <c r="AU861" s="43">
        <v>0.2879161381519556</v>
      </c>
      <c r="AV861" s="33">
        <v>0</v>
      </c>
      <c r="AW861" s="33">
        <v>0</v>
      </c>
      <c r="AY861" s="36">
        <v>833</v>
      </c>
      <c r="AZ861" s="33">
        <v>2</v>
      </c>
      <c r="BA861" s="33">
        <v>4</v>
      </c>
      <c r="BB861" s="33">
        <v>0</v>
      </c>
      <c r="BC861" s="33">
        <v>2</v>
      </c>
      <c r="BD861" s="43">
        <v>3.3256067423154199E-2</v>
      </c>
      <c r="BE861" s="33">
        <v>0</v>
      </c>
      <c r="BF861" s="33">
        <v>0</v>
      </c>
      <c r="CE861" s="36">
        <v>827</v>
      </c>
      <c r="CF861" s="33">
        <v>1</v>
      </c>
      <c r="CG861" s="33">
        <v>1</v>
      </c>
      <c r="CH861" s="33">
        <v>3</v>
      </c>
      <c r="CI861" s="33">
        <v>2</v>
      </c>
      <c r="CJ861" s="33">
        <v>1</v>
      </c>
      <c r="CK861" s="33">
        <v>0</v>
      </c>
      <c r="CL861" s="33">
        <v>1</v>
      </c>
      <c r="CM861" s="33">
        <v>4</v>
      </c>
      <c r="CN861" s="33">
        <v>7</v>
      </c>
      <c r="CO861" s="33">
        <v>5</v>
      </c>
      <c r="CP861" s="43">
        <v>7.2015863044598699E-2</v>
      </c>
      <c r="CQ861" s="33">
        <v>0</v>
      </c>
      <c r="CR861" s="33">
        <v>0</v>
      </c>
    </row>
    <row r="862" spans="1:96" ht="15" customHeight="1" x14ac:dyDescent="0.25">
      <c r="A862" s="26">
        <v>860</v>
      </c>
      <c r="B862" s="27">
        <v>22</v>
      </c>
      <c r="C862" s="27">
        <v>1</v>
      </c>
      <c r="D862" s="27">
        <v>2</v>
      </c>
      <c r="E862" s="27">
        <v>1256</v>
      </c>
      <c r="F862" s="27">
        <v>2</v>
      </c>
      <c r="G862" s="27">
        <v>3</v>
      </c>
      <c r="H862" s="27">
        <v>4</v>
      </c>
      <c r="I862" s="27">
        <v>1</v>
      </c>
      <c r="J862" s="27">
        <v>1</v>
      </c>
      <c r="K862" s="27">
        <v>1203</v>
      </c>
      <c r="L862" s="27">
        <v>3</v>
      </c>
      <c r="M862" s="27">
        <v>1</v>
      </c>
      <c r="N862" s="27">
        <v>48</v>
      </c>
      <c r="O862" s="27">
        <v>2</v>
      </c>
      <c r="P862" s="27">
        <v>1</v>
      </c>
      <c r="Q862" s="27">
        <v>2</v>
      </c>
      <c r="R862" s="27">
        <v>4</v>
      </c>
      <c r="S862" s="27">
        <v>2</v>
      </c>
      <c r="T862" s="27">
        <v>2853</v>
      </c>
      <c r="U862" s="27">
        <v>4223</v>
      </c>
      <c r="V862" s="27">
        <v>0</v>
      </c>
      <c r="W862" s="27">
        <v>1</v>
      </c>
      <c r="X862" s="27">
        <v>11</v>
      </c>
      <c r="Y862" s="27">
        <v>3</v>
      </c>
      <c r="Z862" s="27">
        <v>2</v>
      </c>
      <c r="AA862" s="27">
        <v>80</v>
      </c>
      <c r="AB862" s="27">
        <v>1</v>
      </c>
      <c r="AC862" s="27">
        <v>1</v>
      </c>
      <c r="AD862" s="27">
        <v>5</v>
      </c>
      <c r="AE862" s="27">
        <v>3</v>
      </c>
      <c r="AF862" s="27">
        <v>0</v>
      </c>
      <c r="AG862" s="27">
        <v>0</v>
      </c>
      <c r="AH862" s="27">
        <v>0</v>
      </c>
      <c r="AI862" s="28">
        <v>0</v>
      </c>
      <c r="AK862" s="36">
        <v>829</v>
      </c>
      <c r="AL862" s="33">
        <v>8</v>
      </c>
      <c r="AM862" s="33">
        <v>1</v>
      </c>
      <c r="AN862" s="33">
        <v>3</v>
      </c>
      <c r="AO862" s="33">
        <v>1</v>
      </c>
      <c r="AP862" s="33">
        <v>0</v>
      </c>
      <c r="AQ862" s="33">
        <v>0</v>
      </c>
      <c r="AR862" s="33">
        <v>3</v>
      </c>
      <c r="AS862" s="33">
        <v>0</v>
      </c>
      <c r="AT862" s="33">
        <v>0</v>
      </c>
      <c r="AU862" s="43">
        <v>0.17797915197773218</v>
      </c>
      <c r="AV862" s="33">
        <v>0</v>
      </c>
      <c r="AW862" s="33">
        <v>1</v>
      </c>
      <c r="AY862" s="36">
        <v>834</v>
      </c>
      <c r="AZ862" s="33">
        <v>1</v>
      </c>
      <c r="BA862" s="33">
        <v>3</v>
      </c>
      <c r="BB862" s="33">
        <v>0</v>
      </c>
      <c r="BC862" s="33">
        <v>1</v>
      </c>
      <c r="BD862" s="43">
        <v>0.12012271365792118</v>
      </c>
      <c r="BE862" s="33">
        <v>0</v>
      </c>
      <c r="BF862" s="33">
        <v>0</v>
      </c>
      <c r="CE862" s="36">
        <v>828</v>
      </c>
      <c r="CF862" s="33">
        <v>6</v>
      </c>
      <c r="CG862" s="33">
        <v>1</v>
      </c>
      <c r="CH862" s="33">
        <v>3</v>
      </c>
      <c r="CI862" s="33">
        <v>3</v>
      </c>
      <c r="CJ862" s="33">
        <v>1</v>
      </c>
      <c r="CK862" s="33">
        <v>1</v>
      </c>
      <c r="CL862" s="33">
        <v>1</v>
      </c>
      <c r="CM862" s="33">
        <v>3</v>
      </c>
      <c r="CN862" s="33">
        <v>3</v>
      </c>
      <c r="CO862" s="33">
        <v>0</v>
      </c>
      <c r="CP862" s="43">
        <v>0.18684636129986582</v>
      </c>
      <c r="CQ862" s="33">
        <v>0</v>
      </c>
      <c r="CR862" s="33">
        <v>0</v>
      </c>
    </row>
    <row r="863" spans="1:96" ht="15" customHeight="1" x14ac:dyDescent="0.25">
      <c r="A863" s="26">
        <v>861</v>
      </c>
      <c r="B863" s="27">
        <v>46</v>
      </c>
      <c r="C863" s="27">
        <v>0</v>
      </c>
      <c r="D863" s="27">
        <v>1</v>
      </c>
      <c r="E863" s="27">
        <v>1402</v>
      </c>
      <c r="F863" s="27">
        <v>1</v>
      </c>
      <c r="G863" s="27">
        <v>2</v>
      </c>
      <c r="H863" s="27">
        <v>3</v>
      </c>
      <c r="I863" s="27">
        <v>4</v>
      </c>
      <c r="J863" s="27">
        <v>1</v>
      </c>
      <c r="K863" s="27">
        <v>1204</v>
      </c>
      <c r="L863" s="27">
        <v>3</v>
      </c>
      <c r="M863" s="27">
        <v>0</v>
      </c>
      <c r="N863" s="27">
        <v>69</v>
      </c>
      <c r="O863" s="27">
        <v>3</v>
      </c>
      <c r="P863" s="27">
        <v>4</v>
      </c>
      <c r="Q863" s="27">
        <v>6</v>
      </c>
      <c r="R863" s="27">
        <v>1</v>
      </c>
      <c r="S863" s="27">
        <v>2</v>
      </c>
      <c r="T863" s="27">
        <v>17048</v>
      </c>
      <c r="U863" s="27">
        <v>24097</v>
      </c>
      <c r="V863" s="27">
        <v>8</v>
      </c>
      <c r="W863" s="27">
        <v>0</v>
      </c>
      <c r="X863" s="27">
        <v>23</v>
      </c>
      <c r="Y863" s="27">
        <v>4</v>
      </c>
      <c r="Z863" s="27">
        <v>1</v>
      </c>
      <c r="AA863" s="27">
        <v>80</v>
      </c>
      <c r="AB863" s="27">
        <v>0</v>
      </c>
      <c r="AC863" s="27">
        <v>28</v>
      </c>
      <c r="AD863" s="27">
        <v>2</v>
      </c>
      <c r="AE863" s="27">
        <v>3</v>
      </c>
      <c r="AF863" s="27">
        <v>26</v>
      </c>
      <c r="AG863" s="27">
        <v>15</v>
      </c>
      <c r="AH863" s="27">
        <v>15</v>
      </c>
      <c r="AI863" s="28">
        <v>9</v>
      </c>
      <c r="AK863" s="36">
        <v>830</v>
      </c>
      <c r="AL863" s="33">
        <v>9</v>
      </c>
      <c r="AM863" s="33">
        <v>2</v>
      </c>
      <c r="AN863" s="33">
        <v>1</v>
      </c>
      <c r="AO863" s="33">
        <v>0</v>
      </c>
      <c r="AP863" s="33">
        <v>1</v>
      </c>
      <c r="AQ863" s="33">
        <v>0</v>
      </c>
      <c r="AR863" s="33">
        <v>3</v>
      </c>
      <c r="AS863" s="33">
        <v>5</v>
      </c>
      <c r="AT863" s="33">
        <v>0</v>
      </c>
      <c r="AU863" s="43">
        <v>0.3933572814212084</v>
      </c>
      <c r="AV863" s="33">
        <v>0</v>
      </c>
      <c r="AW863" s="33">
        <v>1</v>
      </c>
      <c r="AY863" s="36">
        <v>835</v>
      </c>
      <c r="AZ863" s="33">
        <v>2</v>
      </c>
      <c r="BA863" s="33">
        <v>3</v>
      </c>
      <c r="BB863" s="33">
        <v>0</v>
      </c>
      <c r="BC863" s="33">
        <v>0</v>
      </c>
      <c r="BD863" s="43">
        <v>0.11690772887050198</v>
      </c>
      <c r="BE863" s="33">
        <v>0</v>
      </c>
      <c r="BF863" s="33">
        <v>0</v>
      </c>
      <c r="CE863" s="36">
        <v>829</v>
      </c>
      <c r="CF863" s="33">
        <v>8</v>
      </c>
      <c r="CG863" s="33">
        <v>1</v>
      </c>
      <c r="CH863" s="33">
        <v>3</v>
      </c>
      <c r="CI863" s="33">
        <v>1</v>
      </c>
      <c r="CJ863" s="33">
        <v>1</v>
      </c>
      <c r="CK863" s="33">
        <v>0</v>
      </c>
      <c r="CL863" s="33">
        <v>0</v>
      </c>
      <c r="CM863" s="33">
        <v>3</v>
      </c>
      <c r="CN863" s="33">
        <v>0</v>
      </c>
      <c r="CO863" s="33">
        <v>0</v>
      </c>
      <c r="CP863" s="43">
        <v>0.2025963020864425</v>
      </c>
      <c r="CQ863" s="33">
        <v>0</v>
      </c>
      <c r="CR863" s="33">
        <v>1</v>
      </c>
    </row>
    <row r="864" spans="1:96" ht="15" customHeight="1" x14ac:dyDescent="0.25">
      <c r="A864" s="26">
        <v>862</v>
      </c>
      <c r="B864" s="27">
        <v>44</v>
      </c>
      <c r="C864" s="27">
        <v>0</v>
      </c>
      <c r="D864" s="27">
        <v>3</v>
      </c>
      <c r="E864" s="27">
        <v>111</v>
      </c>
      <c r="F864" s="27">
        <v>2</v>
      </c>
      <c r="G864" s="27">
        <v>17</v>
      </c>
      <c r="H864" s="27">
        <v>3</v>
      </c>
      <c r="I864" s="27">
        <v>1</v>
      </c>
      <c r="J864" s="27">
        <v>1</v>
      </c>
      <c r="K864" s="27">
        <v>1206</v>
      </c>
      <c r="L864" s="27">
        <v>4</v>
      </c>
      <c r="M864" s="27">
        <v>1</v>
      </c>
      <c r="N864" s="27">
        <v>74</v>
      </c>
      <c r="O864" s="27">
        <v>1</v>
      </c>
      <c r="P864" s="27">
        <v>1</v>
      </c>
      <c r="Q864" s="27">
        <v>2</v>
      </c>
      <c r="R864" s="27">
        <v>3</v>
      </c>
      <c r="S864" s="27">
        <v>1</v>
      </c>
      <c r="T864" s="27">
        <v>2290</v>
      </c>
      <c r="U864" s="27">
        <v>4279</v>
      </c>
      <c r="V864" s="27">
        <v>2</v>
      </c>
      <c r="W864" s="27">
        <v>0</v>
      </c>
      <c r="X864" s="27">
        <v>13</v>
      </c>
      <c r="Y864" s="27">
        <v>3</v>
      </c>
      <c r="Z864" s="27">
        <v>4</v>
      </c>
      <c r="AA864" s="27">
        <v>80</v>
      </c>
      <c r="AB864" s="27">
        <v>0</v>
      </c>
      <c r="AC864" s="27">
        <v>6</v>
      </c>
      <c r="AD864" s="27">
        <v>3</v>
      </c>
      <c r="AE864" s="27">
        <v>3</v>
      </c>
      <c r="AF864" s="27">
        <v>0</v>
      </c>
      <c r="AG864" s="27">
        <v>0</v>
      </c>
      <c r="AH864" s="27">
        <v>0</v>
      </c>
      <c r="AI864" s="28">
        <v>0</v>
      </c>
      <c r="AK864" s="36">
        <v>831</v>
      </c>
      <c r="AL864" s="33">
        <v>12</v>
      </c>
      <c r="AM864" s="33">
        <v>1</v>
      </c>
      <c r="AN864" s="33">
        <v>4</v>
      </c>
      <c r="AO864" s="33">
        <v>3</v>
      </c>
      <c r="AP864" s="33">
        <v>1</v>
      </c>
      <c r="AQ864" s="33">
        <v>1</v>
      </c>
      <c r="AR864" s="33">
        <v>3</v>
      </c>
      <c r="AS864" s="33">
        <v>1</v>
      </c>
      <c r="AT864" s="33">
        <v>0</v>
      </c>
      <c r="AU864" s="43">
        <v>0.33546922936774209</v>
      </c>
      <c r="AV864" s="33">
        <v>0</v>
      </c>
      <c r="AW864" s="33">
        <v>0</v>
      </c>
      <c r="AY864" s="36">
        <v>836</v>
      </c>
      <c r="AZ864" s="33">
        <v>1</v>
      </c>
      <c r="BA864" s="33">
        <v>3</v>
      </c>
      <c r="BB864" s="33">
        <v>0</v>
      </c>
      <c r="BC864" s="33">
        <v>0</v>
      </c>
      <c r="BD864" s="43">
        <v>0.18791247240909698</v>
      </c>
      <c r="BE864" s="33">
        <v>0</v>
      </c>
      <c r="BF864" s="33">
        <v>0</v>
      </c>
      <c r="CE864" s="36">
        <v>830</v>
      </c>
      <c r="CF864" s="33">
        <v>9</v>
      </c>
      <c r="CG864" s="33">
        <v>2</v>
      </c>
      <c r="CH864" s="33">
        <v>1</v>
      </c>
      <c r="CI864" s="33">
        <v>1</v>
      </c>
      <c r="CJ864" s="33">
        <v>0</v>
      </c>
      <c r="CK864" s="33">
        <v>1</v>
      </c>
      <c r="CL864" s="33">
        <v>0</v>
      </c>
      <c r="CM864" s="33">
        <v>3</v>
      </c>
      <c r="CN864" s="33">
        <v>5</v>
      </c>
      <c r="CO864" s="33">
        <v>0</v>
      </c>
      <c r="CP864" s="43">
        <v>0.45278688615926255</v>
      </c>
      <c r="CQ864" s="33">
        <v>0</v>
      </c>
      <c r="CR864" s="33">
        <v>1</v>
      </c>
    </row>
    <row r="865" spans="1:96" ht="15" customHeight="1" x14ac:dyDescent="0.25">
      <c r="A865" s="26">
        <v>863</v>
      </c>
      <c r="B865" s="27">
        <v>33</v>
      </c>
      <c r="C865" s="27">
        <v>0</v>
      </c>
      <c r="D865" s="27">
        <v>1</v>
      </c>
      <c r="E865" s="27">
        <v>147</v>
      </c>
      <c r="F865" s="27">
        <v>3</v>
      </c>
      <c r="G865" s="27">
        <v>2</v>
      </c>
      <c r="H865" s="27">
        <v>3</v>
      </c>
      <c r="I865" s="27">
        <v>2</v>
      </c>
      <c r="J865" s="27">
        <v>1</v>
      </c>
      <c r="K865" s="27">
        <v>1207</v>
      </c>
      <c r="L865" s="27">
        <v>2</v>
      </c>
      <c r="M865" s="27">
        <v>1</v>
      </c>
      <c r="N865" s="27">
        <v>99</v>
      </c>
      <c r="O865" s="27">
        <v>3</v>
      </c>
      <c r="P865" s="27">
        <v>1</v>
      </c>
      <c r="Q865" s="27">
        <v>9</v>
      </c>
      <c r="R865" s="27">
        <v>3</v>
      </c>
      <c r="S865" s="27">
        <v>2</v>
      </c>
      <c r="T865" s="27">
        <v>3600</v>
      </c>
      <c r="U865" s="27">
        <v>8429</v>
      </c>
      <c r="V865" s="27">
        <v>1</v>
      </c>
      <c r="W865" s="27">
        <v>0</v>
      </c>
      <c r="X865" s="27">
        <v>13</v>
      </c>
      <c r="Y865" s="27">
        <v>3</v>
      </c>
      <c r="Z865" s="27">
        <v>4</v>
      </c>
      <c r="AA865" s="27">
        <v>80</v>
      </c>
      <c r="AB865" s="27">
        <v>1</v>
      </c>
      <c r="AC865" s="27">
        <v>5</v>
      </c>
      <c r="AD865" s="27">
        <v>2</v>
      </c>
      <c r="AE865" s="27">
        <v>3</v>
      </c>
      <c r="AF865" s="27">
        <v>5</v>
      </c>
      <c r="AG865" s="27">
        <v>4</v>
      </c>
      <c r="AH865" s="27">
        <v>1</v>
      </c>
      <c r="AI865" s="28">
        <v>4</v>
      </c>
      <c r="AK865" s="36">
        <v>832</v>
      </c>
      <c r="AL865" s="33">
        <v>15</v>
      </c>
      <c r="AM865" s="33">
        <v>1</v>
      </c>
      <c r="AN865" s="33">
        <v>3</v>
      </c>
      <c r="AO865" s="33">
        <v>1</v>
      </c>
      <c r="AP865" s="33">
        <v>0</v>
      </c>
      <c r="AQ865" s="33">
        <v>1</v>
      </c>
      <c r="AR865" s="33">
        <v>2</v>
      </c>
      <c r="AS865" s="33">
        <v>2</v>
      </c>
      <c r="AT865" s="33">
        <v>2</v>
      </c>
      <c r="AU865" s="43">
        <v>0.17555706437771251</v>
      </c>
      <c r="AV865" s="33">
        <v>0</v>
      </c>
      <c r="AW865" s="33">
        <v>1</v>
      </c>
      <c r="AY865" s="36">
        <v>837</v>
      </c>
      <c r="AZ865" s="33">
        <v>3</v>
      </c>
      <c r="BA865" s="33">
        <v>1</v>
      </c>
      <c r="BB865" s="33">
        <v>0</v>
      </c>
      <c r="BC865" s="33">
        <v>1</v>
      </c>
      <c r="BD865" s="43">
        <v>7.4238208059117641E-2</v>
      </c>
      <c r="BE865" s="33">
        <v>0</v>
      </c>
      <c r="BF865" s="33">
        <v>1</v>
      </c>
      <c r="CE865" s="36">
        <v>831</v>
      </c>
      <c r="CF865" s="33">
        <v>12</v>
      </c>
      <c r="CG865" s="33">
        <v>1</v>
      </c>
      <c r="CH865" s="33">
        <v>4</v>
      </c>
      <c r="CI865" s="33">
        <v>2</v>
      </c>
      <c r="CJ865" s="33">
        <v>3</v>
      </c>
      <c r="CK865" s="33">
        <v>1</v>
      </c>
      <c r="CL865" s="33">
        <v>1</v>
      </c>
      <c r="CM865" s="33">
        <v>3</v>
      </c>
      <c r="CN865" s="33">
        <v>1</v>
      </c>
      <c r="CO865" s="33">
        <v>0</v>
      </c>
      <c r="CP865" s="43">
        <v>0.32946704975037516</v>
      </c>
      <c r="CQ865" s="33">
        <v>0</v>
      </c>
      <c r="CR865" s="33">
        <v>0</v>
      </c>
    </row>
    <row r="866" spans="1:96" ht="15" customHeight="1" x14ac:dyDescent="0.25">
      <c r="A866" s="26">
        <v>864</v>
      </c>
      <c r="B866" s="27">
        <v>41</v>
      </c>
      <c r="C866" s="27">
        <v>1</v>
      </c>
      <c r="D866" s="27">
        <v>3</v>
      </c>
      <c r="E866" s="27">
        <v>906</v>
      </c>
      <c r="F866" s="27">
        <v>2</v>
      </c>
      <c r="G866" s="27">
        <v>5</v>
      </c>
      <c r="H866" s="27">
        <v>2</v>
      </c>
      <c r="I866" s="27">
        <v>1</v>
      </c>
      <c r="J866" s="27">
        <v>1</v>
      </c>
      <c r="K866" s="27">
        <v>1210</v>
      </c>
      <c r="L866" s="27">
        <v>1</v>
      </c>
      <c r="M866" s="27">
        <v>1</v>
      </c>
      <c r="N866" s="27">
        <v>95</v>
      </c>
      <c r="O866" s="27">
        <v>2</v>
      </c>
      <c r="P866" s="27">
        <v>1</v>
      </c>
      <c r="Q866" s="27">
        <v>2</v>
      </c>
      <c r="R866" s="27">
        <v>1</v>
      </c>
      <c r="S866" s="27">
        <v>3</v>
      </c>
      <c r="T866" s="27">
        <v>2107</v>
      </c>
      <c r="U866" s="27">
        <v>20293</v>
      </c>
      <c r="V866" s="27">
        <v>6</v>
      </c>
      <c r="W866" s="27">
        <v>0</v>
      </c>
      <c r="X866" s="27">
        <v>17</v>
      </c>
      <c r="Y866" s="27">
        <v>3</v>
      </c>
      <c r="Z866" s="27">
        <v>1</v>
      </c>
      <c r="AA866" s="27">
        <v>80</v>
      </c>
      <c r="AB866" s="27">
        <v>1</v>
      </c>
      <c r="AC866" s="27">
        <v>5</v>
      </c>
      <c r="AD866" s="27">
        <v>2</v>
      </c>
      <c r="AE866" s="27">
        <v>1</v>
      </c>
      <c r="AF866" s="27">
        <v>1</v>
      </c>
      <c r="AG866" s="27">
        <v>0</v>
      </c>
      <c r="AH866" s="27">
        <v>0</v>
      </c>
      <c r="AI866" s="28">
        <v>0</v>
      </c>
      <c r="AK866" s="36">
        <v>833</v>
      </c>
      <c r="AL866" s="33">
        <v>25</v>
      </c>
      <c r="AM866" s="33">
        <v>2</v>
      </c>
      <c r="AN866" s="33">
        <v>4</v>
      </c>
      <c r="AO866" s="33">
        <v>7</v>
      </c>
      <c r="AP866" s="33">
        <v>0</v>
      </c>
      <c r="AQ866" s="33">
        <v>2</v>
      </c>
      <c r="AR866" s="33">
        <v>3</v>
      </c>
      <c r="AS866" s="33">
        <v>6</v>
      </c>
      <c r="AT866" s="33">
        <v>1</v>
      </c>
      <c r="AU866" s="43">
        <v>6.000199019324394E-2</v>
      </c>
      <c r="AV866" s="33">
        <v>0</v>
      </c>
      <c r="AW866" s="33">
        <v>0</v>
      </c>
      <c r="AY866" s="36">
        <v>838</v>
      </c>
      <c r="AZ866" s="33">
        <v>3</v>
      </c>
      <c r="BA866" s="33">
        <v>3</v>
      </c>
      <c r="BB866" s="33">
        <v>0</v>
      </c>
      <c r="BC866" s="33">
        <v>0</v>
      </c>
      <c r="BD866" s="43">
        <v>7.0406776741937793E-2</v>
      </c>
      <c r="BE866" s="33">
        <v>0</v>
      </c>
      <c r="BF866" s="33">
        <v>0</v>
      </c>
      <c r="CE866" s="36">
        <v>832</v>
      </c>
      <c r="CF866" s="33">
        <v>15</v>
      </c>
      <c r="CG866" s="33">
        <v>1</v>
      </c>
      <c r="CH866" s="33">
        <v>3</v>
      </c>
      <c r="CI866" s="33">
        <v>2</v>
      </c>
      <c r="CJ866" s="33">
        <v>1</v>
      </c>
      <c r="CK866" s="33">
        <v>0</v>
      </c>
      <c r="CL866" s="33">
        <v>1</v>
      </c>
      <c r="CM866" s="33">
        <v>2</v>
      </c>
      <c r="CN866" s="33">
        <v>2</v>
      </c>
      <c r="CO866" s="33">
        <v>2</v>
      </c>
      <c r="CP866" s="43">
        <v>0.17108384248198147</v>
      </c>
      <c r="CQ866" s="33">
        <v>0</v>
      </c>
      <c r="CR866" s="33">
        <v>1</v>
      </c>
    </row>
    <row r="867" spans="1:96" ht="15" customHeight="1" x14ac:dyDescent="0.25">
      <c r="A867" s="26">
        <v>865</v>
      </c>
      <c r="B867" s="27">
        <v>30</v>
      </c>
      <c r="C867" s="27">
        <v>0</v>
      </c>
      <c r="D867" s="27">
        <v>1</v>
      </c>
      <c r="E867" s="27">
        <v>1329</v>
      </c>
      <c r="F867" s="27">
        <v>1</v>
      </c>
      <c r="G867" s="27">
        <v>29</v>
      </c>
      <c r="H867" s="27">
        <v>4</v>
      </c>
      <c r="I867" s="27">
        <v>1</v>
      </c>
      <c r="J867" s="27">
        <v>1</v>
      </c>
      <c r="K867" s="27">
        <v>1211</v>
      </c>
      <c r="L867" s="27">
        <v>3</v>
      </c>
      <c r="M867" s="27">
        <v>1</v>
      </c>
      <c r="N867" s="27">
        <v>61</v>
      </c>
      <c r="O867" s="27">
        <v>3</v>
      </c>
      <c r="P867" s="27">
        <v>2</v>
      </c>
      <c r="Q867" s="27">
        <v>1</v>
      </c>
      <c r="R867" s="27">
        <v>1</v>
      </c>
      <c r="S867" s="27">
        <v>3</v>
      </c>
      <c r="T867" s="27">
        <v>4115</v>
      </c>
      <c r="U867" s="27">
        <v>13192</v>
      </c>
      <c r="V867" s="27">
        <v>8</v>
      </c>
      <c r="W867" s="27">
        <v>0</v>
      </c>
      <c r="X867" s="27">
        <v>19</v>
      </c>
      <c r="Y867" s="27">
        <v>3</v>
      </c>
      <c r="Z867" s="27">
        <v>3</v>
      </c>
      <c r="AA867" s="27">
        <v>80</v>
      </c>
      <c r="AB867" s="27">
        <v>3</v>
      </c>
      <c r="AC867" s="27">
        <v>8</v>
      </c>
      <c r="AD867" s="27">
        <v>3</v>
      </c>
      <c r="AE867" s="27">
        <v>3</v>
      </c>
      <c r="AF867" s="27">
        <v>4</v>
      </c>
      <c r="AG867" s="27">
        <v>3</v>
      </c>
      <c r="AH867" s="27">
        <v>0</v>
      </c>
      <c r="AI867" s="28">
        <v>3</v>
      </c>
      <c r="AK867" s="36">
        <v>834</v>
      </c>
      <c r="AL867" s="33">
        <v>6</v>
      </c>
      <c r="AM867" s="33">
        <v>1</v>
      </c>
      <c r="AN867" s="33">
        <v>3</v>
      </c>
      <c r="AO867" s="33">
        <v>1</v>
      </c>
      <c r="AP867" s="33">
        <v>0</v>
      </c>
      <c r="AQ867" s="33">
        <v>1</v>
      </c>
      <c r="AR867" s="33">
        <v>3</v>
      </c>
      <c r="AS867" s="33">
        <v>4</v>
      </c>
      <c r="AT867" s="33">
        <v>2</v>
      </c>
      <c r="AU867" s="43">
        <v>9.7420740018694857E-2</v>
      </c>
      <c r="AV867" s="33">
        <v>0</v>
      </c>
      <c r="AW867" s="33">
        <v>0</v>
      </c>
      <c r="AY867" s="36">
        <v>839</v>
      </c>
      <c r="AZ867" s="33">
        <v>4</v>
      </c>
      <c r="BA867" s="33">
        <v>1</v>
      </c>
      <c r="BB867" s="33">
        <v>1</v>
      </c>
      <c r="BC867" s="33">
        <v>0</v>
      </c>
      <c r="BD867" s="43">
        <v>0.24947977886687323</v>
      </c>
      <c r="BE867" s="33">
        <v>0</v>
      </c>
      <c r="BF867" s="33">
        <v>1</v>
      </c>
      <c r="CE867" s="36">
        <v>833</v>
      </c>
      <c r="CF867" s="33">
        <v>25</v>
      </c>
      <c r="CG867" s="33">
        <v>2</v>
      </c>
      <c r="CH867" s="33">
        <v>4</v>
      </c>
      <c r="CI867" s="33">
        <v>3</v>
      </c>
      <c r="CJ867" s="33">
        <v>7</v>
      </c>
      <c r="CK867" s="33">
        <v>0</v>
      </c>
      <c r="CL867" s="33">
        <v>2</v>
      </c>
      <c r="CM867" s="33">
        <v>3</v>
      </c>
      <c r="CN867" s="33">
        <v>6</v>
      </c>
      <c r="CO867" s="33">
        <v>1</v>
      </c>
      <c r="CP867" s="43">
        <v>4.6739439300420092E-2</v>
      </c>
      <c r="CQ867" s="33">
        <v>0</v>
      </c>
      <c r="CR867" s="33">
        <v>0</v>
      </c>
    </row>
    <row r="868" spans="1:96" ht="15" customHeight="1" x14ac:dyDescent="0.25">
      <c r="A868" s="26">
        <v>866</v>
      </c>
      <c r="B868" s="27">
        <v>40</v>
      </c>
      <c r="C868" s="27">
        <v>0</v>
      </c>
      <c r="D868" s="27">
        <v>2</v>
      </c>
      <c r="E868" s="27">
        <v>1184</v>
      </c>
      <c r="F868" s="27">
        <v>1</v>
      </c>
      <c r="G868" s="27">
        <v>2</v>
      </c>
      <c r="H868" s="27">
        <v>4</v>
      </c>
      <c r="I868" s="27">
        <v>3</v>
      </c>
      <c r="J868" s="27">
        <v>1</v>
      </c>
      <c r="K868" s="27">
        <v>1212</v>
      </c>
      <c r="L868" s="27">
        <v>2</v>
      </c>
      <c r="M868" s="27">
        <v>1</v>
      </c>
      <c r="N868" s="27">
        <v>62</v>
      </c>
      <c r="O868" s="27">
        <v>3</v>
      </c>
      <c r="P868" s="27">
        <v>2</v>
      </c>
      <c r="Q868" s="27">
        <v>1</v>
      </c>
      <c r="R868" s="27">
        <v>2</v>
      </c>
      <c r="S868" s="27">
        <v>2</v>
      </c>
      <c r="T868" s="27">
        <v>4327</v>
      </c>
      <c r="U868" s="27">
        <v>25440</v>
      </c>
      <c r="V868" s="27">
        <v>5</v>
      </c>
      <c r="W868" s="27">
        <v>0</v>
      </c>
      <c r="X868" s="27">
        <v>12</v>
      </c>
      <c r="Y868" s="27">
        <v>3</v>
      </c>
      <c r="Z868" s="27">
        <v>4</v>
      </c>
      <c r="AA868" s="27">
        <v>80</v>
      </c>
      <c r="AB868" s="27">
        <v>3</v>
      </c>
      <c r="AC868" s="27">
        <v>5</v>
      </c>
      <c r="AD868" s="27">
        <v>2</v>
      </c>
      <c r="AE868" s="27">
        <v>3</v>
      </c>
      <c r="AF868" s="27">
        <v>0</v>
      </c>
      <c r="AG868" s="27">
        <v>0</v>
      </c>
      <c r="AH868" s="27">
        <v>0</v>
      </c>
      <c r="AI868" s="28">
        <v>0</v>
      </c>
      <c r="AK868" s="36">
        <v>835</v>
      </c>
      <c r="AL868" s="33">
        <v>9</v>
      </c>
      <c r="AM868" s="33">
        <v>2</v>
      </c>
      <c r="AN868" s="33">
        <v>3</v>
      </c>
      <c r="AO868" s="33">
        <v>1</v>
      </c>
      <c r="AP868" s="33">
        <v>0</v>
      </c>
      <c r="AQ868" s="33">
        <v>0</v>
      </c>
      <c r="AR868" s="33">
        <v>2</v>
      </c>
      <c r="AS868" s="33">
        <v>6</v>
      </c>
      <c r="AT868" s="33">
        <v>1</v>
      </c>
      <c r="AU868" s="43">
        <v>0.10576101719792746</v>
      </c>
      <c r="AV868" s="33">
        <v>0</v>
      </c>
      <c r="AW868" s="33">
        <v>0</v>
      </c>
      <c r="AY868" s="36">
        <v>840</v>
      </c>
      <c r="AZ868" s="33">
        <v>2</v>
      </c>
      <c r="BA868" s="33">
        <v>1</v>
      </c>
      <c r="BB868" s="33">
        <v>0</v>
      </c>
      <c r="BC868" s="33">
        <v>0</v>
      </c>
      <c r="BD868" s="43">
        <v>0.19196561144667343</v>
      </c>
      <c r="BE868" s="33">
        <v>0</v>
      </c>
      <c r="BF868" s="33">
        <v>0</v>
      </c>
      <c r="CE868" s="36">
        <v>834</v>
      </c>
      <c r="CF868" s="33">
        <v>6</v>
      </c>
      <c r="CG868" s="33">
        <v>1</v>
      </c>
      <c r="CH868" s="33">
        <v>3</v>
      </c>
      <c r="CI868" s="33">
        <v>2</v>
      </c>
      <c r="CJ868" s="33">
        <v>1</v>
      </c>
      <c r="CK868" s="33">
        <v>0</v>
      </c>
      <c r="CL868" s="33">
        <v>1</v>
      </c>
      <c r="CM868" s="33">
        <v>3</v>
      </c>
      <c r="CN868" s="33">
        <v>4</v>
      </c>
      <c r="CO868" s="33">
        <v>2</v>
      </c>
      <c r="CP868" s="43">
        <v>9.3475209956873695E-2</v>
      </c>
      <c r="CQ868" s="33">
        <v>0</v>
      </c>
      <c r="CR868" s="33">
        <v>0</v>
      </c>
    </row>
    <row r="869" spans="1:96" ht="15" customHeight="1" x14ac:dyDescent="0.25">
      <c r="A869" s="26">
        <v>867</v>
      </c>
      <c r="B869" s="27">
        <v>50</v>
      </c>
      <c r="C869" s="27">
        <v>0</v>
      </c>
      <c r="D869" s="27">
        <v>2</v>
      </c>
      <c r="E869" s="27">
        <v>1421</v>
      </c>
      <c r="F869" s="27">
        <v>2</v>
      </c>
      <c r="G869" s="27">
        <v>2</v>
      </c>
      <c r="H869" s="27">
        <v>3</v>
      </c>
      <c r="I869" s="27">
        <v>3</v>
      </c>
      <c r="J869" s="27">
        <v>1</v>
      </c>
      <c r="K869" s="27">
        <v>1215</v>
      </c>
      <c r="L869" s="27">
        <v>4</v>
      </c>
      <c r="M869" s="27">
        <v>0</v>
      </c>
      <c r="N869" s="27">
        <v>30</v>
      </c>
      <c r="O869" s="27">
        <v>3</v>
      </c>
      <c r="P869" s="27">
        <v>4</v>
      </c>
      <c r="Q869" s="27">
        <v>6</v>
      </c>
      <c r="R869" s="27">
        <v>1</v>
      </c>
      <c r="S869" s="27">
        <v>2</v>
      </c>
      <c r="T869" s="27">
        <v>17856</v>
      </c>
      <c r="U869" s="27">
        <v>9490</v>
      </c>
      <c r="V869" s="27">
        <v>2</v>
      </c>
      <c r="W869" s="27">
        <v>0</v>
      </c>
      <c r="X869" s="27">
        <v>22</v>
      </c>
      <c r="Y869" s="27">
        <v>4</v>
      </c>
      <c r="Z869" s="27">
        <v>3</v>
      </c>
      <c r="AA869" s="27">
        <v>80</v>
      </c>
      <c r="AB869" s="27">
        <v>1</v>
      </c>
      <c r="AC869" s="27">
        <v>32</v>
      </c>
      <c r="AD869" s="27">
        <v>3</v>
      </c>
      <c r="AE869" s="27">
        <v>3</v>
      </c>
      <c r="AF869" s="27">
        <v>2</v>
      </c>
      <c r="AG869" s="27">
        <v>2</v>
      </c>
      <c r="AH869" s="27">
        <v>2</v>
      </c>
      <c r="AI869" s="28">
        <v>2</v>
      </c>
      <c r="AK869" s="36">
        <v>836</v>
      </c>
      <c r="AL869" s="33">
        <v>8</v>
      </c>
      <c r="AM869" s="33">
        <v>1</v>
      </c>
      <c r="AN869" s="33">
        <v>3</v>
      </c>
      <c r="AO869" s="33">
        <v>1</v>
      </c>
      <c r="AP869" s="33">
        <v>0</v>
      </c>
      <c r="AQ869" s="33">
        <v>0</v>
      </c>
      <c r="AR869" s="33">
        <v>1</v>
      </c>
      <c r="AS869" s="33">
        <v>5</v>
      </c>
      <c r="AT869" s="33">
        <v>1</v>
      </c>
      <c r="AU869" s="43">
        <v>0.21211837658863394</v>
      </c>
      <c r="AV869" s="33">
        <v>0</v>
      </c>
      <c r="AW869" s="33">
        <v>0</v>
      </c>
      <c r="AY869" s="36">
        <v>841</v>
      </c>
      <c r="AZ869" s="33">
        <v>1</v>
      </c>
      <c r="BA869" s="33">
        <v>3</v>
      </c>
      <c r="BB869" s="33">
        <v>0</v>
      </c>
      <c r="BC869" s="33">
        <v>1</v>
      </c>
      <c r="BD869" s="43">
        <v>0.12012271365792118</v>
      </c>
      <c r="BE869" s="33">
        <v>0</v>
      </c>
      <c r="BF869" s="33">
        <v>0</v>
      </c>
      <c r="CE869" s="36">
        <v>835</v>
      </c>
      <c r="CF869" s="33">
        <v>9</v>
      </c>
      <c r="CG869" s="33">
        <v>2</v>
      </c>
      <c r="CH869" s="33">
        <v>3</v>
      </c>
      <c r="CI869" s="33">
        <v>2</v>
      </c>
      <c r="CJ869" s="33">
        <v>1</v>
      </c>
      <c r="CK869" s="33">
        <v>0</v>
      </c>
      <c r="CL869" s="33">
        <v>0</v>
      </c>
      <c r="CM869" s="33">
        <v>2</v>
      </c>
      <c r="CN869" s="33">
        <v>6</v>
      </c>
      <c r="CO869" s="33">
        <v>1</v>
      </c>
      <c r="CP869" s="43">
        <v>7.5730727194514083E-2</v>
      </c>
      <c r="CQ869" s="33">
        <v>0</v>
      </c>
      <c r="CR869" s="33">
        <v>0</v>
      </c>
    </row>
    <row r="870" spans="1:96" ht="15" customHeight="1" x14ac:dyDescent="0.25">
      <c r="A870" s="26">
        <v>868</v>
      </c>
      <c r="B870" s="27">
        <v>28</v>
      </c>
      <c r="C870" s="27">
        <v>0</v>
      </c>
      <c r="D870" s="27">
        <v>1</v>
      </c>
      <c r="E870" s="27">
        <v>1179</v>
      </c>
      <c r="F870" s="27">
        <v>2</v>
      </c>
      <c r="G870" s="27">
        <v>19</v>
      </c>
      <c r="H870" s="27">
        <v>4</v>
      </c>
      <c r="I870" s="27">
        <v>3</v>
      </c>
      <c r="J870" s="27">
        <v>1</v>
      </c>
      <c r="K870" s="27">
        <v>1216</v>
      </c>
      <c r="L870" s="27">
        <v>4</v>
      </c>
      <c r="M870" s="27">
        <v>1</v>
      </c>
      <c r="N870" s="27">
        <v>78</v>
      </c>
      <c r="O870" s="27">
        <v>2</v>
      </c>
      <c r="P870" s="27">
        <v>1</v>
      </c>
      <c r="Q870" s="27">
        <v>3</v>
      </c>
      <c r="R870" s="27">
        <v>1</v>
      </c>
      <c r="S870" s="27">
        <v>2</v>
      </c>
      <c r="T870" s="27">
        <v>3196</v>
      </c>
      <c r="U870" s="27">
        <v>12449</v>
      </c>
      <c r="V870" s="27">
        <v>1</v>
      </c>
      <c r="W870" s="27">
        <v>0</v>
      </c>
      <c r="X870" s="27">
        <v>12</v>
      </c>
      <c r="Y870" s="27">
        <v>3</v>
      </c>
      <c r="Z870" s="27">
        <v>3</v>
      </c>
      <c r="AA870" s="27">
        <v>80</v>
      </c>
      <c r="AB870" s="27">
        <v>3</v>
      </c>
      <c r="AC870" s="27">
        <v>6</v>
      </c>
      <c r="AD870" s="27">
        <v>2</v>
      </c>
      <c r="AE870" s="27">
        <v>3</v>
      </c>
      <c r="AF870" s="27">
        <v>6</v>
      </c>
      <c r="AG870" s="27">
        <v>5</v>
      </c>
      <c r="AH870" s="27">
        <v>3</v>
      </c>
      <c r="AI870" s="28">
        <v>3</v>
      </c>
      <c r="AK870" s="36">
        <v>837</v>
      </c>
      <c r="AL870" s="33">
        <v>23</v>
      </c>
      <c r="AM870" s="33">
        <v>3</v>
      </c>
      <c r="AN870" s="33">
        <v>1</v>
      </c>
      <c r="AO870" s="33">
        <v>1</v>
      </c>
      <c r="AP870" s="33">
        <v>0</v>
      </c>
      <c r="AQ870" s="33">
        <v>1</v>
      </c>
      <c r="AR870" s="33">
        <v>1</v>
      </c>
      <c r="AS870" s="33">
        <v>11</v>
      </c>
      <c r="AT870" s="33">
        <v>3</v>
      </c>
      <c r="AU870" s="43">
        <v>0.10911357961995478</v>
      </c>
      <c r="AV870" s="33">
        <v>0</v>
      </c>
      <c r="AW870" s="33">
        <v>1</v>
      </c>
      <c r="AY870" s="36">
        <v>842</v>
      </c>
      <c r="AZ870" s="33">
        <v>1</v>
      </c>
      <c r="BA870" s="33">
        <v>2</v>
      </c>
      <c r="BB870" s="33">
        <v>0</v>
      </c>
      <c r="BC870" s="33">
        <v>0</v>
      </c>
      <c r="BD870" s="43">
        <v>0.23662845161334917</v>
      </c>
      <c r="BE870" s="33">
        <v>0</v>
      </c>
      <c r="BF870" s="33">
        <v>0</v>
      </c>
      <c r="CE870" s="36">
        <v>836</v>
      </c>
      <c r="CF870" s="33">
        <v>8</v>
      </c>
      <c r="CG870" s="33">
        <v>1</v>
      </c>
      <c r="CH870" s="33">
        <v>3</v>
      </c>
      <c r="CI870" s="33">
        <v>1</v>
      </c>
      <c r="CJ870" s="33">
        <v>1</v>
      </c>
      <c r="CK870" s="33">
        <v>0</v>
      </c>
      <c r="CL870" s="33">
        <v>0</v>
      </c>
      <c r="CM870" s="33">
        <v>1</v>
      </c>
      <c r="CN870" s="33">
        <v>5</v>
      </c>
      <c r="CO870" s="33">
        <v>1</v>
      </c>
      <c r="CP870" s="43">
        <v>0.24614079104222547</v>
      </c>
      <c r="CQ870" s="33">
        <v>0</v>
      </c>
      <c r="CR870" s="33">
        <v>0</v>
      </c>
    </row>
    <row r="871" spans="1:96" ht="15" customHeight="1" x14ac:dyDescent="0.25">
      <c r="A871" s="26">
        <v>869</v>
      </c>
      <c r="B871" s="27">
        <v>46</v>
      </c>
      <c r="C871" s="27">
        <v>0</v>
      </c>
      <c r="D871" s="27">
        <v>1</v>
      </c>
      <c r="E871" s="27">
        <v>1450</v>
      </c>
      <c r="F871" s="27">
        <v>2</v>
      </c>
      <c r="G871" s="27">
        <v>15</v>
      </c>
      <c r="H871" s="27">
        <v>2</v>
      </c>
      <c r="I871" s="27">
        <v>1</v>
      </c>
      <c r="J871" s="27">
        <v>1</v>
      </c>
      <c r="K871" s="27">
        <v>1217</v>
      </c>
      <c r="L871" s="27">
        <v>4</v>
      </c>
      <c r="M871" s="27">
        <v>1</v>
      </c>
      <c r="N871" s="27">
        <v>52</v>
      </c>
      <c r="O871" s="27">
        <v>3</v>
      </c>
      <c r="P871" s="27">
        <v>5</v>
      </c>
      <c r="Q871" s="27">
        <v>8</v>
      </c>
      <c r="R871" s="27">
        <v>2</v>
      </c>
      <c r="S871" s="27">
        <v>2</v>
      </c>
      <c r="T871" s="27">
        <v>19081</v>
      </c>
      <c r="U871" s="27">
        <v>10849</v>
      </c>
      <c r="V871" s="27">
        <v>5</v>
      </c>
      <c r="W871" s="27">
        <v>0</v>
      </c>
      <c r="X871" s="27">
        <v>11</v>
      </c>
      <c r="Y871" s="27">
        <v>3</v>
      </c>
      <c r="Z871" s="27">
        <v>1</v>
      </c>
      <c r="AA871" s="27">
        <v>80</v>
      </c>
      <c r="AB871" s="27">
        <v>1</v>
      </c>
      <c r="AC871" s="27">
        <v>25</v>
      </c>
      <c r="AD871" s="27">
        <v>2</v>
      </c>
      <c r="AE871" s="27">
        <v>3</v>
      </c>
      <c r="AF871" s="27">
        <v>4</v>
      </c>
      <c r="AG871" s="27">
        <v>2</v>
      </c>
      <c r="AH871" s="27">
        <v>0</v>
      </c>
      <c r="AI871" s="28">
        <v>3</v>
      </c>
      <c r="AK871" s="36">
        <v>838</v>
      </c>
      <c r="AL871" s="33">
        <v>9</v>
      </c>
      <c r="AM871" s="33">
        <v>3</v>
      </c>
      <c r="AN871" s="33">
        <v>3</v>
      </c>
      <c r="AO871" s="33">
        <v>9</v>
      </c>
      <c r="AP871" s="33">
        <v>0</v>
      </c>
      <c r="AQ871" s="33">
        <v>0</v>
      </c>
      <c r="AR871" s="33">
        <v>2</v>
      </c>
      <c r="AS871" s="33">
        <v>18</v>
      </c>
      <c r="AT871" s="33">
        <v>2</v>
      </c>
      <c r="AU871" s="43">
        <v>5.9167414467469946E-2</v>
      </c>
      <c r="AV871" s="33">
        <v>0</v>
      </c>
      <c r="AW871" s="33">
        <v>0</v>
      </c>
      <c r="AY871" s="36">
        <v>843</v>
      </c>
      <c r="AZ871" s="33">
        <v>1</v>
      </c>
      <c r="BA871" s="33">
        <v>4</v>
      </c>
      <c r="BB871" s="33">
        <v>1</v>
      </c>
      <c r="BC871" s="33">
        <v>0</v>
      </c>
      <c r="BD871" s="43">
        <v>0.42475472169672474</v>
      </c>
      <c r="BE871" s="33">
        <v>0</v>
      </c>
      <c r="BF871" s="33">
        <v>1</v>
      </c>
      <c r="CE871" s="36">
        <v>837</v>
      </c>
      <c r="CF871" s="33">
        <v>23</v>
      </c>
      <c r="CG871" s="33">
        <v>3</v>
      </c>
      <c r="CH871" s="33">
        <v>1</v>
      </c>
      <c r="CI871" s="33">
        <v>2</v>
      </c>
      <c r="CJ871" s="33">
        <v>1</v>
      </c>
      <c r="CK871" s="33">
        <v>0</v>
      </c>
      <c r="CL871" s="33">
        <v>1</v>
      </c>
      <c r="CM871" s="33">
        <v>1</v>
      </c>
      <c r="CN871" s="33">
        <v>11</v>
      </c>
      <c r="CO871" s="33">
        <v>3</v>
      </c>
      <c r="CP871" s="43">
        <v>0.11308524927461541</v>
      </c>
      <c r="CQ871" s="33">
        <v>0</v>
      </c>
      <c r="CR871" s="33">
        <v>1</v>
      </c>
    </row>
    <row r="872" spans="1:96" ht="15" customHeight="1" x14ac:dyDescent="0.25">
      <c r="A872" s="26">
        <v>870</v>
      </c>
      <c r="B872" s="27">
        <v>35</v>
      </c>
      <c r="C872" s="27">
        <v>0</v>
      </c>
      <c r="D872" s="27">
        <v>1</v>
      </c>
      <c r="E872" s="27">
        <v>1361</v>
      </c>
      <c r="F872" s="27">
        <v>1</v>
      </c>
      <c r="G872" s="27">
        <v>17</v>
      </c>
      <c r="H872" s="27">
        <v>4</v>
      </c>
      <c r="I872" s="27">
        <v>1</v>
      </c>
      <c r="J872" s="27">
        <v>1</v>
      </c>
      <c r="K872" s="27">
        <v>1218</v>
      </c>
      <c r="L872" s="27">
        <v>3</v>
      </c>
      <c r="M872" s="27">
        <v>1</v>
      </c>
      <c r="N872" s="27">
        <v>94</v>
      </c>
      <c r="O872" s="27">
        <v>3</v>
      </c>
      <c r="P872" s="27">
        <v>2</v>
      </c>
      <c r="Q872" s="27">
        <v>1</v>
      </c>
      <c r="R872" s="27">
        <v>1</v>
      </c>
      <c r="S872" s="27">
        <v>2</v>
      </c>
      <c r="T872" s="27">
        <v>8966</v>
      </c>
      <c r="U872" s="27">
        <v>21026</v>
      </c>
      <c r="V872" s="27">
        <v>3</v>
      </c>
      <c r="W872" s="27">
        <v>1</v>
      </c>
      <c r="X872" s="27">
        <v>15</v>
      </c>
      <c r="Y872" s="27">
        <v>3</v>
      </c>
      <c r="Z872" s="27">
        <v>4</v>
      </c>
      <c r="AA872" s="27">
        <v>80</v>
      </c>
      <c r="AB872" s="27">
        <v>3</v>
      </c>
      <c r="AC872" s="27">
        <v>15</v>
      </c>
      <c r="AD872" s="27">
        <v>2</v>
      </c>
      <c r="AE872" s="27">
        <v>3</v>
      </c>
      <c r="AF872" s="27">
        <v>7</v>
      </c>
      <c r="AG872" s="27">
        <v>7</v>
      </c>
      <c r="AH872" s="27">
        <v>1</v>
      </c>
      <c r="AI872" s="28">
        <v>7</v>
      </c>
      <c r="AK872" s="36">
        <v>839</v>
      </c>
      <c r="AL872" s="33">
        <v>12</v>
      </c>
      <c r="AM872" s="33">
        <v>4</v>
      </c>
      <c r="AN872" s="33">
        <v>1</v>
      </c>
      <c r="AO872" s="33">
        <v>0</v>
      </c>
      <c r="AP872" s="33">
        <v>1</v>
      </c>
      <c r="AQ872" s="33">
        <v>0</v>
      </c>
      <c r="AR872" s="33">
        <v>2</v>
      </c>
      <c r="AS872" s="33">
        <v>21</v>
      </c>
      <c r="AT872" s="33">
        <v>13</v>
      </c>
      <c r="AU872" s="43">
        <v>0.29253946333382319</v>
      </c>
      <c r="AV872" s="33">
        <v>0</v>
      </c>
      <c r="AW872" s="33">
        <v>1</v>
      </c>
      <c r="AY872" s="36">
        <v>844</v>
      </c>
      <c r="AZ872" s="33">
        <v>1</v>
      </c>
      <c r="BA872" s="33">
        <v>4</v>
      </c>
      <c r="BB872" s="33">
        <v>0</v>
      </c>
      <c r="BC872" s="33">
        <v>1</v>
      </c>
      <c r="BD872" s="43">
        <v>9.2486413274924434E-2</v>
      </c>
      <c r="BE872" s="33">
        <v>0</v>
      </c>
      <c r="BF872" s="33">
        <v>0</v>
      </c>
      <c r="CE872" s="36">
        <v>838</v>
      </c>
      <c r="CF872" s="33">
        <v>9</v>
      </c>
      <c r="CG872" s="33">
        <v>3</v>
      </c>
      <c r="CH872" s="33">
        <v>3</v>
      </c>
      <c r="CI872" s="33">
        <v>1</v>
      </c>
      <c r="CJ872" s="33">
        <v>9</v>
      </c>
      <c r="CK872" s="33">
        <v>0</v>
      </c>
      <c r="CL872" s="33">
        <v>0</v>
      </c>
      <c r="CM872" s="33">
        <v>2</v>
      </c>
      <c r="CN872" s="33">
        <v>18</v>
      </c>
      <c r="CO872" s="33">
        <v>2</v>
      </c>
      <c r="CP872" s="43">
        <v>7.1827386121307929E-2</v>
      </c>
      <c r="CQ872" s="33">
        <v>0</v>
      </c>
      <c r="CR872" s="33">
        <v>0</v>
      </c>
    </row>
    <row r="873" spans="1:96" ht="15" customHeight="1" x14ac:dyDescent="0.25">
      <c r="A873" s="26">
        <v>871</v>
      </c>
      <c r="B873" s="27">
        <v>24</v>
      </c>
      <c r="C873" s="27">
        <v>1</v>
      </c>
      <c r="D873" s="27">
        <v>1</v>
      </c>
      <c r="E873" s="27">
        <v>984</v>
      </c>
      <c r="F873" s="27">
        <v>2</v>
      </c>
      <c r="G873" s="27">
        <v>17</v>
      </c>
      <c r="H873" s="27">
        <v>2</v>
      </c>
      <c r="I873" s="27">
        <v>1</v>
      </c>
      <c r="J873" s="27">
        <v>1</v>
      </c>
      <c r="K873" s="27">
        <v>1219</v>
      </c>
      <c r="L873" s="27">
        <v>4</v>
      </c>
      <c r="M873" s="27">
        <v>0</v>
      </c>
      <c r="N873" s="27">
        <v>97</v>
      </c>
      <c r="O873" s="27">
        <v>3</v>
      </c>
      <c r="P873" s="27">
        <v>1</v>
      </c>
      <c r="Q873" s="27">
        <v>3</v>
      </c>
      <c r="R873" s="27">
        <v>2</v>
      </c>
      <c r="S873" s="27">
        <v>2</v>
      </c>
      <c r="T873" s="27">
        <v>2210</v>
      </c>
      <c r="U873" s="27">
        <v>3372</v>
      </c>
      <c r="V873" s="27">
        <v>1</v>
      </c>
      <c r="W873" s="27">
        <v>0</v>
      </c>
      <c r="X873" s="27">
        <v>13</v>
      </c>
      <c r="Y873" s="27">
        <v>3</v>
      </c>
      <c r="Z873" s="27">
        <v>1</v>
      </c>
      <c r="AA873" s="27">
        <v>80</v>
      </c>
      <c r="AB873" s="27">
        <v>1</v>
      </c>
      <c r="AC873" s="27">
        <v>1</v>
      </c>
      <c r="AD873" s="27">
        <v>3</v>
      </c>
      <c r="AE873" s="27">
        <v>1</v>
      </c>
      <c r="AF873" s="27">
        <v>1</v>
      </c>
      <c r="AG873" s="27">
        <v>0</v>
      </c>
      <c r="AH873" s="27">
        <v>0</v>
      </c>
      <c r="AI873" s="28">
        <v>0</v>
      </c>
      <c r="AK873" s="36">
        <v>840</v>
      </c>
      <c r="AL873" s="33">
        <v>4</v>
      </c>
      <c r="AM873" s="33">
        <v>2</v>
      </c>
      <c r="AN873" s="33">
        <v>1</v>
      </c>
      <c r="AO873" s="33">
        <v>7</v>
      </c>
      <c r="AP873" s="33">
        <v>0</v>
      </c>
      <c r="AQ873" s="33">
        <v>0</v>
      </c>
      <c r="AR873" s="33">
        <v>4</v>
      </c>
      <c r="AS873" s="33">
        <v>6</v>
      </c>
      <c r="AT873" s="33">
        <v>1</v>
      </c>
      <c r="AU873" s="43">
        <v>0.15708584374234169</v>
      </c>
      <c r="AV873" s="33">
        <v>0</v>
      </c>
      <c r="AW873" s="33">
        <v>0</v>
      </c>
      <c r="AY873" s="36">
        <v>845</v>
      </c>
      <c r="AZ873" s="33">
        <v>2</v>
      </c>
      <c r="BA873" s="33">
        <v>3</v>
      </c>
      <c r="BB873" s="33">
        <v>0</v>
      </c>
      <c r="BC873" s="33">
        <v>1</v>
      </c>
      <c r="BD873" s="43">
        <v>7.244788656931947E-2</v>
      </c>
      <c r="BE873" s="33">
        <v>0</v>
      </c>
      <c r="BF873" s="33">
        <v>0</v>
      </c>
      <c r="CE873" s="36">
        <v>839</v>
      </c>
      <c r="CF873" s="33">
        <v>12</v>
      </c>
      <c r="CG873" s="33">
        <v>4</v>
      </c>
      <c r="CH873" s="33">
        <v>1</v>
      </c>
      <c r="CI873" s="33">
        <v>1</v>
      </c>
      <c r="CJ873" s="33">
        <v>0</v>
      </c>
      <c r="CK873" s="33">
        <v>1</v>
      </c>
      <c r="CL873" s="33">
        <v>0</v>
      </c>
      <c r="CM873" s="33">
        <v>2</v>
      </c>
      <c r="CN873" s="33">
        <v>21</v>
      </c>
      <c r="CO873" s="33">
        <v>13</v>
      </c>
      <c r="CP873" s="43">
        <v>0.36114710079240564</v>
      </c>
      <c r="CQ873" s="33">
        <v>0</v>
      </c>
      <c r="CR873" s="33">
        <v>1</v>
      </c>
    </row>
    <row r="874" spans="1:96" ht="15" customHeight="1" x14ac:dyDescent="0.25">
      <c r="A874" s="26">
        <v>872</v>
      </c>
      <c r="B874" s="27">
        <v>33</v>
      </c>
      <c r="C874" s="27">
        <v>0</v>
      </c>
      <c r="D874" s="27">
        <v>2</v>
      </c>
      <c r="E874" s="27">
        <v>1146</v>
      </c>
      <c r="F874" s="27">
        <v>1</v>
      </c>
      <c r="G874" s="27">
        <v>25</v>
      </c>
      <c r="H874" s="27">
        <v>3</v>
      </c>
      <c r="I874" s="27">
        <v>3</v>
      </c>
      <c r="J874" s="27">
        <v>1</v>
      </c>
      <c r="K874" s="27">
        <v>1220</v>
      </c>
      <c r="L874" s="27">
        <v>2</v>
      </c>
      <c r="M874" s="27">
        <v>0</v>
      </c>
      <c r="N874" s="27">
        <v>82</v>
      </c>
      <c r="O874" s="27">
        <v>3</v>
      </c>
      <c r="P874" s="27">
        <v>2</v>
      </c>
      <c r="Q874" s="27">
        <v>1</v>
      </c>
      <c r="R874" s="27">
        <v>3</v>
      </c>
      <c r="S874" s="27">
        <v>2</v>
      </c>
      <c r="T874" s="27">
        <v>4539</v>
      </c>
      <c r="U874" s="27">
        <v>4905</v>
      </c>
      <c r="V874" s="27">
        <v>1</v>
      </c>
      <c r="W874" s="27">
        <v>0</v>
      </c>
      <c r="X874" s="27">
        <v>12</v>
      </c>
      <c r="Y874" s="27">
        <v>3</v>
      </c>
      <c r="Z874" s="27">
        <v>1</v>
      </c>
      <c r="AA874" s="27">
        <v>80</v>
      </c>
      <c r="AB874" s="27">
        <v>1</v>
      </c>
      <c r="AC874" s="27">
        <v>10</v>
      </c>
      <c r="AD874" s="27">
        <v>3</v>
      </c>
      <c r="AE874" s="27">
        <v>2</v>
      </c>
      <c r="AF874" s="27">
        <v>10</v>
      </c>
      <c r="AG874" s="27">
        <v>7</v>
      </c>
      <c r="AH874" s="27">
        <v>0</v>
      </c>
      <c r="AI874" s="28">
        <v>1</v>
      </c>
      <c r="AK874" s="36">
        <v>841</v>
      </c>
      <c r="AL874" s="33">
        <v>1</v>
      </c>
      <c r="AM874" s="33">
        <v>1</v>
      </c>
      <c r="AN874" s="33">
        <v>3</v>
      </c>
      <c r="AO874" s="33">
        <v>6</v>
      </c>
      <c r="AP874" s="33">
        <v>0</v>
      </c>
      <c r="AQ874" s="33">
        <v>1</v>
      </c>
      <c r="AR874" s="33">
        <v>3</v>
      </c>
      <c r="AS874" s="33">
        <v>8</v>
      </c>
      <c r="AT874" s="33">
        <v>1</v>
      </c>
      <c r="AU874" s="43">
        <v>8.5002869803635833E-2</v>
      </c>
      <c r="AV874" s="33">
        <v>0</v>
      </c>
      <c r="AW874" s="33">
        <v>0</v>
      </c>
      <c r="AY874" s="36">
        <v>846</v>
      </c>
      <c r="AZ874" s="33">
        <v>2</v>
      </c>
      <c r="BA874" s="33">
        <v>4</v>
      </c>
      <c r="BB874" s="33">
        <v>1</v>
      </c>
      <c r="BC874" s="33">
        <v>1</v>
      </c>
      <c r="BD874" s="43">
        <v>0.19951405628110813</v>
      </c>
      <c r="BE874" s="33">
        <v>0</v>
      </c>
      <c r="BF874" s="33">
        <v>0</v>
      </c>
      <c r="CE874" s="36">
        <v>840</v>
      </c>
      <c r="CF874" s="33">
        <v>4</v>
      </c>
      <c r="CG874" s="33">
        <v>2</v>
      </c>
      <c r="CH874" s="33">
        <v>1</v>
      </c>
      <c r="CI874" s="33">
        <v>1</v>
      </c>
      <c r="CJ874" s="33">
        <v>7</v>
      </c>
      <c r="CK874" s="33">
        <v>0</v>
      </c>
      <c r="CL874" s="33">
        <v>0</v>
      </c>
      <c r="CM874" s="33">
        <v>4</v>
      </c>
      <c r="CN874" s="33">
        <v>6</v>
      </c>
      <c r="CO874" s="33">
        <v>1</v>
      </c>
      <c r="CP874" s="43">
        <v>0.18571204326791263</v>
      </c>
      <c r="CQ874" s="33">
        <v>0</v>
      </c>
      <c r="CR874" s="33">
        <v>0</v>
      </c>
    </row>
    <row r="875" spans="1:96" ht="15" customHeight="1" x14ac:dyDescent="0.25">
      <c r="A875" s="26">
        <v>873</v>
      </c>
      <c r="B875" s="27">
        <v>36</v>
      </c>
      <c r="C875" s="27">
        <v>0</v>
      </c>
      <c r="D875" s="27">
        <v>1</v>
      </c>
      <c r="E875" s="27">
        <v>917</v>
      </c>
      <c r="F875" s="27">
        <v>2</v>
      </c>
      <c r="G875" s="27">
        <v>6</v>
      </c>
      <c r="H875" s="27">
        <v>4</v>
      </c>
      <c r="I875" s="27">
        <v>1</v>
      </c>
      <c r="J875" s="27">
        <v>1</v>
      </c>
      <c r="K875" s="27">
        <v>1221</v>
      </c>
      <c r="L875" s="27">
        <v>3</v>
      </c>
      <c r="M875" s="27">
        <v>1</v>
      </c>
      <c r="N875" s="27">
        <v>60</v>
      </c>
      <c r="O875" s="27">
        <v>1</v>
      </c>
      <c r="P875" s="27">
        <v>1</v>
      </c>
      <c r="Q875" s="27">
        <v>3</v>
      </c>
      <c r="R875" s="27">
        <v>3</v>
      </c>
      <c r="S875" s="27">
        <v>3</v>
      </c>
      <c r="T875" s="27">
        <v>2741</v>
      </c>
      <c r="U875" s="27">
        <v>6865</v>
      </c>
      <c r="V875" s="27">
        <v>1</v>
      </c>
      <c r="W875" s="27">
        <v>0</v>
      </c>
      <c r="X875" s="27">
        <v>14</v>
      </c>
      <c r="Y875" s="27">
        <v>3</v>
      </c>
      <c r="Z875" s="27">
        <v>3</v>
      </c>
      <c r="AA875" s="27">
        <v>80</v>
      </c>
      <c r="AB875" s="27">
        <v>1</v>
      </c>
      <c r="AC875" s="27">
        <v>7</v>
      </c>
      <c r="AD875" s="27">
        <v>4</v>
      </c>
      <c r="AE875" s="27">
        <v>3</v>
      </c>
      <c r="AF875" s="27">
        <v>7</v>
      </c>
      <c r="AG875" s="27">
        <v>7</v>
      </c>
      <c r="AH875" s="27">
        <v>1</v>
      </c>
      <c r="AI875" s="28">
        <v>7</v>
      </c>
      <c r="AK875" s="36">
        <v>842</v>
      </c>
      <c r="AL875" s="33">
        <v>24</v>
      </c>
      <c r="AM875" s="33">
        <v>1</v>
      </c>
      <c r="AN875" s="33">
        <v>2</v>
      </c>
      <c r="AO875" s="33">
        <v>8</v>
      </c>
      <c r="AP875" s="33">
        <v>0</v>
      </c>
      <c r="AQ875" s="33">
        <v>0</v>
      </c>
      <c r="AR875" s="33">
        <v>3</v>
      </c>
      <c r="AS875" s="33">
        <v>4</v>
      </c>
      <c r="AT875" s="33">
        <v>1</v>
      </c>
      <c r="AU875" s="43">
        <v>0.42872415064018443</v>
      </c>
      <c r="AV875" s="33">
        <v>0</v>
      </c>
      <c r="AW875" s="33">
        <v>0</v>
      </c>
      <c r="AY875" s="36">
        <v>847</v>
      </c>
      <c r="AZ875" s="33">
        <v>3</v>
      </c>
      <c r="BA875" s="33">
        <v>2</v>
      </c>
      <c r="BB875" s="33">
        <v>0</v>
      </c>
      <c r="BC875" s="33">
        <v>1</v>
      </c>
      <c r="BD875" s="43">
        <v>5.6480788250011953E-2</v>
      </c>
      <c r="BE875" s="33">
        <v>0</v>
      </c>
      <c r="BF875" s="33">
        <v>0</v>
      </c>
      <c r="CE875" s="36">
        <v>841</v>
      </c>
      <c r="CF875" s="33">
        <v>1</v>
      </c>
      <c r="CG875" s="33">
        <v>1</v>
      </c>
      <c r="CH875" s="33">
        <v>3</v>
      </c>
      <c r="CI875" s="33">
        <v>2</v>
      </c>
      <c r="CJ875" s="33">
        <v>6</v>
      </c>
      <c r="CK875" s="33">
        <v>0</v>
      </c>
      <c r="CL875" s="33">
        <v>1</v>
      </c>
      <c r="CM875" s="33">
        <v>3</v>
      </c>
      <c r="CN875" s="33">
        <v>8</v>
      </c>
      <c r="CO875" s="33">
        <v>1</v>
      </c>
      <c r="CP875" s="43">
        <v>8.1820613230647168E-2</v>
      </c>
      <c r="CQ875" s="33">
        <v>0</v>
      </c>
      <c r="CR875" s="33">
        <v>0</v>
      </c>
    </row>
    <row r="876" spans="1:96" ht="15" customHeight="1" x14ac:dyDescent="0.25">
      <c r="A876" s="26">
        <v>874</v>
      </c>
      <c r="B876" s="27">
        <v>30</v>
      </c>
      <c r="C876" s="27">
        <v>0</v>
      </c>
      <c r="D876" s="27">
        <v>1</v>
      </c>
      <c r="E876" s="27">
        <v>853</v>
      </c>
      <c r="F876" s="27">
        <v>2</v>
      </c>
      <c r="G876" s="27">
        <v>7</v>
      </c>
      <c r="H876" s="27">
        <v>4</v>
      </c>
      <c r="I876" s="27">
        <v>1</v>
      </c>
      <c r="J876" s="27">
        <v>1</v>
      </c>
      <c r="K876" s="27">
        <v>1224</v>
      </c>
      <c r="L876" s="27">
        <v>3</v>
      </c>
      <c r="M876" s="27">
        <v>1</v>
      </c>
      <c r="N876" s="27">
        <v>49</v>
      </c>
      <c r="O876" s="27">
        <v>3</v>
      </c>
      <c r="P876" s="27">
        <v>2</v>
      </c>
      <c r="Q876" s="27">
        <v>3</v>
      </c>
      <c r="R876" s="27">
        <v>3</v>
      </c>
      <c r="S876" s="27">
        <v>3</v>
      </c>
      <c r="T876" s="27">
        <v>3491</v>
      </c>
      <c r="U876" s="27">
        <v>11309</v>
      </c>
      <c r="V876" s="27">
        <v>1</v>
      </c>
      <c r="W876" s="27">
        <v>0</v>
      </c>
      <c r="X876" s="27">
        <v>13</v>
      </c>
      <c r="Y876" s="27">
        <v>3</v>
      </c>
      <c r="Z876" s="27">
        <v>1</v>
      </c>
      <c r="AA876" s="27">
        <v>80</v>
      </c>
      <c r="AB876" s="27">
        <v>3</v>
      </c>
      <c r="AC876" s="27">
        <v>10</v>
      </c>
      <c r="AD876" s="27">
        <v>4</v>
      </c>
      <c r="AE876" s="27">
        <v>2</v>
      </c>
      <c r="AF876" s="27">
        <v>10</v>
      </c>
      <c r="AG876" s="27">
        <v>7</v>
      </c>
      <c r="AH876" s="27">
        <v>8</v>
      </c>
      <c r="AI876" s="28">
        <v>9</v>
      </c>
      <c r="AK876" s="36">
        <v>843</v>
      </c>
      <c r="AL876" s="33">
        <v>12</v>
      </c>
      <c r="AM876" s="33">
        <v>1</v>
      </c>
      <c r="AN876" s="33">
        <v>4</v>
      </c>
      <c r="AO876" s="33">
        <v>1</v>
      </c>
      <c r="AP876" s="33">
        <v>1</v>
      </c>
      <c r="AQ876" s="33">
        <v>0</v>
      </c>
      <c r="AR876" s="33">
        <v>2</v>
      </c>
      <c r="AS876" s="33">
        <v>1</v>
      </c>
      <c r="AT876" s="33">
        <v>0</v>
      </c>
      <c r="AU876" s="43">
        <v>0.48703673418073712</v>
      </c>
      <c r="AV876" s="33">
        <v>0</v>
      </c>
      <c r="AW876" s="33">
        <v>1</v>
      </c>
      <c r="AY876" s="36">
        <v>848</v>
      </c>
      <c r="AZ876" s="33">
        <v>2</v>
      </c>
      <c r="BA876" s="33">
        <v>1</v>
      </c>
      <c r="BB876" s="33">
        <v>0</v>
      </c>
      <c r="BC876" s="33">
        <v>0</v>
      </c>
      <c r="BD876" s="43">
        <v>0.19196561144667343</v>
      </c>
      <c r="BE876" s="33">
        <v>0</v>
      </c>
      <c r="BF876" s="33">
        <v>0</v>
      </c>
      <c r="CE876" s="36">
        <v>842</v>
      </c>
      <c r="CF876" s="33">
        <v>24</v>
      </c>
      <c r="CG876" s="33">
        <v>1</v>
      </c>
      <c r="CH876" s="33">
        <v>2</v>
      </c>
      <c r="CI876" s="33">
        <v>1</v>
      </c>
      <c r="CJ876" s="33">
        <v>8</v>
      </c>
      <c r="CK876" s="33">
        <v>0</v>
      </c>
      <c r="CL876" s="33">
        <v>0</v>
      </c>
      <c r="CM876" s="33">
        <v>3</v>
      </c>
      <c r="CN876" s="33">
        <v>4</v>
      </c>
      <c r="CO876" s="33">
        <v>1</v>
      </c>
      <c r="CP876" s="43">
        <v>0.47446231290420315</v>
      </c>
      <c r="CQ876" s="33">
        <v>0</v>
      </c>
      <c r="CR876" s="33">
        <v>0</v>
      </c>
    </row>
    <row r="877" spans="1:96" ht="15" customHeight="1" x14ac:dyDescent="0.25">
      <c r="A877" s="26">
        <v>875</v>
      </c>
      <c r="B877" s="27">
        <v>44</v>
      </c>
      <c r="C877" s="27">
        <v>0</v>
      </c>
      <c r="D877" s="27">
        <v>1</v>
      </c>
      <c r="E877" s="27">
        <v>200</v>
      </c>
      <c r="F877" s="27">
        <v>2</v>
      </c>
      <c r="G877" s="27">
        <v>29</v>
      </c>
      <c r="H877" s="27">
        <v>4</v>
      </c>
      <c r="I877" s="27">
        <v>6</v>
      </c>
      <c r="J877" s="27">
        <v>1</v>
      </c>
      <c r="K877" s="27">
        <v>1225</v>
      </c>
      <c r="L877" s="27">
        <v>4</v>
      </c>
      <c r="M877" s="27">
        <v>1</v>
      </c>
      <c r="N877" s="27">
        <v>32</v>
      </c>
      <c r="O877" s="27">
        <v>3</v>
      </c>
      <c r="P877" s="27">
        <v>2</v>
      </c>
      <c r="Q877" s="27">
        <v>2</v>
      </c>
      <c r="R877" s="27">
        <v>4</v>
      </c>
      <c r="S877" s="27">
        <v>1</v>
      </c>
      <c r="T877" s="27">
        <v>4541</v>
      </c>
      <c r="U877" s="27">
        <v>7744</v>
      </c>
      <c r="V877" s="27">
        <v>1</v>
      </c>
      <c r="W877" s="27">
        <v>0</v>
      </c>
      <c r="X877" s="27">
        <v>25</v>
      </c>
      <c r="Y877" s="27">
        <v>4</v>
      </c>
      <c r="Z877" s="27">
        <v>2</v>
      </c>
      <c r="AA877" s="27">
        <v>80</v>
      </c>
      <c r="AB877" s="27">
        <v>0</v>
      </c>
      <c r="AC877" s="27">
        <v>20</v>
      </c>
      <c r="AD877" s="27">
        <v>3</v>
      </c>
      <c r="AE877" s="27">
        <v>3</v>
      </c>
      <c r="AF877" s="27">
        <v>20</v>
      </c>
      <c r="AG877" s="27">
        <v>11</v>
      </c>
      <c r="AH877" s="27">
        <v>13</v>
      </c>
      <c r="AI877" s="28">
        <v>17</v>
      </c>
      <c r="AK877" s="36">
        <v>844</v>
      </c>
      <c r="AL877" s="33">
        <v>3</v>
      </c>
      <c r="AM877" s="33">
        <v>1</v>
      </c>
      <c r="AN877" s="33">
        <v>4</v>
      </c>
      <c r="AO877" s="33">
        <v>1</v>
      </c>
      <c r="AP877" s="33">
        <v>0</v>
      </c>
      <c r="AQ877" s="33">
        <v>1</v>
      </c>
      <c r="AR877" s="33">
        <v>3</v>
      </c>
      <c r="AS877" s="33">
        <v>8</v>
      </c>
      <c r="AT877" s="33">
        <v>0</v>
      </c>
      <c r="AU877" s="43">
        <v>4.1715453416867977E-2</v>
      </c>
      <c r="AV877" s="33">
        <v>0</v>
      </c>
      <c r="AW877" s="33">
        <v>0</v>
      </c>
      <c r="AY877" s="36">
        <v>849</v>
      </c>
      <c r="AZ877" s="33">
        <v>1</v>
      </c>
      <c r="BA877" s="33">
        <v>4</v>
      </c>
      <c r="BB877" s="33">
        <v>0</v>
      </c>
      <c r="BC877" s="33">
        <v>1</v>
      </c>
      <c r="BD877" s="43">
        <v>9.2486413274924434E-2</v>
      </c>
      <c r="BE877" s="33">
        <v>0</v>
      </c>
      <c r="BF877" s="33">
        <v>0</v>
      </c>
      <c r="CE877" s="36">
        <v>843</v>
      </c>
      <c r="CF877" s="33">
        <v>12</v>
      </c>
      <c r="CG877" s="33">
        <v>1</v>
      </c>
      <c r="CH877" s="33">
        <v>4</v>
      </c>
      <c r="CI877" s="33">
        <v>2</v>
      </c>
      <c r="CJ877" s="33">
        <v>1</v>
      </c>
      <c r="CK877" s="33">
        <v>1</v>
      </c>
      <c r="CL877" s="33">
        <v>0</v>
      </c>
      <c r="CM877" s="33">
        <v>2</v>
      </c>
      <c r="CN877" s="33">
        <v>1</v>
      </c>
      <c r="CO877" s="33">
        <v>0</v>
      </c>
      <c r="CP877" s="43">
        <v>0.39899915869526881</v>
      </c>
      <c r="CQ877" s="33">
        <v>0</v>
      </c>
      <c r="CR877" s="33">
        <v>1</v>
      </c>
    </row>
    <row r="878" spans="1:96" ht="15" customHeight="1" x14ac:dyDescent="0.25">
      <c r="A878" s="26">
        <v>876</v>
      </c>
      <c r="B878" s="27">
        <v>20</v>
      </c>
      <c r="C878" s="27">
        <v>0</v>
      </c>
      <c r="D878" s="27">
        <v>1</v>
      </c>
      <c r="E878" s="27">
        <v>654</v>
      </c>
      <c r="F878" s="27">
        <v>1</v>
      </c>
      <c r="G878" s="27">
        <v>21</v>
      </c>
      <c r="H878" s="27">
        <v>3</v>
      </c>
      <c r="I878" s="27">
        <v>4</v>
      </c>
      <c r="J878" s="27">
        <v>1</v>
      </c>
      <c r="K878" s="27">
        <v>1226</v>
      </c>
      <c r="L878" s="27">
        <v>3</v>
      </c>
      <c r="M878" s="27">
        <v>1</v>
      </c>
      <c r="N878" s="27">
        <v>43</v>
      </c>
      <c r="O878" s="27">
        <v>4</v>
      </c>
      <c r="P878" s="27">
        <v>1</v>
      </c>
      <c r="Q878" s="27">
        <v>7</v>
      </c>
      <c r="R878" s="27">
        <v>4</v>
      </c>
      <c r="S878" s="27">
        <v>1</v>
      </c>
      <c r="T878" s="27">
        <v>2678</v>
      </c>
      <c r="U878" s="27">
        <v>5050</v>
      </c>
      <c r="V878" s="27">
        <v>1</v>
      </c>
      <c r="W878" s="27">
        <v>0</v>
      </c>
      <c r="X878" s="27">
        <v>17</v>
      </c>
      <c r="Y878" s="27">
        <v>3</v>
      </c>
      <c r="Z878" s="27">
        <v>4</v>
      </c>
      <c r="AA878" s="27">
        <v>80</v>
      </c>
      <c r="AB878" s="27">
        <v>0</v>
      </c>
      <c r="AC878" s="27">
        <v>2</v>
      </c>
      <c r="AD878" s="27">
        <v>2</v>
      </c>
      <c r="AE878" s="27">
        <v>3</v>
      </c>
      <c r="AF878" s="27">
        <v>2</v>
      </c>
      <c r="AG878" s="27">
        <v>1</v>
      </c>
      <c r="AH878" s="27">
        <v>2</v>
      </c>
      <c r="AI878" s="28">
        <v>2</v>
      </c>
      <c r="AK878" s="36">
        <v>845</v>
      </c>
      <c r="AL878" s="33">
        <v>10</v>
      </c>
      <c r="AM878" s="33">
        <v>2</v>
      </c>
      <c r="AN878" s="33">
        <v>3</v>
      </c>
      <c r="AO878" s="33">
        <v>1</v>
      </c>
      <c r="AP878" s="33">
        <v>0</v>
      </c>
      <c r="AQ878" s="33">
        <v>1</v>
      </c>
      <c r="AR878" s="33">
        <v>3</v>
      </c>
      <c r="AS878" s="33">
        <v>10</v>
      </c>
      <c r="AT878" s="33">
        <v>1</v>
      </c>
      <c r="AU878" s="43">
        <v>3.9572791467092715E-2</v>
      </c>
      <c r="AV878" s="33">
        <v>0</v>
      </c>
      <c r="AW878" s="33">
        <v>0</v>
      </c>
      <c r="AY878" s="36">
        <v>850</v>
      </c>
      <c r="AZ878" s="33">
        <v>2</v>
      </c>
      <c r="BA878" s="33">
        <v>3</v>
      </c>
      <c r="BB878" s="33">
        <v>0</v>
      </c>
      <c r="BC878" s="33">
        <v>0</v>
      </c>
      <c r="BD878" s="43">
        <v>0.11690772887050198</v>
      </c>
      <c r="BE878" s="33">
        <v>0</v>
      </c>
      <c r="BF878" s="33">
        <v>1</v>
      </c>
      <c r="CE878" s="36">
        <v>844</v>
      </c>
      <c r="CF878" s="33">
        <v>3</v>
      </c>
      <c r="CG878" s="33">
        <v>1</v>
      </c>
      <c r="CH878" s="33">
        <v>4</v>
      </c>
      <c r="CI878" s="33">
        <v>2</v>
      </c>
      <c r="CJ878" s="33">
        <v>1</v>
      </c>
      <c r="CK878" s="33">
        <v>0</v>
      </c>
      <c r="CL878" s="33">
        <v>1</v>
      </c>
      <c r="CM878" s="33">
        <v>3</v>
      </c>
      <c r="CN878" s="33">
        <v>8</v>
      </c>
      <c r="CO878" s="33">
        <v>0</v>
      </c>
      <c r="CP878" s="43">
        <v>3.8960428094602172E-2</v>
      </c>
      <c r="CQ878" s="33">
        <v>0</v>
      </c>
      <c r="CR878" s="33">
        <v>0</v>
      </c>
    </row>
    <row r="879" spans="1:96" ht="15" customHeight="1" x14ac:dyDescent="0.25">
      <c r="A879" s="26">
        <v>877</v>
      </c>
      <c r="B879" s="27">
        <v>46</v>
      </c>
      <c r="C879" s="27">
        <v>0</v>
      </c>
      <c r="D879" s="27">
        <v>1</v>
      </c>
      <c r="E879" s="27">
        <v>150</v>
      </c>
      <c r="F879" s="27">
        <v>2</v>
      </c>
      <c r="G879" s="27">
        <v>2</v>
      </c>
      <c r="H879" s="27">
        <v>4</v>
      </c>
      <c r="I879" s="27">
        <v>5</v>
      </c>
      <c r="J879" s="27">
        <v>1</v>
      </c>
      <c r="K879" s="27">
        <v>1228</v>
      </c>
      <c r="L879" s="27">
        <v>4</v>
      </c>
      <c r="M879" s="27">
        <v>1</v>
      </c>
      <c r="N879" s="27">
        <v>60</v>
      </c>
      <c r="O879" s="27">
        <v>3</v>
      </c>
      <c r="P879" s="27">
        <v>2</v>
      </c>
      <c r="Q879" s="27">
        <v>4</v>
      </c>
      <c r="R879" s="27">
        <v>4</v>
      </c>
      <c r="S879" s="27">
        <v>3</v>
      </c>
      <c r="T879" s="27">
        <v>7379</v>
      </c>
      <c r="U879" s="27">
        <v>17433</v>
      </c>
      <c r="V879" s="27">
        <v>2</v>
      </c>
      <c r="W879" s="27">
        <v>0</v>
      </c>
      <c r="X879" s="27">
        <v>11</v>
      </c>
      <c r="Y879" s="27">
        <v>3</v>
      </c>
      <c r="Z879" s="27">
        <v>3</v>
      </c>
      <c r="AA879" s="27">
        <v>80</v>
      </c>
      <c r="AB879" s="27">
        <v>1</v>
      </c>
      <c r="AC879" s="27">
        <v>12</v>
      </c>
      <c r="AD879" s="27">
        <v>3</v>
      </c>
      <c r="AE879" s="27">
        <v>2</v>
      </c>
      <c r="AF879" s="27">
        <v>6</v>
      </c>
      <c r="AG879" s="27">
        <v>3</v>
      </c>
      <c r="AH879" s="27">
        <v>1</v>
      </c>
      <c r="AI879" s="28">
        <v>4</v>
      </c>
      <c r="AK879" s="36">
        <v>846</v>
      </c>
      <c r="AL879" s="33">
        <v>26</v>
      </c>
      <c r="AM879" s="33">
        <v>2</v>
      </c>
      <c r="AN879" s="33">
        <v>4</v>
      </c>
      <c r="AO879" s="33">
        <v>3</v>
      </c>
      <c r="AP879" s="33">
        <v>1</v>
      </c>
      <c r="AQ879" s="33">
        <v>1</v>
      </c>
      <c r="AR879" s="33">
        <v>1</v>
      </c>
      <c r="AS879" s="33">
        <v>1</v>
      </c>
      <c r="AT879" s="33">
        <v>0</v>
      </c>
      <c r="AU879" s="43">
        <v>0.42576478763406711</v>
      </c>
      <c r="AV879" s="33">
        <v>0</v>
      </c>
      <c r="AW879" s="33">
        <v>0</v>
      </c>
      <c r="AY879" s="36">
        <v>851</v>
      </c>
      <c r="AZ879" s="33">
        <v>1</v>
      </c>
      <c r="BA879" s="33">
        <v>1</v>
      </c>
      <c r="BB879" s="33">
        <v>0</v>
      </c>
      <c r="BC879" s="33">
        <v>3</v>
      </c>
      <c r="BD879" s="43">
        <v>7.8580935992741602E-2</v>
      </c>
      <c r="BE879" s="33">
        <v>0</v>
      </c>
      <c r="BF879" s="33">
        <v>0</v>
      </c>
      <c r="CE879" s="36">
        <v>845</v>
      </c>
      <c r="CF879" s="33">
        <v>10</v>
      </c>
      <c r="CG879" s="33">
        <v>2</v>
      </c>
      <c r="CH879" s="33">
        <v>3</v>
      </c>
      <c r="CI879" s="33">
        <v>2</v>
      </c>
      <c r="CJ879" s="33">
        <v>1</v>
      </c>
      <c r="CK879" s="33">
        <v>0</v>
      </c>
      <c r="CL879" s="33">
        <v>1</v>
      </c>
      <c r="CM879" s="33">
        <v>3</v>
      </c>
      <c r="CN879" s="33">
        <v>10</v>
      </c>
      <c r="CO879" s="33">
        <v>1</v>
      </c>
      <c r="CP879" s="43">
        <v>3.8016411032127329E-2</v>
      </c>
      <c r="CQ879" s="33">
        <v>0</v>
      </c>
      <c r="CR879" s="33">
        <v>0</v>
      </c>
    </row>
    <row r="880" spans="1:96" ht="15" customHeight="1" x14ac:dyDescent="0.25">
      <c r="A880" s="26">
        <v>878</v>
      </c>
      <c r="B880" s="27">
        <v>42</v>
      </c>
      <c r="C880" s="27">
        <v>0</v>
      </c>
      <c r="D880" s="27">
        <v>3</v>
      </c>
      <c r="E880" s="27">
        <v>179</v>
      </c>
      <c r="F880" s="27">
        <v>3</v>
      </c>
      <c r="G880" s="27">
        <v>2</v>
      </c>
      <c r="H880" s="27">
        <v>5</v>
      </c>
      <c r="I880" s="27">
        <v>3</v>
      </c>
      <c r="J880" s="27">
        <v>1</v>
      </c>
      <c r="K880" s="27">
        <v>1231</v>
      </c>
      <c r="L880" s="27">
        <v>4</v>
      </c>
      <c r="M880" s="27">
        <v>1</v>
      </c>
      <c r="N880" s="27">
        <v>79</v>
      </c>
      <c r="O880" s="27">
        <v>4</v>
      </c>
      <c r="P880" s="27">
        <v>2</v>
      </c>
      <c r="Q880" s="27">
        <v>9</v>
      </c>
      <c r="R880" s="27">
        <v>1</v>
      </c>
      <c r="S880" s="27">
        <v>2</v>
      </c>
      <c r="T880" s="27">
        <v>6272</v>
      </c>
      <c r="U880" s="27">
        <v>12858</v>
      </c>
      <c r="V880" s="27">
        <v>7</v>
      </c>
      <c r="W880" s="27">
        <v>0</v>
      </c>
      <c r="X880" s="27">
        <v>16</v>
      </c>
      <c r="Y880" s="27">
        <v>3</v>
      </c>
      <c r="Z880" s="27">
        <v>1</v>
      </c>
      <c r="AA880" s="27">
        <v>80</v>
      </c>
      <c r="AB880" s="27">
        <v>1</v>
      </c>
      <c r="AC880" s="27">
        <v>10</v>
      </c>
      <c r="AD880" s="27">
        <v>3</v>
      </c>
      <c r="AE880" s="27">
        <v>4</v>
      </c>
      <c r="AF880" s="27">
        <v>4</v>
      </c>
      <c r="AG880" s="27">
        <v>3</v>
      </c>
      <c r="AH880" s="27">
        <v>0</v>
      </c>
      <c r="AI880" s="28">
        <v>3</v>
      </c>
      <c r="AK880" s="36">
        <v>847</v>
      </c>
      <c r="AL880" s="33">
        <v>2</v>
      </c>
      <c r="AM880" s="33">
        <v>3</v>
      </c>
      <c r="AN880" s="33">
        <v>2</v>
      </c>
      <c r="AO880" s="33">
        <v>2</v>
      </c>
      <c r="AP880" s="33">
        <v>0</v>
      </c>
      <c r="AQ880" s="33">
        <v>1</v>
      </c>
      <c r="AR880" s="33">
        <v>4</v>
      </c>
      <c r="AS880" s="33">
        <v>7</v>
      </c>
      <c r="AT880" s="33">
        <v>6</v>
      </c>
      <c r="AU880" s="43">
        <v>4.3798567383841337E-2</v>
      </c>
      <c r="AV880" s="33">
        <v>0</v>
      </c>
      <c r="AW880" s="33">
        <v>0</v>
      </c>
      <c r="AY880" s="36">
        <v>852</v>
      </c>
      <c r="AZ880" s="33">
        <v>5</v>
      </c>
      <c r="BA880" s="33">
        <v>1</v>
      </c>
      <c r="BB880" s="33">
        <v>0</v>
      </c>
      <c r="BC880" s="33">
        <v>1</v>
      </c>
      <c r="BD880" s="43">
        <v>2.5576707213389786E-2</v>
      </c>
      <c r="BE880" s="33">
        <v>0</v>
      </c>
      <c r="BF880" s="33">
        <v>0</v>
      </c>
      <c r="CE880" s="36">
        <v>846</v>
      </c>
      <c r="CF880" s="33">
        <v>26</v>
      </c>
      <c r="CG880" s="33">
        <v>2</v>
      </c>
      <c r="CH880" s="33">
        <v>4</v>
      </c>
      <c r="CI880" s="33">
        <v>2</v>
      </c>
      <c r="CJ880" s="33">
        <v>3</v>
      </c>
      <c r="CK880" s="33">
        <v>1</v>
      </c>
      <c r="CL880" s="33">
        <v>1</v>
      </c>
      <c r="CM880" s="33">
        <v>1</v>
      </c>
      <c r="CN880" s="33">
        <v>1</v>
      </c>
      <c r="CO880" s="33">
        <v>0</v>
      </c>
      <c r="CP880" s="43">
        <v>0.42881255210259034</v>
      </c>
      <c r="CQ880" s="33">
        <v>0</v>
      </c>
      <c r="CR880" s="33">
        <v>0</v>
      </c>
    </row>
    <row r="881" spans="1:96" ht="15" customHeight="1" x14ac:dyDescent="0.25">
      <c r="A881" s="26">
        <v>879</v>
      </c>
      <c r="B881" s="27">
        <v>60</v>
      </c>
      <c r="C881" s="27">
        <v>0</v>
      </c>
      <c r="D881" s="27">
        <v>1</v>
      </c>
      <c r="E881" s="27">
        <v>696</v>
      </c>
      <c r="F881" s="27">
        <v>1</v>
      </c>
      <c r="G881" s="27">
        <v>7</v>
      </c>
      <c r="H881" s="27">
        <v>4</v>
      </c>
      <c r="I881" s="27">
        <v>4</v>
      </c>
      <c r="J881" s="27">
        <v>1</v>
      </c>
      <c r="K881" s="27">
        <v>1233</v>
      </c>
      <c r="L881" s="27">
        <v>2</v>
      </c>
      <c r="M881" s="27">
        <v>1</v>
      </c>
      <c r="N881" s="27">
        <v>52</v>
      </c>
      <c r="O881" s="27">
        <v>4</v>
      </c>
      <c r="P881" s="27">
        <v>2</v>
      </c>
      <c r="Q881" s="27">
        <v>1</v>
      </c>
      <c r="R881" s="27">
        <v>4</v>
      </c>
      <c r="S881" s="27">
        <v>3</v>
      </c>
      <c r="T881" s="27">
        <v>5220</v>
      </c>
      <c r="U881" s="27">
        <v>10893</v>
      </c>
      <c r="V881" s="27">
        <v>0</v>
      </c>
      <c r="W881" s="27">
        <v>1</v>
      </c>
      <c r="X881" s="27">
        <v>18</v>
      </c>
      <c r="Y881" s="27">
        <v>3</v>
      </c>
      <c r="Z881" s="27">
        <v>2</v>
      </c>
      <c r="AA881" s="27">
        <v>80</v>
      </c>
      <c r="AB881" s="27">
        <v>1</v>
      </c>
      <c r="AC881" s="27">
        <v>12</v>
      </c>
      <c r="AD881" s="27">
        <v>3</v>
      </c>
      <c r="AE881" s="27">
        <v>3</v>
      </c>
      <c r="AF881" s="27">
        <v>11</v>
      </c>
      <c r="AG881" s="27">
        <v>7</v>
      </c>
      <c r="AH881" s="27">
        <v>1</v>
      </c>
      <c r="AI881" s="28">
        <v>9</v>
      </c>
      <c r="AK881" s="36">
        <v>848</v>
      </c>
      <c r="AL881" s="33">
        <v>1</v>
      </c>
      <c r="AM881" s="33">
        <v>2</v>
      </c>
      <c r="AN881" s="33">
        <v>1</v>
      </c>
      <c r="AO881" s="33">
        <v>0</v>
      </c>
      <c r="AP881" s="33">
        <v>0</v>
      </c>
      <c r="AQ881" s="33">
        <v>0</v>
      </c>
      <c r="AR881" s="33">
        <v>3</v>
      </c>
      <c r="AS881" s="33">
        <v>13</v>
      </c>
      <c r="AT881" s="33">
        <v>4</v>
      </c>
      <c r="AU881" s="43">
        <v>9.1036758693964173E-2</v>
      </c>
      <c r="AV881" s="33">
        <v>0</v>
      </c>
      <c r="AW881" s="33">
        <v>0</v>
      </c>
      <c r="AY881" s="36">
        <v>853</v>
      </c>
      <c r="AZ881" s="33">
        <v>1</v>
      </c>
      <c r="BA881" s="33">
        <v>4</v>
      </c>
      <c r="BB881" s="33">
        <v>0</v>
      </c>
      <c r="BC881" s="33">
        <v>1</v>
      </c>
      <c r="BD881" s="43">
        <v>9.2486413274924434E-2</v>
      </c>
      <c r="BE881" s="33">
        <v>0</v>
      </c>
      <c r="BF881" s="33">
        <v>0</v>
      </c>
      <c r="CE881" s="36">
        <v>847</v>
      </c>
      <c r="CF881" s="33">
        <v>2</v>
      </c>
      <c r="CG881" s="33">
        <v>3</v>
      </c>
      <c r="CH881" s="33">
        <v>2</v>
      </c>
      <c r="CI881" s="33">
        <v>3</v>
      </c>
      <c r="CJ881" s="33">
        <v>2</v>
      </c>
      <c r="CK881" s="33">
        <v>0</v>
      </c>
      <c r="CL881" s="33">
        <v>1</v>
      </c>
      <c r="CM881" s="33">
        <v>4</v>
      </c>
      <c r="CN881" s="33">
        <v>7</v>
      </c>
      <c r="CO881" s="33">
        <v>6</v>
      </c>
      <c r="CP881" s="43">
        <v>2.5451152347484574E-2</v>
      </c>
      <c r="CQ881" s="33">
        <v>0</v>
      </c>
      <c r="CR881" s="33">
        <v>0</v>
      </c>
    </row>
    <row r="882" spans="1:96" ht="15" customHeight="1" x14ac:dyDescent="0.25">
      <c r="A882" s="26">
        <v>880</v>
      </c>
      <c r="B882" s="27">
        <v>32</v>
      </c>
      <c r="C882" s="27">
        <v>0</v>
      </c>
      <c r="D882" s="27">
        <v>2</v>
      </c>
      <c r="E882" s="27">
        <v>116</v>
      </c>
      <c r="F882" s="27">
        <v>2</v>
      </c>
      <c r="G882" s="27">
        <v>13</v>
      </c>
      <c r="H882" s="27">
        <v>3</v>
      </c>
      <c r="I882" s="27">
        <v>6</v>
      </c>
      <c r="J882" s="27">
        <v>1</v>
      </c>
      <c r="K882" s="27">
        <v>1234</v>
      </c>
      <c r="L882" s="27">
        <v>3</v>
      </c>
      <c r="M882" s="27">
        <v>0</v>
      </c>
      <c r="N882" s="27">
        <v>77</v>
      </c>
      <c r="O882" s="27">
        <v>2</v>
      </c>
      <c r="P882" s="27">
        <v>1</v>
      </c>
      <c r="Q882" s="27">
        <v>3</v>
      </c>
      <c r="R882" s="27">
        <v>2</v>
      </c>
      <c r="S882" s="27">
        <v>2</v>
      </c>
      <c r="T882" s="27">
        <v>2743</v>
      </c>
      <c r="U882" s="27">
        <v>7331</v>
      </c>
      <c r="V882" s="27">
        <v>1</v>
      </c>
      <c r="W882" s="27">
        <v>0</v>
      </c>
      <c r="X882" s="27">
        <v>20</v>
      </c>
      <c r="Y882" s="27">
        <v>4</v>
      </c>
      <c r="Z882" s="27">
        <v>3</v>
      </c>
      <c r="AA882" s="27">
        <v>80</v>
      </c>
      <c r="AB882" s="27">
        <v>1</v>
      </c>
      <c r="AC882" s="27">
        <v>2</v>
      </c>
      <c r="AD882" s="27">
        <v>2</v>
      </c>
      <c r="AE882" s="27">
        <v>3</v>
      </c>
      <c r="AF882" s="27">
        <v>2</v>
      </c>
      <c r="AG882" s="27">
        <v>2</v>
      </c>
      <c r="AH882" s="27">
        <v>2</v>
      </c>
      <c r="AI882" s="28">
        <v>2</v>
      </c>
      <c r="AK882" s="36">
        <v>849</v>
      </c>
      <c r="AL882" s="33">
        <v>4</v>
      </c>
      <c r="AM882" s="33">
        <v>1</v>
      </c>
      <c r="AN882" s="33">
        <v>4</v>
      </c>
      <c r="AO882" s="33">
        <v>1</v>
      </c>
      <c r="AP882" s="33">
        <v>0</v>
      </c>
      <c r="AQ882" s="33">
        <v>1</v>
      </c>
      <c r="AR882" s="33">
        <v>4</v>
      </c>
      <c r="AS882" s="33">
        <v>2</v>
      </c>
      <c r="AT882" s="33">
        <v>2</v>
      </c>
      <c r="AU882" s="43">
        <v>6.4534642061972305E-2</v>
      </c>
      <c r="AV882" s="33">
        <v>0</v>
      </c>
      <c r="AW882" s="33">
        <v>0</v>
      </c>
      <c r="AY882" s="36">
        <v>854</v>
      </c>
      <c r="AZ882" s="33">
        <v>1</v>
      </c>
      <c r="BA882" s="33">
        <v>1</v>
      </c>
      <c r="BB882" s="33">
        <v>0</v>
      </c>
      <c r="BC882" s="33">
        <v>0</v>
      </c>
      <c r="BD882" s="43">
        <v>0.29341085656570393</v>
      </c>
      <c r="BE882" s="33">
        <v>0</v>
      </c>
      <c r="BF882" s="33">
        <v>0</v>
      </c>
      <c r="CE882" s="36">
        <v>848</v>
      </c>
      <c r="CF882" s="33">
        <v>1</v>
      </c>
      <c r="CG882" s="33">
        <v>2</v>
      </c>
      <c r="CH882" s="33">
        <v>1</v>
      </c>
      <c r="CI882" s="33">
        <v>1</v>
      </c>
      <c r="CJ882" s="33">
        <v>0</v>
      </c>
      <c r="CK882" s="33">
        <v>0</v>
      </c>
      <c r="CL882" s="33">
        <v>0</v>
      </c>
      <c r="CM882" s="33">
        <v>3</v>
      </c>
      <c r="CN882" s="33">
        <v>13</v>
      </c>
      <c r="CO882" s="33">
        <v>4</v>
      </c>
      <c r="CP882" s="43">
        <v>0.110354476539077</v>
      </c>
      <c r="CQ882" s="33">
        <v>0</v>
      </c>
      <c r="CR882" s="33">
        <v>0</v>
      </c>
    </row>
    <row r="883" spans="1:96" ht="15" customHeight="1" x14ac:dyDescent="0.25">
      <c r="A883" s="26">
        <v>881</v>
      </c>
      <c r="B883" s="27">
        <v>32</v>
      </c>
      <c r="C883" s="27">
        <v>0</v>
      </c>
      <c r="D883" s="27">
        <v>2</v>
      </c>
      <c r="E883" s="27">
        <v>1316</v>
      </c>
      <c r="F883" s="27">
        <v>2</v>
      </c>
      <c r="G883" s="27">
        <v>2</v>
      </c>
      <c r="H883" s="27">
        <v>2</v>
      </c>
      <c r="I883" s="27">
        <v>1</v>
      </c>
      <c r="J883" s="27">
        <v>1</v>
      </c>
      <c r="K883" s="27">
        <v>1235</v>
      </c>
      <c r="L883" s="27">
        <v>4</v>
      </c>
      <c r="M883" s="27">
        <v>0</v>
      </c>
      <c r="N883" s="27">
        <v>38</v>
      </c>
      <c r="O883" s="27">
        <v>3</v>
      </c>
      <c r="P883" s="27">
        <v>2</v>
      </c>
      <c r="Q883" s="27">
        <v>2</v>
      </c>
      <c r="R883" s="27">
        <v>3</v>
      </c>
      <c r="S883" s="27">
        <v>1</v>
      </c>
      <c r="T883" s="27">
        <v>4998</v>
      </c>
      <c r="U883" s="27">
        <v>2338</v>
      </c>
      <c r="V883" s="27">
        <v>4</v>
      </c>
      <c r="W883" s="27">
        <v>1</v>
      </c>
      <c r="X883" s="27">
        <v>14</v>
      </c>
      <c r="Y883" s="27">
        <v>3</v>
      </c>
      <c r="Z883" s="27">
        <v>4</v>
      </c>
      <c r="AA883" s="27">
        <v>80</v>
      </c>
      <c r="AB883" s="27">
        <v>0</v>
      </c>
      <c r="AC883" s="27">
        <v>10</v>
      </c>
      <c r="AD883" s="27">
        <v>2</v>
      </c>
      <c r="AE883" s="27">
        <v>3</v>
      </c>
      <c r="AF883" s="27">
        <v>8</v>
      </c>
      <c r="AG883" s="27">
        <v>7</v>
      </c>
      <c r="AH883" s="27">
        <v>0</v>
      </c>
      <c r="AI883" s="28">
        <v>7</v>
      </c>
      <c r="AK883" s="36">
        <v>850</v>
      </c>
      <c r="AL883" s="33">
        <v>9</v>
      </c>
      <c r="AM883" s="33">
        <v>2</v>
      </c>
      <c r="AN883" s="33">
        <v>3</v>
      </c>
      <c r="AO883" s="33">
        <v>8</v>
      </c>
      <c r="AP883" s="33">
        <v>0</v>
      </c>
      <c r="AQ883" s="33">
        <v>0</v>
      </c>
      <c r="AR883" s="33">
        <v>2</v>
      </c>
      <c r="AS883" s="33">
        <v>4</v>
      </c>
      <c r="AT883" s="33">
        <v>1</v>
      </c>
      <c r="AU883" s="43">
        <v>0.19739232157630354</v>
      </c>
      <c r="AV883" s="33">
        <v>0</v>
      </c>
      <c r="AW883" s="33">
        <v>1</v>
      </c>
      <c r="AY883" s="36">
        <v>855</v>
      </c>
      <c r="AZ883" s="33">
        <v>1</v>
      </c>
      <c r="BA883" s="33">
        <v>3</v>
      </c>
      <c r="BB883" s="33">
        <v>1</v>
      </c>
      <c r="BC883" s="33">
        <v>1</v>
      </c>
      <c r="BD883" s="43">
        <v>0.36852652578740397</v>
      </c>
      <c r="BE883" s="33">
        <v>0</v>
      </c>
      <c r="BF883" s="33">
        <v>0</v>
      </c>
      <c r="CE883" s="36">
        <v>849</v>
      </c>
      <c r="CF883" s="33">
        <v>4</v>
      </c>
      <c r="CG883" s="33">
        <v>1</v>
      </c>
      <c r="CH883" s="33">
        <v>4</v>
      </c>
      <c r="CI883" s="33">
        <v>2</v>
      </c>
      <c r="CJ883" s="33">
        <v>1</v>
      </c>
      <c r="CK883" s="33">
        <v>0</v>
      </c>
      <c r="CL883" s="33">
        <v>1</v>
      </c>
      <c r="CM883" s="33">
        <v>4</v>
      </c>
      <c r="CN883" s="33">
        <v>2</v>
      </c>
      <c r="CO883" s="33">
        <v>2</v>
      </c>
      <c r="CP883" s="43">
        <v>5.9947478853244661E-2</v>
      </c>
      <c r="CQ883" s="33">
        <v>0</v>
      </c>
      <c r="CR883" s="33">
        <v>0</v>
      </c>
    </row>
    <row r="884" spans="1:96" ht="15" customHeight="1" x14ac:dyDescent="0.25">
      <c r="A884" s="26">
        <v>882</v>
      </c>
      <c r="B884" s="27">
        <v>36</v>
      </c>
      <c r="C884" s="27">
        <v>0</v>
      </c>
      <c r="D884" s="27">
        <v>1</v>
      </c>
      <c r="E884" s="27">
        <v>363</v>
      </c>
      <c r="F884" s="27">
        <v>2</v>
      </c>
      <c r="G884" s="27">
        <v>1</v>
      </c>
      <c r="H884" s="27">
        <v>3</v>
      </c>
      <c r="I884" s="27">
        <v>5</v>
      </c>
      <c r="J884" s="27">
        <v>1</v>
      </c>
      <c r="K884" s="27">
        <v>1237</v>
      </c>
      <c r="L884" s="27">
        <v>3</v>
      </c>
      <c r="M884" s="27">
        <v>0</v>
      </c>
      <c r="N884" s="27">
        <v>77</v>
      </c>
      <c r="O884" s="27">
        <v>1</v>
      </c>
      <c r="P884" s="27">
        <v>3</v>
      </c>
      <c r="Q884" s="27">
        <v>4</v>
      </c>
      <c r="R884" s="27">
        <v>1</v>
      </c>
      <c r="S884" s="27">
        <v>3</v>
      </c>
      <c r="T884" s="27">
        <v>10252</v>
      </c>
      <c r="U884" s="27">
        <v>4235</v>
      </c>
      <c r="V884" s="27">
        <v>2</v>
      </c>
      <c r="W884" s="27">
        <v>1</v>
      </c>
      <c r="X884" s="27">
        <v>21</v>
      </c>
      <c r="Y884" s="27">
        <v>4</v>
      </c>
      <c r="Z884" s="27">
        <v>3</v>
      </c>
      <c r="AA884" s="27">
        <v>80</v>
      </c>
      <c r="AB884" s="27">
        <v>1</v>
      </c>
      <c r="AC884" s="27">
        <v>17</v>
      </c>
      <c r="AD884" s="27">
        <v>2</v>
      </c>
      <c r="AE884" s="27">
        <v>3</v>
      </c>
      <c r="AF884" s="27">
        <v>7</v>
      </c>
      <c r="AG884" s="27">
        <v>7</v>
      </c>
      <c r="AH884" s="27">
        <v>7</v>
      </c>
      <c r="AI884" s="28">
        <v>7</v>
      </c>
      <c r="AK884" s="36">
        <v>851</v>
      </c>
      <c r="AL884" s="33">
        <v>2</v>
      </c>
      <c r="AM884" s="33">
        <v>1</v>
      </c>
      <c r="AN884" s="33">
        <v>1</v>
      </c>
      <c r="AO884" s="33">
        <v>1</v>
      </c>
      <c r="AP884" s="33">
        <v>0</v>
      </c>
      <c r="AQ884" s="33">
        <v>3</v>
      </c>
      <c r="AR884" s="33">
        <v>3</v>
      </c>
      <c r="AS884" s="33">
        <v>1</v>
      </c>
      <c r="AT884" s="33">
        <v>0</v>
      </c>
      <c r="AU884" s="43">
        <v>5.110874178200725E-2</v>
      </c>
      <c r="AV884" s="33">
        <v>0</v>
      </c>
      <c r="AW884" s="33">
        <v>0</v>
      </c>
      <c r="AY884" s="36">
        <v>856</v>
      </c>
      <c r="AZ884" s="33">
        <v>2</v>
      </c>
      <c r="BA884" s="33">
        <v>4</v>
      </c>
      <c r="BB884" s="33">
        <v>0</v>
      </c>
      <c r="BC884" s="33">
        <v>1</v>
      </c>
      <c r="BD884" s="43">
        <v>5.5093218126976727E-2</v>
      </c>
      <c r="BE884" s="33">
        <v>0</v>
      </c>
      <c r="BF884" s="33">
        <v>0</v>
      </c>
      <c r="CE884" s="36">
        <v>850</v>
      </c>
      <c r="CF884" s="33">
        <v>9</v>
      </c>
      <c r="CG884" s="33">
        <v>2</v>
      </c>
      <c r="CH884" s="33">
        <v>3</v>
      </c>
      <c r="CI884" s="33">
        <v>1</v>
      </c>
      <c r="CJ884" s="33">
        <v>8</v>
      </c>
      <c r="CK884" s="33">
        <v>0</v>
      </c>
      <c r="CL884" s="33">
        <v>0</v>
      </c>
      <c r="CM884" s="33">
        <v>2</v>
      </c>
      <c r="CN884" s="33">
        <v>4</v>
      </c>
      <c r="CO884" s="33">
        <v>1</v>
      </c>
      <c r="CP884" s="43">
        <v>0.23079499805467887</v>
      </c>
      <c r="CQ884" s="33">
        <v>0</v>
      </c>
      <c r="CR884" s="33">
        <v>1</v>
      </c>
    </row>
    <row r="885" spans="1:96" ht="15" customHeight="1" x14ac:dyDescent="0.25">
      <c r="A885" s="26">
        <v>883</v>
      </c>
      <c r="B885" s="27">
        <v>33</v>
      </c>
      <c r="C885" s="27">
        <v>0</v>
      </c>
      <c r="D885" s="27">
        <v>1</v>
      </c>
      <c r="E885" s="27">
        <v>117</v>
      </c>
      <c r="F885" s="27">
        <v>2</v>
      </c>
      <c r="G885" s="27">
        <v>9</v>
      </c>
      <c r="H885" s="27">
        <v>3</v>
      </c>
      <c r="I885" s="27">
        <v>3</v>
      </c>
      <c r="J885" s="27">
        <v>1</v>
      </c>
      <c r="K885" s="27">
        <v>1238</v>
      </c>
      <c r="L885" s="27">
        <v>1</v>
      </c>
      <c r="M885" s="27">
        <v>1</v>
      </c>
      <c r="N885" s="27">
        <v>60</v>
      </c>
      <c r="O885" s="27">
        <v>3</v>
      </c>
      <c r="P885" s="27">
        <v>1</v>
      </c>
      <c r="Q885" s="27">
        <v>2</v>
      </c>
      <c r="R885" s="27">
        <v>4</v>
      </c>
      <c r="S885" s="27">
        <v>2</v>
      </c>
      <c r="T885" s="27">
        <v>2781</v>
      </c>
      <c r="U885" s="27">
        <v>6311</v>
      </c>
      <c r="V885" s="27">
        <v>0</v>
      </c>
      <c r="W885" s="27">
        <v>0</v>
      </c>
      <c r="X885" s="27">
        <v>13</v>
      </c>
      <c r="Y885" s="27">
        <v>3</v>
      </c>
      <c r="Z885" s="27">
        <v>2</v>
      </c>
      <c r="AA885" s="27">
        <v>80</v>
      </c>
      <c r="AB885" s="27">
        <v>1</v>
      </c>
      <c r="AC885" s="27">
        <v>15</v>
      </c>
      <c r="AD885" s="27">
        <v>5</v>
      </c>
      <c r="AE885" s="27">
        <v>3</v>
      </c>
      <c r="AF885" s="27">
        <v>14</v>
      </c>
      <c r="AG885" s="27">
        <v>10</v>
      </c>
      <c r="AH885" s="27">
        <v>4</v>
      </c>
      <c r="AI885" s="28">
        <v>10</v>
      </c>
      <c r="AK885" s="36">
        <v>852</v>
      </c>
      <c r="AL885" s="33">
        <v>4</v>
      </c>
      <c r="AM885" s="33">
        <v>5</v>
      </c>
      <c r="AN885" s="33">
        <v>1</v>
      </c>
      <c r="AO885" s="33">
        <v>4</v>
      </c>
      <c r="AP885" s="33">
        <v>0</v>
      </c>
      <c r="AQ885" s="33">
        <v>1</v>
      </c>
      <c r="AR885" s="33">
        <v>3</v>
      </c>
      <c r="AS885" s="33">
        <v>5</v>
      </c>
      <c r="AT885" s="33">
        <v>4</v>
      </c>
      <c r="AU885" s="43">
        <v>2.905130737523362E-2</v>
      </c>
      <c r="AV885" s="33">
        <v>0</v>
      </c>
      <c r="AW885" s="33">
        <v>0</v>
      </c>
      <c r="AY885" s="36">
        <v>857</v>
      </c>
      <c r="AZ885" s="33">
        <v>1</v>
      </c>
      <c r="BA885" s="33">
        <v>3</v>
      </c>
      <c r="BB885" s="33">
        <v>0</v>
      </c>
      <c r="BC885" s="33">
        <v>0</v>
      </c>
      <c r="BD885" s="43">
        <v>0.18791247240909698</v>
      </c>
      <c r="BE885" s="33">
        <v>0</v>
      </c>
      <c r="BF885" s="33">
        <v>0</v>
      </c>
      <c r="CE885" s="36">
        <v>851</v>
      </c>
      <c r="CF885" s="33">
        <v>2</v>
      </c>
      <c r="CG885" s="33">
        <v>1</v>
      </c>
      <c r="CH885" s="33">
        <v>1</v>
      </c>
      <c r="CI885" s="33">
        <v>3</v>
      </c>
      <c r="CJ885" s="33">
        <v>1</v>
      </c>
      <c r="CK885" s="33">
        <v>0</v>
      </c>
      <c r="CL885" s="33">
        <v>3</v>
      </c>
      <c r="CM885" s="33">
        <v>3</v>
      </c>
      <c r="CN885" s="33">
        <v>1</v>
      </c>
      <c r="CO885" s="33">
        <v>0</v>
      </c>
      <c r="CP885" s="43">
        <v>5.7330623520215458E-2</v>
      </c>
      <c r="CQ885" s="33">
        <v>0</v>
      </c>
      <c r="CR885" s="33">
        <v>0</v>
      </c>
    </row>
    <row r="886" spans="1:96" ht="15" customHeight="1" x14ac:dyDescent="0.25">
      <c r="A886" s="26">
        <v>884</v>
      </c>
      <c r="B886" s="27">
        <v>40</v>
      </c>
      <c r="C886" s="27">
        <v>0</v>
      </c>
      <c r="D886" s="27">
        <v>1</v>
      </c>
      <c r="E886" s="27">
        <v>107</v>
      </c>
      <c r="F886" s="27">
        <v>1</v>
      </c>
      <c r="G886" s="27">
        <v>10</v>
      </c>
      <c r="H886" s="27">
        <v>3</v>
      </c>
      <c r="I886" s="27">
        <v>5</v>
      </c>
      <c r="J886" s="27">
        <v>1</v>
      </c>
      <c r="K886" s="27">
        <v>1239</v>
      </c>
      <c r="L886" s="27">
        <v>2</v>
      </c>
      <c r="M886" s="27">
        <v>0</v>
      </c>
      <c r="N886" s="27">
        <v>84</v>
      </c>
      <c r="O886" s="27">
        <v>2</v>
      </c>
      <c r="P886" s="27">
        <v>2</v>
      </c>
      <c r="Q886" s="27">
        <v>1</v>
      </c>
      <c r="R886" s="27">
        <v>2</v>
      </c>
      <c r="S886" s="27">
        <v>3</v>
      </c>
      <c r="T886" s="27">
        <v>6852</v>
      </c>
      <c r="U886" s="27">
        <v>11591</v>
      </c>
      <c r="V886" s="27">
        <v>7</v>
      </c>
      <c r="W886" s="27">
        <v>0</v>
      </c>
      <c r="X886" s="27">
        <v>12</v>
      </c>
      <c r="Y886" s="27">
        <v>3</v>
      </c>
      <c r="Z886" s="27">
        <v>2</v>
      </c>
      <c r="AA886" s="27">
        <v>80</v>
      </c>
      <c r="AB886" s="27">
        <v>1</v>
      </c>
      <c r="AC886" s="27">
        <v>7</v>
      </c>
      <c r="AD886" s="27">
        <v>2</v>
      </c>
      <c r="AE886" s="27">
        <v>4</v>
      </c>
      <c r="AF886" s="27">
        <v>5</v>
      </c>
      <c r="AG886" s="27">
        <v>1</v>
      </c>
      <c r="AH886" s="27">
        <v>1</v>
      </c>
      <c r="AI886" s="28">
        <v>3</v>
      </c>
      <c r="AK886" s="36">
        <v>853</v>
      </c>
      <c r="AL886" s="33">
        <v>6</v>
      </c>
      <c r="AM886" s="33">
        <v>1</v>
      </c>
      <c r="AN886" s="33">
        <v>4</v>
      </c>
      <c r="AO886" s="33">
        <v>1</v>
      </c>
      <c r="AP886" s="33">
        <v>0</v>
      </c>
      <c r="AQ886" s="33">
        <v>1</v>
      </c>
      <c r="AR886" s="33">
        <v>3</v>
      </c>
      <c r="AS886" s="33">
        <v>10</v>
      </c>
      <c r="AT886" s="33">
        <v>0</v>
      </c>
      <c r="AU886" s="43">
        <v>4.0018378108085617E-2</v>
      </c>
      <c r="AV886" s="33">
        <v>0</v>
      </c>
      <c r="AW886" s="33">
        <v>0</v>
      </c>
      <c r="AY886" s="36">
        <v>858</v>
      </c>
      <c r="AZ886" s="33">
        <v>1</v>
      </c>
      <c r="BA886" s="33">
        <v>3</v>
      </c>
      <c r="BB886" s="33">
        <v>1</v>
      </c>
      <c r="BC886" s="33">
        <v>0</v>
      </c>
      <c r="BD886" s="43">
        <v>0.49727340882350407</v>
      </c>
      <c r="BE886" s="33">
        <v>0</v>
      </c>
      <c r="BF886" s="33">
        <v>1</v>
      </c>
      <c r="CE886" s="36">
        <v>852</v>
      </c>
      <c r="CF886" s="33">
        <v>4</v>
      </c>
      <c r="CG886" s="33">
        <v>5</v>
      </c>
      <c r="CH886" s="33">
        <v>1</v>
      </c>
      <c r="CI886" s="33">
        <v>3</v>
      </c>
      <c r="CJ886" s="33">
        <v>4</v>
      </c>
      <c r="CK886" s="33">
        <v>0</v>
      </c>
      <c r="CL886" s="33">
        <v>1</v>
      </c>
      <c r="CM886" s="33">
        <v>3</v>
      </c>
      <c r="CN886" s="33">
        <v>5</v>
      </c>
      <c r="CO886" s="33">
        <v>4</v>
      </c>
      <c r="CP886" s="43">
        <v>1.7700310320530713E-2</v>
      </c>
      <c r="CQ886" s="33">
        <v>0</v>
      </c>
      <c r="CR886" s="33">
        <v>0</v>
      </c>
    </row>
    <row r="887" spans="1:96" ht="15" customHeight="1" x14ac:dyDescent="0.25">
      <c r="A887" s="26">
        <v>885</v>
      </c>
      <c r="B887" s="27">
        <v>25</v>
      </c>
      <c r="C887" s="27">
        <v>0</v>
      </c>
      <c r="D887" s="27">
        <v>1</v>
      </c>
      <c r="E887" s="27">
        <v>1356</v>
      </c>
      <c r="F887" s="27">
        <v>1</v>
      </c>
      <c r="G887" s="27">
        <v>10</v>
      </c>
      <c r="H887" s="27">
        <v>4</v>
      </c>
      <c r="I887" s="27">
        <v>1</v>
      </c>
      <c r="J887" s="27">
        <v>1</v>
      </c>
      <c r="K887" s="27">
        <v>1240</v>
      </c>
      <c r="L887" s="27">
        <v>3</v>
      </c>
      <c r="M887" s="27">
        <v>1</v>
      </c>
      <c r="N887" s="27">
        <v>57</v>
      </c>
      <c r="O887" s="27">
        <v>3</v>
      </c>
      <c r="P887" s="27">
        <v>2</v>
      </c>
      <c r="Q887" s="27">
        <v>1</v>
      </c>
      <c r="R887" s="27">
        <v>4</v>
      </c>
      <c r="S887" s="27">
        <v>1</v>
      </c>
      <c r="T887" s="27">
        <v>4950</v>
      </c>
      <c r="U887" s="27">
        <v>20623</v>
      </c>
      <c r="V887" s="27">
        <v>0</v>
      </c>
      <c r="W887" s="27">
        <v>0</v>
      </c>
      <c r="X887" s="27">
        <v>14</v>
      </c>
      <c r="Y887" s="27">
        <v>3</v>
      </c>
      <c r="Z887" s="27">
        <v>2</v>
      </c>
      <c r="AA887" s="27">
        <v>80</v>
      </c>
      <c r="AB887" s="27">
        <v>0</v>
      </c>
      <c r="AC887" s="27">
        <v>5</v>
      </c>
      <c r="AD887" s="27">
        <v>4</v>
      </c>
      <c r="AE887" s="27">
        <v>3</v>
      </c>
      <c r="AF887" s="27">
        <v>4</v>
      </c>
      <c r="AG887" s="27">
        <v>3</v>
      </c>
      <c r="AH887" s="27">
        <v>1</v>
      </c>
      <c r="AI887" s="28">
        <v>1</v>
      </c>
      <c r="AK887" s="36">
        <v>854</v>
      </c>
      <c r="AL887" s="33">
        <v>9</v>
      </c>
      <c r="AM887" s="33">
        <v>1</v>
      </c>
      <c r="AN887" s="33">
        <v>1</v>
      </c>
      <c r="AO887" s="33">
        <v>1</v>
      </c>
      <c r="AP887" s="33">
        <v>0</v>
      </c>
      <c r="AQ887" s="33">
        <v>0</v>
      </c>
      <c r="AR887" s="33">
        <v>3</v>
      </c>
      <c r="AS887" s="33">
        <v>1</v>
      </c>
      <c r="AT887" s="33">
        <v>0</v>
      </c>
      <c r="AU887" s="43">
        <v>0.27199660212274523</v>
      </c>
      <c r="AV887" s="33">
        <v>0</v>
      </c>
      <c r="AW887" s="33">
        <v>0</v>
      </c>
      <c r="AY887" s="36">
        <v>859</v>
      </c>
      <c r="AZ887" s="33">
        <v>5</v>
      </c>
      <c r="BA887" s="33">
        <v>3</v>
      </c>
      <c r="BB887" s="33">
        <v>0</v>
      </c>
      <c r="BC887" s="33">
        <v>1</v>
      </c>
      <c r="BD887" s="43">
        <v>1.4415653001325196E-2</v>
      </c>
      <c r="BE887" s="33">
        <v>0</v>
      </c>
      <c r="BF887" s="33">
        <v>0</v>
      </c>
      <c r="CE887" s="36">
        <v>853</v>
      </c>
      <c r="CF887" s="33">
        <v>6</v>
      </c>
      <c r="CG887" s="33">
        <v>1</v>
      </c>
      <c r="CH887" s="33">
        <v>4</v>
      </c>
      <c r="CI887" s="33">
        <v>2</v>
      </c>
      <c r="CJ887" s="33">
        <v>1</v>
      </c>
      <c r="CK887" s="33">
        <v>0</v>
      </c>
      <c r="CL887" s="33">
        <v>1</v>
      </c>
      <c r="CM887" s="33">
        <v>3</v>
      </c>
      <c r="CN887" s="33">
        <v>10</v>
      </c>
      <c r="CO887" s="33">
        <v>0</v>
      </c>
      <c r="CP887" s="43">
        <v>3.7299685233426014E-2</v>
      </c>
      <c r="CQ887" s="33">
        <v>0</v>
      </c>
      <c r="CR887" s="33">
        <v>0</v>
      </c>
    </row>
    <row r="888" spans="1:96" ht="15" customHeight="1" x14ac:dyDescent="0.25">
      <c r="A888" s="26">
        <v>886</v>
      </c>
      <c r="B888" s="27">
        <v>30</v>
      </c>
      <c r="C888" s="27">
        <v>0</v>
      </c>
      <c r="D888" s="27">
        <v>1</v>
      </c>
      <c r="E888" s="27">
        <v>1465</v>
      </c>
      <c r="F888" s="27">
        <v>2</v>
      </c>
      <c r="G888" s="27">
        <v>1</v>
      </c>
      <c r="H888" s="27">
        <v>3</v>
      </c>
      <c r="I888" s="27">
        <v>3</v>
      </c>
      <c r="J888" s="27">
        <v>1</v>
      </c>
      <c r="K888" s="27">
        <v>1241</v>
      </c>
      <c r="L888" s="27">
        <v>4</v>
      </c>
      <c r="M888" s="27">
        <v>1</v>
      </c>
      <c r="N888" s="27">
        <v>63</v>
      </c>
      <c r="O888" s="27">
        <v>3</v>
      </c>
      <c r="P888" s="27">
        <v>1</v>
      </c>
      <c r="Q888" s="27">
        <v>2</v>
      </c>
      <c r="R888" s="27">
        <v>2</v>
      </c>
      <c r="S888" s="27">
        <v>2</v>
      </c>
      <c r="T888" s="27">
        <v>3579</v>
      </c>
      <c r="U888" s="27">
        <v>9369</v>
      </c>
      <c r="V888" s="27">
        <v>0</v>
      </c>
      <c r="W888" s="27">
        <v>1</v>
      </c>
      <c r="X888" s="27">
        <v>21</v>
      </c>
      <c r="Y888" s="27">
        <v>4</v>
      </c>
      <c r="Z888" s="27">
        <v>1</v>
      </c>
      <c r="AA888" s="27">
        <v>80</v>
      </c>
      <c r="AB888" s="27">
        <v>1</v>
      </c>
      <c r="AC888" s="27">
        <v>12</v>
      </c>
      <c r="AD888" s="27">
        <v>2</v>
      </c>
      <c r="AE888" s="27">
        <v>3</v>
      </c>
      <c r="AF888" s="27">
        <v>11</v>
      </c>
      <c r="AG888" s="27">
        <v>9</v>
      </c>
      <c r="AH888" s="27">
        <v>5</v>
      </c>
      <c r="AI888" s="28">
        <v>7</v>
      </c>
      <c r="AK888" s="36">
        <v>855</v>
      </c>
      <c r="AL888" s="33">
        <v>7</v>
      </c>
      <c r="AM888" s="33">
        <v>1</v>
      </c>
      <c r="AN888" s="33">
        <v>3</v>
      </c>
      <c r="AO888" s="33">
        <v>4</v>
      </c>
      <c r="AP888" s="33">
        <v>1</v>
      </c>
      <c r="AQ888" s="33">
        <v>1</v>
      </c>
      <c r="AR888" s="33">
        <v>2</v>
      </c>
      <c r="AS888" s="33">
        <v>3</v>
      </c>
      <c r="AT888" s="33">
        <v>0</v>
      </c>
      <c r="AU888" s="43">
        <v>0.40434501318414101</v>
      </c>
      <c r="AV888" s="33">
        <v>0</v>
      </c>
      <c r="AW888" s="33">
        <v>0</v>
      </c>
      <c r="AY888" s="36">
        <v>860</v>
      </c>
      <c r="AZ888" s="33">
        <v>1</v>
      </c>
      <c r="BA888" s="33">
        <v>4</v>
      </c>
      <c r="BB888" s="33">
        <v>1</v>
      </c>
      <c r="BC888" s="33">
        <v>1</v>
      </c>
      <c r="BD888" s="43">
        <v>0.30345027699196836</v>
      </c>
      <c r="BE888" s="33">
        <v>0</v>
      </c>
      <c r="BF888" s="33">
        <v>0</v>
      </c>
      <c r="CE888" s="36">
        <v>854</v>
      </c>
      <c r="CF888" s="33">
        <v>9</v>
      </c>
      <c r="CG888" s="33">
        <v>1</v>
      </c>
      <c r="CH888" s="33">
        <v>1</v>
      </c>
      <c r="CI888" s="33">
        <v>1</v>
      </c>
      <c r="CJ888" s="33">
        <v>1</v>
      </c>
      <c r="CK888" s="33">
        <v>0</v>
      </c>
      <c r="CL888" s="33">
        <v>0</v>
      </c>
      <c r="CM888" s="33">
        <v>3</v>
      </c>
      <c r="CN888" s="33">
        <v>1</v>
      </c>
      <c r="CO888" s="33">
        <v>0</v>
      </c>
      <c r="CP888" s="43">
        <v>0.31243596838789678</v>
      </c>
      <c r="CQ888" s="33">
        <v>0</v>
      </c>
      <c r="CR888" s="33">
        <v>0</v>
      </c>
    </row>
    <row r="889" spans="1:96" ht="15" customHeight="1" x14ac:dyDescent="0.25">
      <c r="A889" s="26">
        <v>887</v>
      </c>
      <c r="B889" s="27">
        <v>42</v>
      </c>
      <c r="C889" s="27">
        <v>0</v>
      </c>
      <c r="D889" s="27">
        <v>2</v>
      </c>
      <c r="E889" s="27">
        <v>458</v>
      </c>
      <c r="F889" s="27">
        <v>2</v>
      </c>
      <c r="G889" s="27">
        <v>26</v>
      </c>
      <c r="H889" s="27">
        <v>5</v>
      </c>
      <c r="I889" s="27">
        <v>3</v>
      </c>
      <c r="J889" s="27">
        <v>1</v>
      </c>
      <c r="K889" s="27">
        <v>1242</v>
      </c>
      <c r="L889" s="27">
        <v>1</v>
      </c>
      <c r="M889" s="27">
        <v>0</v>
      </c>
      <c r="N889" s="27">
        <v>60</v>
      </c>
      <c r="O889" s="27">
        <v>3</v>
      </c>
      <c r="P889" s="27">
        <v>3</v>
      </c>
      <c r="Q889" s="27">
        <v>8</v>
      </c>
      <c r="R889" s="27">
        <v>1</v>
      </c>
      <c r="S889" s="27">
        <v>2</v>
      </c>
      <c r="T889" s="27">
        <v>13191</v>
      </c>
      <c r="U889" s="27">
        <v>23281</v>
      </c>
      <c r="V889" s="27">
        <v>3</v>
      </c>
      <c r="W889" s="27">
        <v>1</v>
      </c>
      <c r="X889" s="27">
        <v>17</v>
      </c>
      <c r="Y889" s="27">
        <v>3</v>
      </c>
      <c r="Z889" s="27">
        <v>3</v>
      </c>
      <c r="AA889" s="27">
        <v>80</v>
      </c>
      <c r="AB889" s="27">
        <v>0</v>
      </c>
      <c r="AC889" s="27">
        <v>20</v>
      </c>
      <c r="AD889" s="27">
        <v>6</v>
      </c>
      <c r="AE889" s="27">
        <v>3</v>
      </c>
      <c r="AF889" s="27">
        <v>1</v>
      </c>
      <c r="AG889" s="27">
        <v>0</v>
      </c>
      <c r="AH889" s="27">
        <v>0</v>
      </c>
      <c r="AI889" s="28">
        <v>0</v>
      </c>
      <c r="AK889" s="36">
        <v>856</v>
      </c>
      <c r="AL889" s="33">
        <v>1</v>
      </c>
      <c r="AM889" s="33">
        <v>2</v>
      </c>
      <c r="AN889" s="33">
        <v>4</v>
      </c>
      <c r="AO889" s="33">
        <v>1</v>
      </c>
      <c r="AP889" s="33">
        <v>0</v>
      </c>
      <c r="AQ889" s="33">
        <v>1</v>
      </c>
      <c r="AR889" s="33">
        <v>2</v>
      </c>
      <c r="AS889" s="33">
        <v>14</v>
      </c>
      <c r="AT889" s="33">
        <v>3</v>
      </c>
      <c r="AU889" s="43">
        <v>2.6258033943079233E-2</v>
      </c>
      <c r="AV889" s="33">
        <v>0</v>
      </c>
      <c r="AW889" s="33">
        <v>0</v>
      </c>
      <c r="AY889" s="36">
        <v>861</v>
      </c>
      <c r="AZ889" s="33">
        <v>1</v>
      </c>
      <c r="BA889" s="33">
        <v>4</v>
      </c>
      <c r="BB889" s="33">
        <v>1</v>
      </c>
      <c r="BC889" s="33">
        <v>1</v>
      </c>
      <c r="BD889" s="43">
        <v>0.30345027699196836</v>
      </c>
      <c r="BE889" s="33">
        <v>0</v>
      </c>
      <c r="BF889" s="33">
        <v>1</v>
      </c>
      <c r="CE889" s="36">
        <v>855</v>
      </c>
      <c r="CF889" s="33">
        <v>7</v>
      </c>
      <c r="CG889" s="33">
        <v>1</v>
      </c>
      <c r="CH889" s="33">
        <v>3</v>
      </c>
      <c r="CI889" s="33">
        <v>2</v>
      </c>
      <c r="CJ889" s="33">
        <v>4</v>
      </c>
      <c r="CK889" s="33">
        <v>1</v>
      </c>
      <c r="CL889" s="33">
        <v>1</v>
      </c>
      <c r="CM889" s="33">
        <v>2</v>
      </c>
      <c r="CN889" s="33">
        <v>3</v>
      </c>
      <c r="CO889" s="33">
        <v>0</v>
      </c>
      <c r="CP889" s="43">
        <v>0.40665842698317678</v>
      </c>
      <c r="CQ889" s="33">
        <v>0</v>
      </c>
      <c r="CR889" s="33">
        <v>0</v>
      </c>
    </row>
    <row r="890" spans="1:96" ht="15" customHeight="1" x14ac:dyDescent="0.25">
      <c r="A890" s="26">
        <v>888</v>
      </c>
      <c r="B890" s="27">
        <v>35</v>
      </c>
      <c r="C890" s="27">
        <v>0</v>
      </c>
      <c r="D890" s="27">
        <v>3</v>
      </c>
      <c r="E890" s="27">
        <v>1212</v>
      </c>
      <c r="F890" s="27">
        <v>1</v>
      </c>
      <c r="G890" s="27">
        <v>8</v>
      </c>
      <c r="H890" s="27">
        <v>2</v>
      </c>
      <c r="I890" s="27">
        <v>4</v>
      </c>
      <c r="J890" s="27">
        <v>1</v>
      </c>
      <c r="K890" s="27">
        <v>1243</v>
      </c>
      <c r="L890" s="27">
        <v>3</v>
      </c>
      <c r="M890" s="27">
        <v>0</v>
      </c>
      <c r="N890" s="27">
        <v>78</v>
      </c>
      <c r="O890" s="27">
        <v>2</v>
      </c>
      <c r="P890" s="27">
        <v>3</v>
      </c>
      <c r="Q890" s="27">
        <v>1</v>
      </c>
      <c r="R890" s="27">
        <v>4</v>
      </c>
      <c r="S890" s="27">
        <v>2</v>
      </c>
      <c r="T890" s="27">
        <v>10377</v>
      </c>
      <c r="U890" s="27">
        <v>13755</v>
      </c>
      <c r="V890" s="27">
        <v>4</v>
      </c>
      <c r="W890" s="27">
        <v>1</v>
      </c>
      <c r="X890" s="27">
        <v>11</v>
      </c>
      <c r="Y890" s="27">
        <v>3</v>
      </c>
      <c r="Z890" s="27">
        <v>2</v>
      </c>
      <c r="AA890" s="27">
        <v>80</v>
      </c>
      <c r="AB890" s="27">
        <v>1</v>
      </c>
      <c r="AC890" s="27">
        <v>16</v>
      </c>
      <c r="AD890" s="27">
        <v>6</v>
      </c>
      <c r="AE890" s="27">
        <v>2</v>
      </c>
      <c r="AF890" s="27">
        <v>13</v>
      </c>
      <c r="AG890" s="27">
        <v>2</v>
      </c>
      <c r="AH890" s="27">
        <v>4</v>
      </c>
      <c r="AI890" s="28">
        <v>12</v>
      </c>
      <c r="AK890" s="36">
        <v>857</v>
      </c>
      <c r="AL890" s="33">
        <v>3</v>
      </c>
      <c r="AM890" s="33">
        <v>1</v>
      </c>
      <c r="AN890" s="33">
        <v>3</v>
      </c>
      <c r="AO890" s="33">
        <v>1</v>
      </c>
      <c r="AP890" s="33">
        <v>0</v>
      </c>
      <c r="AQ890" s="33">
        <v>0</v>
      </c>
      <c r="AR890" s="33">
        <v>2</v>
      </c>
      <c r="AS890" s="33">
        <v>2</v>
      </c>
      <c r="AT890" s="33">
        <v>1</v>
      </c>
      <c r="AU890" s="43">
        <v>0.18293243440397253</v>
      </c>
      <c r="AV890" s="33">
        <v>0</v>
      </c>
      <c r="AW890" s="33">
        <v>0</v>
      </c>
      <c r="AY890" s="36">
        <v>862</v>
      </c>
      <c r="AZ890" s="33">
        <v>4</v>
      </c>
      <c r="BA890" s="33">
        <v>1</v>
      </c>
      <c r="BB890" s="33">
        <v>0</v>
      </c>
      <c r="BC890" s="33">
        <v>0</v>
      </c>
      <c r="BD890" s="43">
        <v>7.2150582122512491E-2</v>
      </c>
      <c r="BE890" s="33">
        <v>0</v>
      </c>
      <c r="BF890" s="33">
        <v>0</v>
      </c>
      <c r="CE890" s="36">
        <v>856</v>
      </c>
      <c r="CF890" s="33">
        <v>1</v>
      </c>
      <c r="CG890" s="33">
        <v>2</v>
      </c>
      <c r="CH890" s="33">
        <v>4</v>
      </c>
      <c r="CI890" s="33">
        <v>2</v>
      </c>
      <c r="CJ890" s="33">
        <v>1</v>
      </c>
      <c r="CK890" s="33">
        <v>0</v>
      </c>
      <c r="CL890" s="33">
        <v>1</v>
      </c>
      <c r="CM890" s="33">
        <v>2</v>
      </c>
      <c r="CN890" s="33">
        <v>14</v>
      </c>
      <c r="CO890" s="33">
        <v>3</v>
      </c>
      <c r="CP890" s="43">
        <v>2.5327854818635025E-2</v>
      </c>
      <c r="CQ890" s="33">
        <v>0</v>
      </c>
      <c r="CR890" s="33">
        <v>0</v>
      </c>
    </row>
    <row r="891" spans="1:96" ht="15" customHeight="1" x14ac:dyDescent="0.25">
      <c r="A891" s="26">
        <v>889</v>
      </c>
      <c r="B891" s="27">
        <v>27</v>
      </c>
      <c r="C891" s="27">
        <v>0</v>
      </c>
      <c r="D891" s="27">
        <v>1</v>
      </c>
      <c r="E891" s="27">
        <v>1103</v>
      </c>
      <c r="F891" s="27">
        <v>2</v>
      </c>
      <c r="G891" s="27">
        <v>14</v>
      </c>
      <c r="H891" s="27">
        <v>3</v>
      </c>
      <c r="I891" s="27">
        <v>1</v>
      </c>
      <c r="J891" s="27">
        <v>1</v>
      </c>
      <c r="K891" s="27">
        <v>1244</v>
      </c>
      <c r="L891" s="27">
        <v>1</v>
      </c>
      <c r="M891" s="27">
        <v>1</v>
      </c>
      <c r="N891" s="27">
        <v>42</v>
      </c>
      <c r="O891" s="27">
        <v>3</v>
      </c>
      <c r="P891" s="27">
        <v>1</v>
      </c>
      <c r="Q891" s="27">
        <v>2</v>
      </c>
      <c r="R891" s="27">
        <v>1</v>
      </c>
      <c r="S891" s="27">
        <v>2</v>
      </c>
      <c r="T891" s="27">
        <v>2235</v>
      </c>
      <c r="U891" s="27">
        <v>14377</v>
      </c>
      <c r="V891" s="27">
        <v>1</v>
      </c>
      <c r="W891" s="27">
        <v>1</v>
      </c>
      <c r="X891" s="27">
        <v>14</v>
      </c>
      <c r="Y891" s="27">
        <v>3</v>
      </c>
      <c r="Z891" s="27">
        <v>4</v>
      </c>
      <c r="AA891" s="27">
        <v>80</v>
      </c>
      <c r="AB891" s="27">
        <v>2</v>
      </c>
      <c r="AC891" s="27">
        <v>9</v>
      </c>
      <c r="AD891" s="27">
        <v>3</v>
      </c>
      <c r="AE891" s="27">
        <v>2</v>
      </c>
      <c r="AF891" s="27">
        <v>9</v>
      </c>
      <c r="AG891" s="27">
        <v>7</v>
      </c>
      <c r="AH891" s="27">
        <v>6</v>
      </c>
      <c r="AI891" s="28">
        <v>8</v>
      </c>
      <c r="AK891" s="36">
        <v>858</v>
      </c>
      <c r="AL891" s="33">
        <v>10</v>
      </c>
      <c r="AM891" s="33">
        <v>1</v>
      </c>
      <c r="AN891" s="33">
        <v>3</v>
      </c>
      <c r="AO891" s="33">
        <v>1</v>
      </c>
      <c r="AP891" s="33">
        <v>1</v>
      </c>
      <c r="AQ891" s="33">
        <v>0</v>
      </c>
      <c r="AR891" s="33">
        <v>3</v>
      </c>
      <c r="AS891" s="33">
        <v>6</v>
      </c>
      <c r="AT891" s="33">
        <v>0</v>
      </c>
      <c r="AU891" s="43">
        <v>0.39647490245688427</v>
      </c>
      <c r="AV891" s="33">
        <v>0</v>
      </c>
      <c r="AW891" s="33">
        <v>1</v>
      </c>
      <c r="AY891" s="36">
        <v>863</v>
      </c>
      <c r="AZ891" s="33">
        <v>1</v>
      </c>
      <c r="BA891" s="33">
        <v>3</v>
      </c>
      <c r="BB891" s="33">
        <v>0</v>
      </c>
      <c r="BC891" s="33">
        <v>0</v>
      </c>
      <c r="BD891" s="43">
        <v>0.18791247240909698</v>
      </c>
      <c r="BE891" s="33">
        <v>0</v>
      </c>
      <c r="BF891" s="33">
        <v>0</v>
      </c>
      <c r="CE891" s="36">
        <v>857</v>
      </c>
      <c r="CF891" s="33">
        <v>3</v>
      </c>
      <c r="CG891" s="33">
        <v>1</v>
      </c>
      <c r="CH891" s="33">
        <v>3</v>
      </c>
      <c r="CI891" s="33">
        <v>1</v>
      </c>
      <c r="CJ891" s="33">
        <v>1</v>
      </c>
      <c r="CK891" s="33">
        <v>0</v>
      </c>
      <c r="CL891" s="33">
        <v>0</v>
      </c>
      <c r="CM891" s="33">
        <v>2</v>
      </c>
      <c r="CN891" s="33">
        <v>2</v>
      </c>
      <c r="CO891" s="33">
        <v>1</v>
      </c>
      <c r="CP891" s="43">
        <v>0.21134489684582969</v>
      </c>
      <c r="CQ891" s="33">
        <v>0</v>
      </c>
      <c r="CR891" s="33">
        <v>0</v>
      </c>
    </row>
    <row r="892" spans="1:96" ht="15" customHeight="1" x14ac:dyDescent="0.25">
      <c r="A892" s="26">
        <v>890</v>
      </c>
      <c r="B892" s="27">
        <v>54</v>
      </c>
      <c r="C892" s="27">
        <v>0</v>
      </c>
      <c r="D892" s="27">
        <v>2</v>
      </c>
      <c r="E892" s="27">
        <v>966</v>
      </c>
      <c r="F892" s="27">
        <v>2</v>
      </c>
      <c r="G892" s="27">
        <v>1</v>
      </c>
      <c r="H892" s="27">
        <v>4</v>
      </c>
      <c r="I892" s="27">
        <v>1</v>
      </c>
      <c r="J892" s="27">
        <v>1</v>
      </c>
      <c r="K892" s="27">
        <v>1245</v>
      </c>
      <c r="L892" s="27">
        <v>4</v>
      </c>
      <c r="M892" s="27">
        <v>0</v>
      </c>
      <c r="N892" s="27">
        <v>53</v>
      </c>
      <c r="O892" s="27">
        <v>3</v>
      </c>
      <c r="P892" s="27">
        <v>3</v>
      </c>
      <c r="Q892" s="27">
        <v>4</v>
      </c>
      <c r="R892" s="27">
        <v>3</v>
      </c>
      <c r="S892" s="27">
        <v>3</v>
      </c>
      <c r="T892" s="27">
        <v>10502</v>
      </c>
      <c r="U892" s="27">
        <v>9659</v>
      </c>
      <c r="V892" s="27">
        <v>7</v>
      </c>
      <c r="W892" s="27">
        <v>0</v>
      </c>
      <c r="X892" s="27">
        <v>17</v>
      </c>
      <c r="Y892" s="27">
        <v>3</v>
      </c>
      <c r="Z892" s="27">
        <v>1</v>
      </c>
      <c r="AA892" s="27">
        <v>80</v>
      </c>
      <c r="AB892" s="27">
        <v>1</v>
      </c>
      <c r="AC892" s="27">
        <v>33</v>
      </c>
      <c r="AD892" s="27">
        <v>2</v>
      </c>
      <c r="AE892" s="27">
        <v>1</v>
      </c>
      <c r="AF892" s="27">
        <v>5</v>
      </c>
      <c r="AG892" s="27">
        <v>4</v>
      </c>
      <c r="AH892" s="27">
        <v>1</v>
      </c>
      <c r="AI892" s="28">
        <v>4</v>
      </c>
      <c r="AK892" s="36">
        <v>859</v>
      </c>
      <c r="AL892" s="33">
        <v>7</v>
      </c>
      <c r="AM892" s="33">
        <v>5</v>
      </c>
      <c r="AN892" s="33">
        <v>3</v>
      </c>
      <c r="AO892" s="33">
        <v>3</v>
      </c>
      <c r="AP892" s="33">
        <v>0</v>
      </c>
      <c r="AQ892" s="33">
        <v>1</v>
      </c>
      <c r="AR892" s="33">
        <v>3</v>
      </c>
      <c r="AS892" s="33">
        <v>7</v>
      </c>
      <c r="AT892" s="33">
        <v>4</v>
      </c>
      <c r="AU892" s="43">
        <v>1.4477852116076361E-2</v>
      </c>
      <c r="AV892" s="33">
        <v>0</v>
      </c>
      <c r="AW892" s="33">
        <v>0</v>
      </c>
      <c r="AY892" s="36">
        <v>864</v>
      </c>
      <c r="AZ892" s="33">
        <v>1</v>
      </c>
      <c r="BA892" s="33">
        <v>3</v>
      </c>
      <c r="BB892" s="33">
        <v>0</v>
      </c>
      <c r="BC892" s="33">
        <v>1</v>
      </c>
      <c r="BD892" s="43">
        <v>0.12012271365792118</v>
      </c>
      <c r="BE892" s="33">
        <v>0</v>
      </c>
      <c r="BF892" s="33">
        <v>0</v>
      </c>
      <c r="CE892" s="36">
        <v>858</v>
      </c>
      <c r="CF892" s="33">
        <v>10</v>
      </c>
      <c r="CG892" s="33">
        <v>1</v>
      </c>
      <c r="CH892" s="33">
        <v>3</v>
      </c>
      <c r="CI892" s="33">
        <v>1</v>
      </c>
      <c r="CJ892" s="33">
        <v>1</v>
      </c>
      <c r="CK892" s="33">
        <v>1</v>
      </c>
      <c r="CL892" s="33">
        <v>0</v>
      </c>
      <c r="CM892" s="33">
        <v>3</v>
      </c>
      <c r="CN892" s="33">
        <v>6</v>
      </c>
      <c r="CO892" s="33">
        <v>0</v>
      </c>
      <c r="CP892" s="43">
        <v>0.44430977604978128</v>
      </c>
      <c r="CQ892" s="33">
        <v>0</v>
      </c>
      <c r="CR892" s="33">
        <v>1</v>
      </c>
    </row>
    <row r="893" spans="1:96" ht="15" customHeight="1" x14ac:dyDescent="0.25">
      <c r="A893" s="26">
        <v>891</v>
      </c>
      <c r="B893" s="27">
        <v>44</v>
      </c>
      <c r="C893" s="27">
        <v>0</v>
      </c>
      <c r="D893" s="27">
        <v>1</v>
      </c>
      <c r="E893" s="27">
        <v>1117</v>
      </c>
      <c r="F893" s="27">
        <v>2</v>
      </c>
      <c r="G893" s="27">
        <v>2</v>
      </c>
      <c r="H893" s="27">
        <v>1</v>
      </c>
      <c r="I893" s="27">
        <v>1</v>
      </c>
      <c r="J893" s="27">
        <v>1</v>
      </c>
      <c r="K893" s="27">
        <v>1246</v>
      </c>
      <c r="L893" s="27">
        <v>1</v>
      </c>
      <c r="M893" s="27">
        <v>0</v>
      </c>
      <c r="N893" s="27">
        <v>72</v>
      </c>
      <c r="O893" s="27">
        <v>4</v>
      </c>
      <c r="P893" s="27">
        <v>1</v>
      </c>
      <c r="Q893" s="27">
        <v>2</v>
      </c>
      <c r="R893" s="27">
        <v>4</v>
      </c>
      <c r="S893" s="27">
        <v>2</v>
      </c>
      <c r="T893" s="27">
        <v>2011</v>
      </c>
      <c r="U893" s="27">
        <v>19982</v>
      </c>
      <c r="V893" s="27">
        <v>1</v>
      </c>
      <c r="W893" s="27">
        <v>0</v>
      </c>
      <c r="X893" s="27">
        <v>13</v>
      </c>
      <c r="Y893" s="27">
        <v>3</v>
      </c>
      <c r="Z893" s="27">
        <v>4</v>
      </c>
      <c r="AA893" s="27">
        <v>80</v>
      </c>
      <c r="AB893" s="27">
        <v>1</v>
      </c>
      <c r="AC893" s="27">
        <v>10</v>
      </c>
      <c r="AD893" s="27">
        <v>5</v>
      </c>
      <c r="AE893" s="27">
        <v>3</v>
      </c>
      <c r="AF893" s="27">
        <v>10</v>
      </c>
      <c r="AG893" s="27">
        <v>5</v>
      </c>
      <c r="AH893" s="27">
        <v>7</v>
      </c>
      <c r="AI893" s="28">
        <v>7</v>
      </c>
      <c r="AK893" s="36">
        <v>860</v>
      </c>
      <c r="AL893" s="33">
        <v>15</v>
      </c>
      <c r="AM893" s="33">
        <v>1</v>
      </c>
      <c r="AN893" s="33">
        <v>4</v>
      </c>
      <c r="AO893" s="33">
        <v>0</v>
      </c>
      <c r="AP893" s="33">
        <v>1</v>
      </c>
      <c r="AQ893" s="33">
        <v>1</v>
      </c>
      <c r="AR893" s="33">
        <v>2</v>
      </c>
      <c r="AS893" s="33">
        <v>5</v>
      </c>
      <c r="AT893" s="33">
        <v>1</v>
      </c>
      <c r="AU893" s="43">
        <v>0.31493704066800143</v>
      </c>
      <c r="AV893" s="33">
        <v>0</v>
      </c>
      <c r="AW893" s="33">
        <v>0</v>
      </c>
      <c r="AY893" s="36">
        <v>865</v>
      </c>
      <c r="AZ893" s="33">
        <v>1</v>
      </c>
      <c r="BA893" s="33">
        <v>1</v>
      </c>
      <c r="BB893" s="33">
        <v>0</v>
      </c>
      <c r="BC893" s="33">
        <v>1</v>
      </c>
      <c r="BD893" s="43">
        <v>0.19678474515944386</v>
      </c>
      <c r="BE893" s="33">
        <v>0</v>
      </c>
      <c r="BF893" s="33">
        <v>1</v>
      </c>
      <c r="CE893" s="36">
        <v>859</v>
      </c>
      <c r="CF893" s="33">
        <v>7</v>
      </c>
      <c r="CG893" s="33">
        <v>5</v>
      </c>
      <c r="CH893" s="33">
        <v>3</v>
      </c>
      <c r="CI893" s="33">
        <v>3</v>
      </c>
      <c r="CJ893" s="33">
        <v>3</v>
      </c>
      <c r="CK893" s="33">
        <v>0</v>
      </c>
      <c r="CL893" s="33">
        <v>1</v>
      </c>
      <c r="CM893" s="33">
        <v>3</v>
      </c>
      <c r="CN893" s="33">
        <v>7</v>
      </c>
      <c r="CO893" s="33">
        <v>4</v>
      </c>
      <c r="CP893" s="43">
        <v>8.4273877155090805E-3</v>
      </c>
      <c r="CQ893" s="33">
        <v>0</v>
      </c>
      <c r="CR893" s="33">
        <v>0</v>
      </c>
    </row>
    <row r="894" spans="1:96" ht="15" customHeight="1" x14ac:dyDescent="0.25">
      <c r="A894" s="26">
        <v>892</v>
      </c>
      <c r="B894" s="27">
        <v>19</v>
      </c>
      <c r="C894" s="27">
        <v>1</v>
      </c>
      <c r="D894" s="27">
        <v>3</v>
      </c>
      <c r="E894" s="27">
        <v>504</v>
      </c>
      <c r="F894" s="27">
        <v>2</v>
      </c>
      <c r="G894" s="27">
        <v>10</v>
      </c>
      <c r="H894" s="27">
        <v>3</v>
      </c>
      <c r="I894" s="27">
        <v>3</v>
      </c>
      <c r="J894" s="27">
        <v>1</v>
      </c>
      <c r="K894" s="27">
        <v>1248</v>
      </c>
      <c r="L894" s="27">
        <v>1</v>
      </c>
      <c r="M894" s="27">
        <v>0</v>
      </c>
      <c r="N894" s="27">
        <v>96</v>
      </c>
      <c r="O894" s="27">
        <v>2</v>
      </c>
      <c r="P894" s="27">
        <v>1</v>
      </c>
      <c r="Q894" s="27">
        <v>2</v>
      </c>
      <c r="R894" s="27">
        <v>2</v>
      </c>
      <c r="S894" s="27">
        <v>1</v>
      </c>
      <c r="T894" s="27">
        <v>1859</v>
      </c>
      <c r="U894" s="27">
        <v>6148</v>
      </c>
      <c r="V894" s="27">
        <v>1</v>
      </c>
      <c r="W894" s="27">
        <v>1</v>
      </c>
      <c r="X894" s="27">
        <v>25</v>
      </c>
      <c r="Y894" s="27">
        <v>4</v>
      </c>
      <c r="Z894" s="27">
        <v>2</v>
      </c>
      <c r="AA894" s="27">
        <v>80</v>
      </c>
      <c r="AB894" s="27">
        <v>0</v>
      </c>
      <c r="AC894" s="27">
        <v>1</v>
      </c>
      <c r="AD894" s="27">
        <v>2</v>
      </c>
      <c r="AE894" s="27">
        <v>4</v>
      </c>
      <c r="AF894" s="27">
        <v>1</v>
      </c>
      <c r="AG894" s="27">
        <v>1</v>
      </c>
      <c r="AH894" s="27">
        <v>0</v>
      </c>
      <c r="AI894" s="28">
        <v>0</v>
      </c>
      <c r="AK894" s="36">
        <v>861</v>
      </c>
      <c r="AL894" s="33">
        <v>3</v>
      </c>
      <c r="AM894" s="33">
        <v>1</v>
      </c>
      <c r="AN894" s="33">
        <v>4</v>
      </c>
      <c r="AO894" s="33">
        <v>0</v>
      </c>
      <c r="AP894" s="33">
        <v>1</v>
      </c>
      <c r="AQ894" s="33">
        <v>1</v>
      </c>
      <c r="AR894" s="33">
        <v>3</v>
      </c>
      <c r="AS894" s="33">
        <v>0</v>
      </c>
      <c r="AT894" s="33">
        <v>0</v>
      </c>
      <c r="AU894" s="43">
        <v>0.23755489996748635</v>
      </c>
      <c r="AV894" s="33">
        <v>0</v>
      </c>
      <c r="AW894" s="33">
        <v>1</v>
      </c>
      <c r="AY894" s="36">
        <v>866</v>
      </c>
      <c r="AZ894" s="33">
        <v>2</v>
      </c>
      <c r="BA894" s="33">
        <v>1</v>
      </c>
      <c r="BB894" s="33">
        <v>0</v>
      </c>
      <c r="BC894" s="33">
        <v>3</v>
      </c>
      <c r="BD894" s="43">
        <v>4.6521660648451695E-2</v>
      </c>
      <c r="BE894" s="33">
        <v>0</v>
      </c>
      <c r="BF894" s="33">
        <v>0</v>
      </c>
      <c r="CE894" s="36">
        <v>860</v>
      </c>
      <c r="CF894" s="33">
        <v>15</v>
      </c>
      <c r="CG894" s="33">
        <v>1</v>
      </c>
      <c r="CH894" s="33">
        <v>4</v>
      </c>
      <c r="CI894" s="33">
        <v>2</v>
      </c>
      <c r="CJ894" s="33">
        <v>0</v>
      </c>
      <c r="CK894" s="33">
        <v>1</v>
      </c>
      <c r="CL894" s="33">
        <v>1</v>
      </c>
      <c r="CM894" s="33">
        <v>2</v>
      </c>
      <c r="CN894" s="33">
        <v>5</v>
      </c>
      <c r="CO894" s="33">
        <v>1</v>
      </c>
      <c r="CP894" s="43">
        <v>0.31163416556542861</v>
      </c>
      <c r="CQ894" s="33">
        <v>0</v>
      </c>
      <c r="CR894" s="33">
        <v>0</v>
      </c>
    </row>
    <row r="895" spans="1:96" ht="15" customHeight="1" x14ac:dyDescent="0.25">
      <c r="A895" s="26">
        <v>893</v>
      </c>
      <c r="B895" s="27">
        <v>29</v>
      </c>
      <c r="C895" s="27">
        <v>0</v>
      </c>
      <c r="D895" s="27">
        <v>1</v>
      </c>
      <c r="E895" s="27">
        <v>1010</v>
      </c>
      <c r="F895" s="27">
        <v>2</v>
      </c>
      <c r="G895" s="27">
        <v>1</v>
      </c>
      <c r="H895" s="27">
        <v>3</v>
      </c>
      <c r="I895" s="27">
        <v>1</v>
      </c>
      <c r="J895" s="27">
        <v>1</v>
      </c>
      <c r="K895" s="27">
        <v>1249</v>
      </c>
      <c r="L895" s="27">
        <v>1</v>
      </c>
      <c r="M895" s="27">
        <v>0</v>
      </c>
      <c r="N895" s="27">
        <v>97</v>
      </c>
      <c r="O895" s="27">
        <v>3</v>
      </c>
      <c r="P895" s="27">
        <v>1</v>
      </c>
      <c r="Q895" s="27">
        <v>2</v>
      </c>
      <c r="R895" s="27">
        <v>4</v>
      </c>
      <c r="S895" s="27">
        <v>3</v>
      </c>
      <c r="T895" s="27">
        <v>3760</v>
      </c>
      <c r="U895" s="27">
        <v>5598</v>
      </c>
      <c r="V895" s="27">
        <v>1</v>
      </c>
      <c r="W895" s="27">
        <v>0</v>
      </c>
      <c r="X895" s="27">
        <v>15</v>
      </c>
      <c r="Y895" s="27">
        <v>3</v>
      </c>
      <c r="Z895" s="27">
        <v>1</v>
      </c>
      <c r="AA895" s="27">
        <v>80</v>
      </c>
      <c r="AB895" s="27">
        <v>3</v>
      </c>
      <c r="AC895" s="27">
        <v>3</v>
      </c>
      <c r="AD895" s="27">
        <v>5</v>
      </c>
      <c r="AE895" s="27">
        <v>3</v>
      </c>
      <c r="AF895" s="27">
        <v>3</v>
      </c>
      <c r="AG895" s="27">
        <v>2</v>
      </c>
      <c r="AH895" s="27">
        <v>1</v>
      </c>
      <c r="AI895" s="28">
        <v>2</v>
      </c>
      <c r="AK895" s="36">
        <v>862</v>
      </c>
      <c r="AL895" s="33">
        <v>2</v>
      </c>
      <c r="AM895" s="33">
        <v>4</v>
      </c>
      <c r="AN895" s="33">
        <v>1</v>
      </c>
      <c r="AO895" s="33">
        <v>8</v>
      </c>
      <c r="AP895" s="33">
        <v>0</v>
      </c>
      <c r="AQ895" s="33">
        <v>0</v>
      </c>
      <c r="AR895" s="33">
        <v>3</v>
      </c>
      <c r="AS895" s="33">
        <v>26</v>
      </c>
      <c r="AT895" s="33">
        <v>15</v>
      </c>
      <c r="AU895" s="43">
        <v>8.3999986541182806E-2</v>
      </c>
      <c r="AV895" s="33">
        <v>0</v>
      </c>
      <c r="AW895" s="33">
        <v>0</v>
      </c>
      <c r="AY895" s="36">
        <v>867</v>
      </c>
      <c r="AZ895" s="33">
        <v>2</v>
      </c>
      <c r="BA895" s="33">
        <v>2</v>
      </c>
      <c r="BB895" s="33">
        <v>0</v>
      </c>
      <c r="BC895" s="33">
        <v>3</v>
      </c>
      <c r="BD895" s="43">
        <v>3.5142240387059973E-2</v>
      </c>
      <c r="BE895" s="33">
        <v>0</v>
      </c>
      <c r="BF895" s="33">
        <v>0</v>
      </c>
      <c r="CE895" s="36">
        <v>861</v>
      </c>
      <c r="CF895" s="33">
        <v>3</v>
      </c>
      <c r="CG895" s="33">
        <v>1</v>
      </c>
      <c r="CH895" s="33">
        <v>4</v>
      </c>
      <c r="CI895" s="33">
        <v>2</v>
      </c>
      <c r="CJ895" s="33">
        <v>0</v>
      </c>
      <c r="CK895" s="33">
        <v>1</v>
      </c>
      <c r="CL895" s="33">
        <v>1</v>
      </c>
      <c r="CM895" s="33">
        <v>3</v>
      </c>
      <c r="CN895" s="33">
        <v>0</v>
      </c>
      <c r="CO895" s="33">
        <v>0</v>
      </c>
      <c r="CP895" s="43">
        <v>0.23247493413151515</v>
      </c>
      <c r="CQ895" s="33">
        <v>0</v>
      </c>
      <c r="CR895" s="33">
        <v>1</v>
      </c>
    </row>
    <row r="896" spans="1:96" ht="15" customHeight="1" x14ac:dyDescent="0.25">
      <c r="A896" s="26">
        <v>894</v>
      </c>
      <c r="B896" s="27">
        <v>54</v>
      </c>
      <c r="C896" s="27">
        <v>0</v>
      </c>
      <c r="D896" s="27">
        <v>1</v>
      </c>
      <c r="E896" s="27">
        <v>685</v>
      </c>
      <c r="F896" s="27">
        <v>2</v>
      </c>
      <c r="G896" s="27">
        <v>3</v>
      </c>
      <c r="H896" s="27">
        <v>3</v>
      </c>
      <c r="I896" s="27">
        <v>1</v>
      </c>
      <c r="J896" s="27">
        <v>1</v>
      </c>
      <c r="K896" s="27">
        <v>1250</v>
      </c>
      <c r="L896" s="27">
        <v>4</v>
      </c>
      <c r="M896" s="27">
        <v>1</v>
      </c>
      <c r="N896" s="27">
        <v>85</v>
      </c>
      <c r="O896" s="27">
        <v>3</v>
      </c>
      <c r="P896" s="27">
        <v>4</v>
      </c>
      <c r="Q896" s="27">
        <v>8</v>
      </c>
      <c r="R896" s="27">
        <v>4</v>
      </c>
      <c r="S896" s="27">
        <v>2</v>
      </c>
      <c r="T896" s="27">
        <v>17779</v>
      </c>
      <c r="U896" s="27">
        <v>23474</v>
      </c>
      <c r="V896" s="27">
        <v>3</v>
      </c>
      <c r="W896" s="27">
        <v>0</v>
      </c>
      <c r="X896" s="27">
        <v>14</v>
      </c>
      <c r="Y896" s="27">
        <v>3</v>
      </c>
      <c r="Z896" s="27">
        <v>1</v>
      </c>
      <c r="AA896" s="27">
        <v>80</v>
      </c>
      <c r="AB896" s="27">
        <v>0</v>
      </c>
      <c r="AC896" s="27">
        <v>36</v>
      </c>
      <c r="AD896" s="27">
        <v>2</v>
      </c>
      <c r="AE896" s="27">
        <v>3</v>
      </c>
      <c r="AF896" s="27">
        <v>10</v>
      </c>
      <c r="AG896" s="27">
        <v>9</v>
      </c>
      <c r="AH896" s="27">
        <v>0</v>
      </c>
      <c r="AI896" s="28">
        <v>9</v>
      </c>
      <c r="AK896" s="36">
        <v>863</v>
      </c>
      <c r="AL896" s="33">
        <v>17</v>
      </c>
      <c r="AM896" s="33">
        <v>1</v>
      </c>
      <c r="AN896" s="33">
        <v>3</v>
      </c>
      <c r="AO896" s="33">
        <v>2</v>
      </c>
      <c r="AP896" s="33">
        <v>0</v>
      </c>
      <c r="AQ896" s="33">
        <v>0</v>
      </c>
      <c r="AR896" s="33">
        <v>3</v>
      </c>
      <c r="AS896" s="33">
        <v>0</v>
      </c>
      <c r="AT896" s="33">
        <v>0</v>
      </c>
      <c r="AU896" s="43">
        <v>0.24169911277995881</v>
      </c>
      <c r="AV896" s="33">
        <v>0</v>
      </c>
      <c r="AW896" s="33">
        <v>0</v>
      </c>
      <c r="AY896" s="36">
        <v>868</v>
      </c>
      <c r="AZ896" s="33">
        <v>4</v>
      </c>
      <c r="BA896" s="33">
        <v>1</v>
      </c>
      <c r="BB896" s="33">
        <v>0</v>
      </c>
      <c r="BC896" s="33">
        <v>1</v>
      </c>
      <c r="BD896" s="43">
        <v>4.3866321508597754E-2</v>
      </c>
      <c r="BE896" s="33">
        <v>0</v>
      </c>
      <c r="BF896" s="33">
        <v>0</v>
      </c>
      <c r="CE896" s="36">
        <v>862</v>
      </c>
      <c r="CF896" s="33">
        <v>2</v>
      </c>
      <c r="CG896" s="33">
        <v>4</v>
      </c>
      <c r="CH896" s="33">
        <v>1</v>
      </c>
      <c r="CI896" s="33">
        <v>2</v>
      </c>
      <c r="CJ896" s="33">
        <v>8</v>
      </c>
      <c r="CK896" s="33">
        <v>0</v>
      </c>
      <c r="CL896" s="33">
        <v>0</v>
      </c>
      <c r="CM896" s="33">
        <v>3</v>
      </c>
      <c r="CN896" s="33">
        <v>26</v>
      </c>
      <c r="CO896" s="33">
        <v>15</v>
      </c>
      <c r="CP896" s="43">
        <v>6.4856742449286908E-2</v>
      </c>
      <c r="CQ896" s="33">
        <v>0</v>
      </c>
      <c r="CR896" s="33">
        <v>0</v>
      </c>
    </row>
    <row r="897" spans="1:96" ht="15" customHeight="1" x14ac:dyDescent="0.25">
      <c r="A897" s="26">
        <v>895</v>
      </c>
      <c r="B897" s="27">
        <v>31</v>
      </c>
      <c r="C897" s="27">
        <v>0</v>
      </c>
      <c r="D897" s="27">
        <v>1</v>
      </c>
      <c r="E897" s="27">
        <v>1332</v>
      </c>
      <c r="F897" s="27">
        <v>2</v>
      </c>
      <c r="G897" s="27">
        <v>11</v>
      </c>
      <c r="H897" s="27">
        <v>2</v>
      </c>
      <c r="I897" s="27">
        <v>3</v>
      </c>
      <c r="J897" s="27">
        <v>1</v>
      </c>
      <c r="K897" s="27">
        <v>1251</v>
      </c>
      <c r="L897" s="27">
        <v>3</v>
      </c>
      <c r="M897" s="27">
        <v>1</v>
      </c>
      <c r="N897" s="27">
        <v>80</v>
      </c>
      <c r="O897" s="27">
        <v>3</v>
      </c>
      <c r="P897" s="27">
        <v>2</v>
      </c>
      <c r="Q897" s="27">
        <v>5</v>
      </c>
      <c r="R897" s="27">
        <v>1</v>
      </c>
      <c r="S897" s="27">
        <v>2</v>
      </c>
      <c r="T897" s="27">
        <v>6833</v>
      </c>
      <c r="U897" s="27">
        <v>17089</v>
      </c>
      <c r="V897" s="27">
        <v>1</v>
      </c>
      <c r="W897" s="27">
        <v>1</v>
      </c>
      <c r="X897" s="27">
        <v>12</v>
      </c>
      <c r="Y897" s="27">
        <v>3</v>
      </c>
      <c r="Z897" s="27">
        <v>4</v>
      </c>
      <c r="AA897" s="27">
        <v>80</v>
      </c>
      <c r="AB897" s="27">
        <v>0</v>
      </c>
      <c r="AC897" s="27">
        <v>6</v>
      </c>
      <c r="AD897" s="27">
        <v>2</v>
      </c>
      <c r="AE897" s="27">
        <v>2</v>
      </c>
      <c r="AF897" s="27">
        <v>6</v>
      </c>
      <c r="AG897" s="27">
        <v>5</v>
      </c>
      <c r="AH897" s="27">
        <v>0</v>
      </c>
      <c r="AI897" s="28">
        <v>1</v>
      </c>
      <c r="AK897" s="36">
        <v>864</v>
      </c>
      <c r="AL897" s="33">
        <v>2</v>
      </c>
      <c r="AM897" s="33">
        <v>1</v>
      </c>
      <c r="AN897" s="33">
        <v>3</v>
      </c>
      <c r="AO897" s="33">
        <v>1</v>
      </c>
      <c r="AP897" s="33">
        <v>0</v>
      </c>
      <c r="AQ897" s="33">
        <v>1</v>
      </c>
      <c r="AR897" s="33">
        <v>3</v>
      </c>
      <c r="AS897" s="33">
        <v>5</v>
      </c>
      <c r="AT897" s="33">
        <v>1</v>
      </c>
      <c r="AU897" s="43">
        <v>7.2681025792097995E-2</v>
      </c>
      <c r="AV897" s="33">
        <v>0</v>
      </c>
      <c r="AW897" s="33">
        <v>0</v>
      </c>
      <c r="AY897" s="36">
        <v>869</v>
      </c>
      <c r="AZ897" s="33">
        <v>1</v>
      </c>
      <c r="BA897" s="33">
        <v>1</v>
      </c>
      <c r="BB897" s="33">
        <v>0</v>
      </c>
      <c r="BC897" s="33">
        <v>3</v>
      </c>
      <c r="BD897" s="43">
        <v>7.8580935992741602E-2</v>
      </c>
      <c r="BE897" s="33">
        <v>0</v>
      </c>
      <c r="BF897" s="33">
        <v>0</v>
      </c>
      <c r="CE897" s="36">
        <v>863</v>
      </c>
      <c r="CF897" s="33">
        <v>17</v>
      </c>
      <c r="CG897" s="33">
        <v>1</v>
      </c>
      <c r="CH897" s="33">
        <v>3</v>
      </c>
      <c r="CI897" s="33">
        <v>1</v>
      </c>
      <c r="CJ897" s="33">
        <v>2</v>
      </c>
      <c r="CK897" s="33">
        <v>0</v>
      </c>
      <c r="CL897" s="33">
        <v>0</v>
      </c>
      <c r="CM897" s="33">
        <v>3</v>
      </c>
      <c r="CN897" s="33">
        <v>0</v>
      </c>
      <c r="CO897" s="33">
        <v>0</v>
      </c>
      <c r="CP897" s="43">
        <v>0.27195189152505389</v>
      </c>
      <c r="CQ897" s="33">
        <v>0</v>
      </c>
      <c r="CR897" s="33">
        <v>0</v>
      </c>
    </row>
    <row r="898" spans="1:96" ht="15" customHeight="1" x14ac:dyDescent="0.25">
      <c r="A898" s="26">
        <v>896</v>
      </c>
      <c r="B898" s="27">
        <v>31</v>
      </c>
      <c r="C898" s="27">
        <v>0</v>
      </c>
      <c r="D898" s="27">
        <v>1</v>
      </c>
      <c r="E898" s="27">
        <v>1062</v>
      </c>
      <c r="F898" s="27">
        <v>2</v>
      </c>
      <c r="G898" s="27">
        <v>24</v>
      </c>
      <c r="H898" s="27">
        <v>3</v>
      </c>
      <c r="I898" s="27">
        <v>3</v>
      </c>
      <c r="J898" s="27">
        <v>1</v>
      </c>
      <c r="K898" s="27">
        <v>1252</v>
      </c>
      <c r="L898" s="27">
        <v>3</v>
      </c>
      <c r="M898" s="27">
        <v>0</v>
      </c>
      <c r="N898" s="27">
        <v>96</v>
      </c>
      <c r="O898" s="27">
        <v>2</v>
      </c>
      <c r="P898" s="27">
        <v>2</v>
      </c>
      <c r="Q898" s="27">
        <v>5</v>
      </c>
      <c r="R898" s="27">
        <v>1</v>
      </c>
      <c r="S898" s="27">
        <v>1</v>
      </c>
      <c r="T898" s="27">
        <v>6812</v>
      </c>
      <c r="U898" s="27">
        <v>17198</v>
      </c>
      <c r="V898" s="27">
        <v>1</v>
      </c>
      <c r="W898" s="27">
        <v>0</v>
      </c>
      <c r="X898" s="27">
        <v>19</v>
      </c>
      <c r="Y898" s="27">
        <v>3</v>
      </c>
      <c r="Z898" s="27">
        <v>2</v>
      </c>
      <c r="AA898" s="27">
        <v>80</v>
      </c>
      <c r="AB898" s="27">
        <v>0</v>
      </c>
      <c r="AC898" s="27">
        <v>10</v>
      </c>
      <c r="AD898" s="27">
        <v>2</v>
      </c>
      <c r="AE898" s="27">
        <v>3</v>
      </c>
      <c r="AF898" s="27">
        <v>10</v>
      </c>
      <c r="AG898" s="27">
        <v>9</v>
      </c>
      <c r="AH898" s="27">
        <v>1</v>
      </c>
      <c r="AI898" s="28">
        <v>8</v>
      </c>
      <c r="AK898" s="36">
        <v>865</v>
      </c>
      <c r="AL898" s="33">
        <v>5</v>
      </c>
      <c r="AM898" s="33">
        <v>1</v>
      </c>
      <c r="AN898" s="33">
        <v>1</v>
      </c>
      <c r="AO898" s="33">
        <v>6</v>
      </c>
      <c r="AP898" s="33">
        <v>0</v>
      </c>
      <c r="AQ898" s="33">
        <v>1</v>
      </c>
      <c r="AR898" s="33">
        <v>1</v>
      </c>
      <c r="AS898" s="33">
        <v>1</v>
      </c>
      <c r="AT898" s="33">
        <v>0</v>
      </c>
      <c r="AU898" s="43">
        <v>0.30977389962864282</v>
      </c>
      <c r="AV898" s="33">
        <v>0</v>
      </c>
      <c r="AW898" s="33">
        <v>1</v>
      </c>
      <c r="AY898" s="36">
        <v>870</v>
      </c>
      <c r="AZ898" s="33">
        <v>5</v>
      </c>
      <c r="BA898" s="33">
        <v>2</v>
      </c>
      <c r="BB898" s="33">
        <v>0</v>
      </c>
      <c r="BC898" s="33">
        <v>1</v>
      </c>
      <c r="BD898" s="43">
        <v>1.9217264220459749E-2</v>
      </c>
      <c r="BE898" s="33">
        <v>0</v>
      </c>
      <c r="BF898" s="33">
        <v>0</v>
      </c>
      <c r="CE898" s="36">
        <v>864</v>
      </c>
      <c r="CF898" s="33">
        <v>2</v>
      </c>
      <c r="CG898" s="33">
        <v>1</v>
      </c>
      <c r="CH898" s="33">
        <v>3</v>
      </c>
      <c r="CI898" s="33">
        <v>2</v>
      </c>
      <c r="CJ898" s="33">
        <v>1</v>
      </c>
      <c r="CK898" s="33">
        <v>0</v>
      </c>
      <c r="CL898" s="33">
        <v>1</v>
      </c>
      <c r="CM898" s="33">
        <v>3</v>
      </c>
      <c r="CN898" s="33">
        <v>5</v>
      </c>
      <c r="CO898" s="33">
        <v>1</v>
      </c>
      <c r="CP898" s="43">
        <v>6.9512664306126473E-2</v>
      </c>
      <c r="CQ898" s="33">
        <v>0</v>
      </c>
      <c r="CR898" s="33">
        <v>0</v>
      </c>
    </row>
    <row r="899" spans="1:96" ht="15" customHeight="1" x14ac:dyDescent="0.25">
      <c r="A899" s="26">
        <v>897</v>
      </c>
      <c r="B899" s="27">
        <v>59</v>
      </c>
      <c r="C899" s="27">
        <v>0</v>
      </c>
      <c r="D899" s="27">
        <v>1</v>
      </c>
      <c r="E899" s="27">
        <v>326</v>
      </c>
      <c r="F899" s="27">
        <v>1</v>
      </c>
      <c r="G899" s="27">
        <v>3</v>
      </c>
      <c r="H899" s="27">
        <v>3</v>
      </c>
      <c r="I899" s="27">
        <v>1</v>
      </c>
      <c r="J899" s="27">
        <v>1</v>
      </c>
      <c r="K899" s="27">
        <v>1254</v>
      </c>
      <c r="L899" s="27">
        <v>3</v>
      </c>
      <c r="M899" s="27">
        <v>0</v>
      </c>
      <c r="N899" s="27">
        <v>48</v>
      </c>
      <c r="O899" s="27">
        <v>2</v>
      </c>
      <c r="P899" s="27">
        <v>2</v>
      </c>
      <c r="Q899" s="27">
        <v>1</v>
      </c>
      <c r="R899" s="27">
        <v>4</v>
      </c>
      <c r="S899" s="27">
        <v>1</v>
      </c>
      <c r="T899" s="27">
        <v>5171</v>
      </c>
      <c r="U899" s="27">
        <v>16490</v>
      </c>
      <c r="V899" s="27">
        <v>5</v>
      </c>
      <c r="W899" s="27">
        <v>0</v>
      </c>
      <c r="X899" s="27">
        <v>17</v>
      </c>
      <c r="Y899" s="27">
        <v>3</v>
      </c>
      <c r="Z899" s="27">
        <v>4</v>
      </c>
      <c r="AA899" s="27">
        <v>80</v>
      </c>
      <c r="AB899" s="27">
        <v>0</v>
      </c>
      <c r="AC899" s="27">
        <v>13</v>
      </c>
      <c r="AD899" s="27">
        <v>2</v>
      </c>
      <c r="AE899" s="27">
        <v>3</v>
      </c>
      <c r="AF899" s="27">
        <v>6</v>
      </c>
      <c r="AG899" s="27">
        <v>1</v>
      </c>
      <c r="AH899" s="27">
        <v>0</v>
      </c>
      <c r="AI899" s="28">
        <v>5</v>
      </c>
      <c r="AK899" s="36">
        <v>866</v>
      </c>
      <c r="AL899" s="33">
        <v>29</v>
      </c>
      <c r="AM899" s="33">
        <v>2</v>
      </c>
      <c r="AN899" s="33">
        <v>1</v>
      </c>
      <c r="AO899" s="33">
        <v>8</v>
      </c>
      <c r="AP899" s="33">
        <v>0</v>
      </c>
      <c r="AQ899" s="33">
        <v>3</v>
      </c>
      <c r="AR899" s="33">
        <v>3</v>
      </c>
      <c r="AS899" s="33">
        <v>4</v>
      </c>
      <c r="AT899" s="33">
        <v>0</v>
      </c>
      <c r="AU899" s="43">
        <v>0.10036717754743812</v>
      </c>
      <c r="AV899" s="33">
        <v>0</v>
      </c>
      <c r="AW899" s="33">
        <v>0</v>
      </c>
      <c r="AY899" s="36">
        <v>871</v>
      </c>
      <c r="AZ899" s="33">
        <v>2</v>
      </c>
      <c r="BA899" s="33">
        <v>1</v>
      </c>
      <c r="BB899" s="33">
        <v>1</v>
      </c>
      <c r="BC899" s="33">
        <v>3</v>
      </c>
      <c r="BD899" s="43">
        <v>0.1725768895660891</v>
      </c>
      <c r="BE899" s="33">
        <v>0</v>
      </c>
      <c r="BF899" s="33">
        <v>0</v>
      </c>
      <c r="CE899" s="36">
        <v>865</v>
      </c>
      <c r="CF899" s="33">
        <v>5</v>
      </c>
      <c r="CG899" s="33">
        <v>1</v>
      </c>
      <c r="CH899" s="33">
        <v>1</v>
      </c>
      <c r="CI899" s="33">
        <v>3</v>
      </c>
      <c r="CJ899" s="33">
        <v>6</v>
      </c>
      <c r="CK899" s="33">
        <v>0</v>
      </c>
      <c r="CL899" s="33">
        <v>1</v>
      </c>
      <c r="CM899" s="33">
        <v>1</v>
      </c>
      <c r="CN899" s="33">
        <v>1</v>
      </c>
      <c r="CO899" s="33">
        <v>0</v>
      </c>
      <c r="CP899" s="43">
        <v>0.20941953441060879</v>
      </c>
      <c r="CQ899" s="33">
        <v>0</v>
      </c>
      <c r="CR899" s="33">
        <v>1</v>
      </c>
    </row>
    <row r="900" spans="1:96" ht="15" customHeight="1" x14ac:dyDescent="0.25">
      <c r="A900" s="26">
        <v>898</v>
      </c>
      <c r="B900" s="27">
        <v>43</v>
      </c>
      <c r="C900" s="27">
        <v>0</v>
      </c>
      <c r="D900" s="27">
        <v>1</v>
      </c>
      <c r="E900" s="27">
        <v>920</v>
      </c>
      <c r="F900" s="27">
        <v>2</v>
      </c>
      <c r="G900" s="27">
        <v>3</v>
      </c>
      <c r="H900" s="27">
        <v>3</v>
      </c>
      <c r="I900" s="27">
        <v>1</v>
      </c>
      <c r="J900" s="27">
        <v>1</v>
      </c>
      <c r="K900" s="27">
        <v>1255</v>
      </c>
      <c r="L900" s="27">
        <v>3</v>
      </c>
      <c r="M900" s="27">
        <v>1</v>
      </c>
      <c r="N900" s="27">
        <v>96</v>
      </c>
      <c r="O900" s="27">
        <v>1</v>
      </c>
      <c r="P900" s="27">
        <v>5</v>
      </c>
      <c r="Q900" s="27">
        <v>8</v>
      </c>
      <c r="R900" s="27">
        <v>4</v>
      </c>
      <c r="S900" s="27">
        <v>2</v>
      </c>
      <c r="T900" s="27">
        <v>19740</v>
      </c>
      <c r="U900" s="27">
        <v>18625</v>
      </c>
      <c r="V900" s="27">
        <v>3</v>
      </c>
      <c r="W900" s="27">
        <v>0</v>
      </c>
      <c r="X900" s="27">
        <v>14</v>
      </c>
      <c r="Y900" s="27">
        <v>3</v>
      </c>
      <c r="Z900" s="27">
        <v>2</v>
      </c>
      <c r="AA900" s="27">
        <v>80</v>
      </c>
      <c r="AB900" s="27">
        <v>1</v>
      </c>
      <c r="AC900" s="27">
        <v>25</v>
      </c>
      <c r="AD900" s="27">
        <v>2</v>
      </c>
      <c r="AE900" s="27">
        <v>3</v>
      </c>
      <c r="AF900" s="27">
        <v>8</v>
      </c>
      <c r="AG900" s="27">
        <v>7</v>
      </c>
      <c r="AH900" s="27">
        <v>0</v>
      </c>
      <c r="AI900" s="28">
        <v>7</v>
      </c>
      <c r="AK900" s="36">
        <v>867</v>
      </c>
      <c r="AL900" s="33">
        <v>2</v>
      </c>
      <c r="AM900" s="33">
        <v>2</v>
      </c>
      <c r="AN900" s="33">
        <v>2</v>
      </c>
      <c r="AO900" s="33">
        <v>5</v>
      </c>
      <c r="AP900" s="33">
        <v>0</v>
      </c>
      <c r="AQ900" s="33">
        <v>3</v>
      </c>
      <c r="AR900" s="33">
        <v>3</v>
      </c>
      <c r="AS900" s="33">
        <v>0</v>
      </c>
      <c r="AT900" s="33">
        <v>0</v>
      </c>
      <c r="AU900" s="43">
        <v>3.367013432378748E-2</v>
      </c>
      <c r="AV900" s="33">
        <v>0</v>
      </c>
      <c r="AW900" s="33">
        <v>0</v>
      </c>
      <c r="AY900" s="36">
        <v>872</v>
      </c>
      <c r="AZ900" s="33">
        <v>1</v>
      </c>
      <c r="BA900" s="33">
        <v>2</v>
      </c>
      <c r="BB900" s="33">
        <v>0</v>
      </c>
      <c r="BC900" s="33">
        <v>1</v>
      </c>
      <c r="BD900" s="43">
        <v>0.15461023487664</v>
      </c>
      <c r="BE900" s="33">
        <v>0</v>
      </c>
      <c r="BF900" s="33">
        <v>1</v>
      </c>
      <c r="CE900" s="36">
        <v>866</v>
      </c>
      <c r="CF900" s="33">
        <v>29</v>
      </c>
      <c r="CG900" s="33">
        <v>2</v>
      </c>
      <c r="CH900" s="33">
        <v>1</v>
      </c>
      <c r="CI900" s="33">
        <v>3</v>
      </c>
      <c r="CJ900" s="33">
        <v>8</v>
      </c>
      <c r="CK900" s="33">
        <v>0</v>
      </c>
      <c r="CL900" s="33">
        <v>3</v>
      </c>
      <c r="CM900" s="33">
        <v>3</v>
      </c>
      <c r="CN900" s="33">
        <v>4</v>
      </c>
      <c r="CO900" s="33">
        <v>0</v>
      </c>
      <c r="CP900" s="43">
        <v>0.11307193548199967</v>
      </c>
      <c r="CQ900" s="33">
        <v>0</v>
      </c>
      <c r="CR900" s="33">
        <v>0</v>
      </c>
    </row>
    <row r="901" spans="1:96" ht="15" customHeight="1" x14ac:dyDescent="0.25">
      <c r="A901" s="26">
        <v>899</v>
      </c>
      <c r="B901" s="27">
        <v>49</v>
      </c>
      <c r="C901" s="27">
        <v>0</v>
      </c>
      <c r="D901" s="27">
        <v>1</v>
      </c>
      <c r="E901" s="27">
        <v>1098</v>
      </c>
      <c r="F901" s="27">
        <v>2</v>
      </c>
      <c r="G901" s="27">
        <v>4</v>
      </c>
      <c r="H901" s="27">
        <v>2</v>
      </c>
      <c r="I901" s="27">
        <v>3</v>
      </c>
      <c r="J901" s="27">
        <v>1</v>
      </c>
      <c r="K901" s="27">
        <v>1256</v>
      </c>
      <c r="L901" s="27">
        <v>1</v>
      </c>
      <c r="M901" s="27">
        <v>1</v>
      </c>
      <c r="N901" s="27">
        <v>85</v>
      </c>
      <c r="O901" s="27">
        <v>2</v>
      </c>
      <c r="P901" s="27">
        <v>5</v>
      </c>
      <c r="Q901" s="27">
        <v>6</v>
      </c>
      <c r="R901" s="27">
        <v>3</v>
      </c>
      <c r="S901" s="27">
        <v>2</v>
      </c>
      <c r="T901" s="27">
        <v>18711</v>
      </c>
      <c r="U901" s="27">
        <v>12124</v>
      </c>
      <c r="V901" s="27">
        <v>2</v>
      </c>
      <c r="W901" s="27">
        <v>0</v>
      </c>
      <c r="X901" s="27">
        <v>13</v>
      </c>
      <c r="Y901" s="27">
        <v>3</v>
      </c>
      <c r="Z901" s="27">
        <v>3</v>
      </c>
      <c r="AA901" s="27">
        <v>80</v>
      </c>
      <c r="AB901" s="27">
        <v>1</v>
      </c>
      <c r="AC901" s="27">
        <v>23</v>
      </c>
      <c r="AD901" s="27">
        <v>2</v>
      </c>
      <c r="AE901" s="27">
        <v>4</v>
      </c>
      <c r="AF901" s="27">
        <v>1</v>
      </c>
      <c r="AG901" s="27">
        <v>0</v>
      </c>
      <c r="AH901" s="27">
        <v>0</v>
      </c>
      <c r="AI901" s="28">
        <v>0</v>
      </c>
      <c r="AK901" s="36">
        <v>868</v>
      </c>
      <c r="AL901" s="33">
        <v>2</v>
      </c>
      <c r="AM901" s="33">
        <v>4</v>
      </c>
      <c r="AN901" s="33">
        <v>1</v>
      </c>
      <c r="AO901" s="33">
        <v>2</v>
      </c>
      <c r="AP901" s="33">
        <v>0</v>
      </c>
      <c r="AQ901" s="33">
        <v>1</v>
      </c>
      <c r="AR901" s="33">
        <v>3</v>
      </c>
      <c r="AS901" s="33">
        <v>2</v>
      </c>
      <c r="AT901" s="33">
        <v>2</v>
      </c>
      <c r="AU901" s="43">
        <v>3.9043330769616427E-2</v>
      </c>
      <c r="AV901" s="33">
        <v>0</v>
      </c>
      <c r="AW901" s="33">
        <v>0</v>
      </c>
      <c r="AY901" s="36">
        <v>873</v>
      </c>
      <c r="AZ901" s="33">
        <v>2</v>
      </c>
      <c r="BA901" s="33">
        <v>3</v>
      </c>
      <c r="BB901" s="33">
        <v>0</v>
      </c>
      <c r="BC901" s="33">
        <v>1</v>
      </c>
      <c r="BD901" s="43">
        <v>7.244788656931947E-2</v>
      </c>
      <c r="BE901" s="33">
        <v>0</v>
      </c>
      <c r="BF901" s="33">
        <v>0</v>
      </c>
      <c r="CE901" s="36">
        <v>867</v>
      </c>
      <c r="CF901" s="33">
        <v>2</v>
      </c>
      <c r="CG901" s="33">
        <v>2</v>
      </c>
      <c r="CH901" s="33">
        <v>2</v>
      </c>
      <c r="CI901" s="33">
        <v>2</v>
      </c>
      <c r="CJ901" s="33">
        <v>5</v>
      </c>
      <c r="CK901" s="33">
        <v>0</v>
      </c>
      <c r="CL901" s="33">
        <v>3</v>
      </c>
      <c r="CM901" s="33">
        <v>3</v>
      </c>
      <c r="CN901" s="33">
        <v>0</v>
      </c>
      <c r="CO901" s="33">
        <v>0</v>
      </c>
      <c r="CP901" s="43">
        <v>6.4067473413102594E-2</v>
      </c>
      <c r="CQ901" s="33">
        <v>0</v>
      </c>
      <c r="CR901" s="33">
        <v>0</v>
      </c>
    </row>
    <row r="902" spans="1:96" ht="15" customHeight="1" x14ac:dyDescent="0.25">
      <c r="A902" s="26">
        <v>900</v>
      </c>
      <c r="B902" s="27">
        <v>36</v>
      </c>
      <c r="C902" s="27">
        <v>0</v>
      </c>
      <c r="D902" s="27">
        <v>2</v>
      </c>
      <c r="E902" s="27">
        <v>469</v>
      </c>
      <c r="F902" s="27">
        <v>2</v>
      </c>
      <c r="G902" s="27">
        <v>3</v>
      </c>
      <c r="H902" s="27">
        <v>3</v>
      </c>
      <c r="I902" s="27">
        <v>5</v>
      </c>
      <c r="J902" s="27">
        <v>1</v>
      </c>
      <c r="K902" s="27">
        <v>1257</v>
      </c>
      <c r="L902" s="27">
        <v>3</v>
      </c>
      <c r="M902" s="27">
        <v>1</v>
      </c>
      <c r="N902" s="27">
        <v>46</v>
      </c>
      <c r="O902" s="27">
        <v>3</v>
      </c>
      <c r="P902" s="27">
        <v>1</v>
      </c>
      <c r="Q902" s="27">
        <v>2</v>
      </c>
      <c r="R902" s="27">
        <v>2</v>
      </c>
      <c r="S902" s="27">
        <v>2</v>
      </c>
      <c r="T902" s="27">
        <v>3692</v>
      </c>
      <c r="U902" s="27">
        <v>9256</v>
      </c>
      <c r="V902" s="27">
        <v>1</v>
      </c>
      <c r="W902" s="27">
        <v>0</v>
      </c>
      <c r="X902" s="27">
        <v>12</v>
      </c>
      <c r="Y902" s="27">
        <v>3</v>
      </c>
      <c r="Z902" s="27">
        <v>3</v>
      </c>
      <c r="AA902" s="27">
        <v>80</v>
      </c>
      <c r="AB902" s="27">
        <v>0</v>
      </c>
      <c r="AC902" s="27">
        <v>12</v>
      </c>
      <c r="AD902" s="27">
        <v>2</v>
      </c>
      <c r="AE902" s="27">
        <v>2</v>
      </c>
      <c r="AF902" s="27">
        <v>11</v>
      </c>
      <c r="AG902" s="27">
        <v>10</v>
      </c>
      <c r="AH902" s="27">
        <v>0</v>
      </c>
      <c r="AI902" s="28">
        <v>7</v>
      </c>
      <c r="AK902" s="36">
        <v>869</v>
      </c>
      <c r="AL902" s="33">
        <v>19</v>
      </c>
      <c r="AM902" s="33">
        <v>1</v>
      </c>
      <c r="AN902" s="33">
        <v>1</v>
      </c>
      <c r="AO902" s="33">
        <v>1</v>
      </c>
      <c r="AP902" s="33">
        <v>0</v>
      </c>
      <c r="AQ902" s="33">
        <v>3</v>
      </c>
      <c r="AR902" s="33">
        <v>3</v>
      </c>
      <c r="AS902" s="33">
        <v>6</v>
      </c>
      <c r="AT902" s="33">
        <v>3</v>
      </c>
      <c r="AU902" s="43">
        <v>8.5489022450899246E-2</v>
      </c>
      <c r="AV902" s="33">
        <v>0</v>
      </c>
      <c r="AW902" s="33">
        <v>0</v>
      </c>
      <c r="AY902" s="36">
        <v>874</v>
      </c>
      <c r="AZ902" s="33">
        <v>1</v>
      </c>
      <c r="BA902" s="33">
        <v>3</v>
      </c>
      <c r="BB902" s="33">
        <v>0</v>
      </c>
      <c r="BC902" s="33">
        <v>1</v>
      </c>
      <c r="BD902" s="43">
        <v>0.12012271365792118</v>
      </c>
      <c r="BE902" s="33">
        <v>0</v>
      </c>
      <c r="BF902" s="33">
        <v>0</v>
      </c>
      <c r="CE902" s="36">
        <v>868</v>
      </c>
      <c r="CF902" s="33">
        <v>2</v>
      </c>
      <c r="CG902" s="33">
        <v>4</v>
      </c>
      <c r="CH902" s="33">
        <v>1</v>
      </c>
      <c r="CI902" s="33">
        <v>2</v>
      </c>
      <c r="CJ902" s="33">
        <v>2</v>
      </c>
      <c r="CK902" s="33">
        <v>0</v>
      </c>
      <c r="CL902" s="33">
        <v>1</v>
      </c>
      <c r="CM902" s="33">
        <v>3</v>
      </c>
      <c r="CN902" s="33">
        <v>2</v>
      </c>
      <c r="CO902" s="33">
        <v>2</v>
      </c>
      <c r="CP902" s="43">
        <v>4.0139995939815924E-2</v>
      </c>
      <c r="CQ902" s="33">
        <v>0</v>
      </c>
      <c r="CR902" s="33">
        <v>0</v>
      </c>
    </row>
    <row r="903" spans="1:96" ht="15" customHeight="1" x14ac:dyDescent="0.25">
      <c r="A903" s="26">
        <v>901</v>
      </c>
      <c r="B903" s="27">
        <v>48</v>
      </c>
      <c r="C903" s="27">
        <v>0</v>
      </c>
      <c r="D903" s="27">
        <v>1</v>
      </c>
      <c r="E903" s="27">
        <v>969</v>
      </c>
      <c r="F903" s="27">
        <v>2</v>
      </c>
      <c r="G903" s="27">
        <v>2</v>
      </c>
      <c r="H903" s="27">
        <v>2</v>
      </c>
      <c r="I903" s="27">
        <v>5</v>
      </c>
      <c r="J903" s="27">
        <v>1</v>
      </c>
      <c r="K903" s="27">
        <v>1258</v>
      </c>
      <c r="L903" s="27">
        <v>4</v>
      </c>
      <c r="M903" s="27">
        <v>1</v>
      </c>
      <c r="N903" s="27">
        <v>76</v>
      </c>
      <c r="O903" s="27">
        <v>4</v>
      </c>
      <c r="P903" s="27">
        <v>1</v>
      </c>
      <c r="Q903" s="27">
        <v>3</v>
      </c>
      <c r="R903" s="27">
        <v>2</v>
      </c>
      <c r="S903" s="27">
        <v>1</v>
      </c>
      <c r="T903" s="27">
        <v>2559</v>
      </c>
      <c r="U903" s="27">
        <v>16620</v>
      </c>
      <c r="V903" s="27">
        <v>5</v>
      </c>
      <c r="W903" s="27">
        <v>0</v>
      </c>
      <c r="X903" s="27">
        <v>11</v>
      </c>
      <c r="Y903" s="27">
        <v>3</v>
      </c>
      <c r="Z903" s="27">
        <v>3</v>
      </c>
      <c r="AA903" s="27">
        <v>80</v>
      </c>
      <c r="AB903" s="27">
        <v>0</v>
      </c>
      <c r="AC903" s="27">
        <v>7</v>
      </c>
      <c r="AD903" s="27">
        <v>4</v>
      </c>
      <c r="AE903" s="27">
        <v>2</v>
      </c>
      <c r="AF903" s="27">
        <v>1</v>
      </c>
      <c r="AG903" s="27">
        <v>0</v>
      </c>
      <c r="AH903" s="27">
        <v>0</v>
      </c>
      <c r="AI903" s="28">
        <v>0</v>
      </c>
      <c r="AK903" s="36">
        <v>870</v>
      </c>
      <c r="AL903" s="33">
        <v>15</v>
      </c>
      <c r="AM903" s="33">
        <v>5</v>
      </c>
      <c r="AN903" s="33">
        <v>2</v>
      </c>
      <c r="AO903" s="33">
        <v>5</v>
      </c>
      <c r="AP903" s="33">
        <v>0</v>
      </c>
      <c r="AQ903" s="33">
        <v>1</v>
      </c>
      <c r="AR903" s="33">
        <v>3</v>
      </c>
      <c r="AS903" s="33">
        <v>4</v>
      </c>
      <c r="AT903" s="33">
        <v>0</v>
      </c>
      <c r="AU903" s="43">
        <v>2.3464005489472868E-2</v>
      </c>
      <c r="AV903" s="33">
        <v>0</v>
      </c>
      <c r="AW903" s="33">
        <v>0</v>
      </c>
      <c r="AY903" s="36">
        <v>875</v>
      </c>
      <c r="AZ903" s="33">
        <v>2</v>
      </c>
      <c r="BA903" s="33">
        <v>3</v>
      </c>
      <c r="BB903" s="33">
        <v>0</v>
      </c>
      <c r="BC903" s="33">
        <v>3</v>
      </c>
      <c r="BD903" s="43">
        <v>2.6469010457514919E-2</v>
      </c>
      <c r="BE903" s="33">
        <v>0</v>
      </c>
      <c r="BF903" s="33">
        <v>0</v>
      </c>
      <c r="CE903" s="36">
        <v>869</v>
      </c>
      <c r="CF903" s="33">
        <v>19</v>
      </c>
      <c r="CG903" s="33">
        <v>1</v>
      </c>
      <c r="CH903" s="33">
        <v>1</v>
      </c>
      <c r="CI903" s="33">
        <v>2</v>
      </c>
      <c r="CJ903" s="33">
        <v>1</v>
      </c>
      <c r="CK903" s="33">
        <v>0</v>
      </c>
      <c r="CL903" s="33">
        <v>3</v>
      </c>
      <c r="CM903" s="33">
        <v>3</v>
      </c>
      <c r="CN903" s="33">
        <v>6</v>
      </c>
      <c r="CO903" s="33">
        <v>3</v>
      </c>
      <c r="CP903" s="43">
        <v>0.15534645622082521</v>
      </c>
      <c r="CQ903" s="33">
        <v>0</v>
      </c>
      <c r="CR903" s="33">
        <v>0</v>
      </c>
    </row>
    <row r="904" spans="1:96" ht="15" customHeight="1" x14ac:dyDescent="0.25">
      <c r="A904" s="26">
        <v>902</v>
      </c>
      <c r="B904" s="27">
        <v>27</v>
      </c>
      <c r="C904" s="27">
        <v>0</v>
      </c>
      <c r="D904" s="27">
        <v>1</v>
      </c>
      <c r="E904" s="27">
        <v>1167</v>
      </c>
      <c r="F904" s="27">
        <v>2</v>
      </c>
      <c r="G904" s="27">
        <v>4</v>
      </c>
      <c r="H904" s="27">
        <v>2</v>
      </c>
      <c r="I904" s="27">
        <v>1</v>
      </c>
      <c r="J904" s="27">
        <v>1</v>
      </c>
      <c r="K904" s="27">
        <v>1259</v>
      </c>
      <c r="L904" s="27">
        <v>1</v>
      </c>
      <c r="M904" s="27">
        <v>1</v>
      </c>
      <c r="N904" s="27">
        <v>76</v>
      </c>
      <c r="O904" s="27">
        <v>3</v>
      </c>
      <c r="P904" s="27">
        <v>1</v>
      </c>
      <c r="Q904" s="27">
        <v>2</v>
      </c>
      <c r="R904" s="27">
        <v>3</v>
      </c>
      <c r="S904" s="27">
        <v>3</v>
      </c>
      <c r="T904" s="27">
        <v>2517</v>
      </c>
      <c r="U904" s="27">
        <v>3208</v>
      </c>
      <c r="V904" s="27">
        <v>1</v>
      </c>
      <c r="W904" s="27">
        <v>0</v>
      </c>
      <c r="X904" s="27">
        <v>11</v>
      </c>
      <c r="Y904" s="27">
        <v>3</v>
      </c>
      <c r="Z904" s="27">
        <v>2</v>
      </c>
      <c r="AA904" s="27">
        <v>80</v>
      </c>
      <c r="AB904" s="27">
        <v>3</v>
      </c>
      <c r="AC904" s="27">
        <v>5</v>
      </c>
      <c r="AD904" s="27">
        <v>2</v>
      </c>
      <c r="AE904" s="27">
        <v>3</v>
      </c>
      <c r="AF904" s="27">
        <v>5</v>
      </c>
      <c r="AG904" s="27">
        <v>3</v>
      </c>
      <c r="AH904" s="27">
        <v>0</v>
      </c>
      <c r="AI904" s="28">
        <v>3</v>
      </c>
      <c r="AK904" s="36">
        <v>871</v>
      </c>
      <c r="AL904" s="33">
        <v>17</v>
      </c>
      <c r="AM904" s="33">
        <v>2</v>
      </c>
      <c r="AN904" s="33">
        <v>1</v>
      </c>
      <c r="AO904" s="33">
        <v>3</v>
      </c>
      <c r="AP904" s="33">
        <v>1</v>
      </c>
      <c r="AQ904" s="33">
        <v>3</v>
      </c>
      <c r="AR904" s="33">
        <v>3</v>
      </c>
      <c r="AS904" s="33">
        <v>7</v>
      </c>
      <c r="AT904" s="33">
        <v>1</v>
      </c>
      <c r="AU904" s="43">
        <v>0.16186697191294583</v>
      </c>
      <c r="AV904" s="33">
        <v>0</v>
      </c>
      <c r="AW904" s="33">
        <v>0</v>
      </c>
      <c r="AY904" s="36">
        <v>876</v>
      </c>
      <c r="AZ904" s="33">
        <v>2</v>
      </c>
      <c r="BA904" s="33">
        <v>4</v>
      </c>
      <c r="BB904" s="33">
        <v>0</v>
      </c>
      <c r="BC904" s="33">
        <v>0</v>
      </c>
      <c r="BD904" s="43">
        <v>8.9935487507215722E-2</v>
      </c>
      <c r="BE904" s="33">
        <v>0</v>
      </c>
      <c r="BF904" s="33">
        <v>0</v>
      </c>
      <c r="CE904" s="36">
        <v>870</v>
      </c>
      <c r="CF904" s="33">
        <v>15</v>
      </c>
      <c r="CG904" s="33">
        <v>5</v>
      </c>
      <c r="CH904" s="33">
        <v>2</v>
      </c>
      <c r="CI904" s="33">
        <v>2</v>
      </c>
      <c r="CJ904" s="33">
        <v>5</v>
      </c>
      <c r="CK904" s="33">
        <v>0</v>
      </c>
      <c r="CL904" s="33">
        <v>1</v>
      </c>
      <c r="CM904" s="33">
        <v>3</v>
      </c>
      <c r="CN904" s="33">
        <v>4</v>
      </c>
      <c r="CO904" s="33">
        <v>0</v>
      </c>
      <c r="CP904" s="43">
        <v>2.3816858828826788E-2</v>
      </c>
      <c r="CQ904" s="33">
        <v>0</v>
      </c>
      <c r="CR904" s="33">
        <v>0</v>
      </c>
    </row>
    <row r="905" spans="1:96" ht="15" customHeight="1" x14ac:dyDescent="0.25">
      <c r="A905" s="26">
        <v>903</v>
      </c>
      <c r="B905" s="27">
        <v>29</v>
      </c>
      <c r="C905" s="27">
        <v>0</v>
      </c>
      <c r="D905" s="27">
        <v>1</v>
      </c>
      <c r="E905" s="27">
        <v>1329</v>
      </c>
      <c r="F905" s="27">
        <v>2</v>
      </c>
      <c r="G905" s="27">
        <v>7</v>
      </c>
      <c r="H905" s="27">
        <v>3</v>
      </c>
      <c r="I905" s="27">
        <v>1</v>
      </c>
      <c r="J905" s="27">
        <v>1</v>
      </c>
      <c r="K905" s="27">
        <v>1260</v>
      </c>
      <c r="L905" s="27">
        <v>3</v>
      </c>
      <c r="M905" s="27">
        <v>1</v>
      </c>
      <c r="N905" s="27">
        <v>82</v>
      </c>
      <c r="O905" s="27">
        <v>3</v>
      </c>
      <c r="P905" s="27">
        <v>2</v>
      </c>
      <c r="Q905" s="27">
        <v>5</v>
      </c>
      <c r="R905" s="27">
        <v>4</v>
      </c>
      <c r="S905" s="27">
        <v>3</v>
      </c>
      <c r="T905" s="27">
        <v>6623</v>
      </c>
      <c r="U905" s="27">
        <v>4204</v>
      </c>
      <c r="V905" s="27">
        <v>1</v>
      </c>
      <c r="W905" s="27">
        <v>1</v>
      </c>
      <c r="X905" s="27">
        <v>11</v>
      </c>
      <c r="Y905" s="27">
        <v>3</v>
      </c>
      <c r="Z905" s="27">
        <v>2</v>
      </c>
      <c r="AA905" s="27">
        <v>80</v>
      </c>
      <c r="AB905" s="27">
        <v>2</v>
      </c>
      <c r="AC905" s="27">
        <v>6</v>
      </c>
      <c r="AD905" s="27">
        <v>2</v>
      </c>
      <c r="AE905" s="27">
        <v>3</v>
      </c>
      <c r="AF905" s="27">
        <v>6</v>
      </c>
      <c r="AG905" s="27">
        <v>0</v>
      </c>
      <c r="AH905" s="27">
        <v>1</v>
      </c>
      <c r="AI905" s="28">
        <v>0</v>
      </c>
      <c r="AK905" s="36">
        <v>872</v>
      </c>
      <c r="AL905" s="33">
        <v>17</v>
      </c>
      <c r="AM905" s="33">
        <v>1</v>
      </c>
      <c r="AN905" s="33">
        <v>2</v>
      </c>
      <c r="AO905" s="33">
        <v>1</v>
      </c>
      <c r="AP905" s="33">
        <v>0</v>
      </c>
      <c r="AQ905" s="33">
        <v>1</v>
      </c>
      <c r="AR905" s="33">
        <v>1</v>
      </c>
      <c r="AS905" s="33">
        <v>1</v>
      </c>
      <c r="AT905" s="33">
        <v>0</v>
      </c>
      <c r="AU905" s="43">
        <v>0.24796373488612011</v>
      </c>
      <c r="AV905" s="33">
        <v>0</v>
      </c>
      <c r="AW905" s="33">
        <v>1</v>
      </c>
      <c r="AY905" s="36">
        <v>877</v>
      </c>
      <c r="AZ905" s="33">
        <v>1</v>
      </c>
      <c r="BA905" s="33">
        <v>4</v>
      </c>
      <c r="BB905" s="33">
        <v>0</v>
      </c>
      <c r="BC905" s="33">
        <v>0</v>
      </c>
      <c r="BD905" s="43">
        <v>0.1472907617042678</v>
      </c>
      <c r="BE905" s="33">
        <v>0</v>
      </c>
      <c r="BF905" s="33">
        <v>0</v>
      </c>
      <c r="CE905" s="36">
        <v>871</v>
      </c>
      <c r="CF905" s="33">
        <v>17</v>
      </c>
      <c r="CG905" s="33">
        <v>2</v>
      </c>
      <c r="CH905" s="33">
        <v>1</v>
      </c>
      <c r="CI905" s="33">
        <v>2</v>
      </c>
      <c r="CJ905" s="33">
        <v>3</v>
      </c>
      <c r="CK905" s="33">
        <v>1</v>
      </c>
      <c r="CL905" s="33">
        <v>3</v>
      </c>
      <c r="CM905" s="33">
        <v>3</v>
      </c>
      <c r="CN905" s="33">
        <v>7</v>
      </c>
      <c r="CO905" s="33">
        <v>1</v>
      </c>
      <c r="CP905" s="43">
        <v>0.28518261459794347</v>
      </c>
      <c r="CQ905" s="33">
        <v>0</v>
      </c>
      <c r="CR905" s="33">
        <v>0</v>
      </c>
    </row>
    <row r="906" spans="1:96" ht="15" customHeight="1" x14ac:dyDescent="0.25">
      <c r="A906" s="26">
        <v>904</v>
      </c>
      <c r="B906" s="27">
        <v>48</v>
      </c>
      <c r="C906" s="27">
        <v>0</v>
      </c>
      <c r="D906" s="27">
        <v>1</v>
      </c>
      <c r="E906" s="27">
        <v>715</v>
      </c>
      <c r="F906" s="27">
        <v>2</v>
      </c>
      <c r="G906" s="27">
        <v>1</v>
      </c>
      <c r="H906" s="27">
        <v>3</v>
      </c>
      <c r="I906" s="27">
        <v>1</v>
      </c>
      <c r="J906" s="27">
        <v>1</v>
      </c>
      <c r="K906" s="27">
        <v>1263</v>
      </c>
      <c r="L906" s="27">
        <v>4</v>
      </c>
      <c r="M906" s="27">
        <v>1</v>
      </c>
      <c r="N906" s="27">
        <v>76</v>
      </c>
      <c r="O906" s="27">
        <v>2</v>
      </c>
      <c r="P906" s="27">
        <v>5</v>
      </c>
      <c r="Q906" s="27">
        <v>8</v>
      </c>
      <c r="R906" s="27">
        <v>4</v>
      </c>
      <c r="S906" s="27">
        <v>1</v>
      </c>
      <c r="T906" s="27">
        <v>18265</v>
      </c>
      <c r="U906" s="27">
        <v>8733</v>
      </c>
      <c r="V906" s="27">
        <v>6</v>
      </c>
      <c r="W906" s="27">
        <v>0</v>
      </c>
      <c r="X906" s="27">
        <v>12</v>
      </c>
      <c r="Y906" s="27">
        <v>3</v>
      </c>
      <c r="Z906" s="27">
        <v>3</v>
      </c>
      <c r="AA906" s="27">
        <v>80</v>
      </c>
      <c r="AB906" s="27">
        <v>0</v>
      </c>
      <c r="AC906" s="27">
        <v>25</v>
      </c>
      <c r="AD906" s="27">
        <v>3</v>
      </c>
      <c r="AE906" s="27">
        <v>4</v>
      </c>
      <c r="AF906" s="27">
        <v>1</v>
      </c>
      <c r="AG906" s="27">
        <v>0</v>
      </c>
      <c r="AH906" s="27">
        <v>0</v>
      </c>
      <c r="AI906" s="28">
        <v>0</v>
      </c>
      <c r="AK906" s="36">
        <v>873</v>
      </c>
      <c r="AL906" s="33">
        <v>25</v>
      </c>
      <c r="AM906" s="33">
        <v>2</v>
      </c>
      <c r="AN906" s="33">
        <v>3</v>
      </c>
      <c r="AO906" s="33">
        <v>1</v>
      </c>
      <c r="AP906" s="33">
        <v>0</v>
      </c>
      <c r="AQ906" s="33">
        <v>1</v>
      </c>
      <c r="AR906" s="33">
        <v>2</v>
      </c>
      <c r="AS906" s="33">
        <v>10</v>
      </c>
      <c r="AT906" s="33">
        <v>0</v>
      </c>
      <c r="AU906" s="43">
        <v>7.1391663459236254E-2</v>
      </c>
      <c r="AV906" s="33">
        <v>0</v>
      </c>
      <c r="AW906" s="33">
        <v>0</v>
      </c>
      <c r="AY906" s="36">
        <v>878</v>
      </c>
      <c r="AZ906" s="33">
        <v>2</v>
      </c>
      <c r="BA906" s="33">
        <v>4</v>
      </c>
      <c r="BB906" s="33">
        <v>0</v>
      </c>
      <c r="BC906" s="33">
        <v>1</v>
      </c>
      <c r="BD906" s="43">
        <v>5.5093218126976727E-2</v>
      </c>
      <c r="BE906" s="33">
        <v>0</v>
      </c>
      <c r="BF906" s="33">
        <v>0</v>
      </c>
      <c r="CE906" s="36">
        <v>872</v>
      </c>
      <c r="CF906" s="33">
        <v>17</v>
      </c>
      <c r="CG906" s="33">
        <v>1</v>
      </c>
      <c r="CH906" s="33">
        <v>2</v>
      </c>
      <c r="CI906" s="33">
        <v>2</v>
      </c>
      <c r="CJ906" s="33">
        <v>1</v>
      </c>
      <c r="CK906" s="33">
        <v>0</v>
      </c>
      <c r="CL906" s="33">
        <v>1</v>
      </c>
      <c r="CM906" s="33">
        <v>1</v>
      </c>
      <c r="CN906" s="33">
        <v>1</v>
      </c>
      <c r="CO906" s="33">
        <v>0</v>
      </c>
      <c r="CP906" s="43">
        <v>0.24744848929502875</v>
      </c>
      <c r="CQ906" s="33">
        <v>0</v>
      </c>
      <c r="CR906" s="33">
        <v>1</v>
      </c>
    </row>
    <row r="907" spans="1:96" ht="15" customHeight="1" x14ac:dyDescent="0.25">
      <c r="A907" s="26">
        <v>905</v>
      </c>
      <c r="B907" s="27">
        <v>29</v>
      </c>
      <c r="C907" s="27">
        <v>0</v>
      </c>
      <c r="D907" s="27">
        <v>1</v>
      </c>
      <c r="E907" s="27">
        <v>694</v>
      </c>
      <c r="F907" s="27">
        <v>2</v>
      </c>
      <c r="G907" s="27">
        <v>1</v>
      </c>
      <c r="H907" s="27">
        <v>3</v>
      </c>
      <c r="I907" s="27">
        <v>1</v>
      </c>
      <c r="J907" s="27">
        <v>1</v>
      </c>
      <c r="K907" s="27">
        <v>1264</v>
      </c>
      <c r="L907" s="27">
        <v>4</v>
      </c>
      <c r="M907" s="27">
        <v>0</v>
      </c>
      <c r="N907" s="27">
        <v>87</v>
      </c>
      <c r="O907" s="27">
        <v>2</v>
      </c>
      <c r="P907" s="27">
        <v>4</v>
      </c>
      <c r="Q907" s="27">
        <v>8</v>
      </c>
      <c r="R907" s="27">
        <v>4</v>
      </c>
      <c r="S907" s="27">
        <v>3</v>
      </c>
      <c r="T907" s="27">
        <v>16124</v>
      </c>
      <c r="U907" s="27">
        <v>3423</v>
      </c>
      <c r="V907" s="27">
        <v>3</v>
      </c>
      <c r="W907" s="27">
        <v>0</v>
      </c>
      <c r="X907" s="27">
        <v>14</v>
      </c>
      <c r="Y907" s="27">
        <v>3</v>
      </c>
      <c r="Z907" s="27">
        <v>2</v>
      </c>
      <c r="AA907" s="27">
        <v>80</v>
      </c>
      <c r="AB907" s="27">
        <v>2</v>
      </c>
      <c r="AC907" s="27">
        <v>9</v>
      </c>
      <c r="AD907" s="27">
        <v>2</v>
      </c>
      <c r="AE907" s="27">
        <v>2</v>
      </c>
      <c r="AF907" s="27">
        <v>7</v>
      </c>
      <c r="AG907" s="27">
        <v>7</v>
      </c>
      <c r="AH907" s="27">
        <v>1</v>
      </c>
      <c r="AI907" s="28">
        <v>7</v>
      </c>
      <c r="AK907" s="36">
        <v>874</v>
      </c>
      <c r="AL907" s="33">
        <v>6</v>
      </c>
      <c r="AM907" s="33">
        <v>1</v>
      </c>
      <c r="AN907" s="33">
        <v>3</v>
      </c>
      <c r="AO907" s="33">
        <v>1</v>
      </c>
      <c r="AP907" s="33">
        <v>0</v>
      </c>
      <c r="AQ907" s="33">
        <v>1</v>
      </c>
      <c r="AR907" s="33">
        <v>3</v>
      </c>
      <c r="AS907" s="33">
        <v>7</v>
      </c>
      <c r="AT907" s="33">
        <v>1</v>
      </c>
      <c r="AU907" s="43">
        <v>7.2032235780219556E-2</v>
      </c>
      <c r="AV907" s="33">
        <v>0</v>
      </c>
      <c r="AW907" s="33">
        <v>0</v>
      </c>
      <c r="AY907" s="36">
        <v>879</v>
      </c>
      <c r="AZ907" s="33">
        <v>2</v>
      </c>
      <c r="BA907" s="33">
        <v>1</v>
      </c>
      <c r="BB907" s="33">
        <v>0</v>
      </c>
      <c r="BC907" s="33">
        <v>1</v>
      </c>
      <c r="BD907" s="43">
        <v>0.12293502213131684</v>
      </c>
      <c r="BE907" s="33">
        <v>0</v>
      </c>
      <c r="BF907" s="33">
        <v>0</v>
      </c>
      <c r="CE907" s="36">
        <v>873</v>
      </c>
      <c r="CF907" s="33">
        <v>25</v>
      </c>
      <c r="CG907" s="33">
        <v>2</v>
      </c>
      <c r="CH907" s="33">
        <v>3</v>
      </c>
      <c r="CI907" s="33">
        <v>2</v>
      </c>
      <c r="CJ907" s="33">
        <v>1</v>
      </c>
      <c r="CK907" s="33">
        <v>0</v>
      </c>
      <c r="CL907" s="33">
        <v>1</v>
      </c>
      <c r="CM907" s="33">
        <v>2</v>
      </c>
      <c r="CN907" s="33">
        <v>10</v>
      </c>
      <c r="CO907" s="33">
        <v>0</v>
      </c>
      <c r="CP907" s="43">
        <v>6.9221564872457703E-2</v>
      </c>
      <c r="CQ907" s="33">
        <v>0</v>
      </c>
      <c r="CR907" s="33">
        <v>0</v>
      </c>
    </row>
    <row r="908" spans="1:96" ht="15" customHeight="1" x14ac:dyDescent="0.25">
      <c r="A908" s="26">
        <v>906</v>
      </c>
      <c r="B908" s="27">
        <v>34</v>
      </c>
      <c r="C908" s="27">
        <v>0</v>
      </c>
      <c r="D908" s="27">
        <v>1</v>
      </c>
      <c r="E908" s="27">
        <v>1320</v>
      </c>
      <c r="F908" s="27">
        <v>2</v>
      </c>
      <c r="G908" s="27">
        <v>20</v>
      </c>
      <c r="H908" s="27">
        <v>3</v>
      </c>
      <c r="I908" s="27">
        <v>5</v>
      </c>
      <c r="J908" s="27">
        <v>1</v>
      </c>
      <c r="K908" s="27">
        <v>1265</v>
      </c>
      <c r="L908" s="27">
        <v>3</v>
      </c>
      <c r="M908" s="27">
        <v>0</v>
      </c>
      <c r="N908" s="27">
        <v>89</v>
      </c>
      <c r="O908" s="27">
        <v>4</v>
      </c>
      <c r="P908" s="27">
        <v>1</v>
      </c>
      <c r="Q908" s="27">
        <v>2</v>
      </c>
      <c r="R908" s="27">
        <v>3</v>
      </c>
      <c r="S908" s="27">
        <v>2</v>
      </c>
      <c r="T908" s="27">
        <v>2585</v>
      </c>
      <c r="U908" s="27">
        <v>21643</v>
      </c>
      <c r="V908" s="27">
        <v>0</v>
      </c>
      <c r="W908" s="27">
        <v>0</v>
      </c>
      <c r="X908" s="27">
        <v>17</v>
      </c>
      <c r="Y908" s="27">
        <v>3</v>
      </c>
      <c r="Z908" s="27">
        <v>4</v>
      </c>
      <c r="AA908" s="27">
        <v>80</v>
      </c>
      <c r="AB908" s="27">
        <v>0</v>
      </c>
      <c r="AC908" s="27">
        <v>2</v>
      </c>
      <c r="AD908" s="27">
        <v>5</v>
      </c>
      <c r="AE908" s="27">
        <v>2</v>
      </c>
      <c r="AF908" s="27">
        <v>1</v>
      </c>
      <c r="AG908" s="27">
        <v>0</v>
      </c>
      <c r="AH908" s="27">
        <v>0</v>
      </c>
      <c r="AI908" s="28">
        <v>0</v>
      </c>
      <c r="AK908" s="36">
        <v>875</v>
      </c>
      <c r="AL908" s="33">
        <v>7</v>
      </c>
      <c r="AM908" s="33">
        <v>2</v>
      </c>
      <c r="AN908" s="33">
        <v>3</v>
      </c>
      <c r="AO908" s="33">
        <v>1</v>
      </c>
      <c r="AP908" s="33">
        <v>0</v>
      </c>
      <c r="AQ908" s="33">
        <v>3</v>
      </c>
      <c r="AR908" s="33">
        <v>2</v>
      </c>
      <c r="AS908" s="33">
        <v>10</v>
      </c>
      <c r="AT908" s="33">
        <v>8</v>
      </c>
      <c r="AU908" s="43">
        <v>3.2345277762940973E-2</v>
      </c>
      <c r="AV908" s="33">
        <v>0</v>
      </c>
      <c r="AW908" s="33">
        <v>0</v>
      </c>
      <c r="AY908" s="36">
        <v>880</v>
      </c>
      <c r="AZ908" s="33">
        <v>2</v>
      </c>
      <c r="BA908" s="33">
        <v>4</v>
      </c>
      <c r="BB908" s="33">
        <v>1</v>
      </c>
      <c r="BC908" s="33">
        <v>1</v>
      </c>
      <c r="BD908" s="43">
        <v>0.19951405628110813</v>
      </c>
      <c r="BE908" s="33">
        <v>0</v>
      </c>
      <c r="BF908" s="33">
        <v>0</v>
      </c>
      <c r="CE908" s="36">
        <v>874</v>
      </c>
      <c r="CF908" s="33">
        <v>6</v>
      </c>
      <c r="CG908" s="33">
        <v>1</v>
      </c>
      <c r="CH908" s="33">
        <v>3</v>
      </c>
      <c r="CI908" s="33">
        <v>3</v>
      </c>
      <c r="CJ908" s="33">
        <v>1</v>
      </c>
      <c r="CK908" s="33">
        <v>0</v>
      </c>
      <c r="CL908" s="33">
        <v>1</v>
      </c>
      <c r="CM908" s="33">
        <v>3</v>
      </c>
      <c r="CN908" s="33">
        <v>7</v>
      </c>
      <c r="CO908" s="33">
        <v>1</v>
      </c>
      <c r="CP908" s="43">
        <v>4.0685357472886402E-2</v>
      </c>
      <c r="CQ908" s="33">
        <v>0</v>
      </c>
      <c r="CR908" s="33">
        <v>0</v>
      </c>
    </row>
    <row r="909" spans="1:96" ht="15" customHeight="1" x14ac:dyDescent="0.25">
      <c r="A909" s="26">
        <v>907</v>
      </c>
      <c r="B909" s="27">
        <v>44</v>
      </c>
      <c r="C909" s="27">
        <v>0</v>
      </c>
      <c r="D909" s="27">
        <v>1</v>
      </c>
      <c r="E909" s="27">
        <v>1099</v>
      </c>
      <c r="F909" s="27">
        <v>1</v>
      </c>
      <c r="G909" s="27">
        <v>5</v>
      </c>
      <c r="H909" s="27">
        <v>3</v>
      </c>
      <c r="I909" s="27">
        <v>4</v>
      </c>
      <c r="J909" s="27">
        <v>1</v>
      </c>
      <c r="K909" s="27">
        <v>1267</v>
      </c>
      <c r="L909" s="27">
        <v>2</v>
      </c>
      <c r="M909" s="27">
        <v>1</v>
      </c>
      <c r="N909" s="27">
        <v>88</v>
      </c>
      <c r="O909" s="27">
        <v>3</v>
      </c>
      <c r="P909" s="27">
        <v>5</v>
      </c>
      <c r="Q909" s="27">
        <v>6</v>
      </c>
      <c r="R909" s="27">
        <v>2</v>
      </c>
      <c r="S909" s="27">
        <v>2</v>
      </c>
      <c r="T909" s="27">
        <v>18213</v>
      </c>
      <c r="U909" s="27">
        <v>8751</v>
      </c>
      <c r="V909" s="27">
        <v>7</v>
      </c>
      <c r="W909" s="27">
        <v>0</v>
      </c>
      <c r="X909" s="27">
        <v>11</v>
      </c>
      <c r="Y909" s="27">
        <v>3</v>
      </c>
      <c r="Z909" s="27">
        <v>3</v>
      </c>
      <c r="AA909" s="27">
        <v>80</v>
      </c>
      <c r="AB909" s="27">
        <v>1</v>
      </c>
      <c r="AC909" s="27">
        <v>26</v>
      </c>
      <c r="AD909" s="27">
        <v>5</v>
      </c>
      <c r="AE909" s="27">
        <v>3</v>
      </c>
      <c r="AF909" s="27">
        <v>22</v>
      </c>
      <c r="AG909" s="27">
        <v>9</v>
      </c>
      <c r="AH909" s="27">
        <v>3</v>
      </c>
      <c r="AI909" s="28">
        <v>10</v>
      </c>
      <c r="AK909" s="36">
        <v>876</v>
      </c>
      <c r="AL909" s="33">
        <v>29</v>
      </c>
      <c r="AM909" s="33">
        <v>2</v>
      </c>
      <c r="AN909" s="33">
        <v>4</v>
      </c>
      <c r="AO909" s="33">
        <v>1</v>
      </c>
      <c r="AP909" s="33">
        <v>0</v>
      </c>
      <c r="AQ909" s="33">
        <v>0</v>
      </c>
      <c r="AR909" s="33">
        <v>3</v>
      </c>
      <c r="AS909" s="33">
        <v>20</v>
      </c>
      <c r="AT909" s="33">
        <v>13</v>
      </c>
      <c r="AU909" s="43">
        <v>0.16302220580776702</v>
      </c>
      <c r="AV909" s="33">
        <v>0</v>
      </c>
      <c r="AW909" s="33">
        <v>0</v>
      </c>
      <c r="AY909" s="36">
        <v>881</v>
      </c>
      <c r="AZ909" s="33">
        <v>1</v>
      </c>
      <c r="BA909" s="33">
        <v>2</v>
      </c>
      <c r="BB909" s="33">
        <v>0</v>
      </c>
      <c r="BC909" s="33">
        <v>1</v>
      </c>
      <c r="BD909" s="43">
        <v>0.15461023487664</v>
      </c>
      <c r="BE909" s="33">
        <v>0</v>
      </c>
      <c r="BF909" s="33">
        <v>0</v>
      </c>
      <c r="CE909" s="36">
        <v>875</v>
      </c>
      <c r="CF909" s="33">
        <v>7</v>
      </c>
      <c r="CG909" s="33">
        <v>2</v>
      </c>
      <c r="CH909" s="33">
        <v>3</v>
      </c>
      <c r="CI909" s="33">
        <v>3</v>
      </c>
      <c r="CJ909" s="33">
        <v>1</v>
      </c>
      <c r="CK909" s="33">
        <v>0</v>
      </c>
      <c r="CL909" s="33">
        <v>3</v>
      </c>
      <c r="CM909" s="33">
        <v>2</v>
      </c>
      <c r="CN909" s="33">
        <v>10</v>
      </c>
      <c r="CO909" s="33">
        <v>8</v>
      </c>
      <c r="CP909" s="43">
        <v>3.6681420456132964E-2</v>
      </c>
      <c r="CQ909" s="33">
        <v>0</v>
      </c>
      <c r="CR909" s="33">
        <v>0</v>
      </c>
    </row>
    <row r="910" spans="1:96" ht="15" customHeight="1" x14ac:dyDescent="0.25">
      <c r="A910" s="26">
        <v>908</v>
      </c>
      <c r="B910" s="27">
        <v>33</v>
      </c>
      <c r="C910" s="27">
        <v>0</v>
      </c>
      <c r="D910" s="27">
        <v>1</v>
      </c>
      <c r="E910" s="27">
        <v>536</v>
      </c>
      <c r="F910" s="27">
        <v>1</v>
      </c>
      <c r="G910" s="27">
        <v>10</v>
      </c>
      <c r="H910" s="27">
        <v>5</v>
      </c>
      <c r="I910" s="27">
        <v>4</v>
      </c>
      <c r="J910" s="27">
        <v>1</v>
      </c>
      <c r="K910" s="27">
        <v>1268</v>
      </c>
      <c r="L910" s="27">
        <v>4</v>
      </c>
      <c r="M910" s="27">
        <v>1</v>
      </c>
      <c r="N910" s="27">
        <v>82</v>
      </c>
      <c r="O910" s="27">
        <v>4</v>
      </c>
      <c r="P910" s="27">
        <v>3</v>
      </c>
      <c r="Q910" s="27">
        <v>1</v>
      </c>
      <c r="R910" s="27">
        <v>3</v>
      </c>
      <c r="S910" s="27">
        <v>3</v>
      </c>
      <c r="T910" s="27">
        <v>8380</v>
      </c>
      <c r="U910" s="27">
        <v>21708</v>
      </c>
      <c r="V910" s="27">
        <v>0</v>
      </c>
      <c r="W910" s="27">
        <v>1</v>
      </c>
      <c r="X910" s="27">
        <v>14</v>
      </c>
      <c r="Y910" s="27">
        <v>3</v>
      </c>
      <c r="Z910" s="27">
        <v>4</v>
      </c>
      <c r="AA910" s="27">
        <v>80</v>
      </c>
      <c r="AB910" s="27">
        <v>2</v>
      </c>
      <c r="AC910" s="27">
        <v>10</v>
      </c>
      <c r="AD910" s="27">
        <v>3</v>
      </c>
      <c r="AE910" s="27">
        <v>3</v>
      </c>
      <c r="AF910" s="27">
        <v>9</v>
      </c>
      <c r="AG910" s="27">
        <v>8</v>
      </c>
      <c r="AH910" s="27">
        <v>0</v>
      </c>
      <c r="AI910" s="28">
        <v>8</v>
      </c>
      <c r="AK910" s="36">
        <v>877</v>
      </c>
      <c r="AL910" s="33">
        <v>21</v>
      </c>
      <c r="AM910" s="33">
        <v>1</v>
      </c>
      <c r="AN910" s="33">
        <v>4</v>
      </c>
      <c r="AO910" s="33">
        <v>1</v>
      </c>
      <c r="AP910" s="33">
        <v>0</v>
      </c>
      <c r="AQ910" s="33">
        <v>0</v>
      </c>
      <c r="AR910" s="33">
        <v>3</v>
      </c>
      <c r="AS910" s="33">
        <v>2</v>
      </c>
      <c r="AT910" s="33">
        <v>2</v>
      </c>
      <c r="AU910" s="43">
        <v>0.21376700754980213</v>
      </c>
      <c r="AV910" s="33">
        <v>0</v>
      </c>
      <c r="AW910" s="33">
        <v>0</v>
      </c>
      <c r="AY910" s="36">
        <v>882</v>
      </c>
      <c r="AZ910" s="33">
        <v>2</v>
      </c>
      <c r="BA910" s="33">
        <v>3</v>
      </c>
      <c r="BB910" s="33">
        <v>1</v>
      </c>
      <c r="BC910" s="33">
        <v>0</v>
      </c>
      <c r="BD910" s="43">
        <v>0.36139389867144694</v>
      </c>
      <c r="BE910" s="33">
        <v>0</v>
      </c>
      <c r="BF910" s="33">
        <v>0</v>
      </c>
      <c r="CE910" s="36">
        <v>876</v>
      </c>
      <c r="CF910" s="33">
        <v>29</v>
      </c>
      <c r="CG910" s="33">
        <v>2</v>
      </c>
      <c r="CH910" s="33">
        <v>4</v>
      </c>
      <c r="CI910" s="33">
        <v>1</v>
      </c>
      <c r="CJ910" s="33">
        <v>1</v>
      </c>
      <c r="CK910" s="33">
        <v>0</v>
      </c>
      <c r="CL910" s="33">
        <v>0</v>
      </c>
      <c r="CM910" s="33">
        <v>3</v>
      </c>
      <c r="CN910" s="33">
        <v>20</v>
      </c>
      <c r="CO910" s="33">
        <v>13</v>
      </c>
      <c r="CP910" s="43">
        <v>0.18835005898735901</v>
      </c>
      <c r="CQ910" s="33">
        <v>0</v>
      </c>
      <c r="CR910" s="33">
        <v>0</v>
      </c>
    </row>
    <row r="911" spans="1:96" ht="15" customHeight="1" x14ac:dyDescent="0.25">
      <c r="A911" s="26">
        <v>909</v>
      </c>
      <c r="B911" s="27">
        <v>19</v>
      </c>
      <c r="C911" s="27">
        <v>0</v>
      </c>
      <c r="D911" s="27">
        <v>1</v>
      </c>
      <c r="E911" s="27">
        <v>265</v>
      </c>
      <c r="F911" s="27">
        <v>2</v>
      </c>
      <c r="G911" s="27">
        <v>25</v>
      </c>
      <c r="H911" s="27">
        <v>3</v>
      </c>
      <c r="I911" s="27">
        <v>1</v>
      </c>
      <c r="J911" s="27">
        <v>1</v>
      </c>
      <c r="K911" s="27">
        <v>1269</v>
      </c>
      <c r="L911" s="27">
        <v>2</v>
      </c>
      <c r="M911" s="27">
        <v>0</v>
      </c>
      <c r="N911" s="27">
        <v>57</v>
      </c>
      <c r="O911" s="27">
        <v>4</v>
      </c>
      <c r="P911" s="27">
        <v>1</v>
      </c>
      <c r="Q911" s="27">
        <v>2</v>
      </c>
      <c r="R911" s="27">
        <v>4</v>
      </c>
      <c r="S911" s="27">
        <v>1</v>
      </c>
      <c r="T911" s="27">
        <v>2994</v>
      </c>
      <c r="U911" s="27">
        <v>21221</v>
      </c>
      <c r="V911" s="27">
        <v>1</v>
      </c>
      <c r="W911" s="27">
        <v>1</v>
      </c>
      <c r="X911" s="27">
        <v>12</v>
      </c>
      <c r="Y911" s="27">
        <v>3</v>
      </c>
      <c r="Z911" s="27">
        <v>4</v>
      </c>
      <c r="AA911" s="27">
        <v>80</v>
      </c>
      <c r="AB911" s="27">
        <v>0</v>
      </c>
      <c r="AC911" s="27">
        <v>1</v>
      </c>
      <c r="AD911" s="27">
        <v>2</v>
      </c>
      <c r="AE911" s="27">
        <v>3</v>
      </c>
      <c r="AF911" s="27">
        <v>1</v>
      </c>
      <c r="AG911" s="27">
        <v>0</v>
      </c>
      <c r="AH911" s="27">
        <v>0</v>
      </c>
      <c r="AI911" s="28">
        <v>1</v>
      </c>
      <c r="AK911" s="36">
        <v>878</v>
      </c>
      <c r="AL911" s="33">
        <v>2</v>
      </c>
      <c r="AM911" s="33">
        <v>2</v>
      </c>
      <c r="AN911" s="33">
        <v>4</v>
      </c>
      <c r="AO911" s="33">
        <v>2</v>
      </c>
      <c r="AP911" s="33">
        <v>0</v>
      </c>
      <c r="AQ911" s="33">
        <v>1</v>
      </c>
      <c r="AR911" s="33">
        <v>2</v>
      </c>
      <c r="AS911" s="33">
        <v>6</v>
      </c>
      <c r="AT911" s="33">
        <v>1</v>
      </c>
      <c r="AU911" s="43">
        <v>4.1272636929733889E-2</v>
      </c>
      <c r="AV911" s="33">
        <v>0</v>
      </c>
      <c r="AW911" s="33">
        <v>0</v>
      </c>
      <c r="AY911" s="36">
        <v>883</v>
      </c>
      <c r="AZ911" s="33">
        <v>3</v>
      </c>
      <c r="BA911" s="33">
        <v>1</v>
      </c>
      <c r="BB911" s="33">
        <v>1</v>
      </c>
      <c r="BC911" s="33">
        <v>1</v>
      </c>
      <c r="BD911" s="43">
        <v>0.25528659551539534</v>
      </c>
      <c r="BE911" s="33">
        <v>0</v>
      </c>
      <c r="BF911" s="33">
        <v>0</v>
      </c>
      <c r="CE911" s="36">
        <v>877</v>
      </c>
      <c r="CF911" s="33">
        <v>21</v>
      </c>
      <c r="CG911" s="33">
        <v>1</v>
      </c>
      <c r="CH911" s="33">
        <v>4</v>
      </c>
      <c r="CI911" s="33">
        <v>1</v>
      </c>
      <c r="CJ911" s="33">
        <v>1</v>
      </c>
      <c r="CK911" s="33">
        <v>0</v>
      </c>
      <c r="CL911" s="33">
        <v>0</v>
      </c>
      <c r="CM911" s="33">
        <v>3</v>
      </c>
      <c r="CN911" s="33">
        <v>2</v>
      </c>
      <c r="CO911" s="33">
        <v>2</v>
      </c>
      <c r="CP911" s="43">
        <v>0.23869696041586297</v>
      </c>
      <c r="CQ911" s="33">
        <v>0</v>
      </c>
      <c r="CR911" s="33">
        <v>0</v>
      </c>
    </row>
    <row r="912" spans="1:96" ht="15" customHeight="1" x14ac:dyDescent="0.25">
      <c r="A912" s="26">
        <v>910</v>
      </c>
      <c r="B912" s="27">
        <v>23</v>
      </c>
      <c r="C912" s="27">
        <v>0</v>
      </c>
      <c r="D912" s="27">
        <v>1</v>
      </c>
      <c r="E912" s="27">
        <v>373</v>
      </c>
      <c r="F912" s="27">
        <v>2</v>
      </c>
      <c r="G912" s="27">
        <v>1</v>
      </c>
      <c r="H912" s="27">
        <v>2</v>
      </c>
      <c r="I912" s="27">
        <v>1</v>
      </c>
      <c r="J912" s="27">
        <v>1</v>
      </c>
      <c r="K912" s="27">
        <v>1270</v>
      </c>
      <c r="L912" s="27">
        <v>4</v>
      </c>
      <c r="M912" s="27">
        <v>1</v>
      </c>
      <c r="N912" s="27">
        <v>47</v>
      </c>
      <c r="O912" s="27">
        <v>3</v>
      </c>
      <c r="P912" s="27">
        <v>1</v>
      </c>
      <c r="Q912" s="27">
        <v>2</v>
      </c>
      <c r="R912" s="27">
        <v>3</v>
      </c>
      <c r="S912" s="27">
        <v>2</v>
      </c>
      <c r="T912" s="27">
        <v>1223</v>
      </c>
      <c r="U912" s="27">
        <v>16901</v>
      </c>
      <c r="V912" s="27">
        <v>1</v>
      </c>
      <c r="W912" s="27">
        <v>0</v>
      </c>
      <c r="X912" s="27">
        <v>22</v>
      </c>
      <c r="Y912" s="27">
        <v>4</v>
      </c>
      <c r="Z912" s="27">
        <v>4</v>
      </c>
      <c r="AA912" s="27">
        <v>80</v>
      </c>
      <c r="AB912" s="27">
        <v>1</v>
      </c>
      <c r="AC912" s="27">
        <v>1</v>
      </c>
      <c r="AD912" s="27">
        <v>2</v>
      </c>
      <c r="AE912" s="27">
        <v>3</v>
      </c>
      <c r="AF912" s="27">
        <v>1</v>
      </c>
      <c r="AG912" s="27">
        <v>0</v>
      </c>
      <c r="AH912" s="27">
        <v>0</v>
      </c>
      <c r="AI912" s="28">
        <v>1</v>
      </c>
      <c r="AK912" s="36">
        <v>879</v>
      </c>
      <c r="AL912" s="33">
        <v>2</v>
      </c>
      <c r="AM912" s="33">
        <v>2</v>
      </c>
      <c r="AN912" s="33">
        <v>1</v>
      </c>
      <c r="AO912" s="33">
        <v>7</v>
      </c>
      <c r="AP912" s="33">
        <v>0</v>
      </c>
      <c r="AQ912" s="33">
        <v>1</v>
      </c>
      <c r="AR912" s="33">
        <v>4</v>
      </c>
      <c r="AS912" s="33">
        <v>4</v>
      </c>
      <c r="AT912" s="33">
        <v>0</v>
      </c>
      <c r="AU912" s="43">
        <v>9.2489768344001258E-2</v>
      </c>
      <c r="AV912" s="33">
        <v>0</v>
      </c>
      <c r="AW912" s="33">
        <v>0</v>
      </c>
      <c r="AY912" s="36">
        <v>884</v>
      </c>
      <c r="AZ912" s="33">
        <v>1</v>
      </c>
      <c r="BA912" s="33">
        <v>4</v>
      </c>
      <c r="BB912" s="33">
        <v>0</v>
      </c>
      <c r="BC912" s="33">
        <v>1</v>
      </c>
      <c r="BD912" s="43">
        <v>9.2486413274924434E-2</v>
      </c>
      <c r="BE912" s="33">
        <v>0</v>
      </c>
      <c r="BF912" s="33">
        <v>0</v>
      </c>
      <c r="CE912" s="36">
        <v>878</v>
      </c>
      <c r="CF912" s="33">
        <v>2</v>
      </c>
      <c r="CG912" s="33">
        <v>2</v>
      </c>
      <c r="CH912" s="33">
        <v>4</v>
      </c>
      <c r="CI912" s="33">
        <v>3</v>
      </c>
      <c r="CJ912" s="33">
        <v>2</v>
      </c>
      <c r="CK912" s="33">
        <v>0</v>
      </c>
      <c r="CL912" s="33">
        <v>1</v>
      </c>
      <c r="CM912" s="33">
        <v>2</v>
      </c>
      <c r="CN912" s="33">
        <v>6</v>
      </c>
      <c r="CO912" s="33">
        <v>1</v>
      </c>
      <c r="CP912" s="43">
        <v>2.3265014773294727E-2</v>
      </c>
      <c r="CQ912" s="33">
        <v>0</v>
      </c>
      <c r="CR912" s="33">
        <v>0</v>
      </c>
    </row>
    <row r="913" spans="1:96" ht="15" customHeight="1" x14ac:dyDescent="0.25">
      <c r="A913" s="26">
        <v>911</v>
      </c>
      <c r="B913" s="27">
        <v>25</v>
      </c>
      <c r="C913" s="27">
        <v>1</v>
      </c>
      <c r="D913" s="27">
        <v>2</v>
      </c>
      <c r="E913" s="27">
        <v>599</v>
      </c>
      <c r="F913" s="27">
        <v>1</v>
      </c>
      <c r="G913" s="27">
        <v>24</v>
      </c>
      <c r="H913" s="27">
        <v>1</v>
      </c>
      <c r="I913" s="27">
        <v>1</v>
      </c>
      <c r="J913" s="27">
        <v>1</v>
      </c>
      <c r="K913" s="27">
        <v>1273</v>
      </c>
      <c r="L913" s="27">
        <v>3</v>
      </c>
      <c r="M913" s="27">
        <v>1</v>
      </c>
      <c r="N913" s="27">
        <v>73</v>
      </c>
      <c r="O913" s="27">
        <v>1</v>
      </c>
      <c r="P913" s="27">
        <v>1</v>
      </c>
      <c r="Q913" s="27">
        <v>7</v>
      </c>
      <c r="R913" s="27">
        <v>4</v>
      </c>
      <c r="S913" s="27">
        <v>1</v>
      </c>
      <c r="T913" s="27">
        <v>1118</v>
      </c>
      <c r="U913" s="27">
        <v>8040</v>
      </c>
      <c r="V913" s="27">
        <v>1</v>
      </c>
      <c r="W913" s="27">
        <v>1</v>
      </c>
      <c r="X913" s="27">
        <v>14</v>
      </c>
      <c r="Y913" s="27">
        <v>3</v>
      </c>
      <c r="Z913" s="27">
        <v>4</v>
      </c>
      <c r="AA913" s="27">
        <v>80</v>
      </c>
      <c r="AB913" s="27">
        <v>0</v>
      </c>
      <c r="AC913" s="27">
        <v>1</v>
      </c>
      <c r="AD913" s="27">
        <v>4</v>
      </c>
      <c r="AE913" s="27">
        <v>3</v>
      </c>
      <c r="AF913" s="27">
        <v>1</v>
      </c>
      <c r="AG913" s="27">
        <v>0</v>
      </c>
      <c r="AH913" s="27">
        <v>1</v>
      </c>
      <c r="AI913" s="28">
        <v>0</v>
      </c>
      <c r="AK913" s="36">
        <v>880</v>
      </c>
      <c r="AL913" s="33">
        <v>7</v>
      </c>
      <c r="AM913" s="33">
        <v>2</v>
      </c>
      <c r="AN913" s="33">
        <v>4</v>
      </c>
      <c r="AO913" s="33">
        <v>0</v>
      </c>
      <c r="AP913" s="33">
        <v>1</v>
      </c>
      <c r="AQ913" s="33">
        <v>1</v>
      </c>
      <c r="AR913" s="33">
        <v>3</v>
      </c>
      <c r="AS913" s="33">
        <v>11</v>
      </c>
      <c r="AT913" s="33">
        <v>1</v>
      </c>
      <c r="AU913" s="43">
        <v>9.4235803507579888E-2</v>
      </c>
      <c r="AV913" s="33">
        <v>0</v>
      </c>
      <c r="AW913" s="33">
        <v>0</v>
      </c>
      <c r="AY913" s="36">
        <v>885</v>
      </c>
      <c r="AZ913" s="33">
        <v>2</v>
      </c>
      <c r="BA913" s="33">
        <v>2</v>
      </c>
      <c r="BB913" s="33">
        <v>0</v>
      </c>
      <c r="BC913" s="33">
        <v>1</v>
      </c>
      <c r="BD913" s="43">
        <v>9.4721355311452843E-2</v>
      </c>
      <c r="BE913" s="33">
        <v>0</v>
      </c>
      <c r="BF913" s="33">
        <v>0</v>
      </c>
      <c r="CE913" s="36">
        <v>879</v>
      </c>
      <c r="CF913" s="33">
        <v>2</v>
      </c>
      <c r="CG913" s="33">
        <v>2</v>
      </c>
      <c r="CH913" s="33">
        <v>1</v>
      </c>
      <c r="CI913" s="33">
        <v>2</v>
      </c>
      <c r="CJ913" s="33">
        <v>7</v>
      </c>
      <c r="CK913" s="33">
        <v>0</v>
      </c>
      <c r="CL913" s="33">
        <v>1</v>
      </c>
      <c r="CM913" s="33">
        <v>4</v>
      </c>
      <c r="CN913" s="33">
        <v>4</v>
      </c>
      <c r="CO913" s="33">
        <v>0</v>
      </c>
      <c r="CP913" s="43">
        <v>9.1685804744239777E-2</v>
      </c>
      <c r="CQ913" s="33">
        <v>0</v>
      </c>
      <c r="CR913" s="33">
        <v>0</v>
      </c>
    </row>
    <row r="914" spans="1:96" ht="15" customHeight="1" x14ac:dyDescent="0.25">
      <c r="A914" s="26">
        <v>912</v>
      </c>
      <c r="B914" s="27">
        <v>26</v>
      </c>
      <c r="C914" s="27">
        <v>0</v>
      </c>
      <c r="D914" s="27">
        <v>1</v>
      </c>
      <c r="E914" s="27">
        <v>583</v>
      </c>
      <c r="F914" s="27">
        <v>2</v>
      </c>
      <c r="G914" s="27">
        <v>4</v>
      </c>
      <c r="H914" s="27">
        <v>2</v>
      </c>
      <c r="I914" s="27">
        <v>1</v>
      </c>
      <c r="J914" s="27">
        <v>1</v>
      </c>
      <c r="K914" s="27">
        <v>1275</v>
      </c>
      <c r="L914" s="27">
        <v>3</v>
      </c>
      <c r="M914" s="27">
        <v>1</v>
      </c>
      <c r="N914" s="27">
        <v>53</v>
      </c>
      <c r="O914" s="27">
        <v>3</v>
      </c>
      <c r="P914" s="27">
        <v>1</v>
      </c>
      <c r="Q914" s="27">
        <v>2</v>
      </c>
      <c r="R914" s="27">
        <v>4</v>
      </c>
      <c r="S914" s="27">
        <v>1</v>
      </c>
      <c r="T914" s="27">
        <v>2875</v>
      </c>
      <c r="U914" s="27">
        <v>9973</v>
      </c>
      <c r="V914" s="27">
        <v>1</v>
      </c>
      <c r="W914" s="27">
        <v>1</v>
      </c>
      <c r="X914" s="27">
        <v>20</v>
      </c>
      <c r="Y914" s="27">
        <v>4</v>
      </c>
      <c r="Z914" s="27">
        <v>2</v>
      </c>
      <c r="AA914" s="27">
        <v>80</v>
      </c>
      <c r="AB914" s="27">
        <v>0</v>
      </c>
      <c r="AC914" s="27">
        <v>8</v>
      </c>
      <c r="AD914" s="27">
        <v>2</v>
      </c>
      <c r="AE914" s="27">
        <v>2</v>
      </c>
      <c r="AF914" s="27">
        <v>8</v>
      </c>
      <c r="AG914" s="27">
        <v>5</v>
      </c>
      <c r="AH914" s="27">
        <v>2</v>
      </c>
      <c r="AI914" s="28">
        <v>2</v>
      </c>
      <c r="AK914" s="36">
        <v>881</v>
      </c>
      <c r="AL914" s="33">
        <v>13</v>
      </c>
      <c r="AM914" s="33">
        <v>1</v>
      </c>
      <c r="AN914" s="33">
        <v>2</v>
      </c>
      <c r="AO914" s="33">
        <v>1</v>
      </c>
      <c r="AP914" s="33">
        <v>0</v>
      </c>
      <c r="AQ914" s="33">
        <v>1</v>
      </c>
      <c r="AR914" s="33">
        <v>3</v>
      </c>
      <c r="AS914" s="33">
        <v>2</v>
      </c>
      <c r="AT914" s="33">
        <v>2</v>
      </c>
      <c r="AU914" s="43">
        <v>0.17443341838551008</v>
      </c>
      <c r="AV914" s="33">
        <v>0</v>
      </c>
      <c r="AW914" s="33">
        <v>0</v>
      </c>
      <c r="AY914" s="36">
        <v>886</v>
      </c>
      <c r="AZ914" s="33">
        <v>2</v>
      </c>
      <c r="BA914" s="33">
        <v>4</v>
      </c>
      <c r="BB914" s="33">
        <v>0</v>
      </c>
      <c r="BC914" s="33">
        <v>0</v>
      </c>
      <c r="BD914" s="43">
        <v>8.9935487507215722E-2</v>
      </c>
      <c r="BE914" s="33">
        <v>0</v>
      </c>
      <c r="BF914" s="33">
        <v>0</v>
      </c>
      <c r="CE914" s="36">
        <v>880</v>
      </c>
      <c r="CF914" s="33">
        <v>7</v>
      </c>
      <c r="CG914" s="33">
        <v>2</v>
      </c>
      <c r="CH914" s="33">
        <v>4</v>
      </c>
      <c r="CI914" s="33">
        <v>3</v>
      </c>
      <c r="CJ914" s="33">
        <v>0</v>
      </c>
      <c r="CK914" s="33">
        <v>1</v>
      </c>
      <c r="CL914" s="33">
        <v>1</v>
      </c>
      <c r="CM914" s="33">
        <v>3</v>
      </c>
      <c r="CN914" s="33">
        <v>11</v>
      </c>
      <c r="CO914" s="33">
        <v>1</v>
      </c>
      <c r="CP914" s="43">
        <v>5.5302949205403455E-2</v>
      </c>
      <c r="CQ914" s="33">
        <v>0</v>
      </c>
      <c r="CR914" s="33">
        <v>0</v>
      </c>
    </row>
    <row r="915" spans="1:96" ht="15" customHeight="1" x14ac:dyDescent="0.25">
      <c r="A915" s="26">
        <v>913</v>
      </c>
      <c r="B915" s="27">
        <v>45</v>
      </c>
      <c r="C915" s="27">
        <v>1</v>
      </c>
      <c r="D915" s="27">
        <v>1</v>
      </c>
      <c r="E915" s="27">
        <v>1449</v>
      </c>
      <c r="F915" s="27">
        <v>1</v>
      </c>
      <c r="G915" s="27">
        <v>2</v>
      </c>
      <c r="H915" s="27">
        <v>3</v>
      </c>
      <c r="I915" s="27">
        <v>4</v>
      </c>
      <c r="J915" s="27">
        <v>1</v>
      </c>
      <c r="K915" s="27">
        <v>1277</v>
      </c>
      <c r="L915" s="27">
        <v>1</v>
      </c>
      <c r="M915" s="27">
        <v>0</v>
      </c>
      <c r="N915" s="27">
        <v>94</v>
      </c>
      <c r="O915" s="27">
        <v>1</v>
      </c>
      <c r="P915" s="27">
        <v>5</v>
      </c>
      <c r="Q915" s="27">
        <v>6</v>
      </c>
      <c r="R915" s="27">
        <v>2</v>
      </c>
      <c r="S915" s="27">
        <v>1</v>
      </c>
      <c r="T915" s="27">
        <v>18824</v>
      </c>
      <c r="U915" s="27">
        <v>2493</v>
      </c>
      <c r="V915" s="27">
        <v>2</v>
      </c>
      <c r="W915" s="27">
        <v>1</v>
      </c>
      <c r="X915" s="27">
        <v>16</v>
      </c>
      <c r="Y915" s="27">
        <v>3</v>
      </c>
      <c r="Z915" s="27">
        <v>1</v>
      </c>
      <c r="AA915" s="27">
        <v>80</v>
      </c>
      <c r="AB915" s="27">
        <v>0</v>
      </c>
      <c r="AC915" s="27">
        <v>26</v>
      </c>
      <c r="AD915" s="27">
        <v>2</v>
      </c>
      <c r="AE915" s="27">
        <v>3</v>
      </c>
      <c r="AF915" s="27">
        <v>24</v>
      </c>
      <c r="AG915" s="27">
        <v>10</v>
      </c>
      <c r="AH915" s="27">
        <v>1</v>
      </c>
      <c r="AI915" s="28">
        <v>11</v>
      </c>
      <c r="AK915" s="36">
        <v>882</v>
      </c>
      <c r="AL915" s="33">
        <v>2</v>
      </c>
      <c r="AM915" s="33">
        <v>2</v>
      </c>
      <c r="AN915" s="33">
        <v>3</v>
      </c>
      <c r="AO915" s="33">
        <v>4</v>
      </c>
      <c r="AP915" s="33">
        <v>1</v>
      </c>
      <c r="AQ915" s="33">
        <v>0</v>
      </c>
      <c r="AR915" s="33">
        <v>3</v>
      </c>
      <c r="AS915" s="33">
        <v>8</v>
      </c>
      <c r="AT915" s="33">
        <v>0</v>
      </c>
      <c r="AU915" s="43">
        <v>0.24359004180169638</v>
      </c>
      <c r="AV915" s="33">
        <v>0</v>
      </c>
      <c r="AW915" s="33">
        <v>0</v>
      </c>
      <c r="AY915" s="36">
        <v>887</v>
      </c>
      <c r="AZ915" s="33">
        <v>1</v>
      </c>
      <c r="BA915" s="33">
        <v>2</v>
      </c>
      <c r="BB915" s="33">
        <v>1</v>
      </c>
      <c r="BC915" s="33">
        <v>1</v>
      </c>
      <c r="BD915" s="43">
        <v>0.43876762926038776</v>
      </c>
      <c r="BE915" s="33">
        <v>0</v>
      </c>
      <c r="BF915" s="33">
        <v>0</v>
      </c>
      <c r="CE915" s="36">
        <v>881</v>
      </c>
      <c r="CF915" s="33">
        <v>13</v>
      </c>
      <c r="CG915" s="33">
        <v>1</v>
      </c>
      <c r="CH915" s="33">
        <v>2</v>
      </c>
      <c r="CI915" s="33">
        <v>2</v>
      </c>
      <c r="CJ915" s="33">
        <v>1</v>
      </c>
      <c r="CK915" s="33">
        <v>0</v>
      </c>
      <c r="CL915" s="33">
        <v>1</v>
      </c>
      <c r="CM915" s="33">
        <v>3</v>
      </c>
      <c r="CN915" s="33">
        <v>2</v>
      </c>
      <c r="CO915" s="33">
        <v>2</v>
      </c>
      <c r="CP915" s="43">
        <v>0.17036136992501608</v>
      </c>
      <c r="CQ915" s="33">
        <v>0</v>
      </c>
      <c r="CR915" s="33">
        <v>0</v>
      </c>
    </row>
    <row r="916" spans="1:96" ht="15" customHeight="1" x14ac:dyDescent="0.25">
      <c r="A916" s="26">
        <v>914</v>
      </c>
      <c r="B916" s="27">
        <v>55</v>
      </c>
      <c r="C916" s="27">
        <v>0</v>
      </c>
      <c r="D916" s="27">
        <v>3</v>
      </c>
      <c r="E916" s="27">
        <v>177</v>
      </c>
      <c r="F916" s="27">
        <v>2</v>
      </c>
      <c r="G916" s="27">
        <v>8</v>
      </c>
      <c r="H916" s="27">
        <v>1</v>
      </c>
      <c r="I916" s="27">
        <v>3</v>
      </c>
      <c r="J916" s="27">
        <v>1</v>
      </c>
      <c r="K916" s="27">
        <v>1278</v>
      </c>
      <c r="L916" s="27">
        <v>4</v>
      </c>
      <c r="M916" s="27">
        <v>1</v>
      </c>
      <c r="N916" s="27">
        <v>37</v>
      </c>
      <c r="O916" s="27">
        <v>2</v>
      </c>
      <c r="P916" s="27">
        <v>4</v>
      </c>
      <c r="Q916" s="27">
        <v>5</v>
      </c>
      <c r="R916" s="27">
        <v>2</v>
      </c>
      <c r="S916" s="27">
        <v>3</v>
      </c>
      <c r="T916" s="27">
        <v>13577</v>
      </c>
      <c r="U916" s="27">
        <v>25592</v>
      </c>
      <c r="V916" s="27">
        <v>1</v>
      </c>
      <c r="W916" s="27">
        <v>1</v>
      </c>
      <c r="X916" s="27">
        <v>15</v>
      </c>
      <c r="Y916" s="27">
        <v>3</v>
      </c>
      <c r="Z916" s="27">
        <v>4</v>
      </c>
      <c r="AA916" s="27">
        <v>80</v>
      </c>
      <c r="AB916" s="27">
        <v>1</v>
      </c>
      <c r="AC916" s="27">
        <v>34</v>
      </c>
      <c r="AD916" s="27">
        <v>3</v>
      </c>
      <c r="AE916" s="27">
        <v>3</v>
      </c>
      <c r="AF916" s="27">
        <v>33</v>
      </c>
      <c r="AG916" s="27">
        <v>9</v>
      </c>
      <c r="AH916" s="27">
        <v>15</v>
      </c>
      <c r="AI916" s="28">
        <v>0</v>
      </c>
      <c r="AK916" s="36">
        <v>883</v>
      </c>
      <c r="AL916" s="33">
        <v>1</v>
      </c>
      <c r="AM916" s="33">
        <v>3</v>
      </c>
      <c r="AN916" s="33">
        <v>1</v>
      </c>
      <c r="AO916" s="33">
        <v>2</v>
      </c>
      <c r="AP916" s="33">
        <v>1</v>
      </c>
      <c r="AQ916" s="33">
        <v>1</v>
      </c>
      <c r="AR916" s="33">
        <v>3</v>
      </c>
      <c r="AS916" s="33">
        <v>7</v>
      </c>
      <c r="AT916" s="33">
        <v>7</v>
      </c>
      <c r="AU916" s="43">
        <v>0.26819367916911452</v>
      </c>
      <c r="AV916" s="33">
        <v>0</v>
      </c>
      <c r="AW916" s="33">
        <v>0</v>
      </c>
      <c r="AY916" s="36">
        <v>888</v>
      </c>
      <c r="AZ916" s="33">
        <v>3</v>
      </c>
      <c r="BA916" s="33">
        <v>1</v>
      </c>
      <c r="BB916" s="33">
        <v>1</v>
      </c>
      <c r="BC916" s="33">
        <v>0</v>
      </c>
      <c r="BD916" s="43">
        <v>0.36749559266393544</v>
      </c>
      <c r="BE916" s="33">
        <v>0</v>
      </c>
      <c r="BF916" s="33">
        <v>0</v>
      </c>
      <c r="CE916" s="36">
        <v>882</v>
      </c>
      <c r="CF916" s="33">
        <v>2</v>
      </c>
      <c r="CG916" s="33">
        <v>2</v>
      </c>
      <c r="CH916" s="33">
        <v>3</v>
      </c>
      <c r="CI916" s="33">
        <v>1</v>
      </c>
      <c r="CJ916" s="33">
        <v>4</v>
      </c>
      <c r="CK916" s="33">
        <v>1</v>
      </c>
      <c r="CL916" s="33">
        <v>0</v>
      </c>
      <c r="CM916" s="33">
        <v>3</v>
      </c>
      <c r="CN916" s="33">
        <v>8</v>
      </c>
      <c r="CO916" s="33">
        <v>0</v>
      </c>
      <c r="CP916" s="43">
        <v>0.28511796823747915</v>
      </c>
      <c r="CQ916" s="33">
        <v>0</v>
      </c>
      <c r="CR916" s="33">
        <v>0</v>
      </c>
    </row>
    <row r="917" spans="1:96" ht="15" customHeight="1" x14ac:dyDescent="0.25">
      <c r="A917" s="26">
        <v>915</v>
      </c>
      <c r="B917" s="27">
        <v>21</v>
      </c>
      <c r="C917" s="27">
        <v>1</v>
      </c>
      <c r="D917" s="27">
        <v>2</v>
      </c>
      <c r="E917" s="27">
        <v>251</v>
      </c>
      <c r="F917" s="27">
        <v>2</v>
      </c>
      <c r="G917" s="27">
        <v>10</v>
      </c>
      <c r="H917" s="27">
        <v>2</v>
      </c>
      <c r="I917" s="27">
        <v>1</v>
      </c>
      <c r="J917" s="27">
        <v>1</v>
      </c>
      <c r="K917" s="27">
        <v>1279</v>
      </c>
      <c r="L917" s="27">
        <v>1</v>
      </c>
      <c r="M917" s="27">
        <v>0</v>
      </c>
      <c r="N917" s="27">
        <v>45</v>
      </c>
      <c r="O917" s="27">
        <v>2</v>
      </c>
      <c r="P917" s="27">
        <v>1</v>
      </c>
      <c r="Q917" s="27">
        <v>3</v>
      </c>
      <c r="R917" s="27">
        <v>3</v>
      </c>
      <c r="S917" s="27">
        <v>1</v>
      </c>
      <c r="T917" s="27">
        <v>2625</v>
      </c>
      <c r="U917" s="27">
        <v>25308</v>
      </c>
      <c r="V917" s="27">
        <v>1</v>
      </c>
      <c r="W917" s="27">
        <v>0</v>
      </c>
      <c r="X917" s="27">
        <v>20</v>
      </c>
      <c r="Y917" s="27">
        <v>4</v>
      </c>
      <c r="Z917" s="27">
        <v>3</v>
      </c>
      <c r="AA917" s="27">
        <v>80</v>
      </c>
      <c r="AB917" s="27">
        <v>0</v>
      </c>
      <c r="AC917" s="27">
        <v>2</v>
      </c>
      <c r="AD917" s="27">
        <v>2</v>
      </c>
      <c r="AE917" s="27">
        <v>1</v>
      </c>
      <c r="AF917" s="27">
        <v>2</v>
      </c>
      <c r="AG917" s="27">
        <v>2</v>
      </c>
      <c r="AH917" s="27">
        <v>2</v>
      </c>
      <c r="AI917" s="28">
        <v>2</v>
      </c>
      <c r="AK917" s="36">
        <v>884</v>
      </c>
      <c r="AL917" s="33">
        <v>9</v>
      </c>
      <c r="AM917" s="33">
        <v>1</v>
      </c>
      <c r="AN917" s="33">
        <v>4</v>
      </c>
      <c r="AO917" s="33">
        <v>0</v>
      </c>
      <c r="AP917" s="33">
        <v>0</v>
      </c>
      <c r="AQ917" s="33">
        <v>1</v>
      </c>
      <c r="AR917" s="33">
        <v>3</v>
      </c>
      <c r="AS917" s="33">
        <v>14</v>
      </c>
      <c r="AT917" s="33">
        <v>4</v>
      </c>
      <c r="AU917" s="43">
        <v>4.7621556554541936E-2</v>
      </c>
      <c r="AV917" s="33">
        <v>0</v>
      </c>
      <c r="AW917" s="33">
        <v>0</v>
      </c>
      <c r="AY917" s="36">
        <v>889</v>
      </c>
      <c r="AZ917" s="33">
        <v>3</v>
      </c>
      <c r="BA917" s="33">
        <v>4</v>
      </c>
      <c r="BB917" s="33">
        <v>1</v>
      </c>
      <c r="BC917" s="33">
        <v>1</v>
      </c>
      <c r="BD917" s="43">
        <v>0.12479921665315721</v>
      </c>
      <c r="BE917" s="33">
        <v>0</v>
      </c>
      <c r="BF917" s="33">
        <v>0</v>
      </c>
      <c r="CE917" s="36">
        <v>883</v>
      </c>
      <c r="CF917" s="33">
        <v>1</v>
      </c>
      <c r="CG917" s="33">
        <v>3</v>
      </c>
      <c r="CH917" s="33">
        <v>1</v>
      </c>
      <c r="CI917" s="33">
        <v>3</v>
      </c>
      <c r="CJ917" s="33">
        <v>2</v>
      </c>
      <c r="CK917" s="33">
        <v>1</v>
      </c>
      <c r="CL917" s="33">
        <v>1</v>
      </c>
      <c r="CM917" s="33">
        <v>3</v>
      </c>
      <c r="CN917" s="33">
        <v>7</v>
      </c>
      <c r="CO917" s="33">
        <v>7</v>
      </c>
      <c r="CP917" s="43">
        <v>0.18430576778375235</v>
      </c>
      <c r="CQ917" s="33">
        <v>0</v>
      </c>
      <c r="CR917" s="33">
        <v>0</v>
      </c>
    </row>
    <row r="918" spans="1:96" ht="15" customHeight="1" x14ac:dyDescent="0.25">
      <c r="A918" s="26">
        <v>916</v>
      </c>
      <c r="B918" s="27">
        <v>46</v>
      </c>
      <c r="C918" s="27">
        <v>0</v>
      </c>
      <c r="D918" s="27">
        <v>1</v>
      </c>
      <c r="E918" s="27">
        <v>168</v>
      </c>
      <c r="F918" s="27">
        <v>1</v>
      </c>
      <c r="G918" s="27">
        <v>4</v>
      </c>
      <c r="H918" s="27">
        <v>2</v>
      </c>
      <c r="I918" s="27">
        <v>4</v>
      </c>
      <c r="J918" s="27">
        <v>1</v>
      </c>
      <c r="K918" s="27">
        <v>1280</v>
      </c>
      <c r="L918" s="27">
        <v>4</v>
      </c>
      <c r="M918" s="27">
        <v>0</v>
      </c>
      <c r="N918" s="27">
        <v>33</v>
      </c>
      <c r="O918" s="27">
        <v>2</v>
      </c>
      <c r="P918" s="27">
        <v>5</v>
      </c>
      <c r="Q918" s="27">
        <v>6</v>
      </c>
      <c r="R918" s="27">
        <v>2</v>
      </c>
      <c r="S918" s="27">
        <v>2</v>
      </c>
      <c r="T918" s="27">
        <v>18789</v>
      </c>
      <c r="U918" s="27">
        <v>9946</v>
      </c>
      <c r="V918" s="27">
        <v>2</v>
      </c>
      <c r="W918" s="27">
        <v>0</v>
      </c>
      <c r="X918" s="27">
        <v>14</v>
      </c>
      <c r="Y918" s="27">
        <v>3</v>
      </c>
      <c r="Z918" s="27">
        <v>3</v>
      </c>
      <c r="AA918" s="27">
        <v>80</v>
      </c>
      <c r="AB918" s="27">
        <v>1</v>
      </c>
      <c r="AC918" s="27">
        <v>26</v>
      </c>
      <c r="AD918" s="27">
        <v>2</v>
      </c>
      <c r="AE918" s="27">
        <v>3</v>
      </c>
      <c r="AF918" s="27">
        <v>11</v>
      </c>
      <c r="AG918" s="27">
        <v>4</v>
      </c>
      <c r="AH918" s="27">
        <v>0</v>
      </c>
      <c r="AI918" s="28">
        <v>8</v>
      </c>
      <c r="AK918" s="36">
        <v>885</v>
      </c>
      <c r="AL918" s="33">
        <v>10</v>
      </c>
      <c r="AM918" s="33">
        <v>2</v>
      </c>
      <c r="AN918" s="33">
        <v>2</v>
      </c>
      <c r="AO918" s="33">
        <v>7</v>
      </c>
      <c r="AP918" s="33">
        <v>0</v>
      </c>
      <c r="AQ918" s="33">
        <v>1</v>
      </c>
      <c r="AR918" s="33">
        <v>4</v>
      </c>
      <c r="AS918" s="33">
        <v>5</v>
      </c>
      <c r="AT918" s="33">
        <v>1</v>
      </c>
      <c r="AU918" s="43">
        <v>9.403793400721315E-2</v>
      </c>
      <c r="AV918" s="33">
        <v>0</v>
      </c>
      <c r="AW918" s="33">
        <v>0</v>
      </c>
      <c r="AY918" s="36">
        <v>890</v>
      </c>
      <c r="AZ918" s="33">
        <v>1</v>
      </c>
      <c r="BA918" s="33">
        <v>1</v>
      </c>
      <c r="BB918" s="33">
        <v>1</v>
      </c>
      <c r="BC918" s="33">
        <v>2</v>
      </c>
      <c r="BD918" s="43">
        <v>0.38191600183355362</v>
      </c>
      <c r="BE918" s="33">
        <v>0</v>
      </c>
      <c r="BF918" s="33">
        <v>0</v>
      </c>
      <c r="CE918" s="36">
        <v>884</v>
      </c>
      <c r="CF918" s="33">
        <v>9</v>
      </c>
      <c r="CG918" s="33">
        <v>1</v>
      </c>
      <c r="CH918" s="33">
        <v>4</v>
      </c>
      <c r="CI918" s="33">
        <v>2</v>
      </c>
      <c r="CJ918" s="33">
        <v>0</v>
      </c>
      <c r="CK918" s="33">
        <v>0</v>
      </c>
      <c r="CL918" s="33">
        <v>1</v>
      </c>
      <c r="CM918" s="33">
        <v>3</v>
      </c>
      <c r="CN918" s="33">
        <v>14</v>
      </c>
      <c r="CO918" s="33">
        <v>4</v>
      </c>
      <c r="CP918" s="43">
        <v>4.472986165180174E-2</v>
      </c>
      <c r="CQ918" s="33">
        <v>0</v>
      </c>
      <c r="CR918" s="33">
        <v>0</v>
      </c>
    </row>
    <row r="919" spans="1:96" ht="15" customHeight="1" x14ac:dyDescent="0.25">
      <c r="A919" s="26">
        <v>917</v>
      </c>
      <c r="B919" s="27">
        <v>34</v>
      </c>
      <c r="C919" s="27">
        <v>0</v>
      </c>
      <c r="D919" s="27">
        <v>1</v>
      </c>
      <c r="E919" s="27">
        <v>131</v>
      </c>
      <c r="F919" s="27">
        <v>1</v>
      </c>
      <c r="G919" s="27">
        <v>2</v>
      </c>
      <c r="H919" s="27">
        <v>3</v>
      </c>
      <c r="I919" s="27">
        <v>4</v>
      </c>
      <c r="J919" s="27">
        <v>1</v>
      </c>
      <c r="K919" s="27">
        <v>1281</v>
      </c>
      <c r="L919" s="27">
        <v>3</v>
      </c>
      <c r="M919" s="27">
        <v>0</v>
      </c>
      <c r="N919" s="27">
        <v>86</v>
      </c>
      <c r="O919" s="27">
        <v>3</v>
      </c>
      <c r="P919" s="27">
        <v>2</v>
      </c>
      <c r="Q919" s="27">
        <v>1</v>
      </c>
      <c r="R919" s="27">
        <v>1</v>
      </c>
      <c r="S919" s="27">
        <v>1</v>
      </c>
      <c r="T919" s="27">
        <v>4538</v>
      </c>
      <c r="U919" s="27">
        <v>6039</v>
      </c>
      <c r="V919" s="27">
        <v>0</v>
      </c>
      <c r="W919" s="27">
        <v>1</v>
      </c>
      <c r="X919" s="27">
        <v>12</v>
      </c>
      <c r="Y919" s="27">
        <v>3</v>
      </c>
      <c r="Z919" s="27">
        <v>4</v>
      </c>
      <c r="AA919" s="27">
        <v>80</v>
      </c>
      <c r="AB919" s="27">
        <v>0</v>
      </c>
      <c r="AC919" s="27">
        <v>4</v>
      </c>
      <c r="AD919" s="27">
        <v>3</v>
      </c>
      <c r="AE919" s="27">
        <v>3</v>
      </c>
      <c r="AF919" s="27">
        <v>3</v>
      </c>
      <c r="AG919" s="27">
        <v>2</v>
      </c>
      <c r="AH919" s="27">
        <v>0</v>
      </c>
      <c r="AI919" s="28">
        <v>2</v>
      </c>
      <c r="AK919" s="36">
        <v>886</v>
      </c>
      <c r="AL919" s="33">
        <v>10</v>
      </c>
      <c r="AM919" s="33">
        <v>2</v>
      </c>
      <c r="AN919" s="33">
        <v>4</v>
      </c>
      <c r="AO919" s="33">
        <v>0</v>
      </c>
      <c r="AP919" s="33">
        <v>0</v>
      </c>
      <c r="AQ919" s="33">
        <v>0</v>
      </c>
      <c r="AR919" s="33">
        <v>3</v>
      </c>
      <c r="AS919" s="33">
        <v>4</v>
      </c>
      <c r="AT919" s="33">
        <v>1</v>
      </c>
      <c r="AU919" s="43">
        <v>7.1392471771048155E-2</v>
      </c>
      <c r="AV919" s="33">
        <v>0</v>
      </c>
      <c r="AW919" s="33">
        <v>0</v>
      </c>
      <c r="AY919" s="36">
        <v>891</v>
      </c>
      <c r="AZ919" s="33">
        <v>3</v>
      </c>
      <c r="BA919" s="33">
        <v>3</v>
      </c>
      <c r="BB919" s="33">
        <v>0</v>
      </c>
      <c r="BC919" s="33">
        <v>1</v>
      </c>
      <c r="BD919" s="43">
        <v>4.2774603045834733E-2</v>
      </c>
      <c r="BE919" s="33">
        <v>0</v>
      </c>
      <c r="BF919" s="33">
        <v>0</v>
      </c>
      <c r="CE919" s="36">
        <v>885</v>
      </c>
      <c r="CF919" s="33">
        <v>10</v>
      </c>
      <c r="CG919" s="33">
        <v>2</v>
      </c>
      <c r="CH919" s="33">
        <v>2</v>
      </c>
      <c r="CI919" s="33">
        <v>3</v>
      </c>
      <c r="CJ919" s="33">
        <v>7</v>
      </c>
      <c r="CK919" s="33">
        <v>0</v>
      </c>
      <c r="CL919" s="33">
        <v>1</v>
      </c>
      <c r="CM919" s="33">
        <v>4</v>
      </c>
      <c r="CN919" s="33">
        <v>5</v>
      </c>
      <c r="CO919" s="33">
        <v>1</v>
      </c>
      <c r="CP919" s="43">
        <v>5.4813571127512437E-2</v>
      </c>
      <c r="CQ919" s="33">
        <v>0</v>
      </c>
      <c r="CR919" s="33">
        <v>0</v>
      </c>
    </row>
    <row r="920" spans="1:96" ht="15" customHeight="1" x14ac:dyDescent="0.25">
      <c r="A920" s="26">
        <v>918</v>
      </c>
      <c r="B920" s="27">
        <v>51</v>
      </c>
      <c r="C920" s="27">
        <v>0</v>
      </c>
      <c r="D920" s="27">
        <v>2</v>
      </c>
      <c r="E920" s="27">
        <v>237</v>
      </c>
      <c r="F920" s="27">
        <v>1</v>
      </c>
      <c r="G920" s="27">
        <v>9</v>
      </c>
      <c r="H920" s="27">
        <v>3</v>
      </c>
      <c r="I920" s="27">
        <v>1</v>
      </c>
      <c r="J920" s="27">
        <v>1</v>
      </c>
      <c r="K920" s="27">
        <v>1282</v>
      </c>
      <c r="L920" s="27">
        <v>4</v>
      </c>
      <c r="M920" s="27">
        <v>1</v>
      </c>
      <c r="N920" s="27">
        <v>83</v>
      </c>
      <c r="O920" s="27">
        <v>3</v>
      </c>
      <c r="P920" s="27">
        <v>5</v>
      </c>
      <c r="Q920" s="27">
        <v>6</v>
      </c>
      <c r="R920" s="27">
        <v>2</v>
      </c>
      <c r="S920" s="27">
        <v>3</v>
      </c>
      <c r="T920" s="27">
        <v>19847</v>
      </c>
      <c r="U920" s="27">
        <v>19196</v>
      </c>
      <c r="V920" s="27">
        <v>4</v>
      </c>
      <c r="W920" s="27">
        <v>1</v>
      </c>
      <c r="X920" s="27">
        <v>24</v>
      </c>
      <c r="Y920" s="27">
        <v>4</v>
      </c>
      <c r="Z920" s="27">
        <v>1</v>
      </c>
      <c r="AA920" s="27">
        <v>80</v>
      </c>
      <c r="AB920" s="27">
        <v>1</v>
      </c>
      <c r="AC920" s="27">
        <v>31</v>
      </c>
      <c r="AD920" s="27">
        <v>5</v>
      </c>
      <c r="AE920" s="27">
        <v>2</v>
      </c>
      <c r="AF920" s="27">
        <v>29</v>
      </c>
      <c r="AG920" s="27">
        <v>10</v>
      </c>
      <c r="AH920" s="27">
        <v>11</v>
      </c>
      <c r="AI920" s="28">
        <v>10</v>
      </c>
      <c r="AK920" s="36">
        <v>887</v>
      </c>
      <c r="AL920" s="33">
        <v>1</v>
      </c>
      <c r="AM920" s="33">
        <v>1</v>
      </c>
      <c r="AN920" s="33">
        <v>2</v>
      </c>
      <c r="AO920" s="33">
        <v>0</v>
      </c>
      <c r="AP920" s="33">
        <v>1</v>
      </c>
      <c r="AQ920" s="33">
        <v>1</v>
      </c>
      <c r="AR920" s="33">
        <v>3</v>
      </c>
      <c r="AS920" s="33">
        <v>11</v>
      </c>
      <c r="AT920" s="33">
        <v>5</v>
      </c>
      <c r="AU920" s="43">
        <v>0.29405640549222833</v>
      </c>
      <c r="AV920" s="33">
        <v>0</v>
      </c>
      <c r="AW920" s="33">
        <v>0</v>
      </c>
      <c r="AY920" s="36">
        <v>892</v>
      </c>
      <c r="AZ920" s="33">
        <v>1</v>
      </c>
      <c r="BA920" s="33">
        <v>4</v>
      </c>
      <c r="BB920" s="33">
        <v>0</v>
      </c>
      <c r="BC920" s="33">
        <v>1</v>
      </c>
      <c r="BD920" s="43">
        <v>9.2486413274924434E-2</v>
      </c>
      <c r="BE920" s="33">
        <v>0</v>
      </c>
      <c r="BF920" s="33">
        <v>0</v>
      </c>
      <c r="CE920" s="36">
        <v>886</v>
      </c>
      <c r="CF920" s="33">
        <v>10</v>
      </c>
      <c r="CG920" s="33">
        <v>2</v>
      </c>
      <c r="CH920" s="33">
        <v>4</v>
      </c>
      <c r="CI920" s="33">
        <v>1</v>
      </c>
      <c r="CJ920" s="33">
        <v>0</v>
      </c>
      <c r="CK920" s="33">
        <v>0</v>
      </c>
      <c r="CL920" s="33">
        <v>0</v>
      </c>
      <c r="CM920" s="33">
        <v>3</v>
      </c>
      <c r="CN920" s="33">
        <v>4</v>
      </c>
      <c r="CO920" s="33">
        <v>1</v>
      </c>
      <c r="CP920" s="43">
        <v>8.2132329539431198E-2</v>
      </c>
      <c r="CQ920" s="33">
        <v>0</v>
      </c>
      <c r="CR920" s="33">
        <v>0</v>
      </c>
    </row>
    <row r="921" spans="1:96" ht="15" customHeight="1" x14ac:dyDescent="0.25">
      <c r="A921" s="26">
        <v>919</v>
      </c>
      <c r="B921" s="27">
        <v>59</v>
      </c>
      <c r="C921" s="27">
        <v>0</v>
      </c>
      <c r="D921" s="27">
        <v>1</v>
      </c>
      <c r="E921" s="27">
        <v>1429</v>
      </c>
      <c r="F921" s="27">
        <v>2</v>
      </c>
      <c r="G921" s="27">
        <v>18</v>
      </c>
      <c r="H921" s="27">
        <v>4</v>
      </c>
      <c r="I921" s="27">
        <v>3</v>
      </c>
      <c r="J921" s="27">
        <v>1</v>
      </c>
      <c r="K921" s="27">
        <v>1283</v>
      </c>
      <c r="L921" s="27">
        <v>4</v>
      </c>
      <c r="M921" s="27">
        <v>1</v>
      </c>
      <c r="N921" s="27">
        <v>67</v>
      </c>
      <c r="O921" s="27">
        <v>3</v>
      </c>
      <c r="P921" s="27">
        <v>3</v>
      </c>
      <c r="Q921" s="27">
        <v>4</v>
      </c>
      <c r="R921" s="27">
        <v>4</v>
      </c>
      <c r="S921" s="27">
        <v>1</v>
      </c>
      <c r="T921" s="27">
        <v>10512</v>
      </c>
      <c r="U921" s="27">
        <v>20002</v>
      </c>
      <c r="V921" s="27">
        <v>6</v>
      </c>
      <c r="W921" s="27">
        <v>0</v>
      </c>
      <c r="X921" s="27">
        <v>12</v>
      </c>
      <c r="Y921" s="27">
        <v>3</v>
      </c>
      <c r="Z921" s="27">
        <v>4</v>
      </c>
      <c r="AA921" s="27">
        <v>80</v>
      </c>
      <c r="AB921" s="27">
        <v>0</v>
      </c>
      <c r="AC921" s="27">
        <v>25</v>
      </c>
      <c r="AD921" s="27">
        <v>6</v>
      </c>
      <c r="AE921" s="27">
        <v>2</v>
      </c>
      <c r="AF921" s="27">
        <v>9</v>
      </c>
      <c r="AG921" s="27">
        <v>7</v>
      </c>
      <c r="AH921" s="27">
        <v>5</v>
      </c>
      <c r="AI921" s="28">
        <v>4</v>
      </c>
      <c r="AK921" s="36">
        <v>888</v>
      </c>
      <c r="AL921" s="33">
        <v>26</v>
      </c>
      <c r="AM921" s="33">
        <v>3</v>
      </c>
      <c r="AN921" s="33">
        <v>1</v>
      </c>
      <c r="AO921" s="33">
        <v>3</v>
      </c>
      <c r="AP921" s="33">
        <v>1</v>
      </c>
      <c r="AQ921" s="33">
        <v>0</v>
      </c>
      <c r="AR921" s="33">
        <v>3</v>
      </c>
      <c r="AS921" s="33">
        <v>1</v>
      </c>
      <c r="AT921" s="33">
        <v>0</v>
      </c>
      <c r="AU921" s="43">
        <v>0.53180557313471732</v>
      </c>
      <c r="AV921" s="33">
        <v>1</v>
      </c>
      <c r="AW921" s="33">
        <v>0</v>
      </c>
      <c r="AY921" s="36">
        <v>893</v>
      </c>
      <c r="AZ921" s="33">
        <v>1</v>
      </c>
      <c r="BA921" s="33">
        <v>2</v>
      </c>
      <c r="BB921" s="33">
        <v>1</v>
      </c>
      <c r="BC921" s="33">
        <v>0</v>
      </c>
      <c r="BD921" s="43">
        <v>0.56990699338636852</v>
      </c>
      <c r="BE921" s="33">
        <v>1</v>
      </c>
      <c r="BF921" s="33">
        <v>1</v>
      </c>
      <c r="CE921" s="36">
        <v>887</v>
      </c>
      <c r="CF921" s="33">
        <v>1</v>
      </c>
      <c r="CG921" s="33">
        <v>1</v>
      </c>
      <c r="CH921" s="33">
        <v>2</v>
      </c>
      <c r="CI921" s="33">
        <v>2</v>
      </c>
      <c r="CJ921" s="33">
        <v>0</v>
      </c>
      <c r="CK921" s="33">
        <v>1</v>
      </c>
      <c r="CL921" s="33">
        <v>1</v>
      </c>
      <c r="CM921" s="33">
        <v>3</v>
      </c>
      <c r="CN921" s="33">
        <v>11</v>
      </c>
      <c r="CO921" s="33">
        <v>5</v>
      </c>
      <c r="CP921" s="43">
        <v>0.29787984330291328</v>
      </c>
      <c r="CQ921" s="33">
        <v>0</v>
      </c>
      <c r="CR921" s="33">
        <v>0</v>
      </c>
    </row>
    <row r="922" spans="1:96" ht="15" customHeight="1" x14ac:dyDescent="0.25">
      <c r="A922" s="26">
        <v>920</v>
      </c>
      <c r="B922" s="27">
        <v>34</v>
      </c>
      <c r="C922" s="27">
        <v>0</v>
      </c>
      <c r="D922" s="27">
        <v>2</v>
      </c>
      <c r="E922" s="27">
        <v>135</v>
      </c>
      <c r="F922" s="27">
        <v>2</v>
      </c>
      <c r="G922" s="27">
        <v>19</v>
      </c>
      <c r="H922" s="27">
        <v>3</v>
      </c>
      <c r="I922" s="27">
        <v>3</v>
      </c>
      <c r="J922" s="27">
        <v>1</v>
      </c>
      <c r="K922" s="27">
        <v>1285</v>
      </c>
      <c r="L922" s="27">
        <v>3</v>
      </c>
      <c r="M922" s="27">
        <v>0</v>
      </c>
      <c r="N922" s="27">
        <v>46</v>
      </c>
      <c r="O922" s="27">
        <v>3</v>
      </c>
      <c r="P922" s="27">
        <v>2</v>
      </c>
      <c r="Q922" s="27">
        <v>3</v>
      </c>
      <c r="R922" s="27">
        <v>2</v>
      </c>
      <c r="S922" s="27">
        <v>3</v>
      </c>
      <c r="T922" s="27">
        <v>4444</v>
      </c>
      <c r="U922" s="27">
        <v>22534</v>
      </c>
      <c r="V922" s="27">
        <v>4</v>
      </c>
      <c r="W922" s="27">
        <v>0</v>
      </c>
      <c r="X922" s="27">
        <v>13</v>
      </c>
      <c r="Y922" s="27">
        <v>3</v>
      </c>
      <c r="Z922" s="27">
        <v>3</v>
      </c>
      <c r="AA922" s="27">
        <v>80</v>
      </c>
      <c r="AB922" s="27">
        <v>2</v>
      </c>
      <c r="AC922" s="27">
        <v>15</v>
      </c>
      <c r="AD922" s="27">
        <v>2</v>
      </c>
      <c r="AE922" s="27">
        <v>4</v>
      </c>
      <c r="AF922" s="27">
        <v>11</v>
      </c>
      <c r="AG922" s="27">
        <v>8</v>
      </c>
      <c r="AH922" s="27">
        <v>5</v>
      </c>
      <c r="AI922" s="28">
        <v>10</v>
      </c>
      <c r="AK922" s="36">
        <v>889</v>
      </c>
      <c r="AL922" s="33">
        <v>8</v>
      </c>
      <c r="AM922" s="33">
        <v>3</v>
      </c>
      <c r="AN922" s="33">
        <v>4</v>
      </c>
      <c r="AO922" s="33">
        <v>4</v>
      </c>
      <c r="AP922" s="33">
        <v>1</v>
      </c>
      <c r="AQ922" s="33">
        <v>1</v>
      </c>
      <c r="AR922" s="33">
        <v>2</v>
      </c>
      <c r="AS922" s="33">
        <v>13</v>
      </c>
      <c r="AT922" s="33">
        <v>4</v>
      </c>
      <c r="AU922" s="43">
        <v>0.11747074816670221</v>
      </c>
      <c r="AV922" s="33">
        <v>0</v>
      </c>
      <c r="AW922" s="33">
        <v>0</v>
      </c>
      <c r="AY922" s="36">
        <v>894</v>
      </c>
      <c r="AZ922" s="33">
        <v>1</v>
      </c>
      <c r="BA922" s="33">
        <v>4</v>
      </c>
      <c r="BB922" s="33">
        <v>0</v>
      </c>
      <c r="BC922" s="33">
        <v>3</v>
      </c>
      <c r="BD922" s="43">
        <v>3.425986181697948E-2</v>
      </c>
      <c r="BE922" s="33">
        <v>0</v>
      </c>
      <c r="BF922" s="33">
        <v>0</v>
      </c>
      <c r="CE922" s="36">
        <v>888</v>
      </c>
      <c r="CF922" s="33">
        <v>26</v>
      </c>
      <c r="CG922" s="33">
        <v>3</v>
      </c>
      <c r="CH922" s="33">
        <v>1</v>
      </c>
      <c r="CI922" s="33">
        <v>2</v>
      </c>
      <c r="CJ922" s="33">
        <v>3</v>
      </c>
      <c r="CK922" s="33">
        <v>1</v>
      </c>
      <c r="CL922" s="33">
        <v>0</v>
      </c>
      <c r="CM922" s="33">
        <v>3</v>
      </c>
      <c r="CN922" s="33">
        <v>1</v>
      </c>
      <c r="CO922" s="33">
        <v>0</v>
      </c>
      <c r="CP922" s="43">
        <v>0.45752220748867911</v>
      </c>
      <c r="CQ922" s="33">
        <v>0</v>
      </c>
      <c r="CR922" s="33">
        <v>0</v>
      </c>
    </row>
    <row r="923" spans="1:96" ht="15" customHeight="1" x14ac:dyDescent="0.25">
      <c r="A923" s="26">
        <v>921</v>
      </c>
      <c r="B923" s="27">
        <v>28</v>
      </c>
      <c r="C923" s="27">
        <v>0</v>
      </c>
      <c r="D923" s="27">
        <v>2</v>
      </c>
      <c r="E923" s="27">
        <v>791</v>
      </c>
      <c r="F923" s="27">
        <v>2</v>
      </c>
      <c r="G923" s="27">
        <v>1</v>
      </c>
      <c r="H923" s="27">
        <v>4</v>
      </c>
      <c r="I923" s="27">
        <v>3</v>
      </c>
      <c r="J923" s="27">
        <v>1</v>
      </c>
      <c r="K923" s="27">
        <v>1286</v>
      </c>
      <c r="L923" s="27">
        <v>4</v>
      </c>
      <c r="M923" s="27">
        <v>1</v>
      </c>
      <c r="N923" s="27">
        <v>44</v>
      </c>
      <c r="O923" s="27">
        <v>3</v>
      </c>
      <c r="P923" s="27">
        <v>1</v>
      </c>
      <c r="Q923" s="27">
        <v>3</v>
      </c>
      <c r="R923" s="27">
        <v>3</v>
      </c>
      <c r="S923" s="27">
        <v>1</v>
      </c>
      <c r="T923" s="27">
        <v>2154</v>
      </c>
      <c r="U923" s="27">
        <v>6842</v>
      </c>
      <c r="V923" s="27">
        <v>0</v>
      </c>
      <c r="W923" s="27">
        <v>1</v>
      </c>
      <c r="X923" s="27">
        <v>11</v>
      </c>
      <c r="Y923" s="27">
        <v>3</v>
      </c>
      <c r="Z923" s="27">
        <v>3</v>
      </c>
      <c r="AA923" s="27">
        <v>80</v>
      </c>
      <c r="AB923" s="27">
        <v>0</v>
      </c>
      <c r="AC923" s="27">
        <v>5</v>
      </c>
      <c r="AD923" s="27">
        <v>2</v>
      </c>
      <c r="AE923" s="27">
        <v>2</v>
      </c>
      <c r="AF923" s="27">
        <v>4</v>
      </c>
      <c r="AG923" s="27">
        <v>2</v>
      </c>
      <c r="AH923" s="27">
        <v>0</v>
      </c>
      <c r="AI923" s="28">
        <v>2</v>
      </c>
      <c r="AK923" s="36">
        <v>890</v>
      </c>
      <c r="AL923" s="33">
        <v>14</v>
      </c>
      <c r="AM923" s="33">
        <v>1</v>
      </c>
      <c r="AN923" s="33">
        <v>1</v>
      </c>
      <c r="AO923" s="33">
        <v>1</v>
      </c>
      <c r="AP923" s="33">
        <v>1</v>
      </c>
      <c r="AQ923" s="33">
        <v>2</v>
      </c>
      <c r="AR923" s="33">
        <v>2</v>
      </c>
      <c r="AS923" s="33">
        <v>9</v>
      </c>
      <c r="AT923" s="33">
        <v>6</v>
      </c>
      <c r="AU923" s="43">
        <v>0.46518001877894843</v>
      </c>
      <c r="AV923" s="33">
        <v>0</v>
      </c>
      <c r="AW923" s="33">
        <v>0</v>
      </c>
      <c r="AY923" s="36">
        <v>895</v>
      </c>
      <c r="AZ923" s="33">
        <v>4</v>
      </c>
      <c r="BA923" s="33">
        <v>4</v>
      </c>
      <c r="BB923" s="33">
        <v>0</v>
      </c>
      <c r="BC923" s="33">
        <v>0</v>
      </c>
      <c r="BD923" s="43">
        <v>3.1333013053779842E-2</v>
      </c>
      <c r="BE923" s="33">
        <v>0</v>
      </c>
      <c r="BF923" s="33">
        <v>0</v>
      </c>
      <c r="CE923" s="36">
        <v>889</v>
      </c>
      <c r="CF923" s="33">
        <v>8</v>
      </c>
      <c r="CG923" s="33">
        <v>3</v>
      </c>
      <c r="CH923" s="33">
        <v>4</v>
      </c>
      <c r="CI923" s="33">
        <v>2</v>
      </c>
      <c r="CJ923" s="33">
        <v>4</v>
      </c>
      <c r="CK923" s="33">
        <v>1</v>
      </c>
      <c r="CL923" s="33">
        <v>1</v>
      </c>
      <c r="CM923" s="33">
        <v>2</v>
      </c>
      <c r="CN923" s="33">
        <v>13</v>
      </c>
      <c r="CO923" s="33">
        <v>4</v>
      </c>
      <c r="CP923" s="43">
        <v>0.11961538517130808</v>
      </c>
      <c r="CQ923" s="33">
        <v>0</v>
      </c>
      <c r="CR923" s="33">
        <v>0</v>
      </c>
    </row>
    <row r="924" spans="1:96" ht="15" customHeight="1" x14ac:dyDescent="0.25">
      <c r="A924" s="26">
        <v>922</v>
      </c>
      <c r="B924" s="27">
        <v>44</v>
      </c>
      <c r="C924" s="27">
        <v>0</v>
      </c>
      <c r="D924" s="27">
        <v>1</v>
      </c>
      <c r="E924" s="27">
        <v>1199</v>
      </c>
      <c r="F924" s="27">
        <v>2</v>
      </c>
      <c r="G924" s="27">
        <v>4</v>
      </c>
      <c r="H924" s="27">
        <v>2</v>
      </c>
      <c r="I924" s="27">
        <v>1</v>
      </c>
      <c r="J924" s="27">
        <v>1</v>
      </c>
      <c r="K924" s="27">
        <v>1288</v>
      </c>
      <c r="L924" s="27">
        <v>3</v>
      </c>
      <c r="M924" s="27">
        <v>1</v>
      </c>
      <c r="N924" s="27">
        <v>92</v>
      </c>
      <c r="O924" s="27">
        <v>4</v>
      </c>
      <c r="P924" s="27">
        <v>5</v>
      </c>
      <c r="Q924" s="27">
        <v>6</v>
      </c>
      <c r="R924" s="27">
        <v>1</v>
      </c>
      <c r="S924" s="27">
        <v>3</v>
      </c>
      <c r="T924" s="27">
        <v>19190</v>
      </c>
      <c r="U924" s="27">
        <v>17477</v>
      </c>
      <c r="V924" s="27">
        <v>1</v>
      </c>
      <c r="W924" s="27">
        <v>0</v>
      </c>
      <c r="X924" s="27">
        <v>14</v>
      </c>
      <c r="Y924" s="27">
        <v>3</v>
      </c>
      <c r="Z924" s="27">
        <v>4</v>
      </c>
      <c r="AA924" s="27">
        <v>80</v>
      </c>
      <c r="AB924" s="27">
        <v>2</v>
      </c>
      <c r="AC924" s="27">
        <v>26</v>
      </c>
      <c r="AD924" s="27">
        <v>4</v>
      </c>
      <c r="AE924" s="27">
        <v>2</v>
      </c>
      <c r="AF924" s="27">
        <v>25</v>
      </c>
      <c r="AG924" s="27">
        <v>9</v>
      </c>
      <c r="AH924" s="27">
        <v>14</v>
      </c>
      <c r="AI924" s="28">
        <v>13</v>
      </c>
      <c r="AK924" s="36">
        <v>891</v>
      </c>
      <c r="AL924" s="33">
        <v>1</v>
      </c>
      <c r="AM924" s="33">
        <v>3</v>
      </c>
      <c r="AN924" s="33">
        <v>3</v>
      </c>
      <c r="AO924" s="33">
        <v>7</v>
      </c>
      <c r="AP924" s="33">
        <v>0</v>
      </c>
      <c r="AQ924" s="33">
        <v>1</v>
      </c>
      <c r="AR924" s="33">
        <v>1</v>
      </c>
      <c r="AS924" s="33">
        <v>5</v>
      </c>
      <c r="AT924" s="33">
        <v>1</v>
      </c>
      <c r="AU924" s="43">
        <v>6.2150967239066893E-2</v>
      </c>
      <c r="AV924" s="33">
        <v>0</v>
      </c>
      <c r="AW924" s="33">
        <v>0</v>
      </c>
      <c r="AY924" s="36">
        <v>896</v>
      </c>
      <c r="AZ924" s="33">
        <v>2</v>
      </c>
      <c r="BA924" s="33">
        <v>1</v>
      </c>
      <c r="BB924" s="33">
        <v>1</v>
      </c>
      <c r="BC924" s="33">
        <v>0</v>
      </c>
      <c r="BD924" s="43">
        <v>0.50385917417366921</v>
      </c>
      <c r="BE924" s="33">
        <v>1</v>
      </c>
      <c r="BF924" s="33">
        <v>0</v>
      </c>
      <c r="CE924" s="36">
        <v>890</v>
      </c>
      <c r="CF924" s="33">
        <v>14</v>
      </c>
      <c r="CG924" s="33">
        <v>1</v>
      </c>
      <c r="CH924" s="33">
        <v>1</v>
      </c>
      <c r="CI924" s="33">
        <v>2</v>
      </c>
      <c r="CJ924" s="33">
        <v>1</v>
      </c>
      <c r="CK924" s="33">
        <v>1</v>
      </c>
      <c r="CL924" s="33">
        <v>2</v>
      </c>
      <c r="CM924" s="33">
        <v>2</v>
      </c>
      <c r="CN924" s="33">
        <v>9</v>
      </c>
      <c r="CO924" s="33">
        <v>6</v>
      </c>
      <c r="CP924" s="43">
        <v>0.56436114569868601</v>
      </c>
      <c r="CQ924" s="33">
        <v>1</v>
      </c>
      <c r="CR924" s="33">
        <v>0</v>
      </c>
    </row>
    <row r="925" spans="1:96" ht="15" customHeight="1" x14ac:dyDescent="0.25">
      <c r="A925" s="26">
        <v>923</v>
      </c>
      <c r="B925" s="27">
        <v>34</v>
      </c>
      <c r="C925" s="27">
        <v>0</v>
      </c>
      <c r="D925" s="27">
        <v>2</v>
      </c>
      <c r="E925" s="27">
        <v>648</v>
      </c>
      <c r="F925" s="27">
        <v>3</v>
      </c>
      <c r="G925" s="27">
        <v>11</v>
      </c>
      <c r="H925" s="27">
        <v>3</v>
      </c>
      <c r="I925" s="27">
        <v>1</v>
      </c>
      <c r="J925" s="27">
        <v>1</v>
      </c>
      <c r="K925" s="27">
        <v>1289</v>
      </c>
      <c r="L925" s="27">
        <v>3</v>
      </c>
      <c r="M925" s="27">
        <v>1</v>
      </c>
      <c r="N925" s="27">
        <v>56</v>
      </c>
      <c r="O925" s="27">
        <v>2</v>
      </c>
      <c r="P925" s="27">
        <v>2</v>
      </c>
      <c r="Q925" s="27">
        <v>9</v>
      </c>
      <c r="R925" s="27">
        <v>2</v>
      </c>
      <c r="S925" s="27">
        <v>2</v>
      </c>
      <c r="T925" s="27">
        <v>4490</v>
      </c>
      <c r="U925" s="27">
        <v>21833</v>
      </c>
      <c r="V925" s="27">
        <v>4</v>
      </c>
      <c r="W925" s="27">
        <v>0</v>
      </c>
      <c r="X925" s="27">
        <v>11</v>
      </c>
      <c r="Y925" s="27">
        <v>3</v>
      </c>
      <c r="Z925" s="27">
        <v>4</v>
      </c>
      <c r="AA925" s="27">
        <v>80</v>
      </c>
      <c r="AB925" s="27">
        <v>2</v>
      </c>
      <c r="AC925" s="27">
        <v>14</v>
      </c>
      <c r="AD925" s="27">
        <v>5</v>
      </c>
      <c r="AE925" s="27">
        <v>4</v>
      </c>
      <c r="AF925" s="27">
        <v>10</v>
      </c>
      <c r="AG925" s="27">
        <v>9</v>
      </c>
      <c r="AH925" s="27">
        <v>1</v>
      </c>
      <c r="AI925" s="28">
        <v>8</v>
      </c>
      <c r="AK925" s="36">
        <v>892</v>
      </c>
      <c r="AL925" s="33">
        <v>2</v>
      </c>
      <c r="AM925" s="33">
        <v>1</v>
      </c>
      <c r="AN925" s="33">
        <v>4</v>
      </c>
      <c r="AO925" s="33">
        <v>1</v>
      </c>
      <c r="AP925" s="33">
        <v>0</v>
      </c>
      <c r="AQ925" s="33">
        <v>1</v>
      </c>
      <c r="AR925" s="33">
        <v>3</v>
      </c>
      <c r="AS925" s="33">
        <v>10</v>
      </c>
      <c r="AT925" s="33">
        <v>7</v>
      </c>
      <c r="AU925" s="43">
        <v>7.4559440144436689E-2</v>
      </c>
      <c r="AV925" s="33">
        <v>0</v>
      </c>
      <c r="AW925" s="33">
        <v>0</v>
      </c>
      <c r="AY925" s="36">
        <v>897</v>
      </c>
      <c r="AZ925" s="33">
        <v>2</v>
      </c>
      <c r="BA925" s="33">
        <v>1</v>
      </c>
      <c r="BB925" s="33">
        <v>0</v>
      </c>
      <c r="BC925" s="33">
        <v>0</v>
      </c>
      <c r="BD925" s="43">
        <v>0.19196561144667343</v>
      </c>
      <c r="BE925" s="33">
        <v>0</v>
      </c>
      <c r="BF925" s="33">
        <v>0</v>
      </c>
      <c r="CE925" s="36">
        <v>891</v>
      </c>
      <c r="CF925" s="33">
        <v>1</v>
      </c>
      <c r="CG925" s="33">
        <v>3</v>
      </c>
      <c r="CH925" s="33">
        <v>3</v>
      </c>
      <c r="CI925" s="33">
        <v>3</v>
      </c>
      <c r="CJ925" s="33">
        <v>7</v>
      </c>
      <c r="CK925" s="33">
        <v>0</v>
      </c>
      <c r="CL925" s="33">
        <v>1</v>
      </c>
      <c r="CM925" s="33">
        <v>1</v>
      </c>
      <c r="CN925" s="33">
        <v>5</v>
      </c>
      <c r="CO925" s="33">
        <v>1</v>
      </c>
      <c r="CP925" s="43">
        <v>3.7273480153148665E-2</v>
      </c>
      <c r="CQ925" s="33">
        <v>0</v>
      </c>
      <c r="CR925" s="33">
        <v>0</v>
      </c>
    </row>
    <row r="926" spans="1:96" ht="15" customHeight="1" x14ac:dyDescent="0.25">
      <c r="A926" s="26">
        <v>924</v>
      </c>
      <c r="B926" s="27">
        <v>35</v>
      </c>
      <c r="C926" s="27">
        <v>0</v>
      </c>
      <c r="D926" s="27">
        <v>1</v>
      </c>
      <c r="E926" s="27">
        <v>735</v>
      </c>
      <c r="F926" s="27">
        <v>2</v>
      </c>
      <c r="G926" s="27">
        <v>6</v>
      </c>
      <c r="H926" s="27">
        <v>1</v>
      </c>
      <c r="I926" s="27">
        <v>1</v>
      </c>
      <c r="J926" s="27">
        <v>1</v>
      </c>
      <c r="K926" s="27">
        <v>1291</v>
      </c>
      <c r="L926" s="27">
        <v>3</v>
      </c>
      <c r="M926" s="27">
        <v>1</v>
      </c>
      <c r="N926" s="27">
        <v>66</v>
      </c>
      <c r="O926" s="27">
        <v>3</v>
      </c>
      <c r="P926" s="27">
        <v>1</v>
      </c>
      <c r="Q926" s="27">
        <v>2</v>
      </c>
      <c r="R926" s="27">
        <v>3</v>
      </c>
      <c r="S926" s="27">
        <v>2</v>
      </c>
      <c r="T926" s="27">
        <v>3506</v>
      </c>
      <c r="U926" s="27">
        <v>6020</v>
      </c>
      <c r="V926" s="27">
        <v>0</v>
      </c>
      <c r="W926" s="27">
        <v>1</v>
      </c>
      <c r="X926" s="27">
        <v>14</v>
      </c>
      <c r="Y926" s="27">
        <v>3</v>
      </c>
      <c r="Z926" s="27">
        <v>4</v>
      </c>
      <c r="AA926" s="27">
        <v>80</v>
      </c>
      <c r="AB926" s="27">
        <v>0</v>
      </c>
      <c r="AC926" s="27">
        <v>4</v>
      </c>
      <c r="AD926" s="27">
        <v>3</v>
      </c>
      <c r="AE926" s="27">
        <v>3</v>
      </c>
      <c r="AF926" s="27">
        <v>3</v>
      </c>
      <c r="AG926" s="27">
        <v>2</v>
      </c>
      <c r="AH926" s="27">
        <v>2</v>
      </c>
      <c r="AI926" s="28">
        <v>2</v>
      </c>
      <c r="AK926" s="36">
        <v>893</v>
      </c>
      <c r="AL926" s="33">
        <v>10</v>
      </c>
      <c r="AM926" s="33">
        <v>1</v>
      </c>
      <c r="AN926" s="33">
        <v>2</v>
      </c>
      <c r="AO926" s="33">
        <v>1</v>
      </c>
      <c r="AP926" s="33">
        <v>1</v>
      </c>
      <c r="AQ926" s="33">
        <v>0</v>
      </c>
      <c r="AR926" s="33">
        <v>4</v>
      </c>
      <c r="AS926" s="33">
        <v>1</v>
      </c>
      <c r="AT926" s="33">
        <v>0</v>
      </c>
      <c r="AU926" s="43">
        <v>0.49996042634987092</v>
      </c>
      <c r="AV926" s="33">
        <v>0</v>
      </c>
      <c r="AW926" s="33">
        <v>1</v>
      </c>
      <c r="AY926" s="36">
        <v>898</v>
      </c>
      <c r="AZ926" s="33">
        <v>2</v>
      </c>
      <c r="BA926" s="33">
        <v>4</v>
      </c>
      <c r="BB926" s="33">
        <v>0</v>
      </c>
      <c r="BC926" s="33">
        <v>0</v>
      </c>
      <c r="BD926" s="43">
        <v>8.9935487507215722E-2</v>
      </c>
      <c r="BE926" s="33">
        <v>0</v>
      </c>
      <c r="BF926" s="33">
        <v>0</v>
      </c>
      <c r="CE926" s="36">
        <v>892</v>
      </c>
      <c r="CF926" s="33">
        <v>2</v>
      </c>
      <c r="CG926" s="33">
        <v>1</v>
      </c>
      <c r="CH926" s="33">
        <v>4</v>
      </c>
      <c r="CI926" s="33">
        <v>2</v>
      </c>
      <c r="CJ926" s="33">
        <v>1</v>
      </c>
      <c r="CK926" s="33">
        <v>0</v>
      </c>
      <c r="CL926" s="33">
        <v>1</v>
      </c>
      <c r="CM926" s="33">
        <v>3</v>
      </c>
      <c r="CN926" s="33">
        <v>10</v>
      </c>
      <c r="CO926" s="33">
        <v>7</v>
      </c>
      <c r="CP926" s="43">
        <v>7.1127304360304733E-2</v>
      </c>
      <c r="CQ926" s="33">
        <v>0</v>
      </c>
      <c r="CR926" s="33">
        <v>0</v>
      </c>
    </row>
    <row r="927" spans="1:96" ht="15" customHeight="1" x14ac:dyDescent="0.25">
      <c r="A927" s="26">
        <v>925</v>
      </c>
      <c r="B927" s="27">
        <v>42</v>
      </c>
      <c r="C927" s="27">
        <v>0</v>
      </c>
      <c r="D927" s="27">
        <v>1</v>
      </c>
      <c r="E927" s="27">
        <v>603</v>
      </c>
      <c r="F927" s="27">
        <v>2</v>
      </c>
      <c r="G927" s="27">
        <v>7</v>
      </c>
      <c r="H927" s="27">
        <v>4</v>
      </c>
      <c r="I927" s="27">
        <v>3</v>
      </c>
      <c r="J927" s="27">
        <v>1</v>
      </c>
      <c r="K927" s="27">
        <v>1292</v>
      </c>
      <c r="L927" s="27">
        <v>2</v>
      </c>
      <c r="M927" s="27">
        <v>0</v>
      </c>
      <c r="N927" s="27">
        <v>78</v>
      </c>
      <c r="O927" s="27">
        <v>4</v>
      </c>
      <c r="P927" s="27">
        <v>2</v>
      </c>
      <c r="Q927" s="27">
        <v>2</v>
      </c>
      <c r="R927" s="27">
        <v>2</v>
      </c>
      <c r="S927" s="27">
        <v>2</v>
      </c>
      <c r="T927" s="27">
        <v>2372</v>
      </c>
      <c r="U927" s="27">
        <v>5628</v>
      </c>
      <c r="V927" s="27">
        <v>6</v>
      </c>
      <c r="W927" s="27">
        <v>1</v>
      </c>
      <c r="X927" s="27">
        <v>16</v>
      </c>
      <c r="Y927" s="27">
        <v>3</v>
      </c>
      <c r="Z927" s="27">
        <v>4</v>
      </c>
      <c r="AA927" s="27">
        <v>80</v>
      </c>
      <c r="AB927" s="27">
        <v>0</v>
      </c>
      <c r="AC927" s="27">
        <v>18</v>
      </c>
      <c r="AD927" s="27">
        <v>2</v>
      </c>
      <c r="AE927" s="27">
        <v>3</v>
      </c>
      <c r="AF927" s="27">
        <v>1</v>
      </c>
      <c r="AG927" s="27">
        <v>0</v>
      </c>
      <c r="AH927" s="27">
        <v>0</v>
      </c>
      <c r="AI927" s="28">
        <v>0</v>
      </c>
      <c r="AK927" s="36">
        <v>894</v>
      </c>
      <c r="AL927" s="33">
        <v>1</v>
      </c>
      <c r="AM927" s="33">
        <v>1</v>
      </c>
      <c r="AN927" s="33">
        <v>4</v>
      </c>
      <c r="AO927" s="33">
        <v>1</v>
      </c>
      <c r="AP927" s="33">
        <v>0</v>
      </c>
      <c r="AQ927" s="33">
        <v>3</v>
      </c>
      <c r="AR927" s="33">
        <v>3</v>
      </c>
      <c r="AS927" s="33">
        <v>3</v>
      </c>
      <c r="AT927" s="33">
        <v>1</v>
      </c>
      <c r="AU927" s="43">
        <v>2.0594639273857976E-2</v>
      </c>
      <c r="AV927" s="33">
        <v>0</v>
      </c>
      <c r="AW927" s="33">
        <v>0</v>
      </c>
      <c r="AY927" s="36">
        <v>899</v>
      </c>
      <c r="AZ927" s="33">
        <v>5</v>
      </c>
      <c r="BA927" s="33">
        <v>4</v>
      </c>
      <c r="BB927" s="33">
        <v>0</v>
      </c>
      <c r="BC927" s="33">
        <v>1</v>
      </c>
      <c r="BD927" s="43">
        <v>1.0800557147898916E-2</v>
      </c>
      <c r="BE927" s="33">
        <v>0</v>
      </c>
      <c r="BF927" s="33">
        <v>0</v>
      </c>
      <c r="CE927" s="36">
        <v>893</v>
      </c>
      <c r="CF927" s="33">
        <v>10</v>
      </c>
      <c r="CG927" s="33">
        <v>1</v>
      </c>
      <c r="CH927" s="33">
        <v>2</v>
      </c>
      <c r="CI927" s="33">
        <v>1</v>
      </c>
      <c r="CJ927" s="33">
        <v>1</v>
      </c>
      <c r="CK927" s="33">
        <v>1</v>
      </c>
      <c r="CL927" s="33">
        <v>0</v>
      </c>
      <c r="CM927" s="33">
        <v>4</v>
      </c>
      <c r="CN927" s="33">
        <v>1</v>
      </c>
      <c r="CO927" s="33">
        <v>0</v>
      </c>
      <c r="CP927" s="43">
        <v>0.5500778944789646</v>
      </c>
      <c r="CQ927" s="33">
        <v>1</v>
      </c>
      <c r="CR927" s="33">
        <v>1</v>
      </c>
    </row>
    <row r="928" spans="1:96" ht="15" customHeight="1" x14ac:dyDescent="0.25">
      <c r="A928" s="26">
        <v>926</v>
      </c>
      <c r="B928" s="27">
        <v>43</v>
      </c>
      <c r="C928" s="27">
        <v>0</v>
      </c>
      <c r="D928" s="27">
        <v>1</v>
      </c>
      <c r="E928" s="27">
        <v>531</v>
      </c>
      <c r="F928" s="27">
        <v>1</v>
      </c>
      <c r="G928" s="27">
        <v>4</v>
      </c>
      <c r="H928" s="27">
        <v>4</v>
      </c>
      <c r="I928" s="27">
        <v>4</v>
      </c>
      <c r="J928" s="27">
        <v>1</v>
      </c>
      <c r="K928" s="27">
        <v>1293</v>
      </c>
      <c r="L928" s="27">
        <v>4</v>
      </c>
      <c r="M928" s="27">
        <v>0</v>
      </c>
      <c r="N928" s="27">
        <v>56</v>
      </c>
      <c r="O928" s="27">
        <v>2</v>
      </c>
      <c r="P928" s="27">
        <v>3</v>
      </c>
      <c r="Q928" s="27">
        <v>1</v>
      </c>
      <c r="R928" s="27">
        <v>4</v>
      </c>
      <c r="S928" s="27">
        <v>1</v>
      </c>
      <c r="T928" s="27">
        <v>10231</v>
      </c>
      <c r="U928" s="27">
        <v>20364</v>
      </c>
      <c r="V928" s="27">
        <v>3</v>
      </c>
      <c r="W928" s="27">
        <v>0</v>
      </c>
      <c r="X928" s="27">
        <v>14</v>
      </c>
      <c r="Y928" s="27">
        <v>3</v>
      </c>
      <c r="Z928" s="27">
        <v>4</v>
      </c>
      <c r="AA928" s="27">
        <v>80</v>
      </c>
      <c r="AB928" s="27">
        <v>0</v>
      </c>
      <c r="AC928" s="27">
        <v>23</v>
      </c>
      <c r="AD928" s="27">
        <v>3</v>
      </c>
      <c r="AE928" s="27">
        <v>4</v>
      </c>
      <c r="AF928" s="27">
        <v>21</v>
      </c>
      <c r="AG928" s="27">
        <v>7</v>
      </c>
      <c r="AH928" s="27">
        <v>15</v>
      </c>
      <c r="AI928" s="28">
        <v>17</v>
      </c>
      <c r="AK928" s="36">
        <v>895</v>
      </c>
      <c r="AL928" s="33">
        <v>3</v>
      </c>
      <c r="AM928" s="33">
        <v>4</v>
      </c>
      <c r="AN928" s="33">
        <v>4</v>
      </c>
      <c r="AO928" s="33">
        <v>3</v>
      </c>
      <c r="AP928" s="33">
        <v>0</v>
      </c>
      <c r="AQ928" s="33">
        <v>0</v>
      </c>
      <c r="AR928" s="33">
        <v>3</v>
      </c>
      <c r="AS928" s="33">
        <v>10</v>
      </c>
      <c r="AT928" s="33">
        <v>0</v>
      </c>
      <c r="AU928" s="43">
        <v>1.4801239221669907E-2</v>
      </c>
      <c r="AV928" s="33">
        <v>0</v>
      </c>
      <c r="AW928" s="33">
        <v>0</v>
      </c>
      <c r="AY928" s="36">
        <v>900</v>
      </c>
      <c r="AZ928" s="33">
        <v>5</v>
      </c>
      <c r="BA928" s="33">
        <v>3</v>
      </c>
      <c r="BB928" s="33">
        <v>0</v>
      </c>
      <c r="BC928" s="33">
        <v>1</v>
      </c>
      <c r="BD928" s="43">
        <v>1.4415653001325196E-2</v>
      </c>
      <c r="BE928" s="33">
        <v>0</v>
      </c>
      <c r="BF928" s="33">
        <v>0</v>
      </c>
      <c r="CE928" s="36">
        <v>894</v>
      </c>
      <c r="CF928" s="33">
        <v>1</v>
      </c>
      <c r="CG928" s="33">
        <v>1</v>
      </c>
      <c r="CH928" s="33">
        <v>4</v>
      </c>
      <c r="CI928" s="33">
        <v>3</v>
      </c>
      <c r="CJ928" s="33">
        <v>1</v>
      </c>
      <c r="CK928" s="33">
        <v>0</v>
      </c>
      <c r="CL928" s="33">
        <v>3</v>
      </c>
      <c r="CM928" s="33">
        <v>3</v>
      </c>
      <c r="CN928" s="33">
        <v>3</v>
      </c>
      <c r="CO928" s="33">
        <v>1</v>
      </c>
      <c r="CP928" s="43">
        <v>2.202867058562168E-2</v>
      </c>
      <c r="CQ928" s="33">
        <v>0</v>
      </c>
      <c r="CR928" s="33">
        <v>0</v>
      </c>
    </row>
    <row r="929" spans="1:96" ht="15" customHeight="1" x14ac:dyDescent="0.25">
      <c r="A929" s="26">
        <v>927</v>
      </c>
      <c r="B929" s="27">
        <v>36</v>
      </c>
      <c r="C929" s="27">
        <v>0</v>
      </c>
      <c r="D929" s="27">
        <v>1</v>
      </c>
      <c r="E929" s="27">
        <v>429</v>
      </c>
      <c r="F929" s="27">
        <v>2</v>
      </c>
      <c r="G929" s="27">
        <v>2</v>
      </c>
      <c r="H929" s="27">
        <v>4</v>
      </c>
      <c r="I929" s="27">
        <v>1</v>
      </c>
      <c r="J929" s="27">
        <v>1</v>
      </c>
      <c r="K929" s="27">
        <v>1294</v>
      </c>
      <c r="L929" s="27">
        <v>3</v>
      </c>
      <c r="M929" s="27">
        <v>0</v>
      </c>
      <c r="N929" s="27">
        <v>53</v>
      </c>
      <c r="O929" s="27">
        <v>3</v>
      </c>
      <c r="P929" s="27">
        <v>2</v>
      </c>
      <c r="Q929" s="27">
        <v>4</v>
      </c>
      <c r="R929" s="27">
        <v>2</v>
      </c>
      <c r="S929" s="27">
        <v>1</v>
      </c>
      <c r="T929" s="27">
        <v>5410</v>
      </c>
      <c r="U929" s="27">
        <v>2323</v>
      </c>
      <c r="V929" s="27">
        <v>9</v>
      </c>
      <c r="W929" s="27">
        <v>1</v>
      </c>
      <c r="X929" s="27">
        <v>11</v>
      </c>
      <c r="Y929" s="27">
        <v>3</v>
      </c>
      <c r="Z929" s="27">
        <v>4</v>
      </c>
      <c r="AA929" s="27">
        <v>80</v>
      </c>
      <c r="AB929" s="27">
        <v>0</v>
      </c>
      <c r="AC929" s="27">
        <v>18</v>
      </c>
      <c r="AD929" s="27">
        <v>2</v>
      </c>
      <c r="AE929" s="27">
        <v>3</v>
      </c>
      <c r="AF929" s="27">
        <v>16</v>
      </c>
      <c r="AG929" s="27">
        <v>14</v>
      </c>
      <c r="AH929" s="27">
        <v>5</v>
      </c>
      <c r="AI929" s="28">
        <v>12</v>
      </c>
      <c r="AK929" s="36">
        <v>896</v>
      </c>
      <c r="AL929" s="33">
        <v>11</v>
      </c>
      <c r="AM929" s="33">
        <v>2</v>
      </c>
      <c r="AN929" s="33">
        <v>1</v>
      </c>
      <c r="AO929" s="33">
        <v>1</v>
      </c>
      <c r="AP929" s="33">
        <v>1</v>
      </c>
      <c r="AQ929" s="33">
        <v>0</v>
      </c>
      <c r="AR929" s="33">
        <v>2</v>
      </c>
      <c r="AS929" s="33">
        <v>6</v>
      </c>
      <c r="AT929" s="33">
        <v>0</v>
      </c>
      <c r="AU929" s="43">
        <v>0.46965455508732856</v>
      </c>
      <c r="AV929" s="33">
        <v>0</v>
      </c>
      <c r="AW929" s="33">
        <v>0</v>
      </c>
      <c r="AY929" s="36">
        <v>901</v>
      </c>
      <c r="AZ929" s="33">
        <v>1</v>
      </c>
      <c r="BA929" s="33">
        <v>2</v>
      </c>
      <c r="BB929" s="33">
        <v>0</v>
      </c>
      <c r="BC929" s="33">
        <v>0</v>
      </c>
      <c r="BD929" s="43">
        <v>0.23662845161334917</v>
      </c>
      <c r="BE929" s="33">
        <v>0</v>
      </c>
      <c r="BF929" s="33">
        <v>0</v>
      </c>
      <c r="CE929" s="36">
        <v>895</v>
      </c>
      <c r="CF929" s="33">
        <v>3</v>
      </c>
      <c r="CG929" s="33">
        <v>4</v>
      </c>
      <c r="CH929" s="33">
        <v>4</v>
      </c>
      <c r="CI929" s="33">
        <v>2</v>
      </c>
      <c r="CJ929" s="33">
        <v>3</v>
      </c>
      <c r="CK929" s="33">
        <v>0</v>
      </c>
      <c r="CL929" s="33">
        <v>0</v>
      </c>
      <c r="CM929" s="33">
        <v>3</v>
      </c>
      <c r="CN929" s="33">
        <v>10</v>
      </c>
      <c r="CO929" s="33">
        <v>0</v>
      </c>
      <c r="CP929" s="43">
        <v>1.017896085725839E-2</v>
      </c>
      <c r="CQ929" s="33">
        <v>0</v>
      </c>
      <c r="CR929" s="33">
        <v>0</v>
      </c>
    </row>
    <row r="930" spans="1:96" ht="15" customHeight="1" x14ac:dyDescent="0.25">
      <c r="A930" s="26">
        <v>928</v>
      </c>
      <c r="B930" s="27">
        <v>44</v>
      </c>
      <c r="C930" s="27">
        <v>1</v>
      </c>
      <c r="D930" s="27">
        <v>1</v>
      </c>
      <c r="E930" s="27">
        <v>621</v>
      </c>
      <c r="F930" s="27">
        <v>2</v>
      </c>
      <c r="G930" s="27">
        <v>15</v>
      </c>
      <c r="H930" s="27">
        <v>3</v>
      </c>
      <c r="I930" s="27">
        <v>3</v>
      </c>
      <c r="J930" s="27">
        <v>1</v>
      </c>
      <c r="K930" s="27">
        <v>1295</v>
      </c>
      <c r="L930" s="27">
        <v>1</v>
      </c>
      <c r="M930" s="27">
        <v>0</v>
      </c>
      <c r="N930" s="27">
        <v>73</v>
      </c>
      <c r="O930" s="27">
        <v>3</v>
      </c>
      <c r="P930" s="27">
        <v>3</v>
      </c>
      <c r="Q930" s="27">
        <v>5</v>
      </c>
      <c r="R930" s="27">
        <v>4</v>
      </c>
      <c r="S930" s="27">
        <v>2</v>
      </c>
      <c r="T930" s="27">
        <v>7978</v>
      </c>
      <c r="U930" s="27">
        <v>14075</v>
      </c>
      <c r="V930" s="27">
        <v>1</v>
      </c>
      <c r="W930" s="27">
        <v>0</v>
      </c>
      <c r="X930" s="27">
        <v>11</v>
      </c>
      <c r="Y930" s="27">
        <v>3</v>
      </c>
      <c r="Z930" s="27">
        <v>4</v>
      </c>
      <c r="AA930" s="27">
        <v>80</v>
      </c>
      <c r="AB930" s="27">
        <v>1</v>
      </c>
      <c r="AC930" s="27">
        <v>10</v>
      </c>
      <c r="AD930" s="27">
        <v>2</v>
      </c>
      <c r="AE930" s="27">
        <v>3</v>
      </c>
      <c r="AF930" s="27">
        <v>10</v>
      </c>
      <c r="AG930" s="27">
        <v>7</v>
      </c>
      <c r="AH930" s="27">
        <v>0</v>
      </c>
      <c r="AI930" s="28">
        <v>5</v>
      </c>
      <c r="AK930" s="36">
        <v>897</v>
      </c>
      <c r="AL930" s="33">
        <v>24</v>
      </c>
      <c r="AM930" s="33">
        <v>2</v>
      </c>
      <c r="AN930" s="33">
        <v>1</v>
      </c>
      <c r="AO930" s="33">
        <v>1</v>
      </c>
      <c r="AP930" s="33">
        <v>0</v>
      </c>
      <c r="AQ930" s="33">
        <v>0</v>
      </c>
      <c r="AR930" s="33">
        <v>3</v>
      </c>
      <c r="AS930" s="33">
        <v>10</v>
      </c>
      <c r="AT930" s="33">
        <v>1</v>
      </c>
      <c r="AU930" s="43">
        <v>0.17262249354070416</v>
      </c>
      <c r="AV930" s="33">
        <v>0</v>
      </c>
      <c r="AW930" s="33">
        <v>0</v>
      </c>
      <c r="AY930" s="36">
        <v>902</v>
      </c>
      <c r="AZ930" s="33">
        <v>1</v>
      </c>
      <c r="BA930" s="33">
        <v>2</v>
      </c>
      <c r="BB930" s="33">
        <v>0</v>
      </c>
      <c r="BC930" s="33">
        <v>0</v>
      </c>
      <c r="BD930" s="43">
        <v>0.23662845161334917</v>
      </c>
      <c r="BE930" s="33">
        <v>0</v>
      </c>
      <c r="BF930" s="33">
        <v>0</v>
      </c>
      <c r="CE930" s="36">
        <v>896</v>
      </c>
      <c r="CF930" s="33">
        <v>11</v>
      </c>
      <c r="CG930" s="33">
        <v>2</v>
      </c>
      <c r="CH930" s="33">
        <v>1</v>
      </c>
      <c r="CI930" s="33">
        <v>2</v>
      </c>
      <c r="CJ930" s="33">
        <v>1</v>
      </c>
      <c r="CK930" s="33">
        <v>1</v>
      </c>
      <c r="CL930" s="33">
        <v>0</v>
      </c>
      <c r="CM930" s="33">
        <v>2</v>
      </c>
      <c r="CN930" s="33">
        <v>6</v>
      </c>
      <c r="CO930" s="33">
        <v>0</v>
      </c>
      <c r="CP930" s="43">
        <v>0.39764910092096856</v>
      </c>
      <c r="CQ930" s="33">
        <v>0</v>
      </c>
      <c r="CR930" s="33">
        <v>0</v>
      </c>
    </row>
    <row r="931" spans="1:96" ht="15" customHeight="1" x14ac:dyDescent="0.25">
      <c r="A931" s="26">
        <v>929</v>
      </c>
      <c r="B931" s="27">
        <v>28</v>
      </c>
      <c r="C931" s="27">
        <v>0</v>
      </c>
      <c r="D931" s="27">
        <v>2</v>
      </c>
      <c r="E931" s="27">
        <v>193</v>
      </c>
      <c r="F931" s="27">
        <v>2</v>
      </c>
      <c r="G931" s="27">
        <v>2</v>
      </c>
      <c r="H931" s="27">
        <v>3</v>
      </c>
      <c r="I931" s="27">
        <v>1</v>
      </c>
      <c r="J931" s="27">
        <v>1</v>
      </c>
      <c r="K931" s="27">
        <v>1296</v>
      </c>
      <c r="L931" s="27">
        <v>4</v>
      </c>
      <c r="M931" s="27">
        <v>1</v>
      </c>
      <c r="N931" s="27">
        <v>52</v>
      </c>
      <c r="O931" s="27">
        <v>2</v>
      </c>
      <c r="P931" s="27">
        <v>1</v>
      </c>
      <c r="Q931" s="27">
        <v>3</v>
      </c>
      <c r="R931" s="27">
        <v>4</v>
      </c>
      <c r="S931" s="27">
        <v>2</v>
      </c>
      <c r="T931" s="27">
        <v>3867</v>
      </c>
      <c r="U931" s="27">
        <v>14222</v>
      </c>
      <c r="V931" s="27">
        <v>1</v>
      </c>
      <c r="W931" s="27">
        <v>1</v>
      </c>
      <c r="X931" s="27">
        <v>12</v>
      </c>
      <c r="Y931" s="27">
        <v>3</v>
      </c>
      <c r="Z931" s="27">
        <v>2</v>
      </c>
      <c r="AA931" s="27">
        <v>80</v>
      </c>
      <c r="AB931" s="27">
        <v>1</v>
      </c>
      <c r="AC931" s="27">
        <v>2</v>
      </c>
      <c r="AD931" s="27">
        <v>2</v>
      </c>
      <c r="AE931" s="27">
        <v>3</v>
      </c>
      <c r="AF931" s="27">
        <v>2</v>
      </c>
      <c r="AG931" s="27">
        <v>2</v>
      </c>
      <c r="AH931" s="27">
        <v>2</v>
      </c>
      <c r="AI931" s="28">
        <v>2</v>
      </c>
      <c r="AK931" s="36">
        <v>898</v>
      </c>
      <c r="AL931" s="33">
        <v>3</v>
      </c>
      <c r="AM931" s="33">
        <v>2</v>
      </c>
      <c r="AN931" s="33">
        <v>4</v>
      </c>
      <c r="AO931" s="33">
        <v>5</v>
      </c>
      <c r="AP931" s="33">
        <v>0</v>
      </c>
      <c r="AQ931" s="33">
        <v>0</v>
      </c>
      <c r="AR931" s="33">
        <v>3</v>
      </c>
      <c r="AS931" s="33">
        <v>6</v>
      </c>
      <c r="AT931" s="33">
        <v>0</v>
      </c>
      <c r="AU931" s="43">
        <v>6.6696756857419964E-2</v>
      </c>
      <c r="AV931" s="33">
        <v>0</v>
      </c>
      <c r="AW931" s="33">
        <v>0</v>
      </c>
      <c r="AY931" s="36">
        <v>903</v>
      </c>
      <c r="AZ931" s="33">
        <v>1</v>
      </c>
      <c r="BA931" s="33">
        <v>3</v>
      </c>
      <c r="BB931" s="33">
        <v>0</v>
      </c>
      <c r="BC931" s="33">
        <v>3</v>
      </c>
      <c r="BD931" s="43">
        <v>4.5366993313288043E-2</v>
      </c>
      <c r="BE931" s="33">
        <v>0</v>
      </c>
      <c r="BF931" s="33">
        <v>0</v>
      </c>
      <c r="CE931" s="36">
        <v>897</v>
      </c>
      <c r="CF931" s="33">
        <v>24</v>
      </c>
      <c r="CG931" s="33">
        <v>2</v>
      </c>
      <c r="CH931" s="33">
        <v>1</v>
      </c>
      <c r="CI931" s="33">
        <v>1</v>
      </c>
      <c r="CJ931" s="33">
        <v>1</v>
      </c>
      <c r="CK931" s="33">
        <v>0</v>
      </c>
      <c r="CL931" s="33">
        <v>0</v>
      </c>
      <c r="CM931" s="33">
        <v>3</v>
      </c>
      <c r="CN931" s="33">
        <v>10</v>
      </c>
      <c r="CO931" s="33">
        <v>1</v>
      </c>
      <c r="CP931" s="43">
        <v>0.20319782238365425</v>
      </c>
      <c r="CQ931" s="33">
        <v>0</v>
      </c>
      <c r="CR931" s="33">
        <v>0</v>
      </c>
    </row>
    <row r="932" spans="1:96" ht="15" customHeight="1" x14ac:dyDescent="0.25">
      <c r="A932" s="26">
        <v>930</v>
      </c>
      <c r="B932" s="27">
        <v>51</v>
      </c>
      <c r="C932" s="27">
        <v>0</v>
      </c>
      <c r="D932" s="27">
        <v>2</v>
      </c>
      <c r="E932" s="27">
        <v>968</v>
      </c>
      <c r="F932" s="27">
        <v>2</v>
      </c>
      <c r="G932" s="27">
        <v>6</v>
      </c>
      <c r="H932" s="27">
        <v>2</v>
      </c>
      <c r="I932" s="27">
        <v>3</v>
      </c>
      <c r="J932" s="27">
        <v>1</v>
      </c>
      <c r="K932" s="27">
        <v>1297</v>
      </c>
      <c r="L932" s="27">
        <v>2</v>
      </c>
      <c r="M932" s="27">
        <v>0</v>
      </c>
      <c r="N932" s="27">
        <v>40</v>
      </c>
      <c r="O932" s="27">
        <v>2</v>
      </c>
      <c r="P932" s="27">
        <v>1</v>
      </c>
      <c r="Q932" s="27">
        <v>3</v>
      </c>
      <c r="R932" s="27">
        <v>3</v>
      </c>
      <c r="S932" s="27">
        <v>1</v>
      </c>
      <c r="T932" s="27">
        <v>2838</v>
      </c>
      <c r="U932" s="27">
        <v>4257</v>
      </c>
      <c r="V932" s="27">
        <v>0</v>
      </c>
      <c r="W932" s="27">
        <v>0</v>
      </c>
      <c r="X932" s="27">
        <v>14</v>
      </c>
      <c r="Y932" s="27">
        <v>3</v>
      </c>
      <c r="Z932" s="27">
        <v>2</v>
      </c>
      <c r="AA932" s="27">
        <v>80</v>
      </c>
      <c r="AB932" s="27">
        <v>0</v>
      </c>
      <c r="AC932" s="27">
        <v>8</v>
      </c>
      <c r="AD932" s="27">
        <v>6</v>
      </c>
      <c r="AE932" s="27">
        <v>2</v>
      </c>
      <c r="AF932" s="27">
        <v>7</v>
      </c>
      <c r="AG932" s="27">
        <v>0</v>
      </c>
      <c r="AH932" s="27">
        <v>7</v>
      </c>
      <c r="AI932" s="28">
        <v>7</v>
      </c>
      <c r="AK932" s="36">
        <v>899</v>
      </c>
      <c r="AL932" s="33">
        <v>3</v>
      </c>
      <c r="AM932" s="33">
        <v>5</v>
      </c>
      <c r="AN932" s="33">
        <v>4</v>
      </c>
      <c r="AO932" s="33">
        <v>3</v>
      </c>
      <c r="AP932" s="33">
        <v>0</v>
      </c>
      <c r="AQ932" s="33">
        <v>1</v>
      </c>
      <c r="AR932" s="33">
        <v>3</v>
      </c>
      <c r="AS932" s="33">
        <v>8</v>
      </c>
      <c r="AT932" s="33">
        <v>0</v>
      </c>
      <c r="AU932" s="43">
        <v>5.6376951067378242E-3</v>
      </c>
      <c r="AV932" s="33">
        <v>0</v>
      </c>
      <c r="AW932" s="33">
        <v>0</v>
      </c>
      <c r="AY932" s="36">
        <v>904</v>
      </c>
      <c r="AZ932" s="33">
        <v>2</v>
      </c>
      <c r="BA932" s="33">
        <v>4</v>
      </c>
      <c r="BB932" s="33">
        <v>1</v>
      </c>
      <c r="BC932" s="33">
        <v>2</v>
      </c>
      <c r="BD932" s="43">
        <v>0.12819971414072456</v>
      </c>
      <c r="BE932" s="33">
        <v>0</v>
      </c>
      <c r="BF932" s="33">
        <v>0</v>
      </c>
      <c r="CE932" s="36">
        <v>898</v>
      </c>
      <c r="CF932" s="33">
        <v>3</v>
      </c>
      <c r="CG932" s="33">
        <v>2</v>
      </c>
      <c r="CH932" s="33">
        <v>4</v>
      </c>
      <c r="CI932" s="33">
        <v>1</v>
      </c>
      <c r="CJ932" s="33">
        <v>5</v>
      </c>
      <c r="CK932" s="33">
        <v>0</v>
      </c>
      <c r="CL932" s="33">
        <v>0</v>
      </c>
      <c r="CM932" s="33">
        <v>3</v>
      </c>
      <c r="CN932" s="33">
        <v>6</v>
      </c>
      <c r="CO932" s="33">
        <v>0</v>
      </c>
      <c r="CP932" s="43">
        <v>7.7197153956913567E-2</v>
      </c>
      <c r="CQ932" s="33">
        <v>0</v>
      </c>
      <c r="CR932" s="33">
        <v>0</v>
      </c>
    </row>
    <row r="933" spans="1:96" ht="15" customHeight="1" x14ac:dyDescent="0.25">
      <c r="A933" s="26">
        <v>931</v>
      </c>
      <c r="B933" s="27">
        <v>30</v>
      </c>
      <c r="C933" s="27">
        <v>0</v>
      </c>
      <c r="D933" s="27">
        <v>3</v>
      </c>
      <c r="E933" s="27">
        <v>879</v>
      </c>
      <c r="F933" s="27">
        <v>2</v>
      </c>
      <c r="G933" s="27">
        <v>9</v>
      </c>
      <c r="H933" s="27">
        <v>2</v>
      </c>
      <c r="I933" s="27">
        <v>3</v>
      </c>
      <c r="J933" s="27">
        <v>1</v>
      </c>
      <c r="K933" s="27">
        <v>1298</v>
      </c>
      <c r="L933" s="27">
        <v>3</v>
      </c>
      <c r="M933" s="27">
        <v>0</v>
      </c>
      <c r="N933" s="27">
        <v>72</v>
      </c>
      <c r="O933" s="27">
        <v>3</v>
      </c>
      <c r="P933" s="27">
        <v>2</v>
      </c>
      <c r="Q933" s="27">
        <v>4</v>
      </c>
      <c r="R933" s="27">
        <v>3</v>
      </c>
      <c r="S933" s="27">
        <v>1</v>
      </c>
      <c r="T933" s="27">
        <v>4695</v>
      </c>
      <c r="U933" s="27">
        <v>12858</v>
      </c>
      <c r="V933" s="27">
        <v>7</v>
      </c>
      <c r="W933" s="27">
        <v>1</v>
      </c>
      <c r="X933" s="27">
        <v>18</v>
      </c>
      <c r="Y933" s="27">
        <v>3</v>
      </c>
      <c r="Z933" s="27">
        <v>3</v>
      </c>
      <c r="AA933" s="27">
        <v>80</v>
      </c>
      <c r="AB933" s="27">
        <v>0</v>
      </c>
      <c r="AC933" s="27">
        <v>10</v>
      </c>
      <c r="AD933" s="27">
        <v>3</v>
      </c>
      <c r="AE933" s="27">
        <v>3</v>
      </c>
      <c r="AF933" s="27">
        <v>8</v>
      </c>
      <c r="AG933" s="27">
        <v>4</v>
      </c>
      <c r="AH933" s="27">
        <v>1</v>
      </c>
      <c r="AI933" s="28">
        <v>7</v>
      </c>
      <c r="AK933" s="36">
        <v>900</v>
      </c>
      <c r="AL933" s="33">
        <v>4</v>
      </c>
      <c r="AM933" s="33">
        <v>5</v>
      </c>
      <c r="AN933" s="33">
        <v>3</v>
      </c>
      <c r="AO933" s="33">
        <v>2</v>
      </c>
      <c r="AP933" s="33">
        <v>0</v>
      </c>
      <c r="AQ933" s="33">
        <v>1</v>
      </c>
      <c r="AR933" s="33">
        <v>4</v>
      </c>
      <c r="AS933" s="33">
        <v>1</v>
      </c>
      <c r="AT933" s="33">
        <v>0</v>
      </c>
      <c r="AU933" s="43">
        <v>9.3893136296145131E-3</v>
      </c>
      <c r="AV933" s="33">
        <v>0</v>
      </c>
      <c r="AW933" s="33">
        <v>0</v>
      </c>
      <c r="AY933" s="36">
        <v>905</v>
      </c>
      <c r="AZ933" s="33">
        <v>5</v>
      </c>
      <c r="BA933" s="33">
        <v>4</v>
      </c>
      <c r="BB933" s="33">
        <v>0</v>
      </c>
      <c r="BC933" s="33">
        <v>0</v>
      </c>
      <c r="BD933" s="43">
        <v>1.8169729095294188E-2</v>
      </c>
      <c r="BE933" s="33">
        <v>0</v>
      </c>
      <c r="BF933" s="33">
        <v>0</v>
      </c>
      <c r="CE933" s="36">
        <v>899</v>
      </c>
      <c r="CF933" s="33">
        <v>3</v>
      </c>
      <c r="CG933" s="33">
        <v>5</v>
      </c>
      <c r="CH933" s="33">
        <v>4</v>
      </c>
      <c r="CI933" s="33">
        <v>2</v>
      </c>
      <c r="CJ933" s="33">
        <v>3</v>
      </c>
      <c r="CK933" s="33">
        <v>0</v>
      </c>
      <c r="CL933" s="33">
        <v>1</v>
      </c>
      <c r="CM933" s="33">
        <v>3</v>
      </c>
      <c r="CN933" s="33">
        <v>8</v>
      </c>
      <c r="CO933" s="33">
        <v>0</v>
      </c>
      <c r="CP933" s="43">
        <v>5.5118069955082767E-3</v>
      </c>
      <c r="CQ933" s="33">
        <v>0</v>
      </c>
      <c r="CR933" s="33">
        <v>0</v>
      </c>
    </row>
    <row r="934" spans="1:96" ht="15" customHeight="1" x14ac:dyDescent="0.25">
      <c r="A934" s="26">
        <v>932</v>
      </c>
      <c r="B934" s="27">
        <v>29</v>
      </c>
      <c r="C934" s="27">
        <v>1</v>
      </c>
      <c r="D934" s="27">
        <v>1</v>
      </c>
      <c r="E934" s="27">
        <v>806</v>
      </c>
      <c r="F934" s="27">
        <v>2</v>
      </c>
      <c r="G934" s="27">
        <v>7</v>
      </c>
      <c r="H934" s="27">
        <v>3</v>
      </c>
      <c r="I934" s="27">
        <v>5</v>
      </c>
      <c r="J934" s="27">
        <v>1</v>
      </c>
      <c r="K934" s="27">
        <v>1299</v>
      </c>
      <c r="L934" s="27">
        <v>2</v>
      </c>
      <c r="M934" s="27">
        <v>0</v>
      </c>
      <c r="N934" s="27">
        <v>39</v>
      </c>
      <c r="O934" s="27">
        <v>3</v>
      </c>
      <c r="P934" s="27">
        <v>1</v>
      </c>
      <c r="Q934" s="27">
        <v>3</v>
      </c>
      <c r="R934" s="27">
        <v>3</v>
      </c>
      <c r="S934" s="27">
        <v>3</v>
      </c>
      <c r="T934" s="27">
        <v>3339</v>
      </c>
      <c r="U934" s="27">
        <v>17285</v>
      </c>
      <c r="V934" s="27">
        <v>3</v>
      </c>
      <c r="W934" s="27">
        <v>1</v>
      </c>
      <c r="X934" s="27">
        <v>13</v>
      </c>
      <c r="Y934" s="27">
        <v>3</v>
      </c>
      <c r="Z934" s="27">
        <v>1</v>
      </c>
      <c r="AA934" s="27">
        <v>80</v>
      </c>
      <c r="AB934" s="27">
        <v>2</v>
      </c>
      <c r="AC934" s="27">
        <v>10</v>
      </c>
      <c r="AD934" s="27">
        <v>2</v>
      </c>
      <c r="AE934" s="27">
        <v>3</v>
      </c>
      <c r="AF934" s="27">
        <v>7</v>
      </c>
      <c r="AG934" s="27">
        <v>7</v>
      </c>
      <c r="AH934" s="27">
        <v>7</v>
      </c>
      <c r="AI934" s="28">
        <v>7</v>
      </c>
      <c r="AK934" s="36">
        <v>901</v>
      </c>
      <c r="AL934" s="33">
        <v>3</v>
      </c>
      <c r="AM934" s="33">
        <v>1</v>
      </c>
      <c r="AN934" s="33">
        <v>2</v>
      </c>
      <c r="AO934" s="33">
        <v>1</v>
      </c>
      <c r="AP934" s="33">
        <v>0</v>
      </c>
      <c r="AQ934" s="33">
        <v>0</v>
      </c>
      <c r="AR934" s="33">
        <v>2</v>
      </c>
      <c r="AS934" s="33">
        <v>11</v>
      </c>
      <c r="AT934" s="33">
        <v>0</v>
      </c>
      <c r="AU934" s="43">
        <v>0.12272470227397994</v>
      </c>
      <c r="AV934" s="33">
        <v>0</v>
      </c>
      <c r="AW934" s="33">
        <v>0</v>
      </c>
      <c r="AY934" s="36">
        <v>906</v>
      </c>
      <c r="AZ934" s="33">
        <v>4</v>
      </c>
      <c r="BA934" s="33">
        <v>4</v>
      </c>
      <c r="BB934" s="33">
        <v>0</v>
      </c>
      <c r="BC934" s="33">
        <v>2</v>
      </c>
      <c r="BD934" s="43">
        <v>1.1134365374459958E-2</v>
      </c>
      <c r="BE934" s="33">
        <v>0</v>
      </c>
      <c r="BF934" s="33">
        <v>0</v>
      </c>
      <c r="CE934" s="36">
        <v>900</v>
      </c>
      <c r="CF934" s="33">
        <v>4</v>
      </c>
      <c r="CG934" s="33">
        <v>5</v>
      </c>
      <c r="CH934" s="33">
        <v>3</v>
      </c>
      <c r="CI934" s="33">
        <v>2</v>
      </c>
      <c r="CJ934" s="33">
        <v>2</v>
      </c>
      <c r="CK934" s="33">
        <v>0</v>
      </c>
      <c r="CL934" s="33">
        <v>1</v>
      </c>
      <c r="CM934" s="33">
        <v>4</v>
      </c>
      <c r="CN934" s="33">
        <v>1</v>
      </c>
      <c r="CO934" s="33">
        <v>0</v>
      </c>
      <c r="CP934" s="43">
        <v>9.2156518543756363E-3</v>
      </c>
      <c r="CQ934" s="33">
        <v>0</v>
      </c>
      <c r="CR934" s="33">
        <v>0</v>
      </c>
    </row>
    <row r="935" spans="1:96" ht="15" customHeight="1" x14ac:dyDescent="0.25">
      <c r="A935" s="26">
        <v>933</v>
      </c>
      <c r="B935" s="27">
        <v>28</v>
      </c>
      <c r="C935" s="27">
        <v>0</v>
      </c>
      <c r="D935" s="27">
        <v>1</v>
      </c>
      <c r="E935" s="27">
        <v>640</v>
      </c>
      <c r="F935" s="27">
        <v>2</v>
      </c>
      <c r="G935" s="27">
        <v>1</v>
      </c>
      <c r="H935" s="27">
        <v>3</v>
      </c>
      <c r="I935" s="27">
        <v>5</v>
      </c>
      <c r="J935" s="27">
        <v>1</v>
      </c>
      <c r="K935" s="27">
        <v>1301</v>
      </c>
      <c r="L935" s="27">
        <v>4</v>
      </c>
      <c r="M935" s="27">
        <v>1</v>
      </c>
      <c r="N935" s="27">
        <v>84</v>
      </c>
      <c r="O935" s="27">
        <v>3</v>
      </c>
      <c r="P935" s="27">
        <v>1</v>
      </c>
      <c r="Q935" s="27">
        <v>2</v>
      </c>
      <c r="R935" s="27">
        <v>1</v>
      </c>
      <c r="S935" s="27">
        <v>1</v>
      </c>
      <c r="T935" s="27">
        <v>2080</v>
      </c>
      <c r="U935" s="27">
        <v>4732</v>
      </c>
      <c r="V935" s="27">
        <v>2</v>
      </c>
      <c r="W935" s="27">
        <v>0</v>
      </c>
      <c r="X935" s="27">
        <v>11</v>
      </c>
      <c r="Y935" s="27">
        <v>3</v>
      </c>
      <c r="Z935" s="27">
        <v>2</v>
      </c>
      <c r="AA935" s="27">
        <v>80</v>
      </c>
      <c r="AB935" s="27">
        <v>0</v>
      </c>
      <c r="AC935" s="27">
        <v>5</v>
      </c>
      <c r="AD935" s="27">
        <v>2</v>
      </c>
      <c r="AE935" s="27">
        <v>2</v>
      </c>
      <c r="AF935" s="27">
        <v>3</v>
      </c>
      <c r="AG935" s="27">
        <v>2</v>
      </c>
      <c r="AH935" s="27">
        <v>1</v>
      </c>
      <c r="AI935" s="28">
        <v>2</v>
      </c>
      <c r="AK935" s="36">
        <v>902</v>
      </c>
      <c r="AL935" s="33">
        <v>2</v>
      </c>
      <c r="AM935" s="33">
        <v>1</v>
      </c>
      <c r="AN935" s="33">
        <v>2</v>
      </c>
      <c r="AO935" s="33">
        <v>5</v>
      </c>
      <c r="AP935" s="33">
        <v>0</v>
      </c>
      <c r="AQ935" s="33">
        <v>0</v>
      </c>
      <c r="AR935" s="33">
        <v>2</v>
      </c>
      <c r="AS935" s="33">
        <v>1</v>
      </c>
      <c r="AT935" s="33">
        <v>0</v>
      </c>
      <c r="AU935" s="43">
        <v>0.28019148758388485</v>
      </c>
      <c r="AV935" s="33">
        <v>0</v>
      </c>
      <c r="AW935" s="33">
        <v>0</v>
      </c>
      <c r="AY935" s="36">
        <v>907</v>
      </c>
      <c r="AZ935" s="33">
        <v>1</v>
      </c>
      <c r="BA935" s="33">
        <v>3</v>
      </c>
      <c r="BB935" s="33">
        <v>0</v>
      </c>
      <c r="BC935" s="33">
        <v>0</v>
      </c>
      <c r="BD935" s="43">
        <v>0.18791247240909698</v>
      </c>
      <c r="BE935" s="33">
        <v>0</v>
      </c>
      <c r="BF935" s="33">
        <v>0</v>
      </c>
      <c r="CE935" s="36">
        <v>901</v>
      </c>
      <c r="CF935" s="33">
        <v>3</v>
      </c>
      <c r="CG935" s="33">
        <v>1</v>
      </c>
      <c r="CH935" s="33">
        <v>2</v>
      </c>
      <c r="CI935" s="33">
        <v>2</v>
      </c>
      <c r="CJ935" s="33">
        <v>1</v>
      </c>
      <c r="CK935" s="33">
        <v>0</v>
      </c>
      <c r="CL935" s="33">
        <v>0</v>
      </c>
      <c r="CM935" s="33">
        <v>2</v>
      </c>
      <c r="CN935" s="33">
        <v>11</v>
      </c>
      <c r="CO935" s="33">
        <v>0</v>
      </c>
      <c r="CP935" s="43">
        <v>8.8613774220914154E-2</v>
      </c>
      <c r="CQ935" s="33">
        <v>0</v>
      </c>
      <c r="CR935" s="33">
        <v>0</v>
      </c>
    </row>
    <row r="936" spans="1:96" ht="15" customHeight="1" x14ac:dyDescent="0.25">
      <c r="A936" s="26">
        <v>934</v>
      </c>
      <c r="B936" s="27">
        <v>25</v>
      </c>
      <c r="C936" s="27">
        <v>0</v>
      </c>
      <c r="D936" s="27">
        <v>1</v>
      </c>
      <c r="E936" s="27">
        <v>266</v>
      </c>
      <c r="F936" s="27">
        <v>2</v>
      </c>
      <c r="G936" s="27">
        <v>1</v>
      </c>
      <c r="H936" s="27">
        <v>3</v>
      </c>
      <c r="I936" s="27">
        <v>3</v>
      </c>
      <c r="J936" s="27">
        <v>1</v>
      </c>
      <c r="K936" s="27">
        <v>1303</v>
      </c>
      <c r="L936" s="27">
        <v>4</v>
      </c>
      <c r="M936" s="27">
        <v>0</v>
      </c>
      <c r="N936" s="27">
        <v>40</v>
      </c>
      <c r="O936" s="27">
        <v>3</v>
      </c>
      <c r="P936" s="27">
        <v>1</v>
      </c>
      <c r="Q936" s="27">
        <v>2</v>
      </c>
      <c r="R936" s="27">
        <v>2</v>
      </c>
      <c r="S936" s="27">
        <v>1</v>
      </c>
      <c r="T936" s="27">
        <v>2096</v>
      </c>
      <c r="U936" s="27">
        <v>18830</v>
      </c>
      <c r="V936" s="27">
        <v>1</v>
      </c>
      <c r="W936" s="27">
        <v>0</v>
      </c>
      <c r="X936" s="27">
        <v>18</v>
      </c>
      <c r="Y936" s="27">
        <v>3</v>
      </c>
      <c r="Z936" s="27">
        <v>4</v>
      </c>
      <c r="AA936" s="27">
        <v>80</v>
      </c>
      <c r="AB936" s="27">
        <v>0</v>
      </c>
      <c r="AC936" s="27">
        <v>2</v>
      </c>
      <c r="AD936" s="27">
        <v>3</v>
      </c>
      <c r="AE936" s="27">
        <v>2</v>
      </c>
      <c r="AF936" s="27">
        <v>2</v>
      </c>
      <c r="AG936" s="27">
        <v>2</v>
      </c>
      <c r="AH936" s="27">
        <v>2</v>
      </c>
      <c r="AI936" s="28">
        <v>1</v>
      </c>
      <c r="AK936" s="36">
        <v>903</v>
      </c>
      <c r="AL936" s="33">
        <v>4</v>
      </c>
      <c r="AM936" s="33">
        <v>1</v>
      </c>
      <c r="AN936" s="33">
        <v>3</v>
      </c>
      <c r="AO936" s="33">
        <v>1</v>
      </c>
      <c r="AP936" s="33">
        <v>0</v>
      </c>
      <c r="AQ936" s="33">
        <v>3</v>
      </c>
      <c r="AR936" s="33">
        <v>3</v>
      </c>
      <c r="AS936" s="33">
        <v>5</v>
      </c>
      <c r="AT936" s="33">
        <v>0</v>
      </c>
      <c r="AU936" s="43">
        <v>2.3509960092282137E-2</v>
      </c>
      <c r="AV936" s="33">
        <v>0</v>
      </c>
      <c r="AW936" s="33">
        <v>0</v>
      </c>
      <c r="AY936" s="36">
        <v>908</v>
      </c>
      <c r="AZ936" s="33">
        <v>5</v>
      </c>
      <c r="BA936" s="33">
        <v>2</v>
      </c>
      <c r="BB936" s="33">
        <v>0</v>
      </c>
      <c r="BC936" s="33">
        <v>1</v>
      </c>
      <c r="BD936" s="43">
        <v>1.9217264220459749E-2</v>
      </c>
      <c r="BE936" s="33">
        <v>0</v>
      </c>
      <c r="BF936" s="33">
        <v>0</v>
      </c>
      <c r="CE936" s="36">
        <v>902</v>
      </c>
      <c r="CF936" s="33">
        <v>2</v>
      </c>
      <c r="CG936" s="33">
        <v>1</v>
      </c>
      <c r="CH936" s="33">
        <v>2</v>
      </c>
      <c r="CI936" s="33">
        <v>1</v>
      </c>
      <c r="CJ936" s="33">
        <v>5</v>
      </c>
      <c r="CK936" s="33">
        <v>0</v>
      </c>
      <c r="CL936" s="33">
        <v>0</v>
      </c>
      <c r="CM936" s="33">
        <v>2</v>
      </c>
      <c r="CN936" s="33">
        <v>1</v>
      </c>
      <c r="CO936" s="33">
        <v>0</v>
      </c>
      <c r="CP936" s="43">
        <v>0.32267227033912932</v>
      </c>
      <c r="CQ936" s="33">
        <v>0</v>
      </c>
      <c r="CR936" s="33">
        <v>0</v>
      </c>
    </row>
    <row r="937" spans="1:96" ht="15" customHeight="1" x14ac:dyDescent="0.25">
      <c r="A937" s="26">
        <v>935</v>
      </c>
      <c r="B937" s="27">
        <v>32</v>
      </c>
      <c r="C937" s="27">
        <v>0</v>
      </c>
      <c r="D937" s="27">
        <v>1</v>
      </c>
      <c r="E937" s="27">
        <v>604</v>
      </c>
      <c r="F937" s="27">
        <v>1</v>
      </c>
      <c r="G937" s="27">
        <v>8</v>
      </c>
      <c r="H937" s="27">
        <v>3</v>
      </c>
      <c r="I937" s="27">
        <v>3</v>
      </c>
      <c r="J937" s="27">
        <v>1</v>
      </c>
      <c r="K937" s="27">
        <v>1304</v>
      </c>
      <c r="L937" s="27">
        <v>3</v>
      </c>
      <c r="M937" s="27">
        <v>1</v>
      </c>
      <c r="N937" s="27">
        <v>56</v>
      </c>
      <c r="O937" s="27">
        <v>4</v>
      </c>
      <c r="P937" s="27">
        <v>2</v>
      </c>
      <c r="Q937" s="27">
        <v>1</v>
      </c>
      <c r="R937" s="27">
        <v>4</v>
      </c>
      <c r="S937" s="27">
        <v>2</v>
      </c>
      <c r="T937" s="27">
        <v>6209</v>
      </c>
      <c r="U937" s="27">
        <v>11693</v>
      </c>
      <c r="V937" s="27">
        <v>1</v>
      </c>
      <c r="W937" s="27">
        <v>0</v>
      </c>
      <c r="X937" s="27">
        <v>15</v>
      </c>
      <c r="Y937" s="27">
        <v>3</v>
      </c>
      <c r="Z937" s="27">
        <v>3</v>
      </c>
      <c r="AA937" s="27">
        <v>80</v>
      </c>
      <c r="AB937" s="27">
        <v>2</v>
      </c>
      <c r="AC937" s="27">
        <v>10</v>
      </c>
      <c r="AD937" s="27">
        <v>4</v>
      </c>
      <c r="AE937" s="27">
        <v>4</v>
      </c>
      <c r="AF937" s="27">
        <v>10</v>
      </c>
      <c r="AG937" s="27">
        <v>7</v>
      </c>
      <c r="AH937" s="27">
        <v>0</v>
      </c>
      <c r="AI937" s="28">
        <v>8</v>
      </c>
      <c r="AK937" s="36">
        <v>904</v>
      </c>
      <c r="AL937" s="33">
        <v>7</v>
      </c>
      <c r="AM937" s="33">
        <v>2</v>
      </c>
      <c r="AN937" s="33">
        <v>4</v>
      </c>
      <c r="AO937" s="33">
        <v>1</v>
      </c>
      <c r="AP937" s="33">
        <v>1</v>
      </c>
      <c r="AQ937" s="33">
        <v>2</v>
      </c>
      <c r="AR937" s="33">
        <v>3</v>
      </c>
      <c r="AS937" s="33">
        <v>6</v>
      </c>
      <c r="AT937" s="33">
        <v>1</v>
      </c>
      <c r="AU937" s="43">
        <v>8.4278316432563852E-2</v>
      </c>
      <c r="AV937" s="33">
        <v>0</v>
      </c>
      <c r="AW937" s="33">
        <v>0</v>
      </c>
      <c r="AY937" s="36">
        <v>909</v>
      </c>
      <c r="AZ937" s="33">
        <v>3</v>
      </c>
      <c r="BA937" s="33">
        <v>3</v>
      </c>
      <c r="BB937" s="33">
        <v>1</v>
      </c>
      <c r="BC937" s="33">
        <v>2</v>
      </c>
      <c r="BD937" s="43">
        <v>0.1012869927663855</v>
      </c>
      <c r="BE937" s="33">
        <v>0</v>
      </c>
      <c r="BF937" s="33">
        <v>0</v>
      </c>
      <c r="CE937" s="36">
        <v>903</v>
      </c>
      <c r="CF937" s="33">
        <v>4</v>
      </c>
      <c r="CG937" s="33">
        <v>1</v>
      </c>
      <c r="CH937" s="33">
        <v>3</v>
      </c>
      <c r="CI937" s="33">
        <v>3</v>
      </c>
      <c r="CJ937" s="33">
        <v>1</v>
      </c>
      <c r="CK937" s="33">
        <v>0</v>
      </c>
      <c r="CL937" s="33">
        <v>3</v>
      </c>
      <c r="CM937" s="33">
        <v>3</v>
      </c>
      <c r="CN937" s="33">
        <v>5</v>
      </c>
      <c r="CO937" s="33">
        <v>0</v>
      </c>
      <c r="CP937" s="43">
        <v>2.5470360592115993E-2</v>
      </c>
      <c r="CQ937" s="33">
        <v>0</v>
      </c>
      <c r="CR937" s="33">
        <v>0</v>
      </c>
    </row>
    <row r="938" spans="1:96" ht="15" customHeight="1" x14ac:dyDescent="0.25">
      <c r="A938" s="26">
        <v>936</v>
      </c>
      <c r="B938" s="27">
        <v>45</v>
      </c>
      <c r="C938" s="27">
        <v>0</v>
      </c>
      <c r="D938" s="27">
        <v>2</v>
      </c>
      <c r="E938" s="27">
        <v>364</v>
      </c>
      <c r="F938" s="27">
        <v>2</v>
      </c>
      <c r="G938" s="27">
        <v>25</v>
      </c>
      <c r="H938" s="27">
        <v>3</v>
      </c>
      <c r="I938" s="27">
        <v>3</v>
      </c>
      <c r="J938" s="27">
        <v>1</v>
      </c>
      <c r="K938" s="27">
        <v>1306</v>
      </c>
      <c r="L938" s="27">
        <v>2</v>
      </c>
      <c r="M938" s="27">
        <v>0</v>
      </c>
      <c r="N938" s="27">
        <v>83</v>
      </c>
      <c r="O938" s="27">
        <v>3</v>
      </c>
      <c r="P938" s="27">
        <v>5</v>
      </c>
      <c r="Q938" s="27">
        <v>6</v>
      </c>
      <c r="R938" s="27">
        <v>2</v>
      </c>
      <c r="S938" s="27">
        <v>1</v>
      </c>
      <c r="T938" s="27">
        <v>18061</v>
      </c>
      <c r="U938" s="27">
        <v>13035</v>
      </c>
      <c r="V938" s="27">
        <v>3</v>
      </c>
      <c r="W938" s="27">
        <v>0</v>
      </c>
      <c r="X938" s="27">
        <v>22</v>
      </c>
      <c r="Y938" s="27">
        <v>4</v>
      </c>
      <c r="Z938" s="27">
        <v>3</v>
      </c>
      <c r="AA938" s="27">
        <v>80</v>
      </c>
      <c r="AB938" s="27">
        <v>0</v>
      </c>
      <c r="AC938" s="27">
        <v>22</v>
      </c>
      <c r="AD938" s="27">
        <v>4</v>
      </c>
      <c r="AE938" s="27">
        <v>3</v>
      </c>
      <c r="AF938" s="27">
        <v>0</v>
      </c>
      <c r="AG938" s="27">
        <v>0</v>
      </c>
      <c r="AH938" s="27">
        <v>0</v>
      </c>
      <c r="AI938" s="28">
        <v>0</v>
      </c>
      <c r="AK938" s="36">
        <v>905</v>
      </c>
      <c r="AL938" s="33">
        <v>1</v>
      </c>
      <c r="AM938" s="33">
        <v>5</v>
      </c>
      <c r="AN938" s="33">
        <v>4</v>
      </c>
      <c r="AO938" s="33">
        <v>6</v>
      </c>
      <c r="AP938" s="33">
        <v>0</v>
      </c>
      <c r="AQ938" s="33">
        <v>0</v>
      </c>
      <c r="AR938" s="33">
        <v>4</v>
      </c>
      <c r="AS938" s="33">
        <v>1</v>
      </c>
      <c r="AT938" s="33">
        <v>0</v>
      </c>
      <c r="AU938" s="43">
        <v>1.5540944626664728E-2</v>
      </c>
      <c r="AV938" s="33">
        <v>0</v>
      </c>
      <c r="AW938" s="33">
        <v>0</v>
      </c>
      <c r="AY938" s="36">
        <v>910</v>
      </c>
      <c r="AZ938" s="33">
        <v>1</v>
      </c>
      <c r="BA938" s="33">
        <v>4</v>
      </c>
      <c r="BB938" s="33">
        <v>1</v>
      </c>
      <c r="BC938" s="33">
        <v>0</v>
      </c>
      <c r="BD938" s="43">
        <v>0.42475472169672474</v>
      </c>
      <c r="BE938" s="33">
        <v>0</v>
      </c>
      <c r="BF938" s="33">
        <v>0</v>
      </c>
      <c r="CE938" s="36">
        <v>904</v>
      </c>
      <c r="CF938" s="33">
        <v>7</v>
      </c>
      <c r="CG938" s="33">
        <v>2</v>
      </c>
      <c r="CH938" s="33">
        <v>4</v>
      </c>
      <c r="CI938" s="33">
        <v>3</v>
      </c>
      <c r="CJ938" s="33">
        <v>1</v>
      </c>
      <c r="CK938" s="33">
        <v>1</v>
      </c>
      <c r="CL938" s="33">
        <v>2</v>
      </c>
      <c r="CM938" s="33">
        <v>3</v>
      </c>
      <c r="CN938" s="33">
        <v>6</v>
      </c>
      <c r="CO938" s="33">
        <v>1</v>
      </c>
      <c r="CP938" s="43">
        <v>6.8334177299349944E-2</v>
      </c>
      <c r="CQ938" s="33">
        <v>0</v>
      </c>
      <c r="CR938" s="33">
        <v>0</v>
      </c>
    </row>
    <row r="939" spans="1:96" ht="15" customHeight="1" x14ac:dyDescent="0.25">
      <c r="A939" s="26">
        <v>937</v>
      </c>
      <c r="B939" s="27">
        <v>39</v>
      </c>
      <c r="C939" s="27">
        <v>0</v>
      </c>
      <c r="D939" s="27">
        <v>1</v>
      </c>
      <c r="E939" s="27">
        <v>412</v>
      </c>
      <c r="F939" s="27">
        <v>2</v>
      </c>
      <c r="G939" s="27">
        <v>13</v>
      </c>
      <c r="H939" s="27">
        <v>4</v>
      </c>
      <c r="I939" s="27">
        <v>3</v>
      </c>
      <c r="J939" s="27">
        <v>1</v>
      </c>
      <c r="K939" s="27">
        <v>1307</v>
      </c>
      <c r="L939" s="27">
        <v>3</v>
      </c>
      <c r="M939" s="27">
        <v>0</v>
      </c>
      <c r="N939" s="27">
        <v>94</v>
      </c>
      <c r="O939" s="27">
        <v>2</v>
      </c>
      <c r="P939" s="27">
        <v>4</v>
      </c>
      <c r="Q939" s="27">
        <v>6</v>
      </c>
      <c r="R939" s="27">
        <v>2</v>
      </c>
      <c r="S939" s="27">
        <v>3</v>
      </c>
      <c r="T939" s="27">
        <v>17123</v>
      </c>
      <c r="U939" s="27">
        <v>17334</v>
      </c>
      <c r="V939" s="27">
        <v>6</v>
      </c>
      <c r="W939" s="27">
        <v>1</v>
      </c>
      <c r="X939" s="27">
        <v>13</v>
      </c>
      <c r="Y939" s="27">
        <v>3</v>
      </c>
      <c r="Z939" s="27">
        <v>4</v>
      </c>
      <c r="AA939" s="27">
        <v>80</v>
      </c>
      <c r="AB939" s="27">
        <v>2</v>
      </c>
      <c r="AC939" s="27">
        <v>21</v>
      </c>
      <c r="AD939" s="27">
        <v>4</v>
      </c>
      <c r="AE939" s="27">
        <v>3</v>
      </c>
      <c r="AF939" s="27">
        <v>19</v>
      </c>
      <c r="AG939" s="27">
        <v>9</v>
      </c>
      <c r="AH939" s="27">
        <v>15</v>
      </c>
      <c r="AI939" s="28">
        <v>2</v>
      </c>
      <c r="AK939" s="36">
        <v>906</v>
      </c>
      <c r="AL939" s="33">
        <v>1</v>
      </c>
      <c r="AM939" s="33">
        <v>4</v>
      </c>
      <c r="AN939" s="33">
        <v>4</v>
      </c>
      <c r="AO939" s="33">
        <v>3</v>
      </c>
      <c r="AP939" s="33">
        <v>0</v>
      </c>
      <c r="AQ939" s="33">
        <v>2</v>
      </c>
      <c r="AR939" s="33">
        <v>2</v>
      </c>
      <c r="AS939" s="33">
        <v>7</v>
      </c>
      <c r="AT939" s="33">
        <v>1</v>
      </c>
      <c r="AU939" s="43">
        <v>7.8649093784005537E-3</v>
      </c>
      <c r="AV939" s="33">
        <v>0</v>
      </c>
      <c r="AW939" s="33">
        <v>0</v>
      </c>
      <c r="AY939" s="36">
        <v>911</v>
      </c>
      <c r="AZ939" s="33">
        <v>1</v>
      </c>
      <c r="BA939" s="33">
        <v>3</v>
      </c>
      <c r="BB939" s="33">
        <v>0</v>
      </c>
      <c r="BC939" s="33">
        <v>1</v>
      </c>
      <c r="BD939" s="43">
        <v>0.12012271365792118</v>
      </c>
      <c r="BE939" s="33">
        <v>0</v>
      </c>
      <c r="BF939" s="33">
        <v>0</v>
      </c>
      <c r="CE939" s="36">
        <v>905</v>
      </c>
      <c r="CF939" s="33">
        <v>1</v>
      </c>
      <c r="CG939" s="33">
        <v>5</v>
      </c>
      <c r="CH939" s="33">
        <v>4</v>
      </c>
      <c r="CI939" s="33">
        <v>1</v>
      </c>
      <c r="CJ939" s="33">
        <v>6</v>
      </c>
      <c r="CK939" s="33">
        <v>0</v>
      </c>
      <c r="CL939" s="33">
        <v>0</v>
      </c>
      <c r="CM939" s="33">
        <v>4</v>
      </c>
      <c r="CN939" s="33">
        <v>1</v>
      </c>
      <c r="CO939" s="33">
        <v>0</v>
      </c>
      <c r="CP939" s="43">
        <v>1.855068587469829E-2</v>
      </c>
      <c r="CQ939" s="33">
        <v>0</v>
      </c>
      <c r="CR939" s="33">
        <v>0</v>
      </c>
    </row>
    <row r="940" spans="1:96" ht="15" customHeight="1" x14ac:dyDescent="0.25">
      <c r="A940" s="26">
        <v>938</v>
      </c>
      <c r="B940" s="27">
        <v>58</v>
      </c>
      <c r="C940" s="27">
        <v>0</v>
      </c>
      <c r="D940" s="27">
        <v>1</v>
      </c>
      <c r="E940" s="27">
        <v>848</v>
      </c>
      <c r="F940" s="27">
        <v>2</v>
      </c>
      <c r="G940" s="27">
        <v>23</v>
      </c>
      <c r="H940" s="27">
        <v>4</v>
      </c>
      <c r="I940" s="27">
        <v>1</v>
      </c>
      <c r="J940" s="27">
        <v>1</v>
      </c>
      <c r="K940" s="27">
        <v>1308</v>
      </c>
      <c r="L940" s="27">
        <v>1</v>
      </c>
      <c r="M940" s="27">
        <v>1</v>
      </c>
      <c r="N940" s="27">
        <v>88</v>
      </c>
      <c r="O940" s="27">
        <v>3</v>
      </c>
      <c r="P940" s="27">
        <v>1</v>
      </c>
      <c r="Q940" s="27">
        <v>2</v>
      </c>
      <c r="R940" s="27">
        <v>3</v>
      </c>
      <c r="S940" s="27">
        <v>3</v>
      </c>
      <c r="T940" s="27">
        <v>2372</v>
      </c>
      <c r="U940" s="27">
        <v>26076</v>
      </c>
      <c r="V940" s="27">
        <v>1</v>
      </c>
      <c r="W940" s="27">
        <v>0</v>
      </c>
      <c r="X940" s="27">
        <v>12</v>
      </c>
      <c r="Y940" s="27">
        <v>3</v>
      </c>
      <c r="Z940" s="27">
        <v>4</v>
      </c>
      <c r="AA940" s="27">
        <v>80</v>
      </c>
      <c r="AB940" s="27">
        <v>2</v>
      </c>
      <c r="AC940" s="27">
        <v>2</v>
      </c>
      <c r="AD940" s="27">
        <v>3</v>
      </c>
      <c r="AE940" s="27">
        <v>3</v>
      </c>
      <c r="AF940" s="27">
        <v>2</v>
      </c>
      <c r="AG940" s="27">
        <v>2</v>
      </c>
      <c r="AH940" s="27">
        <v>2</v>
      </c>
      <c r="AI940" s="28">
        <v>2</v>
      </c>
      <c r="AK940" s="36">
        <v>907</v>
      </c>
      <c r="AL940" s="33">
        <v>20</v>
      </c>
      <c r="AM940" s="33">
        <v>1</v>
      </c>
      <c r="AN940" s="33">
        <v>3</v>
      </c>
      <c r="AO940" s="33">
        <v>0</v>
      </c>
      <c r="AP940" s="33">
        <v>0</v>
      </c>
      <c r="AQ940" s="33">
        <v>0</v>
      </c>
      <c r="AR940" s="33">
        <v>2</v>
      </c>
      <c r="AS940" s="33">
        <v>1</v>
      </c>
      <c r="AT940" s="33">
        <v>0</v>
      </c>
      <c r="AU940" s="43">
        <v>0.25922122670635217</v>
      </c>
      <c r="AV940" s="33">
        <v>0</v>
      </c>
      <c r="AW940" s="33">
        <v>0</v>
      </c>
      <c r="AY940" s="36">
        <v>912</v>
      </c>
      <c r="AZ940" s="33">
        <v>1</v>
      </c>
      <c r="BA940" s="33">
        <v>4</v>
      </c>
      <c r="BB940" s="33">
        <v>1</v>
      </c>
      <c r="BC940" s="33">
        <v>0</v>
      </c>
      <c r="BD940" s="43">
        <v>0.42475472169672474</v>
      </c>
      <c r="BE940" s="33">
        <v>0</v>
      </c>
      <c r="BF940" s="33">
        <v>1</v>
      </c>
      <c r="CE940" s="36">
        <v>906</v>
      </c>
      <c r="CF940" s="33">
        <v>1</v>
      </c>
      <c r="CG940" s="33">
        <v>4</v>
      </c>
      <c r="CH940" s="33">
        <v>4</v>
      </c>
      <c r="CI940" s="33">
        <v>3</v>
      </c>
      <c r="CJ940" s="33">
        <v>3</v>
      </c>
      <c r="CK940" s="33">
        <v>0</v>
      </c>
      <c r="CL940" s="33">
        <v>2</v>
      </c>
      <c r="CM940" s="33">
        <v>2</v>
      </c>
      <c r="CN940" s="33">
        <v>7</v>
      </c>
      <c r="CO940" s="33">
        <v>1</v>
      </c>
      <c r="CP940" s="43">
        <v>6.2973188715817023E-3</v>
      </c>
      <c r="CQ940" s="33">
        <v>0</v>
      </c>
      <c r="CR940" s="33">
        <v>0</v>
      </c>
    </row>
    <row r="941" spans="1:96" ht="15" customHeight="1" x14ac:dyDescent="0.25">
      <c r="A941" s="26">
        <v>939</v>
      </c>
      <c r="B941" s="27">
        <v>32</v>
      </c>
      <c r="C941" s="27">
        <v>1</v>
      </c>
      <c r="D941" s="27">
        <v>1</v>
      </c>
      <c r="E941" s="27">
        <v>1089</v>
      </c>
      <c r="F941" s="27">
        <v>2</v>
      </c>
      <c r="G941" s="27">
        <v>7</v>
      </c>
      <c r="H941" s="27">
        <v>2</v>
      </c>
      <c r="I941" s="27">
        <v>1</v>
      </c>
      <c r="J941" s="27">
        <v>1</v>
      </c>
      <c r="K941" s="27">
        <v>1309</v>
      </c>
      <c r="L941" s="27">
        <v>4</v>
      </c>
      <c r="M941" s="27">
        <v>1</v>
      </c>
      <c r="N941" s="27">
        <v>79</v>
      </c>
      <c r="O941" s="27">
        <v>3</v>
      </c>
      <c r="P941" s="27">
        <v>2</v>
      </c>
      <c r="Q941" s="27">
        <v>3</v>
      </c>
      <c r="R941" s="27">
        <v>3</v>
      </c>
      <c r="S941" s="27">
        <v>2</v>
      </c>
      <c r="T941" s="27">
        <v>4883</v>
      </c>
      <c r="U941" s="27">
        <v>22845</v>
      </c>
      <c r="V941" s="27">
        <v>1</v>
      </c>
      <c r="W941" s="27">
        <v>0</v>
      </c>
      <c r="X941" s="27">
        <v>18</v>
      </c>
      <c r="Y941" s="27">
        <v>3</v>
      </c>
      <c r="Z941" s="27">
        <v>1</v>
      </c>
      <c r="AA941" s="27">
        <v>80</v>
      </c>
      <c r="AB941" s="27">
        <v>1</v>
      </c>
      <c r="AC941" s="27">
        <v>10</v>
      </c>
      <c r="AD941" s="27">
        <v>3</v>
      </c>
      <c r="AE941" s="27">
        <v>3</v>
      </c>
      <c r="AF941" s="27">
        <v>10</v>
      </c>
      <c r="AG941" s="27">
        <v>4</v>
      </c>
      <c r="AH941" s="27">
        <v>1</v>
      </c>
      <c r="AI941" s="28">
        <v>1</v>
      </c>
      <c r="AK941" s="36">
        <v>908</v>
      </c>
      <c r="AL941" s="33">
        <v>5</v>
      </c>
      <c r="AM941" s="33">
        <v>5</v>
      </c>
      <c r="AN941" s="33">
        <v>2</v>
      </c>
      <c r="AO941" s="33">
        <v>7</v>
      </c>
      <c r="AP941" s="33">
        <v>0</v>
      </c>
      <c r="AQ941" s="33">
        <v>1</v>
      </c>
      <c r="AR941" s="33">
        <v>3</v>
      </c>
      <c r="AS941" s="33">
        <v>22</v>
      </c>
      <c r="AT941" s="33">
        <v>3</v>
      </c>
      <c r="AU941" s="43">
        <v>7.7308022301177896E-3</v>
      </c>
      <c r="AV941" s="33">
        <v>0</v>
      </c>
      <c r="AW941" s="33">
        <v>0</v>
      </c>
      <c r="AY941" s="36">
        <v>913</v>
      </c>
      <c r="AZ941" s="33">
        <v>1</v>
      </c>
      <c r="BA941" s="33">
        <v>4</v>
      </c>
      <c r="BB941" s="33">
        <v>1</v>
      </c>
      <c r="BC941" s="33">
        <v>0</v>
      </c>
      <c r="BD941" s="43">
        <v>0.42475472169672474</v>
      </c>
      <c r="BE941" s="33">
        <v>0</v>
      </c>
      <c r="BF941" s="33">
        <v>0</v>
      </c>
      <c r="CE941" s="36">
        <v>907</v>
      </c>
      <c r="CF941" s="33">
        <v>20</v>
      </c>
      <c r="CG941" s="33">
        <v>1</v>
      </c>
      <c r="CH941" s="33">
        <v>3</v>
      </c>
      <c r="CI941" s="33">
        <v>2</v>
      </c>
      <c r="CJ941" s="33">
        <v>0</v>
      </c>
      <c r="CK941" s="33">
        <v>0</v>
      </c>
      <c r="CL941" s="33">
        <v>0</v>
      </c>
      <c r="CM941" s="33">
        <v>2</v>
      </c>
      <c r="CN941" s="33">
        <v>1</v>
      </c>
      <c r="CO941" s="33">
        <v>0</v>
      </c>
      <c r="CP941" s="43">
        <v>0.19250784703603618</v>
      </c>
      <c r="CQ941" s="33">
        <v>0</v>
      </c>
      <c r="CR941" s="33">
        <v>0</v>
      </c>
    </row>
    <row r="942" spans="1:96" ht="15" customHeight="1" x14ac:dyDescent="0.25">
      <c r="A942" s="26">
        <v>940</v>
      </c>
      <c r="B942" s="27">
        <v>39</v>
      </c>
      <c r="C942" s="27">
        <v>1</v>
      </c>
      <c r="D942" s="27">
        <v>1</v>
      </c>
      <c r="E942" s="27">
        <v>360</v>
      </c>
      <c r="F942" s="27">
        <v>2</v>
      </c>
      <c r="G942" s="27">
        <v>23</v>
      </c>
      <c r="H942" s="27">
        <v>3</v>
      </c>
      <c r="I942" s="27">
        <v>3</v>
      </c>
      <c r="J942" s="27">
        <v>1</v>
      </c>
      <c r="K942" s="27">
        <v>1310</v>
      </c>
      <c r="L942" s="27">
        <v>3</v>
      </c>
      <c r="M942" s="27">
        <v>1</v>
      </c>
      <c r="N942" s="27">
        <v>93</v>
      </c>
      <c r="O942" s="27">
        <v>3</v>
      </c>
      <c r="P942" s="27">
        <v>1</v>
      </c>
      <c r="Q942" s="27">
        <v>2</v>
      </c>
      <c r="R942" s="27">
        <v>1</v>
      </c>
      <c r="S942" s="27">
        <v>1</v>
      </c>
      <c r="T942" s="27">
        <v>3904</v>
      </c>
      <c r="U942" s="27">
        <v>22154</v>
      </c>
      <c r="V942" s="27">
        <v>0</v>
      </c>
      <c r="W942" s="27">
        <v>0</v>
      </c>
      <c r="X942" s="27">
        <v>13</v>
      </c>
      <c r="Y942" s="27">
        <v>3</v>
      </c>
      <c r="Z942" s="27">
        <v>1</v>
      </c>
      <c r="AA942" s="27">
        <v>80</v>
      </c>
      <c r="AB942" s="27">
        <v>0</v>
      </c>
      <c r="AC942" s="27">
        <v>6</v>
      </c>
      <c r="AD942" s="27">
        <v>2</v>
      </c>
      <c r="AE942" s="27">
        <v>3</v>
      </c>
      <c r="AF942" s="27">
        <v>5</v>
      </c>
      <c r="AG942" s="27">
        <v>2</v>
      </c>
      <c r="AH942" s="27">
        <v>0</v>
      </c>
      <c r="AI942" s="28">
        <v>3</v>
      </c>
      <c r="AK942" s="36">
        <v>909</v>
      </c>
      <c r="AL942" s="33">
        <v>10</v>
      </c>
      <c r="AM942" s="33">
        <v>3</v>
      </c>
      <c r="AN942" s="33">
        <v>3</v>
      </c>
      <c r="AO942" s="33">
        <v>0</v>
      </c>
      <c r="AP942" s="33">
        <v>1</v>
      </c>
      <c r="AQ942" s="33">
        <v>2</v>
      </c>
      <c r="AR942" s="33">
        <v>3</v>
      </c>
      <c r="AS942" s="33">
        <v>9</v>
      </c>
      <c r="AT942" s="33">
        <v>0</v>
      </c>
      <c r="AU942" s="43">
        <v>4.9365054658810532E-2</v>
      </c>
      <c r="AV942" s="33">
        <v>0</v>
      </c>
      <c r="AW942" s="33">
        <v>0</v>
      </c>
      <c r="AY942" s="36">
        <v>914</v>
      </c>
      <c r="AZ942" s="33">
        <v>5</v>
      </c>
      <c r="BA942" s="33">
        <v>2</v>
      </c>
      <c r="BB942" s="33">
        <v>1</v>
      </c>
      <c r="BC942" s="33">
        <v>0</v>
      </c>
      <c r="BD942" s="43">
        <v>0.12431587132822597</v>
      </c>
      <c r="BE942" s="33">
        <v>0</v>
      </c>
      <c r="BF942" s="33">
        <v>1</v>
      </c>
      <c r="CE942" s="36">
        <v>908</v>
      </c>
      <c r="CF942" s="33">
        <v>5</v>
      </c>
      <c r="CG942" s="33">
        <v>5</v>
      </c>
      <c r="CH942" s="33">
        <v>2</v>
      </c>
      <c r="CI942" s="33">
        <v>2</v>
      </c>
      <c r="CJ942" s="33">
        <v>7</v>
      </c>
      <c r="CK942" s="33">
        <v>0</v>
      </c>
      <c r="CL942" s="33">
        <v>1</v>
      </c>
      <c r="CM942" s="33">
        <v>3</v>
      </c>
      <c r="CN942" s="33">
        <v>22</v>
      </c>
      <c r="CO942" s="33">
        <v>3</v>
      </c>
      <c r="CP942" s="43">
        <v>7.894595839301877E-3</v>
      </c>
      <c r="CQ942" s="33">
        <v>0</v>
      </c>
      <c r="CR942" s="33">
        <v>0</v>
      </c>
    </row>
    <row r="943" spans="1:96" ht="15" customHeight="1" x14ac:dyDescent="0.25">
      <c r="A943" s="26">
        <v>941</v>
      </c>
      <c r="B943" s="27">
        <v>30</v>
      </c>
      <c r="C943" s="27">
        <v>0</v>
      </c>
      <c r="D943" s="27">
        <v>1</v>
      </c>
      <c r="E943" s="27">
        <v>1138</v>
      </c>
      <c r="F943" s="27">
        <v>2</v>
      </c>
      <c r="G943" s="27">
        <v>6</v>
      </c>
      <c r="H943" s="27">
        <v>3</v>
      </c>
      <c r="I943" s="27">
        <v>5</v>
      </c>
      <c r="J943" s="27">
        <v>1</v>
      </c>
      <c r="K943" s="27">
        <v>1311</v>
      </c>
      <c r="L943" s="27">
        <v>1</v>
      </c>
      <c r="M943" s="27">
        <v>0</v>
      </c>
      <c r="N943" s="27">
        <v>48</v>
      </c>
      <c r="O943" s="27">
        <v>2</v>
      </c>
      <c r="P943" s="27">
        <v>2</v>
      </c>
      <c r="Q943" s="27">
        <v>3</v>
      </c>
      <c r="R943" s="27">
        <v>4</v>
      </c>
      <c r="S943" s="27">
        <v>2</v>
      </c>
      <c r="T943" s="27">
        <v>4627</v>
      </c>
      <c r="U943" s="27">
        <v>23631</v>
      </c>
      <c r="V943" s="27">
        <v>0</v>
      </c>
      <c r="W943" s="27">
        <v>0</v>
      </c>
      <c r="X943" s="27">
        <v>12</v>
      </c>
      <c r="Y943" s="27">
        <v>3</v>
      </c>
      <c r="Z943" s="27">
        <v>1</v>
      </c>
      <c r="AA943" s="27">
        <v>80</v>
      </c>
      <c r="AB943" s="27">
        <v>1</v>
      </c>
      <c r="AC943" s="27">
        <v>10</v>
      </c>
      <c r="AD943" s="27">
        <v>6</v>
      </c>
      <c r="AE943" s="27">
        <v>3</v>
      </c>
      <c r="AF943" s="27">
        <v>9</v>
      </c>
      <c r="AG943" s="27">
        <v>2</v>
      </c>
      <c r="AH943" s="27">
        <v>6</v>
      </c>
      <c r="AI943" s="28">
        <v>7</v>
      </c>
      <c r="AK943" s="36">
        <v>910</v>
      </c>
      <c r="AL943" s="33">
        <v>25</v>
      </c>
      <c r="AM943" s="33">
        <v>1</v>
      </c>
      <c r="AN943" s="33">
        <v>4</v>
      </c>
      <c r="AO943" s="33">
        <v>1</v>
      </c>
      <c r="AP943" s="33">
        <v>1</v>
      </c>
      <c r="AQ943" s="33">
        <v>0</v>
      </c>
      <c r="AR943" s="33">
        <v>3</v>
      </c>
      <c r="AS943" s="33">
        <v>1</v>
      </c>
      <c r="AT943" s="33">
        <v>0</v>
      </c>
      <c r="AU943" s="43">
        <v>0.53814307333401123</v>
      </c>
      <c r="AV943" s="33">
        <v>1</v>
      </c>
      <c r="AW943" s="33">
        <v>0</v>
      </c>
      <c r="AY943" s="36">
        <v>915</v>
      </c>
      <c r="AZ943" s="33">
        <v>4</v>
      </c>
      <c r="BA943" s="33">
        <v>2</v>
      </c>
      <c r="BB943" s="33">
        <v>1</v>
      </c>
      <c r="BC943" s="33">
        <v>1</v>
      </c>
      <c r="BD943" s="43">
        <v>0.1277051204585552</v>
      </c>
      <c r="BE943" s="33">
        <v>0</v>
      </c>
      <c r="BF943" s="33">
        <v>0</v>
      </c>
      <c r="CE943" s="36">
        <v>909</v>
      </c>
      <c r="CF943" s="33">
        <v>10</v>
      </c>
      <c r="CG943" s="33">
        <v>3</v>
      </c>
      <c r="CH943" s="33">
        <v>3</v>
      </c>
      <c r="CI943" s="33">
        <v>3</v>
      </c>
      <c r="CJ943" s="33">
        <v>0</v>
      </c>
      <c r="CK943" s="33">
        <v>1</v>
      </c>
      <c r="CL943" s="33">
        <v>2</v>
      </c>
      <c r="CM943" s="33">
        <v>3</v>
      </c>
      <c r="CN943" s="33">
        <v>9</v>
      </c>
      <c r="CO943" s="33">
        <v>0</v>
      </c>
      <c r="CP943" s="43">
        <v>4.0612352918372084E-2</v>
      </c>
      <c r="CQ943" s="33">
        <v>0</v>
      </c>
      <c r="CR943" s="33">
        <v>0</v>
      </c>
    </row>
    <row r="944" spans="1:96" ht="15" customHeight="1" x14ac:dyDescent="0.25">
      <c r="A944" s="26">
        <v>942</v>
      </c>
      <c r="B944" s="27">
        <v>36</v>
      </c>
      <c r="C944" s="27">
        <v>0</v>
      </c>
      <c r="D944" s="27">
        <v>1</v>
      </c>
      <c r="E944" s="27">
        <v>325</v>
      </c>
      <c r="F944" s="27">
        <v>2</v>
      </c>
      <c r="G944" s="27">
        <v>10</v>
      </c>
      <c r="H944" s="27">
        <v>4</v>
      </c>
      <c r="I944" s="27">
        <v>5</v>
      </c>
      <c r="J944" s="27">
        <v>1</v>
      </c>
      <c r="K944" s="27">
        <v>1312</v>
      </c>
      <c r="L944" s="27">
        <v>4</v>
      </c>
      <c r="M944" s="27">
        <v>0</v>
      </c>
      <c r="N944" s="27">
        <v>63</v>
      </c>
      <c r="O944" s="27">
        <v>3</v>
      </c>
      <c r="P944" s="27">
        <v>3</v>
      </c>
      <c r="Q944" s="27">
        <v>5</v>
      </c>
      <c r="R944" s="27">
        <v>3</v>
      </c>
      <c r="S944" s="27">
        <v>2</v>
      </c>
      <c r="T944" s="27">
        <v>7094</v>
      </c>
      <c r="U944" s="27">
        <v>5747</v>
      </c>
      <c r="V944" s="27">
        <v>3</v>
      </c>
      <c r="W944" s="27">
        <v>0</v>
      </c>
      <c r="X944" s="27">
        <v>12</v>
      </c>
      <c r="Y944" s="27">
        <v>3</v>
      </c>
      <c r="Z944" s="27">
        <v>1</v>
      </c>
      <c r="AA944" s="27">
        <v>80</v>
      </c>
      <c r="AB944" s="27">
        <v>0</v>
      </c>
      <c r="AC944" s="27">
        <v>10</v>
      </c>
      <c r="AD944" s="27">
        <v>0</v>
      </c>
      <c r="AE944" s="27">
        <v>3</v>
      </c>
      <c r="AF944" s="27">
        <v>7</v>
      </c>
      <c r="AG944" s="27">
        <v>7</v>
      </c>
      <c r="AH944" s="27">
        <v>1</v>
      </c>
      <c r="AI944" s="28">
        <v>7</v>
      </c>
      <c r="AK944" s="36">
        <v>911</v>
      </c>
      <c r="AL944" s="33">
        <v>1</v>
      </c>
      <c r="AM944" s="33">
        <v>1</v>
      </c>
      <c r="AN944" s="33">
        <v>3</v>
      </c>
      <c r="AO944" s="33">
        <v>1</v>
      </c>
      <c r="AP944" s="33">
        <v>0</v>
      </c>
      <c r="AQ944" s="33">
        <v>1</v>
      </c>
      <c r="AR944" s="33">
        <v>3</v>
      </c>
      <c r="AS944" s="33">
        <v>1</v>
      </c>
      <c r="AT944" s="33">
        <v>0</v>
      </c>
      <c r="AU944" s="43">
        <v>8.2808826114584289E-2</v>
      </c>
      <c r="AV944" s="33">
        <v>0</v>
      </c>
      <c r="AW944" s="33">
        <v>0</v>
      </c>
      <c r="AY944" s="36">
        <v>916</v>
      </c>
      <c r="AZ944" s="33">
        <v>1</v>
      </c>
      <c r="BA944" s="33">
        <v>3</v>
      </c>
      <c r="BB944" s="33">
        <v>0</v>
      </c>
      <c r="BC944" s="33">
        <v>0</v>
      </c>
      <c r="BD944" s="43">
        <v>0.18791247240909698</v>
      </c>
      <c r="BE944" s="33">
        <v>0</v>
      </c>
      <c r="BF944" s="33">
        <v>1</v>
      </c>
      <c r="CE944" s="36">
        <v>910</v>
      </c>
      <c r="CF944" s="33">
        <v>25</v>
      </c>
      <c r="CG944" s="33">
        <v>1</v>
      </c>
      <c r="CH944" s="33">
        <v>4</v>
      </c>
      <c r="CI944" s="33">
        <v>1</v>
      </c>
      <c r="CJ944" s="33">
        <v>1</v>
      </c>
      <c r="CK944" s="33">
        <v>1</v>
      </c>
      <c r="CL944" s="33">
        <v>0</v>
      </c>
      <c r="CM944" s="33">
        <v>3</v>
      </c>
      <c r="CN944" s="33">
        <v>1</v>
      </c>
      <c r="CO944" s="33">
        <v>0</v>
      </c>
      <c r="CP944" s="43">
        <v>0.58149759643225474</v>
      </c>
      <c r="CQ944" s="33">
        <v>1</v>
      </c>
      <c r="CR944" s="33">
        <v>0</v>
      </c>
    </row>
    <row r="945" spans="1:96" ht="15" customHeight="1" x14ac:dyDescent="0.25">
      <c r="A945" s="26">
        <v>943</v>
      </c>
      <c r="B945" s="27">
        <v>46</v>
      </c>
      <c r="C945" s="27">
        <v>0</v>
      </c>
      <c r="D945" s="27">
        <v>1</v>
      </c>
      <c r="E945" s="27">
        <v>991</v>
      </c>
      <c r="F945" s="27">
        <v>3</v>
      </c>
      <c r="G945" s="27">
        <v>1</v>
      </c>
      <c r="H945" s="27">
        <v>2</v>
      </c>
      <c r="I945" s="27">
        <v>1</v>
      </c>
      <c r="J945" s="27">
        <v>1</v>
      </c>
      <c r="K945" s="27">
        <v>1314</v>
      </c>
      <c r="L945" s="27">
        <v>4</v>
      </c>
      <c r="M945" s="27">
        <v>0</v>
      </c>
      <c r="N945" s="27">
        <v>44</v>
      </c>
      <c r="O945" s="27">
        <v>3</v>
      </c>
      <c r="P945" s="27">
        <v>1</v>
      </c>
      <c r="Q945" s="27">
        <v>9</v>
      </c>
      <c r="R945" s="27">
        <v>1</v>
      </c>
      <c r="S945" s="27">
        <v>1</v>
      </c>
      <c r="T945" s="27">
        <v>3423</v>
      </c>
      <c r="U945" s="27">
        <v>22957</v>
      </c>
      <c r="V945" s="27">
        <v>6</v>
      </c>
      <c r="W945" s="27">
        <v>0</v>
      </c>
      <c r="X945" s="27">
        <v>12</v>
      </c>
      <c r="Y945" s="27">
        <v>3</v>
      </c>
      <c r="Z945" s="27">
        <v>3</v>
      </c>
      <c r="AA945" s="27">
        <v>80</v>
      </c>
      <c r="AB945" s="27">
        <v>0</v>
      </c>
      <c r="AC945" s="27">
        <v>10</v>
      </c>
      <c r="AD945" s="27">
        <v>3</v>
      </c>
      <c r="AE945" s="27">
        <v>4</v>
      </c>
      <c r="AF945" s="27">
        <v>7</v>
      </c>
      <c r="AG945" s="27">
        <v>6</v>
      </c>
      <c r="AH945" s="27">
        <v>5</v>
      </c>
      <c r="AI945" s="28">
        <v>7</v>
      </c>
      <c r="AK945" s="36">
        <v>912</v>
      </c>
      <c r="AL945" s="33">
        <v>24</v>
      </c>
      <c r="AM945" s="33">
        <v>1</v>
      </c>
      <c r="AN945" s="33">
        <v>4</v>
      </c>
      <c r="AO945" s="33">
        <v>1</v>
      </c>
      <c r="AP945" s="33">
        <v>1</v>
      </c>
      <c r="AQ945" s="33">
        <v>0</v>
      </c>
      <c r="AR945" s="33">
        <v>3</v>
      </c>
      <c r="AS945" s="33">
        <v>1</v>
      </c>
      <c r="AT945" s="33">
        <v>1</v>
      </c>
      <c r="AU945" s="43">
        <v>0.55788495843839736</v>
      </c>
      <c r="AV945" s="33">
        <v>1</v>
      </c>
      <c r="AW945" s="33">
        <v>1</v>
      </c>
      <c r="AY945" s="36">
        <v>917</v>
      </c>
      <c r="AZ945" s="33">
        <v>5</v>
      </c>
      <c r="BA945" s="33">
        <v>2</v>
      </c>
      <c r="BB945" s="33">
        <v>0</v>
      </c>
      <c r="BC945" s="33">
        <v>1</v>
      </c>
      <c r="BD945" s="43">
        <v>1.9217264220459749E-2</v>
      </c>
      <c r="BE945" s="33">
        <v>0</v>
      </c>
      <c r="BF945" s="33">
        <v>0</v>
      </c>
      <c r="CE945" s="36">
        <v>911</v>
      </c>
      <c r="CF945" s="33">
        <v>1</v>
      </c>
      <c r="CG945" s="33">
        <v>1</v>
      </c>
      <c r="CH945" s="33">
        <v>3</v>
      </c>
      <c r="CI945" s="33">
        <v>2</v>
      </c>
      <c r="CJ945" s="33">
        <v>1</v>
      </c>
      <c r="CK945" s="33">
        <v>0</v>
      </c>
      <c r="CL945" s="33">
        <v>1</v>
      </c>
      <c r="CM945" s="33">
        <v>3</v>
      </c>
      <c r="CN945" s="33">
        <v>1</v>
      </c>
      <c r="CO945" s="33">
        <v>0</v>
      </c>
      <c r="CP945" s="43">
        <v>7.919189896057878E-2</v>
      </c>
      <c r="CQ945" s="33">
        <v>0</v>
      </c>
      <c r="CR945" s="33">
        <v>0</v>
      </c>
    </row>
    <row r="946" spans="1:96" ht="15" customHeight="1" x14ac:dyDescent="0.25">
      <c r="A946" s="26">
        <v>944</v>
      </c>
      <c r="B946" s="27">
        <v>28</v>
      </c>
      <c r="C946" s="27">
        <v>0</v>
      </c>
      <c r="D946" s="27">
        <v>3</v>
      </c>
      <c r="E946" s="27">
        <v>1476</v>
      </c>
      <c r="F946" s="27">
        <v>2</v>
      </c>
      <c r="G946" s="27">
        <v>1</v>
      </c>
      <c r="H946" s="27">
        <v>3</v>
      </c>
      <c r="I946" s="27">
        <v>1</v>
      </c>
      <c r="J946" s="27">
        <v>1</v>
      </c>
      <c r="K946" s="27">
        <v>1315</v>
      </c>
      <c r="L946" s="27">
        <v>3</v>
      </c>
      <c r="M946" s="27">
        <v>0</v>
      </c>
      <c r="N946" s="27">
        <v>55</v>
      </c>
      <c r="O946" s="27">
        <v>1</v>
      </c>
      <c r="P946" s="27">
        <v>2</v>
      </c>
      <c r="Q946" s="27">
        <v>3</v>
      </c>
      <c r="R946" s="27">
        <v>4</v>
      </c>
      <c r="S946" s="27">
        <v>2</v>
      </c>
      <c r="T946" s="27">
        <v>6674</v>
      </c>
      <c r="U946" s="27">
        <v>16392</v>
      </c>
      <c r="V946" s="27">
        <v>0</v>
      </c>
      <c r="W946" s="27">
        <v>0</v>
      </c>
      <c r="X946" s="27">
        <v>11</v>
      </c>
      <c r="Y946" s="27">
        <v>3</v>
      </c>
      <c r="Z946" s="27">
        <v>1</v>
      </c>
      <c r="AA946" s="27">
        <v>80</v>
      </c>
      <c r="AB946" s="27">
        <v>3</v>
      </c>
      <c r="AC946" s="27">
        <v>10</v>
      </c>
      <c r="AD946" s="27">
        <v>6</v>
      </c>
      <c r="AE946" s="27">
        <v>3</v>
      </c>
      <c r="AF946" s="27">
        <v>9</v>
      </c>
      <c r="AG946" s="27">
        <v>8</v>
      </c>
      <c r="AH946" s="27">
        <v>7</v>
      </c>
      <c r="AI946" s="28">
        <v>5</v>
      </c>
      <c r="AK946" s="36">
        <v>913</v>
      </c>
      <c r="AL946" s="33">
        <v>4</v>
      </c>
      <c r="AM946" s="33">
        <v>1</v>
      </c>
      <c r="AN946" s="33">
        <v>4</v>
      </c>
      <c r="AO946" s="33">
        <v>1</v>
      </c>
      <c r="AP946" s="33">
        <v>1</v>
      </c>
      <c r="AQ946" s="33">
        <v>0</v>
      </c>
      <c r="AR946" s="33">
        <v>2</v>
      </c>
      <c r="AS946" s="33">
        <v>8</v>
      </c>
      <c r="AT946" s="33">
        <v>2</v>
      </c>
      <c r="AU946" s="43">
        <v>0.3545740393187885</v>
      </c>
      <c r="AV946" s="33">
        <v>0</v>
      </c>
      <c r="AW946" s="33">
        <v>0</v>
      </c>
      <c r="AY946" s="36">
        <v>918</v>
      </c>
      <c r="AZ946" s="33">
        <v>2</v>
      </c>
      <c r="BA946" s="33">
        <v>1</v>
      </c>
      <c r="BB946" s="33">
        <v>1</v>
      </c>
      <c r="BC946" s="33">
        <v>0</v>
      </c>
      <c r="BD946" s="43">
        <v>0.50385917417366921</v>
      </c>
      <c r="BE946" s="33">
        <v>1</v>
      </c>
      <c r="BF946" s="33">
        <v>0</v>
      </c>
      <c r="CE946" s="36">
        <v>912</v>
      </c>
      <c r="CF946" s="33">
        <v>24</v>
      </c>
      <c r="CG946" s="33">
        <v>1</v>
      </c>
      <c r="CH946" s="33">
        <v>4</v>
      </c>
      <c r="CI946" s="33">
        <v>1</v>
      </c>
      <c r="CJ946" s="33">
        <v>1</v>
      </c>
      <c r="CK946" s="33">
        <v>1</v>
      </c>
      <c r="CL946" s="33">
        <v>0</v>
      </c>
      <c r="CM946" s="33">
        <v>3</v>
      </c>
      <c r="CN946" s="33">
        <v>1</v>
      </c>
      <c r="CO946" s="33">
        <v>1</v>
      </c>
      <c r="CP946" s="43">
        <v>0.60155915786180814</v>
      </c>
      <c r="CQ946" s="33">
        <v>1</v>
      </c>
      <c r="CR946" s="33">
        <v>1</v>
      </c>
    </row>
    <row r="947" spans="1:96" ht="15" customHeight="1" x14ac:dyDescent="0.25">
      <c r="A947" s="26">
        <v>945</v>
      </c>
      <c r="B947" s="27">
        <v>50</v>
      </c>
      <c r="C947" s="27">
        <v>0</v>
      </c>
      <c r="D947" s="27">
        <v>1</v>
      </c>
      <c r="E947" s="27">
        <v>1322</v>
      </c>
      <c r="F947" s="27">
        <v>2</v>
      </c>
      <c r="G947" s="27">
        <v>28</v>
      </c>
      <c r="H947" s="27">
        <v>3</v>
      </c>
      <c r="I947" s="27">
        <v>1</v>
      </c>
      <c r="J947" s="27">
        <v>1</v>
      </c>
      <c r="K947" s="27">
        <v>1317</v>
      </c>
      <c r="L947" s="27">
        <v>4</v>
      </c>
      <c r="M947" s="27">
        <v>0</v>
      </c>
      <c r="N947" s="27">
        <v>43</v>
      </c>
      <c r="O947" s="27">
        <v>3</v>
      </c>
      <c r="P947" s="27">
        <v>4</v>
      </c>
      <c r="Q947" s="27">
        <v>8</v>
      </c>
      <c r="R947" s="27">
        <v>1</v>
      </c>
      <c r="S947" s="27">
        <v>2</v>
      </c>
      <c r="T947" s="27">
        <v>16880</v>
      </c>
      <c r="U947" s="27">
        <v>22422</v>
      </c>
      <c r="V947" s="27">
        <v>4</v>
      </c>
      <c r="W947" s="27">
        <v>1</v>
      </c>
      <c r="X947" s="27">
        <v>11</v>
      </c>
      <c r="Y947" s="27">
        <v>3</v>
      </c>
      <c r="Z947" s="27">
        <v>2</v>
      </c>
      <c r="AA947" s="27">
        <v>80</v>
      </c>
      <c r="AB947" s="27">
        <v>0</v>
      </c>
      <c r="AC947" s="27">
        <v>25</v>
      </c>
      <c r="AD947" s="27">
        <v>2</v>
      </c>
      <c r="AE947" s="27">
        <v>3</v>
      </c>
      <c r="AF947" s="27">
        <v>3</v>
      </c>
      <c r="AG947" s="27">
        <v>2</v>
      </c>
      <c r="AH947" s="27">
        <v>1</v>
      </c>
      <c r="AI947" s="28">
        <v>2</v>
      </c>
      <c r="AK947" s="36">
        <v>914</v>
      </c>
      <c r="AL947" s="33">
        <v>2</v>
      </c>
      <c r="AM947" s="33">
        <v>5</v>
      </c>
      <c r="AN947" s="33">
        <v>2</v>
      </c>
      <c r="AO947" s="33">
        <v>2</v>
      </c>
      <c r="AP947" s="33">
        <v>1</v>
      </c>
      <c r="AQ947" s="33">
        <v>0</v>
      </c>
      <c r="AR947" s="33">
        <v>3</v>
      </c>
      <c r="AS947" s="33">
        <v>24</v>
      </c>
      <c r="AT947" s="33">
        <v>1</v>
      </c>
      <c r="AU947" s="43">
        <v>2.4030050280067775E-2</v>
      </c>
      <c r="AV947" s="33">
        <v>0</v>
      </c>
      <c r="AW947" s="33">
        <v>1</v>
      </c>
      <c r="AY947" s="36">
        <v>919</v>
      </c>
      <c r="AZ947" s="33">
        <v>5</v>
      </c>
      <c r="BA947" s="33">
        <v>2</v>
      </c>
      <c r="BB947" s="33">
        <v>1</v>
      </c>
      <c r="BC947" s="33">
        <v>1</v>
      </c>
      <c r="BD947" s="43">
        <v>7.7285284237118793E-2</v>
      </c>
      <c r="BE947" s="33">
        <v>0</v>
      </c>
      <c r="BF947" s="33">
        <v>0</v>
      </c>
      <c r="CE947" s="36">
        <v>913</v>
      </c>
      <c r="CF947" s="33">
        <v>4</v>
      </c>
      <c r="CG947" s="33">
        <v>1</v>
      </c>
      <c r="CH947" s="33">
        <v>4</v>
      </c>
      <c r="CI947" s="33">
        <v>1</v>
      </c>
      <c r="CJ947" s="33">
        <v>1</v>
      </c>
      <c r="CK947" s="33">
        <v>1</v>
      </c>
      <c r="CL947" s="33">
        <v>0</v>
      </c>
      <c r="CM947" s="33">
        <v>2</v>
      </c>
      <c r="CN947" s="33">
        <v>8</v>
      </c>
      <c r="CO947" s="33">
        <v>2</v>
      </c>
      <c r="CP947" s="43">
        <v>0.40186819880957081</v>
      </c>
      <c r="CQ947" s="33">
        <v>0</v>
      </c>
      <c r="CR947" s="33">
        <v>0</v>
      </c>
    </row>
    <row r="948" spans="1:96" ht="15" customHeight="1" x14ac:dyDescent="0.25">
      <c r="A948" s="26">
        <v>946</v>
      </c>
      <c r="B948" s="27">
        <v>40</v>
      </c>
      <c r="C948" s="27">
        <v>1</v>
      </c>
      <c r="D948" s="27">
        <v>1</v>
      </c>
      <c r="E948" s="27">
        <v>299</v>
      </c>
      <c r="F948" s="27">
        <v>1</v>
      </c>
      <c r="G948" s="27">
        <v>25</v>
      </c>
      <c r="H948" s="27">
        <v>4</v>
      </c>
      <c r="I948" s="27">
        <v>4</v>
      </c>
      <c r="J948" s="27">
        <v>1</v>
      </c>
      <c r="K948" s="27">
        <v>1318</v>
      </c>
      <c r="L948" s="27">
        <v>4</v>
      </c>
      <c r="M948" s="27">
        <v>1</v>
      </c>
      <c r="N948" s="27">
        <v>57</v>
      </c>
      <c r="O948" s="27">
        <v>2</v>
      </c>
      <c r="P948" s="27">
        <v>3</v>
      </c>
      <c r="Q948" s="27">
        <v>1</v>
      </c>
      <c r="R948" s="27">
        <v>2</v>
      </c>
      <c r="S948" s="27">
        <v>1</v>
      </c>
      <c r="T948" s="27">
        <v>9094</v>
      </c>
      <c r="U948" s="27">
        <v>17235</v>
      </c>
      <c r="V948" s="27">
        <v>2</v>
      </c>
      <c r="W948" s="27">
        <v>1</v>
      </c>
      <c r="X948" s="27">
        <v>12</v>
      </c>
      <c r="Y948" s="27">
        <v>3</v>
      </c>
      <c r="Z948" s="27">
        <v>3</v>
      </c>
      <c r="AA948" s="27">
        <v>80</v>
      </c>
      <c r="AB948" s="27">
        <v>0</v>
      </c>
      <c r="AC948" s="27">
        <v>9</v>
      </c>
      <c r="AD948" s="27">
        <v>2</v>
      </c>
      <c r="AE948" s="27">
        <v>3</v>
      </c>
      <c r="AF948" s="27">
        <v>5</v>
      </c>
      <c r="AG948" s="27">
        <v>4</v>
      </c>
      <c r="AH948" s="27">
        <v>1</v>
      </c>
      <c r="AI948" s="28">
        <v>0</v>
      </c>
      <c r="AK948" s="36">
        <v>915</v>
      </c>
      <c r="AL948" s="33">
        <v>8</v>
      </c>
      <c r="AM948" s="33">
        <v>4</v>
      </c>
      <c r="AN948" s="33">
        <v>2</v>
      </c>
      <c r="AO948" s="33">
        <v>1</v>
      </c>
      <c r="AP948" s="33">
        <v>1</v>
      </c>
      <c r="AQ948" s="33">
        <v>1</v>
      </c>
      <c r="AR948" s="33">
        <v>3</v>
      </c>
      <c r="AS948" s="33">
        <v>33</v>
      </c>
      <c r="AT948" s="33">
        <v>15</v>
      </c>
      <c r="AU948" s="43">
        <v>6.5137899717955028E-2</v>
      </c>
      <c r="AV948" s="33">
        <v>0</v>
      </c>
      <c r="AW948" s="33">
        <v>0</v>
      </c>
      <c r="AY948" s="36">
        <v>920</v>
      </c>
      <c r="AZ948" s="33">
        <v>3</v>
      </c>
      <c r="BA948" s="33">
        <v>4</v>
      </c>
      <c r="BB948" s="33">
        <v>0</v>
      </c>
      <c r="BC948" s="33">
        <v>0</v>
      </c>
      <c r="BD948" s="43">
        <v>5.3512841598087578E-2</v>
      </c>
      <c r="BE948" s="33">
        <v>0</v>
      </c>
      <c r="BF948" s="33">
        <v>0</v>
      </c>
      <c r="CE948" s="36">
        <v>914</v>
      </c>
      <c r="CF948" s="33">
        <v>2</v>
      </c>
      <c r="CG948" s="33">
        <v>5</v>
      </c>
      <c r="CH948" s="33">
        <v>2</v>
      </c>
      <c r="CI948" s="33">
        <v>1</v>
      </c>
      <c r="CJ948" s="33">
        <v>2</v>
      </c>
      <c r="CK948" s="33">
        <v>1</v>
      </c>
      <c r="CL948" s="33">
        <v>0</v>
      </c>
      <c r="CM948" s="33">
        <v>3</v>
      </c>
      <c r="CN948" s="33">
        <v>24</v>
      </c>
      <c r="CO948" s="33">
        <v>1</v>
      </c>
      <c r="CP948" s="43">
        <v>3.0882134340682932E-2</v>
      </c>
      <c r="CQ948" s="33">
        <v>0</v>
      </c>
      <c r="CR948" s="33">
        <v>1</v>
      </c>
    </row>
    <row r="949" spans="1:96" ht="15" customHeight="1" x14ac:dyDescent="0.25">
      <c r="A949" s="26">
        <v>947</v>
      </c>
      <c r="B949" s="27">
        <v>52</v>
      </c>
      <c r="C949" s="27">
        <v>1</v>
      </c>
      <c r="D949" s="27">
        <v>1</v>
      </c>
      <c r="E949" s="27">
        <v>1030</v>
      </c>
      <c r="F949" s="27">
        <v>1</v>
      </c>
      <c r="G949" s="27">
        <v>5</v>
      </c>
      <c r="H949" s="27">
        <v>3</v>
      </c>
      <c r="I949" s="27">
        <v>1</v>
      </c>
      <c r="J949" s="27">
        <v>1</v>
      </c>
      <c r="K949" s="27">
        <v>1319</v>
      </c>
      <c r="L949" s="27">
        <v>2</v>
      </c>
      <c r="M949" s="27">
        <v>1</v>
      </c>
      <c r="N949" s="27">
        <v>64</v>
      </c>
      <c r="O949" s="27">
        <v>3</v>
      </c>
      <c r="P949" s="27">
        <v>3</v>
      </c>
      <c r="Q949" s="27">
        <v>1</v>
      </c>
      <c r="R949" s="27">
        <v>2</v>
      </c>
      <c r="S949" s="27">
        <v>1</v>
      </c>
      <c r="T949" s="27">
        <v>8446</v>
      </c>
      <c r="U949" s="27">
        <v>21534</v>
      </c>
      <c r="V949" s="27">
        <v>9</v>
      </c>
      <c r="W949" s="27">
        <v>1</v>
      </c>
      <c r="X949" s="27">
        <v>19</v>
      </c>
      <c r="Y949" s="27">
        <v>3</v>
      </c>
      <c r="Z949" s="27">
        <v>3</v>
      </c>
      <c r="AA949" s="27">
        <v>80</v>
      </c>
      <c r="AB949" s="27">
        <v>0</v>
      </c>
      <c r="AC949" s="27">
        <v>10</v>
      </c>
      <c r="AD949" s="27">
        <v>2</v>
      </c>
      <c r="AE949" s="27">
        <v>2</v>
      </c>
      <c r="AF949" s="27">
        <v>8</v>
      </c>
      <c r="AG949" s="27">
        <v>7</v>
      </c>
      <c r="AH949" s="27">
        <v>7</v>
      </c>
      <c r="AI949" s="28">
        <v>7</v>
      </c>
      <c r="AK949" s="36">
        <v>916</v>
      </c>
      <c r="AL949" s="33">
        <v>10</v>
      </c>
      <c r="AM949" s="33">
        <v>1</v>
      </c>
      <c r="AN949" s="33">
        <v>3</v>
      </c>
      <c r="AO949" s="33">
        <v>1</v>
      </c>
      <c r="AP949" s="33">
        <v>0</v>
      </c>
      <c r="AQ949" s="33">
        <v>0</v>
      </c>
      <c r="AR949" s="33">
        <v>1</v>
      </c>
      <c r="AS949" s="33">
        <v>2</v>
      </c>
      <c r="AT949" s="33">
        <v>2</v>
      </c>
      <c r="AU949" s="43">
        <v>0.28592365368225403</v>
      </c>
      <c r="AV949" s="33">
        <v>0</v>
      </c>
      <c r="AW949" s="33">
        <v>1</v>
      </c>
      <c r="AY949" s="36">
        <v>921</v>
      </c>
      <c r="AZ949" s="33">
        <v>2</v>
      </c>
      <c r="BA949" s="33">
        <v>2</v>
      </c>
      <c r="BB949" s="33">
        <v>0</v>
      </c>
      <c r="BC949" s="33">
        <v>2</v>
      </c>
      <c r="BD949" s="43">
        <v>5.8143431646637607E-2</v>
      </c>
      <c r="BE949" s="33">
        <v>0</v>
      </c>
      <c r="BF949" s="33">
        <v>0</v>
      </c>
      <c r="CE949" s="36">
        <v>915</v>
      </c>
      <c r="CF949" s="33">
        <v>8</v>
      </c>
      <c r="CG949" s="33">
        <v>4</v>
      </c>
      <c r="CH949" s="33">
        <v>2</v>
      </c>
      <c r="CI949" s="33">
        <v>3</v>
      </c>
      <c r="CJ949" s="33">
        <v>1</v>
      </c>
      <c r="CK949" s="33">
        <v>1</v>
      </c>
      <c r="CL949" s="33">
        <v>1</v>
      </c>
      <c r="CM949" s="33">
        <v>3</v>
      </c>
      <c r="CN949" s="33">
        <v>33</v>
      </c>
      <c r="CO949" s="33">
        <v>15</v>
      </c>
      <c r="CP949" s="43">
        <v>4.1183770515932437E-2</v>
      </c>
      <c r="CQ949" s="33">
        <v>0</v>
      </c>
      <c r="CR949" s="33">
        <v>0</v>
      </c>
    </row>
    <row r="950" spans="1:96" ht="15" customHeight="1" x14ac:dyDescent="0.25">
      <c r="A950" s="26">
        <v>948</v>
      </c>
      <c r="B950" s="27">
        <v>30</v>
      </c>
      <c r="C950" s="27">
        <v>0</v>
      </c>
      <c r="D950" s="27">
        <v>1</v>
      </c>
      <c r="E950" s="27">
        <v>634</v>
      </c>
      <c r="F950" s="27">
        <v>2</v>
      </c>
      <c r="G950" s="27">
        <v>17</v>
      </c>
      <c r="H950" s="27">
        <v>4</v>
      </c>
      <c r="I950" s="27">
        <v>3</v>
      </c>
      <c r="J950" s="27">
        <v>1</v>
      </c>
      <c r="K950" s="27">
        <v>1321</v>
      </c>
      <c r="L950" s="27">
        <v>2</v>
      </c>
      <c r="M950" s="27">
        <v>0</v>
      </c>
      <c r="N950" s="27">
        <v>95</v>
      </c>
      <c r="O950" s="27">
        <v>3</v>
      </c>
      <c r="P950" s="27">
        <v>3</v>
      </c>
      <c r="Q950" s="27">
        <v>6</v>
      </c>
      <c r="R950" s="27">
        <v>1</v>
      </c>
      <c r="S950" s="27">
        <v>2</v>
      </c>
      <c r="T950" s="27">
        <v>11916</v>
      </c>
      <c r="U950" s="27">
        <v>25927</v>
      </c>
      <c r="V950" s="27">
        <v>1</v>
      </c>
      <c r="W950" s="27">
        <v>1</v>
      </c>
      <c r="X950" s="27">
        <v>23</v>
      </c>
      <c r="Y950" s="27">
        <v>4</v>
      </c>
      <c r="Z950" s="27">
        <v>4</v>
      </c>
      <c r="AA950" s="27">
        <v>80</v>
      </c>
      <c r="AB950" s="27">
        <v>2</v>
      </c>
      <c r="AC950" s="27">
        <v>9</v>
      </c>
      <c r="AD950" s="27">
        <v>2</v>
      </c>
      <c r="AE950" s="27">
        <v>3</v>
      </c>
      <c r="AF950" s="27">
        <v>9</v>
      </c>
      <c r="AG950" s="27">
        <v>1</v>
      </c>
      <c r="AH950" s="27">
        <v>0</v>
      </c>
      <c r="AI950" s="28">
        <v>8</v>
      </c>
      <c r="AK950" s="36">
        <v>917</v>
      </c>
      <c r="AL950" s="33">
        <v>4</v>
      </c>
      <c r="AM950" s="33">
        <v>5</v>
      </c>
      <c r="AN950" s="33">
        <v>2</v>
      </c>
      <c r="AO950" s="33">
        <v>2</v>
      </c>
      <c r="AP950" s="33">
        <v>0</v>
      </c>
      <c r="AQ950" s="33">
        <v>1</v>
      </c>
      <c r="AR950" s="33">
        <v>3</v>
      </c>
      <c r="AS950" s="33">
        <v>11</v>
      </c>
      <c r="AT950" s="33">
        <v>0</v>
      </c>
      <c r="AU950" s="43">
        <v>7.7272822844883342E-3</v>
      </c>
      <c r="AV950" s="33">
        <v>0</v>
      </c>
      <c r="AW950" s="33">
        <v>0</v>
      </c>
      <c r="AY950" s="36">
        <v>922</v>
      </c>
      <c r="AZ950" s="33">
        <v>1</v>
      </c>
      <c r="BA950" s="33">
        <v>3</v>
      </c>
      <c r="BB950" s="33">
        <v>1</v>
      </c>
      <c r="BC950" s="33">
        <v>0</v>
      </c>
      <c r="BD950" s="43">
        <v>0.49727340882350407</v>
      </c>
      <c r="BE950" s="33">
        <v>0</v>
      </c>
      <c r="BF950" s="33">
        <v>0</v>
      </c>
      <c r="CE950" s="36">
        <v>916</v>
      </c>
      <c r="CF950" s="33">
        <v>10</v>
      </c>
      <c r="CG950" s="33">
        <v>1</v>
      </c>
      <c r="CH950" s="33">
        <v>3</v>
      </c>
      <c r="CI950" s="33">
        <v>1</v>
      </c>
      <c r="CJ950" s="33">
        <v>1</v>
      </c>
      <c r="CK950" s="33">
        <v>0</v>
      </c>
      <c r="CL950" s="33">
        <v>0</v>
      </c>
      <c r="CM950" s="33">
        <v>1</v>
      </c>
      <c r="CN950" s="33">
        <v>2</v>
      </c>
      <c r="CO950" s="33">
        <v>2</v>
      </c>
      <c r="CP950" s="43">
        <v>0.327742199178572</v>
      </c>
      <c r="CQ950" s="33">
        <v>0</v>
      </c>
      <c r="CR950" s="33">
        <v>1</v>
      </c>
    </row>
    <row r="951" spans="1:96" ht="15" customHeight="1" x14ac:dyDescent="0.25">
      <c r="A951" s="26">
        <v>949</v>
      </c>
      <c r="B951" s="27">
        <v>39</v>
      </c>
      <c r="C951" s="27">
        <v>0</v>
      </c>
      <c r="D951" s="27">
        <v>1</v>
      </c>
      <c r="E951" s="27">
        <v>524</v>
      </c>
      <c r="F951" s="27">
        <v>2</v>
      </c>
      <c r="G951" s="27">
        <v>18</v>
      </c>
      <c r="H951" s="27">
        <v>2</v>
      </c>
      <c r="I951" s="27">
        <v>1</v>
      </c>
      <c r="J951" s="27">
        <v>1</v>
      </c>
      <c r="K951" s="27">
        <v>1322</v>
      </c>
      <c r="L951" s="27">
        <v>1</v>
      </c>
      <c r="M951" s="27">
        <v>1</v>
      </c>
      <c r="N951" s="27">
        <v>32</v>
      </c>
      <c r="O951" s="27">
        <v>3</v>
      </c>
      <c r="P951" s="27">
        <v>2</v>
      </c>
      <c r="Q951" s="27">
        <v>4</v>
      </c>
      <c r="R951" s="27">
        <v>3</v>
      </c>
      <c r="S951" s="27">
        <v>1</v>
      </c>
      <c r="T951" s="27">
        <v>4534</v>
      </c>
      <c r="U951" s="27">
        <v>13352</v>
      </c>
      <c r="V951" s="27">
        <v>0</v>
      </c>
      <c r="W951" s="27">
        <v>0</v>
      </c>
      <c r="X951" s="27">
        <v>11</v>
      </c>
      <c r="Y951" s="27">
        <v>3</v>
      </c>
      <c r="Z951" s="27">
        <v>1</v>
      </c>
      <c r="AA951" s="27">
        <v>80</v>
      </c>
      <c r="AB951" s="27">
        <v>0</v>
      </c>
      <c r="AC951" s="27">
        <v>9</v>
      </c>
      <c r="AD951" s="27">
        <v>6</v>
      </c>
      <c r="AE951" s="27">
        <v>3</v>
      </c>
      <c r="AF951" s="27">
        <v>8</v>
      </c>
      <c r="AG951" s="27">
        <v>7</v>
      </c>
      <c r="AH951" s="27">
        <v>1</v>
      </c>
      <c r="AI951" s="28">
        <v>7</v>
      </c>
      <c r="AK951" s="36">
        <v>918</v>
      </c>
      <c r="AL951" s="33">
        <v>2</v>
      </c>
      <c r="AM951" s="33">
        <v>2</v>
      </c>
      <c r="AN951" s="33">
        <v>1</v>
      </c>
      <c r="AO951" s="33">
        <v>0</v>
      </c>
      <c r="AP951" s="33">
        <v>1</v>
      </c>
      <c r="AQ951" s="33">
        <v>0</v>
      </c>
      <c r="AR951" s="33">
        <v>3</v>
      </c>
      <c r="AS951" s="33">
        <v>3</v>
      </c>
      <c r="AT951" s="33">
        <v>0</v>
      </c>
      <c r="AU951" s="43">
        <v>0.37180891766935004</v>
      </c>
      <c r="AV951" s="33">
        <v>0</v>
      </c>
      <c r="AW951" s="33">
        <v>0</v>
      </c>
      <c r="AY951" s="36">
        <v>923</v>
      </c>
      <c r="AZ951" s="33">
        <v>5</v>
      </c>
      <c r="BA951" s="33">
        <v>1</v>
      </c>
      <c r="BB951" s="33">
        <v>0</v>
      </c>
      <c r="BC951" s="33">
        <v>2</v>
      </c>
      <c r="BD951" s="43">
        <v>1.5250116966792654E-2</v>
      </c>
      <c r="BE951" s="33">
        <v>0</v>
      </c>
      <c r="BF951" s="33">
        <v>0</v>
      </c>
      <c r="CE951" s="36">
        <v>917</v>
      </c>
      <c r="CF951" s="33">
        <v>4</v>
      </c>
      <c r="CG951" s="33">
        <v>5</v>
      </c>
      <c r="CH951" s="33">
        <v>2</v>
      </c>
      <c r="CI951" s="33">
        <v>2</v>
      </c>
      <c r="CJ951" s="33">
        <v>2</v>
      </c>
      <c r="CK951" s="33">
        <v>0</v>
      </c>
      <c r="CL951" s="33">
        <v>1</v>
      </c>
      <c r="CM951" s="33">
        <v>3</v>
      </c>
      <c r="CN951" s="33">
        <v>11</v>
      </c>
      <c r="CO951" s="33">
        <v>0</v>
      </c>
      <c r="CP951" s="43">
        <v>7.8084744318976888E-3</v>
      </c>
      <c r="CQ951" s="33">
        <v>0</v>
      </c>
      <c r="CR951" s="33">
        <v>0</v>
      </c>
    </row>
    <row r="952" spans="1:96" ht="15" customHeight="1" x14ac:dyDescent="0.25">
      <c r="A952" s="26">
        <v>950</v>
      </c>
      <c r="B952" s="27">
        <v>31</v>
      </c>
      <c r="C952" s="27">
        <v>0</v>
      </c>
      <c r="D952" s="27">
        <v>3</v>
      </c>
      <c r="E952" s="27">
        <v>587</v>
      </c>
      <c r="F952" s="27">
        <v>1</v>
      </c>
      <c r="G952" s="27">
        <v>2</v>
      </c>
      <c r="H952" s="27">
        <v>4</v>
      </c>
      <c r="I952" s="27">
        <v>1</v>
      </c>
      <c r="J952" s="27">
        <v>1</v>
      </c>
      <c r="K952" s="27">
        <v>1324</v>
      </c>
      <c r="L952" s="27">
        <v>4</v>
      </c>
      <c r="M952" s="27">
        <v>0</v>
      </c>
      <c r="N952" s="27">
        <v>57</v>
      </c>
      <c r="O952" s="27">
        <v>3</v>
      </c>
      <c r="P952" s="27">
        <v>3</v>
      </c>
      <c r="Q952" s="27">
        <v>1</v>
      </c>
      <c r="R952" s="27">
        <v>3</v>
      </c>
      <c r="S952" s="27">
        <v>3</v>
      </c>
      <c r="T952" s="27">
        <v>9852</v>
      </c>
      <c r="U952" s="27">
        <v>8935</v>
      </c>
      <c r="V952" s="27">
        <v>1</v>
      </c>
      <c r="W952" s="27">
        <v>1</v>
      </c>
      <c r="X952" s="27">
        <v>19</v>
      </c>
      <c r="Y952" s="27">
        <v>3</v>
      </c>
      <c r="Z952" s="27">
        <v>1</v>
      </c>
      <c r="AA952" s="27">
        <v>80</v>
      </c>
      <c r="AB952" s="27">
        <v>1</v>
      </c>
      <c r="AC952" s="27">
        <v>10</v>
      </c>
      <c r="AD952" s="27">
        <v>5</v>
      </c>
      <c r="AE952" s="27">
        <v>2</v>
      </c>
      <c r="AF952" s="27">
        <v>10</v>
      </c>
      <c r="AG952" s="27">
        <v>8</v>
      </c>
      <c r="AH952" s="27">
        <v>9</v>
      </c>
      <c r="AI952" s="28">
        <v>6</v>
      </c>
      <c r="AK952" s="36">
        <v>919</v>
      </c>
      <c r="AL952" s="33">
        <v>9</v>
      </c>
      <c r="AM952" s="33">
        <v>5</v>
      </c>
      <c r="AN952" s="33">
        <v>2</v>
      </c>
      <c r="AO952" s="33">
        <v>4</v>
      </c>
      <c r="AP952" s="33">
        <v>1</v>
      </c>
      <c r="AQ952" s="33">
        <v>1</v>
      </c>
      <c r="AR952" s="33">
        <v>2</v>
      </c>
      <c r="AS952" s="33">
        <v>29</v>
      </c>
      <c r="AT952" s="33">
        <v>11</v>
      </c>
      <c r="AU952" s="43">
        <v>5.4048098942542498E-2</v>
      </c>
      <c r="AV952" s="33">
        <v>0</v>
      </c>
      <c r="AW952" s="33">
        <v>0</v>
      </c>
      <c r="AY952" s="36">
        <v>924</v>
      </c>
      <c r="AZ952" s="33">
        <v>2</v>
      </c>
      <c r="BA952" s="33">
        <v>2</v>
      </c>
      <c r="BB952" s="33">
        <v>0</v>
      </c>
      <c r="BC952" s="33">
        <v>2</v>
      </c>
      <c r="BD952" s="43">
        <v>5.8143431646637607E-2</v>
      </c>
      <c r="BE952" s="33">
        <v>0</v>
      </c>
      <c r="BF952" s="33">
        <v>0</v>
      </c>
      <c r="CE952" s="36">
        <v>918</v>
      </c>
      <c r="CF952" s="33">
        <v>2</v>
      </c>
      <c r="CG952" s="33">
        <v>2</v>
      </c>
      <c r="CH952" s="33">
        <v>1</v>
      </c>
      <c r="CI952" s="33">
        <v>1</v>
      </c>
      <c r="CJ952" s="33">
        <v>0</v>
      </c>
      <c r="CK952" s="33">
        <v>1</v>
      </c>
      <c r="CL952" s="33">
        <v>0</v>
      </c>
      <c r="CM952" s="33">
        <v>3</v>
      </c>
      <c r="CN952" s="33">
        <v>3</v>
      </c>
      <c r="CO952" s="33">
        <v>0</v>
      </c>
      <c r="CP952" s="43">
        <v>0.43108744103125624</v>
      </c>
      <c r="CQ952" s="33">
        <v>0</v>
      </c>
      <c r="CR952" s="33">
        <v>0</v>
      </c>
    </row>
    <row r="953" spans="1:96" ht="15" customHeight="1" x14ac:dyDescent="0.25">
      <c r="A953" s="26">
        <v>951</v>
      </c>
      <c r="B953" s="27">
        <v>41</v>
      </c>
      <c r="C953" s="27">
        <v>0</v>
      </c>
      <c r="D953" s="27">
        <v>3</v>
      </c>
      <c r="E953" s="27">
        <v>256</v>
      </c>
      <c r="F953" s="27">
        <v>1</v>
      </c>
      <c r="G953" s="27">
        <v>10</v>
      </c>
      <c r="H953" s="27">
        <v>2</v>
      </c>
      <c r="I953" s="27">
        <v>3</v>
      </c>
      <c r="J953" s="27">
        <v>1</v>
      </c>
      <c r="K953" s="27">
        <v>1329</v>
      </c>
      <c r="L953" s="27">
        <v>3</v>
      </c>
      <c r="M953" s="27">
        <v>1</v>
      </c>
      <c r="N953" s="27">
        <v>40</v>
      </c>
      <c r="O953" s="27">
        <v>1</v>
      </c>
      <c r="P953" s="27">
        <v>2</v>
      </c>
      <c r="Q953" s="27">
        <v>1</v>
      </c>
      <c r="R953" s="27">
        <v>2</v>
      </c>
      <c r="S953" s="27">
        <v>1</v>
      </c>
      <c r="T953" s="27">
        <v>6151</v>
      </c>
      <c r="U953" s="27">
        <v>22074</v>
      </c>
      <c r="V953" s="27">
        <v>1</v>
      </c>
      <c r="W953" s="27">
        <v>0</v>
      </c>
      <c r="X953" s="27">
        <v>13</v>
      </c>
      <c r="Y953" s="27">
        <v>3</v>
      </c>
      <c r="Z953" s="27">
        <v>1</v>
      </c>
      <c r="AA953" s="27">
        <v>80</v>
      </c>
      <c r="AB953" s="27">
        <v>0</v>
      </c>
      <c r="AC953" s="27">
        <v>19</v>
      </c>
      <c r="AD953" s="27">
        <v>4</v>
      </c>
      <c r="AE953" s="27">
        <v>3</v>
      </c>
      <c r="AF953" s="27">
        <v>19</v>
      </c>
      <c r="AG953" s="27">
        <v>2</v>
      </c>
      <c r="AH953" s="27">
        <v>11</v>
      </c>
      <c r="AI953" s="28">
        <v>9</v>
      </c>
      <c r="AK953" s="36">
        <v>920</v>
      </c>
      <c r="AL953" s="33">
        <v>18</v>
      </c>
      <c r="AM953" s="33">
        <v>3</v>
      </c>
      <c r="AN953" s="33">
        <v>4</v>
      </c>
      <c r="AO953" s="33">
        <v>6</v>
      </c>
      <c r="AP953" s="33">
        <v>0</v>
      </c>
      <c r="AQ953" s="33">
        <v>0</v>
      </c>
      <c r="AR953" s="33">
        <v>2</v>
      </c>
      <c r="AS953" s="33">
        <v>9</v>
      </c>
      <c r="AT953" s="33">
        <v>5</v>
      </c>
      <c r="AU953" s="43">
        <v>0.11725790773629748</v>
      </c>
      <c r="AV953" s="33">
        <v>0</v>
      </c>
      <c r="AW953" s="33">
        <v>0</v>
      </c>
      <c r="AY953" s="36">
        <v>925</v>
      </c>
      <c r="AZ953" s="33">
        <v>1</v>
      </c>
      <c r="BA953" s="33">
        <v>3</v>
      </c>
      <c r="BB953" s="33">
        <v>1</v>
      </c>
      <c r="BC953" s="33">
        <v>0</v>
      </c>
      <c r="BD953" s="43">
        <v>0.49727340882350407</v>
      </c>
      <c r="BE953" s="33">
        <v>0</v>
      </c>
      <c r="BF953" s="33">
        <v>0</v>
      </c>
      <c r="CE953" s="36">
        <v>919</v>
      </c>
      <c r="CF953" s="33">
        <v>9</v>
      </c>
      <c r="CG953" s="33">
        <v>5</v>
      </c>
      <c r="CH953" s="33">
        <v>2</v>
      </c>
      <c r="CI953" s="33">
        <v>3</v>
      </c>
      <c r="CJ953" s="33">
        <v>4</v>
      </c>
      <c r="CK953" s="33">
        <v>1</v>
      </c>
      <c r="CL953" s="33">
        <v>1</v>
      </c>
      <c r="CM953" s="33">
        <v>2</v>
      </c>
      <c r="CN953" s="33">
        <v>29</v>
      </c>
      <c r="CO953" s="33">
        <v>11</v>
      </c>
      <c r="CP953" s="43">
        <v>3.4751242287160179E-2</v>
      </c>
      <c r="CQ953" s="33">
        <v>0</v>
      </c>
      <c r="CR953" s="33">
        <v>0</v>
      </c>
    </row>
    <row r="954" spans="1:96" ht="15" customHeight="1" x14ac:dyDescent="0.25">
      <c r="A954" s="26">
        <v>952</v>
      </c>
      <c r="B954" s="27">
        <v>31</v>
      </c>
      <c r="C954" s="27">
        <v>1</v>
      </c>
      <c r="D954" s="27">
        <v>2</v>
      </c>
      <c r="E954" s="27">
        <v>1060</v>
      </c>
      <c r="F954" s="27">
        <v>1</v>
      </c>
      <c r="G954" s="27">
        <v>1</v>
      </c>
      <c r="H954" s="27">
        <v>3</v>
      </c>
      <c r="I954" s="27">
        <v>1</v>
      </c>
      <c r="J954" s="27">
        <v>1</v>
      </c>
      <c r="K954" s="27">
        <v>1331</v>
      </c>
      <c r="L954" s="27">
        <v>4</v>
      </c>
      <c r="M954" s="27">
        <v>0</v>
      </c>
      <c r="N954" s="27">
        <v>54</v>
      </c>
      <c r="O954" s="27">
        <v>3</v>
      </c>
      <c r="P954" s="27">
        <v>1</v>
      </c>
      <c r="Q954" s="27">
        <v>7</v>
      </c>
      <c r="R954" s="27">
        <v>2</v>
      </c>
      <c r="S954" s="27">
        <v>1</v>
      </c>
      <c r="T954" s="27">
        <v>2302</v>
      </c>
      <c r="U954" s="27">
        <v>8319</v>
      </c>
      <c r="V954" s="27">
        <v>1</v>
      </c>
      <c r="W954" s="27">
        <v>1</v>
      </c>
      <c r="X954" s="27">
        <v>11</v>
      </c>
      <c r="Y954" s="27">
        <v>3</v>
      </c>
      <c r="Z954" s="27">
        <v>1</v>
      </c>
      <c r="AA954" s="27">
        <v>80</v>
      </c>
      <c r="AB954" s="27">
        <v>0</v>
      </c>
      <c r="AC954" s="27">
        <v>3</v>
      </c>
      <c r="AD954" s="27">
        <v>2</v>
      </c>
      <c r="AE954" s="27">
        <v>4</v>
      </c>
      <c r="AF954" s="27">
        <v>3</v>
      </c>
      <c r="AG954" s="27">
        <v>2</v>
      </c>
      <c r="AH954" s="27">
        <v>2</v>
      </c>
      <c r="AI954" s="28">
        <v>2</v>
      </c>
      <c r="AK954" s="36">
        <v>921</v>
      </c>
      <c r="AL954" s="33">
        <v>19</v>
      </c>
      <c r="AM954" s="33">
        <v>2</v>
      </c>
      <c r="AN954" s="33">
        <v>2</v>
      </c>
      <c r="AO954" s="33">
        <v>4</v>
      </c>
      <c r="AP954" s="33">
        <v>0</v>
      </c>
      <c r="AQ954" s="33">
        <v>2</v>
      </c>
      <c r="AR954" s="33">
        <v>4</v>
      </c>
      <c r="AS954" s="33">
        <v>11</v>
      </c>
      <c r="AT954" s="33">
        <v>5</v>
      </c>
      <c r="AU954" s="43">
        <v>5.9474510369313956E-2</v>
      </c>
      <c r="AV954" s="33">
        <v>0</v>
      </c>
      <c r="AW954" s="33">
        <v>0</v>
      </c>
      <c r="AY954" s="36">
        <v>926</v>
      </c>
      <c r="AZ954" s="33">
        <v>2</v>
      </c>
      <c r="BA954" s="33">
        <v>2</v>
      </c>
      <c r="BB954" s="33">
        <v>1</v>
      </c>
      <c r="BC954" s="33">
        <v>0</v>
      </c>
      <c r="BD954" s="43">
        <v>0.4312038484945574</v>
      </c>
      <c r="BE954" s="33">
        <v>0</v>
      </c>
      <c r="BF954" s="33">
        <v>0</v>
      </c>
      <c r="CE954" s="36">
        <v>920</v>
      </c>
      <c r="CF954" s="33">
        <v>18</v>
      </c>
      <c r="CG954" s="33">
        <v>3</v>
      </c>
      <c r="CH954" s="33">
        <v>4</v>
      </c>
      <c r="CI954" s="33">
        <v>1</v>
      </c>
      <c r="CJ954" s="33">
        <v>6</v>
      </c>
      <c r="CK954" s="33">
        <v>0</v>
      </c>
      <c r="CL954" s="33">
        <v>0</v>
      </c>
      <c r="CM954" s="33">
        <v>2</v>
      </c>
      <c r="CN954" s="33">
        <v>9</v>
      </c>
      <c r="CO954" s="33">
        <v>5</v>
      </c>
      <c r="CP954" s="43">
        <v>0.13905094887689853</v>
      </c>
      <c r="CQ954" s="33">
        <v>0</v>
      </c>
      <c r="CR954" s="33">
        <v>0</v>
      </c>
    </row>
    <row r="955" spans="1:96" ht="15" customHeight="1" x14ac:dyDescent="0.25">
      <c r="A955" s="26">
        <v>953</v>
      </c>
      <c r="B955" s="27">
        <v>44</v>
      </c>
      <c r="C955" s="27">
        <v>1</v>
      </c>
      <c r="D955" s="27">
        <v>1</v>
      </c>
      <c r="E955" s="27">
        <v>935</v>
      </c>
      <c r="F955" s="27">
        <v>2</v>
      </c>
      <c r="G955" s="27">
        <v>3</v>
      </c>
      <c r="H955" s="27">
        <v>3</v>
      </c>
      <c r="I955" s="27">
        <v>1</v>
      </c>
      <c r="J955" s="27">
        <v>1</v>
      </c>
      <c r="K955" s="27">
        <v>1333</v>
      </c>
      <c r="L955" s="27">
        <v>1</v>
      </c>
      <c r="M955" s="27">
        <v>1</v>
      </c>
      <c r="N955" s="27">
        <v>89</v>
      </c>
      <c r="O955" s="27">
        <v>3</v>
      </c>
      <c r="P955" s="27">
        <v>1</v>
      </c>
      <c r="Q955" s="27">
        <v>3</v>
      </c>
      <c r="R955" s="27">
        <v>1</v>
      </c>
      <c r="S955" s="27">
        <v>2</v>
      </c>
      <c r="T955" s="27">
        <v>2362</v>
      </c>
      <c r="U955" s="27">
        <v>14669</v>
      </c>
      <c r="V955" s="27">
        <v>4</v>
      </c>
      <c r="W955" s="27">
        <v>0</v>
      </c>
      <c r="X955" s="27">
        <v>12</v>
      </c>
      <c r="Y955" s="27">
        <v>3</v>
      </c>
      <c r="Z955" s="27">
        <v>3</v>
      </c>
      <c r="AA955" s="27">
        <v>80</v>
      </c>
      <c r="AB955" s="27">
        <v>0</v>
      </c>
      <c r="AC955" s="27">
        <v>10</v>
      </c>
      <c r="AD955" s="27">
        <v>4</v>
      </c>
      <c r="AE955" s="27">
        <v>4</v>
      </c>
      <c r="AF955" s="27">
        <v>3</v>
      </c>
      <c r="AG955" s="27">
        <v>2</v>
      </c>
      <c r="AH955" s="27">
        <v>1</v>
      </c>
      <c r="AI955" s="28">
        <v>2</v>
      </c>
      <c r="AK955" s="36">
        <v>922</v>
      </c>
      <c r="AL955" s="33">
        <v>1</v>
      </c>
      <c r="AM955" s="33">
        <v>1</v>
      </c>
      <c r="AN955" s="33">
        <v>3</v>
      </c>
      <c r="AO955" s="33">
        <v>0</v>
      </c>
      <c r="AP955" s="33">
        <v>1</v>
      </c>
      <c r="AQ955" s="33">
        <v>0</v>
      </c>
      <c r="AR955" s="33">
        <v>2</v>
      </c>
      <c r="AS955" s="33">
        <v>4</v>
      </c>
      <c r="AT955" s="33">
        <v>0</v>
      </c>
      <c r="AU955" s="43">
        <v>0.39409292218283337</v>
      </c>
      <c r="AV955" s="33">
        <v>0</v>
      </c>
      <c r="AW955" s="33">
        <v>0</v>
      </c>
      <c r="AY955" s="36">
        <v>927</v>
      </c>
      <c r="AZ955" s="33">
        <v>3</v>
      </c>
      <c r="BA955" s="33">
        <v>4</v>
      </c>
      <c r="BB955" s="33">
        <v>0</v>
      </c>
      <c r="BC955" s="33">
        <v>0</v>
      </c>
      <c r="BD955" s="43">
        <v>5.3512841598087578E-2</v>
      </c>
      <c r="BE955" s="33">
        <v>0</v>
      </c>
      <c r="BF955" s="33">
        <v>0</v>
      </c>
      <c r="CE955" s="36">
        <v>921</v>
      </c>
      <c r="CF955" s="33">
        <v>19</v>
      </c>
      <c r="CG955" s="33">
        <v>2</v>
      </c>
      <c r="CH955" s="33">
        <v>2</v>
      </c>
      <c r="CI955" s="33">
        <v>3</v>
      </c>
      <c r="CJ955" s="33">
        <v>4</v>
      </c>
      <c r="CK955" s="33">
        <v>0</v>
      </c>
      <c r="CL955" s="33">
        <v>2</v>
      </c>
      <c r="CM955" s="33">
        <v>4</v>
      </c>
      <c r="CN955" s="33">
        <v>11</v>
      </c>
      <c r="CO955" s="33">
        <v>5</v>
      </c>
      <c r="CP955" s="43">
        <v>4.753688234009306E-2</v>
      </c>
      <c r="CQ955" s="33">
        <v>0</v>
      </c>
      <c r="CR955" s="33">
        <v>0</v>
      </c>
    </row>
    <row r="956" spans="1:96" ht="15" customHeight="1" x14ac:dyDescent="0.25">
      <c r="A956" s="26">
        <v>954</v>
      </c>
      <c r="B956" s="27">
        <v>42</v>
      </c>
      <c r="C956" s="27">
        <v>0</v>
      </c>
      <c r="D956" s="27">
        <v>3</v>
      </c>
      <c r="E956" s="27">
        <v>495</v>
      </c>
      <c r="F956" s="27">
        <v>2</v>
      </c>
      <c r="G956" s="27">
        <v>2</v>
      </c>
      <c r="H956" s="27">
        <v>1</v>
      </c>
      <c r="I956" s="27">
        <v>1</v>
      </c>
      <c r="J956" s="27">
        <v>1</v>
      </c>
      <c r="K956" s="27">
        <v>1334</v>
      </c>
      <c r="L956" s="27">
        <v>3</v>
      </c>
      <c r="M956" s="27">
        <v>1</v>
      </c>
      <c r="N956" s="27">
        <v>37</v>
      </c>
      <c r="O956" s="27">
        <v>3</v>
      </c>
      <c r="P956" s="27">
        <v>4</v>
      </c>
      <c r="Q956" s="27">
        <v>6</v>
      </c>
      <c r="R956" s="27">
        <v>3</v>
      </c>
      <c r="S956" s="27">
        <v>2</v>
      </c>
      <c r="T956" s="27">
        <v>17861</v>
      </c>
      <c r="U956" s="27">
        <v>26582</v>
      </c>
      <c r="V956" s="27">
        <v>0</v>
      </c>
      <c r="W956" s="27">
        <v>1</v>
      </c>
      <c r="X956" s="27">
        <v>13</v>
      </c>
      <c r="Y956" s="27">
        <v>3</v>
      </c>
      <c r="Z956" s="27">
        <v>4</v>
      </c>
      <c r="AA956" s="27">
        <v>80</v>
      </c>
      <c r="AB956" s="27">
        <v>0</v>
      </c>
      <c r="AC956" s="27">
        <v>21</v>
      </c>
      <c r="AD956" s="27">
        <v>3</v>
      </c>
      <c r="AE956" s="27">
        <v>2</v>
      </c>
      <c r="AF956" s="27">
        <v>20</v>
      </c>
      <c r="AG956" s="27">
        <v>8</v>
      </c>
      <c r="AH956" s="27">
        <v>2</v>
      </c>
      <c r="AI956" s="28">
        <v>10</v>
      </c>
      <c r="AK956" s="36">
        <v>923</v>
      </c>
      <c r="AL956" s="33">
        <v>4</v>
      </c>
      <c r="AM956" s="33">
        <v>5</v>
      </c>
      <c r="AN956" s="33">
        <v>1</v>
      </c>
      <c r="AO956" s="33">
        <v>1</v>
      </c>
      <c r="AP956" s="33">
        <v>0</v>
      </c>
      <c r="AQ956" s="33">
        <v>2</v>
      </c>
      <c r="AR956" s="33">
        <v>2</v>
      </c>
      <c r="AS956" s="33">
        <v>25</v>
      </c>
      <c r="AT956" s="33">
        <v>14</v>
      </c>
      <c r="AU956" s="43">
        <v>1.2076191211507981E-2</v>
      </c>
      <c r="AV956" s="33">
        <v>0</v>
      </c>
      <c r="AW956" s="33">
        <v>0</v>
      </c>
      <c r="AY956" s="36">
        <v>928</v>
      </c>
      <c r="AZ956" s="33">
        <v>2</v>
      </c>
      <c r="BA956" s="33">
        <v>2</v>
      </c>
      <c r="BB956" s="33">
        <v>1</v>
      </c>
      <c r="BC956" s="33">
        <v>0</v>
      </c>
      <c r="BD956" s="43">
        <v>0.4312038484945574</v>
      </c>
      <c r="BE956" s="33">
        <v>0</v>
      </c>
      <c r="BF956" s="33">
        <v>0</v>
      </c>
      <c r="CE956" s="36">
        <v>922</v>
      </c>
      <c r="CF956" s="33">
        <v>1</v>
      </c>
      <c r="CG956" s="33">
        <v>1</v>
      </c>
      <c r="CH956" s="33">
        <v>3</v>
      </c>
      <c r="CI956" s="33">
        <v>1</v>
      </c>
      <c r="CJ956" s="33">
        <v>0</v>
      </c>
      <c r="CK956" s="33">
        <v>1</v>
      </c>
      <c r="CL956" s="33">
        <v>0</v>
      </c>
      <c r="CM956" s="33">
        <v>2</v>
      </c>
      <c r="CN956" s="33">
        <v>4</v>
      </c>
      <c r="CO956" s="33">
        <v>0</v>
      </c>
      <c r="CP956" s="43">
        <v>0.44644816525782083</v>
      </c>
      <c r="CQ956" s="33">
        <v>0</v>
      </c>
      <c r="CR956" s="33">
        <v>0</v>
      </c>
    </row>
    <row r="957" spans="1:96" ht="15" customHeight="1" x14ac:dyDescent="0.25">
      <c r="A957" s="26">
        <v>955</v>
      </c>
      <c r="B957" s="27">
        <v>55</v>
      </c>
      <c r="C957" s="27">
        <v>0</v>
      </c>
      <c r="D957" s="27">
        <v>1</v>
      </c>
      <c r="E957" s="27">
        <v>282</v>
      </c>
      <c r="F957" s="27">
        <v>2</v>
      </c>
      <c r="G957" s="27">
        <v>2</v>
      </c>
      <c r="H957" s="27">
        <v>2</v>
      </c>
      <c r="I957" s="27">
        <v>3</v>
      </c>
      <c r="J957" s="27">
        <v>1</v>
      </c>
      <c r="K957" s="27">
        <v>1336</v>
      </c>
      <c r="L957" s="27">
        <v>4</v>
      </c>
      <c r="M957" s="27">
        <v>0</v>
      </c>
      <c r="N957" s="27">
        <v>58</v>
      </c>
      <c r="O957" s="27">
        <v>1</v>
      </c>
      <c r="P957" s="27">
        <v>5</v>
      </c>
      <c r="Q957" s="27">
        <v>6</v>
      </c>
      <c r="R957" s="27">
        <v>3</v>
      </c>
      <c r="S957" s="27">
        <v>2</v>
      </c>
      <c r="T957" s="27">
        <v>19187</v>
      </c>
      <c r="U957" s="27">
        <v>6992</v>
      </c>
      <c r="V957" s="27">
        <v>4</v>
      </c>
      <c r="W957" s="27">
        <v>0</v>
      </c>
      <c r="X957" s="27">
        <v>14</v>
      </c>
      <c r="Y957" s="27">
        <v>3</v>
      </c>
      <c r="Z957" s="27">
        <v>4</v>
      </c>
      <c r="AA957" s="27">
        <v>80</v>
      </c>
      <c r="AB957" s="27">
        <v>1</v>
      </c>
      <c r="AC957" s="27">
        <v>23</v>
      </c>
      <c r="AD957" s="27">
        <v>5</v>
      </c>
      <c r="AE957" s="27">
        <v>3</v>
      </c>
      <c r="AF957" s="27">
        <v>19</v>
      </c>
      <c r="AG957" s="27">
        <v>9</v>
      </c>
      <c r="AH957" s="27">
        <v>9</v>
      </c>
      <c r="AI957" s="28">
        <v>11</v>
      </c>
      <c r="AK957" s="36">
        <v>924</v>
      </c>
      <c r="AL957" s="33">
        <v>11</v>
      </c>
      <c r="AM957" s="33">
        <v>2</v>
      </c>
      <c r="AN957" s="33">
        <v>2</v>
      </c>
      <c r="AO957" s="33">
        <v>4</v>
      </c>
      <c r="AP957" s="33">
        <v>0</v>
      </c>
      <c r="AQ957" s="33">
        <v>2</v>
      </c>
      <c r="AR957" s="33">
        <v>4</v>
      </c>
      <c r="AS957" s="33">
        <v>10</v>
      </c>
      <c r="AT957" s="33">
        <v>1</v>
      </c>
      <c r="AU957" s="43">
        <v>3.1944992779130245E-2</v>
      </c>
      <c r="AV957" s="33">
        <v>0</v>
      </c>
      <c r="AW957" s="33">
        <v>0</v>
      </c>
      <c r="AY957" s="36">
        <v>929</v>
      </c>
      <c r="AZ957" s="33">
        <v>3</v>
      </c>
      <c r="BA957" s="33">
        <v>4</v>
      </c>
      <c r="BB957" s="33">
        <v>0</v>
      </c>
      <c r="BC957" s="33">
        <v>1</v>
      </c>
      <c r="BD957" s="43">
        <v>3.2280700557178299E-2</v>
      </c>
      <c r="BE957" s="33">
        <v>0</v>
      </c>
      <c r="BF957" s="33">
        <v>1</v>
      </c>
      <c r="CE957" s="36">
        <v>923</v>
      </c>
      <c r="CF957" s="33">
        <v>4</v>
      </c>
      <c r="CG957" s="33">
        <v>5</v>
      </c>
      <c r="CH957" s="33">
        <v>1</v>
      </c>
      <c r="CI957" s="33">
        <v>3</v>
      </c>
      <c r="CJ957" s="33">
        <v>1</v>
      </c>
      <c r="CK957" s="33">
        <v>0</v>
      </c>
      <c r="CL957" s="33">
        <v>2</v>
      </c>
      <c r="CM957" s="33">
        <v>2</v>
      </c>
      <c r="CN957" s="33">
        <v>25</v>
      </c>
      <c r="CO957" s="33">
        <v>14</v>
      </c>
      <c r="CP957" s="43">
        <v>1.0601531556658656E-2</v>
      </c>
      <c r="CQ957" s="33">
        <v>0</v>
      </c>
      <c r="CR957" s="33">
        <v>0</v>
      </c>
    </row>
    <row r="958" spans="1:96" ht="15" customHeight="1" x14ac:dyDescent="0.25">
      <c r="A958" s="26">
        <v>956</v>
      </c>
      <c r="B958" s="27">
        <v>56</v>
      </c>
      <c r="C958" s="27">
        <v>0</v>
      </c>
      <c r="D958" s="27">
        <v>1</v>
      </c>
      <c r="E958" s="27">
        <v>206</v>
      </c>
      <c r="F958" s="27">
        <v>3</v>
      </c>
      <c r="G958" s="27">
        <v>8</v>
      </c>
      <c r="H958" s="27">
        <v>4</v>
      </c>
      <c r="I958" s="27">
        <v>1</v>
      </c>
      <c r="J958" s="27">
        <v>1</v>
      </c>
      <c r="K958" s="27">
        <v>1338</v>
      </c>
      <c r="L958" s="27">
        <v>4</v>
      </c>
      <c r="M958" s="27">
        <v>1</v>
      </c>
      <c r="N958" s="27">
        <v>99</v>
      </c>
      <c r="O958" s="27">
        <v>3</v>
      </c>
      <c r="P958" s="27">
        <v>5</v>
      </c>
      <c r="Q958" s="27">
        <v>6</v>
      </c>
      <c r="R958" s="27">
        <v>2</v>
      </c>
      <c r="S958" s="27">
        <v>1</v>
      </c>
      <c r="T958" s="27">
        <v>19717</v>
      </c>
      <c r="U958" s="27">
        <v>4022</v>
      </c>
      <c r="V958" s="27">
        <v>6</v>
      </c>
      <c r="W958" s="27">
        <v>0</v>
      </c>
      <c r="X958" s="27">
        <v>14</v>
      </c>
      <c r="Y958" s="27">
        <v>3</v>
      </c>
      <c r="Z958" s="27">
        <v>1</v>
      </c>
      <c r="AA958" s="27">
        <v>80</v>
      </c>
      <c r="AB958" s="27">
        <v>0</v>
      </c>
      <c r="AC958" s="27">
        <v>36</v>
      </c>
      <c r="AD958" s="27">
        <v>4</v>
      </c>
      <c r="AE958" s="27">
        <v>3</v>
      </c>
      <c r="AF958" s="27">
        <v>7</v>
      </c>
      <c r="AG958" s="27">
        <v>3</v>
      </c>
      <c r="AH958" s="27">
        <v>7</v>
      </c>
      <c r="AI958" s="28">
        <v>7</v>
      </c>
      <c r="AK958" s="36">
        <v>925</v>
      </c>
      <c r="AL958" s="33">
        <v>6</v>
      </c>
      <c r="AM958" s="33">
        <v>1</v>
      </c>
      <c r="AN958" s="33">
        <v>3</v>
      </c>
      <c r="AO958" s="33">
        <v>0</v>
      </c>
      <c r="AP958" s="33">
        <v>1</v>
      </c>
      <c r="AQ958" s="33">
        <v>0</v>
      </c>
      <c r="AR958" s="33">
        <v>3</v>
      </c>
      <c r="AS958" s="33">
        <v>3</v>
      </c>
      <c r="AT958" s="33">
        <v>2</v>
      </c>
      <c r="AU958" s="43">
        <v>0.4512327604066908</v>
      </c>
      <c r="AV958" s="33">
        <v>0</v>
      </c>
      <c r="AW958" s="33">
        <v>0</v>
      </c>
      <c r="AY958" s="36">
        <v>930</v>
      </c>
      <c r="AZ958" s="33">
        <v>1</v>
      </c>
      <c r="BA958" s="33">
        <v>4</v>
      </c>
      <c r="BB958" s="33">
        <v>1</v>
      </c>
      <c r="BC958" s="33">
        <v>1</v>
      </c>
      <c r="BD958" s="43">
        <v>0.30345027699196836</v>
      </c>
      <c r="BE958" s="33">
        <v>0</v>
      </c>
      <c r="BF958" s="33">
        <v>0</v>
      </c>
      <c r="CE958" s="36">
        <v>924</v>
      </c>
      <c r="CF958" s="33">
        <v>11</v>
      </c>
      <c r="CG958" s="33">
        <v>2</v>
      </c>
      <c r="CH958" s="33">
        <v>2</v>
      </c>
      <c r="CI958" s="33">
        <v>2</v>
      </c>
      <c r="CJ958" s="33">
        <v>4</v>
      </c>
      <c r="CK958" s="33">
        <v>0</v>
      </c>
      <c r="CL958" s="33">
        <v>2</v>
      </c>
      <c r="CM958" s="33">
        <v>4</v>
      </c>
      <c r="CN958" s="33">
        <v>10</v>
      </c>
      <c r="CO958" s="33">
        <v>1</v>
      </c>
      <c r="CP958" s="43">
        <v>4.2993474156895986E-2</v>
      </c>
      <c r="CQ958" s="33">
        <v>0</v>
      </c>
      <c r="CR958" s="33">
        <v>0</v>
      </c>
    </row>
    <row r="959" spans="1:96" ht="15" customHeight="1" x14ac:dyDescent="0.25">
      <c r="A959" s="26">
        <v>957</v>
      </c>
      <c r="B959" s="27">
        <v>40</v>
      </c>
      <c r="C959" s="27">
        <v>0</v>
      </c>
      <c r="D959" s="27">
        <v>3</v>
      </c>
      <c r="E959" s="27">
        <v>458</v>
      </c>
      <c r="F959" s="27">
        <v>2</v>
      </c>
      <c r="G959" s="27">
        <v>16</v>
      </c>
      <c r="H959" s="27">
        <v>2</v>
      </c>
      <c r="I959" s="27">
        <v>1</v>
      </c>
      <c r="J959" s="27">
        <v>1</v>
      </c>
      <c r="K959" s="27">
        <v>1340</v>
      </c>
      <c r="L959" s="27">
        <v>3</v>
      </c>
      <c r="M959" s="27">
        <v>1</v>
      </c>
      <c r="N959" s="27">
        <v>74</v>
      </c>
      <c r="O959" s="27">
        <v>3</v>
      </c>
      <c r="P959" s="27">
        <v>1</v>
      </c>
      <c r="Q959" s="27">
        <v>2</v>
      </c>
      <c r="R959" s="27">
        <v>3</v>
      </c>
      <c r="S959" s="27">
        <v>3</v>
      </c>
      <c r="T959" s="27">
        <v>3544</v>
      </c>
      <c r="U959" s="27">
        <v>8532</v>
      </c>
      <c r="V959" s="27">
        <v>9</v>
      </c>
      <c r="W959" s="27">
        <v>0</v>
      </c>
      <c r="X959" s="27">
        <v>16</v>
      </c>
      <c r="Y959" s="27">
        <v>3</v>
      </c>
      <c r="Z959" s="27">
        <v>2</v>
      </c>
      <c r="AA959" s="27">
        <v>80</v>
      </c>
      <c r="AB959" s="27">
        <v>1</v>
      </c>
      <c r="AC959" s="27">
        <v>6</v>
      </c>
      <c r="AD959" s="27">
        <v>0</v>
      </c>
      <c r="AE959" s="27">
        <v>3</v>
      </c>
      <c r="AF959" s="27">
        <v>4</v>
      </c>
      <c r="AG959" s="27">
        <v>2</v>
      </c>
      <c r="AH959" s="27">
        <v>0</v>
      </c>
      <c r="AI959" s="28">
        <v>0</v>
      </c>
      <c r="AK959" s="36">
        <v>926</v>
      </c>
      <c r="AL959" s="33">
        <v>7</v>
      </c>
      <c r="AM959" s="33">
        <v>2</v>
      </c>
      <c r="AN959" s="33">
        <v>2</v>
      </c>
      <c r="AO959" s="33">
        <v>6</v>
      </c>
      <c r="AP959" s="33">
        <v>1</v>
      </c>
      <c r="AQ959" s="33">
        <v>0</v>
      </c>
      <c r="AR959" s="33">
        <v>3</v>
      </c>
      <c r="AS959" s="33">
        <v>1</v>
      </c>
      <c r="AT959" s="33">
        <v>0</v>
      </c>
      <c r="AU959" s="43">
        <v>0.4999555069556581</v>
      </c>
      <c r="AV959" s="33">
        <v>0</v>
      </c>
      <c r="AW959" s="33">
        <v>0</v>
      </c>
      <c r="AY959" s="36">
        <v>931</v>
      </c>
      <c r="AZ959" s="33">
        <v>1</v>
      </c>
      <c r="BA959" s="33">
        <v>3</v>
      </c>
      <c r="BB959" s="33">
        <v>0</v>
      </c>
      <c r="BC959" s="33">
        <v>0</v>
      </c>
      <c r="BD959" s="43">
        <v>0.18791247240909698</v>
      </c>
      <c r="BE959" s="33">
        <v>0</v>
      </c>
      <c r="BF959" s="33">
        <v>0</v>
      </c>
      <c r="CE959" s="36">
        <v>925</v>
      </c>
      <c r="CF959" s="33">
        <v>6</v>
      </c>
      <c r="CG959" s="33">
        <v>1</v>
      </c>
      <c r="CH959" s="33">
        <v>3</v>
      </c>
      <c r="CI959" s="33">
        <v>2</v>
      </c>
      <c r="CJ959" s="33">
        <v>0</v>
      </c>
      <c r="CK959" s="33">
        <v>1</v>
      </c>
      <c r="CL959" s="33">
        <v>0</v>
      </c>
      <c r="CM959" s="33">
        <v>3</v>
      </c>
      <c r="CN959" s="33">
        <v>3</v>
      </c>
      <c r="CO959" s="33">
        <v>2</v>
      </c>
      <c r="CP959" s="43">
        <v>0.36677863808319167</v>
      </c>
      <c r="CQ959" s="33">
        <v>0</v>
      </c>
      <c r="CR959" s="33">
        <v>0</v>
      </c>
    </row>
    <row r="960" spans="1:96" ht="15" customHeight="1" x14ac:dyDescent="0.25">
      <c r="A960" s="26">
        <v>958</v>
      </c>
      <c r="B960" s="27">
        <v>34</v>
      </c>
      <c r="C960" s="27">
        <v>0</v>
      </c>
      <c r="D960" s="27">
        <v>1</v>
      </c>
      <c r="E960" s="27">
        <v>943</v>
      </c>
      <c r="F960" s="27">
        <v>2</v>
      </c>
      <c r="G960" s="27">
        <v>9</v>
      </c>
      <c r="H960" s="27">
        <v>3</v>
      </c>
      <c r="I960" s="27">
        <v>1</v>
      </c>
      <c r="J960" s="27">
        <v>1</v>
      </c>
      <c r="K960" s="27">
        <v>1344</v>
      </c>
      <c r="L960" s="27">
        <v>4</v>
      </c>
      <c r="M960" s="27">
        <v>1</v>
      </c>
      <c r="N960" s="27">
        <v>86</v>
      </c>
      <c r="O960" s="27">
        <v>3</v>
      </c>
      <c r="P960" s="27">
        <v>3</v>
      </c>
      <c r="Q960" s="27">
        <v>5</v>
      </c>
      <c r="R960" s="27">
        <v>4</v>
      </c>
      <c r="S960" s="27">
        <v>3</v>
      </c>
      <c r="T960" s="27">
        <v>8500</v>
      </c>
      <c r="U960" s="27">
        <v>5494</v>
      </c>
      <c r="V960" s="27">
        <v>0</v>
      </c>
      <c r="W960" s="27">
        <v>0</v>
      </c>
      <c r="X960" s="27">
        <v>11</v>
      </c>
      <c r="Y960" s="27">
        <v>3</v>
      </c>
      <c r="Z960" s="27">
        <v>4</v>
      </c>
      <c r="AA960" s="27">
        <v>80</v>
      </c>
      <c r="AB960" s="27">
        <v>1</v>
      </c>
      <c r="AC960" s="27">
        <v>10</v>
      </c>
      <c r="AD960" s="27">
        <v>0</v>
      </c>
      <c r="AE960" s="27">
        <v>2</v>
      </c>
      <c r="AF960" s="27">
        <v>9</v>
      </c>
      <c r="AG960" s="27">
        <v>7</v>
      </c>
      <c r="AH960" s="27">
        <v>1</v>
      </c>
      <c r="AI960" s="28">
        <v>6</v>
      </c>
      <c r="AK960" s="36">
        <v>927</v>
      </c>
      <c r="AL960" s="33">
        <v>4</v>
      </c>
      <c r="AM960" s="33">
        <v>3</v>
      </c>
      <c r="AN960" s="33">
        <v>4</v>
      </c>
      <c r="AO960" s="33">
        <v>3</v>
      </c>
      <c r="AP960" s="33">
        <v>0</v>
      </c>
      <c r="AQ960" s="33">
        <v>0</v>
      </c>
      <c r="AR960" s="33">
        <v>4</v>
      </c>
      <c r="AS960" s="33">
        <v>21</v>
      </c>
      <c r="AT960" s="33">
        <v>15</v>
      </c>
      <c r="AU960" s="43">
        <v>5.0289173781166541E-2</v>
      </c>
      <c r="AV960" s="33">
        <v>0</v>
      </c>
      <c r="AW960" s="33">
        <v>0</v>
      </c>
      <c r="AY960" s="36">
        <v>932</v>
      </c>
      <c r="AZ960" s="33">
        <v>2</v>
      </c>
      <c r="BA960" s="33">
        <v>3</v>
      </c>
      <c r="BB960" s="33">
        <v>1</v>
      </c>
      <c r="BC960" s="33">
        <v>0</v>
      </c>
      <c r="BD960" s="43">
        <v>0.36139389867144694</v>
      </c>
      <c r="BE960" s="33">
        <v>0</v>
      </c>
      <c r="BF960" s="33">
        <v>0</v>
      </c>
      <c r="CE960" s="36">
        <v>926</v>
      </c>
      <c r="CF960" s="33">
        <v>7</v>
      </c>
      <c r="CG960" s="33">
        <v>2</v>
      </c>
      <c r="CH960" s="33">
        <v>2</v>
      </c>
      <c r="CI960" s="33">
        <v>2</v>
      </c>
      <c r="CJ960" s="33">
        <v>6</v>
      </c>
      <c r="CK960" s="33">
        <v>1</v>
      </c>
      <c r="CL960" s="33">
        <v>0</v>
      </c>
      <c r="CM960" s="33">
        <v>3</v>
      </c>
      <c r="CN960" s="33">
        <v>1</v>
      </c>
      <c r="CO960" s="33">
        <v>0</v>
      </c>
      <c r="CP960" s="43">
        <v>0.4213972347099626</v>
      </c>
      <c r="CQ960" s="33">
        <v>0</v>
      </c>
      <c r="CR960" s="33">
        <v>0</v>
      </c>
    </row>
    <row r="961" spans="1:96" ht="15" customHeight="1" x14ac:dyDescent="0.25">
      <c r="A961" s="26">
        <v>959</v>
      </c>
      <c r="B961" s="27">
        <v>40</v>
      </c>
      <c r="C961" s="27">
        <v>0</v>
      </c>
      <c r="D961" s="27">
        <v>1</v>
      </c>
      <c r="E961" s="27">
        <v>523</v>
      </c>
      <c r="F961" s="27">
        <v>2</v>
      </c>
      <c r="G961" s="27">
        <v>2</v>
      </c>
      <c r="H961" s="27">
        <v>3</v>
      </c>
      <c r="I961" s="27">
        <v>1</v>
      </c>
      <c r="J961" s="27">
        <v>1</v>
      </c>
      <c r="K961" s="27">
        <v>1346</v>
      </c>
      <c r="L961" s="27">
        <v>3</v>
      </c>
      <c r="M961" s="27">
        <v>1</v>
      </c>
      <c r="N961" s="27">
        <v>98</v>
      </c>
      <c r="O961" s="27">
        <v>3</v>
      </c>
      <c r="P961" s="27">
        <v>2</v>
      </c>
      <c r="Q961" s="27">
        <v>2</v>
      </c>
      <c r="R961" s="27">
        <v>4</v>
      </c>
      <c r="S961" s="27">
        <v>1</v>
      </c>
      <c r="T961" s="27">
        <v>4661</v>
      </c>
      <c r="U961" s="27">
        <v>22455</v>
      </c>
      <c r="V961" s="27">
        <v>1</v>
      </c>
      <c r="W961" s="27">
        <v>0</v>
      </c>
      <c r="X961" s="27">
        <v>13</v>
      </c>
      <c r="Y961" s="27">
        <v>3</v>
      </c>
      <c r="Z961" s="27">
        <v>3</v>
      </c>
      <c r="AA961" s="27">
        <v>80</v>
      </c>
      <c r="AB961" s="27">
        <v>0</v>
      </c>
      <c r="AC961" s="27">
        <v>9</v>
      </c>
      <c r="AD961" s="27">
        <v>4</v>
      </c>
      <c r="AE961" s="27">
        <v>3</v>
      </c>
      <c r="AF961" s="27">
        <v>9</v>
      </c>
      <c r="AG961" s="27">
        <v>8</v>
      </c>
      <c r="AH961" s="27">
        <v>8</v>
      </c>
      <c r="AI961" s="28">
        <v>8</v>
      </c>
      <c r="AK961" s="36">
        <v>928</v>
      </c>
      <c r="AL961" s="33">
        <v>2</v>
      </c>
      <c r="AM961" s="33">
        <v>2</v>
      </c>
      <c r="AN961" s="33">
        <v>2</v>
      </c>
      <c r="AO961" s="33">
        <v>9</v>
      </c>
      <c r="AP961" s="33">
        <v>1</v>
      </c>
      <c r="AQ961" s="33">
        <v>0</v>
      </c>
      <c r="AR961" s="33">
        <v>3</v>
      </c>
      <c r="AS961" s="33">
        <v>16</v>
      </c>
      <c r="AT961" s="33">
        <v>5</v>
      </c>
      <c r="AU961" s="43">
        <v>0.39383207265057468</v>
      </c>
      <c r="AV961" s="33">
        <v>0</v>
      </c>
      <c r="AW961" s="33">
        <v>0</v>
      </c>
      <c r="AY961" s="36">
        <v>933</v>
      </c>
      <c r="AZ961" s="33">
        <v>1</v>
      </c>
      <c r="BA961" s="33">
        <v>3</v>
      </c>
      <c r="BB961" s="33">
        <v>1</v>
      </c>
      <c r="BC961" s="33">
        <v>2</v>
      </c>
      <c r="BD961" s="43">
        <v>0.25613021805548125</v>
      </c>
      <c r="BE961" s="33">
        <v>0</v>
      </c>
      <c r="BF961" s="33">
        <v>1</v>
      </c>
      <c r="CE961" s="36">
        <v>927</v>
      </c>
      <c r="CF961" s="33">
        <v>4</v>
      </c>
      <c r="CG961" s="33">
        <v>3</v>
      </c>
      <c r="CH961" s="33">
        <v>4</v>
      </c>
      <c r="CI961" s="33">
        <v>1</v>
      </c>
      <c r="CJ961" s="33">
        <v>3</v>
      </c>
      <c r="CK961" s="33">
        <v>0</v>
      </c>
      <c r="CL961" s="33">
        <v>0</v>
      </c>
      <c r="CM961" s="33">
        <v>4</v>
      </c>
      <c r="CN961" s="33">
        <v>21</v>
      </c>
      <c r="CO961" s="33">
        <v>15</v>
      </c>
      <c r="CP961" s="43">
        <v>5.9989355003068623E-2</v>
      </c>
      <c r="CQ961" s="33">
        <v>0</v>
      </c>
      <c r="CR961" s="33">
        <v>0</v>
      </c>
    </row>
    <row r="962" spans="1:96" ht="15" customHeight="1" x14ac:dyDescent="0.25">
      <c r="A962" s="26">
        <v>960</v>
      </c>
      <c r="B962" s="27">
        <v>41</v>
      </c>
      <c r="C962" s="27">
        <v>0</v>
      </c>
      <c r="D962" s="27">
        <v>2</v>
      </c>
      <c r="E962" s="27">
        <v>1018</v>
      </c>
      <c r="F962" s="27">
        <v>1</v>
      </c>
      <c r="G962" s="27">
        <v>1</v>
      </c>
      <c r="H962" s="27">
        <v>3</v>
      </c>
      <c r="I962" s="27">
        <v>4</v>
      </c>
      <c r="J962" s="27">
        <v>1</v>
      </c>
      <c r="K962" s="27">
        <v>1349</v>
      </c>
      <c r="L962" s="27">
        <v>3</v>
      </c>
      <c r="M962" s="27">
        <v>0</v>
      </c>
      <c r="N962" s="27">
        <v>66</v>
      </c>
      <c r="O962" s="27">
        <v>3</v>
      </c>
      <c r="P962" s="27">
        <v>2</v>
      </c>
      <c r="Q962" s="27">
        <v>1</v>
      </c>
      <c r="R962" s="27">
        <v>1</v>
      </c>
      <c r="S962" s="27">
        <v>3</v>
      </c>
      <c r="T962" s="27">
        <v>4103</v>
      </c>
      <c r="U962" s="27">
        <v>4297</v>
      </c>
      <c r="V962" s="27">
        <v>0</v>
      </c>
      <c r="W962" s="27">
        <v>0</v>
      </c>
      <c r="X962" s="27">
        <v>17</v>
      </c>
      <c r="Y962" s="27">
        <v>3</v>
      </c>
      <c r="Z962" s="27">
        <v>4</v>
      </c>
      <c r="AA962" s="27">
        <v>80</v>
      </c>
      <c r="AB962" s="27">
        <v>1</v>
      </c>
      <c r="AC962" s="27">
        <v>10</v>
      </c>
      <c r="AD962" s="27">
        <v>2</v>
      </c>
      <c r="AE962" s="27">
        <v>3</v>
      </c>
      <c r="AF962" s="27">
        <v>9</v>
      </c>
      <c r="AG962" s="27">
        <v>3</v>
      </c>
      <c r="AH962" s="27">
        <v>1</v>
      </c>
      <c r="AI962" s="28">
        <v>7</v>
      </c>
      <c r="AK962" s="36">
        <v>929</v>
      </c>
      <c r="AL962" s="33">
        <v>15</v>
      </c>
      <c r="AM962" s="33">
        <v>3</v>
      </c>
      <c r="AN962" s="33">
        <v>4</v>
      </c>
      <c r="AO962" s="33">
        <v>1</v>
      </c>
      <c r="AP962" s="33">
        <v>0</v>
      </c>
      <c r="AQ962" s="33">
        <v>1</v>
      </c>
      <c r="AR962" s="33">
        <v>3</v>
      </c>
      <c r="AS962" s="33">
        <v>10</v>
      </c>
      <c r="AT962" s="33">
        <v>0</v>
      </c>
      <c r="AU962" s="43">
        <v>1.8378707584906815E-2</v>
      </c>
      <c r="AV962" s="33">
        <v>0</v>
      </c>
      <c r="AW962" s="33">
        <v>1</v>
      </c>
      <c r="AY962" s="36">
        <v>934</v>
      </c>
      <c r="AZ962" s="33">
        <v>1</v>
      </c>
      <c r="BA962" s="33">
        <v>1</v>
      </c>
      <c r="BB962" s="33">
        <v>0</v>
      </c>
      <c r="BC962" s="33">
        <v>0</v>
      </c>
      <c r="BD962" s="43">
        <v>0.29341085656570393</v>
      </c>
      <c r="BE962" s="33">
        <v>0</v>
      </c>
      <c r="BF962" s="33">
        <v>0</v>
      </c>
      <c r="CE962" s="36">
        <v>928</v>
      </c>
      <c r="CF962" s="33">
        <v>2</v>
      </c>
      <c r="CG962" s="33">
        <v>2</v>
      </c>
      <c r="CH962" s="33">
        <v>2</v>
      </c>
      <c r="CI962" s="33">
        <v>1</v>
      </c>
      <c r="CJ962" s="33">
        <v>9</v>
      </c>
      <c r="CK962" s="33">
        <v>1</v>
      </c>
      <c r="CL962" s="33">
        <v>0</v>
      </c>
      <c r="CM962" s="33">
        <v>3</v>
      </c>
      <c r="CN962" s="33">
        <v>16</v>
      </c>
      <c r="CO962" s="33">
        <v>5</v>
      </c>
      <c r="CP962" s="43">
        <v>0.45499071333891822</v>
      </c>
      <c r="CQ962" s="33">
        <v>0</v>
      </c>
      <c r="CR962" s="33">
        <v>0</v>
      </c>
    </row>
    <row r="963" spans="1:96" ht="15" customHeight="1" x14ac:dyDescent="0.25">
      <c r="A963" s="26">
        <v>961</v>
      </c>
      <c r="B963" s="27">
        <v>35</v>
      </c>
      <c r="C963" s="27">
        <v>0</v>
      </c>
      <c r="D963" s="27">
        <v>2</v>
      </c>
      <c r="E963" s="27">
        <v>482</v>
      </c>
      <c r="F963" s="27">
        <v>2</v>
      </c>
      <c r="G963" s="27">
        <v>4</v>
      </c>
      <c r="H963" s="27">
        <v>4</v>
      </c>
      <c r="I963" s="27">
        <v>1</v>
      </c>
      <c r="J963" s="27">
        <v>1</v>
      </c>
      <c r="K963" s="27">
        <v>1350</v>
      </c>
      <c r="L963" s="27">
        <v>3</v>
      </c>
      <c r="M963" s="27">
        <v>1</v>
      </c>
      <c r="N963" s="27">
        <v>87</v>
      </c>
      <c r="O963" s="27">
        <v>3</v>
      </c>
      <c r="P963" s="27">
        <v>2</v>
      </c>
      <c r="Q963" s="27">
        <v>2</v>
      </c>
      <c r="R963" s="27">
        <v>3</v>
      </c>
      <c r="S963" s="27">
        <v>1</v>
      </c>
      <c r="T963" s="27">
        <v>4249</v>
      </c>
      <c r="U963" s="27">
        <v>2690</v>
      </c>
      <c r="V963" s="27">
        <v>1</v>
      </c>
      <c r="W963" s="27">
        <v>1</v>
      </c>
      <c r="X963" s="27">
        <v>11</v>
      </c>
      <c r="Y963" s="27">
        <v>3</v>
      </c>
      <c r="Z963" s="27">
        <v>2</v>
      </c>
      <c r="AA963" s="27">
        <v>80</v>
      </c>
      <c r="AB963" s="27">
        <v>0</v>
      </c>
      <c r="AC963" s="27">
        <v>9</v>
      </c>
      <c r="AD963" s="27">
        <v>3</v>
      </c>
      <c r="AE963" s="27">
        <v>3</v>
      </c>
      <c r="AF963" s="27">
        <v>9</v>
      </c>
      <c r="AG963" s="27">
        <v>6</v>
      </c>
      <c r="AH963" s="27">
        <v>1</v>
      </c>
      <c r="AI963" s="28">
        <v>1</v>
      </c>
      <c r="AK963" s="36">
        <v>930</v>
      </c>
      <c r="AL963" s="33">
        <v>2</v>
      </c>
      <c r="AM963" s="33">
        <v>1</v>
      </c>
      <c r="AN963" s="33">
        <v>4</v>
      </c>
      <c r="AO963" s="33">
        <v>1</v>
      </c>
      <c r="AP963" s="33">
        <v>1</v>
      </c>
      <c r="AQ963" s="33">
        <v>1</v>
      </c>
      <c r="AR963" s="33">
        <v>3</v>
      </c>
      <c r="AS963" s="33">
        <v>2</v>
      </c>
      <c r="AT963" s="33">
        <v>2</v>
      </c>
      <c r="AU963" s="43">
        <v>0.26244619775206618</v>
      </c>
      <c r="AV963" s="33">
        <v>0</v>
      </c>
      <c r="AW963" s="33">
        <v>0</v>
      </c>
      <c r="AY963" s="36">
        <v>935</v>
      </c>
      <c r="AZ963" s="33">
        <v>1</v>
      </c>
      <c r="BA963" s="33">
        <v>2</v>
      </c>
      <c r="BB963" s="33">
        <v>0</v>
      </c>
      <c r="BC963" s="33">
        <v>0</v>
      </c>
      <c r="BD963" s="43">
        <v>0.23662845161334917</v>
      </c>
      <c r="BE963" s="33">
        <v>0</v>
      </c>
      <c r="BF963" s="33">
        <v>0</v>
      </c>
      <c r="CE963" s="36">
        <v>929</v>
      </c>
      <c r="CF963" s="33">
        <v>15</v>
      </c>
      <c r="CG963" s="33">
        <v>3</v>
      </c>
      <c r="CH963" s="33">
        <v>4</v>
      </c>
      <c r="CI963" s="33">
        <v>2</v>
      </c>
      <c r="CJ963" s="33">
        <v>1</v>
      </c>
      <c r="CK963" s="33">
        <v>0</v>
      </c>
      <c r="CL963" s="33">
        <v>1</v>
      </c>
      <c r="CM963" s="33">
        <v>3</v>
      </c>
      <c r="CN963" s="33">
        <v>10</v>
      </c>
      <c r="CO963" s="33">
        <v>0</v>
      </c>
      <c r="CP963" s="43">
        <v>1.7441593451165204E-2</v>
      </c>
      <c r="CQ963" s="33">
        <v>0</v>
      </c>
      <c r="CR963" s="33">
        <v>1</v>
      </c>
    </row>
    <row r="964" spans="1:96" ht="15" customHeight="1" x14ac:dyDescent="0.25">
      <c r="A964" s="26">
        <v>962</v>
      </c>
      <c r="B964" s="27">
        <v>51</v>
      </c>
      <c r="C964" s="27">
        <v>0</v>
      </c>
      <c r="D964" s="27">
        <v>1</v>
      </c>
      <c r="E964" s="27">
        <v>770</v>
      </c>
      <c r="F964" s="27">
        <v>3</v>
      </c>
      <c r="G964" s="27">
        <v>5</v>
      </c>
      <c r="H964" s="27">
        <v>3</v>
      </c>
      <c r="I964" s="27">
        <v>1</v>
      </c>
      <c r="J964" s="27">
        <v>1</v>
      </c>
      <c r="K964" s="27">
        <v>1352</v>
      </c>
      <c r="L964" s="27">
        <v>3</v>
      </c>
      <c r="M964" s="27">
        <v>1</v>
      </c>
      <c r="N964" s="27">
        <v>84</v>
      </c>
      <c r="O964" s="27">
        <v>3</v>
      </c>
      <c r="P964" s="27">
        <v>4</v>
      </c>
      <c r="Q964" s="27">
        <v>6</v>
      </c>
      <c r="R964" s="27">
        <v>2</v>
      </c>
      <c r="S964" s="27">
        <v>3</v>
      </c>
      <c r="T964" s="27">
        <v>14026</v>
      </c>
      <c r="U964" s="27">
        <v>17588</v>
      </c>
      <c r="V964" s="27">
        <v>1</v>
      </c>
      <c r="W964" s="27">
        <v>1</v>
      </c>
      <c r="X964" s="27">
        <v>11</v>
      </c>
      <c r="Y964" s="27">
        <v>3</v>
      </c>
      <c r="Z964" s="27">
        <v>2</v>
      </c>
      <c r="AA964" s="27">
        <v>80</v>
      </c>
      <c r="AB964" s="27">
        <v>1</v>
      </c>
      <c r="AC964" s="27">
        <v>33</v>
      </c>
      <c r="AD964" s="27">
        <v>2</v>
      </c>
      <c r="AE964" s="27">
        <v>3</v>
      </c>
      <c r="AF964" s="27">
        <v>33</v>
      </c>
      <c r="AG964" s="27">
        <v>9</v>
      </c>
      <c r="AH964" s="27">
        <v>0</v>
      </c>
      <c r="AI964" s="28">
        <v>10</v>
      </c>
      <c r="AK964" s="36">
        <v>931</v>
      </c>
      <c r="AL964" s="33">
        <v>6</v>
      </c>
      <c r="AM964" s="33">
        <v>1</v>
      </c>
      <c r="AN964" s="33">
        <v>3</v>
      </c>
      <c r="AO964" s="33">
        <v>0</v>
      </c>
      <c r="AP964" s="33">
        <v>0</v>
      </c>
      <c r="AQ964" s="33">
        <v>0</v>
      </c>
      <c r="AR964" s="33">
        <v>2</v>
      </c>
      <c r="AS964" s="33">
        <v>7</v>
      </c>
      <c r="AT964" s="33">
        <v>7</v>
      </c>
      <c r="AU964" s="43">
        <v>0.23864678253145169</v>
      </c>
      <c r="AV964" s="33">
        <v>0</v>
      </c>
      <c r="AW964" s="33">
        <v>0</v>
      </c>
      <c r="AY964" s="36">
        <v>936</v>
      </c>
      <c r="AZ964" s="33">
        <v>2</v>
      </c>
      <c r="BA964" s="33">
        <v>4</v>
      </c>
      <c r="BB964" s="33">
        <v>0</v>
      </c>
      <c r="BC964" s="33">
        <v>2</v>
      </c>
      <c r="BD964" s="43">
        <v>3.3256067423154199E-2</v>
      </c>
      <c r="BE964" s="33">
        <v>0</v>
      </c>
      <c r="BF964" s="33">
        <v>0</v>
      </c>
      <c r="CE964" s="36">
        <v>930</v>
      </c>
      <c r="CF964" s="33">
        <v>2</v>
      </c>
      <c r="CG964" s="33">
        <v>1</v>
      </c>
      <c r="CH964" s="33">
        <v>4</v>
      </c>
      <c r="CI964" s="33">
        <v>2</v>
      </c>
      <c r="CJ964" s="33">
        <v>1</v>
      </c>
      <c r="CK964" s="33">
        <v>1</v>
      </c>
      <c r="CL964" s="33">
        <v>1</v>
      </c>
      <c r="CM964" s="33">
        <v>3</v>
      </c>
      <c r="CN964" s="33">
        <v>2</v>
      </c>
      <c r="CO964" s="33">
        <v>2</v>
      </c>
      <c r="CP964" s="43">
        <v>0.25831792460562292</v>
      </c>
      <c r="CQ964" s="33">
        <v>0</v>
      </c>
      <c r="CR964" s="33">
        <v>0</v>
      </c>
    </row>
    <row r="965" spans="1:96" ht="15" customHeight="1" x14ac:dyDescent="0.25">
      <c r="A965" s="26">
        <v>963</v>
      </c>
      <c r="B965" s="27">
        <v>38</v>
      </c>
      <c r="C965" s="27">
        <v>0</v>
      </c>
      <c r="D965" s="27">
        <v>1</v>
      </c>
      <c r="E965" s="27">
        <v>1009</v>
      </c>
      <c r="F965" s="27">
        <v>1</v>
      </c>
      <c r="G965" s="27">
        <v>2</v>
      </c>
      <c r="H965" s="27">
        <v>2</v>
      </c>
      <c r="I965" s="27">
        <v>1</v>
      </c>
      <c r="J965" s="27">
        <v>1</v>
      </c>
      <c r="K965" s="27">
        <v>1355</v>
      </c>
      <c r="L965" s="27">
        <v>2</v>
      </c>
      <c r="M965" s="27">
        <v>0</v>
      </c>
      <c r="N965" s="27">
        <v>31</v>
      </c>
      <c r="O965" s="27">
        <v>3</v>
      </c>
      <c r="P965" s="27">
        <v>2</v>
      </c>
      <c r="Q965" s="27">
        <v>1</v>
      </c>
      <c r="R965" s="27">
        <v>1</v>
      </c>
      <c r="S965" s="27">
        <v>3</v>
      </c>
      <c r="T965" s="27">
        <v>6893</v>
      </c>
      <c r="U965" s="27">
        <v>19461</v>
      </c>
      <c r="V965" s="27">
        <v>3</v>
      </c>
      <c r="W965" s="27">
        <v>0</v>
      </c>
      <c r="X965" s="27">
        <v>15</v>
      </c>
      <c r="Y965" s="27">
        <v>3</v>
      </c>
      <c r="Z965" s="27">
        <v>4</v>
      </c>
      <c r="AA965" s="27">
        <v>80</v>
      </c>
      <c r="AB965" s="27">
        <v>1</v>
      </c>
      <c r="AC965" s="27">
        <v>11</v>
      </c>
      <c r="AD965" s="27">
        <v>3</v>
      </c>
      <c r="AE965" s="27">
        <v>3</v>
      </c>
      <c r="AF965" s="27">
        <v>7</v>
      </c>
      <c r="AG965" s="27">
        <v>7</v>
      </c>
      <c r="AH965" s="27">
        <v>1</v>
      </c>
      <c r="AI965" s="28">
        <v>7</v>
      </c>
      <c r="AK965" s="36">
        <v>932</v>
      </c>
      <c r="AL965" s="33">
        <v>9</v>
      </c>
      <c r="AM965" s="33">
        <v>2</v>
      </c>
      <c r="AN965" s="33">
        <v>3</v>
      </c>
      <c r="AO965" s="33">
        <v>7</v>
      </c>
      <c r="AP965" s="33">
        <v>1</v>
      </c>
      <c r="AQ965" s="33">
        <v>0</v>
      </c>
      <c r="AR965" s="33">
        <v>3</v>
      </c>
      <c r="AS965" s="33">
        <v>8</v>
      </c>
      <c r="AT965" s="33">
        <v>1</v>
      </c>
      <c r="AU965" s="43">
        <v>0.36997280792214282</v>
      </c>
      <c r="AV965" s="33">
        <v>0</v>
      </c>
      <c r="AW965" s="33">
        <v>0</v>
      </c>
      <c r="AY965" s="36">
        <v>937</v>
      </c>
      <c r="AZ965" s="33">
        <v>5</v>
      </c>
      <c r="BA965" s="33">
        <v>2</v>
      </c>
      <c r="BB965" s="33">
        <v>0</v>
      </c>
      <c r="BC965" s="33">
        <v>0</v>
      </c>
      <c r="BD965" s="43">
        <v>3.2142518215720908E-2</v>
      </c>
      <c r="BE965" s="33">
        <v>0</v>
      </c>
      <c r="BF965" s="33">
        <v>0</v>
      </c>
      <c r="CE965" s="36">
        <v>931</v>
      </c>
      <c r="CF965" s="33">
        <v>6</v>
      </c>
      <c r="CG965" s="33">
        <v>1</v>
      </c>
      <c r="CH965" s="33">
        <v>3</v>
      </c>
      <c r="CI965" s="33">
        <v>1</v>
      </c>
      <c r="CJ965" s="33">
        <v>0</v>
      </c>
      <c r="CK965" s="33">
        <v>0</v>
      </c>
      <c r="CL965" s="33">
        <v>0</v>
      </c>
      <c r="CM965" s="33">
        <v>2</v>
      </c>
      <c r="CN965" s="33">
        <v>7</v>
      </c>
      <c r="CO965" s="33">
        <v>7</v>
      </c>
      <c r="CP965" s="43">
        <v>0.27541237502835403</v>
      </c>
      <c r="CQ965" s="33">
        <v>0</v>
      </c>
      <c r="CR965" s="33">
        <v>0</v>
      </c>
    </row>
    <row r="966" spans="1:96" ht="15" customHeight="1" x14ac:dyDescent="0.25">
      <c r="A966" s="26">
        <v>964</v>
      </c>
      <c r="B966" s="27">
        <v>34</v>
      </c>
      <c r="C966" s="27">
        <v>0</v>
      </c>
      <c r="D966" s="27">
        <v>1</v>
      </c>
      <c r="E966" s="27">
        <v>507</v>
      </c>
      <c r="F966" s="27">
        <v>1</v>
      </c>
      <c r="G966" s="27">
        <v>15</v>
      </c>
      <c r="H966" s="27">
        <v>2</v>
      </c>
      <c r="I966" s="27">
        <v>3</v>
      </c>
      <c r="J966" s="27">
        <v>1</v>
      </c>
      <c r="K966" s="27">
        <v>1356</v>
      </c>
      <c r="L966" s="27">
        <v>3</v>
      </c>
      <c r="M966" s="27">
        <v>0</v>
      </c>
      <c r="N966" s="27">
        <v>66</v>
      </c>
      <c r="O966" s="27">
        <v>3</v>
      </c>
      <c r="P966" s="27">
        <v>2</v>
      </c>
      <c r="Q966" s="27">
        <v>1</v>
      </c>
      <c r="R966" s="27">
        <v>1</v>
      </c>
      <c r="S966" s="27">
        <v>1</v>
      </c>
      <c r="T966" s="27">
        <v>6125</v>
      </c>
      <c r="U966" s="27">
        <v>23553</v>
      </c>
      <c r="V966" s="27">
        <v>1</v>
      </c>
      <c r="W966" s="27">
        <v>0</v>
      </c>
      <c r="X966" s="27">
        <v>12</v>
      </c>
      <c r="Y966" s="27">
        <v>3</v>
      </c>
      <c r="Z966" s="27">
        <v>4</v>
      </c>
      <c r="AA966" s="27">
        <v>80</v>
      </c>
      <c r="AB966" s="27">
        <v>0</v>
      </c>
      <c r="AC966" s="27">
        <v>10</v>
      </c>
      <c r="AD966" s="27">
        <v>6</v>
      </c>
      <c r="AE966" s="27">
        <v>4</v>
      </c>
      <c r="AF966" s="27">
        <v>10</v>
      </c>
      <c r="AG966" s="27">
        <v>8</v>
      </c>
      <c r="AH966" s="27">
        <v>9</v>
      </c>
      <c r="AI966" s="28">
        <v>6</v>
      </c>
      <c r="AK966" s="36">
        <v>933</v>
      </c>
      <c r="AL966" s="33">
        <v>7</v>
      </c>
      <c r="AM966" s="33">
        <v>1</v>
      </c>
      <c r="AN966" s="33">
        <v>3</v>
      </c>
      <c r="AO966" s="33">
        <v>3</v>
      </c>
      <c r="AP966" s="33">
        <v>1</v>
      </c>
      <c r="AQ966" s="33">
        <v>2</v>
      </c>
      <c r="AR966" s="33">
        <v>3</v>
      </c>
      <c r="AS966" s="33">
        <v>7</v>
      </c>
      <c r="AT966" s="33">
        <v>7</v>
      </c>
      <c r="AU966" s="43">
        <v>0.31734188491459198</v>
      </c>
      <c r="AV966" s="33">
        <v>0</v>
      </c>
      <c r="AW966" s="33">
        <v>1</v>
      </c>
      <c r="AY966" s="36">
        <v>938</v>
      </c>
      <c r="AZ966" s="33">
        <v>4</v>
      </c>
      <c r="BA966" s="33">
        <v>2</v>
      </c>
      <c r="BB966" s="33">
        <v>1</v>
      </c>
      <c r="BC966" s="33">
        <v>2</v>
      </c>
      <c r="BD966" s="43">
        <v>7.9508748050935552E-2</v>
      </c>
      <c r="BE966" s="33">
        <v>0</v>
      </c>
      <c r="BF966" s="33">
        <v>0</v>
      </c>
      <c r="CE966" s="36">
        <v>932</v>
      </c>
      <c r="CF966" s="33">
        <v>9</v>
      </c>
      <c r="CG966" s="33">
        <v>2</v>
      </c>
      <c r="CH966" s="33">
        <v>3</v>
      </c>
      <c r="CI966" s="33">
        <v>1</v>
      </c>
      <c r="CJ966" s="33">
        <v>7</v>
      </c>
      <c r="CK966" s="33">
        <v>1</v>
      </c>
      <c r="CL966" s="33">
        <v>0</v>
      </c>
      <c r="CM966" s="33">
        <v>3</v>
      </c>
      <c r="CN966" s="33">
        <v>8</v>
      </c>
      <c r="CO966" s="33">
        <v>1</v>
      </c>
      <c r="CP966" s="43">
        <v>0.42236418065712111</v>
      </c>
      <c r="CQ966" s="33">
        <v>0</v>
      </c>
      <c r="CR966" s="33">
        <v>0</v>
      </c>
    </row>
    <row r="967" spans="1:96" ht="15" customHeight="1" x14ac:dyDescent="0.25">
      <c r="A967" s="26">
        <v>965</v>
      </c>
      <c r="B967" s="27">
        <v>25</v>
      </c>
      <c r="C967" s="27">
        <v>0</v>
      </c>
      <c r="D967" s="27">
        <v>1</v>
      </c>
      <c r="E967" s="27">
        <v>882</v>
      </c>
      <c r="F967" s="27">
        <v>2</v>
      </c>
      <c r="G967" s="27">
        <v>19</v>
      </c>
      <c r="H967" s="27">
        <v>1</v>
      </c>
      <c r="I967" s="27">
        <v>3</v>
      </c>
      <c r="J967" s="27">
        <v>1</v>
      </c>
      <c r="K967" s="27">
        <v>1358</v>
      </c>
      <c r="L967" s="27">
        <v>4</v>
      </c>
      <c r="M967" s="27">
        <v>1</v>
      </c>
      <c r="N967" s="27">
        <v>67</v>
      </c>
      <c r="O967" s="27">
        <v>3</v>
      </c>
      <c r="P967" s="27">
        <v>1</v>
      </c>
      <c r="Q967" s="27">
        <v>3</v>
      </c>
      <c r="R967" s="27">
        <v>4</v>
      </c>
      <c r="S967" s="27">
        <v>2</v>
      </c>
      <c r="T967" s="27">
        <v>3669</v>
      </c>
      <c r="U967" s="27">
        <v>9075</v>
      </c>
      <c r="V967" s="27">
        <v>3</v>
      </c>
      <c r="W967" s="27">
        <v>0</v>
      </c>
      <c r="X967" s="27">
        <v>11</v>
      </c>
      <c r="Y967" s="27">
        <v>3</v>
      </c>
      <c r="Z967" s="27">
        <v>3</v>
      </c>
      <c r="AA967" s="27">
        <v>80</v>
      </c>
      <c r="AB967" s="27">
        <v>3</v>
      </c>
      <c r="AC967" s="27">
        <v>7</v>
      </c>
      <c r="AD967" s="27">
        <v>6</v>
      </c>
      <c r="AE967" s="27">
        <v>2</v>
      </c>
      <c r="AF967" s="27">
        <v>3</v>
      </c>
      <c r="AG967" s="27">
        <v>2</v>
      </c>
      <c r="AH967" s="27">
        <v>1</v>
      </c>
      <c r="AI967" s="28">
        <v>2</v>
      </c>
      <c r="AK967" s="36">
        <v>934</v>
      </c>
      <c r="AL967" s="33">
        <v>1</v>
      </c>
      <c r="AM967" s="33">
        <v>1</v>
      </c>
      <c r="AN967" s="33">
        <v>1</v>
      </c>
      <c r="AO967" s="33">
        <v>2</v>
      </c>
      <c r="AP967" s="33">
        <v>0</v>
      </c>
      <c r="AQ967" s="33">
        <v>0</v>
      </c>
      <c r="AR967" s="33">
        <v>2</v>
      </c>
      <c r="AS967" s="33">
        <v>3</v>
      </c>
      <c r="AT967" s="33">
        <v>1</v>
      </c>
      <c r="AU967" s="43">
        <v>0.27529057740353191</v>
      </c>
      <c r="AV967" s="33">
        <v>0</v>
      </c>
      <c r="AW967" s="33">
        <v>0</v>
      </c>
      <c r="AY967" s="36">
        <v>939</v>
      </c>
      <c r="AZ967" s="33">
        <v>1</v>
      </c>
      <c r="BA967" s="33">
        <v>3</v>
      </c>
      <c r="BB967" s="33">
        <v>0</v>
      </c>
      <c r="BC967" s="33">
        <v>2</v>
      </c>
      <c r="BD967" s="43">
        <v>7.4543423691031577E-2</v>
      </c>
      <c r="BE967" s="33">
        <v>0</v>
      </c>
      <c r="BF967" s="33">
        <v>0</v>
      </c>
      <c r="CE967" s="36">
        <v>933</v>
      </c>
      <c r="CF967" s="33">
        <v>7</v>
      </c>
      <c r="CG967" s="33">
        <v>1</v>
      </c>
      <c r="CH967" s="33">
        <v>3</v>
      </c>
      <c r="CI967" s="33">
        <v>3</v>
      </c>
      <c r="CJ967" s="33">
        <v>3</v>
      </c>
      <c r="CK967" s="33">
        <v>1</v>
      </c>
      <c r="CL967" s="33">
        <v>2</v>
      </c>
      <c r="CM967" s="33">
        <v>3</v>
      </c>
      <c r="CN967" s="33">
        <v>7</v>
      </c>
      <c r="CO967" s="33">
        <v>7</v>
      </c>
      <c r="CP967" s="43">
        <v>0.27579293989753351</v>
      </c>
      <c r="CQ967" s="33">
        <v>0</v>
      </c>
      <c r="CR967" s="33">
        <v>1</v>
      </c>
    </row>
    <row r="968" spans="1:96" ht="15" customHeight="1" x14ac:dyDescent="0.25">
      <c r="A968" s="26">
        <v>966</v>
      </c>
      <c r="B968" s="27">
        <v>58</v>
      </c>
      <c r="C968" s="27">
        <v>1</v>
      </c>
      <c r="D968" s="27">
        <v>1</v>
      </c>
      <c r="E968" s="27">
        <v>601</v>
      </c>
      <c r="F968" s="27">
        <v>2</v>
      </c>
      <c r="G968" s="27">
        <v>7</v>
      </c>
      <c r="H968" s="27">
        <v>4</v>
      </c>
      <c r="I968" s="27">
        <v>3</v>
      </c>
      <c r="J968" s="27">
        <v>1</v>
      </c>
      <c r="K968" s="27">
        <v>1360</v>
      </c>
      <c r="L968" s="27">
        <v>3</v>
      </c>
      <c r="M968" s="27">
        <v>0</v>
      </c>
      <c r="N968" s="27">
        <v>53</v>
      </c>
      <c r="O968" s="27">
        <v>2</v>
      </c>
      <c r="P968" s="27">
        <v>3</v>
      </c>
      <c r="Q968" s="27">
        <v>4</v>
      </c>
      <c r="R968" s="27">
        <v>1</v>
      </c>
      <c r="S968" s="27">
        <v>2</v>
      </c>
      <c r="T968" s="27">
        <v>10008</v>
      </c>
      <c r="U968" s="27">
        <v>12023</v>
      </c>
      <c r="V968" s="27">
        <v>7</v>
      </c>
      <c r="W968" s="27">
        <v>1</v>
      </c>
      <c r="X968" s="27">
        <v>14</v>
      </c>
      <c r="Y968" s="27">
        <v>3</v>
      </c>
      <c r="Z968" s="27">
        <v>4</v>
      </c>
      <c r="AA968" s="27">
        <v>80</v>
      </c>
      <c r="AB968" s="27">
        <v>0</v>
      </c>
      <c r="AC968" s="27">
        <v>31</v>
      </c>
      <c r="AD968" s="27">
        <v>0</v>
      </c>
      <c r="AE968" s="27">
        <v>2</v>
      </c>
      <c r="AF968" s="27">
        <v>10</v>
      </c>
      <c r="AG968" s="27">
        <v>9</v>
      </c>
      <c r="AH968" s="27">
        <v>5</v>
      </c>
      <c r="AI968" s="28">
        <v>9</v>
      </c>
      <c r="AK968" s="36">
        <v>935</v>
      </c>
      <c r="AL968" s="33">
        <v>1</v>
      </c>
      <c r="AM968" s="33">
        <v>1</v>
      </c>
      <c r="AN968" s="33">
        <v>2</v>
      </c>
      <c r="AO968" s="33">
        <v>1</v>
      </c>
      <c r="AP968" s="33">
        <v>0</v>
      </c>
      <c r="AQ968" s="33">
        <v>0</v>
      </c>
      <c r="AR968" s="33">
        <v>2</v>
      </c>
      <c r="AS968" s="33">
        <v>2</v>
      </c>
      <c r="AT968" s="33">
        <v>2</v>
      </c>
      <c r="AU968" s="43">
        <v>0.23893966390921398</v>
      </c>
      <c r="AV968" s="33">
        <v>0</v>
      </c>
      <c r="AW968" s="33">
        <v>0</v>
      </c>
      <c r="AY968" s="36">
        <v>940</v>
      </c>
      <c r="AZ968" s="33">
        <v>2</v>
      </c>
      <c r="BA968" s="33">
        <v>3</v>
      </c>
      <c r="BB968" s="33">
        <v>0</v>
      </c>
      <c r="BC968" s="33">
        <v>1</v>
      </c>
      <c r="BD968" s="43">
        <v>7.244788656931947E-2</v>
      </c>
      <c r="BE968" s="33">
        <v>0</v>
      </c>
      <c r="BF968" s="33">
        <v>1</v>
      </c>
      <c r="CE968" s="36">
        <v>934</v>
      </c>
      <c r="CF968" s="33">
        <v>1</v>
      </c>
      <c r="CG968" s="33">
        <v>1</v>
      </c>
      <c r="CH968" s="33">
        <v>1</v>
      </c>
      <c r="CI968" s="33">
        <v>1</v>
      </c>
      <c r="CJ968" s="33">
        <v>2</v>
      </c>
      <c r="CK968" s="33">
        <v>0</v>
      </c>
      <c r="CL968" s="33">
        <v>0</v>
      </c>
      <c r="CM968" s="33">
        <v>2</v>
      </c>
      <c r="CN968" s="33">
        <v>3</v>
      </c>
      <c r="CO968" s="33">
        <v>1</v>
      </c>
      <c r="CP968" s="43">
        <v>0.32084196305599627</v>
      </c>
      <c r="CQ968" s="33">
        <v>0</v>
      </c>
      <c r="CR968" s="33">
        <v>0</v>
      </c>
    </row>
    <row r="969" spans="1:96" ht="15" customHeight="1" x14ac:dyDescent="0.25">
      <c r="A969" s="26">
        <v>967</v>
      </c>
      <c r="B969" s="27">
        <v>40</v>
      </c>
      <c r="C969" s="27">
        <v>0</v>
      </c>
      <c r="D969" s="27">
        <v>1</v>
      </c>
      <c r="E969" s="27">
        <v>329</v>
      </c>
      <c r="F969" s="27">
        <v>2</v>
      </c>
      <c r="G969" s="27">
        <v>1</v>
      </c>
      <c r="H969" s="27">
        <v>4</v>
      </c>
      <c r="I969" s="27">
        <v>1</v>
      </c>
      <c r="J969" s="27">
        <v>1</v>
      </c>
      <c r="K969" s="27">
        <v>1361</v>
      </c>
      <c r="L969" s="27">
        <v>2</v>
      </c>
      <c r="M969" s="27">
        <v>1</v>
      </c>
      <c r="N969" s="27">
        <v>88</v>
      </c>
      <c r="O969" s="27">
        <v>3</v>
      </c>
      <c r="P969" s="27">
        <v>1</v>
      </c>
      <c r="Q969" s="27">
        <v>3</v>
      </c>
      <c r="R969" s="27">
        <v>2</v>
      </c>
      <c r="S969" s="27">
        <v>2</v>
      </c>
      <c r="T969" s="27">
        <v>2387</v>
      </c>
      <c r="U969" s="27">
        <v>6762</v>
      </c>
      <c r="V969" s="27">
        <v>3</v>
      </c>
      <c r="W969" s="27">
        <v>0</v>
      </c>
      <c r="X969" s="27">
        <v>22</v>
      </c>
      <c r="Y969" s="27">
        <v>4</v>
      </c>
      <c r="Z969" s="27">
        <v>3</v>
      </c>
      <c r="AA969" s="27">
        <v>80</v>
      </c>
      <c r="AB969" s="27">
        <v>1</v>
      </c>
      <c r="AC969" s="27">
        <v>7</v>
      </c>
      <c r="AD969" s="27">
        <v>3</v>
      </c>
      <c r="AE969" s="27">
        <v>3</v>
      </c>
      <c r="AF969" s="27">
        <v>4</v>
      </c>
      <c r="AG969" s="27">
        <v>2</v>
      </c>
      <c r="AH969" s="27">
        <v>0</v>
      </c>
      <c r="AI969" s="28">
        <v>3</v>
      </c>
      <c r="AK969" s="36">
        <v>936</v>
      </c>
      <c r="AL969" s="33">
        <v>8</v>
      </c>
      <c r="AM969" s="33">
        <v>2</v>
      </c>
      <c r="AN969" s="33">
        <v>4</v>
      </c>
      <c r="AO969" s="33">
        <v>1</v>
      </c>
      <c r="AP969" s="33">
        <v>0</v>
      </c>
      <c r="AQ969" s="33">
        <v>2</v>
      </c>
      <c r="AR969" s="33">
        <v>4</v>
      </c>
      <c r="AS969" s="33">
        <v>10</v>
      </c>
      <c r="AT969" s="33">
        <v>0</v>
      </c>
      <c r="AU969" s="43">
        <v>1.1412765247576366E-2</v>
      </c>
      <c r="AV969" s="33">
        <v>0</v>
      </c>
      <c r="AW969" s="33">
        <v>0</v>
      </c>
      <c r="AY969" s="36">
        <v>941</v>
      </c>
      <c r="AZ969" s="33">
        <v>1</v>
      </c>
      <c r="BA969" s="33">
        <v>1</v>
      </c>
      <c r="BB969" s="33">
        <v>0</v>
      </c>
      <c r="BC969" s="33">
        <v>0</v>
      </c>
      <c r="BD969" s="43">
        <v>0.29341085656570393</v>
      </c>
      <c r="BE969" s="33">
        <v>0</v>
      </c>
      <c r="BF969" s="33">
        <v>1</v>
      </c>
      <c r="CE969" s="36">
        <v>935</v>
      </c>
      <c r="CF969" s="33">
        <v>1</v>
      </c>
      <c r="CG969" s="33">
        <v>1</v>
      </c>
      <c r="CH969" s="33">
        <v>2</v>
      </c>
      <c r="CI969" s="33">
        <v>1</v>
      </c>
      <c r="CJ969" s="33">
        <v>1</v>
      </c>
      <c r="CK969" s="33">
        <v>0</v>
      </c>
      <c r="CL969" s="33">
        <v>0</v>
      </c>
      <c r="CM969" s="33">
        <v>2</v>
      </c>
      <c r="CN969" s="33">
        <v>2</v>
      </c>
      <c r="CO969" s="33">
        <v>2</v>
      </c>
      <c r="CP969" s="43">
        <v>0.27752531596920044</v>
      </c>
      <c r="CQ969" s="33">
        <v>0</v>
      </c>
      <c r="CR969" s="33">
        <v>0</v>
      </c>
    </row>
    <row r="970" spans="1:96" ht="15" customHeight="1" x14ac:dyDescent="0.25">
      <c r="A970" s="26">
        <v>968</v>
      </c>
      <c r="B970" s="27">
        <v>36</v>
      </c>
      <c r="C970" s="27">
        <v>0</v>
      </c>
      <c r="D970" s="27">
        <v>2</v>
      </c>
      <c r="E970" s="27">
        <v>607</v>
      </c>
      <c r="F970" s="27">
        <v>1</v>
      </c>
      <c r="G970" s="27">
        <v>7</v>
      </c>
      <c r="H970" s="27">
        <v>3</v>
      </c>
      <c r="I970" s="27">
        <v>4</v>
      </c>
      <c r="J970" s="27">
        <v>1</v>
      </c>
      <c r="K970" s="27">
        <v>1362</v>
      </c>
      <c r="L970" s="27">
        <v>1</v>
      </c>
      <c r="M970" s="27">
        <v>0</v>
      </c>
      <c r="N970" s="27">
        <v>83</v>
      </c>
      <c r="O970" s="27">
        <v>4</v>
      </c>
      <c r="P970" s="27">
        <v>2</v>
      </c>
      <c r="Q970" s="27">
        <v>1</v>
      </c>
      <c r="R970" s="27">
        <v>1</v>
      </c>
      <c r="S970" s="27">
        <v>2</v>
      </c>
      <c r="T970" s="27">
        <v>4639</v>
      </c>
      <c r="U970" s="27">
        <v>2261</v>
      </c>
      <c r="V970" s="27">
        <v>2</v>
      </c>
      <c r="W970" s="27">
        <v>0</v>
      </c>
      <c r="X970" s="27">
        <v>16</v>
      </c>
      <c r="Y970" s="27">
        <v>3</v>
      </c>
      <c r="Z970" s="27">
        <v>4</v>
      </c>
      <c r="AA970" s="27">
        <v>80</v>
      </c>
      <c r="AB970" s="27">
        <v>1</v>
      </c>
      <c r="AC970" s="27">
        <v>17</v>
      </c>
      <c r="AD970" s="27">
        <v>2</v>
      </c>
      <c r="AE970" s="27">
        <v>2</v>
      </c>
      <c r="AF970" s="27">
        <v>15</v>
      </c>
      <c r="AG970" s="27">
        <v>7</v>
      </c>
      <c r="AH970" s="27">
        <v>6</v>
      </c>
      <c r="AI970" s="28">
        <v>13</v>
      </c>
      <c r="AK970" s="36">
        <v>937</v>
      </c>
      <c r="AL970" s="33">
        <v>25</v>
      </c>
      <c r="AM970" s="33">
        <v>5</v>
      </c>
      <c r="AN970" s="33">
        <v>2</v>
      </c>
      <c r="AO970" s="33">
        <v>3</v>
      </c>
      <c r="AP970" s="33">
        <v>0</v>
      </c>
      <c r="AQ970" s="33">
        <v>0</v>
      </c>
      <c r="AR970" s="33">
        <v>3</v>
      </c>
      <c r="AS970" s="33">
        <v>0</v>
      </c>
      <c r="AT970" s="33">
        <v>0</v>
      </c>
      <c r="AU970" s="43">
        <v>6.2701837005862376E-2</v>
      </c>
      <c r="AV970" s="33">
        <v>0</v>
      </c>
      <c r="AW970" s="33">
        <v>0</v>
      </c>
      <c r="AY970" s="36">
        <v>942</v>
      </c>
      <c r="AZ970" s="33">
        <v>2</v>
      </c>
      <c r="BA970" s="33">
        <v>4</v>
      </c>
      <c r="BB970" s="33">
        <v>0</v>
      </c>
      <c r="BC970" s="33">
        <v>1</v>
      </c>
      <c r="BD970" s="43">
        <v>5.5093218126976727E-2</v>
      </c>
      <c r="BE970" s="33">
        <v>0</v>
      </c>
      <c r="BF970" s="33">
        <v>0</v>
      </c>
      <c r="CE970" s="36">
        <v>936</v>
      </c>
      <c r="CF970" s="33">
        <v>8</v>
      </c>
      <c r="CG970" s="33">
        <v>2</v>
      </c>
      <c r="CH970" s="33">
        <v>4</v>
      </c>
      <c r="CI970" s="33">
        <v>2</v>
      </c>
      <c r="CJ970" s="33">
        <v>1</v>
      </c>
      <c r="CK970" s="33">
        <v>0</v>
      </c>
      <c r="CL970" s="33">
        <v>2</v>
      </c>
      <c r="CM970" s="33">
        <v>4</v>
      </c>
      <c r="CN970" s="33">
        <v>10</v>
      </c>
      <c r="CO970" s="33">
        <v>0</v>
      </c>
      <c r="CP970" s="43">
        <v>1.4827855873636116E-2</v>
      </c>
      <c r="CQ970" s="33">
        <v>0</v>
      </c>
      <c r="CR970" s="33">
        <v>0</v>
      </c>
    </row>
    <row r="971" spans="1:96" ht="15" customHeight="1" x14ac:dyDescent="0.25">
      <c r="A971" s="26">
        <v>969</v>
      </c>
      <c r="B971" s="27">
        <v>48</v>
      </c>
      <c r="C971" s="27">
        <v>0</v>
      </c>
      <c r="D971" s="27">
        <v>1</v>
      </c>
      <c r="E971" s="27">
        <v>855</v>
      </c>
      <c r="F971" s="27">
        <v>2</v>
      </c>
      <c r="G971" s="27">
        <v>4</v>
      </c>
      <c r="H971" s="27">
        <v>3</v>
      </c>
      <c r="I971" s="27">
        <v>1</v>
      </c>
      <c r="J971" s="27">
        <v>1</v>
      </c>
      <c r="K971" s="27">
        <v>1363</v>
      </c>
      <c r="L971" s="27">
        <v>4</v>
      </c>
      <c r="M971" s="27">
        <v>1</v>
      </c>
      <c r="N971" s="27">
        <v>54</v>
      </c>
      <c r="O971" s="27">
        <v>3</v>
      </c>
      <c r="P971" s="27">
        <v>3</v>
      </c>
      <c r="Q971" s="27">
        <v>4</v>
      </c>
      <c r="R971" s="27">
        <v>4</v>
      </c>
      <c r="S971" s="27">
        <v>1</v>
      </c>
      <c r="T971" s="27">
        <v>7898</v>
      </c>
      <c r="U971" s="27">
        <v>18706</v>
      </c>
      <c r="V971" s="27">
        <v>1</v>
      </c>
      <c r="W971" s="27">
        <v>0</v>
      </c>
      <c r="X971" s="27">
        <v>11</v>
      </c>
      <c r="Y971" s="27">
        <v>3</v>
      </c>
      <c r="Z971" s="27">
        <v>3</v>
      </c>
      <c r="AA971" s="27">
        <v>80</v>
      </c>
      <c r="AB971" s="27">
        <v>0</v>
      </c>
      <c r="AC971" s="27">
        <v>11</v>
      </c>
      <c r="AD971" s="27">
        <v>2</v>
      </c>
      <c r="AE971" s="27">
        <v>3</v>
      </c>
      <c r="AF971" s="27">
        <v>10</v>
      </c>
      <c r="AG971" s="27">
        <v>9</v>
      </c>
      <c r="AH971" s="27">
        <v>0</v>
      </c>
      <c r="AI971" s="28">
        <v>8</v>
      </c>
      <c r="AK971" s="36">
        <v>938</v>
      </c>
      <c r="AL971" s="33">
        <v>13</v>
      </c>
      <c r="AM971" s="33">
        <v>4</v>
      </c>
      <c r="AN971" s="33">
        <v>2</v>
      </c>
      <c r="AO971" s="33">
        <v>6</v>
      </c>
      <c r="AP971" s="33">
        <v>1</v>
      </c>
      <c r="AQ971" s="33">
        <v>2</v>
      </c>
      <c r="AR971" s="33">
        <v>3</v>
      </c>
      <c r="AS971" s="33">
        <v>19</v>
      </c>
      <c r="AT971" s="33">
        <v>15</v>
      </c>
      <c r="AU971" s="43">
        <v>0.16336178593912945</v>
      </c>
      <c r="AV971" s="33">
        <v>0</v>
      </c>
      <c r="AW971" s="33">
        <v>0</v>
      </c>
      <c r="AY971" s="36">
        <v>943</v>
      </c>
      <c r="AZ971" s="33">
        <v>3</v>
      </c>
      <c r="BA971" s="33">
        <v>3</v>
      </c>
      <c r="BB971" s="33">
        <v>0</v>
      </c>
      <c r="BC971" s="33">
        <v>0</v>
      </c>
      <c r="BD971" s="43">
        <v>7.0406776741937793E-2</v>
      </c>
      <c r="BE971" s="33">
        <v>0</v>
      </c>
      <c r="BF971" s="33">
        <v>0</v>
      </c>
      <c r="CE971" s="36">
        <v>937</v>
      </c>
      <c r="CF971" s="33">
        <v>25</v>
      </c>
      <c r="CG971" s="33">
        <v>5</v>
      </c>
      <c r="CH971" s="33">
        <v>2</v>
      </c>
      <c r="CI971" s="33">
        <v>1</v>
      </c>
      <c r="CJ971" s="33">
        <v>3</v>
      </c>
      <c r="CK971" s="33">
        <v>0</v>
      </c>
      <c r="CL971" s="33">
        <v>0</v>
      </c>
      <c r="CM971" s="33">
        <v>3</v>
      </c>
      <c r="CN971" s="33">
        <v>0</v>
      </c>
      <c r="CO971" s="33">
        <v>0</v>
      </c>
      <c r="CP971" s="43">
        <v>7.7044764593875548E-2</v>
      </c>
      <c r="CQ971" s="33">
        <v>0</v>
      </c>
      <c r="CR971" s="33">
        <v>0</v>
      </c>
    </row>
    <row r="972" spans="1:96" ht="15" customHeight="1" x14ac:dyDescent="0.25">
      <c r="A972" s="26">
        <v>970</v>
      </c>
      <c r="B972" s="27">
        <v>27</v>
      </c>
      <c r="C972" s="27">
        <v>0</v>
      </c>
      <c r="D972" s="27">
        <v>1</v>
      </c>
      <c r="E972" s="27">
        <v>1291</v>
      </c>
      <c r="F972" s="27">
        <v>1</v>
      </c>
      <c r="G972" s="27">
        <v>11</v>
      </c>
      <c r="H972" s="27">
        <v>3</v>
      </c>
      <c r="I972" s="27">
        <v>3</v>
      </c>
      <c r="J972" s="27">
        <v>1</v>
      </c>
      <c r="K972" s="27">
        <v>1364</v>
      </c>
      <c r="L972" s="27">
        <v>3</v>
      </c>
      <c r="M972" s="27">
        <v>0</v>
      </c>
      <c r="N972" s="27">
        <v>98</v>
      </c>
      <c r="O972" s="27">
        <v>4</v>
      </c>
      <c r="P972" s="27">
        <v>1</v>
      </c>
      <c r="Q972" s="27">
        <v>7</v>
      </c>
      <c r="R972" s="27">
        <v>4</v>
      </c>
      <c r="S972" s="27">
        <v>2</v>
      </c>
      <c r="T972" s="27">
        <v>2534</v>
      </c>
      <c r="U972" s="27">
        <v>6527</v>
      </c>
      <c r="V972" s="27">
        <v>8</v>
      </c>
      <c r="W972" s="27">
        <v>0</v>
      </c>
      <c r="X972" s="27">
        <v>14</v>
      </c>
      <c r="Y972" s="27">
        <v>3</v>
      </c>
      <c r="Z972" s="27">
        <v>2</v>
      </c>
      <c r="AA972" s="27">
        <v>80</v>
      </c>
      <c r="AB972" s="27">
        <v>1</v>
      </c>
      <c r="AC972" s="27">
        <v>5</v>
      </c>
      <c r="AD972" s="27">
        <v>4</v>
      </c>
      <c r="AE972" s="27">
        <v>3</v>
      </c>
      <c r="AF972" s="27">
        <v>1</v>
      </c>
      <c r="AG972" s="27">
        <v>0</v>
      </c>
      <c r="AH972" s="27">
        <v>0</v>
      </c>
      <c r="AI972" s="28">
        <v>0</v>
      </c>
      <c r="AK972" s="36">
        <v>939</v>
      </c>
      <c r="AL972" s="33">
        <v>23</v>
      </c>
      <c r="AM972" s="33">
        <v>1</v>
      </c>
      <c r="AN972" s="33">
        <v>3</v>
      </c>
      <c r="AO972" s="33">
        <v>1</v>
      </c>
      <c r="AP972" s="33">
        <v>0</v>
      </c>
      <c r="AQ972" s="33">
        <v>2</v>
      </c>
      <c r="AR972" s="33">
        <v>3</v>
      </c>
      <c r="AS972" s="33">
        <v>2</v>
      </c>
      <c r="AT972" s="33">
        <v>2</v>
      </c>
      <c r="AU972" s="43">
        <v>0.11132142505621286</v>
      </c>
      <c r="AV972" s="33">
        <v>0</v>
      </c>
      <c r="AW972" s="33">
        <v>0</v>
      </c>
      <c r="AY972" s="36">
        <v>944</v>
      </c>
      <c r="AZ972" s="33">
        <v>1</v>
      </c>
      <c r="BA972" s="33">
        <v>1</v>
      </c>
      <c r="BB972" s="33">
        <v>0</v>
      </c>
      <c r="BC972" s="33">
        <v>0</v>
      </c>
      <c r="BD972" s="43">
        <v>0.29341085656570393</v>
      </c>
      <c r="BE972" s="33">
        <v>0</v>
      </c>
      <c r="BF972" s="33">
        <v>0</v>
      </c>
      <c r="CE972" s="36">
        <v>938</v>
      </c>
      <c r="CF972" s="33">
        <v>13</v>
      </c>
      <c r="CG972" s="33">
        <v>4</v>
      </c>
      <c r="CH972" s="33">
        <v>2</v>
      </c>
      <c r="CI972" s="33">
        <v>3</v>
      </c>
      <c r="CJ972" s="33">
        <v>6</v>
      </c>
      <c r="CK972" s="33">
        <v>1</v>
      </c>
      <c r="CL972" s="33">
        <v>2</v>
      </c>
      <c r="CM972" s="33">
        <v>3</v>
      </c>
      <c r="CN972" s="33">
        <v>19</v>
      </c>
      <c r="CO972" s="33">
        <v>15</v>
      </c>
      <c r="CP972" s="43">
        <v>0.14680275591848788</v>
      </c>
      <c r="CQ972" s="33">
        <v>0</v>
      </c>
      <c r="CR972" s="33">
        <v>0</v>
      </c>
    </row>
    <row r="973" spans="1:96" ht="15" customHeight="1" x14ac:dyDescent="0.25">
      <c r="A973" s="26">
        <v>971</v>
      </c>
      <c r="B973" s="27">
        <v>51</v>
      </c>
      <c r="C973" s="27">
        <v>0</v>
      </c>
      <c r="D973" s="27">
        <v>1</v>
      </c>
      <c r="E973" s="27">
        <v>1405</v>
      </c>
      <c r="F973" s="27">
        <v>2</v>
      </c>
      <c r="G973" s="27">
        <v>11</v>
      </c>
      <c r="H973" s="27">
        <v>2</v>
      </c>
      <c r="I973" s="27">
        <v>5</v>
      </c>
      <c r="J973" s="27">
        <v>1</v>
      </c>
      <c r="K973" s="27">
        <v>1367</v>
      </c>
      <c r="L973" s="27">
        <v>4</v>
      </c>
      <c r="M973" s="27">
        <v>0</v>
      </c>
      <c r="N973" s="27">
        <v>82</v>
      </c>
      <c r="O973" s="27">
        <v>2</v>
      </c>
      <c r="P973" s="27">
        <v>4</v>
      </c>
      <c r="Q973" s="27">
        <v>4</v>
      </c>
      <c r="R973" s="27">
        <v>2</v>
      </c>
      <c r="S973" s="27">
        <v>1</v>
      </c>
      <c r="T973" s="27">
        <v>13142</v>
      </c>
      <c r="U973" s="27">
        <v>24439</v>
      </c>
      <c r="V973" s="27">
        <v>3</v>
      </c>
      <c r="W973" s="27">
        <v>0</v>
      </c>
      <c r="X973" s="27">
        <v>16</v>
      </c>
      <c r="Y973" s="27">
        <v>3</v>
      </c>
      <c r="Z973" s="27">
        <v>2</v>
      </c>
      <c r="AA973" s="27">
        <v>80</v>
      </c>
      <c r="AB973" s="27">
        <v>0</v>
      </c>
      <c r="AC973" s="27">
        <v>29</v>
      </c>
      <c r="AD973" s="27">
        <v>1</v>
      </c>
      <c r="AE973" s="27">
        <v>2</v>
      </c>
      <c r="AF973" s="27">
        <v>5</v>
      </c>
      <c r="AG973" s="27">
        <v>2</v>
      </c>
      <c r="AH973" s="27">
        <v>0</v>
      </c>
      <c r="AI973" s="28">
        <v>3</v>
      </c>
      <c r="AK973" s="36">
        <v>940</v>
      </c>
      <c r="AL973" s="33">
        <v>7</v>
      </c>
      <c r="AM973" s="33">
        <v>2</v>
      </c>
      <c r="AN973" s="33">
        <v>3</v>
      </c>
      <c r="AO973" s="33">
        <v>1</v>
      </c>
      <c r="AP973" s="33">
        <v>0</v>
      </c>
      <c r="AQ973" s="33">
        <v>1</v>
      </c>
      <c r="AR973" s="33">
        <v>3</v>
      </c>
      <c r="AS973" s="33">
        <v>10</v>
      </c>
      <c r="AT973" s="33">
        <v>1</v>
      </c>
      <c r="AU973" s="43">
        <v>3.5910824112055942E-2</v>
      </c>
      <c r="AV973" s="33">
        <v>0</v>
      </c>
      <c r="AW973" s="33">
        <v>1</v>
      </c>
      <c r="AY973" s="36">
        <v>945</v>
      </c>
      <c r="AZ973" s="33">
        <v>2</v>
      </c>
      <c r="BA973" s="33">
        <v>4</v>
      </c>
      <c r="BB973" s="33">
        <v>0</v>
      </c>
      <c r="BC973" s="33">
        <v>3</v>
      </c>
      <c r="BD973" s="43">
        <v>1.9892232637238622E-2</v>
      </c>
      <c r="BE973" s="33">
        <v>0</v>
      </c>
      <c r="BF973" s="33">
        <v>0</v>
      </c>
      <c r="CE973" s="36">
        <v>939</v>
      </c>
      <c r="CF973" s="33">
        <v>23</v>
      </c>
      <c r="CG973" s="33">
        <v>1</v>
      </c>
      <c r="CH973" s="33">
        <v>3</v>
      </c>
      <c r="CI973" s="33">
        <v>3</v>
      </c>
      <c r="CJ973" s="33">
        <v>1</v>
      </c>
      <c r="CK973" s="33">
        <v>0</v>
      </c>
      <c r="CL973" s="33">
        <v>2</v>
      </c>
      <c r="CM973" s="33">
        <v>3</v>
      </c>
      <c r="CN973" s="33">
        <v>2</v>
      </c>
      <c r="CO973" s="33">
        <v>2</v>
      </c>
      <c r="CP973" s="43">
        <v>8.8060419814105909E-2</v>
      </c>
      <c r="CQ973" s="33">
        <v>0</v>
      </c>
      <c r="CR973" s="33">
        <v>0</v>
      </c>
    </row>
    <row r="974" spans="1:96" ht="15" customHeight="1" x14ac:dyDescent="0.25">
      <c r="A974" s="26">
        <v>972</v>
      </c>
      <c r="B974" s="27">
        <v>18</v>
      </c>
      <c r="C974" s="27">
        <v>0</v>
      </c>
      <c r="D974" s="27">
        <v>3</v>
      </c>
      <c r="E974" s="27">
        <v>1124</v>
      </c>
      <c r="F974" s="27">
        <v>2</v>
      </c>
      <c r="G974" s="27">
        <v>1</v>
      </c>
      <c r="H974" s="27">
        <v>3</v>
      </c>
      <c r="I974" s="27">
        <v>1</v>
      </c>
      <c r="J974" s="27">
        <v>1</v>
      </c>
      <c r="K974" s="27">
        <v>1368</v>
      </c>
      <c r="L974" s="27">
        <v>4</v>
      </c>
      <c r="M974" s="27">
        <v>0</v>
      </c>
      <c r="N974" s="27">
        <v>97</v>
      </c>
      <c r="O974" s="27">
        <v>3</v>
      </c>
      <c r="P974" s="27">
        <v>1</v>
      </c>
      <c r="Q974" s="27">
        <v>3</v>
      </c>
      <c r="R974" s="27">
        <v>4</v>
      </c>
      <c r="S974" s="27">
        <v>1</v>
      </c>
      <c r="T974" s="27">
        <v>1611</v>
      </c>
      <c r="U974" s="27">
        <v>19305</v>
      </c>
      <c r="V974" s="27">
        <v>1</v>
      </c>
      <c r="W974" s="27">
        <v>0</v>
      </c>
      <c r="X974" s="27">
        <v>15</v>
      </c>
      <c r="Y974" s="27">
        <v>3</v>
      </c>
      <c r="Z974" s="27">
        <v>3</v>
      </c>
      <c r="AA974" s="27">
        <v>80</v>
      </c>
      <c r="AB974" s="27">
        <v>0</v>
      </c>
      <c r="AC974" s="27">
        <v>0</v>
      </c>
      <c r="AD974" s="27">
        <v>5</v>
      </c>
      <c r="AE974" s="27">
        <v>4</v>
      </c>
      <c r="AF974" s="27">
        <v>0</v>
      </c>
      <c r="AG974" s="27">
        <v>0</v>
      </c>
      <c r="AH974" s="27">
        <v>0</v>
      </c>
      <c r="AI974" s="28">
        <v>0</v>
      </c>
      <c r="AK974" s="36">
        <v>941</v>
      </c>
      <c r="AL974" s="33">
        <v>23</v>
      </c>
      <c r="AM974" s="33">
        <v>1</v>
      </c>
      <c r="AN974" s="33">
        <v>1</v>
      </c>
      <c r="AO974" s="33">
        <v>0</v>
      </c>
      <c r="AP974" s="33">
        <v>0</v>
      </c>
      <c r="AQ974" s="33">
        <v>0</v>
      </c>
      <c r="AR974" s="33">
        <v>3</v>
      </c>
      <c r="AS974" s="33">
        <v>5</v>
      </c>
      <c r="AT974" s="33">
        <v>0</v>
      </c>
      <c r="AU974" s="43">
        <v>0.2919323262584485</v>
      </c>
      <c r="AV974" s="33">
        <v>0</v>
      </c>
      <c r="AW974" s="33">
        <v>1</v>
      </c>
      <c r="AY974" s="36">
        <v>946</v>
      </c>
      <c r="AZ974" s="33">
        <v>4</v>
      </c>
      <c r="BA974" s="33">
        <v>1</v>
      </c>
      <c r="BB974" s="33">
        <v>1</v>
      </c>
      <c r="BC974" s="33">
        <v>0</v>
      </c>
      <c r="BD974" s="43">
        <v>0.24947977886687323</v>
      </c>
      <c r="BE974" s="33">
        <v>0</v>
      </c>
      <c r="BF974" s="33">
        <v>0</v>
      </c>
      <c r="CE974" s="36">
        <v>940</v>
      </c>
      <c r="CF974" s="33">
        <v>7</v>
      </c>
      <c r="CG974" s="33">
        <v>2</v>
      </c>
      <c r="CH974" s="33">
        <v>3</v>
      </c>
      <c r="CI974" s="33">
        <v>2</v>
      </c>
      <c r="CJ974" s="33">
        <v>1</v>
      </c>
      <c r="CK974" s="33">
        <v>0</v>
      </c>
      <c r="CL974" s="33">
        <v>1</v>
      </c>
      <c r="CM974" s="33">
        <v>3</v>
      </c>
      <c r="CN974" s="33">
        <v>10</v>
      </c>
      <c r="CO974" s="33">
        <v>1</v>
      </c>
      <c r="CP974" s="43">
        <v>3.4524722070304138E-2</v>
      </c>
      <c r="CQ974" s="33">
        <v>0</v>
      </c>
      <c r="CR974" s="33">
        <v>1</v>
      </c>
    </row>
    <row r="975" spans="1:96" ht="15" customHeight="1" x14ac:dyDescent="0.25">
      <c r="A975" s="26">
        <v>973</v>
      </c>
      <c r="B975" s="27">
        <v>35</v>
      </c>
      <c r="C975" s="27">
        <v>0</v>
      </c>
      <c r="D975" s="27">
        <v>1</v>
      </c>
      <c r="E975" s="27">
        <v>817</v>
      </c>
      <c r="F975" s="27">
        <v>2</v>
      </c>
      <c r="G975" s="27">
        <v>1</v>
      </c>
      <c r="H975" s="27">
        <v>3</v>
      </c>
      <c r="I975" s="27">
        <v>3</v>
      </c>
      <c r="J975" s="27">
        <v>1</v>
      </c>
      <c r="K975" s="27">
        <v>1369</v>
      </c>
      <c r="L975" s="27">
        <v>4</v>
      </c>
      <c r="M975" s="27">
        <v>0</v>
      </c>
      <c r="N975" s="27">
        <v>60</v>
      </c>
      <c r="O975" s="27">
        <v>2</v>
      </c>
      <c r="P975" s="27">
        <v>2</v>
      </c>
      <c r="Q975" s="27">
        <v>3</v>
      </c>
      <c r="R975" s="27">
        <v>4</v>
      </c>
      <c r="S975" s="27">
        <v>2</v>
      </c>
      <c r="T975" s="27">
        <v>5363</v>
      </c>
      <c r="U975" s="27">
        <v>10846</v>
      </c>
      <c r="V975" s="27">
        <v>0</v>
      </c>
      <c r="W975" s="27">
        <v>0</v>
      </c>
      <c r="X975" s="27">
        <v>12</v>
      </c>
      <c r="Y975" s="27">
        <v>3</v>
      </c>
      <c r="Z975" s="27">
        <v>2</v>
      </c>
      <c r="AA975" s="27">
        <v>80</v>
      </c>
      <c r="AB975" s="27">
        <v>1</v>
      </c>
      <c r="AC975" s="27">
        <v>10</v>
      </c>
      <c r="AD975" s="27">
        <v>0</v>
      </c>
      <c r="AE975" s="27">
        <v>3</v>
      </c>
      <c r="AF975" s="27">
        <v>9</v>
      </c>
      <c r="AG975" s="27">
        <v>7</v>
      </c>
      <c r="AH975" s="27">
        <v>0</v>
      </c>
      <c r="AI975" s="28">
        <v>0</v>
      </c>
      <c r="AK975" s="36">
        <v>942</v>
      </c>
      <c r="AL975" s="33">
        <v>6</v>
      </c>
      <c r="AM975" s="33">
        <v>2</v>
      </c>
      <c r="AN975" s="33">
        <v>4</v>
      </c>
      <c r="AO975" s="33">
        <v>0</v>
      </c>
      <c r="AP975" s="33">
        <v>0</v>
      </c>
      <c r="AQ975" s="33">
        <v>1</v>
      </c>
      <c r="AR975" s="33">
        <v>3</v>
      </c>
      <c r="AS975" s="33">
        <v>9</v>
      </c>
      <c r="AT975" s="33">
        <v>6</v>
      </c>
      <c r="AU975" s="43">
        <v>4.4747463771705104E-2</v>
      </c>
      <c r="AV975" s="33">
        <v>0</v>
      </c>
      <c r="AW975" s="33">
        <v>0</v>
      </c>
      <c r="AY975" s="36">
        <v>947</v>
      </c>
      <c r="AZ975" s="33">
        <v>3</v>
      </c>
      <c r="BA975" s="33">
        <v>2</v>
      </c>
      <c r="BB975" s="33">
        <v>1</v>
      </c>
      <c r="BC975" s="33">
        <v>0</v>
      </c>
      <c r="BD975" s="43">
        <v>0.30251417944774345</v>
      </c>
      <c r="BE975" s="33">
        <v>0</v>
      </c>
      <c r="BF975" s="33">
        <v>1</v>
      </c>
      <c r="CE975" s="36">
        <v>941</v>
      </c>
      <c r="CF975" s="33">
        <v>23</v>
      </c>
      <c r="CG975" s="33">
        <v>1</v>
      </c>
      <c r="CH975" s="33">
        <v>1</v>
      </c>
      <c r="CI975" s="33">
        <v>1</v>
      </c>
      <c r="CJ975" s="33">
        <v>0</v>
      </c>
      <c r="CK975" s="33">
        <v>0</v>
      </c>
      <c r="CL975" s="33">
        <v>0</v>
      </c>
      <c r="CM975" s="33">
        <v>3</v>
      </c>
      <c r="CN975" s="33">
        <v>5</v>
      </c>
      <c r="CO975" s="33">
        <v>0</v>
      </c>
      <c r="CP975" s="43">
        <v>0.33219702024110742</v>
      </c>
      <c r="CQ975" s="33">
        <v>0</v>
      </c>
      <c r="CR975" s="33">
        <v>1</v>
      </c>
    </row>
    <row r="976" spans="1:96" ht="15" customHeight="1" x14ac:dyDescent="0.25">
      <c r="A976" s="26">
        <v>974</v>
      </c>
      <c r="B976" s="27">
        <v>27</v>
      </c>
      <c r="C976" s="27">
        <v>0</v>
      </c>
      <c r="D976" s="27">
        <v>2</v>
      </c>
      <c r="E976" s="27">
        <v>793</v>
      </c>
      <c r="F976" s="27">
        <v>1</v>
      </c>
      <c r="G976" s="27">
        <v>2</v>
      </c>
      <c r="H976" s="27">
        <v>1</v>
      </c>
      <c r="I976" s="27">
        <v>1</v>
      </c>
      <c r="J976" s="27">
        <v>1</v>
      </c>
      <c r="K976" s="27">
        <v>1371</v>
      </c>
      <c r="L976" s="27">
        <v>4</v>
      </c>
      <c r="M976" s="27">
        <v>1</v>
      </c>
      <c r="N976" s="27">
        <v>43</v>
      </c>
      <c r="O976" s="27">
        <v>1</v>
      </c>
      <c r="P976" s="27">
        <v>2</v>
      </c>
      <c r="Q976" s="27">
        <v>1</v>
      </c>
      <c r="R976" s="27">
        <v>4</v>
      </c>
      <c r="S976" s="27">
        <v>1</v>
      </c>
      <c r="T976" s="27">
        <v>5071</v>
      </c>
      <c r="U976" s="27">
        <v>20392</v>
      </c>
      <c r="V976" s="27">
        <v>3</v>
      </c>
      <c r="W976" s="27">
        <v>0</v>
      </c>
      <c r="X976" s="27">
        <v>20</v>
      </c>
      <c r="Y976" s="27">
        <v>4</v>
      </c>
      <c r="Z976" s="27">
        <v>2</v>
      </c>
      <c r="AA976" s="27">
        <v>80</v>
      </c>
      <c r="AB976" s="27">
        <v>0</v>
      </c>
      <c r="AC976" s="27">
        <v>8</v>
      </c>
      <c r="AD976" s="27">
        <v>3</v>
      </c>
      <c r="AE976" s="27">
        <v>3</v>
      </c>
      <c r="AF976" s="27">
        <v>6</v>
      </c>
      <c r="AG976" s="27">
        <v>2</v>
      </c>
      <c r="AH976" s="27">
        <v>0</v>
      </c>
      <c r="AI976" s="28">
        <v>0</v>
      </c>
      <c r="AK976" s="36">
        <v>943</v>
      </c>
      <c r="AL976" s="33">
        <v>10</v>
      </c>
      <c r="AM976" s="33">
        <v>3</v>
      </c>
      <c r="AN976" s="33">
        <v>3</v>
      </c>
      <c r="AO976" s="33">
        <v>3</v>
      </c>
      <c r="AP976" s="33">
        <v>0</v>
      </c>
      <c r="AQ976" s="33">
        <v>0</v>
      </c>
      <c r="AR976" s="33">
        <v>3</v>
      </c>
      <c r="AS976" s="33">
        <v>7</v>
      </c>
      <c r="AT976" s="33">
        <v>1</v>
      </c>
      <c r="AU976" s="43">
        <v>5.7899389649054042E-2</v>
      </c>
      <c r="AV976" s="33">
        <v>0</v>
      </c>
      <c r="AW976" s="33">
        <v>0</v>
      </c>
      <c r="AY976" s="36">
        <v>948</v>
      </c>
      <c r="AZ976" s="33">
        <v>3</v>
      </c>
      <c r="BA976" s="33">
        <v>2</v>
      </c>
      <c r="BB976" s="33">
        <v>1</v>
      </c>
      <c r="BC976" s="33">
        <v>0</v>
      </c>
      <c r="BD976" s="43">
        <v>0.30251417944774345</v>
      </c>
      <c r="BE976" s="33">
        <v>0</v>
      </c>
      <c r="BF976" s="33">
        <v>1</v>
      </c>
      <c r="CE976" s="36">
        <v>942</v>
      </c>
      <c r="CF976" s="33">
        <v>6</v>
      </c>
      <c r="CG976" s="33">
        <v>2</v>
      </c>
      <c r="CH976" s="33">
        <v>4</v>
      </c>
      <c r="CI976" s="33">
        <v>2</v>
      </c>
      <c r="CJ976" s="33">
        <v>0</v>
      </c>
      <c r="CK976" s="33">
        <v>0</v>
      </c>
      <c r="CL976" s="33">
        <v>1</v>
      </c>
      <c r="CM976" s="33">
        <v>3</v>
      </c>
      <c r="CN976" s="33">
        <v>9</v>
      </c>
      <c r="CO976" s="33">
        <v>6</v>
      </c>
      <c r="CP976" s="43">
        <v>4.2873652004510827E-2</v>
      </c>
      <c r="CQ976" s="33">
        <v>0</v>
      </c>
      <c r="CR976" s="33">
        <v>0</v>
      </c>
    </row>
    <row r="977" spans="1:96" ht="15" customHeight="1" x14ac:dyDescent="0.25">
      <c r="A977" s="26">
        <v>975</v>
      </c>
      <c r="B977" s="27">
        <v>55</v>
      </c>
      <c r="C977" s="27">
        <v>1</v>
      </c>
      <c r="D977" s="27">
        <v>1</v>
      </c>
      <c r="E977" s="27">
        <v>267</v>
      </c>
      <c r="F977" s="27">
        <v>1</v>
      </c>
      <c r="G977" s="27">
        <v>13</v>
      </c>
      <c r="H977" s="27">
        <v>4</v>
      </c>
      <c r="I977" s="27">
        <v>4</v>
      </c>
      <c r="J977" s="27">
        <v>1</v>
      </c>
      <c r="K977" s="27">
        <v>1372</v>
      </c>
      <c r="L977" s="27">
        <v>1</v>
      </c>
      <c r="M977" s="27">
        <v>1</v>
      </c>
      <c r="N977" s="27">
        <v>85</v>
      </c>
      <c r="O977" s="27">
        <v>4</v>
      </c>
      <c r="P977" s="27">
        <v>4</v>
      </c>
      <c r="Q977" s="27">
        <v>1</v>
      </c>
      <c r="R977" s="27">
        <v>3</v>
      </c>
      <c r="S977" s="27">
        <v>1</v>
      </c>
      <c r="T977" s="27">
        <v>13695</v>
      </c>
      <c r="U977" s="27">
        <v>9277</v>
      </c>
      <c r="V977" s="27">
        <v>6</v>
      </c>
      <c r="W977" s="27">
        <v>1</v>
      </c>
      <c r="X977" s="27">
        <v>17</v>
      </c>
      <c r="Y977" s="27">
        <v>3</v>
      </c>
      <c r="Z977" s="27">
        <v>3</v>
      </c>
      <c r="AA977" s="27">
        <v>80</v>
      </c>
      <c r="AB977" s="27">
        <v>0</v>
      </c>
      <c r="AC977" s="27">
        <v>24</v>
      </c>
      <c r="AD977" s="27">
        <v>2</v>
      </c>
      <c r="AE977" s="27">
        <v>2</v>
      </c>
      <c r="AF977" s="27">
        <v>19</v>
      </c>
      <c r="AG977" s="27">
        <v>7</v>
      </c>
      <c r="AH977" s="27">
        <v>3</v>
      </c>
      <c r="AI977" s="28">
        <v>8</v>
      </c>
      <c r="AK977" s="36">
        <v>944</v>
      </c>
      <c r="AL977" s="33">
        <v>1</v>
      </c>
      <c r="AM977" s="33">
        <v>1</v>
      </c>
      <c r="AN977" s="33">
        <v>1</v>
      </c>
      <c r="AO977" s="33">
        <v>6</v>
      </c>
      <c r="AP977" s="33">
        <v>0</v>
      </c>
      <c r="AQ977" s="33">
        <v>0</v>
      </c>
      <c r="AR977" s="33">
        <v>4</v>
      </c>
      <c r="AS977" s="33">
        <v>7</v>
      </c>
      <c r="AT977" s="33">
        <v>5</v>
      </c>
      <c r="AU977" s="43">
        <v>0.28250016289325075</v>
      </c>
      <c r="AV977" s="33">
        <v>0</v>
      </c>
      <c r="AW977" s="33">
        <v>0</v>
      </c>
      <c r="AY977" s="36">
        <v>949</v>
      </c>
      <c r="AZ977" s="33">
        <v>3</v>
      </c>
      <c r="BA977" s="33">
        <v>1</v>
      </c>
      <c r="BB977" s="33">
        <v>1</v>
      </c>
      <c r="BC977" s="33">
        <v>2</v>
      </c>
      <c r="BD977" s="43">
        <v>0.16822642676985641</v>
      </c>
      <c r="BE977" s="33">
        <v>0</v>
      </c>
      <c r="BF977" s="33">
        <v>0</v>
      </c>
      <c r="CE977" s="36">
        <v>943</v>
      </c>
      <c r="CF977" s="33">
        <v>10</v>
      </c>
      <c r="CG977" s="33">
        <v>3</v>
      </c>
      <c r="CH977" s="33">
        <v>3</v>
      </c>
      <c r="CI977" s="33">
        <v>2</v>
      </c>
      <c r="CJ977" s="33">
        <v>3</v>
      </c>
      <c r="CK977" s="33">
        <v>0</v>
      </c>
      <c r="CL977" s="33">
        <v>0</v>
      </c>
      <c r="CM977" s="33">
        <v>3</v>
      </c>
      <c r="CN977" s="33">
        <v>7</v>
      </c>
      <c r="CO977" s="33">
        <v>1</v>
      </c>
      <c r="CP977" s="43">
        <v>4.0732768945092042E-2</v>
      </c>
      <c r="CQ977" s="33">
        <v>0</v>
      </c>
      <c r="CR977" s="33">
        <v>0</v>
      </c>
    </row>
    <row r="978" spans="1:96" ht="15" customHeight="1" x14ac:dyDescent="0.25">
      <c r="A978" s="26">
        <v>976</v>
      </c>
      <c r="B978" s="27">
        <v>56</v>
      </c>
      <c r="C978" s="27">
        <v>0</v>
      </c>
      <c r="D978" s="27">
        <v>1</v>
      </c>
      <c r="E978" s="27">
        <v>1369</v>
      </c>
      <c r="F978" s="27">
        <v>2</v>
      </c>
      <c r="G978" s="27">
        <v>23</v>
      </c>
      <c r="H978" s="27">
        <v>3</v>
      </c>
      <c r="I978" s="27">
        <v>1</v>
      </c>
      <c r="J978" s="27">
        <v>1</v>
      </c>
      <c r="K978" s="27">
        <v>1373</v>
      </c>
      <c r="L978" s="27">
        <v>4</v>
      </c>
      <c r="M978" s="27">
        <v>1</v>
      </c>
      <c r="N978" s="27">
        <v>68</v>
      </c>
      <c r="O978" s="27">
        <v>3</v>
      </c>
      <c r="P978" s="27">
        <v>4</v>
      </c>
      <c r="Q978" s="27">
        <v>4</v>
      </c>
      <c r="R978" s="27">
        <v>2</v>
      </c>
      <c r="S978" s="27">
        <v>2</v>
      </c>
      <c r="T978" s="27">
        <v>13402</v>
      </c>
      <c r="U978" s="27">
        <v>18235</v>
      </c>
      <c r="V978" s="27">
        <v>4</v>
      </c>
      <c r="W978" s="27">
        <v>1</v>
      </c>
      <c r="X978" s="27">
        <v>12</v>
      </c>
      <c r="Y978" s="27">
        <v>3</v>
      </c>
      <c r="Z978" s="27">
        <v>1</v>
      </c>
      <c r="AA978" s="27">
        <v>80</v>
      </c>
      <c r="AB978" s="27">
        <v>1</v>
      </c>
      <c r="AC978" s="27">
        <v>33</v>
      </c>
      <c r="AD978" s="27">
        <v>0</v>
      </c>
      <c r="AE978" s="27">
        <v>3</v>
      </c>
      <c r="AF978" s="27">
        <v>19</v>
      </c>
      <c r="AG978" s="27">
        <v>16</v>
      </c>
      <c r="AH978" s="27">
        <v>15</v>
      </c>
      <c r="AI978" s="28">
        <v>9</v>
      </c>
      <c r="AK978" s="36">
        <v>945</v>
      </c>
      <c r="AL978" s="33">
        <v>1</v>
      </c>
      <c r="AM978" s="33">
        <v>2</v>
      </c>
      <c r="AN978" s="33">
        <v>4</v>
      </c>
      <c r="AO978" s="33">
        <v>0</v>
      </c>
      <c r="AP978" s="33">
        <v>0</v>
      </c>
      <c r="AQ978" s="33">
        <v>3</v>
      </c>
      <c r="AR978" s="33">
        <v>3</v>
      </c>
      <c r="AS978" s="33">
        <v>9</v>
      </c>
      <c r="AT978" s="33">
        <v>7</v>
      </c>
      <c r="AU978" s="43">
        <v>1.4063370703656012E-2</v>
      </c>
      <c r="AV978" s="33">
        <v>0</v>
      </c>
      <c r="AW978" s="33">
        <v>0</v>
      </c>
      <c r="AY978" s="36">
        <v>950</v>
      </c>
      <c r="AZ978" s="33">
        <v>2</v>
      </c>
      <c r="BA978" s="33">
        <v>3</v>
      </c>
      <c r="BB978" s="33">
        <v>0</v>
      </c>
      <c r="BC978" s="33">
        <v>0</v>
      </c>
      <c r="BD978" s="43">
        <v>0.11690772887050198</v>
      </c>
      <c r="BE978" s="33">
        <v>0</v>
      </c>
      <c r="BF978" s="33">
        <v>0</v>
      </c>
      <c r="CE978" s="36">
        <v>944</v>
      </c>
      <c r="CF978" s="33">
        <v>1</v>
      </c>
      <c r="CG978" s="33">
        <v>1</v>
      </c>
      <c r="CH978" s="33">
        <v>1</v>
      </c>
      <c r="CI978" s="33">
        <v>1</v>
      </c>
      <c r="CJ978" s="33">
        <v>6</v>
      </c>
      <c r="CK978" s="33">
        <v>0</v>
      </c>
      <c r="CL978" s="33">
        <v>0</v>
      </c>
      <c r="CM978" s="33">
        <v>4</v>
      </c>
      <c r="CN978" s="33">
        <v>7</v>
      </c>
      <c r="CO978" s="33">
        <v>5</v>
      </c>
      <c r="CP978" s="43">
        <v>0.32507573152327474</v>
      </c>
      <c r="CQ978" s="33">
        <v>0</v>
      </c>
      <c r="CR978" s="33">
        <v>0</v>
      </c>
    </row>
    <row r="979" spans="1:96" ht="15" customHeight="1" x14ac:dyDescent="0.25">
      <c r="A979" s="26">
        <v>977</v>
      </c>
      <c r="B979" s="27">
        <v>34</v>
      </c>
      <c r="C979" s="27">
        <v>0</v>
      </c>
      <c r="D979" s="27">
        <v>3</v>
      </c>
      <c r="E979" s="27">
        <v>999</v>
      </c>
      <c r="F979" s="27">
        <v>2</v>
      </c>
      <c r="G979" s="27">
        <v>26</v>
      </c>
      <c r="H979" s="27">
        <v>1</v>
      </c>
      <c r="I979" s="27">
        <v>5</v>
      </c>
      <c r="J979" s="27">
        <v>1</v>
      </c>
      <c r="K979" s="27">
        <v>1374</v>
      </c>
      <c r="L979" s="27">
        <v>1</v>
      </c>
      <c r="M979" s="27">
        <v>0</v>
      </c>
      <c r="N979" s="27">
        <v>92</v>
      </c>
      <c r="O979" s="27">
        <v>2</v>
      </c>
      <c r="P979" s="27">
        <v>1</v>
      </c>
      <c r="Q979" s="27">
        <v>2</v>
      </c>
      <c r="R979" s="27">
        <v>3</v>
      </c>
      <c r="S979" s="27">
        <v>3</v>
      </c>
      <c r="T979" s="27">
        <v>2029</v>
      </c>
      <c r="U979" s="27">
        <v>15891</v>
      </c>
      <c r="V979" s="27">
        <v>1</v>
      </c>
      <c r="W979" s="27">
        <v>0</v>
      </c>
      <c r="X979" s="27">
        <v>20</v>
      </c>
      <c r="Y979" s="27">
        <v>4</v>
      </c>
      <c r="Z979" s="27">
        <v>3</v>
      </c>
      <c r="AA979" s="27">
        <v>80</v>
      </c>
      <c r="AB979" s="27">
        <v>3</v>
      </c>
      <c r="AC979" s="27">
        <v>5</v>
      </c>
      <c r="AD979" s="27">
        <v>2</v>
      </c>
      <c r="AE979" s="27">
        <v>3</v>
      </c>
      <c r="AF979" s="27">
        <v>5</v>
      </c>
      <c r="AG979" s="27">
        <v>4</v>
      </c>
      <c r="AH979" s="27">
        <v>0</v>
      </c>
      <c r="AI979" s="28">
        <v>0</v>
      </c>
      <c r="AK979" s="36">
        <v>946</v>
      </c>
      <c r="AL979" s="33">
        <v>28</v>
      </c>
      <c r="AM979" s="33">
        <v>4</v>
      </c>
      <c r="AN979" s="33">
        <v>1</v>
      </c>
      <c r="AO979" s="33">
        <v>4</v>
      </c>
      <c r="AP979" s="33">
        <v>1</v>
      </c>
      <c r="AQ979" s="33">
        <v>0</v>
      </c>
      <c r="AR979" s="33">
        <v>3</v>
      </c>
      <c r="AS979" s="33">
        <v>3</v>
      </c>
      <c r="AT979" s="33">
        <v>1</v>
      </c>
      <c r="AU979" s="43">
        <v>0.42463137343076285</v>
      </c>
      <c r="AV979" s="33">
        <v>0</v>
      </c>
      <c r="AW979" s="33">
        <v>0</v>
      </c>
      <c r="AY979" s="36">
        <v>951</v>
      </c>
      <c r="AZ979" s="33">
        <v>3</v>
      </c>
      <c r="BA979" s="33">
        <v>3</v>
      </c>
      <c r="BB979" s="33">
        <v>1</v>
      </c>
      <c r="BC979" s="33">
        <v>1</v>
      </c>
      <c r="BD979" s="43">
        <v>0.16038463669030681</v>
      </c>
      <c r="BE979" s="33">
        <v>0</v>
      </c>
      <c r="BF979" s="33">
        <v>0</v>
      </c>
      <c r="CE979" s="36">
        <v>945</v>
      </c>
      <c r="CF979" s="33">
        <v>1</v>
      </c>
      <c r="CG979" s="33">
        <v>2</v>
      </c>
      <c r="CH979" s="33">
        <v>4</v>
      </c>
      <c r="CI979" s="33">
        <v>2</v>
      </c>
      <c r="CJ979" s="33">
        <v>0</v>
      </c>
      <c r="CK979" s="33">
        <v>0</v>
      </c>
      <c r="CL979" s="33">
        <v>3</v>
      </c>
      <c r="CM979" s="33">
        <v>3</v>
      </c>
      <c r="CN979" s="33">
        <v>9</v>
      </c>
      <c r="CO979" s="33">
        <v>7</v>
      </c>
      <c r="CP979" s="43">
        <v>2.6538580775622433E-2</v>
      </c>
      <c r="CQ979" s="33">
        <v>0</v>
      </c>
      <c r="CR979" s="33">
        <v>0</v>
      </c>
    </row>
    <row r="980" spans="1:96" ht="15" customHeight="1" x14ac:dyDescent="0.25">
      <c r="A980" s="26">
        <v>978</v>
      </c>
      <c r="B980" s="27">
        <v>40</v>
      </c>
      <c r="C980" s="27">
        <v>0</v>
      </c>
      <c r="D980" s="27">
        <v>1</v>
      </c>
      <c r="E980" s="27">
        <v>1202</v>
      </c>
      <c r="F980" s="27">
        <v>2</v>
      </c>
      <c r="G980" s="27">
        <v>2</v>
      </c>
      <c r="H980" s="27">
        <v>1</v>
      </c>
      <c r="I980" s="27">
        <v>3</v>
      </c>
      <c r="J980" s="27">
        <v>1</v>
      </c>
      <c r="K980" s="27">
        <v>1375</v>
      </c>
      <c r="L980" s="27">
        <v>2</v>
      </c>
      <c r="M980" s="27">
        <v>0</v>
      </c>
      <c r="N980" s="27">
        <v>89</v>
      </c>
      <c r="O980" s="27">
        <v>4</v>
      </c>
      <c r="P980" s="27">
        <v>2</v>
      </c>
      <c r="Q980" s="27">
        <v>5</v>
      </c>
      <c r="R980" s="27">
        <v>3</v>
      </c>
      <c r="S980" s="27">
        <v>3</v>
      </c>
      <c r="T980" s="27">
        <v>6377</v>
      </c>
      <c r="U980" s="27">
        <v>13888</v>
      </c>
      <c r="V980" s="27">
        <v>5</v>
      </c>
      <c r="W980" s="27">
        <v>0</v>
      </c>
      <c r="X980" s="27">
        <v>20</v>
      </c>
      <c r="Y980" s="27">
        <v>4</v>
      </c>
      <c r="Z980" s="27">
        <v>2</v>
      </c>
      <c r="AA980" s="27">
        <v>80</v>
      </c>
      <c r="AB980" s="27">
        <v>3</v>
      </c>
      <c r="AC980" s="27">
        <v>15</v>
      </c>
      <c r="AD980" s="27">
        <v>0</v>
      </c>
      <c r="AE980" s="27">
        <v>3</v>
      </c>
      <c r="AF980" s="27">
        <v>12</v>
      </c>
      <c r="AG980" s="27">
        <v>11</v>
      </c>
      <c r="AH980" s="27">
        <v>11</v>
      </c>
      <c r="AI980" s="28">
        <v>8</v>
      </c>
      <c r="AK980" s="36">
        <v>947</v>
      </c>
      <c r="AL980" s="33">
        <v>25</v>
      </c>
      <c r="AM980" s="33">
        <v>3</v>
      </c>
      <c r="AN980" s="33">
        <v>2</v>
      </c>
      <c r="AO980" s="33">
        <v>2</v>
      </c>
      <c r="AP980" s="33">
        <v>1</v>
      </c>
      <c r="AQ980" s="33">
        <v>0</v>
      </c>
      <c r="AR980" s="33">
        <v>3</v>
      </c>
      <c r="AS980" s="33">
        <v>5</v>
      </c>
      <c r="AT980" s="33">
        <v>1</v>
      </c>
      <c r="AU980" s="43">
        <v>0.38762010916237988</v>
      </c>
      <c r="AV980" s="33">
        <v>0</v>
      </c>
      <c r="AW980" s="33">
        <v>1</v>
      </c>
      <c r="AY980" s="36">
        <v>952</v>
      </c>
      <c r="AZ980" s="33">
        <v>2</v>
      </c>
      <c r="BA980" s="33">
        <v>2</v>
      </c>
      <c r="BB980" s="33">
        <v>0</v>
      </c>
      <c r="BC980" s="33">
        <v>0</v>
      </c>
      <c r="BD980" s="43">
        <v>0.15063023792355215</v>
      </c>
      <c r="BE980" s="33">
        <v>0</v>
      </c>
      <c r="BF980" s="33">
        <v>0</v>
      </c>
      <c r="CE980" s="36">
        <v>946</v>
      </c>
      <c r="CF980" s="33">
        <v>28</v>
      </c>
      <c r="CG980" s="33">
        <v>4</v>
      </c>
      <c r="CH980" s="33">
        <v>1</v>
      </c>
      <c r="CI980" s="33">
        <v>2</v>
      </c>
      <c r="CJ980" s="33">
        <v>4</v>
      </c>
      <c r="CK980" s="33">
        <v>1</v>
      </c>
      <c r="CL980" s="33">
        <v>0</v>
      </c>
      <c r="CM980" s="33">
        <v>3</v>
      </c>
      <c r="CN980" s="33">
        <v>3</v>
      </c>
      <c r="CO980" s="33">
        <v>1</v>
      </c>
      <c r="CP980" s="43">
        <v>0.35725894295218363</v>
      </c>
      <c r="CQ980" s="33">
        <v>0</v>
      </c>
      <c r="CR980" s="33">
        <v>0</v>
      </c>
    </row>
    <row r="981" spans="1:96" ht="15" customHeight="1" x14ac:dyDescent="0.25">
      <c r="A981" s="26">
        <v>979</v>
      </c>
      <c r="B981" s="27">
        <v>34</v>
      </c>
      <c r="C981" s="27">
        <v>0</v>
      </c>
      <c r="D981" s="27">
        <v>1</v>
      </c>
      <c r="E981" s="27">
        <v>285</v>
      </c>
      <c r="F981" s="27">
        <v>2</v>
      </c>
      <c r="G981" s="27">
        <v>29</v>
      </c>
      <c r="H981" s="27">
        <v>3</v>
      </c>
      <c r="I981" s="27">
        <v>3</v>
      </c>
      <c r="J981" s="27">
        <v>1</v>
      </c>
      <c r="K981" s="27">
        <v>1377</v>
      </c>
      <c r="L981" s="27">
        <v>2</v>
      </c>
      <c r="M981" s="27">
        <v>1</v>
      </c>
      <c r="N981" s="27">
        <v>86</v>
      </c>
      <c r="O981" s="27">
        <v>3</v>
      </c>
      <c r="P981" s="27">
        <v>2</v>
      </c>
      <c r="Q981" s="27">
        <v>3</v>
      </c>
      <c r="R981" s="27">
        <v>3</v>
      </c>
      <c r="S981" s="27">
        <v>2</v>
      </c>
      <c r="T981" s="27">
        <v>5429</v>
      </c>
      <c r="U981" s="27">
        <v>17491</v>
      </c>
      <c r="V981" s="27">
        <v>4</v>
      </c>
      <c r="W981" s="27">
        <v>0</v>
      </c>
      <c r="X981" s="27">
        <v>13</v>
      </c>
      <c r="Y981" s="27">
        <v>3</v>
      </c>
      <c r="Z981" s="27">
        <v>1</v>
      </c>
      <c r="AA981" s="27">
        <v>80</v>
      </c>
      <c r="AB981" s="27">
        <v>2</v>
      </c>
      <c r="AC981" s="27">
        <v>10</v>
      </c>
      <c r="AD981" s="27">
        <v>1</v>
      </c>
      <c r="AE981" s="27">
        <v>3</v>
      </c>
      <c r="AF981" s="27">
        <v>8</v>
      </c>
      <c r="AG981" s="27">
        <v>7</v>
      </c>
      <c r="AH981" s="27">
        <v>7</v>
      </c>
      <c r="AI981" s="28">
        <v>7</v>
      </c>
      <c r="AK981" s="36">
        <v>948</v>
      </c>
      <c r="AL981" s="33">
        <v>5</v>
      </c>
      <c r="AM981" s="33">
        <v>3</v>
      </c>
      <c r="AN981" s="33">
        <v>2</v>
      </c>
      <c r="AO981" s="33">
        <v>9</v>
      </c>
      <c r="AP981" s="33">
        <v>1</v>
      </c>
      <c r="AQ981" s="33">
        <v>0</v>
      </c>
      <c r="AR981" s="33">
        <v>2</v>
      </c>
      <c r="AS981" s="33">
        <v>8</v>
      </c>
      <c r="AT981" s="33">
        <v>7</v>
      </c>
      <c r="AU981" s="43">
        <v>0.53846731485423094</v>
      </c>
      <c r="AV981" s="33">
        <v>1</v>
      </c>
      <c r="AW981" s="33">
        <v>1</v>
      </c>
      <c r="AY981" s="36">
        <v>953</v>
      </c>
      <c r="AZ981" s="33">
        <v>1</v>
      </c>
      <c r="BA981" s="33">
        <v>2</v>
      </c>
      <c r="BB981" s="33">
        <v>1</v>
      </c>
      <c r="BC981" s="33">
        <v>0</v>
      </c>
      <c r="BD981" s="43">
        <v>0.56990699338636852</v>
      </c>
      <c r="BE981" s="33">
        <v>1</v>
      </c>
      <c r="BF981" s="33">
        <v>1</v>
      </c>
      <c r="CE981" s="36">
        <v>947</v>
      </c>
      <c r="CF981" s="33">
        <v>25</v>
      </c>
      <c r="CG981" s="33">
        <v>3</v>
      </c>
      <c r="CH981" s="33">
        <v>2</v>
      </c>
      <c r="CI981" s="33">
        <v>1</v>
      </c>
      <c r="CJ981" s="33">
        <v>2</v>
      </c>
      <c r="CK981" s="33">
        <v>1</v>
      </c>
      <c r="CL981" s="33">
        <v>0</v>
      </c>
      <c r="CM981" s="33">
        <v>3</v>
      </c>
      <c r="CN981" s="33">
        <v>5</v>
      </c>
      <c r="CO981" s="33">
        <v>1</v>
      </c>
      <c r="CP981" s="43">
        <v>0.44535477744582902</v>
      </c>
      <c r="CQ981" s="33">
        <v>0</v>
      </c>
      <c r="CR981" s="33">
        <v>1</v>
      </c>
    </row>
    <row r="982" spans="1:96" ht="15" customHeight="1" x14ac:dyDescent="0.25">
      <c r="A982" s="26">
        <v>980</v>
      </c>
      <c r="B982" s="27">
        <v>31</v>
      </c>
      <c r="C982" s="27">
        <v>1</v>
      </c>
      <c r="D982" s="27">
        <v>2</v>
      </c>
      <c r="E982" s="27">
        <v>703</v>
      </c>
      <c r="F982" s="27">
        <v>1</v>
      </c>
      <c r="G982" s="27">
        <v>2</v>
      </c>
      <c r="H982" s="27">
        <v>3</v>
      </c>
      <c r="I982" s="27">
        <v>1</v>
      </c>
      <c r="J982" s="27">
        <v>1</v>
      </c>
      <c r="K982" s="27">
        <v>1379</v>
      </c>
      <c r="L982" s="27">
        <v>3</v>
      </c>
      <c r="M982" s="27">
        <v>0</v>
      </c>
      <c r="N982" s="27">
        <v>90</v>
      </c>
      <c r="O982" s="27">
        <v>2</v>
      </c>
      <c r="P982" s="27">
        <v>1</v>
      </c>
      <c r="Q982" s="27">
        <v>7</v>
      </c>
      <c r="R982" s="27">
        <v>4</v>
      </c>
      <c r="S982" s="27">
        <v>1</v>
      </c>
      <c r="T982" s="27">
        <v>2785</v>
      </c>
      <c r="U982" s="27">
        <v>11882</v>
      </c>
      <c r="V982" s="27">
        <v>7</v>
      </c>
      <c r="W982" s="27">
        <v>0</v>
      </c>
      <c r="X982" s="27">
        <v>14</v>
      </c>
      <c r="Y982" s="27">
        <v>3</v>
      </c>
      <c r="Z982" s="27">
        <v>3</v>
      </c>
      <c r="AA982" s="27">
        <v>80</v>
      </c>
      <c r="AB982" s="27">
        <v>0</v>
      </c>
      <c r="AC982" s="27">
        <v>3</v>
      </c>
      <c r="AD982" s="27">
        <v>3</v>
      </c>
      <c r="AE982" s="27">
        <v>4</v>
      </c>
      <c r="AF982" s="27">
        <v>1</v>
      </c>
      <c r="AG982" s="27">
        <v>0</v>
      </c>
      <c r="AH982" s="27">
        <v>0</v>
      </c>
      <c r="AI982" s="28">
        <v>0</v>
      </c>
      <c r="AK982" s="36">
        <v>949</v>
      </c>
      <c r="AL982" s="33">
        <v>17</v>
      </c>
      <c r="AM982" s="33">
        <v>3</v>
      </c>
      <c r="AN982" s="33">
        <v>1</v>
      </c>
      <c r="AO982" s="33">
        <v>1</v>
      </c>
      <c r="AP982" s="33">
        <v>1</v>
      </c>
      <c r="AQ982" s="33">
        <v>2</v>
      </c>
      <c r="AR982" s="33">
        <v>3</v>
      </c>
      <c r="AS982" s="33">
        <v>9</v>
      </c>
      <c r="AT982" s="33">
        <v>0</v>
      </c>
      <c r="AU982" s="43">
        <v>0.11360907811094891</v>
      </c>
      <c r="AV982" s="33">
        <v>0</v>
      </c>
      <c r="AW982" s="33">
        <v>0</v>
      </c>
      <c r="AY982" s="36">
        <v>954</v>
      </c>
      <c r="AZ982" s="33">
        <v>1</v>
      </c>
      <c r="BA982" s="33">
        <v>1</v>
      </c>
      <c r="BB982" s="33">
        <v>0</v>
      </c>
      <c r="BC982" s="33">
        <v>0</v>
      </c>
      <c r="BD982" s="43">
        <v>0.29341085656570393</v>
      </c>
      <c r="BE982" s="33">
        <v>0</v>
      </c>
      <c r="BF982" s="33">
        <v>1</v>
      </c>
      <c r="CE982" s="36">
        <v>948</v>
      </c>
      <c r="CF982" s="33">
        <v>5</v>
      </c>
      <c r="CG982" s="33">
        <v>3</v>
      </c>
      <c r="CH982" s="33">
        <v>2</v>
      </c>
      <c r="CI982" s="33">
        <v>1</v>
      </c>
      <c r="CJ982" s="33">
        <v>9</v>
      </c>
      <c r="CK982" s="33">
        <v>1</v>
      </c>
      <c r="CL982" s="33">
        <v>0</v>
      </c>
      <c r="CM982" s="33">
        <v>2</v>
      </c>
      <c r="CN982" s="33">
        <v>8</v>
      </c>
      <c r="CO982" s="33">
        <v>7</v>
      </c>
      <c r="CP982" s="43">
        <v>0.60868006163965027</v>
      </c>
      <c r="CQ982" s="33">
        <v>1</v>
      </c>
      <c r="CR982" s="33">
        <v>1</v>
      </c>
    </row>
    <row r="983" spans="1:96" ht="15" customHeight="1" x14ac:dyDescent="0.25">
      <c r="A983" s="26">
        <v>981</v>
      </c>
      <c r="B983" s="27">
        <v>35</v>
      </c>
      <c r="C983" s="27">
        <v>1</v>
      </c>
      <c r="D983" s="27">
        <v>2</v>
      </c>
      <c r="E983" s="27">
        <v>662</v>
      </c>
      <c r="F983" s="27">
        <v>1</v>
      </c>
      <c r="G983" s="27">
        <v>18</v>
      </c>
      <c r="H983" s="27">
        <v>4</v>
      </c>
      <c r="I983" s="27">
        <v>4</v>
      </c>
      <c r="J983" s="27">
        <v>1</v>
      </c>
      <c r="K983" s="27">
        <v>1380</v>
      </c>
      <c r="L983" s="27">
        <v>4</v>
      </c>
      <c r="M983" s="27">
        <v>0</v>
      </c>
      <c r="N983" s="27">
        <v>67</v>
      </c>
      <c r="O983" s="27">
        <v>3</v>
      </c>
      <c r="P983" s="27">
        <v>2</v>
      </c>
      <c r="Q983" s="27">
        <v>1</v>
      </c>
      <c r="R983" s="27">
        <v>3</v>
      </c>
      <c r="S983" s="27">
        <v>2</v>
      </c>
      <c r="T983" s="27">
        <v>4614</v>
      </c>
      <c r="U983" s="27">
        <v>23288</v>
      </c>
      <c r="V983" s="27">
        <v>0</v>
      </c>
      <c r="W983" s="27">
        <v>1</v>
      </c>
      <c r="X983" s="27">
        <v>18</v>
      </c>
      <c r="Y983" s="27">
        <v>3</v>
      </c>
      <c r="Z983" s="27">
        <v>3</v>
      </c>
      <c r="AA983" s="27">
        <v>80</v>
      </c>
      <c r="AB983" s="27">
        <v>1</v>
      </c>
      <c r="AC983" s="27">
        <v>5</v>
      </c>
      <c r="AD983" s="27">
        <v>0</v>
      </c>
      <c r="AE983" s="27">
        <v>2</v>
      </c>
      <c r="AF983" s="27">
        <v>4</v>
      </c>
      <c r="AG983" s="27">
        <v>2</v>
      </c>
      <c r="AH983" s="27">
        <v>3</v>
      </c>
      <c r="AI983" s="28">
        <v>2</v>
      </c>
      <c r="AK983" s="36">
        <v>950</v>
      </c>
      <c r="AL983" s="33">
        <v>18</v>
      </c>
      <c r="AM983" s="33">
        <v>2</v>
      </c>
      <c r="AN983" s="33">
        <v>3</v>
      </c>
      <c r="AO983" s="33">
        <v>0</v>
      </c>
      <c r="AP983" s="33">
        <v>0</v>
      </c>
      <c r="AQ983" s="33">
        <v>0</v>
      </c>
      <c r="AR983" s="33">
        <v>3</v>
      </c>
      <c r="AS983" s="33">
        <v>8</v>
      </c>
      <c r="AT983" s="33">
        <v>1</v>
      </c>
      <c r="AU983" s="43">
        <v>9.1721055124330014E-2</v>
      </c>
      <c r="AV983" s="33">
        <v>0</v>
      </c>
      <c r="AW983" s="33">
        <v>0</v>
      </c>
      <c r="AY983" s="36">
        <v>955</v>
      </c>
      <c r="AZ983" s="33">
        <v>4</v>
      </c>
      <c r="BA983" s="33">
        <v>3</v>
      </c>
      <c r="BB983" s="33">
        <v>1</v>
      </c>
      <c r="BC983" s="33">
        <v>0</v>
      </c>
      <c r="BD983" s="43">
        <v>0.15628347374862378</v>
      </c>
      <c r="BE983" s="33">
        <v>0</v>
      </c>
      <c r="BF983" s="33">
        <v>0</v>
      </c>
      <c r="CE983" s="36">
        <v>949</v>
      </c>
      <c r="CF983" s="33">
        <v>17</v>
      </c>
      <c r="CG983" s="33">
        <v>3</v>
      </c>
      <c r="CH983" s="33">
        <v>1</v>
      </c>
      <c r="CI983" s="33">
        <v>2</v>
      </c>
      <c r="CJ983" s="33">
        <v>1</v>
      </c>
      <c r="CK983" s="33">
        <v>1</v>
      </c>
      <c r="CL983" s="33">
        <v>2</v>
      </c>
      <c r="CM983" s="33">
        <v>3</v>
      </c>
      <c r="CN983" s="33">
        <v>9</v>
      </c>
      <c r="CO983" s="33">
        <v>0</v>
      </c>
      <c r="CP983" s="43">
        <v>0.15861326495033323</v>
      </c>
      <c r="CQ983" s="33">
        <v>0</v>
      </c>
      <c r="CR983" s="33">
        <v>0</v>
      </c>
    </row>
    <row r="984" spans="1:96" ht="15" customHeight="1" x14ac:dyDescent="0.25">
      <c r="A984" s="26">
        <v>982</v>
      </c>
      <c r="B984" s="27">
        <v>38</v>
      </c>
      <c r="C984" s="27">
        <v>0</v>
      </c>
      <c r="D984" s="27">
        <v>2</v>
      </c>
      <c r="E984" s="27">
        <v>693</v>
      </c>
      <c r="F984" s="27">
        <v>2</v>
      </c>
      <c r="G984" s="27">
        <v>7</v>
      </c>
      <c r="H984" s="27">
        <v>3</v>
      </c>
      <c r="I984" s="27">
        <v>1</v>
      </c>
      <c r="J984" s="27">
        <v>1</v>
      </c>
      <c r="K984" s="27">
        <v>1382</v>
      </c>
      <c r="L984" s="27">
        <v>4</v>
      </c>
      <c r="M984" s="27">
        <v>1</v>
      </c>
      <c r="N984" s="27">
        <v>57</v>
      </c>
      <c r="O984" s="27">
        <v>4</v>
      </c>
      <c r="P984" s="27">
        <v>1</v>
      </c>
      <c r="Q984" s="27">
        <v>2</v>
      </c>
      <c r="R984" s="27">
        <v>3</v>
      </c>
      <c r="S984" s="27">
        <v>3</v>
      </c>
      <c r="T984" s="27">
        <v>2610</v>
      </c>
      <c r="U984" s="27">
        <v>15748</v>
      </c>
      <c r="V984" s="27">
        <v>1</v>
      </c>
      <c r="W984" s="27">
        <v>0</v>
      </c>
      <c r="X984" s="27">
        <v>11</v>
      </c>
      <c r="Y984" s="27">
        <v>3</v>
      </c>
      <c r="Z984" s="27">
        <v>4</v>
      </c>
      <c r="AA984" s="27">
        <v>80</v>
      </c>
      <c r="AB984" s="27">
        <v>3</v>
      </c>
      <c r="AC984" s="27">
        <v>4</v>
      </c>
      <c r="AD984" s="27">
        <v>2</v>
      </c>
      <c r="AE984" s="27">
        <v>3</v>
      </c>
      <c r="AF984" s="27">
        <v>4</v>
      </c>
      <c r="AG984" s="27">
        <v>2</v>
      </c>
      <c r="AH984" s="27">
        <v>0</v>
      </c>
      <c r="AI984" s="28">
        <v>3</v>
      </c>
      <c r="AK984" s="36">
        <v>951</v>
      </c>
      <c r="AL984" s="33">
        <v>2</v>
      </c>
      <c r="AM984" s="33">
        <v>3</v>
      </c>
      <c r="AN984" s="33">
        <v>3</v>
      </c>
      <c r="AO984" s="33">
        <v>1</v>
      </c>
      <c r="AP984" s="33">
        <v>1</v>
      </c>
      <c r="AQ984" s="33">
        <v>1</v>
      </c>
      <c r="AR984" s="33">
        <v>2</v>
      </c>
      <c r="AS984" s="33">
        <v>10</v>
      </c>
      <c r="AT984" s="33">
        <v>9</v>
      </c>
      <c r="AU984" s="43">
        <v>0.19856460645139928</v>
      </c>
      <c r="AV984" s="33">
        <v>0</v>
      </c>
      <c r="AW984" s="33">
        <v>0</v>
      </c>
      <c r="AY984" s="36">
        <v>956</v>
      </c>
      <c r="AZ984" s="33">
        <v>5</v>
      </c>
      <c r="BA984" s="33">
        <v>3</v>
      </c>
      <c r="BB984" s="33">
        <v>0</v>
      </c>
      <c r="BC984" s="33">
        <v>1</v>
      </c>
      <c r="BD984" s="43">
        <v>1.4415653001325196E-2</v>
      </c>
      <c r="BE984" s="33">
        <v>0</v>
      </c>
      <c r="BF984" s="33">
        <v>0</v>
      </c>
      <c r="CE984" s="36">
        <v>950</v>
      </c>
      <c r="CF984" s="33">
        <v>18</v>
      </c>
      <c r="CG984" s="33">
        <v>2</v>
      </c>
      <c r="CH984" s="33">
        <v>3</v>
      </c>
      <c r="CI984" s="33">
        <v>1</v>
      </c>
      <c r="CJ984" s="33">
        <v>0</v>
      </c>
      <c r="CK984" s="33">
        <v>0</v>
      </c>
      <c r="CL984" s="33">
        <v>0</v>
      </c>
      <c r="CM984" s="33">
        <v>3</v>
      </c>
      <c r="CN984" s="33">
        <v>8</v>
      </c>
      <c r="CO984" s="33">
        <v>1</v>
      </c>
      <c r="CP984" s="43">
        <v>0.10647095837010211</v>
      </c>
      <c r="CQ984" s="33">
        <v>0</v>
      </c>
      <c r="CR984" s="33">
        <v>0</v>
      </c>
    </row>
    <row r="985" spans="1:96" ht="15" customHeight="1" x14ac:dyDescent="0.25">
      <c r="A985" s="26">
        <v>983</v>
      </c>
      <c r="B985" s="27">
        <v>34</v>
      </c>
      <c r="C985" s="27">
        <v>0</v>
      </c>
      <c r="D985" s="27">
        <v>1</v>
      </c>
      <c r="E985" s="27">
        <v>404</v>
      </c>
      <c r="F985" s="27">
        <v>2</v>
      </c>
      <c r="G985" s="27">
        <v>2</v>
      </c>
      <c r="H985" s="27">
        <v>4</v>
      </c>
      <c r="I985" s="27">
        <v>5</v>
      </c>
      <c r="J985" s="27">
        <v>1</v>
      </c>
      <c r="K985" s="27">
        <v>1383</v>
      </c>
      <c r="L985" s="27">
        <v>3</v>
      </c>
      <c r="M985" s="27">
        <v>0</v>
      </c>
      <c r="N985" s="27">
        <v>98</v>
      </c>
      <c r="O985" s="27">
        <v>3</v>
      </c>
      <c r="P985" s="27">
        <v>2</v>
      </c>
      <c r="Q985" s="27">
        <v>5</v>
      </c>
      <c r="R985" s="27">
        <v>4</v>
      </c>
      <c r="S985" s="27">
        <v>1</v>
      </c>
      <c r="T985" s="27">
        <v>6687</v>
      </c>
      <c r="U985" s="27">
        <v>6163</v>
      </c>
      <c r="V985" s="27">
        <v>1</v>
      </c>
      <c r="W985" s="27">
        <v>0</v>
      </c>
      <c r="X985" s="27">
        <v>11</v>
      </c>
      <c r="Y985" s="27">
        <v>3</v>
      </c>
      <c r="Z985" s="27">
        <v>4</v>
      </c>
      <c r="AA985" s="27">
        <v>80</v>
      </c>
      <c r="AB985" s="27">
        <v>0</v>
      </c>
      <c r="AC985" s="27">
        <v>14</v>
      </c>
      <c r="AD985" s="27">
        <v>2</v>
      </c>
      <c r="AE985" s="27">
        <v>4</v>
      </c>
      <c r="AF985" s="27">
        <v>14</v>
      </c>
      <c r="AG985" s="27">
        <v>11</v>
      </c>
      <c r="AH985" s="27">
        <v>4</v>
      </c>
      <c r="AI985" s="28">
        <v>11</v>
      </c>
      <c r="AK985" s="36">
        <v>952</v>
      </c>
      <c r="AL985" s="33">
        <v>10</v>
      </c>
      <c r="AM985" s="33">
        <v>2</v>
      </c>
      <c r="AN985" s="33">
        <v>2</v>
      </c>
      <c r="AO985" s="33">
        <v>1</v>
      </c>
      <c r="AP985" s="33">
        <v>0</v>
      </c>
      <c r="AQ985" s="33">
        <v>0</v>
      </c>
      <c r="AR985" s="33">
        <v>3</v>
      </c>
      <c r="AS985" s="33">
        <v>19</v>
      </c>
      <c r="AT985" s="33">
        <v>11</v>
      </c>
      <c r="AU985" s="43">
        <v>0.13639734859207187</v>
      </c>
      <c r="AV985" s="33">
        <v>0</v>
      </c>
      <c r="AW985" s="33">
        <v>0</v>
      </c>
      <c r="AY985" s="36">
        <v>957</v>
      </c>
      <c r="AZ985" s="33">
        <v>5</v>
      </c>
      <c r="BA985" s="33">
        <v>2</v>
      </c>
      <c r="BB985" s="33">
        <v>0</v>
      </c>
      <c r="BC985" s="33">
        <v>0</v>
      </c>
      <c r="BD985" s="43">
        <v>3.2142518215720908E-2</v>
      </c>
      <c r="BE985" s="33">
        <v>0</v>
      </c>
      <c r="BF985" s="33">
        <v>0</v>
      </c>
      <c r="CE985" s="36">
        <v>951</v>
      </c>
      <c r="CF985" s="33">
        <v>2</v>
      </c>
      <c r="CG985" s="33">
        <v>3</v>
      </c>
      <c r="CH985" s="33">
        <v>3</v>
      </c>
      <c r="CI985" s="33">
        <v>3</v>
      </c>
      <c r="CJ985" s="33">
        <v>1</v>
      </c>
      <c r="CK985" s="33">
        <v>1</v>
      </c>
      <c r="CL985" s="33">
        <v>1</v>
      </c>
      <c r="CM985" s="33">
        <v>2</v>
      </c>
      <c r="CN985" s="33">
        <v>10</v>
      </c>
      <c r="CO985" s="33">
        <v>9</v>
      </c>
      <c r="CP985" s="43">
        <v>0.13048573277480274</v>
      </c>
      <c r="CQ985" s="33">
        <v>0</v>
      </c>
      <c r="CR985" s="33">
        <v>0</v>
      </c>
    </row>
    <row r="986" spans="1:96" ht="15" customHeight="1" x14ac:dyDescent="0.25">
      <c r="A986" s="26">
        <v>984</v>
      </c>
      <c r="B986" s="27">
        <v>28</v>
      </c>
      <c r="C986" s="27">
        <v>0</v>
      </c>
      <c r="D986" s="27">
        <v>1</v>
      </c>
      <c r="E986" s="27">
        <v>736</v>
      </c>
      <c r="F986" s="27">
        <v>1</v>
      </c>
      <c r="G986" s="27">
        <v>26</v>
      </c>
      <c r="H986" s="27">
        <v>3</v>
      </c>
      <c r="I986" s="27">
        <v>1</v>
      </c>
      <c r="J986" s="27">
        <v>1</v>
      </c>
      <c r="K986" s="27">
        <v>1387</v>
      </c>
      <c r="L986" s="27">
        <v>3</v>
      </c>
      <c r="M986" s="27">
        <v>1</v>
      </c>
      <c r="N986" s="27">
        <v>48</v>
      </c>
      <c r="O986" s="27">
        <v>2</v>
      </c>
      <c r="P986" s="27">
        <v>2</v>
      </c>
      <c r="Q986" s="27">
        <v>1</v>
      </c>
      <c r="R986" s="27">
        <v>1</v>
      </c>
      <c r="S986" s="27">
        <v>2</v>
      </c>
      <c r="T986" s="27">
        <v>4724</v>
      </c>
      <c r="U986" s="27">
        <v>24232</v>
      </c>
      <c r="V986" s="27">
        <v>1</v>
      </c>
      <c r="W986" s="27">
        <v>0</v>
      </c>
      <c r="X986" s="27">
        <v>11</v>
      </c>
      <c r="Y986" s="27">
        <v>3</v>
      </c>
      <c r="Z986" s="27">
        <v>3</v>
      </c>
      <c r="AA986" s="27">
        <v>80</v>
      </c>
      <c r="AB986" s="27">
        <v>1</v>
      </c>
      <c r="AC986" s="27">
        <v>5</v>
      </c>
      <c r="AD986" s="27">
        <v>0</v>
      </c>
      <c r="AE986" s="27">
        <v>3</v>
      </c>
      <c r="AF986" s="27">
        <v>5</v>
      </c>
      <c r="AG986" s="27">
        <v>3</v>
      </c>
      <c r="AH986" s="27">
        <v>0</v>
      </c>
      <c r="AI986" s="28">
        <v>4</v>
      </c>
      <c r="AK986" s="36">
        <v>953</v>
      </c>
      <c r="AL986" s="33">
        <v>1</v>
      </c>
      <c r="AM986" s="33">
        <v>1</v>
      </c>
      <c r="AN986" s="33">
        <v>2</v>
      </c>
      <c r="AO986" s="33">
        <v>1</v>
      </c>
      <c r="AP986" s="33">
        <v>1</v>
      </c>
      <c r="AQ986" s="33">
        <v>0</v>
      </c>
      <c r="AR986" s="33">
        <v>4</v>
      </c>
      <c r="AS986" s="33">
        <v>3</v>
      </c>
      <c r="AT986" s="33">
        <v>2</v>
      </c>
      <c r="AU986" s="43">
        <v>0.44512296385111366</v>
      </c>
      <c r="AV986" s="33">
        <v>0</v>
      </c>
      <c r="AW986" s="33">
        <v>1</v>
      </c>
      <c r="AY986" s="36">
        <v>958</v>
      </c>
      <c r="AZ986" s="33">
        <v>1</v>
      </c>
      <c r="BA986" s="33">
        <v>3</v>
      </c>
      <c r="BB986" s="33">
        <v>0</v>
      </c>
      <c r="BC986" s="33">
        <v>1</v>
      </c>
      <c r="BD986" s="43">
        <v>0.12012271365792118</v>
      </c>
      <c r="BE986" s="33">
        <v>0</v>
      </c>
      <c r="BF986" s="33">
        <v>0</v>
      </c>
      <c r="CE986" s="36">
        <v>952</v>
      </c>
      <c r="CF986" s="33">
        <v>10</v>
      </c>
      <c r="CG986" s="33">
        <v>2</v>
      </c>
      <c r="CH986" s="33">
        <v>2</v>
      </c>
      <c r="CI986" s="33">
        <v>1</v>
      </c>
      <c r="CJ986" s="33">
        <v>1</v>
      </c>
      <c r="CK986" s="33">
        <v>0</v>
      </c>
      <c r="CL986" s="33">
        <v>0</v>
      </c>
      <c r="CM986" s="33">
        <v>3</v>
      </c>
      <c r="CN986" s="33">
        <v>19</v>
      </c>
      <c r="CO986" s="33">
        <v>11</v>
      </c>
      <c r="CP986" s="43">
        <v>0.16338073063932693</v>
      </c>
      <c r="CQ986" s="33">
        <v>0</v>
      </c>
      <c r="CR986" s="33">
        <v>0</v>
      </c>
    </row>
    <row r="987" spans="1:96" ht="15" customHeight="1" x14ac:dyDescent="0.25">
      <c r="A987" s="26">
        <v>985</v>
      </c>
      <c r="B987" s="27">
        <v>31</v>
      </c>
      <c r="C987" s="27">
        <v>1</v>
      </c>
      <c r="D987" s="27">
        <v>1</v>
      </c>
      <c r="E987" s="27">
        <v>330</v>
      </c>
      <c r="F987" s="27">
        <v>2</v>
      </c>
      <c r="G987" s="27">
        <v>22</v>
      </c>
      <c r="H987" s="27">
        <v>4</v>
      </c>
      <c r="I987" s="27">
        <v>3</v>
      </c>
      <c r="J987" s="27">
        <v>1</v>
      </c>
      <c r="K987" s="27">
        <v>1389</v>
      </c>
      <c r="L987" s="27">
        <v>4</v>
      </c>
      <c r="M987" s="27">
        <v>1</v>
      </c>
      <c r="N987" s="27">
        <v>98</v>
      </c>
      <c r="O987" s="27">
        <v>3</v>
      </c>
      <c r="P987" s="27">
        <v>2</v>
      </c>
      <c r="Q987" s="27">
        <v>4</v>
      </c>
      <c r="R987" s="27">
        <v>3</v>
      </c>
      <c r="S987" s="27">
        <v>2</v>
      </c>
      <c r="T987" s="27">
        <v>6179</v>
      </c>
      <c r="U987" s="27">
        <v>21057</v>
      </c>
      <c r="V987" s="27">
        <v>1</v>
      </c>
      <c r="W987" s="27">
        <v>1</v>
      </c>
      <c r="X987" s="27">
        <v>15</v>
      </c>
      <c r="Y987" s="27">
        <v>3</v>
      </c>
      <c r="Z987" s="27">
        <v>4</v>
      </c>
      <c r="AA987" s="27">
        <v>80</v>
      </c>
      <c r="AB987" s="27">
        <v>2</v>
      </c>
      <c r="AC987" s="27">
        <v>10</v>
      </c>
      <c r="AD987" s="27">
        <v>3</v>
      </c>
      <c r="AE987" s="27">
        <v>2</v>
      </c>
      <c r="AF987" s="27">
        <v>10</v>
      </c>
      <c r="AG987" s="27">
        <v>2</v>
      </c>
      <c r="AH987" s="27">
        <v>6</v>
      </c>
      <c r="AI987" s="28">
        <v>7</v>
      </c>
      <c r="AK987" s="36">
        <v>954</v>
      </c>
      <c r="AL987" s="33">
        <v>3</v>
      </c>
      <c r="AM987" s="33">
        <v>1</v>
      </c>
      <c r="AN987" s="33">
        <v>1</v>
      </c>
      <c r="AO987" s="33">
        <v>4</v>
      </c>
      <c r="AP987" s="33">
        <v>0</v>
      </c>
      <c r="AQ987" s="33">
        <v>0</v>
      </c>
      <c r="AR987" s="33">
        <v>4</v>
      </c>
      <c r="AS987" s="33">
        <v>3</v>
      </c>
      <c r="AT987" s="33">
        <v>1</v>
      </c>
      <c r="AU987" s="43">
        <v>0.23187194118398577</v>
      </c>
      <c r="AV987" s="33">
        <v>0</v>
      </c>
      <c r="AW987" s="33">
        <v>1</v>
      </c>
      <c r="AY987" s="36">
        <v>959</v>
      </c>
      <c r="AZ987" s="33">
        <v>3</v>
      </c>
      <c r="BA987" s="33">
        <v>4</v>
      </c>
      <c r="BB987" s="33">
        <v>0</v>
      </c>
      <c r="BC987" s="33">
        <v>1</v>
      </c>
      <c r="BD987" s="43">
        <v>3.2280700557178299E-2</v>
      </c>
      <c r="BE987" s="33">
        <v>0</v>
      </c>
      <c r="BF987" s="33">
        <v>0</v>
      </c>
      <c r="CE987" s="36">
        <v>953</v>
      </c>
      <c r="CF987" s="33">
        <v>1</v>
      </c>
      <c r="CG987" s="33">
        <v>1</v>
      </c>
      <c r="CH987" s="33">
        <v>2</v>
      </c>
      <c r="CI987" s="33">
        <v>1</v>
      </c>
      <c r="CJ987" s="33">
        <v>1</v>
      </c>
      <c r="CK987" s="33">
        <v>1</v>
      </c>
      <c r="CL987" s="33">
        <v>0</v>
      </c>
      <c r="CM987" s="33">
        <v>4</v>
      </c>
      <c r="CN987" s="33">
        <v>3</v>
      </c>
      <c r="CO987" s="33">
        <v>2</v>
      </c>
      <c r="CP987" s="43">
        <v>0.49714067547473362</v>
      </c>
      <c r="CQ987" s="33">
        <v>0</v>
      </c>
      <c r="CR987" s="33">
        <v>1</v>
      </c>
    </row>
    <row r="988" spans="1:96" ht="15" customHeight="1" x14ac:dyDescent="0.25">
      <c r="A988" s="26">
        <v>986</v>
      </c>
      <c r="B988" s="27">
        <v>39</v>
      </c>
      <c r="C988" s="27">
        <v>0</v>
      </c>
      <c r="D988" s="27">
        <v>1</v>
      </c>
      <c r="E988" s="27">
        <v>1498</v>
      </c>
      <c r="F988" s="27">
        <v>1</v>
      </c>
      <c r="G988" s="27">
        <v>21</v>
      </c>
      <c r="H988" s="27">
        <v>4</v>
      </c>
      <c r="I988" s="27">
        <v>1</v>
      </c>
      <c r="J988" s="27">
        <v>1</v>
      </c>
      <c r="K988" s="27">
        <v>1390</v>
      </c>
      <c r="L988" s="27">
        <v>1</v>
      </c>
      <c r="M988" s="27">
        <v>1</v>
      </c>
      <c r="N988" s="27">
        <v>44</v>
      </c>
      <c r="O988" s="27">
        <v>2</v>
      </c>
      <c r="P988" s="27">
        <v>2</v>
      </c>
      <c r="Q988" s="27">
        <v>1</v>
      </c>
      <c r="R988" s="27">
        <v>4</v>
      </c>
      <c r="S988" s="27">
        <v>2</v>
      </c>
      <c r="T988" s="27">
        <v>6120</v>
      </c>
      <c r="U988" s="27">
        <v>3567</v>
      </c>
      <c r="V988" s="27">
        <v>3</v>
      </c>
      <c r="W988" s="27">
        <v>1</v>
      </c>
      <c r="X988" s="27">
        <v>12</v>
      </c>
      <c r="Y988" s="27">
        <v>3</v>
      </c>
      <c r="Z988" s="27">
        <v>4</v>
      </c>
      <c r="AA988" s="27">
        <v>80</v>
      </c>
      <c r="AB988" s="27">
        <v>2</v>
      </c>
      <c r="AC988" s="27">
        <v>8</v>
      </c>
      <c r="AD988" s="27">
        <v>2</v>
      </c>
      <c r="AE988" s="27">
        <v>4</v>
      </c>
      <c r="AF988" s="27">
        <v>5</v>
      </c>
      <c r="AG988" s="27">
        <v>4</v>
      </c>
      <c r="AH988" s="27">
        <v>1</v>
      </c>
      <c r="AI988" s="28">
        <v>4</v>
      </c>
      <c r="AK988" s="36">
        <v>955</v>
      </c>
      <c r="AL988" s="33">
        <v>2</v>
      </c>
      <c r="AM988" s="33">
        <v>4</v>
      </c>
      <c r="AN988" s="33">
        <v>3</v>
      </c>
      <c r="AO988" s="33">
        <v>0</v>
      </c>
      <c r="AP988" s="33">
        <v>1</v>
      </c>
      <c r="AQ988" s="33">
        <v>0</v>
      </c>
      <c r="AR988" s="33">
        <v>2</v>
      </c>
      <c r="AS988" s="33">
        <v>20</v>
      </c>
      <c r="AT988" s="33">
        <v>2</v>
      </c>
      <c r="AU988" s="43">
        <v>4.841881126112927E-2</v>
      </c>
      <c r="AV988" s="33">
        <v>0</v>
      </c>
      <c r="AW988" s="33">
        <v>0</v>
      </c>
      <c r="AY988" s="36">
        <v>960</v>
      </c>
      <c r="AZ988" s="33">
        <v>2</v>
      </c>
      <c r="BA988" s="33">
        <v>4</v>
      </c>
      <c r="BB988" s="33">
        <v>0</v>
      </c>
      <c r="BC988" s="33">
        <v>0</v>
      </c>
      <c r="BD988" s="43">
        <v>8.9935487507215722E-2</v>
      </c>
      <c r="BE988" s="33">
        <v>0</v>
      </c>
      <c r="BF988" s="33">
        <v>0</v>
      </c>
      <c r="CE988" s="36">
        <v>954</v>
      </c>
      <c r="CF988" s="33">
        <v>3</v>
      </c>
      <c r="CG988" s="33">
        <v>1</v>
      </c>
      <c r="CH988" s="33">
        <v>1</v>
      </c>
      <c r="CI988" s="33">
        <v>2</v>
      </c>
      <c r="CJ988" s="33">
        <v>4</v>
      </c>
      <c r="CK988" s="33">
        <v>0</v>
      </c>
      <c r="CL988" s="33">
        <v>0</v>
      </c>
      <c r="CM988" s="33">
        <v>4</v>
      </c>
      <c r="CN988" s="33">
        <v>3</v>
      </c>
      <c r="CO988" s="33">
        <v>1</v>
      </c>
      <c r="CP988" s="43">
        <v>0.17306689889289598</v>
      </c>
      <c r="CQ988" s="33">
        <v>0</v>
      </c>
      <c r="CR988" s="33">
        <v>1</v>
      </c>
    </row>
    <row r="989" spans="1:96" ht="15" customHeight="1" x14ac:dyDescent="0.25">
      <c r="A989" s="26">
        <v>987</v>
      </c>
      <c r="B989" s="27">
        <v>51</v>
      </c>
      <c r="C989" s="27">
        <v>0</v>
      </c>
      <c r="D989" s="27">
        <v>2</v>
      </c>
      <c r="E989" s="27">
        <v>541</v>
      </c>
      <c r="F989" s="27">
        <v>1</v>
      </c>
      <c r="G989" s="27">
        <v>2</v>
      </c>
      <c r="H989" s="27">
        <v>3</v>
      </c>
      <c r="I989" s="27">
        <v>4</v>
      </c>
      <c r="J989" s="27">
        <v>1</v>
      </c>
      <c r="K989" s="27">
        <v>1391</v>
      </c>
      <c r="L989" s="27">
        <v>2</v>
      </c>
      <c r="M989" s="27">
        <v>1</v>
      </c>
      <c r="N989" s="27">
        <v>52</v>
      </c>
      <c r="O989" s="27">
        <v>3</v>
      </c>
      <c r="P989" s="27">
        <v>3</v>
      </c>
      <c r="Q989" s="27">
        <v>1</v>
      </c>
      <c r="R989" s="27">
        <v>2</v>
      </c>
      <c r="S989" s="27">
        <v>2</v>
      </c>
      <c r="T989" s="27">
        <v>10596</v>
      </c>
      <c r="U989" s="27">
        <v>15395</v>
      </c>
      <c r="V989" s="27">
        <v>2</v>
      </c>
      <c r="W989" s="27">
        <v>0</v>
      </c>
      <c r="X989" s="27">
        <v>11</v>
      </c>
      <c r="Y989" s="27">
        <v>3</v>
      </c>
      <c r="Z989" s="27">
        <v>2</v>
      </c>
      <c r="AA989" s="27">
        <v>80</v>
      </c>
      <c r="AB989" s="27">
        <v>0</v>
      </c>
      <c r="AC989" s="27">
        <v>14</v>
      </c>
      <c r="AD989" s="27">
        <v>5</v>
      </c>
      <c r="AE989" s="27">
        <v>3</v>
      </c>
      <c r="AF989" s="27">
        <v>4</v>
      </c>
      <c r="AG989" s="27">
        <v>2</v>
      </c>
      <c r="AH989" s="27">
        <v>3</v>
      </c>
      <c r="AI989" s="28">
        <v>2</v>
      </c>
      <c r="AK989" s="36">
        <v>956</v>
      </c>
      <c r="AL989" s="33">
        <v>2</v>
      </c>
      <c r="AM989" s="33">
        <v>5</v>
      </c>
      <c r="AN989" s="33">
        <v>3</v>
      </c>
      <c r="AO989" s="33">
        <v>4</v>
      </c>
      <c r="AP989" s="33">
        <v>0</v>
      </c>
      <c r="AQ989" s="33">
        <v>1</v>
      </c>
      <c r="AR989" s="33">
        <v>3</v>
      </c>
      <c r="AS989" s="33">
        <v>19</v>
      </c>
      <c r="AT989" s="33">
        <v>9</v>
      </c>
      <c r="AU989" s="43">
        <v>9.9197010168158746E-3</v>
      </c>
      <c r="AV989" s="33">
        <v>0</v>
      </c>
      <c r="AW989" s="33">
        <v>0</v>
      </c>
      <c r="AY989" s="36">
        <v>961</v>
      </c>
      <c r="AZ989" s="33">
        <v>2</v>
      </c>
      <c r="BA989" s="33">
        <v>1</v>
      </c>
      <c r="BB989" s="33">
        <v>0</v>
      </c>
      <c r="BC989" s="33">
        <v>1</v>
      </c>
      <c r="BD989" s="43">
        <v>0.12293502213131684</v>
      </c>
      <c r="BE989" s="33">
        <v>0</v>
      </c>
      <c r="BF989" s="33">
        <v>0</v>
      </c>
      <c r="CE989" s="36">
        <v>955</v>
      </c>
      <c r="CF989" s="33">
        <v>2</v>
      </c>
      <c r="CG989" s="33">
        <v>4</v>
      </c>
      <c r="CH989" s="33">
        <v>3</v>
      </c>
      <c r="CI989" s="33">
        <v>2</v>
      </c>
      <c r="CJ989" s="33">
        <v>0</v>
      </c>
      <c r="CK989" s="33">
        <v>1</v>
      </c>
      <c r="CL989" s="33">
        <v>0</v>
      </c>
      <c r="CM989" s="33">
        <v>2</v>
      </c>
      <c r="CN989" s="33">
        <v>20</v>
      </c>
      <c r="CO989" s="33">
        <v>2</v>
      </c>
      <c r="CP989" s="43">
        <v>3.6059537067424687E-2</v>
      </c>
      <c r="CQ989" s="33">
        <v>0</v>
      </c>
      <c r="CR989" s="33">
        <v>0</v>
      </c>
    </row>
    <row r="990" spans="1:96" ht="15" customHeight="1" x14ac:dyDescent="0.25">
      <c r="A990" s="26">
        <v>988</v>
      </c>
      <c r="B990" s="27">
        <v>41</v>
      </c>
      <c r="C990" s="27">
        <v>0</v>
      </c>
      <c r="D990" s="27">
        <v>2</v>
      </c>
      <c r="E990" s="27">
        <v>1200</v>
      </c>
      <c r="F990" s="27">
        <v>2</v>
      </c>
      <c r="G990" s="27">
        <v>22</v>
      </c>
      <c r="H990" s="27">
        <v>3</v>
      </c>
      <c r="I990" s="27">
        <v>1</v>
      </c>
      <c r="J990" s="27">
        <v>1</v>
      </c>
      <c r="K990" s="27">
        <v>1392</v>
      </c>
      <c r="L990" s="27">
        <v>4</v>
      </c>
      <c r="M990" s="27">
        <v>0</v>
      </c>
      <c r="N990" s="27">
        <v>75</v>
      </c>
      <c r="O990" s="27">
        <v>3</v>
      </c>
      <c r="P990" s="27">
        <v>2</v>
      </c>
      <c r="Q990" s="27">
        <v>2</v>
      </c>
      <c r="R990" s="27">
        <v>4</v>
      </c>
      <c r="S990" s="27">
        <v>3</v>
      </c>
      <c r="T990" s="27">
        <v>5467</v>
      </c>
      <c r="U990" s="27">
        <v>13953</v>
      </c>
      <c r="V990" s="27">
        <v>3</v>
      </c>
      <c r="W990" s="27">
        <v>1</v>
      </c>
      <c r="X990" s="27">
        <v>14</v>
      </c>
      <c r="Y990" s="27">
        <v>3</v>
      </c>
      <c r="Z990" s="27">
        <v>1</v>
      </c>
      <c r="AA990" s="27">
        <v>80</v>
      </c>
      <c r="AB990" s="27">
        <v>2</v>
      </c>
      <c r="AC990" s="27">
        <v>12</v>
      </c>
      <c r="AD990" s="27">
        <v>4</v>
      </c>
      <c r="AE990" s="27">
        <v>2</v>
      </c>
      <c r="AF990" s="27">
        <v>6</v>
      </c>
      <c r="AG990" s="27">
        <v>2</v>
      </c>
      <c r="AH990" s="27">
        <v>3</v>
      </c>
      <c r="AI990" s="28">
        <v>3</v>
      </c>
      <c r="AK990" s="36">
        <v>957</v>
      </c>
      <c r="AL990" s="33">
        <v>8</v>
      </c>
      <c r="AM990" s="33">
        <v>5</v>
      </c>
      <c r="AN990" s="33">
        <v>2</v>
      </c>
      <c r="AO990" s="33">
        <v>6</v>
      </c>
      <c r="AP990" s="33">
        <v>0</v>
      </c>
      <c r="AQ990" s="33">
        <v>0</v>
      </c>
      <c r="AR990" s="33">
        <v>3</v>
      </c>
      <c r="AS990" s="33">
        <v>7</v>
      </c>
      <c r="AT990" s="33">
        <v>7</v>
      </c>
      <c r="AU990" s="43">
        <v>6.0896092211382813E-2</v>
      </c>
      <c r="AV990" s="33">
        <v>0</v>
      </c>
      <c r="AW990" s="33">
        <v>0</v>
      </c>
      <c r="AY990" s="36">
        <v>962</v>
      </c>
      <c r="AZ990" s="33">
        <v>2</v>
      </c>
      <c r="BA990" s="33">
        <v>3</v>
      </c>
      <c r="BB990" s="33">
        <v>1</v>
      </c>
      <c r="BC990" s="33">
        <v>0</v>
      </c>
      <c r="BD990" s="43">
        <v>0.36139389867144694</v>
      </c>
      <c r="BE990" s="33">
        <v>0</v>
      </c>
      <c r="BF990" s="33">
        <v>0</v>
      </c>
      <c r="CE990" s="36">
        <v>956</v>
      </c>
      <c r="CF990" s="33">
        <v>2</v>
      </c>
      <c r="CG990" s="33">
        <v>5</v>
      </c>
      <c r="CH990" s="33">
        <v>3</v>
      </c>
      <c r="CI990" s="33">
        <v>2</v>
      </c>
      <c r="CJ990" s="33">
        <v>4</v>
      </c>
      <c r="CK990" s="33">
        <v>0</v>
      </c>
      <c r="CL990" s="33">
        <v>1</v>
      </c>
      <c r="CM990" s="33">
        <v>3</v>
      </c>
      <c r="CN990" s="33">
        <v>19</v>
      </c>
      <c r="CO990" s="33">
        <v>9</v>
      </c>
      <c r="CP990" s="43">
        <v>1.0106427489923466E-2</v>
      </c>
      <c r="CQ990" s="33">
        <v>0</v>
      </c>
      <c r="CR990" s="33">
        <v>0</v>
      </c>
    </row>
    <row r="991" spans="1:96" ht="15" customHeight="1" x14ac:dyDescent="0.25">
      <c r="A991" s="26">
        <v>989</v>
      </c>
      <c r="B991" s="27">
        <v>37</v>
      </c>
      <c r="C991" s="27">
        <v>0</v>
      </c>
      <c r="D991" s="27">
        <v>1</v>
      </c>
      <c r="E991" s="27">
        <v>1439</v>
      </c>
      <c r="F991" s="27">
        <v>2</v>
      </c>
      <c r="G991" s="27">
        <v>4</v>
      </c>
      <c r="H991" s="27">
        <v>1</v>
      </c>
      <c r="I991" s="27">
        <v>1</v>
      </c>
      <c r="J991" s="27">
        <v>1</v>
      </c>
      <c r="K991" s="27">
        <v>1394</v>
      </c>
      <c r="L991" s="27">
        <v>3</v>
      </c>
      <c r="M991" s="27">
        <v>1</v>
      </c>
      <c r="N991" s="27">
        <v>54</v>
      </c>
      <c r="O991" s="27">
        <v>3</v>
      </c>
      <c r="P991" s="27">
        <v>1</v>
      </c>
      <c r="Q991" s="27">
        <v>2</v>
      </c>
      <c r="R991" s="27">
        <v>3</v>
      </c>
      <c r="S991" s="27">
        <v>2</v>
      </c>
      <c r="T991" s="27">
        <v>2996</v>
      </c>
      <c r="U991" s="27">
        <v>5182</v>
      </c>
      <c r="V991" s="27">
        <v>7</v>
      </c>
      <c r="W991" s="27">
        <v>1</v>
      </c>
      <c r="X991" s="27">
        <v>15</v>
      </c>
      <c r="Y991" s="27">
        <v>3</v>
      </c>
      <c r="Z991" s="27">
        <v>4</v>
      </c>
      <c r="AA991" s="27">
        <v>80</v>
      </c>
      <c r="AB991" s="27">
        <v>0</v>
      </c>
      <c r="AC991" s="27">
        <v>8</v>
      </c>
      <c r="AD991" s="27">
        <v>2</v>
      </c>
      <c r="AE991" s="27">
        <v>3</v>
      </c>
      <c r="AF991" s="27">
        <v>6</v>
      </c>
      <c r="AG991" s="27">
        <v>4</v>
      </c>
      <c r="AH991" s="27">
        <v>1</v>
      </c>
      <c r="AI991" s="28">
        <v>3</v>
      </c>
      <c r="AK991" s="36">
        <v>958</v>
      </c>
      <c r="AL991" s="33">
        <v>16</v>
      </c>
      <c r="AM991" s="33">
        <v>1</v>
      </c>
      <c r="AN991" s="33">
        <v>3</v>
      </c>
      <c r="AO991" s="33">
        <v>9</v>
      </c>
      <c r="AP991" s="33">
        <v>0</v>
      </c>
      <c r="AQ991" s="33">
        <v>1</v>
      </c>
      <c r="AR991" s="33">
        <v>3</v>
      </c>
      <c r="AS991" s="33">
        <v>4</v>
      </c>
      <c r="AT991" s="33">
        <v>0</v>
      </c>
      <c r="AU991" s="43">
        <v>0.19082472626470182</v>
      </c>
      <c r="AV991" s="33">
        <v>0</v>
      </c>
      <c r="AW991" s="33">
        <v>0</v>
      </c>
      <c r="AY991" s="36">
        <v>963</v>
      </c>
      <c r="AZ991" s="33">
        <v>4</v>
      </c>
      <c r="BA991" s="33">
        <v>2</v>
      </c>
      <c r="BB991" s="33">
        <v>1</v>
      </c>
      <c r="BC991" s="33">
        <v>1</v>
      </c>
      <c r="BD991" s="43">
        <v>0.1277051204585552</v>
      </c>
      <c r="BE991" s="33">
        <v>0</v>
      </c>
      <c r="BF991" s="33">
        <v>0</v>
      </c>
      <c r="CE991" s="36">
        <v>957</v>
      </c>
      <c r="CF991" s="33">
        <v>8</v>
      </c>
      <c r="CG991" s="33">
        <v>5</v>
      </c>
      <c r="CH991" s="33">
        <v>2</v>
      </c>
      <c r="CI991" s="33">
        <v>1</v>
      </c>
      <c r="CJ991" s="33">
        <v>6</v>
      </c>
      <c r="CK991" s="33">
        <v>0</v>
      </c>
      <c r="CL991" s="33">
        <v>0</v>
      </c>
      <c r="CM991" s="33">
        <v>3</v>
      </c>
      <c r="CN991" s="33">
        <v>7</v>
      </c>
      <c r="CO991" s="33">
        <v>7</v>
      </c>
      <c r="CP991" s="43">
        <v>7.6775617214110137E-2</v>
      </c>
      <c r="CQ991" s="33">
        <v>0</v>
      </c>
      <c r="CR991" s="33">
        <v>0</v>
      </c>
    </row>
    <row r="992" spans="1:96" ht="15" customHeight="1" x14ac:dyDescent="0.25">
      <c r="A992" s="26">
        <v>990</v>
      </c>
      <c r="B992" s="27">
        <v>33</v>
      </c>
      <c r="C992" s="27">
        <v>0</v>
      </c>
      <c r="D992" s="27">
        <v>2</v>
      </c>
      <c r="E992" s="27">
        <v>1111</v>
      </c>
      <c r="F992" s="27">
        <v>1</v>
      </c>
      <c r="G992" s="27">
        <v>5</v>
      </c>
      <c r="H992" s="27">
        <v>1</v>
      </c>
      <c r="I992" s="27">
        <v>1</v>
      </c>
      <c r="J992" s="27">
        <v>1</v>
      </c>
      <c r="K992" s="27">
        <v>1395</v>
      </c>
      <c r="L992" s="27">
        <v>2</v>
      </c>
      <c r="M992" s="27">
        <v>1</v>
      </c>
      <c r="N992" s="27">
        <v>61</v>
      </c>
      <c r="O992" s="27">
        <v>3</v>
      </c>
      <c r="P992" s="27">
        <v>2</v>
      </c>
      <c r="Q992" s="27">
        <v>1</v>
      </c>
      <c r="R992" s="27">
        <v>4</v>
      </c>
      <c r="S992" s="27">
        <v>2</v>
      </c>
      <c r="T992" s="27">
        <v>9998</v>
      </c>
      <c r="U992" s="27">
        <v>19293</v>
      </c>
      <c r="V992" s="27">
        <v>6</v>
      </c>
      <c r="W992" s="27">
        <v>0</v>
      </c>
      <c r="X992" s="27">
        <v>13</v>
      </c>
      <c r="Y992" s="27">
        <v>3</v>
      </c>
      <c r="Z992" s="27">
        <v>1</v>
      </c>
      <c r="AA992" s="27">
        <v>80</v>
      </c>
      <c r="AB992" s="27">
        <v>0</v>
      </c>
      <c r="AC992" s="27">
        <v>8</v>
      </c>
      <c r="AD992" s="27">
        <v>2</v>
      </c>
      <c r="AE992" s="27">
        <v>4</v>
      </c>
      <c r="AF992" s="27">
        <v>5</v>
      </c>
      <c r="AG992" s="27">
        <v>4</v>
      </c>
      <c r="AH992" s="27">
        <v>1</v>
      </c>
      <c r="AI992" s="28">
        <v>2</v>
      </c>
      <c r="AK992" s="36">
        <v>959</v>
      </c>
      <c r="AL992" s="33">
        <v>9</v>
      </c>
      <c r="AM992" s="33">
        <v>3</v>
      </c>
      <c r="AN992" s="33">
        <v>4</v>
      </c>
      <c r="AO992" s="33">
        <v>0</v>
      </c>
      <c r="AP992" s="33">
        <v>0</v>
      </c>
      <c r="AQ992" s="33">
        <v>1</v>
      </c>
      <c r="AR992" s="33">
        <v>2</v>
      </c>
      <c r="AS992" s="33">
        <v>9</v>
      </c>
      <c r="AT992" s="33">
        <v>1</v>
      </c>
      <c r="AU992" s="43">
        <v>2.0921693401456616E-2</v>
      </c>
      <c r="AV992" s="33">
        <v>0</v>
      </c>
      <c r="AW992" s="33">
        <v>0</v>
      </c>
      <c r="AY992" s="36">
        <v>964</v>
      </c>
      <c r="AZ992" s="33">
        <v>2</v>
      </c>
      <c r="BA992" s="33">
        <v>1</v>
      </c>
      <c r="BB992" s="33">
        <v>0</v>
      </c>
      <c r="BC992" s="33">
        <v>1</v>
      </c>
      <c r="BD992" s="43">
        <v>0.12293502213131684</v>
      </c>
      <c r="BE992" s="33">
        <v>0</v>
      </c>
      <c r="BF992" s="33">
        <v>0</v>
      </c>
      <c r="CE992" s="36">
        <v>958</v>
      </c>
      <c r="CF992" s="33">
        <v>16</v>
      </c>
      <c r="CG992" s="33">
        <v>1</v>
      </c>
      <c r="CH992" s="33">
        <v>3</v>
      </c>
      <c r="CI992" s="33">
        <v>3</v>
      </c>
      <c r="CJ992" s="33">
        <v>9</v>
      </c>
      <c r="CK992" s="33">
        <v>0</v>
      </c>
      <c r="CL992" s="33">
        <v>1</v>
      </c>
      <c r="CM992" s="33">
        <v>3</v>
      </c>
      <c r="CN992" s="33">
        <v>4</v>
      </c>
      <c r="CO992" s="33">
        <v>0</v>
      </c>
      <c r="CP992" s="43">
        <v>0.11490847545393001</v>
      </c>
      <c r="CQ992" s="33">
        <v>0</v>
      </c>
      <c r="CR992" s="33">
        <v>0</v>
      </c>
    </row>
    <row r="993" spans="1:96" ht="15" customHeight="1" x14ac:dyDescent="0.25">
      <c r="A993" s="26">
        <v>991</v>
      </c>
      <c r="B993" s="27">
        <v>32</v>
      </c>
      <c r="C993" s="27">
        <v>0</v>
      </c>
      <c r="D993" s="27">
        <v>1</v>
      </c>
      <c r="E993" s="27">
        <v>499</v>
      </c>
      <c r="F993" s="27">
        <v>1</v>
      </c>
      <c r="G993" s="27">
        <v>2</v>
      </c>
      <c r="H993" s="27">
        <v>1</v>
      </c>
      <c r="I993" s="27">
        <v>4</v>
      </c>
      <c r="J993" s="27">
        <v>1</v>
      </c>
      <c r="K993" s="27">
        <v>1396</v>
      </c>
      <c r="L993" s="27">
        <v>3</v>
      </c>
      <c r="M993" s="27">
        <v>1</v>
      </c>
      <c r="N993" s="27">
        <v>36</v>
      </c>
      <c r="O993" s="27">
        <v>3</v>
      </c>
      <c r="P993" s="27">
        <v>2</v>
      </c>
      <c r="Q993" s="27">
        <v>1</v>
      </c>
      <c r="R993" s="27">
        <v>2</v>
      </c>
      <c r="S993" s="27">
        <v>2</v>
      </c>
      <c r="T993" s="27">
        <v>4078</v>
      </c>
      <c r="U993" s="27">
        <v>20497</v>
      </c>
      <c r="V993" s="27">
        <v>0</v>
      </c>
      <c r="W993" s="27">
        <v>1</v>
      </c>
      <c r="X993" s="27">
        <v>13</v>
      </c>
      <c r="Y993" s="27">
        <v>3</v>
      </c>
      <c r="Z993" s="27">
        <v>1</v>
      </c>
      <c r="AA993" s="27">
        <v>80</v>
      </c>
      <c r="AB993" s="27">
        <v>3</v>
      </c>
      <c r="AC993" s="27">
        <v>4</v>
      </c>
      <c r="AD993" s="27">
        <v>3</v>
      </c>
      <c r="AE993" s="27">
        <v>2</v>
      </c>
      <c r="AF993" s="27">
        <v>3</v>
      </c>
      <c r="AG993" s="27">
        <v>2</v>
      </c>
      <c r="AH993" s="27">
        <v>1</v>
      </c>
      <c r="AI993" s="28">
        <v>2</v>
      </c>
      <c r="AK993" s="36">
        <v>960</v>
      </c>
      <c r="AL993" s="33">
        <v>2</v>
      </c>
      <c r="AM993" s="33">
        <v>2</v>
      </c>
      <c r="AN993" s="33">
        <v>4</v>
      </c>
      <c r="AO993" s="33">
        <v>1</v>
      </c>
      <c r="AP993" s="33">
        <v>0</v>
      </c>
      <c r="AQ993" s="33">
        <v>0</v>
      </c>
      <c r="AR993" s="33">
        <v>3</v>
      </c>
      <c r="AS993" s="33">
        <v>9</v>
      </c>
      <c r="AT993" s="33">
        <v>8</v>
      </c>
      <c r="AU993" s="43">
        <v>8.9669508524261907E-2</v>
      </c>
      <c r="AV993" s="33">
        <v>0</v>
      </c>
      <c r="AW993" s="33">
        <v>0</v>
      </c>
      <c r="AY993" s="36">
        <v>965</v>
      </c>
      <c r="AZ993" s="33">
        <v>2</v>
      </c>
      <c r="BA993" s="33">
        <v>1</v>
      </c>
      <c r="BB993" s="33">
        <v>0</v>
      </c>
      <c r="BC993" s="33">
        <v>0</v>
      </c>
      <c r="BD993" s="43">
        <v>0.19196561144667343</v>
      </c>
      <c r="BE993" s="33">
        <v>0</v>
      </c>
      <c r="BF993" s="33">
        <v>0</v>
      </c>
      <c r="CE993" s="36">
        <v>959</v>
      </c>
      <c r="CF993" s="33">
        <v>9</v>
      </c>
      <c r="CG993" s="33">
        <v>3</v>
      </c>
      <c r="CH993" s="33">
        <v>4</v>
      </c>
      <c r="CI993" s="33">
        <v>3</v>
      </c>
      <c r="CJ993" s="33">
        <v>0</v>
      </c>
      <c r="CK993" s="33">
        <v>0</v>
      </c>
      <c r="CL993" s="33">
        <v>1</v>
      </c>
      <c r="CM993" s="33">
        <v>2</v>
      </c>
      <c r="CN993" s="33">
        <v>9</v>
      </c>
      <c r="CO993" s="33">
        <v>1</v>
      </c>
      <c r="CP993" s="43">
        <v>1.1737864796405682E-2</v>
      </c>
      <c r="CQ993" s="33">
        <v>0</v>
      </c>
      <c r="CR993" s="33">
        <v>0</v>
      </c>
    </row>
    <row r="994" spans="1:96" ht="15" customHeight="1" x14ac:dyDescent="0.25">
      <c r="A994" s="26">
        <v>992</v>
      </c>
      <c r="B994" s="27">
        <v>39</v>
      </c>
      <c r="C994" s="27">
        <v>0</v>
      </c>
      <c r="D994" s="27">
        <v>3</v>
      </c>
      <c r="E994" s="27">
        <v>1485</v>
      </c>
      <c r="F994" s="27">
        <v>2</v>
      </c>
      <c r="G994" s="27">
        <v>25</v>
      </c>
      <c r="H994" s="27">
        <v>2</v>
      </c>
      <c r="I994" s="27">
        <v>1</v>
      </c>
      <c r="J994" s="27">
        <v>1</v>
      </c>
      <c r="K994" s="27">
        <v>1397</v>
      </c>
      <c r="L994" s="27">
        <v>3</v>
      </c>
      <c r="M994" s="27">
        <v>1</v>
      </c>
      <c r="N994" s="27">
        <v>71</v>
      </c>
      <c r="O994" s="27">
        <v>3</v>
      </c>
      <c r="P994" s="27">
        <v>3</v>
      </c>
      <c r="Q994" s="27">
        <v>5</v>
      </c>
      <c r="R994" s="27">
        <v>3</v>
      </c>
      <c r="S994" s="27">
        <v>2</v>
      </c>
      <c r="T994" s="27">
        <v>10920</v>
      </c>
      <c r="U994" s="27">
        <v>3449</v>
      </c>
      <c r="V994" s="27">
        <v>3</v>
      </c>
      <c r="W994" s="27">
        <v>0</v>
      </c>
      <c r="X994" s="27">
        <v>21</v>
      </c>
      <c r="Y994" s="27">
        <v>4</v>
      </c>
      <c r="Z994" s="27">
        <v>2</v>
      </c>
      <c r="AA994" s="27">
        <v>80</v>
      </c>
      <c r="AB994" s="27">
        <v>1</v>
      </c>
      <c r="AC994" s="27">
        <v>13</v>
      </c>
      <c r="AD994" s="27">
        <v>2</v>
      </c>
      <c r="AE994" s="27">
        <v>3</v>
      </c>
      <c r="AF994" s="27">
        <v>6</v>
      </c>
      <c r="AG994" s="27">
        <v>4</v>
      </c>
      <c r="AH994" s="27">
        <v>0</v>
      </c>
      <c r="AI994" s="28">
        <v>5</v>
      </c>
      <c r="AK994" s="36">
        <v>961</v>
      </c>
      <c r="AL994" s="33">
        <v>1</v>
      </c>
      <c r="AM994" s="33">
        <v>2</v>
      </c>
      <c r="AN994" s="33">
        <v>1</v>
      </c>
      <c r="AO994" s="33">
        <v>0</v>
      </c>
      <c r="AP994" s="33">
        <v>0</v>
      </c>
      <c r="AQ994" s="33">
        <v>1</v>
      </c>
      <c r="AR994" s="33">
        <v>3</v>
      </c>
      <c r="AS994" s="33">
        <v>9</v>
      </c>
      <c r="AT994" s="33">
        <v>1</v>
      </c>
      <c r="AU994" s="43">
        <v>5.1183838134384568E-2</v>
      </c>
      <c r="AV994" s="33">
        <v>0</v>
      </c>
      <c r="AW994" s="33">
        <v>0</v>
      </c>
      <c r="AY994" s="36">
        <v>966</v>
      </c>
      <c r="AZ994" s="33">
        <v>1</v>
      </c>
      <c r="BA994" s="33">
        <v>4</v>
      </c>
      <c r="BB994" s="33">
        <v>0</v>
      </c>
      <c r="BC994" s="33">
        <v>3</v>
      </c>
      <c r="BD994" s="43">
        <v>3.425986181697948E-2</v>
      </c>
      <c r="BE994" s="33">
        <v>0</v>
      </c>
      <c r="BF994" s="33">
        <v>0</v>
      </c>
      <c r="CE994" s="36">
        <v>960</v>
      </c>
      <c r="CF994" s="33">
        <v>2</v>
      </c>
      <c r="CG994" s="33">
        <v>2</v>
      </c>
      <c r="CH994" s="33">
        <v>4</v>
      </c>
      <c r="CI994" s="33">
        <v>1</v>
      </c>
      <c r="CJ994" s="33">
        <v>1</v>
      </c>
      <c r="CK994" s="33">
        <v>0</v>
      </c>
      <c r="CL994" s="33">
        <v>0</v>
      </c>
      <c r="CM994" s="33">
        <v>3</v>
      </c>
      <c r="CN994" s="33">
        <v>9</v>
      </c>
      <c r="CO994" s="33">
        <v>8</v>
      </c>
      <c r="CP994" s="43">
        <v>0.10495163919804573</v>
      </c>
      <c r="CQ994" s="33">
        <v>0</v>
      </c>
      <c r="CR994" s="33">
        <v>0</v>
      </c>
    </row>
    <row r="995" spans="1:96" ht="15" customHeight="1" x14ac:dyDescent="0.25">
      <c r="A995" s="26">
        <v>993</v>
      </c>
      <c r="B995" s="27">
        <v>25</v>
      </c>
      <c r="C995" s="27">
        <v>0</v>
      </c>
      <c r="D995" s="27">
        <v>1</v>
      </c>
      <c r="E995" s="27">
        <v>1372</v>
      </c>
      <c r="F995" s="27">
        <v>1</v>
      </c>
      <c r="G995" s="27">
        <v>18</v>
      </c>
      <c r="H995" s="27">
        <v>1</v>
      </c>
      <c r="I995" s="27">
        <v>1</v>
      </c>
      <c r="J995" s="27">
        <v>1</v>
      </c>
      <c r="K995" s="27">
        <v>1399</v>
      </c>
      <c r="L995" s="27">
        <v>1</v>
      </c>
      <c r="M995" s="27">
        <v>1</v>
      </c>
      <c r="N995" s="27">
        <v>93</v>
      </c>
      <c r="O995" s="27">
        <v>4</v>
      </c>
      <c r="P995" s="27">
        <v>2</v>
      </c>
      <c r="Q995" s="27">
        <v>1</v>
      </c>
      <c r="R995" s="27">
        <v>3</v>
      </c>
      <c r="S995" s="27">
        <v>2</v>
      </c>
      <c r="T995" s="27">
        <v>6232</v>
      </c>
      <c r="U995" s="27">
        <v>12477</v>
      </c>
      <c r="V995" s="27">
        <v>2</v>
      </c>
      <c r="W995" s="27">
        <v>0</v>
      </c>
      <c r="X995" s="27">
        <v>11</v>
      </c>
      <c r="Y995" s="27">
        <v>3</v>
      </c>
      <c r="Z995" s="27">
        <v>2</v>
      </c>
      <c r="AA995" s="27">
        <v>80</v>
      </c>
      <c r="AB995" s="27">
        <v>0</v>
      </c>
      <c r="AC995" s="27">
        <v>6</v>
      </c>
      <c r="AD995" s="27">
        <v>3</v>
      </c>
      <c r="AE995" s="27">
        <v>2</v>
      </c>
      <c r="AF995" s="27">
        <v>3</v>
      </c>
      <c r="AG995" s="27">
        <v>2</v>
      </c>
      <c r="AH995" s="27">
        <v>1</v>
      </c>
      <c r="AI995" s="28">
        <v>2</v>
      </c>
      <c r="AK995" s="36">
        <v>962</v>
      </c>
      <c r="AL995" s="33">
        <v>4</v>
      </c>
      <c r="AM995" s="33">
        <v>2</v>
      </c>
      <c r="AN995" s="33">
        <v>3</v>
      </c>
      <c r="AO995" s="33">
        <v>1</v>
      </c>
      <c r="AP995" s="33">
        <v>1</v>
      </c>
      <c r="AQ995" s="33">
        <v>0</v>
      </c>
      <c r="AR995" s="33">
        <v>3</v>
      </c>
      <c r="AS995" s="33">
        <v>9</v>
      </c>
      <c r="AT995" s="33">
        <v>1</v>
      </c>
      <c r="AU995" s="43">
        <v>0.2181396650758646</v>
      </c>
      <c r="AV995" s="33">
        <v>0</v>
      </c>
      <c r="AW995" s="33">
        <v>0</v>
      </c>
      <c r="AY995" s="36">
        <v>967</v>
      </c>
      <c r="AZ995" s="33">
        <v>3</v>
      </c>
      <c r="BA995" s="33">
        <v>1</v>
      </c>
      <c r="BB995" s="33">
        <v>1</v>
      </c>
      <c r="BC995" s="33">
        <v>0</v>
      </c>
      <c r="BD995" s="43">
        <v>0.36749559266393544</v>
      </c>
      <c r="BE995" s="33">
        <v>0</v>
      </c>
      <c r="BF995" s="33">
        <v>1</v>
      </c>
      <c r="CE995" s="36">
        <v>961</v>
      </c>
      <c r="CF995" s="33">
        <v>1</v>
      </c>
      <c r="CG995" s="33">
        <v>2</v>
      </c>
      <c r="CH995" s="33">
        <v>1</v>
      </c>
      <c r="CI995" s="33">
        <v>3</v>
      </c>
      <c r="CJ995" s="33">
        <v>0</v>
      </c>
      <c r="CK995" s="33">
        <v>0</v>
      </c>
      <c r="CL995" s="33">
        <v>1</v>
      </c>
      <c r="CM995" s="33">
        <v>3</v>
      </c>
      <c r="CN995" s="33">
        <v>9</v>
      </c>
      <c r="CO995" s="33">
        <v>1</v>
      </c>
      <c r="CP995" s="43">
        <v>2.9966626691286524E-2</v>
      </c>
      <c r="CQ995" s="33">
        <v>0</v>
      </c>
      <c r="CR995" s="33">
        <v>0</v>
      </c>
    </row>
    <row r="996" spans="1:96" ht="15" customHeight="1" x14ac:dyDescent="0.25">
      <c r="A996" s="26">
        <v>994</v>
      </c>
      <c r="B996" s="27">
        <v>52</v>
      </c>
      <c r="C996" s="27">
        <v>0</v>
      </c>
      <c r="D996" s="27">
        <v>2</v>
      </c>
      <c r="E996" s="27">
        <v>322</v>
      </c>
      <c r="F996" s="27">
        <v>2</v>
      </c>
      <c r="G996" s="27">
        <v>28</v>
      </c>
      <c r="H996" s="27">
        <v>2</v>
      </c>
      <c r="I996" s="27">
        <v>3</v>
      </c>
      <c r="J996" s="27">
        <v>1</v>
      </c>
      <c r="K996" s="27">
        <v>1401</v>
      </c>
      <c r="L996" s="27">
        <v>4</v>
      </c>
      <c r="M996" s="27">
        <v>0</v>
      </c>
      <c r="N996" s="27">
        <v>59</v>
      </c>
      <c r="O996" s="27">
        <v>4</v>
      </c>
      <c r="P996" s="27">
        <v>4</v>
      </c>
      <c r="Q996" s="27">
        <v>4</v>
      </c>
      <c r="R996" s="27">
        <v>3</v>
      </c>
      <c r="S996" s="27">
        <v>2</v>
      </c>
      <c r="T996" s="27">
        <v>13247</v>
      </c>
      <c r="U996" s="27">
        <v>9731</v>
      </c>
      <c r="V996" s="27">
        <v>2</v>
      </c>
      <c r="W996" s="27">
        <v>1</v>
      </c>
      <c r="X996" s="27">
        <v>11</v>
      </c>
      <c r="Y996" s="27">
        <v>3</v>
      </c>
      <c r="Z996" s="27">
        <v>2</v>
      </c>
      <c r="AA996" s="27">
        <v>80</v>
      </c>
      <c r="AB996" s="27">
        <v>1</v>
      </c>
      <c r="AC996" s="27">
        <v>24</v>
      </c>
      <c r="AD996" s="27">
        <v>3</v>
      </c>
      <c r="AE996" s="27">
        <v>2</v>
      </c>
      <c r="AF996" s="27">
        <v>5</v>
      </c>
      <c r="AG996" s="27">
        <v>3</v>
      </c>
      <c r="AH996" s="27">
        <v>0</v>
      </c>
      <c r="AI996" s="28">
        <v>2</v>
      </c>
      <c r="AK996" s="36">
        <v>963</v>
      </c>
      <c r="AL996" s="33">
        <v>5</v>
      </c>
      <c r="AM996" s="33">
        <v>4</v>
      </c>
      <c r="AN996" s="33">
        <v>2</v>
      </c>
      <c r="AO996" s="33">
        <v>1</v>
      </c>
      <c r="AP996" s="33">
        <v>1</v>
      </c>
      <c r="AQ996" s="33">
        <v>1</v>
      </c>
      <c r="AR996" s="33">
        <v>3</v>
      </c>
      <c r="AS996" s="33">
        <v>33</v>
      </c>
      <c r="AT996" s="33">
        <v>0</v>
      </c>
      <c r="AU996" s="43">
        <v>1.137334180041326E-2</v>
      </c>
      <c r="AV996" s="33">
        <v>0</v>
      </c>
      <c r="AW996" s="33">
        <v>0</v>
      </c>
      <c r="AY996" s="36">
        <v>968</v>
      </c>
      <c r="AZ996" s="33">
        <v>1</v>
      </c>
      <c r="BA996" s="33">
        <v>2</v>
      </c>
      <c r="BB996" s="33">
        <v>0</v>
      </c>
      <c r="BC996" s="33">
        <v>1</v>
      </c>
      <c r="BD996" s="43">
        <v>0.15461023487664</v>
      </c>
      <c r="BE996" s="33">
        <v>0</v>
      </c>
      <c r="BF996" s="33">
        <v>0</v>
      </c>
      <c r="CE996" s="36">
        <v>962</v>
      </c>
      <c r="CF996" s="33">
        <v>4</v>
      </c>
      <c r="CG996" s="33">
        <v>2</v>
      </c>
      <c r="CH996" s="33">
        <v>3</v>
      </c>
      <c r="CI996" s="33">
        <v>1</v>
      </c>
      <c r="CJ996" s="33">
        <v>1</v>
      </c>
      <c r="CK996" s="33">
        <v>1</v>
      </c>
      <c r="CL996" s="33">
        <v>0</v>
      </c>
      <c r="CM996" s="33">
        <v>3</v>
      </c>
      <c r="CN996" s="33">
        <v>9</v>
      </c>
      <c r="CO996" s="33">
        <v>1</v>
      </c>
      <c r="CP996" s="43">
        <v>0.25628703847259027</v>
      </c>
      <c r="CQ996" s="33">
        <v>0</v>
      </c>
      <c r="CR996" s="33">
        <v>0</v>
      </c>
    </row>
    <row r="997" spans="1:96" ht="15" customHeight="1" x14ac:dyDescent="0.25">
      <c r="A997" s="26">
        <v>995</v>
      </c>
      <c r="B997" s="27">
        <v>43</v>
      </c>
      <c r="C997" s="27">
        <v>0</v>
      </c>
      <c r="D997" s="27">
        <v>1</v>
      </c>
      <c r="E997" s="27">
        <v>930</v>
      </c>
      <c r="F997" s="27">
        <v>2</v>
      </c>
      <c r="G997" s="27">
        <v>6</v>
      </c>
      <c r="H997" s="27">
        <v>3</v>
      </c>
      <c r="I997" s="27">
        <v>3</v>
      </c>
      <c r="J997" s="27">
        <v>1</v>
      </c>
      <c r="K997" s="27">
        <v>1402</v>
      </c>
      <c r="L997" s="27">
        <v>1</v>
      </c>
      <c r="M997" s="27">
        <v>0</v>
      </c>
      <c r="N997" s="27">
        <v>73</v>
      </c>
      <c r="O997" s="27">
        <v>2</v>
      </c>
      <c r="P997" s="27">
        <v>2</v>
      </c>
      <c r="Q997" s="27">
        <v>2</v>
      </c>
      <c r="R997" s="27">
        <v>3</v>
      </c>
      <c r="S997" s="27">
        <v>1</v>
      </c>
      <c r="T997" s="27">
        <v>4081</v>
      </c>
      <c r="U997" s="27">
        <v>20003</v>
      </c>
      <c r="V997" s="27">
        <v>1</v>
      </c>
      <c r="W997" s="27">
        <v>1</v>
      </c>
      <c r="X997" s="27">
        <v>14</v>
      </c>
      <c r="Y997" s="27">
        <v>3</v>
      </c>
      <c r="Z997" s="27">
        <v>1</v>
      </c>
      <c r="AA997" s="27">
        <v>80</v>
      </c>
      <c r="AB997" s="27">
        <v>0</v>
      </c>
      <c r="AC997" s="27">
        <v>20</v>
      </c>
      <c r="AD997" s="27">
        <v>3</v>
      </c>
      <c r="AE997" s="27">
        <v>1</v>
      </c>
      <c r="AF997" s="27">
        <v>20</v>
      </c>
      <c r="AG997" s="27">
        <v>7</v>
      </c>
      <c r="AH997" s="27">
        <v>1</v>
      </c>
      <c r="AI997" s="28">
        <v>8</v>
      </c>
      <c r="AK997" s="36">
        <v>964</v>
      </c>
      <c r="AL997" s="33">
        <v>2</v>
      </c>
      <c r="AM997" s="33">
        <v>2</v>
      </c>
      <c r="AN997" s="33">
        <v>1</v>
      </c>
      <c r="AO997" s="33">
        <v>3</v>
      </c>
      <c r="AP997" s="33">
        <v>0</v>
      </c>
      <c r="AQ997" s="33">
        <v>1</v>
      </c>
      <c r="AR997" s="33">
        <v>3</v>
      </c>
      <c r="AS997" s="33">
        <v>7</v>
      </c>
      <c r="AT997" s="33">
        <v>1</v>
      </c>
      <c r="AU997" s="43">
        <v>7.6563339695691762E-2</v>
      </c>
      <c r="AV997" s="33">
        <v>0</v>
      </c>
      <c r="AW997" s="33">
        <v>0</v>
      </c>
      <c r="AY997" s="36">
        <v>969</v>
      </c>
      <c r="AZ997" s="33">
        <v>2</v>
      </c>
      <c r="BA997" s="33">
        <v>1</v>
      </c>
      <c r="BB997" s="33">
        <v>0</v>
      </c>
      <c r="BC997" s="33">
        <v>1</v>
      </c>
      <c r="BD997" s="43">
        <v>0.12293502213131684</v>
      </c>
      <c r="BE997" s="33">
        <v>0</v>
      </c>
      <c r="BF997" s="33">
        <v>0</v>
      </c>
      <c r="CE997" s="36">
        <v>963</v>
      </c>
      <c r="CF997" s="33">
        <v>5</v>
      </c>
      <c r="CG997" s="33">
        <v>4</v>
      </c>
      <c r="CH997" s="33">
        <v>2</v>
      </c>
      <c r="CI997" s="33">
        <v>3</v>
      </c>
      <c r="CJ997" s="33">
        <v>1</v>
      </c>
      <c r="CK997" s="33">
        <v>1</v>
      </c>
      <c r="CL997" s="33">
        <v>1</v>
      </c>
      <c r="CM997" s="33">
        <v>3</v>
      </c>
      <c r="CN997" s="33">
        <v>33</v>
      </c>
      <c r="CO997" s="33">
        <v>0</v>
      </c>
      <c r="CP997" s="43">
        <v>6.739065636536248E-3</v>
      </c>
      <c r="CQ997" s="33">
        <v>0</v>
      </c>
      <c r="CR997" s="33">
        <v>0</v>
      </c>
    </row>
    <row r="998" spans="1:96" ht="15" customHeight="1" x14ac:dyDescent="0.25">
      <c r="A998" s="26">
        <v>996</v>
      </c>
      <c r="B998" s="27">
        <v>27</v>
      </c>
      <c r="C998" s="27">
        <v>0</v>
      </c>
      <c r="D998" s="27">
        <v>1</v>
      </c>
      <c r="E998" s="27">
        <v>205</v>
      </c>
      <c r="F998" s="27">
        <v>1</v>
      </c>
      <c r="G998" s="27">
        <v>10</v>
      </c>
      <c r="H998" s="27">
        <v>3</v>
      </c>
      <c r="I998" s="27">
        <v>4</v>
      </c>
      <c r="J998" s="27">
        <v>1</v>
      </c>
      <c r="K998" s="27">
        <v>1403</v>
      </c>
      <c r="L998" s="27">
        <v>4</v>
      </c>
      <c r="M998" s="27">
        <v>0</v>
      </c>
      <c r="N998" s="27">
        <v>98</v>
      </c>
      <c r="O998" s="27">
        <v>2</v>
      </c>
      <c r="P998" s="27">
        <v>2</v>
      </c>
      <c r="Q998" s="27">
        <v>1</v>
      </c>
      <c r="R998" s="27">
        <v>4</v>
      </c>
      <c r="S998" s="27">
        <v>2</v>
      </c>
      <c r="T998" s="27">
        <v>5769</v>
      </c>
      <c r="U998" s="27">
        <v>7100</v>
      </c>
      <c r="V998" s="27">
        <v>1</v>
      </c>
      <c r="W998" s="27">
        <v>1</v>
      </c>
      <c r="X998" s="27">
        <v>11</v>
      </c>
      <c r="Y998" s="27">
        <v>3</v>
      </c>
      <c r="Z998" s="27">
        <v>4</v>
      </c>
      <c r="AA998" s="27">
        <v>80</v>
      </c>
      <c r="AB998" s="27">
        <v>0</v>
      </c>
      <c r="AC998" s="27">
        <v>6</v>
      </c>
      <c r="AD998" s="27">
        <v>3</v>
      </c>
      <c r="AE998" s="27">
        <v>3</v>
      </c>
      <c r="AF998" s="27">
        <v>6</v>
      </c>
      <c r="AG998" s="27">
        <v>2</v>
      </c>
      <c r="AH998" s="27">
        <v>4</v>
      </c>
      <c r="AI998" s="28">
        <v>4</v>
      </c>
      <c r="AK998" s="36">
        <v>965</v>
      </c>
      <c r="AL998" s="33">
        <v>15</v>
      </c>
      <c r="AM998" s="33">
        <v>2</v>
      </c>
      <c r="AN998" s="33">
        <v>1</v>
      </c>
      <c r="AO998" s="33">
        <v>1</v>
      </c>
      <c r="AP998" s="33">
        <v>0</v>
      </c>
      <c r="AQ998" s="33">
        <v>0</v>
      </c>
      <c r="AR998" s="33">
        <v>4</v>
      </c>
      <c r="AS998" s="33">
        <v>10</v>
      </c>
      <c r="AT998" s="33">
        <v>9</v>
      </c>
      <c r="AU998" s="43">
        <v>0.23225527730294165</v>
      </c>
      <c r="AV998" s="33">
        <v>0</v>
      </c>
      <c r="AW998" s="33">
        <v>0</v>
      </c>
      <c r="AY998" s="36">
        <v>970</v>
      </c>
      <c r="AZ998" s="33">
        <v>3</v>
      </c>
      <c r="BA998" s="33">
        <v>4</v>
      </c>
      <c r="BB998" s="33">
        <v>0</v>
      </c>
      <c r="BC998" s="33">
        <v>0</v>
      </c>
      <c r="BD998" s="43">
        <v>5.3512841598087578E-2</v>
      </c>
      <c r="BE998" s="33">
        <v>0</v>
      </c>
      <c r="BF998" s="33">
        <v>0</v>
      </c>
      <c r="CE998" s="36">
        <v>964</v>
      </c>
      <c r="CF998" s="33">
        <v>2</v>
      </c>
      <c r="CG998" s="33">
        <v>2</v>
      </c>
      <c r="CH998" s="33">
        <v>1</v>
      </c>
      <c r="CI998" s="33">
        <v>3</v>
      </c>
      <c r="CJ998" s="33">
        <v>3</v>
      </c>
      <c r="CK998" s="33">
        <v>0</v>
      </c>
      <c r="CL998" s="33">
        <v>1</v>
      </c>
      <c r="CM998" s="33">
        <v>3</v>
      </c>
      <c r="CN998" s="33">
        <v>7</v>
      </c>
      <c r="CO998" s="33">
        <v>1</v>
      </c>
      <c r="CP998" s="43">
        <v>4.5557680728064223E-2</v>
      </c>
      <c r="CQ998" s="33">
        <v>0</v>
      </c>
      <c r="CR998" s="33">
        <v>0</v>
      </c>
    </row>
    <row r="999" spans="1:96" ht="15" customHeight="1" x14ac:dyDescent="0.25">
      <c r="A999" s="26">
        <v>997</v>
      </c>
      <c r="B999" s="27">
        <v>27</v>
      </c>
      <c r="C999" s="27">
        <v>1</v>
      </c>
      <c r="D999" s="27">
        <v>1</v>
      </c>
      <c r="E999" s="27">
        <v>135</v>
      </c>
      <c r="F999" s="27">
        <v>2</v>
      </c>
      <c r="G999" s="27">
        <v>17</v>
      </c>
      <c r="H999" s="27">
        <v>4</v>
      </c>
      <c r="I999" s="27">
        <v>1</v>
      </c>
      <c r="J999" s="27">
        <v>1</v>
      </c>
      <c r="K999" s="27">
        <v>1405</v>
      </c>
      <c r="L999" s="27">
        <v>4</v>
      </c>
      <c r="M999" s="27">
        <v>0</v>
      </c>
      <c r="N999" s="27">
        <v>51</v>
      </c>
      <c r="O999" s="27">
        <v>3</v>
      </c>
      <c r="P999" s="27">
        <v>1</v>
      </c>
      <c r="Q999" s="27">
        <v>2</v>
      </c>
      <c r="R999" s="27">
        <v>3</v>
      </c>
      <c r="S999" s="27">
        <v>1</v>
      </c>
      <c r="T999" s="27">
        <v>2394</v>
      </c>
      <c r="U999" s="27">
        <v>25681</v>
      </c>
      <c r="V999" s="27">
        <v>1</v>
      </c>
      <c r="W999" s="27">
        <v>1</v>
      </c>
      <c r="X999" s="27">
        <v>13</v>
      </c>
      <c r="Y999" s="27">
        <v>3</v>
      </c>
      <c r="Z999" s="27">
        <v>4</v>
      </c>
      <c r="AA999" s="27">
        <v>80</v>
      </c>
      <c r="AB999" s="27">
        <v>0</v>
      </c>
      <c r="AC999" s="27">
        <v>8</v>
      </c>
      <c r="AD999" s="27">
        <v>2</v>
      </c>
      <c r="AE999" s="27">
        <v>3</v>
      </c>
      <c r="AF999" s="27">
        <v>8</v>
      </c>
      <c r="AG999" s="27">
        <v>2</v>
      </c>
      <c r="AH999" s="27">
        <v>7</v>
      </c>
      <c r="AI999" s="28">
        <v>7</v>
      </c>
      <c r="AK999" s="36">
        <v>966</v>
      </c>
      <c r="AL999" s="33">
        <v>19</v>
      </c>
      <c r="AM999" s="33">
        <v>1</v>
      </c>
      <c r="AN999" s="33">
        <v>4</v>
      </c>
      <c r="AO999" s="33">
        <v>3</v>
      </c>
      <c r="AP999" s="33">
        <v>0</v>
      </c>
      <c r="AQ999" s="33">
        <v>3</v>
      </c>
      <c r="AR999" s="33">
        <v>2</v>
      </c>
      <c r="AS999" s="33">
        <v>3</v>
      </c>
      <c r="AT999" s="33">
        <v>1</v>
      </c>
      <c r="AU999" s="43">
        <v>5.4374433959122767E-2</v>
      </c>
      <c r="AV999" s="33">
        <v>0</v>
      </c>
      <c r="AW999" s="33">
        <v>0</v>
      </c>
      <c r="AY999" s="36">
        <v>971</v>
      </c>
      <c r="AZ999" s="33">
        <v>1</v>
      </c>
      <c r="BA999" s="33">
        <v>4</v>
      </c>
      <c r="BB999" s="33">
        <v>0</v>
      </c>
      <c r="BC999" s="33">
        <v>1</v>
      </c>
      <c r="BD999" s="43">
        <v>9.2486413274924434E-2</v>
      </c>
      <c r="BE999" s="33">
        <v>0</v>
      </c>
      <c r="BF999" s="33">
        <v>0</v>
      </c>
      <c r="CE999" s="36">
        <v>965</v>
      </c>
      <c r="CF999" s="33">
        <v>15</v>
      </c>
      <c r="CG999" s="33">
        <v>2</v>
      </c>
      <c r="CH999" s="33">
        <v>1</v>
      </c>
      <c r="CI999" s="33">
        <v>1</v>
      </c>
      <c r="CJ999" s="33">
        <v>1</v>
      </c>
      <c r="CK999" s="33">
        <v>0</v>
      </c>
      <c r="CL999" s="33">
        <v>0</v>
      </c>
      <c r="CM999" s="33">
        <v>4</v>
      </c>
      <c r="CN999" s="33">
        <v>10</v>
      </c>
      <c r="CO999" s="33">
        <v>9</v>
      </c>
      <c r="CP999" s="43">
        <v>0.27205480369569413</v>
      </c>
      <c r="CQ999" s="33">
        <v>0</v>
      </c>
      <c r="CR999" s="33">
        <v>0</v>
      </c>
    </row>
    <row r="1000" spans="1:96" ht="15" customHeight="1" x14ac:dyDescent="0.25">
      <c r="A1000" s="26">
        <v>998</v>
      </c>
      <c r="B1000" s="27">
        <v>26</v>
      </c>
      <c r="C1000" s="27">
        <v>0</v>
      </c>
      <c r="D1000" s="27">
        <v>1</v>
      </c>
      <c r="E1000" s="27">
        <v>683</v>
      </c>
      <c r="F1000" s="27">
        <v>2</v>
      </c>
      <c r="G1000" s="27">
        <v>2</v>
      </c>
      <c r="H1000" s="27">
        <v>1</v>
      </c>
      <c r="I1000" s="27">
        <v>3</v>
      </c>
      <c r="J1000" s="27">
        <v>1</v>
      </c>
      <c r="K1000" s="27">
        <v>1407</v>
      </c>
      <c r="L1000" s="27">
        <v>1</v>
      </c>
      <c r="M1000" s="27">
        <v>1</v>
      </c>
      <c r="N1000" s="27">
        <v>36</v>
      </c>
      <c r="O1000" s="27">
        <v>2</v>
      </c>
      <c r="P1000" s="27">
        <v>1</v>
      </c>
      <c r="Q1000" s="27">
        <v>2</v>
      </c>
      <c r="R1000" s="27">
        <v>4</v>
      </c>
      <c r="S1000" s="27">
        <v>1</v>
      </c>
      <c r="T1000" s="27">
        <v>3904</v>
      </c>
      <c r="U1000" s="27">
        <v>4050</v>
      </c>
      <c r="V1000" s="27">
        <v>0</v>
      </c>
      <c r="W1000" s="27">
        <v>0</v>
      </c>
      <c r="X1000" s="27">
        <v>12</v>
      </c>
      <c r="Y1000" s="27">
        <v>3</v>
      </c>
      <c r="Z1000" s="27">
        <v>4</v>
      </c>
      <c r="AA1000" s="27">
        <v>80</v>
      </c>
      <c r="AB1000" s="27">
        <v>0</v>
      </c>
      <c r="AC1000" s="27">
        <v>5</v>
      </c>
      <c r="AD1000" s="27">
        <v>2</v>
      </c>
      <c r="AE1000" s="27">
        <v>3</v>
      </c>
      <c r="AF1000" s="27">
        <v>4</v>
      </c>
      <c r="AG1000" s="27">
        <v>3</v>
      </c>
      <c r="AH1000" s="27">
        <v>1</v>
      </c>
      <c r="AI1000" s="28">
        <v>1</v>
      </c>
      <c r="AK1000" s="36">
        <v>967</v>
      </c>
      <c r="AL1000" s="33">
        <v>7</v>
      </c>
      <c r="AM1000" s="33">
        <v>3</v>
      </c>
      <c r="AN1000" s="33">
        <v>1</v>
      </c>
      <c r="AO1000" s="33">
        <v>7</v>
      </c>
      <c r="AP1000" s="33">
        <v>1</v>
      </c>
      <c r="AQ1000" s="33">
        <v>0</v>
      </c>
      <c r="AR1000" s="33">
        <v>2</v>
      </c>
      <c r="AS1000" s="33">
        <v>10</v>
      </c>
      <c r="AT1000" s="33">
        <v>5</v>
      </c>
      <c r="AU1000" s="43">
        <v>0.49364759614542603</v>
      </c>
      <c r="AV1000" s="33">
        <v>0</v>
      </c>
      <c r="AW1000" s="33">
        <v>1</v>
      </c>
      <c r="AY1000" s="36">
        <v>972</v>
      </c>
      <c r="AZ1000" s="33">
        <v>4</v>
      </c>
      <c r="BA1000" s="33">
        <v>2</v>
      </c>
      <c r="BB1000" s="33">
        <v>0</v>
      </c>
      <c r="BC1000" s="33">
        <v>0</v>
      </c>
      <c r="BD1000" s="43">
        <v>5.4862919617085948E-2</v>
      </c>
      <c r="BE1000" s="33">
        <v>0</v>
      </c>
      <c r="BF1000" s="33">
        <v>0</v>
      </c>
      <c r="CE1000" s="36">
        <v>966</v>
      </c>
      <c r="CF1000" s="33">
        <v>19</v>
      </c>
      <c r="CG1000" s="33">
        <v>1</v>
      </c>
      <c r="CH1000" s="33">
        <v>4</v>
      </c>
      <c r="CI1000" s="33">
        <v>2</v>
      </c>
      <c r="CJ1000" s="33">
        <v>3</v>
      </c>
      <c r="CK1000" s="33">
        <v>0</v>
      </c>
      <c r="CL1000" s="33">
        <v>3</v>
      </c>
      <c r="CM1000" s="33">
        <v>2</v>
      </c>
      <c r="CN1000" s="33">
        <v>3</v>
      </c>
      <c r="CO1000" s="33">
        <v>1</v>
      </c>
      <c r="CP1000" s="43">
        <v>9.8027510013150965E-2</v>
      </c>
      <c r="CQ1000" s="33">
        <v>0</v>
      </c>
      <c r="CR1000" s="33">
        <v>0</v>
      </c>
    </row>
    <row r="1001" spans="1:96" ht="15" customHeight="1" x14ac:dyDescent="0.25">
      <c r="A1001" s="26">
        <v>999</v>
      </c>
      <c r="B1001" s="27">
        <v>42</v>
      </c>
      <c r="C1001" s="27">
        <v>0</v>
      </c>
      <c r="D1001" s="27">
        <v>1</v>
      </c>
      <c r="E1001" s="27">
        <v>1147</v>
      </c>
      <c r="F1001" s="27">
        <v>3</v>
      </c>
      <c r="G1001" s="27">
        <v>10</v>
      </c>
      <c r="H1001" s="27">
        <v>3</v>
      </c>
      <c r="I1001" s="27">
        <v>2</v>
      </c>
      <c r="J1001" s="27">
        <v>1</v>
      </c>
      <c r="K1001" s="27">
        <v>1408</v>
      </c>
      <c r="L1001" s="27">
        <v>3</v>
      </c>
      <c r="M1001" s="27">
        <v>0</v>
      </c>
      <c r="N1001" s="27">
        <v>31</v>
      </c>
      <c r="O1001" s="27">
        <v>3</v>
      </c>
      <c r="P1001" s="27">
        <v>4</v>
      </c>
      <c r="Q1001" s="27">
        <v>6</v>
      </c>
      <c r="R1001" s="27">
        <v>1</v>
      </c>
      <c r="S1001" s="27">
        <v>2</v>
      </c>
      <c r="T1001" s="27">
        <v>16799</v>
      </c>
      <c r="U1001" s="27">
        <v>16616</v>
      </c>
      <c r="V1001" s="27">
        <v>0</v>
      </c>
      <c r="W1001" s="27">
        <v>0</v>
      </c>
      <c r="X1001" s="27">
        <v>14</v>
      </c>
      <c r="Y1001" s="27">
        <v>3</v>
      </c>
      <c r="Z1001" s="27">
        <v>3</v>
      </c>
      <c r="AA1001" s="27">
        <v>80</v>
      </c>
      <c r="AB1001" s="27">
        <v>1</v>
      </c>
      <c r="AC1001" s="27">
        <v>21</v>
      </c>
      <c r="AD1001" s="27">
        <v>5</v>
      </c>
      <c r="AE1001" s="27">
        <v>3</v>
      </c>
      <c r="AF1001" s="27">
        <v>20</v>
      </c>
      <c r="AG1001" s="27">
        <v>7</v>
      </c>
      <c r="AH1001" s="27">
        <v>0</v>
      </c>
      <c r="AI1001" s="28">
        <v>9</v>
      </c>
      <c r="AK1001" s="36">
        <v>968</v>
      </c>
      <c r="AL1001" s="33">
        <v>1</v>
      </c>
      <c r="AM1001" s="33">
        <v>1</v>
      </c>
      <c r="AN1001" s="33">
        <v>2</v>
      </c>
      <c r="AO1001" s="33">
        <v>3</v>
      </c>
      <c r="AP1001" s="33">
        <v>0</v>
      </c>
      <c r="AQ1001" s="33">
        <v>1</v>
      </c>
      <c r="AR1001" s="33">
        <v>3</v>
      </c>
      <c r="AS1001" s="33">
        <v>4</v>
      </c>
      <c r="AT1001" s="33">
        <v>0</v>
      </c>
      <c r="AU1001" s="43">
        <v>0.10329871685389283</v>
      </c>
      <c r="AV1001" s="33">
        <v>0</v>
      </c>
      <c r="AW1001" s="33">
        <v>0</v>
      </c>
      <c r="AY1001" s="36">
        <v>973</v>
      </c>
      <c r="AZ1001" s="33">
        <v>1</v>
      </c>
      <c r="BA1001" s="33">
        <v>4</v>
      </c>
      <c r="BB1001" s="33">
        <v>0</v>
      </c>
      <c r="BC1001" s="33">
        <v>0</v>
      </c>
      <c r="BD1001" s="43">
        <v>0.1472907617042678</v>
      </c>
      <c r="BE1001" s="33">
        <v>0</v>
      </c>
      <c r="BF1001" s="33">
        <v>0</v>
      </c>
      <c r="CE1001" s="36">
        <v>967</v>
      </c>
      <c r="CF1001" s="33">
        <v>7</v>
      </c>
      <c r="CG1001" s="33">
        <v>3</v>
      </c>
      <c r="CH1001" s="33">
        <v>1</v>
      </c>
      <c r="CI1001" s="33">
        <v>2</v>
      </c>
      <c r="CJ1001" s="33">
        <v>7</v>
      </c>
      <c r="CK1001" s="33">
        <v>1</v>
      </c>
      <c r="CL1001" s="33">
        <v>0</v>
      </c>
      <c r="CM1001" s="33">
        <v>2</v>
      </c>
      <c r="CN1001" s="33">
        <v>10</v>
      </c>
      <c r="CO1001" s="33">
        <v>5</v>
      </c>
      <c r="CP1001" s="43">
        <v>0.42936997663433429</v>
      </c>
      <c r="CQ1001" s="33">
        <v>0</v>
      </c>
      <c r="CR1001" s="33">
        <v>1</v>
      </c>
    </row>
    <row r="1002" spans="1:96" ht="15" customHeight="1" x14ac:dyDescent="0.25">
      <c r="A1002" s="26">
        <v>1000</v>
      </c>
      <c r="B1002" s="27">
        <v>52</v>
      </c>
      <c r="C1002" s="27">
        <v>0</v>
      </c>
      <c r="D1002" s="27">
        <v>1</v>
      </c>
      <c r="E1002" s="27">
        <v>258</v>
      </c>
      <c r="F1002" s="27">
        <v>2</v>
      </c>
      <c r="G1002" s="27">
        <v>8</v>
      </c>
      <c r="H1002" s="27">
        <v>4</v>
      </c>
      <c r="I1002" s="27">
        <v>6</v>
      </c>
      <c r="J1002" s="27">
        <v>1</v>
      </c>
      <c r="K1002" s="27">
        <v>1409</v>
      </c>
      <c r="L1002" s="27">
        <v>3</v>
      </c>
      <c r="M1002" s="27">
        <v>0</v>
      </c>
      <c r="N1002" s="27">
        <v>54</v>
      </c>
      <c r="O1002" s="27">
        <v>3</v>
      </c>
      <c r="P1002" s="27">
        <v>1</v>
      </c>
      <c r="Q1002" s="27">
        <v>3</v>
      </c>
      <c r="R1002" s="27">
        <v>1</v>
      </c>
      <c r="S1002" s="27">
        <v>2</v>
      </c>
      <c r="T1002" s="27">
        <v>2950</v>
      </c>
      <c r="U1002" s="27">
        <v>17363</v>
      </c>
      <c r="V1002" s="27">
        <v>9</v>
      </c>
      <c r="W1002" s="27">
        <v>0</v>
      </c>
      <c r="X1002" s="27">
        <v>13</v>
      </c>
      <c r="Y1002" s="27">
        <v>3</v>
      </c>
      <c r="Z1002" s="27">
        <v>3</v>
      </c>
      <c r="AA1002" s="27">
        <v>80</v>
      </c>
      <c r="AB1002" s="27">
        <v>0</v>
      </c>
      <c r="AC1002" s="27">
        <v>12</v>
      </c>
      <c r="AD1002" s="27">
        <v>2</v>
      </c>
      <c r="AE1002" s="27">
        <v>1</v>
      </c>
      <c r="AF1002" s="27">
        <v>5</v>
      </c>
      <c r="AG1002" s="27">
        <v>4</v>
      </c>
      <c r="AH1002" s="27">
        <v>0</v>
      </c>
      <c r="AI1002" s="28">
        <v>4</v>
      </c>
      <c r="AK1002" s="36">
        <v>969</v>
      </c>
      <c r="AL1002" s="33">
        <v>7</v>
      </c>
      <c r="AM1002" s="33">
        <v>2</v>
      </c>
      <c r="AN1002" s="33">
        <v>1</v>
      </c>
      <c r="AO1002" s="33">
        <v>2</v>
      </c>
      <c r="AP1002" s="33">
        <v>0</v>
      </c>
      <c r="AQ1002" s="33">
        <v>1</v>
      </c>
      <c r="AR1002" s="33">
        <v>2</v>
      </c>
      <c r="AS1002" s="33">
        <v>15</v>
      </c>
      <c r="AT1002" s="33">
        <v>6</v>
      </c>
      <c r="AU1002" s="43">
        <v>0.10125580533676684</v>
      </c>
      <c r="AV1002" s="33">
        <v>0</v>
      </c>
      <c r="AW1002" s="33">
        <v>0</v>
      </c>
      <c r="AY1002" s="36">
        <v>974</v>
      </c>
      <c r="AZ1002" s="33">
        <v>2</v>
      </c>
      <c r="BA1002" s="33">
        <v>4</v>
      </c>
      <c r="BB1002" s="33">
        <v>0</v>
      </c>
      <c r="BC1002" s="33">
        <v>1</v>
      </c>
      <c r="BD1002" s="43">
        <v>5.5093218126976727E-2</v>
      </c>
      <c r="BE1002" s="33">
        <v>0</v>
      </c>
      <c r="BF1002" s="33">
        <v>0</v>
      </c>
      <c r="CE1002" s="36">
        <v>968</v>
      </c>
      <c r="CF1002" s="33">
        <v>1</v>
      </c>
      <c r="CG1002" s="33">
        <v>1</v>
      </c>
      <c r="CH1002" s="33">
        <v>2</v>
      </c>
      <c r="CI1002" s="33">
        <v>2</v>
      </c>
      <c r="CJ1002" s="33">
        <v>3</v>
      </c>
      <c r="CK1002" s="33">
        <v>0</v>
      </c>
      <c r="CL1002" s="33">
        <v>1</v>
      </c>
      <c r="CM1002" s="33">
        <v>3</v>
      </c>
      <c r="CN1002" s="33">
        <v>4</v>
      </c>
      <c r="CO1002" s="33">
        <v>0</v>
      </c>
      <c r="CP1002" s="43">
        <v>0.10066158959463548</v>
      </c>
      <c r="CQ1002" s="33">
        <v>0</v>
      </c>
      <c r="CR1002" s="33">
        <v>0</v>
      </c>
    </row>
    <row r="1003" spans="1:96" ht="15" customHeight="1" x14ac:dyDescent="0.25">
      <c r="A1003" s="26">
        <v>1001</v>
      </c>
      <c r="B1003" s="27">
        <v>37</v>
      </c>
      <c r="C1003" s="27">
        <v>0</v>
      </c>
      <c r="D1003" s="27">
        <v>1</v>
      </c>
      <c r="E1003" s="27">
        <v>1462</v>
      </c>
      <c r="F1003" s="27">
        <v>2</v>
      </c>
      <c r="G1003" s="27">
        <v>11</v>
      </c>
      <c r="H1003" s="27">
        <v>3</v>
      </c>
      <c r="I1003" s="27">
        <v>3</v>
      </c>
      <c r="J1003" s="27">
        <v>1</v>
      </c>
      <c r="K1003" s="27">
        <v>1411</v>
      </c>
      <c r="L1003" s="27">
        <v>1</v>
      </c>
      <c r="M1003" s="27">
        <v>0</v>
      </c>
      <c r="N1003" s="27">
        <v>94</v>
      </c>
      <c r="O1003" s="27">
        <v>3</v>
      </c>
      <c r="P1003" s="27">
        <v>1</v>
      </c>
      <c r="Q1003" s="27">
        <v>3</v>
      </c>
      <c r="R1003" s="27">
        <v>3</v>
      </c>
      <c r="S1003" s="27">
        <v>1</v>
      </c>
      <c r="T1003" s="27">
        <v>3629</v>
      </c>
      <c r="U1003" s="27">
        <v>19106</v>
      </c>
      <c r="V1003" s="27">
        <v>4</v>
      </c>
      <c r="W1003" s="27">
        <v>0</v>
      </c>
      <c r="X1003" s="27">
        <v>18</v>
      </c>
      <c r="Y1003" s="27">
        <v>3</v>
      </c>
      <c r="Z1003" s="27">
        <v>1</v>
      </c>
      <c r="AA1003" s="27">
        <v>80</v>
      </c>
      <c r="AB1003" s="27">
        <v>0</v>
      </c>
      <c r="AC1003" s="27">
        <v>8</v>
      </c>
      <c r="AD1003" s="27">
        <v>6</v>
      </c>
      <c r="AE1003" s="27">
        <v>3</v>
      </c>
      <c r="AF1003" s="27">
        <v>3</v>
      </c>
      <c r="AG1003" s="27">
        <v>2</v>
      </c>
      <c r="AH1003" s="27">
        <v>0</v>
      </c>
      <c r="AI1003" s="28">
        <v>2</v>
      </c>
      <c r="AK1003" s="36">
        <v>970</v>
      </c>
      <c r="AL1003" s="33">
        <v>4</v>
      </c>
      <c r="AM1003" s="33">
        <v>3</v>
      </c>
      <c r="AN1003" s="33">
        <v>4</v>
      </c>
      <c r="AO1003" s="33">
        <v>1</v>
      </c>
      <c r="AP1003" s="33">
        <v>0</v>
      </c>
      <c r="AQ1003" s="33">
        <v>0</v>
      </c>
      <c r="AR1003" s="33">
        <v>3</v>
      </c>
      <c r="AS1003" s="33">
        <v>10</v>
      </c>
      <c r="AT1003" s="33">
        <v>0</v>
      </c>
      <c r="AU1003" s="43">
        <v>2.229407166468363E-2</v>
      </c>
      <c r="AV1003" s="33">
        <v>0</v>
      </c>
      <c r="AW1003" s="33">
        <v>0</v>
      </c>
      <c r="AY1003" s="36">
        <v>975</v>
      </c>
      <c r="AZ1003" s="33">
        <v>2</v>
      </c>
      <c r="BA1003" s="33">
        <v>4</v>
      </c>
      <c r="BB1003" s="33">
        <v>0</v>
      </c>
      <c r="BC1003" s="33">
        <v>0</v>
      </c>
      <c r="BD1003" s="43">
        <v>8.9935487507215722E-2</v>
      </c>
      <c r="BE1003" s="33">
        <v>0</v>
      </c>
      <c r="BF1003" s="33">
        <v>0</v>
      </c>
      <c r="CE1003" s="36">
        <v>969</v>
      </c>
      <c r="CF1003" s="33">
        <v>7</v>
      </c>
      <c r="CG1003" s="33">
        <v>2</v>
      </c>
      <c r="CH1003" s="33">
        <v>1</v>
      </c>
      <c r="CI1003" s="33">
        <v>2</v>
      </c>
      <c r="CJ1003" s="33">
        <v>2</v>
      </c>
      <c r="CK1003" s="33">
        <v>0</v>
      </c>
      <c r="CL1003" s="33">
        <v>1</v>
      </c>
      <c r="CM1003" s="33">
        <v>2</v>
      </c>
      <c r="CN1003" s="33">
        <v>15</v>
      </c>
      <c r="CO1003" s="33">
        <v>6</v>
      </c>
      <c r="CP1003" s="43">
        <v>0.10365553867421037</v>
      </c>
      <c r="CQ1003" s="33">
        <v>0</v>
      </c>
      <c r="CR1003" s="33">
        <v>0</v>
      </c>
    </row>
    <row r="1004" spans="1:96" ht="15" customHeight="1" x14ac:dyDescent="0.25">
      <c r="A1004" s="26">
        <v>1002</v>
      </c>
      <c r="B1004" s="27">
        <v>35</v>
      </c>
      <c r="C1004" s="27">
        <v>0</v>
      </c>
      <c r="D1004" s="27">
        <v>2</v>
      </c>
      <c r="E1004" s="27">
        <v>200</v>
      </c>
      <c r="F1004" s="27">
        <v>2</v>
      </c>
      <c r="G1004" s="27">
        <v>18</v>
      </c>
      <c r="H1004" s="27">
        <v>2</v>
      </c>
      <c r="I1004" s="27">
        <v>1</v>
      </c>
      <c r="J1004" s="27">
        <v>1</v>
      </c>
      <c r="K1004" s="27">
        <v>1412</v>
      </c>
      <c r="L1004" s="27">
        <v>3</v>
      </c>
      <c r="M1004" s="27">
        <v>1</v>
      </c>
      <c r="N1004" s="27">
        <v>60</v>
      </c>
      <c r="O1004" s="27">
        <v>3</v>
      </c>
      <c r="P1004" s="27">
        <v>3</v>
      </c>
      <c r="Q1004" s="27">
        <v>4</v>
      </c>
      <c r="R1004" s="27">
        <v>4</v>
      </c>
      <c r="S1004" s="27">
        <v>1</v>
      </c>
      <c r="T1004" s="27">
        <v>9362</v>
      </c>
      <c r="U1004" s="27">
        <v>19944</v>
      </c>
      <c r="V1004" s="27">
        <v>2</v>
      </c>
      <c r="W1004" s="27">
        <v>0</v>
      </c>
      <c r="X1004" s="27">
        <v>11</v>
      </c>
      <c r="Y1004" s="27">
        <v>3</v>
      </c>
      <c r="Z1004" s="27">
        <v>3</v>
      </c>
      <c r="AA1004" s="27">
        <v>80</v>
      </c>
      <c r="AB1004" s="27">
        <v>0</v>
      </c>
      <c r="AC1004" s="27">
        <v>10</v>
      </c>
      <c r="AD1004" s="27">
        <v>2</v>
      </c>
      <c r="AE1004" s="27">
        <v>3</v>
      </c>
      <c r="AF1004" s="27">
        <v>2</v>
      </c>
      <c r="AG1004" s="27">
        <v>2</v>
      </c>
      <c r="AH1004" s="27">
        <v>2</v>
      </c>
      <c r="AI1004" s="28">
        <v>2</v>
      </c>
      <c r="AK1004" s="36">
        <v>971</v>
      </c>
      <c r="AL1004" s="33">
        <v>11</v>
      </c>
      <c r="AM1004" s="33">
        <v>1</v>
      </c>
      <c r="AN1004" s="33">
        <v>4</v>
      </c>
      <c r="AO1004" s="33">
        <v>8</v>
      </c>
      <c r="AP1004" s="33">
        <v>0</v>
      </c>
      <c r="AQ1004" s="33">
        <v>1</v>
      </c>
      <c r="AR1004" s="33">
        <v>3</v>
      </c>
      <c r="AS1004" s="33">
        <v>1</v>
      </c>
      <c r="AT1004" s="33">
        <v>0</v>
      </c>
      <c r="AU1004" s="43">
        <v>0.14522699419631024</v>
      </c>
      <c r="AV1004" s="33">
        <v>0</v>
      </c>
      <c r="AW1004" s="33">
        <v>0</v>
      </c>
      <c r="AY1004" s="36">
        <v>976</v>
      </c>
      <c r="AZ1004" s="33">
        <v>4</v>
      </c>
      <c r="BA1004" s="33">
        <v>3</v>
      </c>
      <c r="BB1004" s="33">
        <v>1</v>
      </c>
      <c r="BC1004" s="33">
        <v>0</v>
      </c>
      <c r="BD1004" s="43">
        <v>0.15628347374862378</v>
      </c>
      <c r="BE1004" s="33">
        <v>0</v>
      </c>
      <c r="BF1004" s="33">
        <v>1</v>
      </c>
      <c r="CE1004" s="36">
        <v>970</v>
      </c>
      <c r="CF1004" s="33">
        <v>4</v>
      </c>
      <c r="CG1004" s="33">
        <v>3</v>
      </c>
      <c r="CH1004" s="33">
        <v>4</v>
      </c>
      <c r="CI1004" s="33">
        <v>1</v>
      </c>
      <c r="CJ1004" s="33">
        <v>1</v>
      </c>
      <c r="CK1004" s="33">
        <v>0</v>
      </c>
      <c r="CL1004" s="33">
        <v>0</v>
      </c>
      <c r="CM1004" s="33">
        <v>3</v>
      </c>
      <c r="CN1004" s="33">
        <v>10</v>
      </c>
      <c r="CO1004" s="33">
        <v>0</v>
      </c>
      <c r="CP1004" s="43">
        <v>2.6071650151036352E-2</v>
      </c>
      <c r="CQ1004" s="33">
        <v>0</v>
      </c>
      <c r="CR1004" s="33">
        <v>0</v>
      </c>
    </row>
    <row r="1005" spans="1:96" ht="15" customHeight="1" x14ac:dyDescent="0.25">
      <c r="A1005" s="26">
        <v>1003</v>
      </c>
      <c r="B1005" s="27">
        <v>25</v>
      </c>
      <c r="C1005" s="27">
        <v>0</v>
      </c>
      <c r="D1005" s="27">
        <v>1</v>
      </c>
      <c r="E1005" s="27">
        <v>949</v>
      </c>
      <c r="F1005" s="27">
        <v>2</v>
      </c>
      <c r="G1005" s="27">
        <v>1</v>
      </c>
      <c r="H1005" s="27">
        <v>3</v>
      </c>
      <c r="I1005" s="27">
        <v>5</v>
      </c>
      <c r="J1005" s="27">
        <v>1</v>
      </c>
      <c r="K1005" s="27">
        <v>1415</v>
      </c>
      <c r="L1005" s="27">
        <v>1</v>
      </c>
      <c r="M1005" s="27">
        <v>1</v>
      </c>
      <c r="N1005" s="27">
        <v>81</v>
      </c>
      <c r="O1005" s="27">
        <v>3</v>
      </c>
      <c r="P1005" s="27">
        <v>1</v>
      </c>
      <c r="Q1005" s="27">
        <v>3</v>
      </c>
      <c r="R1005" s="27">
        <v>4</v>
      </c>
      <c r="S1005" s="27">
        <v>2</v>
      </c>
      <c r="T1005" s="27">
        <v>3229</v>
      </c>
      <c r="U1005" s="27">
        <v>4910</v>
      </c>
      <c r="V1005" s="27">
        <v>4</v>
      </c>
      <c r="W1005" s="27">
        <v>0</v>
      </c>
      <c r="X1005" s="27">
        <v>11</v>
      </c>
      <c r="Y1005" s="27">
        <v>3</v>
      </c>
      <c r="Z1005" s="27">
        <v>2</v>
      </c>
      <c r="AA1005" s="27">
        <v>80</v>
      </c>
      <c r="AB1005" s="27">
        <v>1</v>
      </c>
      <c r="AC1005" s="27">
        <v>7</v>
      </c>
      <c r="AD1005" s="27">
        <v>2</v>
      </c>
      <c r="AE1005" s="27">
        <v>2</v>
      </c>
      <c r="AF1005" s="27">
        <v>3</v>
      </c>
      <c r="AG1005" s="27">
        <v>2</v>
      </c>
      <c r="AH1005" s="27">
        <v>0</v>
      </c>
      <c r="AI1005" s="28">
        <v>2</v>
      </c>
      <c r="AK1005" s="36">
        <v>972</v>
      </c>
      <c r="AL1005" s="33">
        <v>11</v>
      </c>
      <c r="AM1005" s="33">
        <v>4</v>
      </c>
      <c r="AN1005" s="33">
        <v>2</v>
      </c>
      <c r="AO1005" s="33">
        <v>3</v>
      </c>
      <c r="AP1005" s="33">
        <v>0</v>
      </c>
      <c r="AQ1005" s="33">
        <v>0</v>
      </c>
      <c r="AR1005" s="33">
        <v>2</v>
      </c>
      <c r="AS1005" s="33">
        <v>5</v>
      </c>
      <c r="AT1005" s="33">
        <v>0</v>
      </c>
      <c r="AU1005" s="43">
        <v>5.9977947103769594E-2</v>
      </c>
      <c r="AV1005" s="33">
        <v>0</v>
      </c>
      <c r="AW1005" s="33">
        <v>0</v>
      </c>
      <c r="AY1005" s="36">
        <v>977</v>
      </c>
      <c r="AZ1005" s="33">
        <v>4</v>
      </c>
      <c r="BA1005" s="33">
        <v>2</v>
      </c>
      <c r="BB1005" s="33">
        <v>1</v>
      </c>
      <c r="BC1005" s="33">
        <v>1</v>
      </c>
      <c r="BD1005" s="43">
        <v>0.1277051204585552</v>
      </c>
      <c r="BE1005" s="33">
        <v>0</v>
      </c>
      <c r="BF1005" s="33">
        <v>0</v>
      </c>
      <c r="CE1005" s="36">
        <v>971</v>
      </c>
      <c r="CF1005" s="33">
        <v>11</v>
      </c>
      <c r="CG1005" s="33">
        <v>1</v>
      </c>
      <c r="CH1005" s="33">
        <v>4</v>
      </c>
      <c r="CI1005" s="33">
        <v>2</v>
      </c>
      <c r="CJ1005" s="33">
        <v>8</v>
      </c>
      <c r="CK1005" s="33">
        <v>0</v>
      </c>
      <c r="CL1005" s="33">
        <v>1</v>
      </c>
      <c r="CM1005" s="33">
        <v>3</v>
      </c>
      <c r="CN1005" s="33">
        <v>1</v>
      </c>
      <c r="CO1005" s="33">
        <v>0</v>
      </c>
      <c r="CP1005" s="43">
        <v>0.13800565505126422</v>
      </c>
      <c r="CQ1005" s="33">
        <v>0</v>
      </c>
      <c r="CR1005" s="33">
        <v>0</v>
      </c>
    </row>
    <row r="1006" spans="1:96" ht="15" customHeight="1" x14ac:dyDescent="0.25">
      <c r="A1006" s="26">
        <v>1004</v>
      </c>
      <c r="B1006" s="27">
        <v>26</v>
      </c>
      <c r="C1006" s="27">
        <v>0</v>
      </c>
      <c r="D1006" s="27">
        <v>1</v>
      </c>
      <c r="E1006" s="27">
        <v>652</v>
      </c>
      <c r="F1006" s="27">
        <v>2</v>
      </c>
      <c r="G1006" s="27">
        <v>7</v>
      </c>
      <c r="H1006" s="27">
        <v>3</v>
      </c>
      <c r="I1006" s="27">
        <v>6</v>
      </c>
      <c r="J1006" s="27">
        <v>1</v>
      </c>
      <c r="K1006" s="27">
        <v>1417</v>
      </c>
      <c r="L1006" s="27">
        <v>3</v>
      </c>
      <c r="M1006" s="27">
        <v>1</v>
      </c>
      <c r="N1006" s="27">
        <v>100</v>
      </c>
      <c r="O1006" s="27">
        <v>4</v>
      </c>
      <c r="P1006" s="27">
        <v>1</v>
      </c>
      <c r="Q1006" s="27">
        <v>3</v>
      </c>
      <c r="R1006" s="27">
        <v>1</v>
      </c>
      <c r="S1006" s="27">
        <v>1</v>
      </c>
      <c r="T1006" s="27">
        <v>3578</v>
      </c>
      <c r="U1006" s="27">
        <v>23577</v>
      </c>
      <c r="V1006" s="27">
        <v>0</v>
      </c>
      <c r="W1006" s="27">
        <v>0</v>
      </c>
      <c r="X1006" s="27">
        <v>12</v>
      </c>
      <c r="Y1006" s="27">
        <v>3</v>
      </c>
      <c r="Z1006" s="27">
        <v>4</v>
      </c>
      <c r="AA1006" s="27">
        <v>80</v>
      </c>
      <c r="AB1006" s="27">
        <v>0</v>
      </c>
      <c r="AC1006" s="27">
        <v>8</v>
      </c>
      <c r="AD1006" s="27">
        <v>2</v>
      </c>
      <c r="AE1006" s="27">
        <v>3</v>
      </c>
      <c r="AF1006" s="27">
        <v>7</v>
      </c>
      <c r="AG1006" s="27">
        <v>7</v>
      </c>
      <c r="AH1006" s="27">
        <v>0</v>
      </c>
      <c r="AI1006" s="28">
        <v>7</v>
      </c>
      <c r="AK1006" s="36">
        <v>973</v>
      </c>
      <c r="AL1006" s="33">
        <v>1</v>
      </c>
      <c r="AM1006" s="33">
        <v>1</v>
      </c>
      <c r="AN1006" s="33">
        <v>4</v>
      </c>
      <c r="AO1006" s="33">
        <v>1</v>
      </c>
      <c r="AP1006" s="33">
        <v>0</v>
      </c>
      <c r="AQ1006" s="33">
        <v>0</v>
      </c>
      <c r="AR1006" s="33">
        <v>4</v>
      </c>
      <c r="AS1006" s="33">
        <v>0</v>
      </c>
      <c r="AT1006" s="33">
        <v>0</v>
      </c>
      <c r="AU1006" s="43">
        <v>9.1944877461735602E-2</v>
      </c>
      <c r="AV1006" s="33">
        <v>0</v>
      </c>
      <c r="AW1006" s="33">
        <v>0</v>
      </c>
      <c r="AY1006" s="36">
        <v>978</v>
      </c>
      <c r="AZ1006" s="33">
        <v>1</v>
      </c>
      <c r="BA1006" s="33">
        <v>3</v>
      </c>
      <c r="BB1006" s="33">
        <v>0</v>
      </c>
      <c r="BC1006" s="33">
        <v>3</v>
      </c>
      <c r="BD1006" s="43">
        <v>4.5366993313288043E-2</v>
      </c>
      <c r="BE1006" s="33">
        <v>0</v>
      </c>
      <c r="BF1006" s="33">
        <v>0</v>
      </c>
      <c r="CE1006" s="36">
        <v>972</v>
      </c>
      <c r="CF1006" s="33">
        <v>11</v>
      </c>
      <c r="CG1006" s="33">
        <v>4</v>
      </c>
      <c r="CH1006" s="33">
        <v>2</v>
      </c>
      <c r="CI1006" s="33">
        <v>1</v>
      </c>
      <c r="CJ1006" s="33">
        <v>3</v>
      </c>
      <c r="CK1006" s="33">
        <v>0</v>
      </c>
      <c r="CL1006" s="33">
        <v>0</v>
      </c>
      <c r="CM1006" s="33">
        <v>2</v>
      </c>
      <c r="CN1006" s="33">
        <v>5</v>
      </c>
      <c r="CO1006" s="33">
        <v>0</v>
      </c>
      <c r="CP1006" s="43">
        <v>7.4206079337077124E-2</v>
      </c>
      <c r="CQ1006" s="33">
        <v>0</v>
      </c>
      <c r="CR1006" s="33">
        <v>0</v>
      </c>
    </row>
    <row r="1007" spans="1:96" ht="15" customHeight="1" x14ac:dyDescent="0.25">
      <c r="A1007" s="26">
        <v>1005</v>
      </c>
      <c r="B1007" s="27">
        <v>29</v>
      </c>
      <c r="C1007" s="27">
        <v>0</v>
      </c>
      <c r="D1007" s="27">
        <v>1</v>
      </c>
      <c r="E1007" s="27">
        <v>332</v>
      </c>
      <c r="F1007" s="27">
        <v>3</v>
      </c>
      <c r="G1007" s="27">
        <v>17</v>
      </c>
      <c r="H1007" s="27">
        <v>3</v>
      </c>
      <c r="I1007" s="27">
        <v>6</v>
      </c>
      <c r="J1007" s="27">
        <v>1</v>
      </c>
      <c r="K1007" s="27">
        <v>1419</v>
      </c>
      <c r="L1007" s="27">
        <v>2</v>
      </c>
      <c r="M1007" s="27">
        <v>1</v>
      </c>
      <c r="N1007" s="27">
        <v>51</v>
      </c>
      <c r="O1007" s="27">
        <v>2</v>
      </c>
      <c r="P1007" s="27">
        <v>3</v>
      </c>
      <c r="Q1007" s="27">
        <v>9</v>
      </c>
      <c r="R1007" s="27">
        <v>1</v>
      </c>
      <c r="S1007" s="27">
        <v>1</v>
      </c>
      <c r="T1007" s="27">
        <v>7988</v>
      </c>
      <c r="U1007" s="27">
        <v>9769</v>
      </c>
      <c r="V1007" s="27">
        <v>1</v>
      </c>
      <c r="W1007" s="27">
        <v>0</v>
      </c>
      <c r="X1007" s="27">
        <v>13</v>
      </c>
      <c r="Y1007" s="27">
        <v>3</v>
      </c>
      <c r="Z1007" s="27">
        <v>1</v>
      </c>
      <c r="AA1007" s="27">
        <v>80</v>
      </c>
      <c r="AB1007" s="27">
        <v>0</v>
      </c>
      <c r="AC1007" s="27">
        <v>10</v>
      </c>
      <c r="AD1007" s="27">
        <v>3</v>
      </c>
      <c r="AE1007" s="27">
        <v>2</v>
      </c>
      <c r="AF1007" s="27">
        <v>10</v>
      </c>
      <c r="AG1007" s="27">
        <v>9</v>
      </c>
      <c r="AH1007" s="27">
        <v>0</v>
      </c>
      <c r="AI1007" s="28">
        <v>9</v>
      </c>
      <c r="AK1007" s="36">
        <v>974</v>
      </c>
      <c r="AL1007" s="33">
        <v>1</v>
      </c>
      <c r="AM1007" s="33">
        <v>2</v>
      </c>
      <c r="AN1007" s="33">
        <v>4</v>
      </c>
      <c r="AO1007" s="33">
        <v>0</v>
      </c>
      <c r="AP1007" s="33">
        <v>0</v>
      </c>
      <c r="AQ1007" s="33">
        <v>1</v>
      </c>
      <c r="AR1007" s="33">
        <v>3</v>
      </c>
      <c r="AS1007" s="33">
        <v>9</v>
      </c>
      <c r="AT1007" s="33">
        <v>0</v>
      </c>
      <c r="AU1007" s="43">
        <v>1.9661809916080884E-2</v>
      </c>
      <c r="AV1007" s="33">
        <v>0</v>
      </c>
      <c r="AW1007" s="33">
        <v>0</v>
      </c>
      <c r="AY1007" s="36">
        <v>979</v>
      </c>
      <c r="AZ1007" s="33">
        <v>2</v>
      </c>
      <c r="BA1007" s="33">
        <v>3</v>
      </c>
      <c r="BB1007" s="33">
        <v>0</v>
      </c>
      <c r="BC1007" s="33">
        <v>3</v>
      </c>
      <c r="BD1007" s="43">
        <v>2.6469010457514919E-2</v>
      </c>
      <c r="BE1007" s="33">
        <v>0</v>
      </c>
      <c r="BF1007" s="33">
        <v>0</v>
      </c>
      <c r="CE1007" s="36">
        <v>973</v>
      </c>
      <c r="CF1007" s="33">
        <v>1</v>
      </c>
      <c r="CG1007" s="33">
        <v>1</v>
      </c>
      <c r="CH1007" s="33">
        <v>4</v>
      </c>
      <c r="CI1007" s="33">
        <v>1</v>
      </c>
      <c r="CJ1007" s="33">
        <v>1</v>
      </c>
      <c r="CK1007" s="33">
        <v>0</v>
      </c>
      <c r="CL1007" s="33">
        <v>0</v>
      </c>
      <c r="CM1007" s="33">
        <v>4</v>
      </c>
      <c r="CN1007" s="33">
        <v>0</v>
      </c>
      <c r="CO1007" s="33">
        <v>0</v>
      </c>
      <c r="CP1007" s="43">
        <v>0.10316399821749334</v>
      </c>
      <c r="CQ1007" s="33">
        <v>0</v>
      </c>
      <c r="CR1007" s="33">
        <v>0</v>
      </c>
    </row>
    <row r="1008" spans="1:96" ht="15" customHeight="1" x14ac:dyDescent="0.25">
      <c r="A1008" s="26">
        <v>1006</v>
      </c>
      <c r="B1008" s="27">
        <v>49</v>
      </c>
      <c r="C1008" s="27">
        <v>1</v>
      </c>
      <c r="D1008" s="27">
        <v>2</v>
      </c>
      <c r="E1008" s="27">
        <v>1475</v>
      </c>
      <c r="F1008" s="27">
        <v>2</v>
      </c>
      <c r="G1008" s="27">
        <v>28</v>
      </c>
      <c r="H1008" s="27">
        <v>2</v>
      </c>
      <c r="I1008" s="27">
        <v>1</v>
      </c>
      <c r="J1008" s="27">
        <v>1</v>
      </c>
      <c r="K1008" s="27">
        <v>1420</v>
      </c>
      <c r="L1008" s="27">
        <v>1</v>
      </c>
      <c r="M1008" s="27">
        <v>1</v>
      </c>
      <c r="N1008" s="27">
        <v>97</v>
      </c>
      <c r="O1008" s="27">
        <v>2</v>
      </c>
      <c r="P1008" s="27">
        <v>2</v>
      </c>
      <c r="Q1008" s="27">
        <v>3</v>
      </c>
      <c r="R1008" s="27">
        <v>1</v>
      </c>
      <c r="S1008" s="27">
        <v>1</v>
      </c>
      <c r="T1008" s="27">
        <v>4284</v>
      </c>
      <c r="U1008" s="27">
        <v>22710</v>
      </c>
      <c r="V1008" s="27">
        <v>3</v>
      </c>
      <c r="W1008" s="27">
        <v>0</v>
      </c>
      <c r="X1008" s="27">
        <v>20</v>
      </c>
      <c r="Y1008" s="27">
        <v>4</v>
      </c>
      <c r="Z1008" s="27">
        <v>1</v>
      </c>
      <c r="AA1008" s="27">
        <v>80</v>
      </c>
      <c r="AB1008" s="27">
        <v>0</v>
      </c>
      <c r="AC1008" s="27">
        <v>20</v>
      </c>
      <c r="AD1008" s="27">
        <v>2</v>
      </c>
      <c r="AE1008" s="27">
        <v>3</v>
      </c>
      <c r="AF1008" s="27">
        <v>4</v>
      </c>
      <c r="AG1008" s="27">
        <v>3</v>
      </c>
      <c r="AH1008" s="27">
        <v>1</v>
      </c>
      <c r="AI1008" s="28">
        <v>3</v>
      </c>
      <c r="AK1008" s="36">
        <v>975</v>
      </c>
      <c r="AL1008" s="33">
        <v>2</v>
      </c>
      <c r="AM1008" s="33">
        <v>2</v>
      </c>
      <c r="AN1008" s="33">
        <v>4</v>
      </c>
      <c r="AO1008" s="33">
        <v>3</v>
      </c>
      <c r="AP1008" s="33">
        <v>0</v>
      </c>
      <c r="AQ1008" s="33">
        <v>0</v>
      </c>
      <c r="AR1008" s="33">
        <v>3</v>
      </c>
      <c r="AS1008" s="33">
        <v>6</v>
      </c>
      <c r="AT1008" s="33">
        <v>0</v>
      </c>
      <c r="AU1008" s="43">
        <v>5.519096348597044E-2</v>
      </c>
      <c r="AV1008" s="33">
        <v>0</v>
      </c>
      <c r="AW1008" s="33">
        <v>0</v>
      </c>
      <c r="AY1008" s="36">
        <v>980</v>
      </c>
      <c r="AZ1008" s="33">
        <v>2</v>
      </c>
      <c r="BA1008" s="33">
        <v>3</v>
      </c>
      <c r="BB1008" s="33">
        <v>0</v>
      </c>
      <c r="BC1008" s="33">
        <v>2</v>
      </c>
      <c r="BD1008" s="43">
        <v>4.4052611042036123E-2</v>
      </c>
      <c r="BE1008" s="33">
        <v>0</v>
      </c>
      <c r="BF1008" s="33">
        <v>0</v>
      </c>
      <c r="CE1008" s="36">
        <v>974</v>
      </c>
      <c r="CF1008" s="33">
        <v>1</v>
      </c>
      <c r="CG1008" s="33">
        <v>2</v>
      </c>
      <c r="CH1008" s="33">
        <v>4</v>
      </c>
      <c r="CI1008" s="33">
        <v>2</v>
      </c>
      <c r="CJ1008" s="33">
        <v>0</v>
      </c>
      <c r="CK1008" s="33">
        <v>0</v>
      </c>
      <c r="CL1008" s="33">
        <v>1</v>
      </c>
      <c r="CM1008" s="33">
        <v>3</v>
      </c>
      <c r="CN1008" s="33">
        <v>9</v>
      </c>
      <c r="CO1008" s="33">
        <v>0</v>
      </c>
      <c r="CP1008" s="43">
        <v>1.8515326473133496E-2</v>
      </c>
      <c r="CQ1008" s="33">
        <v>0</v>
      </c>
      <c r="CR1008" s="33">
        <v>0</v>
      </c>
    </row>
    <row r="1009" spans="1:96" ht="15" customHeight="1" x14ac:dyDescent="0.25">
      <c r="A1009" s="26">
        <v>1007</v>
      </c>
      <c r="B1009" s="27">
        <v>29</v>
      </c>
      <c r="C1009" s="27">
        <v>1</v>
      </c>
      <c r="D1009" s="27">
        <v>2</v>
      </c>
      <c r="E1009" s="27">
        <v>337</v>
      </c>
      <c r="F1009" s="27">
        <v>2</v>
      </c>
      <c r="G1009" s="27">
        <v>14</v>
      </c>
      <c r="H1009" s="27">
        <v>1</v>
      </c>
      <c r="I1009" s="27">
        <v>6</v>
      </c>
      <c r="J1009" s="27">
        <v>1</v>
      </c>
      <c r="K1009" s="27">
        <v>1421</v>
      </c>
      <c r="L1009" s="27">
        <v>3</v>
      </c>
      <c r="M1009" s="27">
        <v>0</v>
      </c>
      <c r="N1009" s="27">
        <v>84</v>
      </c>
      <c r="O1009" s="27">
        <v>3</v>
      </c>
      <c r="P1009" s="27">
        <v>3</v>
      </c>
      <c r="Q1009" s="27">
        <v>5</v>
      </c>
      <c r="R1009" s="27">
        <v>4</v>
      </c>
      <c r="S1009" s="27">
        <v>1</v>
      </c>
      <c r="T1009" s="27">
        <v>7553</v>
      </c>
      <c r="U1009" s="27">
        <v>22930</v>
      </c>
      <c r="V1009" s="27">
        <v>0</v>
      </c>
      <c r="W1009" s="27">
        <v>1</v>
      </c>
      <c r="X1009" s="27">
        <v>12</v>
      </c>
      <c r="Y1009" s="27">
        <v>3</v>
      </c>
      <c r="Z1009" s="27">
        <v>1</v>
      </c>
      <c r="AA1009" s="27">
        <v>80</v>
      </c>
      <c r="AB1009" s="27">
        <v>0</v>
      </c>
      <c r="AC1009" s="27">
        <v>9</v>
      </c>
      <c r="AD1009" s="27">
        <v>1</v>
      </c>
      <c r="AE1009" s="27">
        <v>3</v>
      </c>
      <c r="AF1009" s="27">
        <v>8</v>
      </c>
      <c r="AG1009" s="27">
        <v>7</v>
      </c>
      <c r="AH1009" s="27">
        <v>7</v>
      </c>
      <c r="AI1009" s="28">
        <v>7</v>
      </c>
      <c r="AK1009" s="36">
        <v>976</v>
      </c>
      <c r="AL1009" s="33">
        <v>13</v>
      </c>
      <c r="AM1009" s="33">
        <v>4</v>
      </c>
      <c r="AN1009" s="33">
        <v>3</v>
      </c>
      <c r="AO1009" s="33">
        <v>6</v>
      </c>
      <c r="AP1009" s="33">
        <v>1</v>
      </c>
      <c r="AQ1009" s="33">
        <v>0</v>
      </c>
      <c r="AR1009" s="33">
        <v>2</v>
      </c>
      <c r="AS1009" s="33">
        <v>19</v>
      </c>
      <c r="AT1009" s="33">
        <v>3</v>
      </c>
      <c r="AU1009" s="43">
        <v>0.12798845180301141</v>
      </c>
      <c r="AV1009" s="33">
        <v>0</v>
      </c>
      <c r="AW1009" s="33">
        <v>1</v>
      </c>
      <c r="AY1009" s="36">
        <v>981</v>
      </c>
      <c r="AZ1009" s="33">
        <v>1</v>
      </c>
      <c r="BA1009" s="33">
        <v>4</v>
      </c>
      <c r="BB1009" s="33">
        <v>0</v>
      </c>
      <c r="BC1009" s="33">
        <v>0</v>
      </c>
      <c r="BD1009" s="43">
        <v>0.1472907617042678</v>
      </c>
      <c r="BE1009" s="33">
        <v>0</v>
      </c>
      <c r="BF1009" s="33">
        <v>1</v>
      </c>
      <c r="CE1009" s="36">
        <v>975</v>
      </c>
      <c r="CF1009" s="33">
        <v>2</v>
      </c>
      <c r="CG1009" s="33">
        <v>2</v>
      </c>
      <c r="CH1009" s="33">
        <v>4</v>
      </c>
      <c r="CI1009" s="33">
        <v>1</v>
      </c>
      <c r="CJ1009" s="33">
        <v>3</v>
      </c>
      <c r="CK1009" s="33">
        <v>0</v>
      </c>
      <c r="CL1009" s="33">
        <v>0</v>
      </c>
      <c r="CM1009" s="33">
        <v>3</v>
      </c>
      <c r="CN1009" s="33">
        <v>6</v>
      </c>
      <c r="CO1009" s="33">
        <v>0</v>
      </c>
      <c r="CP1009" s="43">
        <v>6.3840980746392315E-2</v>
      </c>
      <c r="CQ1009" s="33">
        <v>0</v>
      </c>
      <c r="CR1009" s="33">
        <v>0</v>
      </c>
    </row>
    <row r="1010" spans="1:96" ht="15" customHeight="1" x14ac:dyDescent="0.25">
      <c r="A1010" s="26">
        <v>1008</v>
      </c>
      <c r="B1010" s="27">
        <v>54</v>
      </c>
      <c r="C1010" s="27">
        <v>0</v>
      </c>
      <c r="D1010" s="27">
        <v>1</v>
      </c>
      <c r="E1010" s="27">
        <v>971</v>
      </c>
      <c r="F1010" s="27">
        <v>2</v>
      </c>
      <c r="G1010" s="27">
        <v>1</v>
      </c>
      <c r="H1010" s="27">
        <v>3</v>
      </c>
      <c r="I1010" s="27">
        <v>3</v>
      </c>
      <c r="J1010" s="27">
        <v>1</v>
      </c>
      <c r="K1010" s="27">
        <v>1422</v>
      </c>
      <c r="L1010" s="27">
        <v>4</v>
      </c>
      <c r="M1010" s="27">
        <v>0</v>
      </c>
      <c r="N1010" s="27">
        <v>54</v>
      </c>
      <c r="O1010" s="27">
        <v>3</v>
      </c>
      <c r="P1010" s="27">
        <v>4</v>
      </c>
      <c r="Q1010" s="27">
        <v>8</v>
      </c>
      <c r="R1010" s="27">
        <v>4</v>
      </c>
      <c r="S1010" s="27">
        <v>1</v>
      </c>
      <c r="T1010" s="27">
        <v>17328</v>
      </c>
      <c r="U1010" s="27">
        <v>5652</v>
      </c>
      <c r="V1010" s="27">
        <v>6</v>
      </c>
      <c r="W1010" s="27">
        <v>0</v>
      </c>
      <c r="X1010" s="27">
        <v>19</v>
      </c>
      <c r="Y1010" s="27">
        <v>3</v>
      </c>
      <c r="Z1010" s="27">
        <v>4</v>
      </c>
      <c r="AA1010" s="27">
        <v>80</v>
      </c>
      <c r="AB1010" s="27">
        <v>0</v>
      </c>
      <c r="AC1010" s="27">
        <v>29</v>
      </c>
      <c r="AD1010" s="27">
        <v>3</v>
      </c>
      <c r="AE1010" s="27">
        <v>2</v>
      </c>
      <c r="AF1010" s="27">
        <v>20</v>
      </c>
      <c r="AG1010" s="27">
        <v>7</v>
      </c>
      <c r="AH1010" s="27">
        <v>12</v>
      </c>
      <c r="AI1010" s="28">
        <v>7</v>
      </c>
      <c r="AK1010" s="36">
        <v>977</v>
      </c>
      <c r="AL1010" s="33">
        <v>23</v>
      </c>
      <c r="AM1010" s="33">
        <v>4</v>
      </c>
      <c r="AN1010" s="33">
        <v>2</v>
      </c>
      <c r="AO1010" s="33">
        <v>4</v>
      </c>
      <c r="AP1010" s="33">
        <v>1</v>
      </c>
      <c r="AQ1010" s="33">
        <v>1</v>
      </c>
      <c r="AR1010" s="33">
        <v>3</v>
      </c>
      <c r="AS1010" s="33">
        <v>19</v>
      </c>
      <c r="AT1010" s="33">
        <v>15</v>
      </c>
      <c r="AU1010" s="43">
        <v>0.28947959720015676</v>
      </c>
      <c r="AV1010" s="33">
        <v>0</v>
      </c>
      <c r="AW1010" s="33">
        <v>0</v>
      </c>
      <c r="AY1010" s="36">
        <v>982</v>
      </c>
      <c r="AZ1010" s="33">
        <v>2</v>
      </c>
      <c r="BA1010" s="33">
        <v>3</v>
      </c>
      <c r="BB1010" s="33">
        <v>1</v>
      </c>
      <c r="BC1010" s="33">
        <v>1</v>
      </c>
      <c r="BD1010" s="43">
        <v>0.25031066197755131</v>
      </c>
      <c r="BE1010" s="33">
        <v>0</v>
      </c>
      <c r="BF1010" s="33">
        <v>1</v>
      </c>
      <c r="CE1010" s="36">
        <v>976</v>
      </c>
      <c r="CF1010" s="33">
        <v>13</v>
      </c>
      <c r="CG1010" s="33">
        <v>4</v>
      </c>
      <c r="CH1010" s="33">
        <v>3</v>
      </c>
      <c r="CI1010" s="33">
        <v>1</v>
      </c>
      <c r="CJ1010" s="33">
        <v>6</v>
      </c>
      <c r="CK1010" s="33">
        <v>1</v>
      </c>
      <c r="CL1010" s="33">
        <v>0</v>
      </c>
      <c r="CM1010" s="33">
        <v>2</v>
      </c>
      <c r="CN1010" s="33">
        <v>19</v>
      </c>
      <c r="CO1010" s="33">
        <v>3</v>
      </c>
      <c r="CP1010" s="43">
        <v>0.15934662962281312</v>
      </c>
      <c r="CQ1010" s="33">
        <v>0</v>
      </c>
      <c r="CR1010" s="33">
        <v>1</v>
      </c>
    </row>
    <row r="1011" spans="1:96" ht="15" customHeight="1" x14ac:dyDescent="0.25">
      <c r="A1011" s="26">
        <v>1009</v>
      </c>
      <c r="B1011" s="27">
        <v>58</v>
      </c>
      <c r="C1011" s="27">
        <v>0</v>
      </c>
      <c r="D1011" s="27">
        <v>1</v>
      </c>
      <c r="E1011" s="27">
        <v>1055</v>
      </c>
      <c r="F1011" s="27">
        <v>2</v>
      </c>
      <c r="G1011" s="27">
        <v>1</v>
      </c>
      <c r="H1011" s="27">
        <v>3</v>
      </c>
      <c r="I1011" s="27">
        <v>3</v>
      </c>
      <c r="J1011" s="27">
        <v>1</v>
      </c>
      <c r="K1011" s="27">
        <v>1423</v>
      </c>
      <c r="L1011" s="27">
        <v>4</v>
      </c>
      <c r="M1011" s="27">
        <v>0</v>
      </c>
      <c r="N1011" s="27">
        <v>76</v>
      </c>
      <c r="O1011" s="27">
        <v>3</v>
      </c>
      <c r="P1011" s="27">
        <v>5</v>
      </c>
      <c r="Q1011" s="27">
        <v>8</v>
      </c>
      <c r="R1011" s="27">
        <v>1</v>
      </c>
      <c r="S1011" s="27">
        <v>2</v>
      </c>
      <c r="T1011" s="27">
        <v>19701</v>
      </c>
      <c r="U1011" s="27">
        <v>22456</v>
      </c>
      <c r="V1011" s="27">
        <v>3</v>
      </c>
      <c r="W1011" s="27">
        <v>1</v>
      </c>
      <c r="X1011" s="27">
        <v>21</v>
      </c>
      <c r="Y1011" s="27">
        <v>4</v>
      </c>
      <c r="Z1011" s="27">
        <v>3</v>
      </c>
      <c r="AA1011" s="27">
        <v>80</v>
      </c>
      <c r="AB1011" s="27">
        <v>1</v>
      </c>
      <c r="AC1011" s="27">
        <v>32</v>
      </c>
      <c r="AD1011" s="27">
        <v>3</v>
      </c>
      <c r="AE1011" s="27">
        <v>3</v>
      </c>
      <c r="AF1011" s="27">
        <v>9</v>
      </c>
      <c r="AG1011" s="27">
        <v>8</v>
      </c>
      <c r="AH1011" s="27">
        <v>1</v>
      </c>
      <c r="AI1011" s="28">
        <v>5</v>
      </c>
      <c r="AK1011" s="36">
        <v>978</v>
      </c>
      <c r="AL1011" s="33">
        <v>26</v>
      </c>
      <c r="AM1011" s="33">
        <v>1</v>
      </c>
      <c r="AN1011" s="33">
        <v>3</v>
      </c>
      <c r="AO1011" s="33">
        <v>1</v>
      </c>
      <c r="AP1011" s="33">
        <v>0</v>
      </c>
      <c r="AQ1011" s="33">
        <v>3</v>
      </c>
      <c r="AR1011" s="33">
        <v>3</v>
      </c>
      <c r="AS1011" s="33">
        <v>5</v>
      </c>
      <c r="AT1011" s="33">
        <v>0</v>
      </c>
      <c r="AU1011" s="43">
        <v>4.8037500681184821E-2</v>
      </c>
      <c r="AV1011" s="33">
        <v>0</v>
      </c>
      <c r="AW1011" s="33">
        <v>0</v>
      </c>
      <c r="AY1011" s="36">
        <v>983</v>
      </c>
      <c r="AZ1011" s="33">
        <v>1</v>
      </c>
      <c r="BA1011" s="33">
        <v>3</v>
      </c>
      <c r="BB1011" s="33">
        <v>0</v>
      </c>
      <c r="BC1011" s="33">
        <v>3</v>
      </c>
      <c r="BD1011" s="43">
        <v>4.5366993313288043E-2</v>
      </c>
      <c r="BE1011" s="33">
        <v>0</v>
      </c>
      <c r="BF1011" s="33">
        <v>0</v>
      </c>
      <c r="CE1011" s="36">
        <v>977</v>
      </c>
      <c r="CF1011" s="33">
        <v>23</v>
      </c>
      <c r="CG1011" s="33">
        <v>4</v>
      </c>
      <c r="CH1011" s="33">
        <v>2</v>
      </c>
      <c r="CI1011" s="33">
        <v>2</v>
      </c>
      <c r="CJ1011" s="33">
        <v>4</v>
      </c>
      <c r="CK1011" s="33">
        <v>1</v>
      </c>
      <c r="CL1011" s="33">
        <v>1</v>
      </c>
      <c r="CM1011" s="33">
        <v>3</v>
      </c>
      <c r="CN1011" s="33">
        <v>19</v>
      </c>
      <c r="CO1011" s="33">
        <v>15</v>
      </c>
      <c r="CP1011" s="43">
        <v>0.30569031262046326</v>
      </c>
      <c r="CQ1011" s="33">
        <v>0</v>
      </c>
      <c r="CR1011" s="33">
        <v>0</v>
      </c>
    </row>
    <row r="1012" spans="1:96" ht="15" customHeight="1" x14ac:dyDescent="0.25">
      <c r="A1012" s="26">
        <v>1010</v>
      </c>
      <c r="B1012" s="27">
        <v>55</v>
      </c>
      <c r="C1012" s="27">
        <v>0</v>
      </c>
      <c r="D1012" s="27">
        <v>1</v>
      </c>
      <c r="E1012" s="27">
        <v>1136</v>
      </c>
      <c r="F1012" s="27">
        <v>2</v>
      </c>
      <c r="G1012" s="27">
        <v>1</v>
      </c>
      <c r="H1012" s="27">
        <v>4</v>
      </c>
      <c r="I1012" s="27">
        <v>3</v>
      </c>
      <c r="J1012" s="27">
        <v>1</v>
      </c>
      <c r="K1012" s="27">
        <v>1424</v>
      </c>
      <c r="L1012" s="27">
        <v>2</v>
      </c>
      <c r="M1012" s="27">
        <v>1</v>
      </c>
      <c r="N1012" s="27">
        <v>81</v>
      </c>
      <c r="O1012" s="27">
        <v>4</v>
      </c>
      <c r="P1012" s="27">
        <v>4</v>
      </c>
      <c r="Q1012" s="27">
        <v>8</v>
      </c>
      <c r="R1012" s="27">
        <v>4</v>
      </c>
      <c r="S1012" s="27">
        <v>3</v>
      </c>
      <c r="T1012" s="27">
        <v>14732</v>
      </c>
      <c r="U1012" s="27">
        <v>12414</v>
      </c>
      <c r="V1012" s="27">
        <v>2</v>
      </c>
      <c r="W1012" s="27">
        <v>0</v>
      </c>
      <c r="X1012" s="27">
        <v>13</v>
      </c>
      <c r="Y1012" s="27">
        <v>3</v>
      </c>
      <c r="Z1012" s="27">
        <v>4</v>
      </c>
      <c r="AA1012" s="27">
        <v>80</v>
      </c>
      <c r="AB1012" s="27">
        <v>2</v>
      </c>
      <c r="AC1012" s="27">
        <v>31</v>
      </c>
      <c r="AD1012" s="27">
        <v>4</v>
      </c>
      <c r="AE1012" s="27">
        <v>4</v>
      </c>
      <c r="AF1012" s="27">
        <v>7</v>
      </c>
      <c r="AG1012" s="27">
        <v>7</v>
      </c>
      <c r="AH1012" s="27">
        <v>0</v>
      </c>
      <c r="AI1012" s="28">
        <v>0</v>
      </c>
      <c r="AK1012" s="36">
        <v>979</v>
      </c>
      <c r="AL1012" s="33">
        <v>2</v>
      </c>
      <c r="AM1012" s="33">
        <v>2</v>
      </c>
      <c r="AN1012" s="33">
        <v>3</v>
      </c>
      <c r="AO1012" s="33">
        <v>5</v>
      </c>
      <c r="AP1012" s="33">
        <v>0</v>
      </c>
      <c r="AQ1012" s="33">
        <v>3</v>
      </c>
      <c r="AR1012" s="33">
        <v>3</v>
      </c>
      <c r="AS1012" s="33">
        <v>12</v>
      </c>
      <c r="AT1012" s="33">
        <v>11</v>
      </c>
      <c r="AU1012" s="43">
        <v>3.6708764156272743E-2</v>
      </c>
      <c r="AV1012" s="33">
        <v>0</v>
      </c>
      <c r="AW1012" s="33">
        <v>0</v>
      </c>
      <c r="AY1012" s="36">
        <v>984</v>
      </c>
      <c r="AZ1012" s="33">
        <v>2</v>
      </c>
      <c r="BA1012" s="33">
        <v>4</v>
      </c>
      <c r="BB1012" s="33">
        <v>0</v>
      </c>
      <c r="BC1012" s="33">
        <v>0</v>
      </c>
      <c r="BD1012" s="43">
        <v>8.9935487507215722E-2</v>
      </c>
      <c r="BE1012" s="33">
        <v>0</v>
      </c>
      <c r="BF1012" s="33">
        <v>0</v>
      </c>
      <c r="CE1012" s="36">
        <v>978</v>
      </c>
      <c r="CF1012" s="33">
        <v>26</v>
      </c>
      <c r="CG1012" s="33">
        <v>1</v>
      </c>
      <c r="CH1012" s="33">
        <v>3</v>
      </c>
      <c r="CI1012" s="33">
        <v>3</v>
      </c>
      <c r="CJ1012" s="33">
        <v>1</v>
      </c>
      <c r="CK1012" s="33">
        <v>0</v>
      </c>
      <c r="CL1012" s="33">
        <v>3</v>
      </c>
      <c r="CM1012" s="33">
        <v>3</v>
      </c>
      <c r="CN1012" s="33">
        <v>5</v>
      </c>
      <c r="CO1012" s="33">
        <v>0</v>
      </c>
      <c r="CP1012" s="43">
        <v>5.1594848693186715E-2</v>
      </c>
      <c r="CQ1012" s="33">
        <v>0</v>
      </c>
      <c r="CR1012" s="33">
        <v>0</v>
      </c>
    </row>
    <row r="1013" spans="1:96" ht="15" customHeight="1" x14ac:dyDescent="0.25">
      <c r="A1013" s="26">
        <v>1011</v>
      </c>
      <c r="B1013" s="27">
        <v>36</v>
      </c>
      <c r="C1013" s="27">
        <v>0</v>
      </c>
      <c r="D1013" s="27">
        <v>1</v>
      </c>
      <c r="E1013" s="27">
        <v>1174</v>
      </c>
      <c r="F1013" s="27">
        <v>1</v>
      </c>
      <c r="G1013" s="27">
        <v>3</v>
      </c>
      <c r="H1013" s="27">
        <v>4</v>
      </c>
      <c r="I1013" s="27">
        <v>4</v>
      </c>
      <c r="J1013" s="27">
        <v>1</v>
      </c>
      <c r="K1013" s="27">
        <v>1425</v>
      </c>
      <c r="L1013" s="27">
        <v>1</v>
      </c>
      <c r="M1013" s="27">
        <v>0</v>
      </c>
      <c r="N1013" s="27">
        <v>99</v>
      </c>
      <c r="O1013" s="27">
        <v>3</v>
      </c>
      <c r="P1013" s="27">
        <v>2</v>
      </c>
      <c r="Q1013" s="27">
        <v>1</v>
      </c>
      <c r="R1013" s="27">
        <v>2</v>
      </c>
      <c r="S1013" s="27">
        <v>1</v>
      </c>
      <c r="T1013" s="27">
        <v>9278</v>
      </c>
      <c r="U1013" s="27">
        <v>20763</v>
      </c>
      <c r="V1013" s="27">
        <v>3</v>
      </c>
      <c r="W1013" s="27">
        <v>1</v>
      </c>
      <c r="X1013" s="27">
        <v>16</v>
      </c>
      <c r="Y1013" s="27">
        <v>3</v>
      </c>
      <c r="Z1013" s="27">
        <v>4</v>
      </c>
      <c r="AA1013" s="27">
        <v>80</v>
      </c>
      <c r="AB1013" s="27">
        <v>0</v>
      </c>
      <c r="AC1013" s="27">
        <v>15</v>
      </c>
      <c r="AD1013" s="27">
        <v>3</v>
      </c>
      <c r="AE1013" s="27">
        <v>3</v>
      </c>
      <c r="AF1013" s="27">
        <v>5</v>
      </c>
      <c r="AG1013" s="27">
        <v>4</v>
      </c>
      <c r="AH1013" s="27">
        <v>0</v>
      </c>
      <c r="AI1013" s="28">
        <v>1</v>
      </c>
      <c r="AK1013" s="36">
        <v>980</v>
      </c>
      <c r="AL1013" s="33">
        <v>29</v>
      </c>
      <c r="AM1013" s="33">
        <v>2</v>
      </c>
      <c r="AN1013" s="33">
        <v>3</v>
      </c>
      <c r="AO1013" s="33">
        <v>4</v>
      </c>
      <c r="AP1013" s="33">
        <v>0</v>
      </c>
      <c r="AQ1013" s="33">
        <v>2</v>
      </c>
      <c r="AR1013" s="33">
        <v>3</v>
      </c>
      <c r="AS1013" s="33">
        <v>8</v>
      </c>
      <c r="AT1013" s="33">
        <v>7</v>
      </c>
      <c r="AU1013" s="43">
        <v>0.11496466430619133</v>
      </c>
      <c r="AV1013" s="33">
        <v>0</v>
      </c>
      <c r="AW1013" s="33">
        <v>0</v>
      </c>
      <c r="AY1013" s="36">
        <v>985</v>
      </c>
      <c r="AZ1013" s="33">
        <v>2</v>
      </c>
      <c r="BA1013" s="33">
        <v>1</v>
      </c>
      <c r="BB1013" s="33">
        <v>0</v>
      </c>
      <c r="BC1013" s="33">
        <v>1</v>
      </c>
      <c r="BD1013" s="43">
        <v>0.12293502213131684</v>
      </c>
      <c r="BE1013" s="33">
        <v>0</v>
      </c>
      <c r="BF1013" s="33">
        <v>0</v>
      </c>
      <c r="CE1013" s="36">
        <v>979</v>
      </c>
      <c r="CF1013" s="33">
        <v>2</v>
      </c>
      <c r="CG1013" s="33">
        <v>2</v>
      </c>
      <c r="CH1013" s="33">
        <v>3</v>
      </c>
      <c r="CI1013" s="33">
        <v>3</v>
      </c>
      <c r="CJ1013" s="33">
        <v>5</v>
      </c>
      <c r="CK1013" s="33">
        <v>0</v>
      </c>
      <c r="CL1013" s="33">
        <v>3</v>
      </c>
      <c r="CM1013" s="33">
        <v>3</v>
      </c>
      <c r="CN1013" s="33">
        <v>12</v>
      </c>
      <c r="CO1013" s="33">
        <v>11</v>
      </c>
      <c r="CP1013" s="43">
        <v>4.1580163847757978E-2</v>
      </c>
      <c r="CQ1013" s="33">
        <v>0</v>
      </c>
      <c r="CR1013" s="33">
        <v>0</v>
      </c>
    </row>
    <row r="1014" spans="1:96" ht="15" customHeight="1" x14ac:dyDescent="0.25">
      <c r="A1014" s="26">
        <v>1012</v>
      </c>
      <c r="B1014" s="27">
        <v>31</v>
      </c>
      <c r="C1014" s="27">
        <v>1</v>
      </c>
      <c r="D1014" s="27">
        <v>2</v>
      </c>
      <c r="E1014" s="27">
        <v>667</v>
      </c>
      <c r="F1014" s="27">
        <v>1</v>
      </c>
      <c r="G1014" s="27">
        <v>1</v>
      </c>
      <c r="H1014" s="27">
        <v>4</v>
      </c>
      <c r="I1014" s="27">
        <v>1</v>
      </c>
      <c r="J1014" s="27">
        <v>1</v>
      </c>
      <c r="K1014" s="27">
        <v>1427</v>
      </c>
      <c r="L1014" s="27">
        <v>2</v>
      </c>
      <c r="M1014" s="27">
        <v>0</v>
      </c>
      <c r="N1014" s="27">
        <v>50</v>
      </c>
      <c r="O1014" s="27">
        <v>1</v>
      </c>
      <c r="P1014" s="27">
        <v>1</v>
      </c>
      <c r="Q1014" s="27">
        <v>7</v>
      </c>
      <c r="R1014" s="27">
        <v>3</v>
      </c>
      <c r="S1014" s="27">
        <v>1</v>
      </c>
      <c r="T1014" s="27">
        <v>1359</v>
      </c>
      <c r="U1014" s="27">
        <v>16154</v>
      </c>
      <c r="V1014" s="27">
        <v>1</v>
      </c>
      <c r="W1014" s="27">
        <v>0</v>
      </c>
      <c r="X1014" s="27">
        <v>12</v>
      </c>
      <c r="Y1014" s="27">
        <v>3</v>
      </c>
      <c r="Z1014" s="27">
        <v>2</v>
      </c>
      <c r="AA1014" s="27">
        <v>80</v>
      </c>
      <c r="AB1014" s="27">
        <v>0</v>
      </c>
      <c r="AC1014" s="27">
        <v>1</v>
      </c>
      <c r="AD1014" s="27">
        <v>3</v>
      </c>
      <c r="AE1014" s="27">
        <v>3</v>
      </c>
      <c r="AF1014" s="27">
        <v>1</v>
      </c>
      <c r="AG1014" s="27">
        <v>0</v>
      </c>
      <c r="AH1014" s="27">
        <v>0</v>
      </c>
      <c r="AI1014" s="28">
        <v>0</v>
      </c>
      <c r="AK1014" s="36">
        <v>981</v>
      </c>
      <c r="AL1014" s="33">
        <v>2</v>
      </c>
      <c r="AM1014" s="33">
        <v>1</v>
      </c>
      <c r="AN1014" s="33">
        <v>4</v>
      </c>
      <c r="AO1014" s="33">
        <v>7</v>
      </c>
      <c r="AP1014" s="33">
        <v>0</v>
      </c>
      <c r="AQ1014" s="33">
        <v>0</v>
      </c>
      <c r="AR1014" s="33">
        <v>4</v>
      </c>
      <c r="AS1014" s="33">
        <v>1</v>
      </c>
      <c r="AT1014" s="33">
        <v>0</v>
      </c>
      <c r="AU1014" s="43">
        <v>0.13887511767037375</v>
      </c>
      <c r="AV1014" s="33">
        <v>0</v>
      </c>
      <c r="AW1014" s="33">
        <v>1</v>
      </c>
      <c r="AY1014" s="36">
        <v>986</v>
      </c>
      <c r="AZ1014" s="33">
        <v>2</v>
      </c>
      <c r="BA1014" s="33">
        <v>3</v>
      </c>
      <c r="BB1014" s="33">
        <v>1</v>
      </c>
      <c r="BC1014" s="33">
        <v>2</v>
      </c>
      <c r="BD1014" s="43">
        <v>0.16457242924360335</v>
      </c>
      <c r="BE1014" s="33">
        <v>0</v>
      </c>
      <c r="BF1014" s="33">
        <v>1</v>
      </c>
      <c r="CE1014" s="36">
        <v>980</v>
      </c>
      <c r="CF1014" s="33">
        <v>29</v>
      </c>
      <c r="CG1014" s="33">
        <v>2</v>
      </c>
      <c r="CH1014" s="33">
        <v>3</v>
      </c>
      <c r="CI1014" s="33">
        <v>2</v>
      </c>
      <c r="CJ1014" s="33">
        <v>4</v>
      </c>
      <c r="CK1014" s="33">
        <v>0</v>
      </c>
      <c r="CL1014" s="33">
        <v>2</v>
      </c>
      <c r="CM1014" s="33">
        <v>3</v>
      </c>
      <c r="CN1014" s="33">
        <v>8</v>
      </c>
      <c r="CO1014" s="33">
        <v>7</v>
      </c>
      <c r="CP1014" s="43">
        <v>0.15173263531023878</v>
      </c>
      <c r="CQ1014" s="33">
        <v>0</v>
      </c>
      <c r="CR1014" s="33">
        <v>0</v>
      </c>
    </row>
    <row r="1015" spans="1:96" ht="15" customHeight="1" x14ac:dyDescent="0.25">
      <c r="A1015" s="26">
        <v>1013</v>
      </c>
      <c r="B1015" s="27">
        <v>30</v>
      </c>
      <c r="C1015" s="27">
        <v>0</v>
      </c>
      <c r="D1015" s="27">
        <v>1</v>
      </c>
      <c r="E1015" s="27">
        <v>855</v>
      </c>
      <c r="F1015" s="27">
        <v>1</v>
      </c>
      <c r="G1015" s="27">
        <v>7</v>
      </c>
      <c r="H1015" s="27">
        <v>4</v>
      </c>
      <c r="I1015" s="27">
        <v>4</v>
      </c>
      <c r="J1015" s="27">
        <v>1</v>
      </c>
      <c r="K1015" s="27">
        <v>1428</v>
      </c>
      <c r="L1015" s="27">
        <v>4</v>
      </c>
      <c r="M1015" s="27">
        <v>0</v>
      </c>
      <c r="N1015" s="27">
        <v>73</v>
      </c>
      <c r="O1015" s="27">
        <v>3</v>
      </c>
      <c r="P1015" s="27">
        <v>2</v>
      </c>
      <c r="Q1015" s="27">
        <v>1</v>
      </c>
      <c r="R1015" s="27">
        <v>1</v>
      </c>
      <c r="S1015" s="27">
        <v>3</v>
      </c>
      <c r="T1015" s="27">
        <v>4779</v>
      </c>
      <c r="U1015" s="27">
        <v>12761</v>
      </c>
      <c r="V1015" s="27">
        <v>7</v>
      </c>
      <c r="W1015" s="27">
        <v>0</v>
      </c>
      <c r="X1015" s="27">
        <v>14</v>
      </c>
      <c r="Y1015" s="27">
        <v>3</v>
      </c>
      <c r="Z1015" s="27">
        <v>2</v>
      </c>
      <c r="AA1015" s="27">
        <v>80</v>
      </c>
      <c r="AB1015" s="27">
        <v>2</v>
      </c>
      <c r="AC1015" s="27">
        <v>8</v>
      </c>
      <c r="AD1015" s="27">
        <v>3</v>
      </c>
      <c r="AE1015" s="27">
        <v>3</v>
      </c>
      <c r="AF1015" s="27">
        <v>3</v>
      </c>
      <c r="AG1015" s="27">
        <v>2</v>
      </c>
      <c r="AH1015" s="27">
        <v>0</v>
      </c>
      <c r="AI1015" s="28">
        <v>2</v>
      </c>
      <c r="AK1015" s="36">
        <v>982</v>
      </c>
      <c r="AL1015" s="33">
        <v>18</v>
      </c>
      <c r="AM1015" s="33">
        <v>2</v>
      </c>
      <c r="AN1015" s="33">
        <v>3</v>
      </c>
      <c r="AO1015" s="33">
        <v>0</v>
      </c>
      <c r="AP1015" s="33">
        <v>1</v>
      </c>
      <c r="AQ1015" s="33">
        <v>1</v>
      </c>
      <c r="AR1015" s="33">
        <v>2</v>
      </c>
      <c r="AS1015" s="33">
        <v>4</v>
      </c>
      <c r="AT1015" s="33">
        <v>3</v>
      </c>
      <c r="AU1015" s="43">
        <v>0.34592947248773526</v>
      </c>
      <c r="AV1015" s="33">
        <v>0</v>
      </c>
      <c r="AW1015" s="33">
        <v>1</v>
      </c>
      <c r="AY1015" s="36">
        <v>987</v>
      </c>
      <c r="AZ1015" s="33">
        <v>2</v>
      </c>
      <c r="BA1015" s="33">
        <v>4</v>
      </c>
      <c r="BB1015" s="33">
        <v>1</v>
      </c>
      <c r="BC1015" s="33">
        <v>2</v>
      </c>
      <c r="BD1015" s="43">
        <v>0.12819971414072456</v>
      </c>
      <c r="BE1015" s="33">
        <v>0</v>
      </c>
      <c r="BF1015" s="33">
        <v>0</v>
      </c>
      <c r="CE1015" s="36">
        <v>981</v>
      </c>
      <c r="CF1015" s="33">
        <v>2</v>
      </c>
      <c r="CG1015" s="33">
        <v>1</v>
      </c>
      <c r="CH1015" s="33">
        <v>4</v>
      </c>
      <c r="CI1015" s="33">
        <v>1</v>
      </c>
      <c r="CJ1015" s="33">
        <v>7</v>
      </c>
      <c r="CK1015" s="33">
        <v>0</v>
      </c>
      <c r="CL1015" s="33">
        <v>0</v>
      </c>
      <c r="CM1015" s="33">
        <v>4</v>
      </c>
      <c r="CN1015" s="33">
        <v>1</v>
      </c>
      <c r="CO1015" s="33">
        <v>0</v>
      </c>
      <c r="CP1015" s="43">
        <v>0.15593208629127431</v>
      </c>
      <c r="CQ1015" s="33">
        <v>0</v>
      </c>
      <c r="CR1015" s="33">
        <v>1</v>
      </c>
    </row>
    <row r="1016" spans="1:96" ht="15" customHeight="1" x14ac:dyDescent="0.25">
      <c r="A1016" s="26">
        <v>1014</v>
      </c>
      <c r="B1016" s="27">
        <v>31</v>
      </c>
      <c r="C1016" s="27">
        <v>0</v>
      </c>
      <c r="D1016" s="27">
        <v>1</v>
      </c>
      <c r="E1016" s="27">
        <v>182</v>
      </c>
      <c r="F1016" s="27">
        <v>2</v>
      </c>
      <c r="G1016" s="27">
        <v>8</v>
      </c>
      <c r="H1016" s="27">
        <v>5</v>
      </c>
      <c r="I1016" s="27">
        <v>1</v>
      </c>
      <c r="J1016" s="27">
        <v>1</v>
      </c>
      <c r="K1016" s="27">
        <v>1430</v>
      </c>
      <c r="L1016" s="27">
        <v>1</v>
      </c>
      <c r="M1016" s="27">
        <v>0</v>
      </c>
      <c r="N1016" s="27">
        <v>93</v>
      </c>
      <c r="O1016" s="27">
        <v>3</v>
      </c>
      <c r="P1016" s="27">
        <v>4</v>
      </c>
      <c r="Q1016" s="27">
        <v>8</v>
      </c>
      <c r="R1016" s="27">
        <v>2</v>
      </c>
      <c r="S1016" s="27">
        <v>1</v>
      </c>
      <c r="T1016" s="27">
        <v>16422</v>
      </c>
      <c r="U1016" s="27">
        <v>8847</v>
      </c>
      <c r="V1016" s="27">
        <v>3</v>
      </c>
      <c r="W1016" s="27">
        <v>0</v>
      </c>
      <c r="X1016" s="27">
        <v>11</v>
      </c>
      <c r="Y1016" s="27">
        <v>3</v>
      </c>
      <c r="Z1016" s="27">
        <v>3</v>
      </c>
      <c r="AA1016" s="27">
        <v>80</v>
      </c>
      <c r="AB1016" s="27">
        <v>0</v>
      </c>
      <c r="AC1016" s="27">
        <v>9</v>
      </c>
      <c r="AD1016" s="27">
        <v>3</v>
      </c>
      <c r="AE1016" s="27">
        <v>4</v>
      </c>
      <c r="AF1016" s="27">
        <v>3</v>
      </c>
      <c r="AG1016" s="27">
        <v>2</v>
      </c>
      <c r="AH1016" s="27">
        <v>1</v>
      </c>
      <c r="AI1016" s="28">
        <v>0</v>
      </c>
      <c r="AK1016" s="36">
        <v>983</v>
      </c>
      <c r="AL1016" s="33">
        <v>7</v>
      </c>
      <c r="AM1016" s="33">
        <v>1</v>
      </c>
      <c r="AN1016" s="33">
        <v>3</v>
      </c>
      <c r="AO1016" s="33">
        <v>1</v>
      </c>
      <c r="AP1016" s="33">
        <v>0</v>
      </c>
      <c r="AQ1016" s="33">
        <v>3</v>
      </c>
      <c r="AR1016" s="33">
        <v>3</v>
      </c>
      <c r="AS1016" s="33">
        <v>4</v>
      </c>
      <c r="AT1016" s="33">
        <v>0</v>
      </c>
      <c r="AU1016" s="43">
        <v>2.7827018750374487E-2</v>
      </c>
      <c r="AV1016" s="33">
        <v>0</v>
      </c>
      <c r="AW1016" s="33">
        <v>0</v>
      </c>
      <c r="AY1016" s="36">
        <v>988</v>
      </c>
      <c r="AZ1016" s="33">
        <v>3</v>
      </c>
      <c r="BA1016" s="33">
        <v>2</v>
      </c>
      <c r="BB1016" s="33">
        <v>0</v>
      </c>
      <c r="BC1016" s="33">
        <v>0</v>
      </c>
      <c r="BD1016" s="43">
        <v>9.2115043168566224E-2</v>
      </c>
      <c r="BE1016" s="33">
        <v>0</v>
      </c>
      <c r="BF1016" s="33">
        <v>0</v>
      </c>
      <c r="CE1016" s="36">
        <v>982</v>
      </c>
      <c r="CF1016" s="33">
        <v>18</v>
      </c>
      <c r="CG1016" s="33">
        <v>2</v>
      </c>
      <c r="CH1016" s="33">
        <v>3</v>
      </c>
      <c r="CI1016" s="33">
        <v>2</v>
      </c>
      <c r="CJ1016" s="33">
        <v>0</v>
      </c>
      <c r="CK1016" s="33">
        <v>1</v>
      </c>
      <c r="CL1016" s="33">
        <v>1</v>
      </c>
      <c r="CM1016" s="33">
        <v>2</v>
      </c>
      <c r="CN1016" s="33">
        <v>4</v>
      </c>
      <c r="CO1016" s="33">
        <v>3</v>
      </c>
      <c r="CP1016" s="43">
        <v>0.35045398995011745</v>
      </c>
      <c r="CQ1016" s="33">
        <v>0</v>
      </c>
      <c r="CR1016" s="33">
        <v>1</v>
      </c>
    </row>
    <row r="1017" spans="1:96" ht="15" customHeight="1" x14ac:dyDescent="0.25">
      <c r="A1017" s="26">
        <v>1015</v>
      </c>
      <c r="B1017" s="27">
        <v>34</v>
      </c>
      <c r="C1017" s="27">
        <v>0</v>
      </c>
      <c r="D1017" s="27">
        <v>2</v>
      </c>
      <c r="E1017" s="27">
        <v>560</v>
      </c>
      <c r="F1017" s="27">
        <v>2</v>
      </c>
      <c r="G1017" s="27">
        <v>1</v>
      </c>
      <c r="H1017" s="27">
        <v>4</v>
      </c>
      <c r="I1017" s="27">
        <v>6</v>
      </c>
      <c r="J1017" s="27">
        <v>1</v>
      </c>
      <c r="K1017" s="27">
        <v>1431</v>
      </c>
      <c r="L1017" s="27">
        <v>4</v>
      </c>
      <c r="M1017" s="27">
        <v>1</v>
      </c>
      <c r="N1017" s="27">
        <v>91</v>
      </c>
      <c r="O1017" s="27">
        <v>3</v>
      </c>
      <c r="P1017" s="27">
        <v>1</v>
      </c>
      <c r="Q1017" s="27">
        <v>2</v>
      </c>
      <c r="R1017" s="27">
        <v>1</v>
      </c>
      <c r="S1017" s="27">
        <v>3</v>
      </c>
      <c r="T1017" s="27">
        <v>2996</v>
      </c>
      <c r="U1017" s="27">
        <v>20284</v>
      </c>
      <c r="V1017" s="27">
        <v>5</v>
      </c>
      <c r="W1017" s="27">
        <v>0</v>
      </c>
      <c r="X1017" s="27">
        <v>14</v>
      </c>
      <c r="Y1017" s="27">
        <v>3</v>
      </c>
      <c r="Z1017" s="27">
        <v>3</v>
      </c>
      <c r="AA1017" s="27">
        <v>80</v>
      </c>
      <c r="AB1017" s="27">
        <v>2</v>
      </c>
      <c r="AC1017" s="27">
        <v>10</v>
      </c>
      <c r="AD1017" s="27">
        <v>2</v>
      </c>
      <c r="AE1017" s="27">
        <v>3</v>
      </c>
      <c r="AF1017" s="27">
        <v>4</v>
      </c>
      <c r="AG1017" s="27">
        <v>3</v>
      </c>
      <c r="AH1017" s="27">
        <v>1</v>
      </c>
      <c r="AI1017" s="28">
        <v>3</v>
      </c>
      <c r="AK1017" s="36">
        <v>984</v>
      </c>
      <c r="AL1017" s="33">
        <v>2</v>
      </c>
      <c r="AM1017" s="33">
        <v>2</v>
      </c>
      <c r="AN1017" s="33">
        <v>4</v>
      </c>
      <c r="AO1017" s="33">
        <v>1</v>
      </c>
      <c r="AP1017" s="33">
        <v>0</v>
      </c>
      <c r="AQ1017" s="33">
        <v>0</v>
      </c>
      <c r="AR1017" s="33">
        <v>4</v>
      </c>
      <c r="AS1017" s="33">
        <v>14</v>
      </c>
      <c r="AT1017" s="33">
        <v>4</v>
      </c>
      <c r="AU1017" s="43">
        <v>3.3435198074478298E-2</v>
      </c>
      <c r="AV1017" s="33">
        <v>0</v>
      </c>
      <c r="AW1017" s="33">
        <v>0</v>
      </c>
      <c r="AY1017" s="36">
        <v>989</v>
      </c>
      <c r="AZ1017" s="33">
        <v>2</v>
      </c>
      <c r="BA1017" s="33">
        <v>4</v>
      </c>
      <c r="BB1017" s="33">
        <v>1</v>
      </c>
      <c r="BC1017" s="33">
        <v>2</v>
      </c>
      <c r="BD1017" s="43">
        <v>0.12819971414072456</v>
      </c>
      <c r="BE1017" s="33">
        <v>0</v>
      </c>
      <c r="BF1017" s="33">
        <v>0</v>
      </c>
      <c r="CE1017" s="36">
        <v>983</v>
      </c>
      <c r="CF1017" s="33">
        <v>7</v>
      </c>
      <c r="CG1017" s="33">
        <v>1</v>
      </c>
      <c r="CH1017" s="33">
        <v>3</v>
      </c>
      <c r="CI1017" s="33">
        <v>3</v>
      </c>
      <c r="CJ1017" s="33">
        <v>1</v>
      </c>
      <c r="CK1017" s="33">
        <v>0</v>
      </c>
      <c r="CL1017" s="33">
        <v>3</v>
      </c>
      <c r="CM1017" s="33">
        <v>3</v>
      </c>
      <c r="CN1017" s="33">
        <v>4</v>
      </c>
      <c r="CO1017" s="33">
        <v>0</v>
      </c>
      <c r="CP1017" s="43">
        <v>3.0123962325453106E-2</v>
      </c>
      <c r="CQ1017" s="33">
        <v>0</v>
      </c>
      <c r="CR1017" s="33">
        <v>0</v>
      </c>
    </row>
    <row r="1018" spans="1:96" ht="15" customHeight="1" x14ac:dyDescent="0.25">
      <c r="A1018" s="26">
        <v>1016</v>
      </c>
      <c r="B1018" s="27">
        <v>31</v>
      </c>
      <c r="C1018" s="27">
        <v>1</v>
      </c>
      <c r="D1018" s="27">
        <v>1</v>
      </c>
      <c r="E1018" s="27">
        <v>202</v>
      </c>
      <c r="F1018" s="27">
        <v>2</v>
      </c>
      <c r="G1018" s="27">
        <v>8</v>
      </c>
      <c r="H1018" s="27">
        <v>3</v>
      </c>
      <c r="I1018" s="27">
        <v>1</v>
      </c>
      <c r="J1018" s="27">
        <v>1</v>
      </c>
      <c r="K1018" s="27">
        <v>1433</v>
      </c>
      <c r="L1018" s="27">
        <v>1</v>
      </c>
      <c r="M1018" s="27">
        <v>0</v>
      </c>
      <c r="N1018" s="27">
        <v>34</v>
      </c>
      <c r="O1018" s="27">
        <v>2</v>
      </c>
      <c r="P1018" s="27">
        <v>1</v>
      </c>
      <c r="Q1018" s="27">
        <v>2</v>
      </c>
      <c r="R1018" s="27">
        <v>2</v>
      </c>
      <c r="S1018" s="27">
        <v>1</v>
      </c>
      <c r="T1018" s="27">
        <v>1261</v>
      </c>
      <c r="U1018" s="27">
        <v>22262</v>
      </c>
      <c r="V1018" s="27">
        <v>1</v>
      </c>
      <c r="W1018" s="27">
        <v>0</v>
      </c>
      <c r="X1018" s="27">
        <v>12</v>
      </c>
      <c r="Y1018" s="27">
        <v>3</v>
      </c>
      <c r="Z1018" s="27">
        <v>3</v>
      </c>
      <c r="AA1018" s="27">
        <v>80</v>
      </c>
      <c r="AB1018" s="27">
        <v>0</v>
      </c>
      <c r="AC1018" s="27">
        <v>1</v>
      </c>
      <c r="AD1018" s="27">
        <v>3</v>
      </c>
      <c r="AE1018" s="27">
        <v>4</v>
      </c>
      <c r="AF1018" s="27">
        <v>1</v>
      </c>
      <c r="AG1018" s="27">
        <v>0</v>
      </c>
      <c r="AH1018" s="27">
        <v>0</v>
      </c>
      <c r="AI1018" s="28">
        <v>0</v>
      </c>
      <c r="AK1018" s="36">
        <v>985</v>
      </c>
      <c r="AL1018" s="33">
        <v>26</v>
      </c>
      <c r="AM1018" s="33">
        <v>2</v>
      </c>
      <c r="AN1018" s="33">
        <v>1</v>
      </c>
      <c r="AO1018" s="33">
        <v>1</v>
      </c>
      <c r="AP1018" s="33">
        <v>0</v>
      </c>
      <c r="AQ1018" s="33">
        <v>1</v>
      </c>
      <c r="AR1018" s="33">
        <v>3</v>
      </c>
      <c r="AS1018" s="33">
        <v>5</v>
      </c>
      <c r="AT1018" s="33">
        <v>0</v>
      </c>
      <c r="AU1018" s="43">
        <v>0.13945464064641586</v>
      </c>
      <c r="AV1018" s="33">
        <v>0</v>
      </c>
      <c r="AW1018" s="33">
        <v>0</v>
      </c>
      <c r="AY1018" s="36">
        <v>990</v>
      </c>
      <c r="AZ1018" s="33">
        <v>1</v>
      </c>
      <c r="BA1018" s="33">
        <v>3</v>
      </c>
      <c r="BB1018" s="33">
        <v>1</v>
      </c>
      <c r="BC1018" s="33">
        <v>0</v>
      </c>
      <c r="BD1018" s="43">
        <v>0.49727340882350407</v>
      </c>
      <c r="BE1018" s="33">
        <v>0</v>
      </c>
      <c r="BF1018" s="33">
        <v>0</v>
      </c>
      <c r="CE1018" s="36">
        <v>984</v>
      </c>
      <c r="CF1018" s="33">
        <v>2</v>
      </c>
      <c r="CG1018" s="33">
        <v>2</v>
      </c>
      <c r="CH1018" s="33">
        <v>4</v>
      </c>
      <c r="CI1018" s="33">
        <v>1</v>
      </c>
      <c r="CJ1018" s="33">
        <v>1</v>
      </c>
      <c r="CK1018" s="33">
        <v>0</v>
      </c>
      <c r="CL1018" s="33">
        <v>0</v>
      </c>
      <c r="CM1018" s="33">
        <v>4</v>
      </c>
      <c r="CN1018" s="33">
        <v>14</v>
      </c>
      <c r="CO1018" s="33">
        <v>4</v>
      </c>
      <c r="CP1018" s="43">
        <v>3.8391444619101114E-2</v>
      </c>
      <c r="CQ1018" s="33">
        <v>0</v>
      </c>
      <c r="CR1018" s="33">
        <v>0</v>
      </c>
    </row>
    <row r="1019" spans="1:96" ht="15" customHeight="1" x14ac:dyDescent="0.25">
      <c r="A1019" s="26">
        <v>1017</v>
      </c>
      <c r="B1019" s="27">
        <v>27</v>
      </c>
      <c r="C1019" s="27">
        <v>0</v>
      </c>
      <c r="D1019" s="27">
        <v>1</v>
      </c>
      <c r="E1019" s="27">
        <v>1377</v>
      </c>
      <c r="F1019" s="27">
        <v>2</v>
      </c>
      <c r="G1019" s="27">
        <v>11</v>
      </c>
      <c r="H1019" s="27">
        <v>1</v>
      </c>
      <c r="I1019" s="27">
        <v>1</v>
      </c>
      <c r="J1019" s="27">
        <v>1</v>
      </c>
      <c r="K1019" s="27">
        <v>1434</v>
      </c>
      <c r="L1019" s="27">
        <v>2</v>
      </c>
      <c r="M1019" s="27">
        <v>1</v>
      </c>
      <c r="N1019" s="27">
        <v>91</v>
      </c>
      <c r="O1019" s="27">
        <v>3</v>
      </c>
      <c r="P1019" s="27">
        <v>1</v>
      </c>
      <c r="Q1019" s="27">
        <v>3</v>
      </c>
      <c r="R1019" s="27">
        <v>1</v>
      </c>
      <c r="S1019" s="27">
        <v>2</v>
      </c>
      <c r="T1019" s="27">
        <v>2099</v>
      </c>
      <c r="U1019" s="27">
        <v>7679</v>
      </c>
      <c r="V1019" s="27">
        <v>0</v>
      </c>
      <c r="W1019" s="27">
        <v>0</v>
      </c>
      <c r="X1019" s="27">
        <v>14</v>
      </c>
      <c r="Y1019" s="27">
        <v>3</v>
      </c>
      <c r="Z1019" s="27">
        <v>2</v>
      </c>
      <c r="AA1019" s="27">
        <v>80</v>
      </c>
      <c r="AB1019" s="27">
        <v>0</v>
      </c>
      <c r="AC1019" s="27">
        <v>6</v>
      </c>
      <c r="AD1019" s="27">
        <v>3</v>
      </c>
      <c r="AE1019" s="27">
        <v>4</v>
      </c>
      <c r="AF1019" s="27">
        <v>5</v>
      </c>
      <c r="AG1019" s="27">
        <v>0</v>
      </c>
      <c r="AH1019" s="27">
        <v>1</v>
      </c>
      <c r="AI1019" s="28">
        <v>4</v>
      </c>
      <c r="AK1019" s="36">
        <v>986</v>
      </c>
      <c r="AL1019" s="33">
        <v>22</v>
      </c>
      <c r="AM1019" s="33">
        <v>2</v>
      </c>
      <c r="AN1019" s="33">
        <v>3</v>
      </c>
      <c r="AO1019" s="33">
        <v>1</v>
      </c>
      <c r="AP1019" s="33">
        <v>1</v>
      </c>
      <c r="AQ1019" s="33">
        <v>2</v>
      </c>
      <c r="AR1019" s="33">
        <v>2</v>
      </c>
      <c r="AS1019" s="33">
        <v>10</v>
      </c>
      <c r="AT1019" s="33">
        <v>6</v>
      </c>
      <c r="AU1019" s="43">
        <v>0.25385521721814941</v>
      </c>
      <c r="AV1019" s="33">
        <v>0</v>
      </c>
      <c r="AW1019" s="33">
        <v>1</v>
      </c>
      <c r="AY1019" s="36">
        <v>991</v>
      </c>
      <c r="AZ1019" s="33">
        <v>2</v>
      </c>
      <c r="BA1019" s="33">
        <v>4</v>
      </c>
      <c r="BB1019" s="33">
        <v>0</v>
      </c>
      <c r="BC1019" s="33">
        <v>0</v>
      </c>
      <c r="BD1019" s="43">
        <v>8.9935487507215722E-2</v>
      </c>
      <c r="BE1019" s="33">
        <v>0</v>
      </c>
      <c r="BF1019" s="33">
        <v>0</v>
      </c>
      <c r="CE1019" s="36">
        <v>985</v>
      </c>
      <c r="CF1019" s="33">
        <v>26</v>
      </c>
      <c r="CG1019" s="33">
        <v>2</v>
      </c>
      <c r="CH1019" s="33">
        <v>1</v>
      </c>
      <c r="CI1019" s="33">
        <v>2</v>
      </c>
      <c r="CJ1019" s="33">
        <v>1</v>
      </c>
      <c r="CK1019" s="33">
        <v>0</v>
      </c>
      <c r="CL1019" s="33">
        <v>1</v>
      </c>
      <c r="CM1019" s="33">
        <v>3</v>
      </c>
      <c r="CN1019" s="33">
        <v>5</v>
      </c>
      <c r="CO1019" s="33">
        <v>0</v>
      </c>
      <c r="CP1019" s="43">
        <v>0.13819480026368972</v>
      </c>
      <c r="CQ1019" s="33">
        <v>0</v>
      </c>
      <c r="CR1019" s="33">
        <v>0</v>
      </c>
    </row>
    <row r="1020" spans="1:96" ht="15" customHeight="1" x14ac:dyDescent="0.25">
      <c r="A1020" s="26">
        <v>1018</v>
      </c>
      <c r="B1020" s="27">
        <v>36</v>
      </c>
      <c r="C1020" s="27">
        <v>0</v>
      </c>
      <c r="D1020" s="27">
        <v>1</v>
      </c>
      <c r="E1020" s="27">
        <v>172</v>
      </c>
      <c r="F1020" s="27">
        <v>2</v>
      </c>
      <c r="G1020" s="27">
        <v>4</v>
      </c>
      <c r="H1020" s="27">
        <v>4</v>
      </c>
      <c r="I1020" s="27">
        <v>1</v>
      </c>
      <c r="J1020" s="27">
        <v>1</v>
      </c>
      <c r="K1020" s="27">
        <v>1435</v>
      </c>
      <c r="L1020" s="27">
        <v>1</v>
      </c>
      <c r="M1020" s="27">
        <v>1</v>
      </c>
      <c r="N1020" s="27">
        <v>37</v>
      </c>
      <c r="O1020" s="27">
        <v>2</v>
      </c>
      <c r="P1020" s="27">
        <v>2</v>
      </c>
      <c r="Q1020" s="27">
        <v>3</v>
      </c>
      <c r="R1020" s="27">
        <v>4</v>
      </c>
      <c r="S1020" s="27">
        <v>1</v>
      </c>
      <c r="T1020" s="27">
        <v>5810</v>
      </c>
      <c r="U1020" s="27">
        <v>22604</v>
      </c>
      <c r="V1020" s="27">
        <v>1</v>
      </c>
      <c r="W1020" s="27">
        <v>0</v>
      </c>
      <c r="X1020" s="27">
        <v>16</v>
      </c>
      <c r="Y1020" s="27">
        <v>3</v>
      </c>
      <c r="Z1020" s="27">
        <v>3</v>
      </c>
      <c r="AA1020" s="27">
        <v>80</v>
      </c>
      <c r="AB1020" s="27">
        <v>0</v>
      </c>
      <c r="AC1020" s="27">
        <v>10</v>
      </c>
      <c r="AD1020" s="27">
        <v>2</v>
      </c>
      <c r="AE1020" s="27">
        <v>2</v>
      </c>
      <c r="AF1020" s="27">
        <v>10</v>
      </c>
      <c r="AG1020" s="27">
        <v>4</v>
      </c>
      <c r="AH1020" s="27">
        <v>1</v>
      </c>
      <c r="AI1020" s="28">
        <v>8</v>
      </c>
      <c r="AK1020" s="36">
        <v>987</v>
      </c>
      <c r="AL1020" s="33">
        <v>21</v>
      </c>
      <c r="AM1020" s="33">
        <v>2</v>
      </c>
      <c r="AN1020" s="33">
        <v>4</v>
      </c>
      <c r="AO1020" s="33">
        <v>3</v>
      </c>
      <c r="AP1020" s="33">
        <v>1</v>
      </c>
      <c r="AQ1020" s="33">
        <v>2</v>
      </c>
      <c r="AR1020" s="33">
        <v>4</v>
      </c>
      <c r="AS1020" s="33">
        <v>5</v>
      </c>
      <c r="AT1020" s="33">
        <v>1</v>
      </c>
      <c r="AU1020" s="43">
        <v>0.12930264695280791</v>
      </c>
      <c r="AV1020" s="33">
        <v>0</v>
      </c>
      <c r="AW1020" s="33">
        <v>0</v>
      </c>
      <c r="AY1020" s="36">
        <v>992</v>
      </c>
      <c r="AZ1020" s="33">
        <v>2</v>
      </c>
      <c r="BA1020" s="33">
        <v>2</v>
      </c>
      <c r="BB1020" s="33">
        <v>1</v>
      </c>
      <c r="BC1020" s="33">
        <v>3</v>
      </c>
      <c r="BD1020" s="43">
        <v>0.13472036383362182</v>
      </c>
      <c r="BE1020" s="33">
        <v>0</v>
      </c>
      <c r="BF1020" s="33">
        <v>0</v>
      </c>
      <c r="CE1020" s="36">
        <v>986</v>
      </c>
      <c r="CF1020" s="33">
        <v>22</v>
      </c>
      <c r="CG1020" s="33">
        <v>2</v>
      </c>
      <c r="CH1020" s="33">
        <v>3</v>
      </c>
      <c r="CI1020" s="33">
        <v>2</v>
      </c>
      <c r="CJ1020" s="33">
        <v>1</v>
      </c>
      <c r="CK1020" s="33">
        <v>1</v>
      </c>
      <c r="CL1020" s="33">
        <v>2</v>
      </c>
      <c r="CM1020" s="33">
        <v>2</v>
      </c>
      <c r="CN1020" s="33">
        <v>10</v>
      </c>
      <c r="CO1020" s="33">
        <v>6</v>
      </c>
      <c r="CP1020" s="43">
        <v>0.33002160293419164</v>
      </c>
      <c r="CQ1020" s="33">
        <v>0</v>
      </c>
      <c r="CR1020" s="33">
        <v>1</v>
      </c>
    </row>
    <row r="1021" spans="1:96" ht="15" customHeight="1" x14ac:dyDescent="0.25">
      <c r="A1021" s="26">
        <v>1019</v>
      </c>
      <c r="B1021" s="27">
        <v>36</v>
      </c>
      <c r="C1021" s="27">
        <v>0</v>
      </c>
      <c r="D1021" s="27">
        <v>1</v>
      </c>
      <c r="E1021" s="27">
        <v>329</v>
      </c>
      <c r="F1021" s="27">
        <v>1</v>
      </c>
      <c r="G1021" s="27">
        <v>16</v>
      </c>
      <c r="H1021" s="27">
        <v>4</v>
      </c>
      <c r="I1021" s="27">
        <v>4</v>
      </c>
      <c r="J1021" s="27">
        <v>1</v>
      </c>
      <c r="K1021" s="27">
        <v>1436</v>
      </c>
      <c r="L1021" s="27">
        <v>3</v>
      </c>
      <c r="M1021" s="27">
        <v>0</v>
      </c>
      <c r="N1021" s="27">
        <v>98</v>
      </c>
      <c r="O1021" s="27">
        <v>2</v>
      </c>
      <c r="P1021" s="27">
        <v>2</v>
      </c>
      <c r="Q1021" s="27">
        <v>1</v>
      </c>
      <c r="R1021" s="27">
        <v>1</v>
      </c>
      <c r="S1021" s="27">
        <v>2</v>
      </c>
      <c r="T1021" s="27">
        <v>5647</v>
      </c>
      <c r="U1021" s="27">
        <v>13494</v>
      </c>
      <c r="V1021" s="27">
        <v>4</v>
      </c>
      <c r="W1021" s="27">
        <v>0</v>
      </c>
      <c r="X1021" s="27">
        <v>13</v>
      </c>
      <c r="Y1021" s="27">
        <v>3</v>
      </c>
      <c r="Z1021" s="27">
        <v>1</v>
      </c>
      <c r="AA1021" s="27">
        <v>80</v>
      </c>
      <c r="AB1021" s="27">
        <v>2</v>
      </c>
      <c r="AC1021" s="27">
        <v>11</v>
      </c>
      <c r="AD1021" s="27">
        <v>3</v>
      </c>
      <c r="AE1021" s="27">
        <v>2</v>
      </c>
      <c r="AF1021" s="27">
        <v>3</v>
      </c>
      <c r="AG1021" s="27">
        <v>2</v>
      </c>
      <c r="AH1021" s="27">
        <v>0</v>
      </c>
      <c r="AI1021" s="28">
        <v>2</v>
      </c>
      <c r="AK1021" s="36">
        <v>988</v>
      </c>
      <c r="AL1021" s="33">
        <v>2</v>
      </c>
      <c r="AM1021" s="33">
        <v>3</v>
      </c>
      <c r="AN1021" s="33">
        <v>2</v>
      </c>
      <c r="AO1021" s="33">
        <v>2</v>
      </c>
      <c r="AP1021" s="33">
        <v>0</v>
      </c>
      <c r="AQ1021" s="33">
        <v>0</v>
      </c>
      <c r="AR1021" s="33">
        <v>3</v>
      </c>
      <c r="AS1021" s="33">
        <v>4</v>
      </c>
      <c r="AT1021" s="33">
        <v>3</v>
      </c>
      <c r="AU1021" s="43">
        <v>8.260711065277318E-2</v>
      </c>
      <c r="AV1021" s="33">
        <v>0</v>
      </c>
      <c r="AW1021" s="33">
        <v>0</v>
      </c>
      <c r="AY1021" s="36">
        <v>993</v>
      </c>
      <c r="AZ1021" s="33">
        <v>3</v>
      </c>
      <c r="BA1021" s="33">
        <v>3</v>
      </c>
      <c r="BB1021" s="33">
        <v>0</v>
      </c>
      <c r="BC1021" s="33">
        <v>1</v>
      </c>
      <c r="BD1021" s="43">
        <v>4.2774603045834733E-2</v>
      </c>
      <c r="BE1021" s="33">
        <v>0</v>
      </c>
      <c r="BF1021" s="33">
        <v>0</v>
      </c>
      <c r="CE1021" s="36">
        <v>987</v>
      </c>
      <c r="CF1021" s="33">
        <v>21</v>
      </c>
      <c r="CG1021" s="33">
        <v>2</v>
      </c>
      <c r="CH1021" s="33">
        <v>4</v>
      </c>
      <c r="CI1021" s="33">
        <v>2</v>
      </c>
      <c r="CJ1021" s="33">
        <v>3</v>
      </c>
      <c r="CK1021" s="33">
        <v>1</v>
      </c>
      <c r="CL1021" s="33">
        <v>2</v>
      </c>
      <c r="CM1021" s="33">
        <v>4</v>
      </c>
      <c r="CN1021" s="33">
        <v>5</v>
      </c>
      <c r="CO1021" s="33">
        <v>1</v>
      </c>
      <c r="CP1021" s="43">
        <v>0.16839584481390354</v>
      </c>
      <c r="CQ1021" s="33">
        <v>0</v>
      </c>
      <c r="CR1021" s="33">
        <v>0</v>
      </c>
    </row>
    <row r="1022" spans="1:96" ht="15" customHeight="1" x14ac:dyDescent="0.25">
      <c r="A1022" s="26">
        <v>1020</v>
      </c>
      <c r="B1022" s="27">
        <v>47</v>
      </c>
      <c r="C1022" s="27">
        <v>0</v>
      </c>
      <c r="D1022" s="27">
        <v>1</v>
      </c>
      <c r="E1022" s="27">
        <v>465</v>
      </c>
      <c r="F1022" s="27">
        <v>2</v>
      </c>
      <c r="G1022" s="27">
        <v>1</v>
      </c>
      <c r="H1022" s="27">
        <v>3</v>
      </c>
      <c r="I1022" s="27">
        <v>5</v>
      </c>
      <c r="J1022" s="27">
        <v>1</v>
      </c>
      <c r="K1022" s="27">
        <v>1438</v>
      </c>
      <c r="L1022" s="27">
        <v>1</v>
      </c>
      <c r="M1022" s="27">
        <v>1</v>
      </c>
      <c r="N1022" s="27">
        <v>74</v>
      </c>
      <c r="O1022" s="27">
        <v>3</v>
      </c>
      <c r="P1022" s="27">
        <v>1</v>
      </c>
      <c r="Q1022" s="27">
        <v>2</v>
      </c>
      <c r="R1022" s="27">
        <v>4</v>
      </c>
      <c r="S1022" s="27">
        <v>2</v>
      </c>
      <c r="T1022" s="27">
        <v>3420</v>
      </c>
      <c r="U1022" s="27">
        <v>10205</v>
      </c>
      <c r="V1022" s="27">
        <v>7</v>
      </c>
      <c r="W1022" s="27">
        <v>0</v>
      </c>
      <c r="X1022" s="27">
        <v>12</v>
      </c>
      <c r="Y1022" s="27">
        <v>3</v>
      </c>
      <c r="Z1022" s="27">
        <v>3</v>
      </c>
      <c r="AA1022" s="27">
        <v>80</v>
      </c>
      <c r="AB1022" s="27">
        <v>1</v>
      </c>
      <c r="AC1022" s="27">
        <v>17</v>
      </c>
      <c r="AD1022" s="27">
        <v>2</v>
      </c>
      <c r="AE1022" s="27">
        <v>2</v>
      </c>
      <c r="AF1022" s="27">
        <v>6</v>
      </c>
      <c r="AG1022" s="27">
        <v>5</v>
      </c>
      <c r="AH1022" s="27">
        <v>1</v>
      </c>
      <c r="AI1022" s="28">
        <v>2</v>
      </c>
      <c r="AK1022" s="36">
        <v>989</v>
      </c>
      <c r="AL1022" s="33">
        <v>22</v>
      </c>
      <c r="AM1022" s="33">
        <v>2</v>
      </c>
      <c r="AN1022" s="33">
        <v>4</v>
      </c>
      <c r="AO1022" s="33">
        <v>3</v>
      </c>
      <c r="AP1022" s="33">
        <v>1</v>
      </c>
      <c r="AQ1022" s="33">
        <v>2</v>
      </c>
      <c r="AR1022" s="33">
        <v>2</v>
      </c>
      <c r="AS1022" s="33">
        <v>6</v>
      </c>
      <c r="AT1022" s="33">
        <v>3</v>
      </c>
      <c r="AU1022" s="43">
        <v>0.22203695628461237</v>
      </c>
      <c r="AV1022" s="33">
        <v>0</v>
      </c>
      <c r="AW1022" s="33">
        <v>0</v>
      </c>
      <c r="AY1022" s="36">
        <v>994</v>
      </c>
      <c r="AZ1022" s="33">
        <v>2</v>
      </c>
      <c r="BA1022" s="33">
        <v>3</v>
      </c>
      <c r="BB1022" s="33">
        <v>0</v>
      </c>
      <c r="BC1022" s="33">
        <v>0</v>
      </c>
      <c r="BD1022" s="43">
        <v>0.11690772887050198</v>
      </c>
      <c r="BE1022" s="33">
        <v>0</v>
      </c>
      <c r="BF1022" s="33">
        <v>0</v>
      </c>
      <c r="CE1022" s="36">
        <v>988</v>
      </c>
      <c r="CF1022" s="33">
        <v>2</v>
      </c>
      <c r="CG1022" s="33">
        <v>3</v>
      </c>
      <c r="CH1022" s="33">
        <v>2</v>
      </c>
      <c r="CI1022" s="33">
        <v>2</v>
      </c>
      <c r="CJ1022" s="33">
        <v>2</v>
      </c>
      <c r="CK1022" s="33">
        <v>0</v>
      </c>
      <c r="CL1022" s="33">
        <v>0</v>
      </c>
      <c r="CM1022" s="33">
        <v>3</v>
      </c>
      <c r="CN1022" s="33">
        <v>4</v>
      </c>
      <c r="CO1022" s="33">
        <v>3</v>
      </c>
      <c r="CP1022" s="43">
        <v>6.0071745906385011E-2</v>
      </c>
      <c r="CQ1022" s="33">
        <v>0</v>
      </c>
      <c r="CR1022" s="33">
        <v>0</v>
      </c>
    </row>
    <row r="1023" spans="1:96" ht="15" customHeight="1" x14ac:dyDescent="0.25">
      <c r="A1023" s="26">
        <v>1021</v>
      </c>
      <c r="B1023" s="27">
        <v>25</v>
      </c>
      <c r="C1023" s="27">
        <v>1</v>
      </c>
      <c r="D1023" s="27">
        <v>1</v>
      </c>
      <c r="E1023" s="27">
        <v>383</v>
      </c>
      <c r="F1023" s="27">
        <v>1</v>
      </c>
      <c r="G1023" s="27">
        <v>9</v>
      </c>
      <c r="H1023" s="27">
        <v>2</v>
      </c>
      <c r="I1023" s="27">
        <v>1</v>
      </c>
      <c r="J1023" s="27">
        <v>1</v>
      </c>
      <c r="K1023" s="27">
        <v>1439</v>
      </c>
      <c r="L1023" s="27">
        <v>1</v>
      </c>
      <c r="M1023" s="27">
        <v>1</v>
      </c>
      <c r="N1023" s="27">
        <v>68</v>
      </c>
      <c r="O1023" s="27">
        <v>2</v>
      </c>
      <c r="P1023" s="27">
        <v>1</v>
      </c>
      <c r="Q1023" s="27">
        <v>7</v>
      </c>
      <c r="R1023" s="27">
        <v>1</v>
      </c>
      <c r="S1023" s="27">
        <v>2</v>
      </c>
      <c r="T1023" s="27">
        <v>4400</v>
      </c>
      <c r="U1023" s="27">
        <v>15182</v>
      </c>
      <c r="V1023" s="27">
        <v>3</v>
      </c>
      <c r="W1023" s="27">
        <v>0</v>
      </c>
      <c r="X1023" s="27">
        <v>12</v>
      </c>
      <c r="Y1023" s="27">
        <v>3</v>
      </c>
      <c r="Z1023" s="27">
        <v>1</v>
      </c>
      <c r="AA1023" s="27">
        <v>80</v>
      </c>
      <c r="AB1023" s="27">
        <v>0</v>
      </c>
      <c r="AC1023" s="27">
        <v>6</v>
      </c>
      <c r="AD1023" s="27">
        <v>2</v>
      </c>
      <c r="AE1023" s="27">
        <v>3</v>
      </c>
      <c r="AF1023" s="27">
        <v>3</v>
      </c>
      <c r="AG1023" s="27">
        <v>2</v>
      </c>
      <c r="AH1023" s="27">
        <v>2</v>
      </c>
      <c r="AI1023" s="28">
        <v>2</v>
      </c>
      <c r="AK1023" s="36">
        <v>990</v>
      </c>
      <c r="AL1023" s="33">
        <v>4</v>
      </c>
      <c r="AM1023" s="33">
        <v>1</v>
      </c>
      <c r="AN1023" s="33">
        <v>3</v>
      </c>
      <c r="AO1023" s="33">
        <v>7</v>
      </c>
      <c r="AP1023" s="33">
        <v>1</v>
      </c>
      <c r="AQ1023" s="33">
        <v>0</v>
      </c>
      <c r="AR1023" s="33">
        <v>3</v>
      </c>
      <c r="AS1023" s="33">
        <v>6</v>
      </c>
      <c r="AT1023" s="33">
        <v>1</v>
      </c>
      <c r="AU1023" s="43">
        <v>0.49881950697397548</v>
      </c>
      <c r="AV1023" s="33">
        <v>0</v>
      </c>
      <c r="AW1023" s="33">
        <v>0</v>
      </c>
      <c r="AY1023" s="36">
        <v>995</v>
      </c>
      <c r="AZ1023" s="33">
        <v>4</v>
      </c>
      <c r="BA1023" s="33">
        <v>3</v>
      </c>
      <c r="BB1023" s="33">
        <v>1</v>
      </c>
      <c r="BC1023" s="33">
        <v>1</v>
      </c>
      <c r="BD1023" s="43">
        <v>9.8519683934659791E-2</v>
      </c>
      <c r="BE1023" s="33">
        <v>0</v>
      </c>
      <c r="BF1023" s="33">
        <v>0</v>
      </c>
      <c r="CE1023" s="36">
        <v>989</v>
      </c>
      <c r="CF1023" s="33">
        <v>22</v>
      </c>
      <c r="CG1023" s="33">
        <v>2</v>
      </c>
      <c r="CH1023" s="33">
        <v>4</v>
      </c>
      <c r="CI1023" s="33">
        <v>3</v>
      </c>
      <c r="CJ1023" s="33">
        <v>3</v>
      </c>
      <c r="CK1023" s="33">
        <v>1</v>
      </c>
      <c r="CL1023" s="33">
        <v>2</v>
      </c>
      <c r="CM1023" s="33">
        <v>2</v>
      </c>
      <c r="CN1023" s="33">
        <v>6</v>
      </c>
      <c r="CO1023" s="33">
        <v>3</v>
      </c>
      <c r="CP1023" s="43">
        <v>0.18843857594189758</v>
      </c>
      <c r="CQ1023" s="33">
        <v>0</v>
      </c>
      <c r="CR1023" s="33">
        <v>0</v>
      </c>
    </row>
    <row r="1024" spans="1:96" ht="15" customHeight="1" x14ac:dyDescent="0.25">
      <c r="A1024" s="26">
        <v>1022</v>
      </c>
      <c r="B1024" s="27">
        <v>37</v>
      </c>
      <c r="C1024" s="27">
        <v>0</v>
      </c>
      <c r="D1024" s="27">
        <v>3</v>
      </c>
      <c r="E1024" s="27">
        <v>1413</v>
      </c>
      <c r="F1024" s="27">
        <v>2</v>
      </c>
      <c r="G1024" s="27">
        <v>5</v>
      </c>
      <c r="H1024" s="27">
        <v>2</v>
      </c>
      <c r="I1024" s="27">
        <v>5</v>
      </c>
      <c r="J1024" s="27">
        <v>1</v>
      </c>
      <c r="K1024" s="27">
        <v>1440</v>
      </c>
      <c r="L1024" s="27">
        <v>3</v>
      </c>
      <c r="M1024" s="27">
        <v>1</v>
      </c>
      <c r="N1024" s="27">
        <v>84</v>
      </c>
      <c r="O1024" s="27">
        <v>4</v>
      </c>
      <c r="P1024" s="27">
        <v>1</v>
      </c>
      <c r="Q1024" s="27">
        <v>3</v>
      </c>
      <c r="R1024" s="27">
        <v>3</v>
      </c>
      <c r="S1024" s="27">
        <v>1</v>
      </c>
      <c r="T1024" s="27">
        <v>3500</v>
      </c>
      <c r="U1024" s="27">
        <v>25470</v>
      </c>
      <c r="V1024" s="27">
        <v>0</v>
      </c>
      <c r="W1024" s="27">
        <v>0</v>
      </c>
      <c r="X1024" s="27">
        <v>14</v>
      </c>
      <c r="Y1024" s="27">
        <v>3</v>
      </c>
      <c r="Z1024" s="27">
        <v>1</v>
      </c>
      <c r="AA1024" s="27">
        <v>80</v>
      </c>
      <c r="AB1024" s="27">
        <v>0</v>
      </c>
      <c r="AC1024" s="27">
        <v>7</v>
      </c>
      <c r="AD1024" s="27">
        <v>2</v>
      </c>
      <c r="AE1024" s="27">
        <v>1</v>
      </c>
      <c r="AF1024" s="27">
        <v>6</v>
      </c>
      <c r="AG1024" s="27">
        <v>5</v>
      </c>
      <c r="AH1024" s="27">
        <v>1</v>
      </c>
      <c r="AI1024" s="28">
        <v>3</v>
      </c>
      <c r="AK1024" s="36">
        <v>991</v>
      </c>
      <c r="AL1024" s="33">
        <v>5</v>
      </c>
      <c r="AM1024" s="33">
        <v>2</v>
      </c>
      <c r="AN1024" s="33">
        <v>4</v>
      </c>
      <c r="AO1024" s="33">
        <v>6</v>
      </c>
      <c r="AP1024" s="33">
        <v>0</v>
      </c>
      <c r="AQ1024" s="33">
        <v>0</v>
      </c>
      <c r="AR1024" s="33">
        <v>4</v>
      </c>
      <c r="AS1024" s="33">
        <v>5</v>
      </c>
      <c r="AT1024" s="33">
        <v>1</v>
      </c>
      <c r="AU1024" s="43">
        <v>7.3481765642578412E-2</v>
      </c>
      <c r="AV1024" s="33">
        <v>0</v>
      </c>
      <c r="AW1024" s="33">
        <v>0</v>
      </c>
      <c r="AY1024" s="36">
        <v>996</v>
      </c>
      <c r="AZ1024" s="33">
        <v>2</v>
      </c>
      <c r="BA1024" s="33">
        <v>3</v>
      </c>
      <c r="BB1024" s="33">
        <v>1</v>
      </c>
      <c r="BC1024" s="33">
        <v>0</v>
      </c>
      <c r="BD1024" s="43">
        <v>0.36139389867144694</v>
      </c>
      <c r="BE1024" s="33">
        <v>0</v>
      </c>
      <c r="BF1024" s="33">
        <v>0</v>
      </c>
      <c r="CE1024" s="36">
        <v>990</v>
      </c>
      <c r="CF1024" s="33">
        <v>4</v>
      </c>
      <c r="CG1024" s="33">
        <v>1</v>
      </c>
      <c r="CH1024" s="33">
        <v>3</v>
      </c>
      <c r="CI1024" s="33">
        <v>2</v>
      </c>
      <c r="CJ1024" s="33">
        <v>7</v>
      </c>
      <c r="CK1024" s="33">
        <v>1</v>
      </c>
      <c r="CL1024" s="33">
        <v>0</v>
      </c>
      <c r="CM1024" s="33">
        <v>3</v>
      </c>
      <c r="CN1024" s="33">
        <v>6</v>
      </c>
      <c r="CO1024" s="33">
        <v>1</v>
      </c>
      <c r="CP1024" s="43">
        <v>0.41377152787630134</v>
      </c>
      <c r="CQ1024" s="33">
        <v>0</v>
      </c>
      <c r="CR1024" s="33">
        <v>0</v>
      </c>
    </row>
    <row r="1025" spans="1:96" ht="15" customHeight="1" x14ac:dyDescent="0.25">
      <c r="A1025" s="26">
        <v>1023</v>
      </c>
      <c r="B1025" s="27">
        <v>56</v>
      </c>
      <c r="C1025" s="27">
        <v>0</v>
      </c>
      <c r="D1025" s="27">
        <v>1</v>
      </c>
      <c r="E1025" s="27">
        <v>1255</v>
      </c>
      <c r="F1025" s="27">
        <v>2</v>
      </c>
      <c r="G1025" s="27">
        <v>1</v>
      </c>
      <c r="H1025" s="27">
        <v>2</v>
      </c>
      <c r="I1025" s="27">
        <v>1</v>
      </c>
      <c r="J1025" s="27">
        <v>1</v>
      </c>
      <c r="K1025" s="27">
        <v>1441</v>
      </c>
      <c r="L1025" s="27">
        <v>1</v>
      </c>
      <c r="M1025" s="27">
        <v>0</v>
      </c>
      <c r="N1025" s="27">
        <v>90</v>
      </c>
      <c r="O1025" s="27">
        <v>3</v>
      </c>
      <c r="P1025" s="27">
        <v>1</v>
      </c>
      <c r="Q1025" s="27">
        <v>2</v>
      </c>
      <c r="R1025" s="27">
        <v>1</v>
      </c>
      <c r="S1025" s="27">
        <v>2</v>
      </c>
      <c r="T1025" s="27">
        <v>2066</v>
      </c>
      <c r="U1025" s="27">
        <v>10494</v>
      </c>
      <c r="V1025" s="27">
        <v>2</v>
      </c>
      <c r="W1025" s="27">
        <v>0</v>
      </c>
      <c r="X1025" s="27">
        <v>22</v>
      </c>
      <c r="Y1025" s="27">
        <v>4</v>
      </c>
      <c r="Z1025" s="27">
        <v>4</v>
      </c>
      <c r="AA1025" s="27">
        <v>80</v>
      </c>
      <c r="AB1025" s="27">
        <v>1</v>
      </c>
      <c r="AC1025" s="27">
        <v>5</v>
      </c>
      <c r="AD1025" s="27">
        <v>3</v>
      </c>
      <c r="AE1025" s="27">
        <v>4</v>
      </c>
      <c r="AF1025" s="27">
        <v>3</v>
      </c>
      <c r="AG1025" s="27">
        <v>2</v>
      </c>
      <c r="AH1025" s="27">
        <v>1</v>
      </c>
      <c r="AI1025" s="28">
        <v>0</v>
      </c>
      <c r="AK1025" s="36">
        <v>992</v>
      </c>
      <c r="AL1025" s="33">
        <v>2</v>
      </c>
      <c r="AM1025" s="33">
        <v>2</v>
      </c>
      <c r="AN1025" s="33">
        <v>2</v>
      </c>
      <c r="AO1025" s="33">
        <v>0</v>
      </c>
      <c r="AP1025" s="33">
        <v>1</v>
      </c>
      <c r="AQ1025" s="33">
        <v>3</v>
      </c>
      <c r="AR1025" s="33">
        <v>2</v>
      </c>
      <c r="AS1025" s="33">
        <v>3</v>
      </c>
      <c r="AT1025" s="33">
        <v>1</v>
      </c>
      <c r="AU1025" s="43">
        <v>0.1022956908742277</v>
      </c>
      <c r="AV1025" s="33">
        <v>0</v>
      </c>
      <c r="AW1025" s="33">
        <v>0</v>
      </c>
      <c r="AY1025" s="36">
        <v>997</v>
      </c>
      <c r="AZ1025" s="33">
        <v>2</v>
      </c>
      <c r="BA1025" s="33">
        <v>4</v>
      </c>
      <c r="BB1025" s="33">
        <v>1</v>
      </c>
      <c r="BC1025" s="33">
        <v>0</v>
      </c>
      <c r="BD1025" s="43">
        <v>0.29698480921718856</v>
      </c>
      <c r="BE1025" s="33">
        <v>0</v>
      </c>
      <c r="BF1025" s="33">
        <v>0</v>
      </c>
      <c r="CE1025" s="36">
        <v>991</v>
      </c>
      <c r="CF1025" s="33">
        <v>5</v>
      </c>
      <c r="CG1025" s="33">
        <v>2</v>
      </c>
      <c r="CH1025" s="33">
        <v>4</v>
      </c>
      <c r="CI1025" s="33">
        <v>2</v>
      </c>
      <c r="CJ1025" s="33">
        <v>6</v>
      </c>
      <c r="CK1025" s="33">
        <v>0</v>
      </c>
      <c r="CL1025" s="33">
        <v>0</v>
      </c>
      <c r="CM1025" s="33">
        <v>4</v>
      </c>
      <c r="CN1025" s="33">
        <v>5</v>
      </c>
      <c r="CO1025" s="33">
        <v>1</v>
      </c>
      <c r="CP1025" s="43">
        <v>5.0072975835672356E-2</v>
      </c>
      <c r="CQ1025" s="33">
        <v>0</v>
      </c>
      <c r="CR1025" s="33">
        <v>0</v>
      </c>
    </row>
    <row r="1026" spans="1:96" ht="15" customHeight="1" x14ac:dyDescent="0.25">
      <c r="A1026" s="26">
        <v>1024</v>
      </c>
      <c r="B1026" s="27">
        <v>47</v>
      </c>
      <c r="C1026" s="27">
        <v>0</v>
      </c>
      <c r="D1026" s="27">
        <v>1</v>
      </c>
      <c r="E1026" s="27">
        <v>359</v>
      </c>
      <c r="F1026" s="27">
        <v>2</v>
      </c>
      <c r="G1026" s="27">
        <v>2</v>
      </c>
      <c r="H1026" s="27">
        <v>4</v>
      </c>
      <c r="I1026" s="27">
        <v>3</v>
      </c>
      <c r="J1026" s="27">
        <v>1</v>
      </c>
      <c r="K1026" s="27">
        <v>1443</v>
      </c>
      <c r="L1026" s="27">
        <v>1</v>
      </c>
      <c r="M1026" s="27">
        <v>0</v>
      </c>
      <c r="N1026" s="27">
        <v>82</v>
      </c>
      <c r="O1026" s="27">
        <v>3</v>
      </c>
      <c r="P1026" s="27">
        <v>4</v>
      </c>
      <c r="Q1026" s="27">
        <v>8</v>
      </c>
      <c r="R1026" s="27">
        <v>3</v>
      </c>
      <c r="S1026" s="27">
        <v>2</v>
      </c>
      <c r="T1026" s="27">
        <v>17169</v>
      </c>
      <c r="U1026" s="27">
        <v>26703</v>
      </c>
      <c r="V1026" s="27">
        <v>3</v>
      </c>
      <c r="W1026" s="27">
        <v>0</v>
      </c>
      <c r="X1026" s="27">
        <v>19</v>
      </c>
      <c r="Y1026" s="27">
        <v>3</v>
      </c>
      <c r="Z1026" s="27">
        <v>2</v>
      </c>
      <c r="AA1026" s="27">
        <v>80</v>
      </c>
      <c r="AB1026" s="27">
        <v>2</v>
      </c>
      <c r="AC1026" s="27">
        <v>26</v>
      </c>
      <c r="AD1026" s="27">
        <v>2</v>
      </c>
      <c r="AE1026" s="27">
        <v>4</v>
      </c>
      <c r="AF1026" s="27">
        <v>20</v>
      </c>
      <c r="AG1026" s="27">
        <v>17</v>
      </c>
      <c r="AH1026" s="27">
        <v>5</v>
      </c>
      <c r="AI1026" s="28">
        <v>6</v>
      </c>
      <c r="AK1026" s="36">
        <v>993</v>
      </c>
      <c r="AL1026" s="33">
        <v>25</v>
      </c>
      <c r="AM1026" s="33">
        <v>3</v>
      </c>
      <c r="AN1026" s="33">
        <v>3</v>
      </c>
      <c r="AO1026" s="33">
        <v>3</v>
      </c>
      <c r="AP1026" s="33">
        <v>0</v>
      </c>
      <c r="AQ1026" s="33">
        <v>1</v>
      </c>
      <c r="AR1026" s="33">
        <v>3</v>
      </c>
      <c r="AS1026" s="33">
        <v>6</v>
      </c>
      <c r="AT1026" s="33">
        <v>0</v>
      </c>
      <c r="AU1026" s="43">
        <v>5.2489287111367265E-2</v>
      </c>
      <c r="AV1026" s="33">
        <v>0</v>
      </c>
      <c r="AW1026" s="33">
        <v>0</v>
      </c>
      <c r="AY1026" s="36">
        <v>998</v>
      </c>
      <c r="AZ1026" s="33">
        <v>1</v>
      </c>
      <c r="BA1026" s="33">
        <v>3</v>
      </c>
      <c r="BB1026" s="33">
        <v>1</v>
      </c>
      <c r="BC1026" s="33">
        <v>0</v>
      </c>
      <c r="BD1026" s="43">
        <v>0.49727340882350407</v>
      </c>
      <c r="BE1026" s="33">
        <v>0</v>
      </c>
      <c r="BF1026" s="33">
        <v>1</v>
      </c>
      <c r="CE1026" s="36">
        <v>992</v>
      </c>
      <c r="CF1026" s="33">
        <v>2</v>
      </c>
      <c r="CG1026" s="33">
        <v>2</v>
      </c>
      <c r="CH1026" s="33">
        <v>2</v>
      </c>
      <c r="CI1026" s="33">
        <v>2</v>
      </c>
      <c r="CJ1026" s="33">
        <v>0</v>
      </c>
      <c r="CK1026" s="33">
        <v>1</v>
      </c>
      <c r="CL1026" s="33">
        <v>3</v>
      </c>
      <c r="CM1026" s="33">
        <v>2</v>
      </c>
      <c r="CN1026" s="33">
        <v>3</v>
      </c>
      <c r="CO1026" s="33">
        <v>1</v>
      </c>
      <c r="CP1026" s="43">
        <v>0.19057464530841511</v>
      </c>
      <c r="CQ1026" s="33">
        <v>0</v>
      </c>
      <c r="CR1026" s="33">
        <v>0</v>
      </c>
    </row>
    <row r="1027" spans="1:96" ht="15" customHeight="1" x14ac:dyDescent="0.25">
      <c r="A1027" s="26">
        <v>1025</v>
      </c>
      <c r="B1027" s="27">
        <v>24</v>
      </c>
      <c r="C1027" s="27">
        <v>0</v>
      </c>
      <c r="D1027" s="27">
        <v>1</v>
      </c>
      <c r="E1027" s="27">
        <v>1476</v>
      </c>
      <c r="F1027" s="27">
        <v>1</v>
      </c>
      <c r="G1027" s="27">
        <v>4</v>
      </c>
      <c r="H1027" s="27">
        <v>1</v>
      </c>
      <c r="I1027" s="27">
        <v>3</v>
      </c>
      <c r="J1027" s="27">
        <v>1</v>
      </c>
      <c r="K1027" s="27">
        <v>1445</v>
      </c>
      <c r="L1027" s="27">
        <v>4</v>
      </c>
      <c r="M1027" s="27">
        <v>0</v>
      </c>
      <c r="N1027" s="27">
        <v>42</v>
      </c>
      <c r="O1027" s="27">
        <v>3</v>
      </c>
      <c r="P1027" s="27">
        <v>2</v>
      </c>
      <c r="Q1027" s="27">
        <v>1</v>
      </c>
      <c r="R1027" s="27">
        <v>3</v>
      </c>
      <c r="S1027" s="27">
        <v>2</v>
      </c>
      <c r="T1027" s="27">
        <v>4162</v>
      </c>
      <c r="U1027" s="27">
        <v>15211</v>
      </c>
      <c r="V1027" s="27">
        <v>1</v>
      </c>
      <c r="W1027" s="27">
        <v>1</v>
      </c>
      <c r="X1027" s="27">
        <v>12</v>
      </c>
      <c r="Y1027" s="27">
        <v>3</v>
      </c>
      <c r="Z1027" s="27">
        <v>3</v>
      </c>
      <c r="AA1027" s="27">
        <v>80</v>
      </c>
      <c r="AB1027" s="27">
        <v>2</v>
      </c>
      <c r="AC1027" s="27">
        <v>5</v>
      </c>
      <c r="AD1027" s="27">
        <v>3</v>
      </c>
      <c r="AE1027" s="27">
        <v>3</v>
      </c>
      <c r="AF1027" s="27">
        <v>5</v>
      </c>
      <c r="AG1027" s="27">
        <v>4</v>
      </c>
      <c r="AH1027" s="27">
        <v>0</v>
      </c>
      <c r="AI1027" s="28">
        <v>3</v>
      </c>
      <c r="AK1027" s="36">
        <v>994</v>
      </c>
      <c r="AL1027" s="33">
        <v>18</v>
      </c>
      <c r="AM1027" s="33">
        <v>2</v>
      </c>
      <c r="AN1027" s="33">
        <v>3</v>
      </c>
      <c r="AO1027" s="33">
        <v>2</v>
      </c>
      <c r="AP1027" s="33">
        <v>0</v>
      </c>
      <c r="AQ1027" s="33">
        <v>0</v>
      </c>
      <c r="AR1027" s="33">
        <v>2</v>
      </c>
      <c r="AS1027" s="33">
        <v>3</v>
      </c>
      <c r="AT1027" s="33">
        <v>1</v>
      </c>
      <c r="AU1027" s="43">
        <v>0.17773602208633571</v>
      </c>
      <c r="AV1027" s="33">
        <v>0</v>
      </c>
      <c r="AW1027" s="33">
        <v>0</v>
      </c>
      <c r="AY1027" s="36">
        <v>999</v>
      </c>
      <c r="AZ1027" s="33">
        <v>1</v>
      </c>
      <c r="BA1027" s="33">
        <v>4</v>
      </c>
      <c r="BB1027" s="33">
        <v>0</v>
      </c>
      <c r="BC1027" s="33">
        <v>0</v>
      </c>
      <c r="BD1027" s="43">
        <v>0.1472907617042678</v>
      </c>
      <c r="BE1027" s="33">
        <v>0</v>
      </c>
      <c r="BF1027" s="33">
        <v>0</v>
      </c>
      <c r="CE1027" s="36">
        <v>993</v>
      </c>
      <c r="CF1027" s="33">
        <v>25</v>
      </c>
      <c r="CG1027" s="33">
        <v>3</v>
      </c>
      <c r="CH1027" s="33">
        <v>3</v>
      </c>
      <c r="CI1027" s="33">
        <v>2</v>
      </c>
      <c r="CJ1027" s="33">
        <v>3</v>
      </c>
      <c r="CK1027" s="33">
        <v>0</v>
      </c>
      <c r="CL1027" s="33">
        <v>1</v>
      </c>
      <c r="CM1027" s="33">
        <v>3</v>
      </c>
      <c r="CN1027" s="33">
        <v>6</v>
      </c>
      <c r="CO1027" s="33">
        <v>0</v>
      </c>
      <c r="CP1027" s="43">
        <v>5.0872817187848932E-2</v>
      </c>
      <c r="CQ1027" s="33">
        <v>0</v>
      </c>
      <c r="CR1027" s="33">
        <v>0</v>
      </c>
    </row>
    <row r="1028" spans="1:96" ht="15" customHeight="1" x14ac:dyDescent="0.25">
      <c r="A1028" s="26">
        <v>1026</v>
      </c>
      <c r="B1028" s="27">
        <v>32</v>
      </c>
      <c r="C1028" s="27">
        <v>0</v>
      </c>
      <c r="D1028" s="27">
        <v>1</v>
      </c>
      <c r="E1028" s="27">
        <v>601</v>
      </c>
      <c r="F1028" s="27">
        <v>1</v>
      </c>
      <c r="G1028" s="27">
        <v>7</v>
      </c>
      <c r="H1028" s="27">
        <v>5</v>
      </c>
      <c r="I1028" s="27">
        <v>4</v>
      </c>
      <c r="J1028" s="27">
        <v>1</v>
      </c>
      <c r="K1028" s="27">
        <v>1446</v>
      </c>
      <c r="L1028" s="27">
        <v>4</v>
      </c>
      <c r="M1028" s="27">
        <v>1</v>
      </c>
      <c r="N1028" s="27">
        <v>97</v>
      </c>
      <c r="O1028" s="27">
        <v>3</v>
      </c>
      <c r="P1028" s="27">
        <v>2</v>
      </c>
      <c r="Q1028" s="27">
        <v>1</v>
      </c>
      <c r="R1028" s="27">
        <v>4</v>
      </c>
      <c r="S1028" s="27">
        <v>2</v>
      </c>
      <c r="T1028" s="27">
        <v>9204</v>
      </c>
      <c r="U1028" s="27">
        <v>23343</v>
      </c>
      <c r="V1028" s="27">
        <v>4</v>
      </c>
      <c r="W1028" s="27">
        <v>0</v>
      </c>
      <c r="X1028" s="27">
        <v>12</v>
      </c>
      <c r="Y1028" s="27">
        <v>3</v>
      </c>
      <c r="Z1028" s="27">
        <v>3</v>
      </c>
      <c r="AA1028" s="27">
        <v>80</v>
      </c>
      <c r="AB1028" s="27">
        <v>1</v>
      </c>
      <c r="AC1028" s="27">
        <v>7</v>
      </c>
      <c r="AD1028" s="27">
        <v>3</v>
      </c>
      <c r="AE1028" s="27">
        <v>2</v>
      </c>
      <c r="AF1028" s="27">
        <v>4</v>
      </c>
      <c r="AG1028" s="27">
        <v>3</v>
      </c>
      <c r="AH1028" s="27">
        <v>0</v>
      </c>
      <c r="AI1028" s="28">
        <v>3</v>
      </c>
      <c r="AK1028" s="36">
        <v>995</v>
      </c>
      <c r="AL1028" s="33">
        <v>28</v>
      </c>
      <c r="AM1028" s="33">
        <v>4</v>
      </c>
      <c r="AN1028" s="33">
        <v>3</v>
      </c>
      <c r="AO1028" s="33">
        <v>2</v>
      </c>
      <c r="AP1028" s="33">
        <v>1</v>
      </c>
      <c r="AQ1028" s="33">
        <v>1</v>
      </c>
      <c r="AR1028" s="33">
        <v>2</v>
      </c>
      <c r="AS1028" s="33">
        <v>5</v>
      </c>
      <c r="AT1028" s="33">
        <v>0</v>
      </c>
      <c r="AU1028" s="43">
        <v>0.16138456918522207</v>
      </c>
      <c r="AV1028" s="33">
        <v>0</v>
      </c>
      <c r="AW1028" s="33">
        <v>0</v>
      </c>
      <c r="AY1028" s="36">
        <v>1000</v>
      </c>
      <c r="AZ1028" s="33">
        <v>4</v>
      </c>
      <c r="BA1028" s="33">
        <v>1</v>
      </c>
      <c r="BB1028" s="33">
        <v>0</v>
      </c>
      <c r="BC1028" s="33">
        <v>1</v>
      </c>
      <c r="BD1028" s="43">
        <v>4.3866321508597754E-2</v>
      </c>
      <c r="BE1028" s="33">
        <v>0</v>
      </c>
      <c r="BF1028" s="33">
        <v>0</v>
      </c>
      <c r="CE1028" s="36">
        <v>994</v>
      </c>
      <c r="CF1028" s="33">
        <v>18</v>
      </c>
      <c r="CG1028" s="33">
        <v>2</v>
      </c>
      <c r="CH1028" s="33">
        <v>3</v>
      </c>
      <c r="CI1028" s="33">
        <v>2</v>
      </c>
      <c r="CJ1028" s="33">
        <v>2</v>
      </c>
      <c r="CK1028" s="33">
        <v>0</v>
      </c>
      <c r="CL1028" s="33">
        <v>0</v>
      </c>
      <c r="CM1028" s="33">
        <v>2</v>
      </c>
      <c r="CN1028" s="33">
        <v>3</v>
      </c>
      <c r="CO1028" s="33">
        <v>1</v>
      </c>
      <c r="CP1028" s="43">
        <v>0.13027433286736531</v>
      </c>
      <c r="CQ1028" s="33">
        <v>0</v>
      </c>
      <c r="CR1028" s="33">
        <v>0</v>
      </c>
    </row>
    <row r="1029" spans="1:96" ht="15" customHeight="1" x14ac:dyDescent="0.25">
      <c r="A1029" s="26">
        <v>1027</v>
      </c>
      <c r="B1029" s="27">
        <v>34</v>
      </c>
      <c r="C1029" s="27">
        <v>0</v>
      </c>
      <c r="D1029" s="27">
        <v>1</v>
      </c>
      <c r="E1029" s="27">
        <v>401</v>
      </c>
      <c r="F1029" s="27">
        <v>2</v>
      </c>
      <c r="G1029" s="27">
        <v>1</v>
      </c>
      <c r="H1029" s="27">
        <v>3</v>
      </c>
      <c r="I1029" s="27">
        <v>1</v>
      </c>
      <c r="J1029" s="27">
        <v>1</v>
      </c>
      <c r="K1029" s="27">
        <v>1447</v>
      </c>
      <c r="L1029" s="27">
        <v>4</v>
      </c>
      <c r="M1029" s="27">
        <v>0</v>
      </c>
      <c r="N1029" s="27">
        <v>86</v>
      </c>
      <c r="O1029" s="27">
        <v>2</v>
      </c>
      <c r="P1029" s="27">
        <v>1</v>
      </c>
      <c r="Q1029" s="27">
        <v>3</v>
      </c>
      <c r="R1029" s="27">
        <v>2</v>
      </c>
      <c r="S1029" s="27">
        <v>2</v>
      </c>
      <c r="T1029" s="27">
        <v>3294</v>
      </c>
      <c r="U1029" s="27">
        <v>3708</v>
      </c>
      <c r="V1029" s="27">
        <v>5</v>
      </c>
      <c r="W1029" s="27">
        <v>0</v>
      </c>
      <c r="X1029" s="27">
        <v>17</v>
      </c>
      <c r="Y1029" s="27">
        <v>3</v>
      </c>
      <c r="Z1029" s="27">
        <v>1</v>
      </c>
      <c r="AA1029" s="27">
        <v>80</v>
      </c>
      <c r="AB1029" s="27">
        <v>1</v>
      </c>
      <c r="AC1029" s="27">
        <v>7</v>
      </c>
      <c r="AD1029" s="27">
        <v>2</v>
      </c>
      <c r="AE1029" s="27">
        <v>2</v>
      </c>
      <c r="AF1029" s="27">
        <v>5</v>
      </c>
      <c r="AG1029" s="27">
        <v>4</v>
      </c>
      <c r="AH1029" s="27">
        <v>0</v>
      </c>
      <c r="AI1029" s="28">
        <v>2</v>
      </c>
      <c r="AK1029" s="36">
        <v>996</v>
      </c>
      <c r="AL1029" s="33">
        <v>6</v>
      </c>
      <c r="AM1029" s="33">
        <v>2</v>
      </c>
      <c r="AN1029" s="33">
        <v>3</v>
      </c>
      <c r="AO1029" s="33">
        <v>1</v>
      </c>
      <c r="AP1029" s="33">
        <v>1</v>
      </c>
      <c r="AQ1029" s="33">
        <v>0</v>
      </c>
      <c r="AR1029" s="33">
        <v>1</v>
      </c>
      <c r="AS1029" s="33">
        <v>20</v>
      </c>
      <c r="AT1029" s="33">
        <v>1</v>
      </c>
      <c r="AU1029" s="43">
        <v>0.17692020039890102</v>
      </c>
      <c r="AV1029" s="33">
        <v>0</v>
      </c>
      <c r="AW1029" s="33">
        <v>0</v>
      </c>
      <c r="AY1029" s="36">
        <v>1001</v>
      </c>
      <c r="AZ1029" s="33">
        <v>1</v>
      </c>
      <c r="BA1029" s="33">
        <v>1</v>
      </c>
      <c r="BB1029" s="33">
        <v>0</v>
      </c>
      <c r="BC1029" s="33">
        <v>0</v>
      </c>
      <c r="BD1029" s="43">
        <v>0.29341085656570393</v>
      </c>
      <c r="BE1029" s="33">
        <v>0</v>
      </c>
      <c r="BF1029" s="33">
        <v>0</v>
      </c>
      <c r="CE1029" s="36">
        <v>995</v>
      </c>
      <c r="CF1029" s="33">
        <v>28</v>
      </c>
      <c r="CG1029" s="33">
        <v>4</v>
      </c>
      <c r="CH1029" s="33">
        <v>3</v>
      </c>
      <c r="CI1029" s="33">
        <v>2</v>
      </c>
      <c r="CJ1029" s="33">
        <v>2</v>
      </c>
      <c r="CK1029" s="33">
        <v>1</v>
      </c>
      <c r="CL1029" s="33">
        <v>1</v>
      </c>
      <c r="CM1029" s="33">
        <v>2</v>
      </c>
      <c r="CN1029" s="33">
        <v>5</v>
      </c>
      <c r="CO1029" s="33">
        <v>0</v>
      </c>
      <c r="CP1029" s="43">
        <v>0.1658998699185297</v>
      </c>
      <c r="CQ1029" s="33">
        <v>0</v>
      </c>
      <c r="CR1029" s="33">
        <v>0</v>
      </c>
    </row>
    <row r="1030" spans="1:96" ht="15" customHeight="1" x14ac:dyDescent="0.25">
      <c r="A1030" s="26">
        <v>1028</v>
      </c>
      <c r="B1030" s="27">
        <v>41</v>
      </c>
      <c r="C1030" s="27">
        <v>0</v>
      </c>
      <c r="D1030" s="27">
        <v>1</v>
      </c>
      <c r="E1030" s="27">
        <v>1283</v>
      </c>
      <c r="F1030" s="27">
        <v>2</v>
      </c>
      <c r="G1030" s="27">
        <v>5</v>
      </c>
      <c r="H1030" s="27">
        <v>5</v>
      </c>
      <c r="I1030" s="27">
        <v>3</v>
      </c>
      <c r="J1030" s="27">
        <v>1</v>
      </c>
      <c r="K1030" s="27">
        <v>1448</v>
      </c>
      <c r="L1030" s="27">
        <v>2</v>
      </c>
      <c r="M1030" s="27">
        <v>1</v>
      </c>
      <c r="N1030" s="27">
        <v>90</v>
      </c>
      <c r="O1030" s="27">
        <v>4</v>
      </c>
      <c r="P1030" s="27">
        <v>1</v>
      </c>
      <c r="Q1030" s="27">
        <v>2</v>
      </c>
      <c r="R1030" s="27">
        <v>3</v>
      </c>
      <c r="S1030" s="27">
        <v>2</v>
      </c>
      <c r="T1030" s="27">
        <v>2127</v>
      </c>
      <c r="U1030" s="27">
        <v>5561</v>
      </c>
      <c r="V1030" s="27">
        <v>2</v>
      </c>
      <c r="W1030" s="27">
        <v>1</v>
      </c>
      <c r="X1030" s="27">
        <v>12</v>
      </c>
      <c r="Y1030" s="27">
        <v>3</v>
      </c>
      <c r="Z1030" s="27">
        <v>1</v>
      </c>
      <c r="AA1030" s="27">
        <v>80</v>
      </c>
      <c r="AB1030" s="27">
        <v>0</v>
      </c>
      <c r="AC1030" s="27">
        <v>7</v>
      </c>
      <c r="AD1030" s="27">
        <v>5</v>
      </c>
      <c r="AE1030" s="27">
        <v>2</v>
      </c>
      <c r="AF1030" s="27">
        <v>4</v>
      </c>
      <c r="AG1030" s="27">
        <v>2</v>
      </c>
      <c r="AH1030" s="27">
        <v>0</v>
      </c>
      <c r="AI1030" s="28">
        <v>3</v>
      </c>
      <c r="AK1030" s="36">
        <v>997</v>
      </c>
      <c r="AL1030" s="33">
        <v>10</v>
      </c>
      <c r="AM1030" s="33">
        <v>2</v>
      </c>
      <c r="AN1030" s="33">
        <v>4</v>
      </c>
      <c r="AO1030" s="33">
        <v>1</v>
      </c>
      <c r="AP1030" s="33">
        <v>1</v>
      </c>
      <c r="AQ1030" s="33">
        <v>0</v>
      </c>
      <c r="AR1030" s="33">
        <v>3</v>
      </c>
      <c r="AS1030" s="33">
        <v>6</v>
      </c>
      <c r="AT1030" s="33">
        <v>4</v>
      </c>
      <c r="AU1030" s="43">
        <v>0.30780856221687397</v>
      </c>
      <c r="AV1030" s="33">
        <v>0</v>
      </c>
      <c r="AW1030" s="33">
        <v>0</v>
      </c>
      <c r="AY1030" s="36">
        <v>1002</v>
      </c>
      <c r="AZ1030" s="33">
        <v>1</v>
      </c>
      <c r="BA1030" s="33">
        <v>3</v>
      </c>
      <c r="BB1030" s="33">
        <v>0</v>
      </c>
      <c r="BC1030" s="33">
        <v>0</v>
      </c>
      <c r="BD1030" s="43">
        <v>0.18791247240909698</v>
      </c>
      <c r="BE1030" s="33">
        <v>0</v>
      </c>
      <c r="BF1030" s="33">
        <v>0</v>
      </c>
      <c r="CE1030" s="36">
        <v>996</v>
      </c>
      <c r="CF1030" s="33">
        <v>6</v>
      </c>
      <c r="CG1030" s="33">
        <v>2</v>
      </c>
      <c r="CH1030" s="33">
        <v>3</v>
      </c>
      <c r="CI1030" s="33">
        <v>1</v>
      </c>
      <c r="CJ1030" s="33">
        <v>1</v>
      </c>
      <c r="CK1030" s="33">
        <v>1</v>
      </c>
      <c r="CL1030" s="33">
        <v>0</v>
      </c>
      <c r="CM1030" s="33">
        <v>1</v>
      </c>
      <c r="CN1030" s="33">
        <v>20</v>
      </c>
      <c r="CO1030" s="33">
        <v>1</v>
      </c>
      <c r="CP1030" s="43">
        <v>0.2141660635459883</v>
      </c>
      <c r="CQ1030" s="33">
        <v>0</v>
      </c>
      <c r="CR1030" s="33">
        <v>0</v>
      </c>
    </row>
    <row r="1031" spans="1:96" ht="15" customHeight="1" x14ac:dyDescent="0.25">
      <c r="A1031" s="26">
        <v>1029</v>
      </c>
      <c r="B1031" s="27">
        <v>40</v>
      </c>
      <c r="C1031" s="27">
        <v>0</v>
      </c>
      <c r="D1031" s="27">
        <v>3</v>
      </c>
      <c r="E1031" s="27">
        <v>663</v>
      </c>
      <c r="F1031" s="27">
        <v>2</v>
      </c>
      <c r="G1031" s="27">
        <v>9</v>
      </c>
      <c r="H1031" s="27">
        <v>4</v>
      </c>
      <c r="I1031" s="27">
        <v>6</v>
      </c>
      <c r="J1031" s="27">
        <v>1</v>
      </c>
      <c r="K1031" s="27">
        <v>1449</v>
      </c>
      <c r="L1031" s="27">
        <v>3</v>
      </c>
      <c r="M1031" s="27">
        <v>1</v>
      </c>
      <c r="N1031" s="27">
        <v>81</v>
      </c>
      <c r="O1031" s="27">
        <v>3</v>
      </c>
      <c r="P1031" s="27">
        <v>2</v>
      </c>
      <c r="Q1031" s="27">
        <v>3</v>
      </c>
      <c r="R1031" s="27">
        <v>3</v>
      </c>
      <c r="S1031" s="27">
        <v>3</v>
      </c>
      <c r="T1031" s="27">
        <v>3975</v>
      </c>
      <c r="U1031" s="27">
        <v>23099</v>
      </c>
      <c r="V1031" s="27">
        <v>3</v>
      </c>
      <c r="W1031" s="27">
        <v>0</v>
      </c>
      <c r="X1031" s="27">
        <v>11</v>
      </c>
      <c r="Y1031" s="27">
        <v>3</v>
      </c>
      <c r="Z1031" s="27">
        <v>3</v>
      </c>
      <c r="AA1031" s="27">
        <v>80</v>
      </c>
      <c r="AB1031" s="27">
        <v>2</v>
      </c>
      <c r="AC1031" s="27">
        <v>11</v>
      </c>
      <c r="AD1031" s="27">
        <v>2</v>
      </c>
      <c r="AE1031" s="27">
        <v>4</v>
      </c>
      <c r="AF1031" s="27">
        <v>8</v>
      </c>
      <c r="AG1031" s="27">
        <v>7</v>
      </c>
      <c r="AH1031" s="27">
        <v>0</v>
      </c>
      <c r="AI1031" s="28">
        <v>7</v>
      </c>
      <c r="AK1031" s="36">
        <v>998</v>
      </c>
      <c r="AL1031" s="33">
        <v>17</v>
      </c>
      <c r="AM1031" s="33">
        <v>1</v>
      </c>
      <c r="AN1031" s="33">
        <v>3</v>
      </c>
      <c r="AO1031" s="33">
        <v>1</v>
      </c>
      <c r="AP1031" s="33">
        <v>1</v>
      </c>
      <c r="AQ1031" s="33">
        <v>0</v>
      </c>
      <c r="AR1031" s="33">
        <v>3</v>
      </c>
      <c r="AS1031" s="33">
        <v>8</v>
      </c>
      <c r="AT1031" s="33">
        <v>7</v>
      </c>
      <c r="AU1031" s="43">
        <v>0.61408463928848811</v>
      </c>
      <c r="AV1031" s="33">
        <v>1</v>
      </c>
      <c r="AW1031" s="33">
        <v>1</v>
      </c>
      <c r="AY1031" s="36">
        <v>1003</v>
      </c>
      <c r="AZ1031" s="33">
        <v>3</v>
      </c>
      <c r="BA1031" s="33">
        <v>4</v>
      </c>
      <c r="BB1031" s="33">
        <v>0</v>
      </c>
      <c r="BC1031" s="33">
        <v>0</v>
      </c>
      <c r="BD1031" s="43">
        <v>5.3512841598087578E-2</v>
      </c>
      <c r="BE1031" s="33">
        <v>0</v>
      </c>
      <c r="BF1031" s="33">
        <v>0</v>
      </c>
      <c r="CE1031" s="36">
        <v>997</v>
      </c>
      <c r="CF1031" s="33">
        <v>10</v>
      </c>
      <c r="CG1031" s="33">
        <v>2</v>
      </c>
      <c r="CH1031" s="33">
        <v>4</v>
      </c>
      <c r="CI1031" s="33">
        <v>2</v>
      </c>
      <c r="CJ1031" s="33">
        <v>1</v>
      </c>
      <c r="CK1031" s="33">
        <v>1</v>
      </c>
      <c r="CL1031" s="33">
        <v>0</v>
      </c>
      <c r="CM1031" s="33">
        <v>3</v>
      </c>
      <c r="CN1031" s="33">
        <v>6</v>
      </c>
      <c r="CO1031" s="33">
        <v>4</v>
      </c>
      <c r="CP1031" s="43">
        <v>0.23812471730878546</v>
      </c>
      <c r="CQ1031" s="33">
        <v>0</v>
      </c>
      <c r="CR1031" s="33">
        <v>0</v>
      </c>
    </row>
    <row r="1032" spans="1:96" ht="15" customHeight="1" x14ac:dyDescent="0.25">
      <c r="A1032" s="26">
        <v>1030</v>
      </c>
      <c r="B1032" s="27">
        <v>31</v>
      </c>
      <c r="C1032" s="27">
        <v>0</v>
      </c>
      <c r="D1032" s="27">
        <v>1</v>
      </c>
      <c r="E1032" s="27">
        <v>326</v>
      </c>
      <c r="F1032" s="27">
        <v>1</v>
      </c>
      <c r="G1032" s="27">
        <v>8</v>
      </c>
      <c r="H1032" s="27">
        <v>2</v>
      </c>
      <c r="I1032" s="27">
        <v>1</v>
      </c>
      <c r="J1032" s="27">
        <v>1</v>
      </c>
      <c r="K1032" s="27">
        <v>1453</v>
      </c>
      <c r="L1032" s="27">
        <v>1</v>
      </c>
      <c r="M1032" s="27">
        <v>1</v>
      </c>
      <c r="N1032" s="27">
        <v>31</v>
      </c>
      <c r="O1032" s="27">
        <v>3</v>
      </c>
      <c r="P1032" s="27">
        <v>3</v>
      </c>
      <c r="Q1032" s="27">
        <v>1</v>
      </c>
      <c r="R1032" s="27">
        <v>4</v>
      </c>
      <c r="S1032" s="27">
        <v>3</v>
      </c>
      <c r="T1032" s="27">
        <v>10793</v>
      </c>
      <c r="U1032" s="27">
        <v>8386</v>
      </c>
      <c r="V1032" s="27">
        <v>1</v>
      </c>
      <c r="W1032" s="27">
        <v>0</v>
      </c>
      <c r="X1032" s="27">
        <v>18</v>
      </c>
      <c r="Y1032" s="27">
        <v>3</v>
      </c>
      <c r="Z1032" s="27">
        <v>1</v>
      </c>
      <c r="AA1032" s="27">
        <v>80</v>
      </c>
      <c r="AB1032" s="27">
        <v>1</v>
      </c>
      <c r="AC1032" s="27">
        <v>13</v>
      </c>
      <c r="AD1032" s="27">
        <v>5</v>
      </c>
      <c r="AE1032" s="27">
        <v>3</v>
      </c>
      <c r="AF1032" s="27">
        <v>13</v>
      </c>
      <c r="AG1032" s="27">
        <v>7</v>
      </c>
      <c r="AH1032" s="27">
        <v>9</v>
      </c>
      <c r="AI1032" s="28">
        <v>9</v>
      </c>
      <c r="AK1032" s="36">
        <v>999</v>
      </c>
      <c r="AL1032" s="33">
        <v>2</v>
      </c>
      <c r="AM1032" s="33">
        <v>1</v>
      </c>
      <c r="AN1032" s="33">
        <v>4</v>
      </c>
      <c r="AO1032" s="33">
        <v>0</v>
      </c>
      <c r="AP1032" s="33">
        <v>0</v>
      </c>
      <c r="AQ1032" s="33">
        <v>0</v>
      </c>
      <c r="AR1032" s="33">
        <v>3</v>
      </c>
      <c r="AS1032" s="33">
        <v>4</v>
      </c>
      <c r="AT1032" s="33">
        <v>1</v>
      </c>
      <c r="AU1032" s="43">
        <v>9.2540564516080018E-2</v>
      </c>
      <c r="AV1032" s="33">
        <v>0</v>
      </c>
      <c r="AW1032" s="33">
        <v>0</v>
      </c>
      <c r="AY1032" s="36">
        <v>1004</v>
      </c>
      <c r="AZ1032" s="33">
        <v>1</v>
      </c>
      <c r="BA1032" s="33">
        <v>4</v>
      </c>
      <c r="BB1032" s="33">
        <v>0</v>
      </c>
      <c r="BC1032" s="33">
        <v>1</v>
      </c>
      <c r="BD1032" s="43">
        <v>9.2486413274924434E-2</v>
      </c>
      <c r="BE1032" s="33">
        <v>0</v>
      </c>
      <c r="BF1032" s="33">
        <v>0</v>
      </c>
      <c r="CE1032" s="36">
        <v>998</v>
      </c>
      <c r="CF1032" s="33">
        <v>17</v>
      </c>
      <c r="CG1032" s="33">
        <v>1</v>
      </c>
      <c r="CH1032" s="33">
        <v>3</v>
      </c>
      <c r="CI1032" s="33">
        <v>1</v>
      </c>
      <c r="CJ1032" s="33">
        <v>1</v>
      </c>
      <c r="CK1032" s="33">
        <v>1</v>
      </c>
      <c r="CL1032" s="33">
        <v>0</v>
      </c>
      <c r="CM1032" s="33">
        <v>3</v>
      </c>
      <c r="CN1032" s="33">
        <v>8</v>
      </c>
      <c r="CO1032" s="33">
        <v>7</v>
      </c>
      <c r="CP1032" s="43">
        <v>0.66348290012048083</v>
      </c>
      <c r="CQ1032" s="33">
        <v>1</v>
      </c>
      <c r="CR1032" s="33">
        <v>1</v>
      </c>
    </row>
    <row r="1033" spans="1:96" ht="15" customHeight="1" x14ac:dyDescent="0.25">
      <c r="A1033" s="26">
        <v>1031</v>
      </c>
      <c r="B1033" s="27">
        <v>46</v>
      </c>
      <c r="C1033" s="27">
        <v>1</v>
      </c>
      <c r="D1033" s="27">
        <v>1</v>
      </c>
      <c r="E1033" s="27">
        <v>377</v>
      </c>
      <c r="F1033" s="27">
        <v>1</v>
      </c>
      <c r="G1033" s="27">
        <v>9</v>
      </c>
      <c r="H1033" s="27">
        <v>3</v>
      </c>
      <c r="I1033" s="27">
        <v>4</v>
      </c>
      <c r="J1033" s="27">
        <v>1</v>
      </c>
      <c r="K1033" s="27">
        <v>1457</v>
      </c>
      <c r="L1033" s="27">
        <v>1</v>
      </c>
      <c r="M1033" s="27">
        <v>1</v>
      </c>
      <c r="N1033" s="27">
        <v>52</v>
      </c>
      <c r="O1033" s="27">
        <v>3</v>
      </c>
      <c r="P1033" s="27">
        <v>3</v>
      </c>
      <c r="Q1033" s="27">
        <v>1</v>
      </c>
      <c r="R1033" s="27">
        <v>4</v>
      </c>
      <c r="S1033" s="27">
        <v>3</v>
      </c>
      <c r="T1033" s="27">
        <v>10096</v>
      </c>
      <c r="U1033" s="27">
        <v>15986</v>
      </c>
      <c r="V1033" s="27">
        <v>4</v>
      </c>
      <c r="W1033" s="27">
        <v>0</v>
      </c>
      <c r="X1033" s="27">
        <v>11</v>
      </c>
      <c r="Y1033" s="27">
        <v>3</v>
      </c>
      <c r="Z1033" s="27">
        <v>1</v>
      </c>
      <c r="AA1033" s="27">
        <v>80</v>
      </c>
      <c r="AB1033" s="27">
        <v>1</v>
      </c>
      <c r="AC1033" s="27">
        <v>28</v>
      </c>
      <c r="AD1033" s="27">
        <v>1</v>
      </c>
      <c r="AE1033" s="27">
        <v>4</v>
      </c>
      <c r="AF1033" s="27">
        <v>7</v>
      </c>
      <c r="AG1033" s="27">
        <v>7</v>
      </c>
      <c r="AH1033" s="27">
        <v>4</v>
      </c>
      <c r="AI1033" s="28">
        <v>3</v>
      </c>
      <c r="AK1033" s="36">
        <v>1000</v>
      </c>
      <c r="AL1033" s="33">
        <v>10</v>
      </c>
      <c r="AM1033" s="33">
        <v>4</v>
      </c>
      <c r="AN1033" s="33">
        <v>1</v>
      </c>
      <c r="AO1033" s="33">
        <v>0</v>
      </c>
      <c r="AP1033" s="33">
        <v>0</v>
      </c>
      <c r="AQ1033" s="33">
        <v>1</v>
      </c>
      <c r="AR1033" s="33">
        <v>3</v>
      </c>
      <c r="AS1033" s="33">
        <v>20</v>
      </c>
      <c r="AT1033" s="33">
        <v>0</v>
      </c>
      <c r="AU1033" s="43">
        <v>9.6917807128042068E-3</v>
      </c>
      <c r="AV1033" s="33">
        <v>0</v>
      </c>
      <c r="AW1033" s="33">
        <v>0</v>
      </c>
      <c r="AY1033" s="36">
        <v>1005</v>
      </c>
      <c r="AZ1033" s="33">
        <v>1</v>
      </c>
      <c r="BA1033" s="33">
        <v>1</v>
      </c>
      <c r="BB1033" s="33">
        <v>0</v>
      </c>
      <c r="BC1033" s="33">
        <v>0</v>
      </c>
      <c r="BD1033" s="43">
        <v>0.29341085656570393</v>
      </c>
      <c r="BE1033" s="33">
        <v>0</v>
      </c>
      <c r="BF1033" s="33">
        <v>0</v>
      </c>
      <c r="CE1033" s="36">
        <v>999</v>
      </c>
      <c r="CF1033" s="33">
        <v>2</v>
      </c>
      <c r="CG1033" s="33">
        <v>1</v>
      </c>
      <c r="CH1033" s="33">
        <v>4</v>
      </c>
      <c r="CI1033" s="33">
        <v>1</v>
      </c>
      <c r="CJ1033" s="33">
        <v>0</v>
      </c>
      <c r="CK1033" s="33">
        <v>0</v>
      </c>
      <c r="CL1033" s="33">
        <v>0</v>
      </c>
      <c r="CM1033" s="33">
        <v>3</v>
      </c>
      <c r="CN1033" s="33">
        <v>4</v>
      </c>
      <c r="CO1033" s="33">
        <v>1</v>
      </c>
      <c r="CP1033" s="43">
        <v>0.10526228482074879</v>
      </c>
      <c r="CQ1033" s="33">
        <v>0</v>
      </c>
      <c r="CR1033" s="33">
        <v>0</v>
      </c>
    </row>
    <row r="1034" spans="1:96" ht="15" customHeight="1" x14ac:dyDescent="0.25">
      <c r="A1034" s="26">
        <v>1032</v>
      </c>
      <c r="B1034" s="27">
        <v>39</v>
      </c>
      <c r="C1034" s="27">
        <v>1</v>
      </c>
      <c r="D1034" s="27">
        <v>3</v>
      </c>
      <c r="E1034" s="27">
        <v>592</v>
      </c>
      <c r="F1034" s="27">
        <v>2</v>
      </c>
      <c r="G1034" s="27">
        <v>2</v>
      </c>
      <c r="H1034" s="27">
        <v>3</v>
      </c>
      <c r="I1034" s="27">
        <v>1</v>
      </c>
      <c r="J1034" s="27">
        <v>1</v>
      </c>
      <c r="K1034" s="27">
        <v>1458</v>
      </c>
      <c r="L1034" s="27">
        <v>1</v>
      </c>
      <c r="M1034" s="27">
        <v>0</v>
      </c>
      <c r="N1034" s="27">
        <v>54</v>
      </c>
      <c r="O1034" s="27">
        <v>2</v>
      </c>
      <c r="P1034" s="27">
        <v>1</v>
      </c>
      <c r="Q1034" s="27">
        <v>3</v>
      </c>
      <c r="R1034" s="27">
        <v>1</v>
      </c>
      <c r="S1034" s="27">
        <v>1</v>
      </c>
      <c r="T1034" s="27">
        <v>3646</v>
      </c>
      <c r="U1034" s="27">
        <v>17181</v>
      </c>
      <c r="V1034" s="27">
        <v>2</v>
      </c>
      <c r="W1034" s="27">
        <v>1</v>
      </c>
      <c r="X1034" s="27">
        <v>23</v>
      </c>
      <c r="Y1034" s="27">
        <v>4</v>
      </c>
      <c r="Z1034" s="27">
        <v>2</v>
      </c>
      <c r="AA1034" s="27">
        <v>80</v>
      </c>
      <c r="AB1034" s="27">
        <v>0</v>
      </c>
      <c r="AC1034" s="27">
        <v>11</v>
      </c>
      <c r="AD1034" s="27">
        <v>2</v>
      </c>
      <c r="AE1034" s="27">
        <v>4</v>
      </c>
      <c r="AF1034" s="27">
        <v>1</v>
      </c>
      <c r="AG1034" s="27">
        <v>0</v>
      </c>
      <c r="AH1034" s="27">
        <v>0</v>
      </c>
      <c r="AI1034" s="28">
        <v>0</v>
      </c>
      <c r="AK1034" s="36">
        <v>1001</v>
      </c>
      <c r="AL1034" s="33">
        <v>8</v>
      </c>
      <c r="AM1034" s="33">
        <v>1</v>
      </c>
      <c r="AN1034" s="33">
        <v>1</v>
      </c>
      <c r="AO1034" s="33">
        <v>9</v>
      </c>
      <c r="AP1034" s="33">
        <v>0</v>
      </c>
      <c r="AQ1034" s="33">
        <v>0</v>
      </c>
      <c r="AR1034" s="33">
        <v>1</v>
      </c>
      <c r="AS1034" s="33">
        <v>5</v>
      </c>
      <c r="AT1034" s="33">
        <v>0</v>
      </c>
      <c r="AU1034" s="43">
        <v>0.45769976922844929</v>
      </c>
      <c r="AV1034" s="33">
        <v>0</v>
      </c>
      <c r="AW1034" s="33">
        <v>0</v>
      </c>
      <c r="AY1034" s="36">
        <v>1006</v>
      </c>
      <c r="AZ1034" s="33">
        <v>3</v>
      </c>
      <c r="BA1034" s="33">
        <v>1</v>
      </c>
      <c r="BB1034" s="33">
        <v>0</v>
      </c>
      <c r="BC1034" s="33">
        <v>0</v>
      </c>
      <c r="BD1034" s="43">
        <v>0.11965500412792122</v>
      </c>
      <c r="BE1034" s="33">
        <v>0</v>
      </c>
      <c r="BF1034" s="33">
        <v>0</v>
      </c>
      <c r="CE1034" s="36">
        <v>1000</v>
      </c>
      <c r="CF1034" s="33">
        <v>10</v>
      </c>
      <c r="CG1034" s="33">
        <v>4</v>
      </c>
      <c r="CH1034" s="33">
        <v>1</v>
      </c>
      <c r="CI1034" s="33">
        <v>2</v>
      </c>
      <c r="CJ1034" s="33">
        <v>0</v>
      </c>
      <c r="CK1034" s="33">
        <v>0</v>
      </c>
      <c r="CL1034" s="33">
        <v>1</v>
      </c>
      <c r="CM1034" s="33">
        <v>3</v>
      </c>
      <c r="CN1034" s="33">
        <v>20</v>
      </c>
      <c r="CO1034" s="33">
        <v>0</v>
      </c>
      <c r="CP1034" s="43">
        <v>9.7676485779698129E-3</v>
      </c>
      <c r="CQ1034" s="33">
        <v>0</v>
      </c>
      <c r="CR1034" s="33">
        <v>0</v>
      </c>
    </row>
    <row r="1035" spans="1:96" ht="15" customHeight="1" x14ac:dyDescent="0.25">
      <c r="A1035" s="26">
        <v>1033</v>
      </c>
      <c r="B1035" s="27">
        <v>31</v>
      </c>
      <c r="C1035" s="27">
        <v>1</v>
      </c>
      <c r="D1035" s="27">
        <v>2</v>
      </c>
      <c r="E1035" s="27">
        <v>1445</v>
      </c>
      <c r="F1035" s="27">
        <v>2</v>
      </c>
      <c r="G1035" s="27">
        <v>1</v>
      </c>
      <c r="H1035" s="27">
        <v>5</v>
      </c>
      <c r="I1035" s="27">
        <v>1</v>
      </c>
      <c r="J1035" s="27">
        <v>1</v>
      </c>
      <c r="K1035" s="27">
        <v>1459</v>
      </c>
      <c r="L1035" s="27">
        <v>3</v>
      </c>
      <c r="M1035" s="27">
        <v>0</v>
      </c>
      <c r="N1035" s="27">
        <v>100</v>
      </c>
      <c r="O1035" s="27">
        <v>4</v>
      </c>
      <c r="P1035" s="27">
        <v>3</v>
      </c>
      <c r="Q1035" s="27">
        <v>4</v>
      </c>
      <c r="R1035" s="27">
        <v>2</v>
      </c>
      <c r="S1035" s="27">
        <v>1</v>
      </c>
      <c r="T1035" s="27">
        <v>7446</v>
      </c>
      <c r="U1035" s="27">
        <v>8931</v>
      </c>
      <c r="V1035" s="27">
        <v>1</v>
      </c>
      <c r="W1035" s="27">
        <v>0</v>
      </c>
      <c r="X1035" s="27">
        <v>11</v>
      </c>
      <c r="Y1035" s="27">
        <v>3</v>
      </c>
      <c r="Z1035" s="27">
        <v>1</v>
      </c>
      <c r="AA1035" s="27">
        <v>80</v>
      </c>
      <c r="AB1035" s="27">
        <v>0</v>
      </c>
      <c r="AC1035" s="27">
        <v>10</v>
      </c>
      <c r="AD1035" s="27">
        <v>2</v>
      </c>
      <c r="AE1035" s="27">
        <v>3</v>
      </c>
      <c r="AF1035" s="27">
        <v>10</v>
      </c>
      <c r="AG1035" s="27">
        <v>8</v>
      </c>
      <c r="AH1035" s="27">
        <v>4</v>
      </c>
      <c r="AI1035" s="28">
        <v>7</v>
      </c>
      <c r="AK1035" s="36">
        <v>1002</v>
      </c>
      <c r="AL1035" s="33">
        <v>11</v>
      </c>
      <c r="AM1035" s="33">
        <v>1</v>
      </c>
      <c r="AN1035" s="33">
        <v>3</v>
      </c>
      <c r="AO1035" s="33">
        <v>4</v>
      </c>
      <c r="AP1035" s="33">
        <v>0</v>
      </c>
      <c r="AQ1035" s="33">
        <v>0</v>
      </c>
      <c r="AR1035" s="33">
        <v>3</v>
      </c>
      <c r="AS1035" s="33">
        <v>3</v>
      </c>
      <c r="AT1035" s="33">
        <v>0</v>
      </c>
      <c r="AU1035" s="43">
        <v>0.19884215147128828</v>
      </c>
      <c r="AV1035" s="33">
        <v>0</v>
      </c>
      <c r="AW1035" s="33">
        <v>0</v>
      </c>
      <c r="AY1035" s="36">
        <v>1007</v>
      </c>
      <c r="AZ1035" s="33">
        <v>2</v>
      </c>
      <c r="BA1035" s="33">
        <v>1</v>
      </c>
      <c r="BB1035" s="33">
        <v>0</v>
      </c>
      <c r="BC1035" s="33">
        <v>0</v>
      </c>
      <c r="BD1035" s="43">
        <v>0.19196561144667343</v>
      </c>
      <c r="BE1035" s="33">
        <v>0</v>
      </c>
      <c r="BF1035" s="33">
        <v>1</v>
      </c>
      <c r="CE1035" s="36">
        <v>1001</v>
      </c>
      <c r="CF1035" s="33">
        <v>8</v>
      </c>
      <c r="CG1035" s="33">
        <v>1</v>
      </c>
      <c r="CH1035" s="33">
        <v>1</v>
      </c>
      <c r="CI1035" s="33">
        <v>2</v>
      </c>
      <c r="CJ1035" s="33">
        <v>9</v>
      </c>
      <c r="CK1035" s="33">
        <v>0</v>
      </c>
      <c r="CL1035" s="33">
        <v>0</v>
      </c>
      <c r="CM1035" s="33">
        <v>1</v>
      </c>
      <c r="CN1035" s="33">
        <v>5</v>
      </c>
      <c r="CO1035" s="33">
        <v>0</v>
      </c>
      <c r="CP1035" s="43">
        <v>0.38104993426630129</v>
      </c>
      <c r="CQ1035" s="33">
        <v>0</v>
      </c>
      <c r="CR1035" s="33">
        <v>0</v>
      </c>
    </row>
    <row r="1036" spans="1:96" ht="15" customHeight="1" x14ac:dyDescent="0.25">
      <c r="A1036" s="26">
        <v>1034</v>
      </c>
      <c r="B1036" s="27">
        <v>45</v>
      </c>
      <c r="C1036" s="27">
        <v>0</v>
      </c>
      <c r="D1036" s="27">
        <v>1</v>
      </c>
      <c r="E1036" s="27">
        <v>1038</v>
      </c>
      <c r="F1036" s="27">
        <v>2</v>
      </c>
      <c r="G1036" s="27">
        <v>20</v>
      </c>
      <c r="H1036" s="27">
        <v>3</v>
      </c>
      <c r="I1036" s="27">
        <v>3</v>
      </c>
      <c r="J1036" s="27">
        <v>1</v>
      </c>
      <c r="K1036" s="27">
        <v>1460</v>
      </c>
      <c r="L1036" s="27">
        <v>2</v>
      </c>
      <c r="M1036" s="27">
        <v>1</v>
      </c>
      <c r="N1036" s="27">
        <v>95</v>
      </c>
      <c r="O1036" s="27">
        <v>1</v>
      </c>
      <c r="P1036" s="27">
        <v>3</v>
      </c>
      <c r="Q1036" s="27">
        <v>5</v>
      </c>
      <c r="R1036" s="27">
        <v>1</v>
      </c>
      <c r="S1036" s="27">
        <v>3</v>
      </c>
      <c r="T1036" s="27">
        <v>10851</v>
      </c>
      <c r="U1036" s="27">
        <v>19863</v>
      </c>
      <c r="V1036" s="27">
        <v>2</v>
      </c>
      <c r="W1036" s="27">
        <v>1</v>
      </c>
      <c r="X1036" s="27">
        <v>18</v>
      </c>
      <c r="Y1036" s="27">
        <v>3</v>
      </c>
      <c r="Z1036" s="27">
        <v>2</v>
      </c>
      <c r="AA1036" s="27">
        <v>80</v>
      </c>
      <c r="AB1036" s="27">
        <v>1</v>
      </c>
      <c r="AC1036" s="27">
        <v>24</v>
      </c>
      <c r="AD1036" s="27">
        <v>2</v>
      </c>
      <c r="AE1036" s="27">
        <v>3</v>
      </c>
      <c r="AF1036" s="27">
        <v>7</v>
      </c>
      <c r="AG1036" s="27">
        <v>7</v>
      </c>
      <c r="AH1036" s="27">
        <v>0</v>
      </c>
      <c r="AI1036" s="28">
        <v>7</v>
      </c>
      <c r="AK1036" s="36">
        <v>1003</v>
      </c>
      <c r="AL1036" s="33">
        <v>18</v>
      </c>
      <c r="AM1036" s="33">
        <v>3</v>
      </c>
      <c r="AN1036" s="33">
        <v>4</v>
      </c>
      <c r="AO1036" s="33">
        <v>2</v>
      </c>
      <c r="AP1036" s="33">
        <v>0</v>
      </c>
      <c r="AQ1036" s="33">
        <v>0</v>
      </c>
      <c r="AR1036" s="33">
        <v>3</v>
      </c>
      <c r="AS1036" s="33">
        <v>2</v>
      </c>
      <c r="AT1036" s="33">
        <v>2</v>
      </c>
      <c r="AU1036" s="43">
        <v>8.1476582515504617E-2</v>
      </c>
      <c r="AV1036" s="33">
        <v>0</v>
      </c>
      <c r="AW1036" s="33">
        <v>0</v>
      </c>
      <c r="AY1036" s="36">
        <v>1008</v>
      </c>
      <c r="AZ1036" s="33">
        <v>3</v>
      </c>
      <c r="BA1036" s="33">
        <v>4</v>
      </c>
      <c r="BB1036" s="33">
        <v>1</v>
      </c>
      <c r="BC1036" s="33">
        <v>0</v>
      </c>
      <c r="BD1036" s="43">
        <v>0.19464428068138595</v>
      </c>
      <c r="BE1036" s="33">
        <v>0</v>
      </c>
      <c r="BF1036" s="33">
        <v>1</v>
      </c>
      <c r="CE1036" s="36">
        <v>1002</v>
      </c>
      <c r="CF1036" s="33">
        <v>11</v>
      </c>
      <c r="CG1036" s="33">
        <v>1</v>
      </c>
      <c r="CH1036" s="33">
        <v>3</v>
      </c>
      <c r="CI1036" s="33">
        <v>1</v>
      </c>
      <c r="CJ1036" s="33">
        <v>4</v>
      </c>
      <c r="CK1036" s="33">
        <v>0</v>
      </c>
      <c r="CL1036" s="33">
        <v>0</v>
      </c>
      <c r="CM1036" s="33">
        <v>3</v>
      </c>
      <c r="CN1036" s="33">
        <v>3</v>
      </c>
      <c r="CO1036" s="33">
        <v>0</v>
      </c>
      <c r="CP1036" s="43">
        <v>0.22591238264241509</v>
      </c>
      <c r="CQ1036" s="33">
        <v>0</v>
      </c>
      <c r="CR1036" s="33">
        <v>0</v>
      </c>
    </row>
    <row r="1037" spans="1:96" ht="15" customHeight="1" x14ac:dyDescent="0.25">
      <c r="A1037" s="26">
        <v>1035</v>
      </c>
      <c r="B1037" s="27">
        <v>31</v>
      </c>
      <c r="C1037" s="27">
        <v>0</v>
      </c>
      <c r="D1037" s="27">
        <v>1</v>
      </c>
      <c r="E1037" s="27">
        <v>1398</v>
      </c>
      <c r="F1037" s="27">
        <v>3</v>
      </c>
      <c r="G1037" s="27">
        <v>8</v>
      </c>
      <c r="H1037" s="27">
        <v>2</v>
      </c>
      <c r="I1037" s="27">
        <v>3</v>
      </c>
      <c r="J1037" s="27">
        <v>1</v>
      </c>
      <c r="K1037" s="27">
        <v>1461</v>
      </c>
      <c r="L1037" s="27">
        <v>4</v>
      </c>
      <c r="M1037" s="27">
        <v>0</v>
      </c>
      <c r="N1037" s="27">
        <v>96</v>
      </c>
      <c r="O1037" s="27">
        <v>4</v>
      </c>
      <c r="P1037" s="27">
        <v>1</v>
      </c>
      <c r="Q1037" s="27">
        <v>9</v>
      </c>
      <c r="R1037" s="27">
        <v>2</v>
      </c>
      <c r="S1037" s="27">
        <v>1</v>
      </c>
      <c r="T1037" s="27">
        <v>2109</v>
      </c>
      <c r="U1037" s="27">
        <v>24609</v>
      </c>
      <c r="V1037" s="27">
        <v>9</v>
      </c>
      <c r="W1037" s="27">
        <v>0</v>
      </c>
      <c r="X1037" s="27">
        <v>18</v>
      </c>
      <c r="Y1037" s="27">
        <v>3</v>
      </c>
      <c r="Z1037" s="27">
        <v>4</v>
      </c>
      <c r="AA1037" s="27">
        <v>80</v>
      </c>
      <c r="AB1037" s="27">
        <v>0</v>
      </c>
      <c r="AC1037" s="27">
        <v>8</v>
      </c>
      <c r="AD1037" s="27">
        <v>3</v>
      </c>
      <c r="AE1037" s="27">
        <v>3</v>
      </c>
      <c r="AF1037" s="27">
        <v>3</v>
      </c>
      <c r="AG1037" s="27">
        <v>2</v>
      </c>
      <c r="AH1037" s="27">
        <v>0</v>
      </c>
      <c r="AI1037" s="28">
        <v>2</v>
      </c>
      <c r="AK1037" s="36">
        <v>1004</v>
      </c>
      <c r="AL1037" s="33">
        <v>1</v>
      </c>
      <c r="AM1037" s="33">
        <v>1</v>
      </c>
      <c r="AN1037" s="33">
        <v>4</v>
      </c>
      <c r="AO1037" s="33">
        <v>4</v>
      </c>
      <c r="AP1037" s="33">
        <v>0</v>
      </c>
      <c r="AQ1037" s="33">
        <v>1</v>
      </c>
      <c r="AR1037" s="33">
        <v>2</v>
      </c>
      <c r="AS1037" s="33">
        <v>3</v>
      </c>
      <c r="AT1037" s="33">
        <v>0</v>
      </c>
      <c r="AU1037" s="43">
        <v>8.6548822946022702E-2</v>
      </c>
      <c r="AV1037" s="33">
        <v>0</v>
      </c>
      <c r="AW1037" s="33">
        <v>0</v>
      </c>
      <c r="AY1037" s="36">
        <v>1009</v>
      </c>
      <c r="AZ1037" s="33">
        <v>4</v>
      </c>
      <c r="BA1037" s="33">
        <v>4</v>
      </c>
      <c r="BB1037" s="33">
        <v>0</v>
      </c>
      <c r="BC1037" s="33">
        <v>0</v>
      </c>
      <c r="BD1037" s="43">
        <v>3.1333013053779842E-2</v>
      </c>
      <c r="BE1037" s="33">
        <v>0</v>
      </c>
      <c r="BF1037" s="33">
        <v>0</v>
      </c>
      <c r="CE1037" s="36">
        <v>1003</v>
      </c>
      <c r="CF1037" s="33">
        <v>18</v>
      </c>
      <c r="CG1037" s="33">
        <v>3</v>
      </c>
      <c r="CH1037" s="33">
        <v>4</v>
      </c>
      <c r="CI1037" s="33">
        <v>1</v>
      </c>
      <c r="CJ1037" s="33">
        <v>2</v>
      </c>
      <c r="CK1037" s="33">
        <v>0</v>
      </c>
      <c r="CL1037" s="33">
        <v>0</v>
      </c>
      <c r="CM1037" s="33">
        <v>3</v>
      </c>
      <c r="CN1037" s="33">
        <v>2</v>
      </c>
      <c r="CO1037" s="33">
        <v>2</v>
      </c>
      <c r="CP1037" s="43">
        <v>9.4941782920506715E-2</v>
      </c>
      <c r="CQ1037" s="33">
        <v>0</v>
      </c>
      <c r="CR1037" s="33">
        <v>0</v>
      </c>
    </row>
    <row r="1038" spans="1:96" ht="15" customHeight="1" x14ac:dyDescent="0.25">
      <c r="A1038" s="26">
        <v>1036</v>
      </c>
      <c r="B1038" s="27">
        <v>31</v>
      </c>
      <c r="C1038" s="27">
        <v>1</v>
      </c>
      <c r="D1038" s="27">
        <v>2</v>
      </c>
      <c r="E1038" s="27">
        <v>523</v>
      </c>
      <c r="F1038" s="27">
        <v>2</v>
      </c>
      <c r="G1038" s="27">
        <v>2</v>
      </c>
      <c r="H1038" s="27">
        <v>3</v>
      </c>
      <c r="I1038" s="27">
        <v>1</v>
      </c>
      <c r="J1038" s="27">
        <v>1</v>
      </c>
      <c r="K1038" s="27">
        <v>1464</v>
      </c>
      <c r="L1038" s="27">
        <v>2</v>
      </c>
      <c r="M1038" s="27">
        <v>1</v>
      </c>
      <c r="N1038" s="27">
        <v>94</v>
      </c>
      <c r="O1038" s="27">
        <v>3</v>
      </c>
      <c r="P1038" s="27">
        <v>1</v>
      </c>
      <c r="Q1038" s="27">
        <v>3</v>
      </c>
      <c r="R1038" s="27">
        <v>4</v>
      </c>
      <c r="S1038" s="27">
        <v>2</v>
      </c>
      <c r="T1038" s="27">
        <v>3722</v>
      </c>
      <c r="U1038" s="27">
        <v>21081</v>
      </c>
      <c r="V1038" s="27">
        <v>6</v>
      </c>
      <c r="W1038" s="27">
        <v>1</v>
      </c>
      <c r="X1038" s="27">
        <v>13</v>
      </c>
      <c r="Y1038" s="27">
        <v>3</v>
      </c>
      <c r="Z1038" s="27">
        <v>3</v>
      </c>
      <c r="AA1038" s="27">
        <v>80</v>
      </c>
      <c r="AB1038" s="27">
        <v>1</v>
      </c>
      <c r="AC1038" s="27">
        <v>7</v>
      </c>
      <c r="AD1038" s="27">
        <v>2</v>
      </c>
      <c r="AE1038" s="27">
        <v>1</v>
      </c>
      <c r="AF1038" s="27">
        <v>2</v>
      </c>
      <c r="AG1038" s="27">
        <v>2</v>
      </c>
      <c r="AH1038" s="27">
        <v>2</v>
      </c>
      <c r="AI1038" s="28">
        <v>2</v>
      </c>
      <c r="AK1038" s="36">
        <v>1005</v>
      </c>
      <c r="AL1038" s="33">
        <v>7</v>
      </c>
      <c r="AM1038" s="33">
        <v>1</v>
      </c>
      <c r="AN1038" s="33">
        <v>1</v>
      </c>
      <c r="AO1038" s="33">
        <v>0</v>
      </c>
      <c r="AP1038" s="33">
        <v>0</v>
      </c>
      <c r="AQ1038" s="33">
        <v>0</v>
      </c>
      <c r="AR1038" s="33">
        <v>3</v>
      </c>
      <c r="AS1038" s="33">
        <v>7</v>
      </c>
      <c r="AT1038" s="33">
        <v>0</v>
      </c>
      <c r="AU1038" s="43">
        <v>0.17244346847285197</v>
      </c>
      <c r="AV1038" s="33">
        <v>0</v>
      </c>
      <c r="AW1038" s="33">
        <v>0</v>
      </c>
      <c r="AY1038" s="36">
        <v>1010</v>
      </c>
      <c r="AZ1038" s="33">
        <v>5</v>
      </c>
      <c r="BA1038" s="33">
        <v>1</v>
      </c>
      <c r="BB1038" s="33">
        <v>1</v>
      </c>
      <c r="BC1038" s="33">
        <v>1</v>
      </c>
      <c r="BD1038" s="43">
        <v>0.1008842131492612</v>
      </c>
      <c r="BE1038" s="33">
        <v>0</v>
      </c>
      <c r="BF1038" s="33">
        <v>0</v>
      </c>
      <c r="CE1038" s="36">
        <v>1004</v>
      </c>
      <c r="CF1038" s="33">
        <v>1</v>
      </c>
      <c r="CG1038" s="33">
        <v>1</v>
      </c>
      <c r="CH1038" s="33">
        <v>4</v>
      </c>
      <c r="CI1038" s="33">
        <v>2</v>
      </c>
      <c r="CJ1038" s="33">
        <v>4</v>
      </c>
      <c r="CK1038" s="33">
        <v>0</v>
      </c>
      <c r="CL1038" s="33">
        <v>1</v>
      </c>
      <c r="CM1038" s="33">
        <v>2</v>
      </c>
      <c r="CN1038" s="33">
        <v>3</v>
      </c>
      <c r="CO1038" s="33">
        <v>0</v>
      </c>
      <c r="CP1038" s="43">
        <v>8.2894873025678786E-2</v>
      </c>
      <c r="CQ1038" s="33">
        <v>0</v>
      </c>
      <c r="CR1038" s="33">
        <v>0</v>
      </c>
    </row>
    <row r="1039" spans="1:96" ht="15" customHeight="1" x14ac:dyDescent="0.25">
      <c r="A1039" s="26">
        <v>1037</v>
      </c>
      <c r="B1039" s="27">
        <v>45</v>
      </c>
      <c r="C1039" s="27">
        <v>0</v>
      </c>
      <c r="D1039" s="27">
        <v>1</v>
      </c>
      <c r="E1039" s="27">
        <v>1448</v>
      </c>
      <c r="F1039" s="27">
        <v>2</v>
      </c>
      <c r="G1039" s="27">
        <v>29</v>
      </c>
      <c r="H1039" s="27">
        <v>3</v>
      </c>
      <c r="I1039" s="27">
        <v>5</v>
      </c>
      <c r="J1039" s="27">
        <v>1</v>
      </c>
      <c r="K1039" s="27">
        <v>1465</v>
      </c>
      <c r="L1039" s="27">
        <v>2</v>
      </c>
      <c r="M1039" s="27">
        <v>1</v>
      </c>
      <c r="N1039" s="27">
        <v>55</v>
      </c>
      <c r="O1039" s="27">
        <v>3</v>
      </c>
      <c r="P1039" s="27">
        <v>3</v>
      </c>
      <c r="Q1039" s="27">
        <v>4</v>
      </c>
      <c r="R1039" s="27">
        <v>4</v>
      </c>
      <c r="S1039" s="27">
        <v>2</v>
      </c>
      <c r="T1039" s="27">
        <v>9380</v>
      </c>
      <c r="U1039" s="27">
        <v>14720</v>
      </c>
      <c r="V1039" s="27">
        <v>4</v>
      </c>
      <c r="W1039" s="27">
        <v>1</v>
      </c>
      <c r="X1039" s="27">
        <v>18</v>
      </c>
      <c r="Y1039" s="27">
        <v>3</v>
      </c>
      <c r="Z1039" s="27">
        <v>4</v>
      </c>
      <c r="AA1039" s="27">
        <v>80</v>
      </c>
      <c r="AB1039" s="27">
        <v>2</v>
      </c>
      <c r="AC1039" s="27">
        <v>10</v>
      </c>
      <c r="AD1039" s="27">
        <v>4</v>
      </c>
      <c r="AE1039" s="27">
        <v>4</v>
      </c>
      <c r="AF1039" s="27">
        <v>3</v>
      </c>
      <c r="AG1039" s="27">
        <v>1</v>
      </c>
      <c r="AH1039" s="27">
        <v>1</v>
      </c>
      <c r="AI1039" s="28">
        <v>2</v>
      </c>
      <c r="AK1039" s="36">
        <v>1006</v>
      </c>
      <c r="AL1039" s="33">
        <v>17</v>
      </c>
      <c r="AM1039" s="33">
        <v>3</v>
      </c>
      <c r="AN1039" s="33">
        <v>1</v>
      </c>
      <c r="AO1039" s="33">
        <v>1</v>
      </c>
      <c r="AP1039" s="33">
        <v>0</v>
      </c>
      <c r="AQ1039" s="33">
        <v>0</v>
      </c>
      <c r="AR1039" s="33">
        <v>2</v>
      </c>
      <c r="AS1039" s="33">
        <v>10</v>
      </c>
      <c r="AT1039" s="33">
        <v>0</v>
      </c>
      <c r="AU1039" s="43">
        <v>9.6651042520619665E-2</v>
      </c>
      <c r="AV1039" s="33">
        <v>0</v>
      </c>
      <c r="AW1039" s="33">
        <v>0</v>
      </c>
      <c r="AY1039" s="36">
        <v>1011</v>
      </c>
      <c r="AZ1039" s="33">
        <v>4</v>
      </c>
      <c r="BA1039" s="33">
        <v>4</v>
      </c>
      <c r="BB1039" s="33">
        <v>0</v>
      </c>
      <c r="BC1039" s="33">
        <v>2</v>
      </c>
      <c r="BD1039" s="43">
        <v>1.1134365374459958E-2</v>
      </c>
      <c r="BE1039" s="33">
        <v>0</v>
      </c>
      <c r="BF1039" s="33">
        <v>0</v>
      </c>
      <c r="CE1039" s="36">
        <v>1005</v>
      </c>
      <c r="CF1039" s="33">
        <v>7</v>
      </c>
      <c r="CG1039" s="33">
        <v>1</v>
      </c>
      <c r="CH1039" s="33">
        <v>1</v>
      </c>
      <c r="CI1039" s="33">
        <v>1</v>
      </c>
      <c r="CJ1039" s="33">
        <v>0</v>
      </c>
      <c r="CK1039" s="33">
        <v>0</v>
      </c>
      <c r="CL1039" s="33">
        <v>0</v>
      </c>
      <c r="CM1039" s="33">
        <v>3</v>
      </c>
      <c r="CN1039" s="33">
        <v>7</v>
      </c>
      <c r="CO1039" s="33">
        <v>0</v>
      </c>
      <c r="CP1039" s="43">
        <v>0.20154478502758283</v>
      </c>
      <c r="CQ1039" s="33">
        <v>0</v>
      </c>
      <c r="CR1039" s="33">
        <v>0</v>
      </c>
    </row>
    <row r="1040" spans="1:96" ht="15" customHeight="1" x14ac:dyDescent="0.25">
      <c r="A1040" s="26">
        <v>1038</v>
      </c>
      <c r="B1040" s="27">
        <v>48</v>
      </c>
      <c r="C1040" s="27">
        <v>0</v>
      </c>
      <c r="D1040" s="27">
        <v>1</v>
      </c>
      <c r="E1040" s="27">
        <v>1221</v>
      </c>
      <c r="F1040" s="27">
        <v>1</v>
      </c>
      <c r="G1040" s="27">
        <v>7</v>
      </c>
      <c r="H1040" s="27">
        <v>3</v>
      </c>
      <c r="I1040" s="27">
        <v>4</v>
      </c>
      <c r="J1040" s="27">
        <v>1</v>
      </c>
      <c r="K1040" s="27">
        <v>1466</v>
      </c>
      <c r="L1040" s="27">
        <v>3</v>
      </c>
      <c r="M1040" s="27">
        <v>1</v>
      </c>
      <c r="N1040" s="27">
        <v>96</v>
      </c>
      <c r="O1040" s="27">
        <v>3</v>
      </c>
      <c r="P1040" s="27">
        <v>2</v>
      </c>
      <c r="Q1040" s="27">
        <v>1</v>
      </c>
      <c r="R1040" s="27">
        <v>1</v>
      </c>
      <c r="S1040" s="27">
        <v>3</v>
      </c>
      <c r="T1040" s="27">
        <v>5486</v>
      </c>
      <c r="U1040" s="27">
        <v>24795</v>
      </c>
      <c r="V1040" s="27">
        <v>4</v>
      </c>
      <c r="W1040" s="27">
        <v>0</v>
      </c>
      <c r="X1040" s="27">
        <v>11</v>
      </c>
      <c r="Y1040" s="27">
        <v>3</v>
      </c>
      <c r="Z1040" s="27">
        <v>1</v>
      </c>
      <c r="AA1040" s="27">
        <v>80</v>
      </c>
      <c r="AB1040" s="27">
        <v>3</v>
      </c>
      <c r="AC1040" s="27">
        <v>15</v>
      </c>
      <c r="AD1040" s="27">
        <v>3</v>
      </c>
      <c r="AE1040" s="27">
        <v>3</v>
      </c>
      <c r="AF1040" s="27">
        <v>2</v>
      </c>
      <c r="AG1040" s="27">
        <v>2</v>
      </c>
      <c r="AH1040" s="27">
        <v>2</v>
      </c>
      <c r="AI1040" s="28">
        <v>2</v>
      </c>
      <c r="AK1040" s="36">
        <v>1007</v>
      </c>
      <c r="AL1040" s="33">
        <v>28</v>
      </c>
      <c r="AM1040" s="33">
        <v>2</v>
      </c>
      <c r="AN1040" s="33">
        <v>1</v>
      </c>
      <c r="AO1040" s="33">
        <v>3</v>
      </c>
      <c r="AP1040" s="33">
        <v>0</v>
      </c>
      <c r="AQ1040" s="33">
        <v>0</v>
      </c>
      <c r="AR1040" s="33">
        <v>3</v>
      </c>
      <c r="AS1040" s="33">
        <v>4</v>
      </c>
      <c r="AT1040" s="33">
        <v>1</v>
      </c>
      <c r="AU1040" s="43">
        <v>0.3032217212399087</v>
      </c>
      <c r="AV1040" s="33">
        <v>0</v>
      </c>
      <c r="AW1040" s="33">
        <v>1</v>
      </c>
      <c r="AY1040" s="36">
        <v>1012</v>
      </c>
      <c r="AZ1040" s="33">
        <v>2</v>
      </c>
      <c r="BA1040" s="33">
        <v>2</v>
      </c>
      <c r="BB1040" s="33">
        <v>1</v>
      </c>
      <c r="BC1040" s="33">
        <v>0</v>
      </c>
      <c r="BD1040" s="43">
        <v>0.4312038484945574</v>
      </c>
      <c r="BE1040" s="33">
        <v>0</v>
      </c>
      <c r="BF1040" s="33">
        <v>0</v>
      </c>
      <c r="CE1040" s="36">
        <v>1006</v>
      </c>
      <c r="CF1040" s="33">
        <v>17</v>
      </c>
      <c r="CG1040" s="33">
        <v>3</v>
      </c>
      <c r="CH1040" s="33">
        <v>1</v>
      </c>
      <c r="CI1040" s="33">
        <v>1</v>
      </c>
      <c r="CJ1040" s="33">
        <v>1</v>
      </c>
      <c r="CK1040" s="33">
        <v>0</v>
      </c>
      <c r="CL1040" s="33">
        <v>0</v>
      </c>
      <c r="CM1040" s="33">
        <v>2</v>
      </c>
      <c r="CN1040" s="33">
        <v>10</v>
      </c>
      <c r="CO1040" s="33">
        <v>0</v>
      </c>
      <c r="CP1040" s="43">
        <v>0.11842233145508059</v>
      </c>
      <c r="CQ1040" s="33">
        <v>0</v>
      </c>
      <c r="CR1040" s="33">
        <v>0</v>
      </c>
    </row>
    <row r="1041" spans="1:96" ht="15" customHeight="1" x14ac:dyDescent="0.25">
      <c r="A1041" s="26">
        <v>1039</v>
      </c>
      <c r="B1041" s="27">
        <v>34</v>
      </c>
      <c r="C1041" s="27">
        <v>1</v>
      </c>
      <c r="D1041" s="27">
        <v>1</v>
      </c>
      <c r="E1041" s="27">
        <v>1107</v>
      </c>
      <c r="F1041" s="27">
        <v>3</v>
      </c>
      <c r="G1041" s="27">
        <v>9</v>
      </c>
      <c r="H1041" s="27">
        <v>4</v>
      </c>
      <c r="I1041" s="27">
        <v>5</v>
      </c>
      <c r="J1041" s="27">
        <v>1</v>
      </c>
      <c r="K1041" s="27">
        <v>1467</v>
      </c>
      <c r="L1041" s="27">
        <v>1</v>
      </c>
      <c r="M1041" s="27">
        <v>0</v>
      </c>
      <c r="N1041" s="27">
        <v>52</v>
      </c>
      <c r="O1041" s="27">
        <v>3</v>
      </c>
      <c r="P1041" s="27">
        <v>1</v>
      </c>
      <c r="Q1041" s="27">
        <v>9</v>
      </c>
      <c r="R1041" s="27">
        <v>3</v>
      </c>
      <c r="S1041" s="27">
        <v>2</v>
      </c>
      <c r="T1041" s="27">
        <v>2742</v>
      </c>
      <c r="U1041" s="27">
        <v>3072</v>
      </c>
      <c r="V1041" s="27">
        <v>1</v>
      </c>
      <c r="W1041" s="27">
        <v>0</v>
      </c>
      <c r="X1041" s="27">
        <v>15</v>
      </c>
      <c r="Y1041" s="27">
        <v>3</v>
      </c>
      <c r="Z1041" s="27">
        <v>4</v>
      </c>
      <c r="AA1041" s="27">
        <v>80</v>
      </c>
      <c r="AB1041" s="27">
        <v>0</v>
      </c>
      <c r="AC1041" s="27">
        <v>2</v>
      </c>
      <c r="AD1041" s="27">
        <v>0</v>
      </c>
      <c r="AE1041" s="27">
        <v>3</v>
      </c>
      <c r="AF1041" s="27">
        <v>2</v>
      </c>
      <c r="AG1041" s="27">
        <v>2</v>
      </c>
      <c r="AH1041" s="27">
        <v>2</v>
      </c>
      <c r="AI1041" s="28">
        <v>2</v>
      </c>
      <c r="AK1041" s="36">
        <v>1008</v>
      </c>
      <c r="AL1041" s="33">
        <v>14</v>
      </c>
      <c r="AM1041" s="33">
        <v>3</v>
      </c>
      <c r="AN1041" s="33">
        <v>4</v>
      </c>
      <c r="AO1041" s="33">
        <v>0</v>
      </c>
      <c r="AP1041" s="33">
        <v>1</v>
      </c>
      <c r="AQ1041" s="33">
        <v>0</v>
      </c>
      <c r="AR1041" s="33">
        <v>3</v>
      </c>
      <c r="AS1041" s="33">
        <v>8</v>
      </c>
      <c r="AT1041" s="33">
        <v>7</v>
      </c>
      <c r="AU1041" s="43">
        <v>0.24683387101686921</v>
      </c>
      <c r="AV1041" s="33">
        <v>0</v>
      </c>
      <c r="AW1041" s="33">
        <v>1</v>
      </c>
      <c r="AY1041" s="36">
        <v>1013</v>
      </c>
      <c r="AZ1041" s="33">
        <v>1</v>
      </c>
      <c r="BA1041" s="33">
        <v>3</v>
      </c>
      <c r="BB1041" s="33">
        <v>0</v>
      </c>
      <c r="BC1041" s="33">
        <v>0</v>
      </c>
      <c r="BD1041" s="43">
        <v>0.18791247240909698</v>
      </c>
      <c r="BE1041" s="33">
        <v>0</v>
      </c>
      <c r="BF1041" s="33">
        <v>1</v>
      </c>
      <c r="CE1041" s="36">
        <v>1007</v>
      </c>
      <c r="CF1041" s="33">
        <v>28</v>
      </c>
      <c r="CG1041" s="33">
        <v>2</v>
      </c>
      <c r="CH1041" s="33">
        <v>1</v>
      </c>
      <c r="CI1041" s="33">
        <v>1</v>
      </c>
      <c r="CJ1041" s="33">
        <v>3</v>
      </c>
      <c r="CK1041" s="33">
        <v>0</v>
      </c>
      <c r="CL1041" s="33">
        <v>0</v>
      </c>
      <c r="CM1041" s="33">
        <v>3</v>
      </c>
      <c r="CN1041" s="33">
        <v>4</v>
      </c>
      <c r="CO1041" s="33">
        <v>1</v>
      </c>
      <c r="CP1041" s="43">
        <v>0.34833558575655021</v>
      </c>
      <c r="CQ1041" s="33">
        <v>0</v>
      </c>
      <c r="CR1041" s="33">
        <v>1</v>
      </c>
    </row>
    <row r="1042" spans="1:96" ht="15" customHeight="1" x14ac:dyDescent="0.25">
      <c r="A1042" s="26">
        <v>1040</v>
      </c>
      <c r="B1042" s="27">
        <v>40</v>
      </c>
      <c r="C1042" s="27">
        <v>0</v>
      </c>
      <c r="D1042" s="27">
        <v>3</v>
      </c>
      <c r="E1042" s="27">
        <v>218</v>
      </c>
      <c r="F1042" s="27">
        <v>2</v>
      </c>
      <c r="G1042" s="27">
        <v>8</v>
      </c>
      <c r="H1042" s="27">
        <v>1</v>
      </c>
      <c r="I1042" s="27">
        <v>3</v>
      </c>
      <c r="J1042" s="27">
        <v>1</v>
      </c>
      <c r="K1042" s="27">
        <v>1468</v>
      </c>
      <c r="L1042" s="27">
        <v>4</v>
      </c>
      <c r="M1042" s="27">
        <v>1</v>
      </c>
      <c r="N1042" s="27">
        <v>55</v>
      </c>
      <c r="O1042" s="27">
        <v>2</v>
      </c>
      <c r="P1042" s="27">
        <v>3</v>
      </c>
      <c r="Q1042" s="27">
        <v>8</v>
      </c>
      <c r="R1042" s="27">
        <v>2</v>
      </c>
      <c r="S1042" s="27">
        <v>3</v>
      </c>
      <c r="T1042" s="27">
        <v>13757</v>
      </c>
      <c r="U1042" s="27">
        <v>25178</v>
      </c>
      <c r="V1042" s="27">
        <v>2</v>
      </c>
      <c r="W1042" s="27">
        <v>0</v>
      </c>
      <c r="X1042" s="27">
        <v>11</v>
      </c>
      <c r="Y1042" s="27">
        <v>3</v>
      </c>
      <c r="Z1042" s="27">
        <v>3</v>
      </c>
      <c r="AA1042" s="27">
        <v>80</v>
      </c>
      <c r="AB1042" s="27">
        <v>1</v>
      </c>
      <c r="AC1042" s="27">
        <v>16</v>
      </c>
      <c r="AD1042" s="27">
        <v>5</v>
      </c>
      <c r="AE1042" s="27">
        <v>3</v>
      </c>
      <c r="AF1042" s="27">
        <v>9</v>
      </c>
      <c r="AG1042" s="27">
        <v>8</v>
      </c>
      <c r="AH1042" s="27">
        <v>4</v>
      </c>
      <c r="AI1042" s="28">
        <v>8</v>
      </c>
      <c r="AK1042" s="36">
        <v>1009</v>
      </c>
      <c r="AL1042" s="33">
        <v>1</v>
      </c>
      <c r="AM1042" s="33">
        <v>4</v>
      </c>
      <c r="AN1042" s="33">
        <v>4</v>
      </c>
      <c r="AO1042" s="33">
        <v>6</v>
      </c>
      <c r="AP1042" s="33">
        <v>0</v>
      </c>
      <c r="AQ1042" s="33">
        <v>0</v>
      </c>
      <c r="AR1042" s="33">
        <v>2</v>
      </c>
      <c r="AS1042" s="33">
        <v>20</v>
      </c>
      <c r="AT1042" s="33">
        <v>12</v>
      </c>
      <c r="AU1042" s="43">
        <v>4.1416893829640374E-2</v>
      </c>
      <c r="AV1042" s="33">
        <v>0</v>
      </c>
      <c r="AW1042" s="33">
        <v>0</v>
      </c>
      <c r="AY1042" s="36">
        <v>1014</v>
      </c>
      <c r="AZ1042" s="33">
        <v>2</v>
      </c>
      <c r="BA1042" s="33">
        <v>1</v>
      </c>
      <c r="BB1042" s="33">
        <v>0</v>
      </c>
      <c r="BC1042" s="33">
        <v>2</v>
      </c>
      <c r="BD1042" s="43">
        <v>7.638126547101505E-2</v>
      </c>
      <c r="BE1042" s="33">
        <v>0</v>
      </c>
      <c r="BF1042" s="33">
        <v>0</v>
      </c>
      <c r="CE1042" s="36">
        <v>1008</v>
      </c>
      <c r="CF1042" s="33">
        <v>14</v>
      </c>
      <c r="CG1042" s="33">
        <v>3</v>
      </c>
      <c r="CH1042" s="33">
        <v>4</v>
      </c>
      <c r="CI1042" s="33">
        <v>1</v>
      </c>
      <c r="CJ1042" s="33">
        <v>0</v>
      </c>
      <c r="CK1042" s="33">
        <v>1</v>
      </c>
      <c r="CL1042" s="33">
        <v>0</v>
      </c>
      <c r="CM1042" s="33">
        <v>3</v>
      </c>
      <c r="CN1042" s="33">
        <v>8</v>
      </c>
      <c r="CO1042" s="33">
        <v>7</v>
      </c>
      <c r="CP1042" s="43">
        <v>0.28958356077372538</v>
      </c>
      <c r="CQ1042" s="33">
        <v>0</v>
      </c>
      <c r="CR1042" s="33">
        <v>1</v>
      </c>
    </row>
    <row r="1043" spans="1:96" ht="15" customHeight="1" x14ac:dyDescent="0.25">
      <c r="A1043" s="26">
        <v>1041</v>
      </c>
      <c r="B1043" s="27">
        <v>28</v>
      </c>
      <c r="C1043" s="27">
        <v>0</v>
      </c>
      <c r="D1043" s="27">
        <v>1</v>
      </c>
      <c r="E1043" s="27">
        <v>866</v>
      </c>
      <c r="F1043" s="27">
        <v>1</v>
      </c>
      <c r="G1043" s="27">
        <v>5</v>
      </c>
      <c r="H1043" s="27">
        <v>3</v>
      </c>
      <c r="I1043" s="27">
        <v>3</v>
      </c>
      <c r="J1043" s="27">
        <v>1</v>
      </c>
      <c r="K1043" s="27">
        <v>1469</v>
      </c>
      <c r="L1043" s="27">
        <v>4</v>
      </c>
      <c r="M1043" s="27">
        <v>1</v>
      </c>
      <c r="N1043" s="27">
        <v>84</v>
      </c>
      <c r="O1043" s="27">
        <v>3</v>
      </c>
      <c r="P1043" s="27">
        <v>2</v>
      </c>
      <c r="Q1043" s="27">
        <v>1</v>
      </c>
      <c r="R1043" s="27">
        <v>1</v>
      </c>
      <c r="S1043" s="27">
        <v>1</v>
      </c>
      <c r="T1043" s="27">
        <v>8463</v>
      </c>
      <c r="U1043" s="27">
        <v>23490</v>
      </c>
      <c r="V1043" s="27">
        <v>0</v>
      </c>
      <c r="W1043" s="27">
        <v>0</v>
      </c>
      <c r="X1043" s="27">
        <v>18</v>
      </c>
      <c r="Y1043" s="27">
        <v>3</v>
      </c>
      <c r="Z1043" s="27">
        <v>4</v>
      </c>
      <c r="AA1043" s="27">
        <v>80</v>
      </c>
      <c r="AB1043" s="27">
        <v>0</v>
      </c>
      <c r="AC1043" s="27">
        <v>6</v>
      </c>
      <c r="AD1043" s="27">
        <v>4</v>
      </c>
      <c r="AE1043" s="27">
        <v>3</v>
      </c>
      <c r="AF1043" s="27">
        <v>5</v>
      </c>
      <c r="AG1043" s="27">
        <v>4</v>
      </c>
      <c r="AH1043" s="27">
        <v>1</v>
      </c>
      <c r="AI1043" s="28">
        <v>3</v>
      </c>
      <c r="AK1043" s="36">
        <v>1010</v>
      </c>
      <c r="AL1043" s="33">
        <v>1</v>
      </c>
      <c r="AM1043" s="33">
        <v>5</v>
      </c>
      <c r="AN1043" s="33">
        <v>1</v>
      </c>
      <c r="AO1043" s="33">
        <v>3</v>
      </c>
      <c r="AP1043" s="33">
        <v>1</v>
      </c>
      <c r="AQ1043" s="33">
        <v>1</v>
      </c>
      <c r="AR1043" s="33">
        <v>3</v>
      </c>
      <c r="AS1043" s="33">
        <v>9</v>
      </c>
      <c r="AT1043" s="33">
        <v>1</v>
      </c>
      <c r="AU1043" s="43">
        <v>5.4821499693443396E-2</v>
      </c>
      <c r="AV1043" s="33">
        <v>0</v>
      </c>
      <c r="AW1043" s="33">
        <v>0</v>
      </c>
      <c r="AY1043" s="36">
        <v>1015</v>
      </c>
      <c r="AZ1043" s="33">
        <v>4</v>
      </c>
      <c r="BA1043" s="33">
        <v>2</v>
      </c>
      <c r="BB1043" s="33">
        <v>0</v>
      </c>
      <c r="BC1043" s="33">
        <v>0</v>
      </c>
      <c r="BD1043" s="43">
        <v>5.4862919617085948E-2</v>
      </c>
      <c r="BE1043" s="33">
        <v>0</v>
      </c>
      <c r="BF1043" s="33">
        <v>0</v>
      </c>
      <c r="CE1043" s="36">
        <v>1009</v>
      </c>
      <c r="CF1043" s="33">
        <v>1</v>
      </c>
      <c r="CG1043" s="33">
        <v>4</v>
      </c>
      <c r="CH1043" s="33">
        <v>4</v>
      </c>
      <c r="CI1043" s="33">
        <v>1</v>
      </c>
      <c r="CJ1043" s="33">
        <v>6</v>
      </c>
      <c r="CK1043" s="33">
        <v>0</v>
      </c>
      <c r="CL1043" s="33">
        <v>0</v>
      </c>
      <c r="CM1043" s="33">
        <v>2</v>
      </c>
      <c r="CN1043" s="33">
        <v>20</v>
      </c>
      <c r="CO1043" s="33">
        <v>12</v>
      </c>
      <c r="CP1043" s="43">
        <v>5.1454278080913241E-2</v>
      </c>
      <c r="CQ1043" s="33">
        <v>0</v>
      </c>
      <c r="CR1043" s="33">
        <v>0</v>
      </c>
    </row>
    <row r="1044" spans="1:96" ht="15" customHeight="1" x14ac:dyDescent="0.25">
      <c r="A1044" s="26">
        <v>1042</v>
      </c>
      <c r="B1044" s="27">
        <v>44</v>
      </c>
      <c r="C1044" s="27">
        <v>0</v>
      </c>
      <c r="D1044" s="27">
        <v>3</v>
      </c>
      <c r="E1044" s="27">
        <v>981</v>
      </c>
      <c r="F1044" s="27">
        <v>2</v>
      </c>
      <c r="G1044" s="27">
        <v>5</v>
      </c>
      <c r="H1044" s="27">
        <v>3</v>
      </c>
      <c r="I1044" s="27">
        <v>1</v>
      </c>
      <c r="J1044" s="27">
        <v>1</v>
      </c>
      <c r="K1044" s="27">
        <v>1471</v>
      </c>
      <c r="L1044" s="27">
        <v>3</v>
      </c>
      <c r="M1044" s="27">
        <v>1</v>
      </c>
      <c r="N1044" s="27">
        <v>90</v>
      </c>
      <c r="O1044" s="27">
        <v>2</v>
      </c>
      <c r="P1044" s="27">
        <v>1</v>
      </c>
      <c r="Q1044" s="27">
        <v>3</v>
      </c>
      <c r="R1044" s="27">
        <v>3</v>
      </c>
      <c r="S1044" s="27">
        <v>1</v>
      </c>
      <c r="T1044" s="27">
        <v>3162</v>
      </c>
      <c r="U1044" s="27">
        <v>7973</v>
      </c>
      <c r="V1044" s="27">
        <v>3</v>
      </c>
      <c r="W1044" s="27">
        <v>0</v>
      </c>
      <c r="X1044" s="27">
        <v>14</v>
      </c>
      <c r="Y1044" s="27">
        <v>3</v>
      </c>
      <c r="Z1044" s="27">
        <v>4</v>
      </c>
      <c r="AA1044" s="27">
        <v>80</v>
      </c>
      <c r="AB1044" s="27">
        <v>0</v>
      </c>
      <c r="AC1044" s="27">
        <v>7</v>
      </c>
      <c r="AD1044" s="27">
        <v>5</v>
      </c>
      <c r="AE1044" s="27">
        <v>3</v>
      </c>
      <c r="AF1044" s="27">
        <v>5</v>
      </c>
      <c r="AG1044" s="27">
        <v>2</v>
      </c>
      <c r="AH1044" s="27">
        <v>0</v>
      </c>
      <c r="AI1044" s="28">
        <v>3</v>
      </c>
      <c r="AK1044" s="36">
        <v>1011</v>
      </c>
      <c r="AL1044" s="33">
        <v>1</v>
      </c>
      <c r="AM1044" s="33">
        <v>4</v>
      </c>
      <c r="AN1044" s="33">
        <v>4</v>
      </c>
      <c r="AO1044" s="33">
        <v>2</v>
      </c>
      <c r="AP1044" s="33">
        <v>0</v>
      </c>
      <c r="AQ1044" s="33">
        <v>2</v>
      </c>
      <c r="AR1044" s="33">
        <v>4</v>
      </c>
      <c r="AS1044" s="33">
        <v>7</v>
      </c>
      <c r="AT1044" s="33">
        <v>0</v>
      </c>
      <c r="AU1044" s="43">
        <v>4.0707125651320295E-3</v>
      </c>
      <c r="AV1044" s="33">
        <v>0</v>
      </c>
      <c r="AW1044" s="33">
        <v>0</v>
      </c>
      <c r="AY1044" s="36">
        <v>1016</v>
      </c>
      <c r="AZ1044" s="33">
        <v>1</v>
      </c>
      <c r="BA1044" s="33">
        <v>1</v>
      </c>
      <c r="BB1044" s="33">
        <v>0</v>
      </c>
      <c r="BC1044" s="33">
        <v>2</v>
      </c>
      <c r="BD1044" s="43">
        <v>0.12629205428487661</v>
      </c>
      <c r="BE1044" s="33">
        <v>0</v>
      </c>
      <c r="BF1044" s="33">
        <v>0</v>
      </c>
      <c r="CE1044" s="36">
        <v>1010</v>
      </c>
      <c r="CF1044" s="33">
        <v>1</v>
      </c>
      <c r="CG1044" s="33">
        <v>5</v>
      </c>
      <c r="CH1044" s="33">
        <v>1</v>
      </c>
      <c r="CI1044" s="33">
        <v>2</v>
      </c>
      <c r="CJ1044" s="33">
        <v>3</v>
      </c>
      <c r="CK1044" s="33">
        <v>1</v>
      </c>
      <c r="CL1044" s="33">
        <v>1</v>
      </c>
      <c r="CM1044" s="33">
        <v>3</v>
      </c>
      <c r="CN1044" s="33">
        <v>9</v>
      </c>
      <c r="CO1044" s="33">
        <v>1</v>
      </c>
      <c r="CP1044" s="43">
        <v>5.8876857722018096E-2</v>
      </c>
      <c r="CQ1044" s="33">
        <v>0</v>
      </c>
      <c r="CR1044" s="33">
        <v>0</v>
      </c>
    </row>
    <row r="1045" spans="1:96" ht="15" customHeight="1" x14ac:dyDescent="0.25">
      <c r="A1045" s="26">
        <v>1043</v>
      </c>
      <c r="B1045" s="27">
        <v>53</v>
      </c>
      <c r="C1045" s="27">
        <v>0</v>
      </c>
      <c r="D1045" s="27">
        <v>1</v>
      </c>
      <c r="E1045" s="27">
        <v>447</v>
      </c>
      <c r="F1045" s="27">
        <v>2</v>
      </c>
      <c r="G1045" s="27">
        <v>2</v>
      </c>
      <c r="H1045" s="27">
        <v>3</v>
      </c>
      <c r="I1045" s="27">
        <v>3</v>
      </c>
      <c r="J1045" s="27">
        <v>1</v>
      </c>
      <c r="K1045" s="27">
        <v>1472</v>
      </c>
      <c r="L1045" s="27">
        <v>4</v>
      </c>
      <c r="M1045" s="27">
        <v>1</v>
      </c>
      <c r="N1045" s="27">
        <v>39</v>
      </c>
      <c r="O1045" s="27">
        <v>4</v>
      </c>
      <c r="P1045" s="27">
        <v>4</v>
      </c>
      <c r="Q1045" s="27">
        <v>8</v>
      </c>
      <c r="R1045" s="27">
        <v>2</v>
      </c>
      <c r="S1045" s="27">
        <v>1</v>
      </c>
      <c r="T1045" s="27">
        <v>16598</v>
      </c>
      <c r="U1045" s="27">
        <v>19764</v>
      </c>
      <c r="V1045" s="27">
        <v>4</v>
      </c>
      <c r="W1045" s="27">
        <v>0</v>
      </c>
      <c r="X1045" s="27">
        <v>12</v>
      </c>
      <c r="Y1045" s="27">
        <v>3</v>
      </c>
      <c r="Z1045" s="27">
        <v>2</v>
      </c>
      <c r="AA1045" s="27">
        <v>80</v>
      </c>
      <c r="AB1045" s="27">
        <v>0</v>
      </c>
      <c r="AC1045" s="27">
        <v>35</v>
      </c>
      <c r="AD1045" s="27">
        <v>2</v>
      </c>
      <c r="AE1045" s="27">
        <v>2</v>
      </c>
      <c r="AF1045" s="27">
        <v>9</v>
      </c>
      <c r="AG1045" s="27">
        <v>8</v>
      </c>
      <c r="AH1045" s="27">
        <v>8</v>
      </c>
      <c r="AI1045" s="28">
        <v>8</v>
      </c>
      <c r="AK1045" s="36">
        <v>1012</v>
      </c>
      <c r="AL1045" s="33">
        <v>3</v>
      </c>
      <c r="AM1045" s="33">
        <v>2</v>
      </c>
      <c r="AN1045" s="33">
        <v>2</v>
      </c>
      <c r="AO1045" s="33">
        <v>3</v>
      </c>
      <c r="AP1045" s="33">
        <v>1</v>
      </c>
      <c r="AQ1045" s="33">
        <v>0</v>
      </c>
      <c r="AR1045" s="33">
        <v>3</v>
      </c>
      <c r="AS1045" s="33">
        <v>5</v>
      </c>
      <c r="AT1045" s="33">
        <v>0</v>
      </c>
      <c r="AU1045" s="43">
        <v>0.33735471559332297</v>
      </c>
      <c r="AV1045" s="33">
        <v>0</v>
      </c>
      <c r="AW1045" s="33">
        <v>0</v>
      </c>
      <c r="AY1045" s="36">
        <v>1017</v>
      </c>
      <c r="AZ1045" s="33">
        <v>1</v>
      </c>
      <c r="BA1045" s="33">
        <v>2</v>
      </c>
      <c r="BB1045" s="33">
        <v>0</v>
      </c>
      <c r="BC1045" s="33">
        <v>0</v>
      </c>
      <c r="BD1045" s="43">
        <v>0.23662845161334917</v>
      </c>
      <c r="BE1045" s="33">
        <v>0</v>
      </c>
      <c r="BF1045" s="33">
        <v>1</v>
      </c>
      <c r="CE1045" s="36">
        <v>1011</v>
      </c>
      <c r="CF1045" s="33">
        <v>1</v>
      </c>
      <c r="CG1045" s="33">
        <v>4</v>
      </c>
      <c r="CH1045" s="33">
        <v>4</v>
      </c>
      <c r="CI1045" s="33">
        <v>3</v>
      </c>
      <c r="CJ1045" s="33">
        <v>2</v>
      </c>
      <c r="CK1045" s="33">
        <v>0</v>
      </c>
      <c r="CL1045" s="33">
        <v>2</v>
      </c>
      <c r="CM1045" s="33">
        <v>4</v>
      </c>
      <c r="CN1045" s="33">
        <v>7</v>
      </c>
      <c r="CO1045" s="33">
        <v>0</v>
      </c>
      <c r="CP1045" s="43">
        <v>3.1387111924930499E-3</v>
      </c>
      <c r="CQ1045" s="33">
        <v>0</v>
      </c>
      <c r="CR1045" s="33">
        <v>0</v>
      </c>
    </row>
    <row r="1046" spans="1:96" ht="15" customHeight="1" x14ac:dyDescent="0.25">
      <c r="A1046" s="26">
        <v>1044</v>
      </c>
      <c r="B1046" s="27">
        <v>49</v>
      </c>
      <c r="C1046" s="27">
        <v>0</v>
      </c>
      <c r="D1046" s="27">
        <v>1</v>
      </c>
      <c r="E1046" s="27">
        <v>1495</v>
      </c>
      <c r="F1046" s="27">
        <v>2</v>
      </c>
      <c r="G1046" s="27">
        <v>5</v>
      </c>
      <c r="H1046" s="27">
        <v>4</v>
      </c>
      <c r="I1046" s="27">
        <v>5</v>
      </c>
      <c r="J1046" s="27">
        <v>1</v>
      </c>
      <c r="K1046" s="27">
        <v>1473</v>
      </c>
      <c r="L1046" s="27">
        <v>1</v>
      </c>
      <c r="M1046" s="27">
        <v>1</v>
      </c>
      <c r="N1046" s="27">
        <v>96</v>
      </c>
      <c r="O1046" s="27">
        <v>3</v>
      </c>
      <c r="P1046" s="27">
        <v>2</v>
      </c>
      <c r="Q1046" s="27">
        <v>5</v>
      </c>
      <c r="R1046" s="27">
        <v>3</v>
      </c>
      <c r="S1046" s="27">
        <v>2</v>
      </c>
      <c r="T1046" s="27">
        <v>6651</v>
      </c>
      <c r="U1046" s="27">
        <v>21534</v>
      </c>
      <c r="V1046" s="27">
        <v>2</v>
      </c>
      <c r="W1046" s="27">
        <v>0</v>
      </c>
      <c r="X1046" s="27">
        <v>14</v>
      </c>
      <c r="Y1046" s="27">
        <v>3</v>
      </c>
      <c r="Z1046" s="27">
        <v>2</v>
      </c>
      <c r="AA1046" s="27">
        <v>80</v>
      </c>
      <c r="AB1046" s="27">
        <v>1</v>
      </c>
      <c r="AC1046" s="27">
        <v>20</v>
      </c>
      <c r="AD1046" s="27">
        <v>0</v>
      </c>
      <c r="AE1046" s="27">
        <v>2</v>
      </c>
      <c r="AF1046" s="27">
        <v>3</v>
      </c>
      <c r="AG1046" s="27">
        <v>2</v>
      </c>
      <c r="AH1046" s="27">
        <v>1</v>
      </c>
      <c r="AI1046" s="28">
        <v>2</v>
      </c>
      <c r="AK1046" s="36">
        <v>1013</v>
      </c>
      <c r="AL1046" s="33">
        <v>1</v>
      </c>
      <c r="AM1046" s="33">
        <v>1</v>
      </c>
      <c r="AN1046" s="33">
        <v>3</v>
      </c>
      <c r="AO1046" s="33">
        <v>1</v>
      </c>
      <c r="AP1046" s="33">
        <v>0</v>
      </c>
      <c r="AQ1046" s="33">
        <v>0</v>
      </c>
      <c r="AR1046" s="33">
        <v>3</v>
      </c>
      <c r="AS1046" s="33">
        <v>1</v>
      </c>
      <c r="AT1046" s="33">
        <v>0</v>
      </c>
      <c r="AU1046" s="43">
        <v>0.13732847993356073</v>
      </c>
      <c r="AV1046" s="33">
        <v>0</v>
      </c>
      <c r="AW1046" s="33">
        <v>1</v>
      </c>
      <c r="AY1046" s="36">
        <v>1018</v>
      </c>
      <c r="AZ1046" s="33">
        <v>1</v>
      </c>
      <c r="BA1046" s="33">
        <v>1</v>
      </c>
      <c r="BB1046" s="33">
        <v>0</v>
      </c>
      <c r="BC1046" s="33">
        <v>0</v>
      </c>
      <c r="BD1046" s="43">
        <v>0.29341085656570393</v>
      </c>
      <c r="BE1046" s="33">
        <v>0</v>
      </c>
      <c r="BF1046" s="33">
        <v>0</v>
      </c>
      <c r="CE1046" s="36">
        <v>1012</v>
      </c>
      <c r="CF1046" s="33">
        <v>3</v>
      </c>
      <c r="CG1046" s="33">
        <v>2</v>
      </c>
      <c r="CH1046" s="33">
        <v>2</v>
      </c>
      <c r="CI1046" s="33">
        <v>1</v>
      </c>
      <c r="CJ1046" s="33">
        <v>3</v>
      </c>
      <c r="CK1046" s="33">
        <v>1</v>
      </c>
      <c r="CL1046" s="33">
        <v>0</v>
      </c>
      <c r="CM1046" s="33">
        <v>3</v>
      </c>
      <c r="CN1046" s="33">
        <v>5</v>
      </c>
      <c r="CO1046" s="33">
        <v>0</v>
      </c>
      <c r="CP1046" s="43">
        <v>0.39098531849769441</v>
      </c>
      <c r="CQ1046" s="33">
        <v>0</v>
      </c>
      <c r="CR1046" s="33">
        <v>0</v>
      </c>
    </row>
    <row r="1047" spans="1:96" ht="15" customHeight="1" x14ac:dyDescent="0.25">
      <c r="A1047" s="26">
        <v>1045</v>
      </c>
      <c r="B1047" s="27">
        <v>40</v>
      </c>
      <c r="C1047" s="27">
        <v>0</v>
      </c>
      <c r="D1047" s="27">
        <v>1</v>
      </c>
      <c r="E1047" s="27">
        <v>896</v>
      </c>
      <c r="F1047" s="27">
        <v>2</v>
      </c>
      <c r="G1047" s="27">
        <v>2</v>
      </c>
      <c r="H1047" s="27">
        <v>3</v>
      </c>
      <c r="I1047" s="27">
        <v>3</v>
      </c>
      <c r="J1047" s="27">
        <v>1</v>
      </c>
      <c r="K1047" s="27">
        <v>1474</v>
      </c>
      <c r="L1047" s="27">
        <v>3</v>
      </c>
      <c r="M1047" s="27">
        <v>1</v>
      </c>
      <c r="N1047" s="27">
        <v>68</v>
      </c>
      <c r="O1047" s="27">
        <v>3</v>
      </c>
      <c r="P1047" s="27">
        <v>1</v>
      </c>
      <c r="Q1047" s="27">
        <v>2</v>
      </c>
      <c r="R1047" s="27">
        <v>3</v>
      </c>
      <c r="S1047" s="27">
        <v>3</v>
      </c>
      <c r="T1047" s="27">
        <v>2345</v>
      </c>
      <c r="U1047" s="27">
        <v>8045</v>
      </c>
      <c r="V1047" s="27">
        <v>2</v>
      </c>
      <c r="W1047" s="27">
        <v>0</v>
      </c>
      <c r="X1047" s="27">
        <v>14</v>
      </c>
      <c r="Y1047" s="27">
        <v>3</v>
      </c>
      <c r="Z1047" s="27">
        <v>3</v>
      </c>
      <c r="AA1047" s="27">
        <v>80</v>
      </c>
      <c r="AB1047" s="27">
        <v>1</v>
      </c>
      <c r="AC1047" s="27">
        <v>8</v>
      </c>
      <c r="AD1047" s="27">
        <v>3</v>
      </c>
      <c r="AE1047" s="27">
        <v>4</v>
      </c>
      <c r="AF1047" s="27">
        <v>3</v>
      </c>
      <c r="AG1047" s="27">
        <v>1</v>
      </c>
      <c r="AH1047" s="27">
        <v>1</v>
      </c>
      <c r="AI1047" s="28">
        <v>2</v>
      </c>
      <c r="AK1047" s="36">
        <v>1014</v>
      </c>
      <c r="AL1047" s="33">
        <v>7</v>
      </c>
      <c r="AM1047" s="33">
        <v>2</v>
      </c>
      <c r="AN1047" s="33">
        <v>1</v>
      </c>
      <c r="AO1047" s="33">
        <v>7</v>
      </c>
      <c r="AP1047" s="33">
        <v>0</v>
      </c>
      <c r="AQ1047" s="33">
        <v>2</v>
      </c>
      <c r="AR1047" s="33">
        <v>3</v>
      </c>
      <c r="AS1047" s="33">
        <v>3</v>
      </c>
      <c r="AT1047" s="33">
        <v>0</v>
      </c>
      <c r="AU1047" s="43">
        <v>8.4873024832165883E-2</v>
      </c>
      <c r="AV1047" s="33">
        <v>0</v>
      </c>
      <c r="AW1047" s="33">
        <v>0</v>
      </c>
      <c r="AY1047" s="36">
        <v>1019</v>
      </c>
      <c r="AZ1047" s="33">
        <v>2</v>
      </c>
      <c r="BA1047" s="33">
        <v>4</v>
      </c>
      <c r="BB1047" s="33">
        <v>0</v>
      </c>
      <c r="BC1047" s="33">
        <v>0</v>
      </c>
      <c r="BD1047" s="43">
        <v>8.9935487507215722E-2</v>
      </c>
      <c r="BE1047" s="33">
        <v>0</v>
      </c>
      <c r="BF1047" s="33">
        <v>0</v>
      </c>
      <c r="CE1047" s="36">
        <v>1013</v>
      </c>
      <c r="CF1047" s="33">
        <v>1</v>
      </c>
      <c r="CG1047" s="33">
        <v>1</v>
      </c>
      <c r="CH1047" s="33">
        <v>3</v>
      </c>
      <c r="CI1047" s="33">
        <v>1</v>
      </c>
      <c r="CJ1047" s="33">
        <v>1</v>
      </c>
      <c r="CK1047" s="33">
        <v>0</v>
      </c>
      <c r="CL1047" s="33">
        <v>0</v>
      </c>
      <c r="CM1047" s="33">
        <v>3</v>
      </c>
      <c r="CN1047" s="33">
        <v>1</v>
      </c>
      <c r="CO1047" s="33">
        <v>0</v>
      </c>
      <c r="CP1047" s="43">
        <v>0.15762253056030104</v>
      </c>
      <c r="CQ1047" s="33">
        <v>0</v>
      </c>
      <c r="CR1047" s="33">
        <v>1</v>
      </c>
    </row>
    <row r="1048" spans="1:96" ht="15" customHeight="1" x14ac:dyDescent="0.25">
      <c r="A1048" s="26">
        <v>1046</v>
      </c>
      <c r="B1048" s="27">
        <v>44</v>
      </c>
      <c r="C1048" s="27">
        <v>0</v>
      </c>
      <c r="D1048" s="27">
        <v>1</v>
      </c>
      <c r="E1048" s="27">
        <v>1467</v>
      </c>
      <c r="F1048" s="27">
        <v>2</v>
      </c>
      <c r="G1048" s="27">
        <v>20</v>
      </c>
      <c r="H1048" s="27">
        <v>3</v>
      </c>
      <c r="I1048" s="27">
        <v>1</v>
      </c>
      <c r="J1048" s="27">
        <v>1</v>
      </c>
      <c r="K1048" s="27">
        <v>1475</v>
      </c>
      <c r="L1048" s="27">
        <v>4</v>
      </c>
      <c r="M1048" s="27">
        <v>1</v>
      </c>
      <c r="N1048" s="27">
        <v>49</v>
      </c>
      <c r="O1048" s="27">
        <v>3</v>
      </c>
      <c r="P1048" s="27">
        <v>1</v>
      </c>
      <c r="Q1048" s="27">
        <v>2</v>
      </c>
      <c r="R1048" s="27">
        <v>2</v>
      </c>
      <c r="S1048" s="27">
        <v>1</v>
      </c>
      <c r="T1048" s="27">
        <v>3420</v>
      </c>
      <c r="U1048" s="27">
        <v>21158</v>
      </c>
      <c r="V1048" s="27">
        <v>1</v>
      </c>
      <c r="W1048" s="27">
        <v>0</v>
      </c>
      <c r="X1048" s="27">
        <v>13</v>
      </c>
      <c r="Y1048" s="27">
        <v>3</v>
      </c>
      <c r="Z1048" s="27">
        <v>3</v>
      </c>
      <c r="AA1048" s="27">
        <v>80</v>
      </c>
      <c r="AB1048" s="27">
        <v>0</v>
      </c>
      <c r="AC1048" s="27">
        <v>6</v>
      </c>
      <c r="AD1048" s="27">
        <v>3</v>
      </c>
      <c r="AE1048" s="27">
        <v>2</v>
      </c>
      <c r="AF1048" s="27">
        <v>5</v>
      </c>
      <c r="AG1048" s="27">
        <v>2</v>
      </c>
      <c r="AH1048" s="27">
        <v>1</v>
      </c>
      <c r="AI1048" s="28">
        <v>3</v>
      </c>
      <c r="AK1048" s="36">
        <v>1015</v>
      </c>
      <c r="AL1048" s="33">
        <v>8</v>
      </c>
      <c r="AM1048" s="33">
        <v>4</v>
      </c>
      <c r="AN1048" s="33">
        <v>2</v>
      </c>
      <c r="AO1048" s="33">
        <v>3</v>
      </c>
      <c r="AP1048" s="33">
        <v>0</v>
      </c>
      <c r="AQ1048" s="33">
        <v>0</v>
      </c>
      <c r="AR1048" s="33">
        <v>4</v>
      </c>
      <c r="AS1048" s="33">
        <v>3</v>
      </c>
      <c r="AT1048" s="33">
        <v>1</v>
      </c>
      <c r="AU1048" s="43">
        <v>4.477280910935675E-2</v>
      </c>
      <c r="AV1048" s="33">
        <v>0</v>
      </c>
      <c r="AW1048" s="33">
        <v>0</v>
      </c>
      <c r="AY1048" s="36">
        <v>1020</v>
      </c>
      <c r="AZ1048" s="33">
        <v>2</v>
      </c>
      <c r="BA1048" s="33">
        <v>1</v>
      </c>
      <c r="BB1048" s="33">
        <v>0</v>
      </c>
      <c r="BC1048" s="33">
        <v>2</v>
      </c>
      <c r="BD1048" s="43">
        <v>7.638126547101505E-2</v>
      </c>
      <c r="BE1048" s="33">
        <v>0</v>
      </c>
      <c r="BF1048" s="33">
        <v>0</v>
      </c>
      <c r="CE1048" s="36">
        <v>1014</v>
      </c>
      <c r="CF1048" s="33">
        <v>7</v>
      </c>
      <c r="CG1048" s="33">
        <v>2</v>
      </c>
      <c r="CH1048" s="33">
        <v>1</v>
      </c>
      <c r="CI1048" s="33">
        <v>3</v>
      </c>
      <c r="CJ1048" s="33">
        <v>7</v>
      </c>
      <c r="CK1048" s="33">
        <v>0</v>
      </c>
      <c r="CL1048" s="33">
        <v>2</v>
      </c>
      <c r="CM1048" s="33">
        <v>3</v>
      </c>
      <c r="CN1048" s="33">
        <v>3</v>
      </c>
      <c r="CO1048" s="33">
        <v>0</v>
      </c>
      <c r="CP1048" s="43">
        <v>7.0271096976968969E-2</v>
      </c>
      <c r="CQ1048" s="33">
        <v>0</v>
      </c>
      <c r="CR1048" s="33">
        <v>0</v>
      </c>
    </row>
    <row r="1049" spans="1:96" ht="15" customHeight="1" x14ac:dyDescent="0.25">
      <c r="A1049" s="26">
        <v>1047</v>
      </c>
      <c r="B1049" s="27">
        <v>33</v>
      </c>
      <c r="C1049" s="27">
        <v>0</v>
      </c>
      <c r="D1049" s="27">
        <v>2</v>
      </c>
      <c r="E1049" s="27">
        <v>430</v>
      </c>
      <c r="F1049" s="27">
        <v>1</v>
      </c>
      <c r="G1049" s="27">
        <v>7</v>
      </c>
      <c r="H1049" s="27">
        <v>3</v>
      </c>
      <c r="I1049" s="27">
        <v>3</v>
      </c>
      <c r="J1049" s="27">
        <v>1</v>
      </c>
      <c r="K1049" s="27">
        <v>1477</v>
      </c>
      <c r="L1049" s="27">
        <v>4</v>
      </c>
      <c r="M1049" s="27">
        <v>1</v>
      </c>
      <c r="N1049" s="27">
        <v>54</v>
      </c>
      <c r="O1049" s="27">
        <v>3</v>
      </c>
      <c r="P1049" s="27">
        <v>2</v>
      </c>
      <c r="Q1049" s="27">
        <v>1</v>
      </c>
      <c r="R1049" s="27">
        <v>1</v>
      </c>
      <c r="S1049" s="27">
        <v>2</v>
      </c>
      <c r="T1049" s="27">
        <v>4373</v>
      </c>
      <c r="U1049" s="27">
        <v>17456</v>
      </c>
      <c r="V1049" s="27">
        <v>0</v>
      </c>
      <c r="W1049" s="27">
        <v>0</v>
      </c>
      <c r="X1049" s="27">
        <v>14</v>
      </c>
      <c r="Y1049" s="27">
        <v>3</v>
      </c>
      <c r="Z1049" s="27">
        <v>1</v>
      </c>
      <c r="AA1049" s="27">
        <v>80</v>
      </c>
      <c r="AB1049" s="27">
        <v>2</v>
      </c>
      <c r="AC1049" s="27">
        <v>5</v>
      </c>
      <c r="AD1049" s="27">
        <v>2</v>
      </c>
      <c r="AE1049" s="27">
        <v>3</v>
      </c>
      <c r="AF1049" s="27">
        <v>4</v>
      </c>
      <c r="AG1049" s="27">
        <v>3</v>
      </c>
      <c r="AH1049" s="27">
        <v>0</v>
      </c>
      <c r="AI1049" s="28">
        <v>3</v>
      </c>
      <c r="AK1049" s="36">
        <v>1016</v>
      </c>
      <c r="AL1049" s="33">
        <v>1</v>
      </c>
      <c r="AM1049" s="33">
        <v>1</v>
      </c>
      <c r="AN1049" s="33">
        <v>1</v>
      </c>
      <c r="AO1049" s="33">
        <v>5</v>
      </c>
      <c r="AP1049" s="33">
        <v>0</v>
      </c>
      <c r="AQ1049" s="33">
        <v>2</v>
      </c>
      <c r="AR1049" s="33">
        <v>3</v>
      </c>
      <c r="AS1049" s="33">
        <v>4</v>
      </c>
      <c r="AT1049" s="33">
        <v>1</v>
      </c>
      <c r="AU1049" s="43">
        <v>0.10387687439259088</v>
      </c>
      <c r="AV1049" s="33">
        <v>0</v>
      </c>
      <c r="AW1049" s="33">
        <v>0</v>
      </c>
      <c r="AY1049" s="36">
        <v>1021</v>
      </c>
      <c r="AZ1049" s="33">
        <v>1</v>
      </c>
      <c r="BA1049" s="33">
        <v>4</v>
      </c>
      <c r="BB1049" s="33">
        <v>0</v>
      </c>
      <c r="BC1049" s="33">
        <v>1</v>
      </c>
      <c r="BD1049" s="43">
        <v>9.2486413274924434E-2</v>
      </c>
      <c r="BE1049" s="33">
        <v>0</v>
      </c>
      <c r="BF1049" s="33">
        <v>0</v>
      </c>
      <c r="CE1049" s="36">
        <v>1015</v>
      </c>
      <c r="CF1049" s="33">
        <v>8</v>
      </c>
      <c r="CG1049" s="33">
        <v>4</v>
      </c>
      <c r="CH1049" s="33">
        <v>2</v>
      </c>
      <c r="CI1049" s="33">
        <v>1</v>
      </c>
      <c r="CJ1049" s="33">
        <v>3</v>
      </c>
      <c r="CK1049" s="33">
        <v>0</v>
      </c>
      <c r="CL1049" s="33">
        <v>0</v>
      </c>
      <c r="CM1049" s="33">
        <v>4</v>
      </c>
      <c r="CN1049" s="33">
        <v>3</v>
      </c>
      <c r="CO1049" s="33">
        <v>1</v>
      </c>
      <c r="CP1049" s="43">
        <v>5.4178576186572493E-2</v>
      </c>
      <c r="CQ1049" s="33">
        <v>0</v>
      </c>
      <c r="CR1049" s="33">
        <v>0</v>
      </c>
    </row>
    <row r="1050" spans="1:96" ht="15" customHeight="1" x14ac:dyDescent="0.25">
      <c r="A1050" s="26">
        <v>1048</v>
      </c>
      <c r="B1050" s="27">
        <v>34</v>
      </c>
      <c r="C1050" s="27">
        <v>0</v>
      </c>
      <c r="D1050" s="27">
        <v>1</v>
      </c>
      <c r="E1050" s="27">
        <v>1326</v>
      </c>
      <c r="F1050" s="27">
        <v>1</v>
      </c>
      <c r="G1050" s="27">
        <v>3</v>
      </c>
      <c r="H1050" s="27">
        <v>3</v>
      </c>
      <c r="I1050" s="27">
        <v>6</v>
      </c>
      <c r="J1050" s="27">
        <v>1</v>
      </c>
      <c r="K1050" s="27">
        <v>1478</v>
      </c>
      <c r="L1050" s="27">
        <v>4</v>
      </c>
      <c r="M1050" s="27">
        <v>1</v>
      </c>
      <c r="N1050" s="27">
        <v>81</v>
      </c>
      <c r="O1050" s="27">
        <v>1</v>
      </c>
      <c r="P1050" s="27">
        <v>2</v>
      </c>
      <c r="Q1050" s="27">
        <v>1</v>
      </c>
      <c r="R1050" s="27">
        <v>1</v>
      </c>
      <c r="S1050" s="27">
        <v>1</v>
      </c>
      <c r="T1050" s="27">
        <v>4759</v>
      </c>
      <c r="U1050" s="27">
        <v>15891</v>
      </c>
      <c r="V1050" s="27">
        <v>3</v>
      </c>
      <c r="W1050" s="27">
        <v>0</v>
      </c>
      <c r="X1050" s="27">
        <v>18</v>
      </c>
      <c r="Y1050" s="27">
        <v>3</v>
      </c>
      <c r="Z1050" s="27">
        <v>4</v>
      </c>
      <c r="AA1050" s="27">
        <v>80</v>
      </c>
      <c r="AB1050" s="27">
        <v>0</v>
      </c>
      <c r="AC1050" s="27">
        <v>15</v>
      </c>
      <c r="AD1050" s="27">
        <v>2</v>
      </c>
      <c r="AE1050" s="27">
        <v>3</v>
      </c>
      <c r="AF1050" s="27">
        <v>13</v>
      </c>
      <c r="AG1050" s="27">
        <v>9</v>
      </c>
      <c r="AH1050" s="27">
        <v>3</v>
      </c>
      <c r="AI1050" s="28">
        <v>12</v>
      </c>
      <c r="AK1050" s="36">
        <v>1017</v>
      </c>
      <c r="AL1050" s="33">
        <v>8</v>
      </c>
      <c r="AM1050" s="33">
        <v>1</v>
      </c>
      <c r="AN1050" s="33">
        <v>2</v>
      </c>
      <c r="AO1050" s="33">
        <v>1</v>
      </c>
      <c r="AP1050" s="33">
        <v>0</v>
      </c>
      <c r="AQ1050" s="33">
        <v>0</v>
      </c>
      <c r="AR1050" s="33">
        <v>4</v>
      </c>
      <c r="AS1050" s="33">
        <v>1</v>
      </c>
      <c r="AT1050" s="33">
        <v>0</v>
      </c>
      <c r="AU1050" s="43">
        <v>0.17614088746377093</v>
      </c>
      <c r="AV1050" s="33">
        <v>0</v>
      </c>
      <c r="AW1050" s="33">
        <v>1</v>
      </c>
      <c r="AY1050" s="36">
        <v>1022</v>
      </c>
      <c r="AZ1050" s="33">
        <v>1</v>
      </c>
      <c r="BA1050" s="33">
        <v>1</v>
      </c>
      <c r="BB1050" s="33">
        <v>0</v>
      </c>
      <c r="BC1050" s="33">
        <v>0</v>
      </c>
      <c r="BD1050" s="43">
        <v>0.29341085656570393</v>
      </c>
      <c r="BE1050" s="33">
        <v>0</v>
      </c>
      <c r="BF1050" s="33">
        <v>1</v>
      </c>
      <c r="CE1050" s="36">
        <v>1016</v>
      </c>
      <c r="CF1050" s="33">
        <v>1</v>
      </c>
      <c r="CG1050" s="33">
        <v>1</v>
      </c>
      <c r="CH1050" s="33">
        <v>1</v>
      </c>
      <c r="CI1050" s="33">
        <v>3</v>
      </c>
      <c r="CJ1050" s="33">
        <v>5</v>
      </c>
      <c r="CK1050" s="33">
        <v>0</v>
      </c>
      <c r="CL1050" s="33">
        <v>2</v>
      </c>
      <c r="CM1050" s="33">
        <v>3</v>
      </c>
      <c r="CN1050" s="33">
        <v>4</v>
      </c>
      <c r="CO1050" s="33">
        <v>1</v>
      </c>
      <c r="CP1050" s="43">
        <v>8.5526567719914515E-2</v>
      </c>
      <c r="CQ1050" s="33">
        <v>0</v>
      </c>
      <c r="CR1050" s="33">
        <v>0</v>
      </c>
    </row>
    <row r="1051" spans="1:96" ht="15" customHeight="1" x14ac:dyDescent="0.25">
      <c r="A1051" s="26">
        <v>1049</v>
      </c>
      <c r="B1051" s="27">
        <v>30</v>
      </c>
      <c r="C1051" s="27">
        <v>0</v>
      </c>
      <c r="D1051" s="27">
        <v>1</v>
      </c>
      <c r="E1051" s="27">
        <v>1358</v>
      </c>
      <c r="F1051" s="27">
        <v>1</v>
      </c>
      <c r="G1051" s="27">
        <v>16</v>
      </c>
      <c r="H1051" s="27">
        <v>1</v>
      </c>
      <c r="I1051" s="27">
        <v>1</v>
      </c>
      <c r="J1051" s="27">
        <v>1</v>
      </c>
      <c r="K1051" s="27">
        <v>1479</v>
      </c>
      <c r="L1051" s="27">
        <v>4</v>
      </c>
      <c r="M1051" s="27">
        <v>1</v>
      </c>
      <c r="N1051" s="27">
        <v>96</v>
      </c>
      <c r="O1051" s="27">
        <v>3</v>
      </c>
      <c r="P1051" s="27">
        <v>2</v>
      </c>
      <c r="Q1051" s="27">
        <v>1</v>
      </c>
      <c r="R1051" s="27">
        <v>3</v>
      </c>
      <c r="S1051" s="27">
        <v>2</v>
      </c>
      <c r="T1051" s="27">
        <v>5301</v>
      </c>
      <c r="U1051" s="27">
        <v>2939</v>
      </c>
      <c r="V1051" s="27">
        <v>8</v>
      </c>
      <c r="W1051" s="27">
        <v>0</v>
      </c>
      <c r="X1051" s="27">
        <v>15</v>
      </c>
      <c r="Y1051" s="27">
        <v>3</v>
      </c>
      <c r="Z1051" s="27">
        <v>3</v>
      </c>
      <c r="AA1051" s="27">
        <v>80</v>
      </c>
      <c r="AB1051" s="27">
        <v>2</v>
      </c>
      <c r="AC1051" s="27">
        <v>4</v>
      </c>
      <c r="AD1051" s="27">
        <v>2</v>
      </c>
      <c r="AE1051" s="27">
        <v>2</v>
      </c>
      <c r="AF1051" s="27">
        <v>2</v>
      </c>
      <c r="AG1051" s="27">
        <v>1</v>
      </c>
      <c r="AH1051" s="27">
        <v>2</v>
      </c>
      <c r="AI1051" s="28">
        <v>2</v>
      </c>
      <c r="AK1051" s="36">
        <v>1018</v>
      </c>
      <c r="AL1051" s="33">
        <v>11</v>
      </c>
      <c r="AM1051" s="33">
        <v>1</v>
      </c>
      <c r="AN1051" s="33">
        <v>1</v>
      </c>
      <c r="AO1051" s="33">
        <v>0</v>
      </c>
      <c r="AP1051" s="33">
        <v>0</v>
      </c>
      <c r="AQ1051" s="33">
        <v>0</v>
      </c>
      <c r="AR1051" s="33">
        <v>4</v>
      </c>
      <c r="AS1051" s="33">
        <v>5</v>
      </c>
      <c r="AT1051" s="33">
        <v>1</v>
      </c>
      <c r="AU1051" s="43">
        <v>0.1964171681425535</v>
      </c>
      <c r="AV1051" s="33">
        <v>0</v>
      </c>
      <c r="AW1051" s="33">
        <v>0</v>
      </c>
      <c r="AY1051" s="36">
        <v>1023</v>
      </c>
      <c r="AZ1051" s="33">
        <v>1</v>
      </c>
      <c r="BA1051" s="33">
        <v>3</v>
      </c>
      <c r="BB1051" s="33">
        <v>0</v>
      </c>
      <c r="BC1051" s="33">
        <v>0</v>
      </c>
      <c r="BD1051" s="43">
        <v>0.18791247240909698</v>
      </c>
      <c r="BE1051" s="33">
        <v>0</v>
      </c>
      <c r="BF1051" s="33">
        <v>0</v>
      </c>
      <c r="CE1051" s="36">
        <v>1017</v>
      </c>
      <c r="CF1051" s="33">
        <v>8</v>
      </c>
      <c r="CG1051" s="33">
        <v>1</v>
      </c>
      <c r="CH1051" s="33">
        <v>2</v>
      </c>
      <c r="CI1051" s="33">
        <v>1</v>
      </c>
      <c r="CJ1051" s="33">
        <v>1</v>
      </c>
      <c r="CK1051" s="33">
        <v>0</v>
      </c>
      <c r="CL1051" s="33">
        <v>0</v>
      </c>
      <c r="CM1051" s="33">
        <v>4</v>
      </c>
      <c r="CN1051" s="33">
        <v>1</v>
      </c>
      <c r="CO1051" s="33">
        <v>0</v>
      </c>
      <c r="CP1051" s="43">
        <v>0.20081121170981117</v>
      </c>
      <c r="CQ1051" s="33">
        <v>0</v>
      </c>
      <c r="CR1051" s="33">
        <v>1</v>
      </c>
    </row>
    <row r="1052" spans="1:96" ht="15" customHeight="1" x14ac:dyDescent="0.25">
      <c r="A1052" s="26">
        <v>1050</v>
      </c>
      <c r="B1052" s="27">
        <v>42</v>
      </c>
      <c r="C1052" s="27">
        <v>0</v>
      </c>
      <c r="D1052" s="27">
        <v>2</v>
      </c>
      <c r="E1052" s="27">
        <v>748</v>
      </c>
      <c r="F1052" s="27">
        <v>2</v>
      </c>
      <c r="G1052" s="27">
        <v>9</v>
      </c>
      <c r="H1052" s="27">
        <v>2</v>
      </c>
      <c r="I1052" s="27">
        <v>3</v>
      </c>
      <c r="J1052" s="27">
        <v>1</v>
      </c>
      <c r="K1052" s="27">
        <v>1480</v>
      </c>
      <c r="L1052" s="27">
        <v>1</v>
      </c>
      <c r="M1052" s="27">
        <v>0</v>
      </c>
      <c r="N1052" s="27">
        <v>74</v>
      </c>
      <c r="O1052" s="27">
        <v>3</v>
      </c>
      <c r="P1052" s="27">
        <v>1</v>
      </c>
      <c r="Q1052" s="27">
        <v>3</v>
      </c>
      <c r="R1052" s="27">
        <v>4</v>
      </c>
      <c r="S1052" s="27">
        <v>1</v>
      </c>
      <c r="T1052" s="27">
        <v>3673</v>
      </c>
      <c r="U1052" s="27">
        <v>16458</v>
      </c>
      <c r="V1052" s="27">
        <v>1</v>
      </c>
      <c r="W1052" s="27">
        <v>0</v>
      </c>
      <c r="X1052" s="27">
        <v>13</v>
      </c>
      <c r="Y1052" s="27">
        <v>3</v>
      </c>
      <c r="Z1052" s="27">
        <v>3</v>
      </c>
      <c r="AA1052" s="27">
        <v>80</v>
      </c>
      <c r="AB1052" s="27">
        <v>0</v>
      </c>
      <c r="AC1052" s="27">
        <v>12</v>
      </c>
      <c r="AD1052" s="27">
        <v>3</v>
      </c>
      <c r="AE1052" s="27">
        <v>3</v>
      </c>
      <c r="AF1052" s="27">
        <v>12</v>
      </c>
      <c r="AG1052" s="27">
        <v>9</v>
      </c>
      <c r="AH1052" s="27">
        <v>5</v>
      </c>
      <c r="AI1052" s="28">
        <v>8</v>
      </c>
      <c r="AK1052" s="36">
        <v>1019</v>
      </c>
      <c r="AL1052" s="33">
        <v>4</v>
      </c>
      <c r="AM1052" s="33">
        <v>2</v>
      </c>
      <c r="AN1052" s="33">
        <v>4</v>
      </c>
      <c r="AO1052" s="33">
        <v>1</v>
      </c>
      <c r="AP1052" s="33">
        <v>0</v>
      </c>
      <c r="AQ1052" s="33">
        <v>0</v>
      </c>
      <c r="AR1052" s="33">
        <v>2</v>
      </c>
      <c r="AS1052" s="33">
        <v>10</v>
      </c>
      <c r="AT1052" s="33">
        <v>1</v>
      </c>
      <c r="AU1052" s="43">
        <v>5.2979279527143305E-2</v>
      </c>
      <c r="AV1052" s="33">
        <v>0</v>
      </c>
      <c r="AW1052" s="33">
        <v>0</v>
      </c>
      <c r="AY1052" s="36">
        <v>1024</v>
      </c>
      <c r="AZ1052" s="33">
        <v>1</v>
      </c>
      <c r="BA1052" s="33">
        <v>1</v>
      </c>
      <c r="BB1052" s="33">
        <v>0</v>
      </c>
      <c r="BC1052" s="33">
        <v>1</v>
      </c>
      <c r="BD1052" s="43">
        <v>0.19678474515944386</v>
      </c>
      <c r="BE1052" s="33">
        <v>0</v>
      </c>
      <c r="BF1052" s="33">
        <v>0</v>
      </c>
      <c r="CE1052" s="36">
        <v>1018</v>
      </c>
      <c r="CF1052" s="33">
        <v>11</v>
      </c>
      <c r="CG1052" s="33">
        <v>1</v>
      </c>
      <c r="CH1052" s="33">
        <v>1</v>
      </c>
      <c r="CI1052" s="33">
        <v>2</v>
      </c>
      <c r="CJ1052" s="33">
        <v>0</v>
      </c>
      <c r="CK1052" s="33">
        <v>0</v>
      </c>
      <c r="CL1052" s="33">
        <v>0</v>
      </c>
      <c r="CM1052" s="33">
        <v>4</v>
      </c>
      <c r="CN1052" s="33">
        <v>5</v>
      </c>
      <c r="CO1052" s="33">
        <v>1</v>
      </c>
      <c r="CP1052" s="43">
        <v>0.14371695651868932</v>
      </c>
      <c r="CQ1052" s="33">
        <v>0</v>
      </c>
      <c r="CR1052" s="33">
        <v>0</v>
      </c>
    </row>
    <row r="1053" spans="1:96" ht="15" customHeight="1" x14ac:dyDescent="0.25">
      <c r="A1053" s="26">
        <v>1051</v>
      </c>
      <c r="B1053" s="27">
        <v>44</v>
      </c>
      <c r="C1053" s="27">
        <v>0</v>
      </c>
      <c r="D1053" s="27">
        <v>2</v>
      </c>
      <c r="E1053" s="27">
        <v>383</v>
      </c>
      <c r="F1053" s="27">
        <v>1</v>
      </c>
      <c r="G1053" s="27">
        <v>1</v>
      </c>
      <c r="H1053" s="27">
        <v>5</v>
      </c>
      <c r="I1053" s="27">
        <v>4</v>
      </c>
      <c r="J1053" s="27">
        <v>1</v>
      </c>
      <c r="K1053" s="27">
        <v>1481</v>
      </c>
      <c r="L1053" s="27">
        <v>1</v>
      </c>
      <c r="M1053" s="27">
        <v>0</v>
      </c>
      <c r="N1053" s="27">
        <v>79</v>
      </c>
      <c r="O1053" s="27">
        <v>3</v>
      </c>
      <c r="P1053" s="27">
        <v>2</v>
      </c>
      <c r="Q1053" s="27">
        <v>1</v>
      </c>
      <c r="R1053" s="27">
        <v>3</v>
      </c>
      <c r="S1053" s="27">
        <v>2</v>
      </c>
      <c r="T1053" s="27">
        <v>4768</v>
      </c>
      <c r="U1053" s="27">
        <v>9282</v>
      </c>
      <c r="V1053" s="27">
        <v>7</v>
      </c>
      <c r="W1053" s="27">
        <v>0</v>
      </c>
      <c r="X1053" s="27">
        <v>12</v>
      </c>
      <c r="Y1053" s="27">
        <v>3</v>
      </c>
      <c r="Z1053" s="27">
        <v>3</v>
      </c>
      <c r="AA1053" s="27">
        <v>80</v>
      </c>
      <c r="AB1053" s="27">
        <v>1</v>
      </c>
      <c r="AC1053" s="27">
        <v>11</v>
      </c>
      <c r="AD1053" s="27">
        <v>4</v>
      </c>
      <c r="AE1053" s="27">
        <v>2</v>
      </c>
      <c r="AF1053" s="27">
        <v>1</v>
      </c>
      <c r="AG1053" s="27">
        <v>0</v>
      </c>
      <c r="AH1053" s="27">
        <v>0</v>
      </c>
      <c r="AI1053" s="28">
        <v>0</v>
      </c>
      <c r="AK1053" s="36">
        <v>1020</v>
      </c>
      <c r="AL1053" s="33">
        <v>16</v>
      </c>
      <c r="AM1053" s="33">
        <v>2</v>
      </c>
      <c r="AN1053" s="33">
        <v>1</v>
      </c>
      <c r="AO1053" s="33">
        <v>4</v>
      </c>
      <c r="AP1053" s="33">
        <v>0</v>
      </c>
      <c r="AQ1053" s="33">
        <v>2</v>
      </c>
      <c r="AR1053" s="33">
        <v>2</v>
      </c>
      <c r="AS1053" s="33">
        <v>3</v>
      </c>
      <c r="AT1053" s="33">
        <v>0</v>
      </c>
      <c r="AU1053" s="43">
        <v>0.10962238160234382</v>
      </c>
      <c r="AV1053" s="33">
        <v>0</v>
      </c>
      <c r="AW1053" s="33">
        <v>0</v>
      </c>
      <c r="AY1053" s="36">
        <v>1025</v>
      </c>
      <c r="AZ1053" s="33">
        <v>4</v>
      </c>
      <c r="BA1053" s="33">
        <v>3</v>
      </c>
      <c r="BB1053" s="33">
        <v>0</v>
      </c>
      <c r="BC1053" s="33">
        <v>2</v>
      </c>
      <c r="BD1053" s="43">
        <v>1.4859513073716558E-2</v>
      </c>
      <c r="BE1053" s="33">
        <v>0</v>
      </c>
      <c r="BF1053" s="33">
        <v>0</v>
      </c>
      <c r="CE1053" s="36">
        <v>1019</v>
      </c>
      <c r="CF1053" s="33">
        <v>4</v>
      </c>
      <c r="CG1053" s="33">
        <v>2</v>
      </c>
      <c r="CH1053" s="33">
        <v>4</v>
      </c>
      <c r="CI1053" s="33">
        <v>1</v>
      </c>
      <c r="CJ1053" s="33">
        <v>1</v>
      </c>
      <c r="CK1053" s="33">
        <v>0</v>
      </c>
      <c r="CL1053" s="33">
        <v>0</v>
      </c>
      <c r="CM1053" s="33">
        <v>2</v>
      </c>
      <c r="CN1053" s="33">
        <v>10</v>
      </c>
      <c r="CO1053" s="33">
        <v>1</v>
      </c>
      <c r="CP1053" s="43">
        <v>6.2088302016340982E-2</v>
      </c>
      <c r="CQ1053" s="33">
        <v>0</v>
      </c>
      <c r="CR1053" s="33">
        <v>0</v>
      </c>
    </row>
    <row r="1054" spans="1:96" ht="15" customHeight="1" x14ac:dyDescent="0.25">
      <c r="A1054" s="26">
        <v>1052</v>
      </c>
      <c r="B1054" s="27">
        <v>30</v>
      </c>
      <c r="C1054" s="27">
        <v>0</v>
      </c>
      <c r="D1054" s="27">
        <v>3</v>
      </c>
      <c r="E1054" s="27">
        <v>990</v>
      </c>
      <c r="F1054" s="27">
        <v>2</v>
      </c>
      <c r="G1054" s="27">
        <v>7</v>
      </c>
      <c r="H1054" s="27">
        <v>3</v>
      </c>
      <c r="I1054" s="27">
        <v>5</v>
      </c>
      <c r="J1054" s="27">
        <v>1</v>
      </c>
      <c r="K1054" s="27">
        <v>1482</v>
      </c>
      <c r="L1054" s="27">
        <v>3</v>
      </c>
      <c r="M1054" s="27">
        <v>1</v>
      </c>
      <c r="N1054" s="27">
        <v>64</v>
      </c>
      <c r="O1054" s="27">
        <v>3</v>
      </c>
      <c r="P1054" s="27">
        <v>1</v>
      </c>
      <c r="Q1054" s="27">
        <v>2</v>
      </c>
      <c r="R1054" s="27">
        <v>3</v>
      </c>
      <c r="S1054" s="27">
        <v>3</v>
      </c>
      <c r="T1054" s="27">
        <v>1274</v>
      </c>
      <c r="U1054" s="27">
        <v>7152</v>
      </c>
      <c r="V1054" s="27">
        <v>1</v>
      </c>
      <c r="W1054" s="27">
        <v>0</v>
      </c>
      <c r="X1054" s="27">
        <v>13</v>
      </c>
      <c r="Y1054" s="27">
        <v>3</v>
      </c>
      <c r="Z1054" s="27">
        <v>2</v>
      </c>
      <c r="AA1054" s="27">
        <v>80</v>
      </c>
      <c r="AB1054" s="27">
        <v>2</v>
      </c>
      <c r="AC1054" s="27">
        <v>1</v>
      </c>
      <c r="AD1054" s="27">
        <v>2</v>
      </c>
      <c r="AE1054" s="27">
        <v>2</v>
      </c>
      <c r="AF1054" s="27">
        <v>1</v>
      </c>
      <c r="AG1054" s="27">
        <v>0</v>
      </c>
      <c r="AH1054" s="27">
        <v>0</v>
      </c>
      <c r="AI1054" s="28">
        <v>0</v>
      </c>
      <c r="AK1054" s="36">
        <v>1021</v>
      </c>
      <c r="AL1054" s="33">
        <v>1</v>
      </c>
      <c r="AM1054" s="33">
        <v>1</v>
      </c>
      <c r="AN1054" s="33">
        <v>4</v>
      </c>
      <c r="AO1054" s="33">
        <v>7</v>
      </c>
      <c r="AP1054" s="33">
        <v>0</v>
      </c>
      <c r="AQ1054" s="33">
        <v>1</v>
      </c>
      <c r="AR1054" s="33">
        <v>2</v>
      </c>
      <c r="AS1054" s="33">
        <v>6</v>
      </c>
      <c r="AT1054" s="33">
        <v>1</v>
      </c>
      <c r="AU1054" s="43">
        <v>9.9076534959148865E-2</v>
      </c>
      <c r="AV1054" s="33">
        <v>0</v>
      </c>
      <c r="AW1054" s="33">
        <v>0</v>
      </c>
      <c r="AY1054" s="36">
        <v>1026</v>
      </c>
      <c r="AZ1054" s="33">
        <v>2</v>
      </c>
      <c r="BA1054" s="33">
        <v>3</v>
      </c>
      <c r="BB1054" s="33">
        <v>1</v>
      </c>
      <c r="BC1054" s="33">
        <v>2</v>
      </c>
      <c r="BD1054" s="43">
        <v>0.16457242924360335</v>
      </c>
      <c r="BE1054" s="33">
        <v>0</v>
      </c>
      <c r="BF1054" s="33">
        <v>0</v>
      </c>
      <c r="CE1054" s="36">
        <v>1020</v>
      </c>
      <c r="CF1054" s="33">
        <v>16</v>
      </c>
      <c r="CG1054" s="33">
        <v>2</v>
      </c>
      <c r="CH1054" s="33">
        <v>1</v>
      </c>
      <c r="CI1054" s="33">
        <v>2</v>
      </c>
      <c r="CJ1054" s="33">
        <v>4</v>
      </c>
      <c r="CK1054" s="33">
        <v>0</v>
      </c>
      <c r="CL1054" s="33">
        <v>2</v>
      </c>
      <c r="CM1054" s="33">
        <v>2</v>
      </c>
      <c r="CN1054" s="33">
        <v>3</v>
      </c>
      <c r="CO1054" s="33">
        <v>0</v>
      </c>
      <c r="CP1054" s="43">
        <v>0.1498004488556704</v>
      </c>
      <c r="CQ1054" s="33">
        <v>0</v>
      </c>
      <c r="CR1054" s="33">
        <v>0</v>
      </c>
    </row>
    <row r="1055" spans="1:96" ht="15" customHeight="1" x14ac:dyDescent="0.25">
      <c r="A1055" s="26">
        <v>1053</v>
      </c>
      <c r="B1055" s="27">
        <v>57</v>
      </c>
      <c r="C1055" s="27">
        <v>0</v>
      </c>
      <c r="D1055" s="27">
        <v>1</v>
      </c>
      <c r="E1055" s="27">
        <v>405</v>
      </c>
      <c r="F1055" s="27">
        <v>2</v>
      </c>
      <c r="G1055" s="27">
        <v>1</v>
      </c>
      <c r="H1055" s="27">
        <v>2</v>
      </c>
      <c r="I1055" s="27">
        <v>1</v>
      </c>
      <c r="J1055" s="27">
        <v>1</v>
      </c>
      <c r="K1055" s="27">
        <v>1483</v>
      </c>
      <c r="L1055" s="27">
        <v>2</v>
      </c>
      <c r="M1055" s="27">
        <v>1</v>
      </c>
      <c r="N1055" s="27">
        <v>93</v>
      </c>
      <c r="O1055" s="27">
        <v>4</v>
      </c>
      <c r="P1055" s="27">
        <v>2</v>
      </c>
      <c r="Q1055" s="27">
        <v>2</v>
      </c>
      <c r="R1055" s="27">
        <v>3</v>
      </c>
      <c r="S1055" s="27">
        <v>2</v>
      </c>
      <c r="T1055" s="27">
        <v>4900</v>
      </c>
      <c r="U1055" s="27">
        <v>2721</v>
      </c>
      <c r="V1055" s="27">
        <v>0</v>
      </c>
      <c r="W1055" s="27">
        <v>0</v>
      </c>
      <c r="X1055" s="27">
        <v>24</v>
      </c>
      <c r="Y1055" s="27">
        <v>4</v>
      </c>
      <c r="Z1055" s="27">
        <v>1</v>
      </c>
      <c r="AA1055" s="27">
        <v>80</v>
      </c>
      <c r="AB1055" s="27">
        <v>1</v>
      </c>
      <c r="AC1055" s="27">
        <v>13</v>
      </c>
      <c r="AD1055" s="27">
        <v>2</v>
      </c>
      <c r="AE1055" s="27">
        <v>2</v>
      </c>
      <c r="AF1055" s="27">
        <v>12</v>
      </c>
      <c r="AG1055" s="27">
        <v>9</v>
      </c>
      <c r="AH1055" s="27">
        <v>2</v>
      </c>
      <c r="AI1055" s="28">
        <v>8</v>
      </c>
      <c r="AK1055" s="36">
        <v>1022</v>
      </c>
      <c r="AL1055" s="33">
        <v>9</v>
      </c>
      <c r="AM1055" s="33">
        <v>1</v>
      </c>
      <c r="AN1055" s="33">
        <v>1</v>
      </c>
      <c r="AO1055" s="33">
        <v>3</v>
      </c>
      <c r="AP1055" s="33">
        <v>0</v>
      </c>
      <c r="AQ1055" s="33">
        <v>0</v>
      </c>
      <c r="AR1055" s="33">
        <v>3</v>
      </c>
      <c r="AS1055" s="33">
        <v>3</v>
      </c>
      <c r="AT1055" s="33">
        <v>2</v>
      </c>
      <c r="AU1055" s="43">
        <v>0.32430566111120213</v>
      </c>
      <c r="AV1055" s="33">
        <v>0</v>
      </c>
      <c r="AW1055" s="33">
        <v>1</v>
      </c>
      <c r="AY1055" s="36">
        <v>1027</v>
      </c>
      <c r="AZ1055" s="33">
        <v>2</v>
      </c>
      <c r="BA1055" s="33">
        <v>4</v>
      </c>
      <c r="BB1055" s="33">
        <v>0</v>
      </c>
      <c r="BC1055" s="33">
        <v>1</v>
      </c>
      <c r="BD1055" s="43">
        <v>5.5093218126976727E-2</v>
      </c>
      <c r="BE1055" s="33">
        <v>0</v>
      </c>
      <c r="BF1055" s="33">
        <v>0</v>
      </c>
      <c r="CE1055" s="36">
        <v>1021</v>
      </c>
      <c r="CF1055" s="33">
        <v>1</v>
      </c>
      <c r="CG1055" s="33">
        <v>1</v>
      </c>
      <c r="CH1055" s="33">
        <v>4</v>
      </c>
      <c r="CI1055" s="33">
        <v>2</v>
      </c>
      <c r="CJ1055" s="33">
        <v>7</v>
      </c>
      <c r="CK1055" s="33">
        <v>0</v>
      </c>
      <c r="CL1055" s="33">
        <v>1</v>
      </c>
      <c r="CM1055" s="33">
        <v>2</v>
      </c>
      <c r="CN1055" s="33">
        <v>6</v>
      </c>
      <c r="CO1055" s="33">
        <v>1</v>
      </c>
      <c r="CP1055" s="43">
        <v>9.5466585920220989E-2</v>
      </c>
      <c r="CQ1055" s="33">
        <v>0</v>
      </c>
      <c r="CR1055" s="33">
        <v>0</v>
      </c>
    </row>
    <row r="1056" spans="1:96" ht="15" customHeight="1" x14ac:dyDescent="0.25">
      <c r="A1056" s="26">
        <v>1054</v>
      </c>
      <c r="B1056" s="27">
        <v>49</v>
      </c>
      <c r="C1056" s="27">
        <v>0</v>
      </c>
      <c r="D1056" s="27">
        <v>1</v>
      </c>
      <c r="E1056" s="27">
        <v>1490</v>
      </c>
      <c r="F1056" s="27">
        <v>2</v>
      </c>
      <c r="G1056" s="27">
        <v>7</v>
      </c>
      <c r="H1056" s="27">
        <v>4</v>
      </c>
      <c r="I1056" s="27">
        <v>1</v>
      </c>
      <c r="J1056" s="27">
        <v>1</v>
      </c>
      <c r="K1056" s="27">
        <v>1484</v>
      </c>
      <c r="L1056" s="27">
        <v>3</v>
      </c>
      <c r="M1056" s="27">
        <v>1</v>
      </c>
      <c r="N1056" s="27">
        <v>35</v>
      </c>
      <c r="O1056" s="27">
        <v>3</v>
      </c>
      <c r="P1056" s="27">
        <v>3</v>
      </c>
      <c r="Q1056" s="27">
        <v>5</v>
      </c>
      <c r="R1056" s="27">
        <v>2</v>
      </c>
      <c r="S1056" s="27">
        <v>3</v>
      </c>
      <c r="T1056" s="27">
        <v>10466</v>
      </c>
      <c r="U1056" s="27">
        <v>20948</v>
      </c>
      <c r="V1056" s="27">
        <v>3</v>
      </c>
      <c r="W1056" s="27">
        <v>0</v>
      </c>
      <c r="X1056" s="27">
        <v>14</v>
      </c>
      <c r="Y1056" s="27">
        <v>3</v>
      </c>
      <c r="Z1056" s="27">
        <v>2</v>
      </c>
      <c r="AA1056" s="27">
        <v>80</v>
      </c>
      <c r="AB1056" s="27">
        <v>2</v>
      </c>
      <c r="AC1056" s="27">
        <v>29</v>
      </c>
      <c r="AD1056" s="27">
        <v>3</v>
      </c>
      <c r="AE1056" s="27">
        <v>3</v>
      </c>
      <c r="AF1056" s="27">
        <v>8</v>
      </c>
      <c r="AG1056" s="27">
        <v>7</v>
      </c>
      <c r="AH1056" s="27">
        <v>0</v>
      </c>
      <c r="AI1056" s="28">
        <v>7</v>
      </c>
      <c r="AK1056" s="36">
        <v>1023</v>
      </c>
      <c r="AL1056" s="33">
        <v>5</v>
      </c>
      <c r="AM1056" s="33">
        <v>1</v>
      </c>
      <c r="AN1056" s="33">
        <v>3</v>
      </c>
      <c r="AO1056" s="33">
        <v>0</v>
      </c>
      <c r="AP1056" s="33">
        <v>0</v>
      </c>
      <c r="AQ1056" s="33">
        <v>0</v>
      </c>
      <c r="AR1056" s="33">
        <v>1</v>
      </c>
      <c r="AS1056" s="33">
        <v>6</v>
      </c>
      <c r="AT1056" s="33">
        <v>1</v>
      </c>
      <c r="AU1056" s="43">
        <v>0.17232986819154561</v>
      </c>
      <c r="AV1056" s="33">
        <v>0</v>
      </c>
      <c r="AW1056" s="33">
        <v>0</v>
      </c>
      <c r="AY1056" s="36">
        <v>1028</v>
      </c>
      <c r="AZ1056" s="33">
        <v>1</v>
      </c>
      <c r="BA1056" s="33">
        <v>2</v>
      </c>
      <c r="BB1056" s="33">
        <v>0</v>
      </c>
      <c r="BC1056" s="33">
        <v>1</v>
      </c>
      <c r="BD1056" s="43">
        <v>0.15461023487664</v>
      </c>
      <c r="BE1056" s="33">
        <v>0</v>
      </c>
      <c r="BF1056" s="33">
        <v>0</v>
      </c>
      <c r="CE1056" s="36">
        <v>1022</v>
      </c>
      <c r="CF1056" s="33">
        <v>9</v>
      </c>
      <c r="CG1056" s="33">
        <v>1</v>
      </c>
      <c r="CH1056" s="33">
        <v>1</v>
      </c>
      <c r="CI1056" s="33">
        <v>2</v>
      </c>
      <c r="CJ1056" s="33">
        <v>3</v>
      </c>
      <c r="CK1056" s="33">
        <v>0</v>
      </c>
      <c r="CL1056" s="33">
        <v>0</v>
      </c>
      <c r="CM1056" s="33">
        <v>3</v>
      </c>
      <c r="CN1056" s="33">
        <v>3</v>
      </c>
      <c r="CO1056" s="33">
        <v>2</v>
      </c>
      <c r="CP1056" s="43">
        <v>0.25266446963794503</v>
      </c>
      <c r="CQ1056" s="33">
        <v>0</v>
      </c>
      <c r="CR1056" s="33">
        <v>1</v>
      </c>
    </row>
    <row r="1057" spans="1:96" ht="15" customHeight="1" x14ac:dyDescent="0.25">
      <c r="A1057" s="26">
        <v>1055</v>
      </c>
      <c r="B1057" s="27">
        <v>34</v>
      </c>
      <c r="C1057" s="27">
        <v>0</v>
      </c>
      <c r="D1057" s="27">
        <v>2</v>
      </c>
      <c r="E1057" s="27">
        <v>829</v>
      </c>
      <c r="F1057" s="27">
        <v>2</v>
      </c>
      <c r="G1057" s="27">
        <v>15</v>
      </c>
      <c r="H1057" s="27">
        <v>3</v>
      </c>
      <c r="I1057" s="27">
        <v>3</v>
      </c>
      <c r="J1057" s="27">
        <v>1</v>
      </c>
      <c r="K1057" s="27">
        <v>1485</v>
      </c>
      <c r="L1057" s="27">
        <v>2</v>
      </c>
      <c r="M1057" s="27">
        <v>1</v>
      </c>
      <c r="N1057" s="27">
        <v>71</v>
      </c>
      <c r="O1057" s="27">
        <v>3</v>
      </c>
      <c r="P1057" s="27">
        <v>4</v>
      </c>
      <c r="Q1057" s="27">
        <v>8</v>
      </c>
      <c r="R1057" s="27">
        <v>1</v>
      </c>
      <c r="S1057" s="27">
        <v>3</v>
      </c>
      <c r="T1057" s="27">
        <v>17007</v>
      </c>
      <c r="U1057" s="27">
        <v>11929</v>
      </c>
      <c r="V1057" s="27">
        <v>7</v>
      </c>
      <c r="W1057" s="27">
        <v>0</v>
      </c>
      <c r="X1057" s="27">
        <v>14</v>
      </c>
      <c r="Y1057" s="27">
        <v>3</v>
      </c>
      <c r="Z1057" s="27">
        <v>4</v>
      </c>
      <c r="AA1057" s="27">
        <v>80</v>
      </c>
      <c r="AB1057" s="27">
        <v>2</v>
      </c>
      <c r="AC1057" s="27">
        <v>16</v>
      </c>
      <c r="AD1057" s="27">
        <v>3</v>
      </c>
      <c r="AE1057" s="27">
        <v>2</v>
      </c>
      <c r="AF1057" s="27">
        <v>14</v>
      </c>
      <c r="AG1057" s="27">
        <v>8</v>
      </c>
      <c r="AH1057" s="27">
        <v>6</v>
      </c>
      <c r="AI1057" s="28">
        <v>9</v>
      </c>
      <c r="AK1057" s="36">
        <v>1024</v>
      </c>
      <c r="AL1057" s="33">
        <v>1</v>
      </c>
      <c r="AM1057" s="33">
        <v>1</v>
      </c>
      <c r="AN1057" s="33">
        <v>1</v>
      </c>
      <c r="AO1057" s="33">
        <v>2</v>
      </c>
      <c r="AP1057" s="33">
        <v>0</v>
      </c>
      <c r="AQ1057" s="33">
        <v>1</v>
      </c>
      <c r="AR1057" s="33">
        <v>4</v>
      </c>
      <c r="AS1057" s="33">
        <v>3</v>
      </c>
      <c r="AT1057" s="33">
        <v>1</v>
      </c>
      <c r="AU1057" s="43">
        <v>0.11918820328848806</v>
      </c>
      <c r="AV1057" s="33">
        <v>0</v>
      </c>
      <c r="AW1057" s="33">
        <v>0</v>
      </c>
      <c r="AY1057" s="36">
        <v>1029</v>
      </c>
      <c r="AZ1057" s="33">
        <v>1</v>
      </c>
      <c r="BA1057" s="33">
        <v>3</v>
      </c>
      <c r="BB1057" s="33">
        <v>1</v>
      </c>
      <c r="BC1057" s="33">
        <v>0</v>
      </c>
      <c r="BD1057" s="43">
        <v>0.49727340882350407</v>
      </c>
      <c r="BE1057" s="33">
        <v>0</v>
      </c>
      <c r="BF1057" s="33">
        <v>0</v>
      </c>
      <c r="CE1057" s="36">
        <v>1023</v>
      </c>
      <c r="CF1057" s="33">
        <v>5</v>
      </c>
      <c r="CG1057" s="33">
        <v>1</v>
      </c>
      <c r="CH1057" s="33">
        <v>3</v>
      </c>
      <c r="CI1057" s="33">
        <v>1</v>
      </c>
      <c r="CJ1057" s="33">
        <v>0</v>
      </c>
      <c r="CK1057" s="33">
        <v>0</v>
      </c>
      <c r="CL1057" s="33">
        <v>0</v>
      </c>
      <c r="CM1057" s="33">
        <v>1</v>
      </c>
      <c r="CN1057" s="33">
        <v>6</v>
      </c>
      <c r="CO1057" s="33">
        <v>1</v>
      </c>
      <c r="CP1057" s="43">
        <v>0.20142662104328457</v>
      </c>
      <c r="CQ1057" s="33">
        <v>0</v>
      </c>
      <c r="CR1057" s="33">
        <v>0</v>
      </c>
    </row>
    <row r="1058" spans="1:96" ht="15" customHeight="1" x14ac:dyDescent="0.25">
      <c r="A1058" s="26">
        <v>1056</v>
      </c>
      <c r="B1058" s="27">
        <v>28</v>
      </c>
      <c r="C1058" s="27">
        <v>1</v>
      </c>
      <c r="D1058" s="27">
        <v>2</v>
      </c>
      <c r="E1058" s="27">
        <v>1496</v>
      </c>
      <c r="F1058" s="27">
        <v>1</v>
      </c>
      <c r="G1058" s="27">
        <v>1</v>
      </c>
      <c r="H1058" s="27">
        <v>3</v>
      </c>
      <c r="I1058" s="27">
        <v>5</v>
      </c>
      <c r="J1058" s="27">
        <v>1</v>
      </c>
      <c r="K1058" s="27">
        <v>1486</v>
      </c>
      <c r="L1058" s="27">
        <v>1</v>
      </c>
      <c r="M1058" s="27">
        <v>1</v>
      </c>
      <c r="N1058" s="27">
        <v>92</v>
      </c>
      <c r="O1058" s="27">
        <v>3</v>
      </c>
      <c r="P1058" s="27">
        <v>1</v>
      </c>
      <c r="Q1058" s="27">
        <v>7</v>
      </c>
      <c r="R1058" s="27">
        <v>3</v>
      </c>
      <c r="S1058" s="27">
        <v>2</v>
      </c>
      <c r="T1058" s="27">
        <v>2909</v>
      </c>
      <c r="U1058" s="27">
        <v>15747</v>
      </c>
      <c r="V1058" s="27">
        <v>3</v>
      </c>
      <c r="W1058" s="27">
        <v>0</v>
      </c>
      <c r="X1058" s="27">
        <v>15</v>
      </c>
      <c r="Y1058" s="27">
        <v>3</v>
      </c>
      <c r="Z1058" s="27">
        <v>4</v>
      </c>
      <c r="AA1058" s="27">
        <v>80</v>
      </c>
      <c r="AB1058" s="27">
        <v>1</v>
      </c>
      <c r="AC1058" s="27">
        <v>5</v>
      </c>
      <c r="AD1058" s="27">
        <v>3</v>
      </c>
      <c r="AE1058" s="27">
        <v>4</v>
      </c>
      <c r="AF1058" s="27">
        <v>3</v>
      </c>
      <c r="AG1058" s="27">
        <v>2</v>
      </c>
      <c r="AH1058" s="27">
        <v>1</v>
      </c>
      <c r="AI1058" s="28">
        <v>2</v>
      </c>
      <c r="AK1058" s="36">
        <v>1025</v>
      </c>
      <c r="AL1058" s="33">
        <v>2</v>
      </c>
      <c r="AM1058" s="33">
        <v>4</v>
      </c>
      <c r="AN1058" s="33">
        <v>3</v>
      </c>
      <c r="AO1058" s="33">
        <v>3</v>
      </c>
      <c r="AP1058" s="33">
        <v>0</v>
      </c>
      <c r="AQ1058" s="33">
        <v>2</v>
      </c>
      <c r="AR1058" s="33">
        <v>4</v>
      </c>
      <c r="AS1058" s="33">
        <v>20</v>
      </c>
      <c r="AT1058" s="33">
        <v>5</v>
      </c>
      <c r="AU1058" s="43">
        <v>4.2320326827820047E-3</v>
      </c>
      <c r="AV1058" s="33">
        <v>0</v>
      </c>
      <c r="AW1058" s="33">
        <v>0</v>
      </c>
      <c r="AY1058" s="36">
        <v>1030</v>
      </c>
      <c r="AZ1058" s="33">
        <v>2</v>
      </c>
      <c r="BA1058" s="33">
        <v>3</v>
      </c>
      <c r="BB1058" s="33">
        <v>0</v>
      </c>
      <c r="BC1058" s="33">
        <v>2</v>
      </c>
      <c r="BD1058" s="43">
        <v>4.4052611042036123E-2</v>
      </c>
      <c r="BE1058" s="33">
        <v>0</v>
      </c>
      <c r="BF1058" s="33">
        <v>0</v>
      </c>
      <c r="CE1058" s="36">
        <v>1024</v>
      </c>
      <c r="CF1058" s="33">
        <v>1</v>
      </c>
      <c r="CG1058" s="33">
        <v>1</v>
      </c>
      <c r="CH1058" s="33">
        <v>1</v>
      </c>
      <c r="CI1058" s="33">
        <v>2</v>
      </c>
      <c r="CJ1058" s="33">
        <v>2</v>
      </c>
      <c r="CK1058" s="33">
        <v>0</v>
      </c>
      <c r="CL1058" s="33">
        <v>1</v>
      </c>
      <c r="CM1058" s="33">
        <v>4</v>
      </c>
      <c r="CN1058" s="33">
        <v>3</v>
      </c>
      <c r="CO1058" s="33">
        <v>1</v>
      </c>
      <c r="CP1058" s="43">
        <v>0.11661615773696281</v>
      </c>
      <c r="CQ1058" s="33">
        <v>0</v>
      </c>
      <c r="CR1058" s="33">
        <v>0</v>
      </c>
    </row>
    <row r="1059" spans="1:96" ht="15" customHeight="1" x14ac:dyDescent="0.25">
      <c r="A1059" s="26">
        <v>1057</v>
      </c>
      <c r="B1059" s="27">
        <v>29</v>
      </c>
      <c r="C1059" s="27">
        <v>1</v>
      </c>
      <c r="D1059" s="27">
        <v>2</v>
      </c>
      <c r="E1059" s="27">
        <v>115</v>
      </c>
      <c r="F1059" s="27">
        <v>1</v>
      </c>
      <c r="G1059" s="27">
        <v>13</v>
      </c>
      <c r="H1059" s="27">
        <v>3</v>
      </c>
      <c r="I1059" s="27">
        <v>5</v>
      </c>
      <c r="J1059" s="27">
        <v>1</v>
      </c>
      <c r="K1059" s="27">
        <v>1487</v>
      </c>
      <c r="L1059" s="27">
        <v>1</v>
      </c>
      <c r="M1059" s="27">
        <v>0</v>
      </c>
      <c r="N1059" s="27">
        <v>51</v>
      </c>
      <c r="O1059" s="27">
        <v>3</v>
      </c>
      <c r="P1059" s="27">
        <v>2</v>
      </c>
      <c r="Q1059" s="27">
        <v>1</v>
      </c>
      <c r="R1059" s="27">
        <v>2</v>
      </c>
      <c r="S1059" s="27">
        <v>1</v>
      </c>
      <c r="T1059" s="27">
        <v>5765</v>
      </c>
      <c r="U1059" s="27">
        <v>17485</v>
      </c>
      <c r="V1059" s="27">
        <v>5</v>
      </c>
      <c r="W1059" s="27">
        <v>0</v>
      </c>
      <c r="X1059" s="27">
        <v>11</v>
      </c>
      <c r="Y1059" s="27">
        <v>3</v>
      </c>
      <c r="Z1059" s="27">
        <v>1</v>
      </c>
      <c r="AA1059" s="27">
        <v>80</v>
      </c>
      <c r="AB1059" s="27">
        <v>0</v>
      </c>
      <c r="AC1059" s="27">
        <v>7</v>
      </c>
      <c r="AD1059" s="27">
        <v>4</v>
      </c>
      <c r="AE1059" s="27">
        <v>1</v>
      </c>
      <c r="AF1059" s="27">
        <v>5</v>
      </c>
      <c r="AG1059" s="27">
        <v>3</v>
      </c>
      <c r="AH1059" s="27">
        <v>0</v>
      </c>
      <c r="AI1059" s="28">
        <v>0</v>
      </c>
      <c r="AK1059" s="36">
        <v>1026</v>
      </c>
      <c r="AL1059" s="33">
        <v>4</v>
      </c>
      <c r="AM1059" s="33">
        <v>2</v>
      </c>
      <c r="AN1059" s="33">
        <v>3</v>
      </c>
      <c r="AO1059" s="33">
        <v>1</v>
      </c>
      <c r="AP1059" s="33">
        <v>1</v>
      </c>
      <c r="AQ1059" s="33">
        <v>2</v>
      </c>
      <c r="AR1059" s="33">
        <v>3</v>
      </c>
      <c r="AS1059" s="33">
        <v>5</v>
      </c>
      <c r="AT1059" s="33">
        <v>0</v>
      </c>
      <c r="AU1059" s="43">
        <v>9.6588852285686366E-2</v>
      </c>
      <c r="AV1059" s="33">
        <v>0</v>
      </c>
      <c r="AW1059" s="33">
        <v>0</v>
      </c>
      <c r="AY1059" s="36">
        <v>1031</v>
      </c>
      <c r="AZ1059" s="33">
        <v>3</v>
      </c>
      <c r="BA1059" s="33">
        <v>4</v>
      </c>
      <c r="BB1059" s="33">
        <v>0</v>
      </c>
      <c r="BC1059" s="33">
        <v>1</v>
      </c>
      <c r="BD1059" s="43">
        <v>3.2280700557178299E-2</v>
      </c>
      <c r="BE1059" s="33">
        <v>0</v>
      </c>
      <c r="BF1059" s="33">
        <v>0</v>
      </c>
      <c r="CE1059" s="36">
        <v>1025</v>
      </c>
      <c r="CF1059" s="33">
        <v>2</v>
      </c>
      <c r="CG1059" s="33">
        <v>4</v>
      </c>
      <c r="CH1059" s="33">
        <v>3</v>
      </c>
      <c r="CI1059" s="33">
        <v>2</v>
      </c>
      <c r="CJ1059" s="33">
        <v>3</v>
      </c>
      <c r="CK1059" s="33">
        <v>0</v>
      </c>
      <c r="CL1059" s="33">
        <v>2</v>
      </c>
      <c r="CM1059" s="33">
        <v>4</v>
      </c>
      <c r="CN1059" s="33">
        <v>20</v>
      </c>
      <c r="CO1059" s="33">
        <v>5</v>
      </c>
      <c r="CP1059" s="43">
        <v>5.824919199901319E-3</v>
      </c>
      <c r="CQ1059" s="33">
        <v>0</v>
      </c>
      <c r="CR1059" s="33">
        <v>0</v>
      </c>
    </row>
    <row r="1060" spans="1:96" ht="15" customHeight="1" x14ac:dyDescent="0.25">
      <c r="A1060" s="26">
        <v>1058</v>
      </c>
      <c r="B1060" s="27">
        <v>34</v>
      </c>
      <c r="C1060" s="27">
        <v>1</v>
      </c>
      <c r="D1060" s="27">
        <v>1</v>
      </c>
      <c r="E1060" s="27">
        <v>790</v>
      </c>
      <c r="F1060" s="27">
        <v>1</v>
      </c>
      <c r="G1060" s="27">
        <v>24</v>
      </c>
      <c r="H1060" s="27">
        <v>4</v>
      </c>
      <c r="I1060" s="27">
        <v>3</v>
      </c>
      <c r="J1060" s="27">
        <v>1</v>
      </c>
      <c r="K1060" s="27">
        <v>1489</v>
      </c>
      <c r="L1060" s="27">
        <v>1</v>
      </c>
      <c r="M1060" s="27">
        <v>0</v>
      </c>
      <c r="N1060" s="27">
        <v>40</v>
      </c>
      <c r="O1060" s="27">
        <v>2</v>
      </c>
      <c r="P1060" s="27">
        <v>2</v>
      </c>
      <c r="Q1060" s="27">
        <v>1</v>
      </c>
      <c r="R1060" s="27">
        <v>2</v>
      </c>
      <c r="S1060" s="27">
        <v>1</v>
      </c>
      <c r="T1060" s="27">
        <v>4599</v>
      </c>
      <c r="U1060" s="27">
        <v>7815</v>
      </c>
      <c r="V1060" s="27">
        <v>0</v>
      </c>
      <c r="W1060" s="27">
        <v>1</v>
      </c>
      <c r="X1060" s="27">
        <v>23</v>
      </c>
      <c r="Y1060" s="27">
        <v>4</v>
      </c>
      <c r="Z1060" s="27">
        <v>3</v>
      </c>
      <c r="AA1060" s="27">
        <v>80</v>
      </c>
      <c r="AB1060" s="27">
        <v>0</v>
      </c>
      <c r="AC1060" s="27">
        <v>16</v>
      </c>
      <c r="AD1060" s="27">
        <v>2</v>
      </c>
      <c r="AE1060" s="27">
        <v>4</v>
      </c>
      <c r="AF1060" s="27">
        <v>15</v>
      </c>
      <c r="AG1060" s="27">
        <v>9</v>
      </c>
      <c r="AH1060" s="27">
        <v>10</v>
      </c>
      <c r="AI1060" s="28">
        <v>10</v>
      </c>
      <c r="AK1060" s="36">
        <v>1027</v>
      </c>
      <c r="AL1060" s="33">
        <v>7</v>
      </c>
      <c r="AM1060" s="33">
        <v>2</v>
      </c>
      <c r="AN1060" s="33">
        <v>4</v>
      </c>
      <c r="AO1060" s="33">
        <v>4</v>
      </c>
      <c r="AP1060" s="33">
        <v>0</v>
      </c>
      <c r="AQ1060" s="33">
        <v>1</v>
      </c>
      <c r="AR1060" s="33">
        <v>2</v>
      </c>
      <c r="AS1060" s="33">
        <v>4</v>
      </c>
      <c r="AT1060" s="33">
        <v>0</v>
      </c>
      <c r="AU1060" s="43">
        <v>5.8503112457704717E-2</v>
      </c>
      <c r="AV1060" s="33">
        <v>0</v>
      </c>
      <c r="AW1060" s="33">
        <v>0</v>
      </c>
      <c r="AY1060" s="36">
        <v>1032</v>
      </c>
      <c r="AZ1060" s="33">
        <v>3</v>
      </c>
      <c r="BA1060" s="33">
        <v>4</v>
      </c>
      <c r="BB1060" s="33">
        <v>0</v>
      </c>
      <c r="BC1060" s="33">
        <v>1</v>
      </c>
      <c r="BD1060" s="43">
        <v>3.2280700557178299E-2</v>
      </c>
      <c r="BE1060" s="33">
        <v>0</v>
      </c>
      <c r="BF1060" s="33">
        <v>1</v>
      </c>
      <c r="CE1060" s="36">
        <v>1026</v>
      </c>
      <c r="CF1060" s="33">
        <v>4</v>
      </c>
      <c r="CG1060" s="33">
        <v>2</v>
      </c>
      <c r="CH1060" s="33">
        <v>3</v>
      </c>
      <c r="CI1060" s="33">
        <v>2</v>
      </c>
      <c r="CJ1060" s="33">
        <v>1</v>
      </c>
      <c r="CK1060" s="33">
        <v>1</v>
      </c>
      <c r="CL1060" s="33">
        <v>2</v>
      </c>
      <c r="CM1060" s="33">
        <v>3</v>
      </c>
      <c r="CN1060" s="33">
        <v>5</v>
      </c>
      <c r="CO1060" s="33">
        <v>0</v>
      </c>
      <c r="CP1060" s="43">
        <v>0.13104693510414822</v>
      </c>
      <c r="CQ1060" s="33">
        <v>0</v>
      </c>
      <c r="CR1060" s="33">
        <v>0</v>
      </c>
    </row>
    <row r="1061" spans="1:96" ht="15" customHeight="1" x14ac:dyDescent="0.25">
      <c r="A1061" s="26">
        <v>1059</v>
      </c>
      <c r="B1061" s="27">
        <v>35</v>
      </c>
      <c r="C1061" s="27">
        <v>0</v>
      </c>
      <c r="D1061" s="27">
        <v>1</v>
      </c>
      <c r="E1061" s="27">
        <v>660</v>
      </c>
      <c r="F1061" s="27">
        <v>1</v>
      </c>
      <c r="G1061" s="27">
        <v>7</v>
      </c>
      <c r="H1061" s="27">
        <v>1</v>
      </c>
      <c r="I1061" s="27">
        <v>1</v>
      </c>
      <c r="J1061" s="27">
        <v>1</v>
      </c>
      <c r="K1061" s="27">
        <v>1492</v>
      </c>
      <c r="L1061" s="27">
        <v>4</v>
      </c>
      <c r="M1061" s="27">
        <v>1</v>
      </c>
      <c r="N1061" s="27">
        <v>76</v>
      </c>
      <c r="O1061" s="27">
        <v>3</v>
      </c>
      <c r="P1061" s="27">
        <v>1</v>
      </c>
      <c r="Q1061" s="27">
        <v>7</v>
      </c>
      <c r="R1061" s="27">
        <v>3</v>
      </c>
      <c r="S1061" s="27">
        <v>2</v>
      </c>
      <c r="T1061" s="27">
        <v>2404</v>
      </c>
      <c r="U1061" s="27">
        <v>16192</v>
      </c>
      <c r="V1061" s="27">
        <v>1</v>
      </c>
      <c r="W1061" s="27">
        <v>0</v>
      </c>
      <c r="X1061" s="27">
        <v>13</v>
      </c>
      <c r="Y1061" s="27">
        <v>3</v>
      </c>
      <c r="Z1061" s="27">
        <v>1</v>
      </c>
      <c r="AA1061" s="27">
        <v>80</v>
      </c>
      <c r="AB1061" s="27">
        <v>1</v>
      </c>
      <c r="AC1061" s="27">
        <v>1</v>
      </c>
      <c r="AD1061" s="27">
        <v>3</v>
      </c>
      <c r="AE1061" s="27">
        <v>3</v>
      </c>
      <c r="AF1061" s="27">
        <v>1</v>
      </c>
      <c r="AG1061" s="27">
        <v>0</v>
      </c>
      <c r="AH1061" s="27">
        <v>0</v>
      </c>
      <c r="AI1061" s="28">
        <v>0</v>
      </c>
      <c r="AK1061" s="36">
        <v>1028</v>
      </c>
      <c r="AL1061" s="33">
        <v>1</v>
      </c>
      <c r="AM1061" s="33">
        <v>1</v>
      </c>
      <c r="AN1061" s="33">
        <v>2</v>
      </c>
      <c r="AO1061" s="33">
        <v>5</v>
      </c>
      <c r="AP1061" s="33">
        <v>0</v>
      </c>
      <c r="AQ1061" s="33">
        <v>1</v>
      </c>
      <c r="AR1061" s="33">
        <v>2</v>
      </c>
      <c r="AS1061" s="33">
        <v>5</v>
      </c>
      <c r="AT1061" s="33">
        <v>0</v>
      </c>
      <c r="AU1061" s="43">
        <v>0.13791778100215024</v>
      </c>
      <c r="AV1061" s="33">
        <v>0</v>
      </c>
      <c r="AW1061" s="33">
        <v>0</v>
      </c>
      <c r="AY1061" s="36">
        <v>1033</v>
      </c>
      <c r="AZ1061" s="33">
        <v>1</v>
      </c>
      <c r="BA1061" s="33">
        <v>1</v>
      </c>
      <c r="BB1061" s="33">
        <v>1</v>
      </c>
      <c r="BC1061" s="33">
        <v>0</v>
      </c>
      <c r="BD1061" s="43">
        <v>0.63965103699986936</v>
      </c>
      <c r="BE1061" s="33">
        <v>1</v>
      </c>
      <c r="BF1061" s="33">
        <v>1</v>
      </c>
      <c r="CE1061" s="36">
        <v>1027</v>
      </c>
      <c r="CF1061" s="33">
        <v>7</v>
      </c>
      <c r="CG1061" s="33">
        <v>2</v>
      </c>
      <c r="CH1061" s="33">
        <v>4</v>
      </c>
      <c r="CI1061" s="33">
        <v>2</v>
      </c>
      <c r="CJ1061" s="33">
        <v>4</v>
      </c>
      <c r="CK1061" s="33">
        <v>0</v>
      </c>
      <c r="CL1061" s="33">
        <v>1</v>
      </c>
      <c r="CM1061" s="33">
        <v>2</v>
      </c>
      <c r="CN1061" s="33">
        <v>4</v>
      </c>
      <c r="CO1061" s="33">
        <v>0</v>
      </c>
      <c r="CP1061" s="43">
        <v>5.6435552981127936E-2</v>
      </c>
      <c r="CQ1061" s="33">
        <v>0</v>
      </c>
      <c r="CR1061" s="33">
        <v>0</v>
      </c>
    </row>
    <row r="1062" spans="1:96" ht="15" customHeight="1" x14ac:dyDescent="0.25">
      <c r="A1062" s="26">
        <v>1060</v>
      </c>
      <c r="B1062" s="27">
        <v>24</v>
      </c>
      <c r="C1062" s="27">
        <v>1</v>
      </c>
      <c r="D1062" s="27">
        <v>2</v>
      </c>
      <c r="E1062" s="27">
        <v>381</v>
      </c>
      <c r="F1062" s="27">
        <v>2</v>
      </c>
      <c r="G1062" s="27">
        <v>9</v>
      </c>
      <c r="H1062" s="27">
        <v>3</v>
      </c>
      <c r="I1062" s="27">
        <v>3</v>
      </c>
      <c r="J1062" s="27">
        <v>1</v>
      </c>
      <c r="K1062" s="27">
        <v>1494</v>
      </c>
      <c r="L1062" s="27">
        <v>2</v>
      </c>
      <c r="M1062" s="27">
        <v>1</v>
      </c>
      <c r="N1062" s="27">
        <v>89</v>
      </c>
      <c r="O1062" s="27">
        <v>3</v>
      </c>
      <c r="P1062" s="27">
        <v>1</v>
      </c>
      <c r="Q1062" s="27">
        <v>3</v>
      </c>
      <c r="R1062" s="27">
        <v>1</v>
      </c>
      <c r="S1062" s="27">
        <v>1</v>
      </c>
      <c r="T1062" s="27">
        <v>3172</v>
      </c>
      <c r="U1062" s="27">
        <v>16998</v>
      </c>
      <c r="V1062" s="27">
        <v>2</v>
      </c>
      <c r="W1062" s="27">
        <v>1</v>
      </c>
      <c r="X1062" s="27">
        <v>11</v>
      </c>
      <c r="Y1062" s="27">
        <v>3</v>
      </c>
      <c r="Z1062" s="27">
        <v>3</v>
      </c>
      <c r="AA1062" s="27">
        <v>80</v>
      </c>
      <c r="AB1062" s="27">
        <v>0</v>
      </c>
      <c r="AC1062" s="27">
        <v>4</v>
      </c>
      <c r="AD1062" s="27">
        <v>2</v>
      </c>
      <c r="AE1062" s="27">
        <v>2</v>
      </c>
      <c r="AF1062" s="27">
        <v>0</v>
      </c>
      <c r="AG1062" s="27">
        <v>0</v>
      </c>
      <c r="AH1062" s="27">
        <v>0</v>
      </c>
      <c r="AI1062" s="28">
        <v>0</v>
      </c>
      <c r="AK1062" s="36">
        <v>1029</v>
      </c>
      <c r="AL1062" s="33">
        <v>5</v>
      </c>
      <c r="AM1062" s="33">
        <v>1</v>
      </c>
      <c r="AN1062" s="33">
        <v>3</v>
      </c>
      <c r="AO1062" s="33">
        <v>2</v>
      </c>
      <c r="AP1062" s="33">
        <v>1</v>
      </c>
      <c r="AQ1062" s="33">
        <v>0</v>
      </c>
      <c r="AR1062" s="33">
        <v>2</v>
      </c>
      <c r="AS1062" s="33">
        <v>4</v>
      </c>
      <c r="AT1062" s="33">
        <v>0</v>
      </c>
      <c r="AU1062" s="43">
        <v>0.46813785525514806</v>
      </c>
      <c r="AV1062" s="33">
        <v>0</v>
      </c>
      <c r="AW1062" s="33">
        <v>0</v>
      </c>
      <c r="AY1062" s="36">
        <v>1034</v>
      </c>
      <c r="AZ1062" s="33">
        <v>3</v>
      </c>
      <c r="BA1062" s="33">
        <v>2</v>
      </c>
      <c r="BB1062" s="33">
        <v>0</v>
      </c>
      <c r="BC1062" s="33">
        <v>0</v>
      </c>
      <c r="BD1062" s="43">
        <v>9.2115043168566224E-2</v>
      </c>
      <c r="BE1062" s="33">
        <v>0</v>
      </c>
      <c r="BF1062" s="33">
        <v>1</v>
      </c>
      <c r="CE1062" s="36">
        <v>1028</v>
      </c>
      <c r="CF1062" s="33">
        <v>1</v>
      </c>
      <c r="CG1062" s="33">
        <v>1</v>
      </c>
      <c r="CH1062" s="33">
        <v>2</v>
      </c>
      <c r="CI1062" s="33">
        <v>2</v>
      </c>
      <c r="CJ1062" s="33">
        <v>5</v>
      </c>
      <c r="CK1062" s="33">
        <v>0</v>
      </c>
      <c r="CL1062" s="33">
        <v>1</v>
      </c>
      <c r="CM1062" s="33">
        <v>2</v>
      </c>
      <c r="CN1062" s="33">
        <v>5</v>
      </c>
      <c r="CO1062" s="33">
        <v>0</v>
      </c>
      <c r="CP1062" s="43">
        <v>0.13673233598910176</v>
      </c>
      <c r="CQ1062" s="33">
        <v>0</v>
      </c>
      <c r="CR1062" s="33">
        <v>0</v>
      </c>
    </row>
    <row r="1063" spans="1:96" ht="15" customHeight="1" x14ac:dyDescent="0.25">
      <c r="A1063" s="26">
        <v>1061</v>
      </c>
      <c r="B1063" s="27">
        <v>24</v>
      </c>
      <c r="C1063" s="27">
        <v>0</v>
      </c>
      <c r="D1063" s="27">
        <v>3</v>
      </c>
      <c r="E1063" s="27">
        <v>830</v>
      </c>
      <c r="F1063" s="27">
        <v>1</v>
      </c>
      <c r="G1063" s="27">
        <v>13</v>
      </c>
      <c r="H1063" s="27">
        <v>2</v>
      </c>
      <c r="I1063" s="27">
        <v>1</v>
      </c>
      <c r="J1063" s="27">
        <v>1</v>
      </c>
      <c r="K1063" s="27">
        <v>1495</v>
      </c>
      <c r="L1063" s="27">
        <v>4</v>
      </c>
      <c r="M1063" s="27">
        <v>0</v>
      </c>
      <c r="N1063" s="27">
        <v>78</v>
      </c>
      <c r="O1063" s="27">
        <v>3</v>
      </c>
      <c r="P1063" s="27">
        <v>1</v>
      </c>
      <c r="Q1063" s="27">
        <v>7</v>
      </c>
      <c r="R1063" s="27">
        <v>2</v>
      </c>
      <c r="S1063" s="27">
        <v>2</v>
      </c>
      <c r="T1063" s="27">
        <v>2033</v>
      </c>
      <c r="U1063" s="27">
        <v>7103</v>
      </c>
      <c r="V1063" s="27">
        <v>1</v>
      </c>
      <c r="W1063" s="27">
        <v>0</v>
      </c>
      <c r="X1063" s="27">
        <v>13</v>
      </c>
      <c r="Y1063" s="27">
        <v>3</v>
      </c>
      <c r="Z1063" s="27">
        <v>3</v>
      </c>
      <c r="AA1063" s="27">
        <v>80</v>
      </c>
      <c r="AB1063" s="27">
        <v>1</v>
      </c>
      <c r="AC1063" s="27">
        <v>1</v>
      </c>
      <c r="AD1063" s="27">
        <v>2</v>
      </c>
      <c r="AE1063" s="27">
        <v>3</v>
      </c>
      <c r="AF1063" s="27">
        <v>1</v>
      </c>
      <c r="AG1063" s="27">
        <v>0</v>
      </c>
      <c r="AH1063" s="27">
        <v>0</v>
      </c>
      <c r="AI1063" s="28">
        <v>0</v>
      </c>
      <c r="AK1063" s="36">
        <v>1030</v>
      </c>
      <c r="AL1063" s="33">
        <v>9</v>
      </c>
      <c r="AM1063" s="33">
        <v>2</v>
      </c>
      <c r="AN1063" s="33">
        <v>3</v>
      </c>
      <c r="AO1063" s="33">
        <v>3</v>
      </c>
      <c r="AP1063" s="33">
        <v>0</v>
      </c>
      <c r="AQ1063" s="33">
        <v>2</v>
      </c>
      <c r="AR1063" s="33">
        <v>4</v>
      </c>
      <c r="AS1063" s="33">
        <v>8</v>
      </c>
      <c r="AT1063" s="33">
        <v>0</v>
      </c>
      <c r="AU1063" s="43">
        <v>2.137978965126899E-2</v>
      </c>
      <c r="AV1063" s="33">
        <v>0</v>
      </c>
      <c r="AW1063" s="33">
        <v>0</v>
      </c>
      <c r="AY1063" s="36">
        <v>1035</v>
      </c>
      <c r="AZ1063" s="33">
        <v>3</v>
      </c>
      <c r="BA1063" s="33">
        <v>1</v>
      </c>
      <c r="BB1063" s="33">
        <v>1</v>
      </c>
      <c r="BC1063" s="33">
        <v>1</v>
      </c>
      <c r="BD1063" s="43">
        <v>0.25528659551539534</v>
      </c>
      <c r="BE1063" s="33">
        <v>0</v>
      </c>
      <c r="BF1063" s="33">
        <v>0</v>
      </c>
      <c r="CE1063" s="36">
        <v>1029</v>
      </c>
      <c r="CF1063" s="33">
        <v>5</v>
      </c>
      <c r="CG1063" s="33">
        <v>1</v>
      </c>
      <c r="CH1063" s="33">
        <v>3</v>
      </c>
      <c r="CI1063" s="33">
        <v>2</v>
      </c>
      <c r="CJ1063" s="33">
        <v>2</v>
      </c>
      <c r="CK1063" s="33">
        <v>1</v>
      </c>
      <c r="CL1063" s="33">
        <v>0</v>
      </c>
      <c r="CM1063" s="33">
        <v>2</v>
      </c>
      <c r="CN1063" s="33">
        <v>4</v>
      </c>
      <c r="CO1063" s="33">
        <v>0</v>
      </c>
      <c r="CP1063" s="43">
        <v>0.38582057708574641</v>
      </c>
      <c r="CQ1063" s="33">
        <v>0</v>
      </c>
      <c r="CR1063" s="33">
        <v>0</v>
      </c>
    </row>
    <row r="1064" spans="1:96" ht="15" customHeight="1" x14ac:dyDescent="0.25">
      <c r="A1064" s="26">
        <v>1062</v>
      </c>
      <c r="B1064" s="27">
        <v>44</v>
      </c>
      <c r="C1064" s="27">
        <v>0</v>
      </c>
      <c r="D1064" s="27">
        <v>2</v>
      </c>
      <c r="E1064" s="27">
        <v>1193</v>
      </c>
      <c r="F1064" s="27">
        <v>2</v>
      </c>
      <c r="G1064" s="27">
        <v>2</v>
      </c>
      <c r="H1064" s="27">
        <v>1</v>
      </c>
      <c r="I1064" s="27">
        <v>3</v>
      </c>
      <c r="J1064" s="27">
        <v>1</v>
      </c>
      <c r="K1064" s="27">
        <v>1496</v>
      </c>
      <c r="L1064" s="27">
        <v>2</v>
      </c>
      <c r="M1064" s="27">
        <v>1</v>
      </c>
      <c r="N1064" s="27">
        <v>86</v>
      </c>
      <c r="O1064" s="27">
        <v>3</v>
      </c>
      <c r="P1064" s="27">
        <v>3</v>
      </c>
      <c r="Q1064" s="27">
        <v>4</v>
      </c>
      <c r="R1064" s="27">
        <v>3</v>
      </c>
      <c r="S1064" s="27">
        <v>1</v>
      </c>
      <c r="T1064" s="27">
        <v>10209</v>
      </c>
      <c r="U1064" s="27">
        <v>19719</v>
      </c>
      <c r="V1064" s="27">
        <v>5</v>
      </c>
      <c r="W1064" s="27">
        <v>1</v>
      </c>
      <c r="X1064" s="27">
        <v>18</v>
      </c>
      <c r="Y1064" s="27">
        <v>3</v>
      </c>
      <c r="Z1064" s="27">
        <v>2</v>
      </c>
      <c r="AA1064" s="27">
        <v>80</v>
      </c>
      <c r="AB1064" s="27">
        <v>0</v>
      </c>
      <c r="AC1064" s="27">
        <v>16</v>
      </c>
      <c r="AD1064" s="27">
        <v>2</v>
      </c>
      <c r="AE1064" s="27">
        <v>2</v>
      </c>
      <c r="AF1064" s="27">
        <v>2</v>
      </c>
      <c r="AG1064" s="27">
        <v>2</v>
      </c>
      <c r="AH1064" s="27">
        <v>2</v>
      </c>
      <c r="AI1064" s="28">
        <v>2</v>
      </c>
      <c r="AK1064" s="36">
        <v>1031</v>
      </c>
      <c r="AL1064" s="33">
        <v>8</v>
      </c>
      <c r="AM1064" s="33">
        <v>3</v>
      </c>
      <c r="AN1064" s="33">
        <v>4</v>
      </c>
      <c r="AO1064" s="33">
        <v>1</v>
      </c>
      <c r="AP1064" s="33">
        <v>0</v>
      </c>
      <c r="AQ1064" s="33">
        <v>1</v>
      </c>
      <c r="AR1064" s="33">
        <v>3</v>
      </c>
      <c r="AS1064" s="33">
        <v>13</v>
      </c>
      <c r="AT1064" s="33">
        <v>9</v>
      </c>
      <c r="AU1064" s="43">
        <v>3.199565348224391E-2</v>
      </c>
      <c r="AV1064" s="33">
        <v>0</v>
      </c>
      <c r="AW1064" s="33">
        <v>0</v>
      </c>
      <c r="AY1064" s="36">
        <v>1036</v>
      </c>
      <c r="AZ1064" s="33">
        <v>1</v>
      </c>
      <c r="BA1064" s="33">
        <v>2</v>
      </c>
      <c r="BB1064" s="33">
        <v>0</v>
      </c>
      <c r="BC1064" s="33">
        <v>0</v>
      </c>
      <c r="BD1064" s="43">
        <v>0.23662845161334917</v>
      </c>
      <c r="BE1064" s="33">
        <v>0</v>
      </c>
      <c r="BF1064" s="33">
        <v>0</v>
      </c>
      <c r="CE1064" s="36">
        <v>1030</v>
      </c>
      <c r="CF1064" s="33">
        <v>9</v>
      </c>
      <c r="CG1064" s="33">
        <v>2</v>
      </c>
      <c r="CH1064" s="33">
        <v>3</v>
      </c>
      <c r="CI1064" s="33">
        <v>3</v>
      </c>
      <c r="CJ1064" s="33">
        <v>3</v>
      </c>
      <c r="CK1064" s="33">
        <v>0</v>
      </c>
      <c r="CL1064" s="33">
        <v>2</v>
      </c>
      <c r="CM1064" s="33">
        <v>4</v>
      </c>
      <c r="CN1064" s="33">
        <v>8</v>
      </c>
      <c r="CO1064" s="33">
        <v>0</v>
      </c>
      <c r="CP1064" s="43">
        <v>1.64546506158833E-2</v>
      </c>
      <c r="CQ1064" s="33">
        <v>0</v>
      </c>
      <c r="CR1064" s="33">
        <v>0</v>
      </c>
    </row>
    <row r="1065" spans="1:96" ht="15" customHeight="1" x14ac:dyDescent="0.25">
      <c r="A1065" s="26">
        <v>1063</v>
      </c>
      <c r="B1065" s="27">
        <v>29</v>
      </c>
      <c r="C1065" s="27">
        <v>0</v>
      </c>
      <c r="D1065" s="27">
        <v>1</v>
      </c>
      <c r="E1065" s="27">
        <v>1246</v>
      </c>
      <c r="F1065" s="27">
        <v>1</v>
      </c>
      <c r="G1065" s="27">
        <v>19</v>
      </c>
      <c r="H1065" s="27">
        <v>3</v>
      </c>
      <c r="I1065" s="27">
        <v>1</v>
      </c>
      <c r="J1065" s="27">
        <v>1</v>
      </c>
      <c r="K1065" s="27">
        <v>1497</v>
      </c>
      <c r="L1065" s="27">
        <v>3</v>
      </c>
      <c r="M1065" s="27">
        <v>1</v>
      </c>
      <c r="N1065" s="27">
        <v>77</v>
      </c>
      <c r="O1065" s="27">
        <v>2</v>
      </c>
      <c r="P1065" s="27">
        <v>2</v>
      </c>
      <c r="Q1065" s="27">
        <v>1</v>
      </c>
      <c r="R1065" s="27">
        <v>3</v>
      </c>
      <c r="S1065" s="27">
        <v>3</v>
      </c>
      <c r="T1065" s="27">
        <v>8620</v>
      </c>
      <c r="U1065" s="27">
        <v>23757</v>
      </c>
      <c r="V1065" s="27">
        <v>1</v>
      </c>
      <c r="W1065" s="27">
        <v>0</v>
      </c>
      <c r="X1065" s="27">
        <v>14</v>
      </c>
      <c r="Y1065" s="27">
        <v>3</v>
      </c>
      <c r="Z1065" s="27">
        <v>3</v>
      </c>
      <c r="AA1065" s="27">
        <v>80</v>
      </c>
      <c r="AB1065" s="27">
        <v>2</v>
      </c>
      <c r="AC1065" s="27">
        <v>10</v>
      </c>
      <c r="AD1065" s="27">
        <v>3</v>
      </c>
      <c r="AE1065" s="27">
        <v>3</v>
      </c>
      <c r="AF1065" s="27">
        <v>10</v>
      </c>
      <c r="AG1065" s="27">
        <v>7</v>
      </c>
      <c r="AH1065" s="27">
        <v>0</v>
      </c>
      <c r="AI1065" s="28">
        <v>4</v>
      </c>
      <c r="AK1065" s="36">
        <v>1032</v>
      </c>
      <c r="AL1065" s="33">
        <v>9</v>
      </c>
      <c r="AM1065" s="33">
        <v>3</v>
      </c>
      <c r="AN1065" s="33">
        <v>4</v>
      </c>
      <c r="AO1065" s="33">
        <v>4</v>
      </c>
      <c r="AP1065" s="33">
        <v>0</v>
      </c>
      <c r="AQ1065" s="33">
        <v>1</v>
      </c>
      <c r="AR1065" s="33">
        <v>4</v>
      </c>
      <c r="AS1065" s="33">
        <v>7</v>
      </c>
      <c r="AT1065" s="33">
        <v>4</v>
      </c>
      <c r="AU1065" s="43">
        <v>2.9578235223455387E-2</v>
      </c>
      <c r="AV1065" s="33">
        <v>0</v>
      </c>
      <c r="AW1065" s="33">
        <v>1</v>
      </c>
      <c r="AY1065" s="36">
        <v>1037</v>
      </c>
      <c r="AZ1065" s="33">
        <v>1</v>
      </c>
      <c r="BA1065" s="33">
        <v>4</v>
      </c>
      <c r="BB1065" s="33">
        <v>1</v>
      </c>
      <c r="BC1065" s="33">
        <v>1</v>
      </c>
      <c r="BD1065" s="43">
        <v>0.30345027699196836</v>
      </c>
      <c r="BE1065" s="33">
        <v>0</v>
      </c>
      <c r="BF1065" s="33">
        <v>1</v>
      </c>
      <c r="CE1065" s="36">
        <v>1031</v>
      </c>
      <c r="CF1065" s="33">
        <v>8</v>
      </c>
      <c r="CG1065" s="33">
        <v>3</v>
      </c>
      <c r="CH1065" s="33">
        <v>4</v>
      </c>
      <c r="CI1065" s="33">
        <v>3</v>
      </c>
      <c r="CJ1065" s="33">
        <v>1</v>
      </c>
      <c r="CK1065" s="33">
        <v>0</v>
      </c>
      <c r="CL1065" s="33">
        <v>1</v>
      </c>
      <c r="CM1065" s="33">
        <v>3</v>
      </c>
      <c r="CN1065" s="33">
        <v>13</v>
      </c>
      <c r="CO1065" s="33">
        <v>9</v>
      </c>
      <c r="CP1065" s="43">
        <v>1.8175305144211142E-2</v>
      </c>
      <c r="CQ1065" s="33">
        <v>0</v>
      </c>
      <c r="CR1065" s="33">
        <v>0</v>
      </c>
    </row>
    <row r="1066" spans="1:96" ht="15" customHeight="1" x14ac:dyDescent="0.25">
      <c r="A1066" s="26">
        <v>1064</v>
      </c>
      <c r="B1066" s="27">
        <v>30</v>
      </c>
      <c r="C1066" s="27">
        <v>0</v>
      </c>
      <c r="D1066" s="27">
        <v>1</v>
      </c>
      <c r="E1066" s="27">
        <v>330</v>
      </c>
      <c r="F1066" s="27">
        <v>3</v>
      </c>
      <c r="G1066" s="27">
        <v>1</v>
      </c>
      <c r="H1066" s="27">
        <v>3</v>
      </c>
      <c r="I1066" s="27">
        <v>1</v>
      </c>
      <c r="J1066" s="27">
        <v>1</v>
      </c>
      <c r="K1066" s="27">
        <v>1499</v>
      </c>
      <c r="L1066" s="27">
        <v>3</v>
      </c>
      <c r="M1066" s="27">
        <v>1</v>
      </c>
      <c r="N1066" s="27">
        <v>46</v>
      </c>
      <c r="O1066" s="27">
        <v>3</v>
      </c>
      <c r="P1066" s="27">
        <v>1</v>
      </c>
      <c r="Q1066" s="27">
        <v>9</v>
      </c>
      <c r="R1066" s="27">
        <v>3</v>
      </c>
      <c r="S1066" s="27">
        <v>3</v>
      </c>
      <c r="T1066" s="27">
        <v>2064</v>
      </c>
      <c r="U1066" s="27">
        <v>15428</v>
      </c>
      <c r="V1066" s="27">
        <v>0</v>
      </c>
      <c r="W1066" s="27">
        <v>0</v>
      </c>
      <c r="X1066" s="27">
        <v>21</v>
      </c>
      <c r="Y1066" s="27">
        <v>4</v>
      </c>
      <c r="Z1066" s="27">
        <v>1</v>
      </c>
      <c r="AA1066" s="27">
        <v>80</v>
      </c>
      <c r="AB1066" s="27">
        <v>1</v>
      </c>
      <c r="AC1066" s="27">
        <v>6</v>
      </c>
      <c r="AD1066" s="27">
        <v>3</v>
      </c>
      <c r="AE1066" s="27">
        <v>4</v>
      </c>
      <c r="AF1066" s="27">
        <v>5</v>
      </c>
      <c r="AG1066" s="27">
        <v>3</v>
      </c>
      <c r="AH1066" s="27">
        <v>1</v>
      </c>
      <c r="AI1066" s="28">
        <v>3</v>
      </c>
      <c r="AK1066" s="36">
        <v>1033</v>
      </c>
      <c r="AL1066" s="33">
        <v>2</v>
      </c>
      <c r="AM1066" s="33">
        <v>1</v>
      </c>
      <c r="AN1066" s="33">
        <v>1</v>
      </c>
      <c r="AO1066" s="33">
        <v>2</v>
      </c>
      <c r="AP1066" s="33">
        <v>1</v>
      </c>
      <c r="AQ1066" s="33">
        <v>0</v>
      </c>
      <c r="AR1066" s="33">
        <v>4</v>
      </c>
      <c r="AS1066" s="33">
        <v>1</v>
      </c>
      <c r="AT1066" s="33">
        <v>0</v>
      </c>
      <c r="AU1066" s="43">
        <v>0.52666591777735072</v>
      </c>
      <c r="AV1066" s="33">
        <v>1</v>
      </c>
      <c r="AW1066" s="33">
        <v>1</v>
      </c>
      <c r="AY1066" s="36">
        <v>1038</v>
      </c>
      <c r="AZ1066" s="33">
        <v>3</v>
      </c>
      <c r="BA1066" s="33">
        <v>4</v>
      </c>
      <c r="BB1066" s="33">
        <v>1</v>
      </c>
      <c r="BC1066" s="33">
        <v>2</v>
      </c>
      <c r="BD1066" s="43">
        <v>7.7601977203649503E-2</v>
      </c>
      <c r="BE1066" s="33">
        <v>0</v>
      </c>
      <c r="BF1066" s="33">
        <v>0</v>
      </c>
      <c r="CE1066" s="36">
        <v>1032</v>
      </c>
      <c r="CF1066" s="33">
        <v>9</v>
      </c>
      <c r="CG1066" s="33">
        <v>3</v>
      </c>
      <c r="CH1066" s="33">
        <v>4</v>
      </c>
      <c r="CI1066" s="33">
        <v>3</v>
      </c>
      <c r="CJ1066" s="33">
        <v>4</v>
      </c>
      <c r="CK1066" s="33">
        <v>0</v>
      </c>
      <c r="CL1066" s="33">
        <v>1</v>
      </c>
      <c r="CM1066" s="33">
        <v>4</v>
      </c>
      <c r="CN1066" s="33">
        <v>7</v>
      </c>
      <c r="CO1066" s="33">
        <v>4</v>
      </c>
      <c r="CP1066" s="43">
        <v>1.6393064862058937E-2</v>
      </c>
      <c r="CQ1066" s="33">
        <v>0</v>
      </c>
      <c r="CR1066" s="33">
        <v>1</v>
      </c>
    </row>
    <row r="1067" spans="1:96" ht="15" customHeight="1" x14ac:dyDescent="0.25">
      <c r="A1067" s="26">
        <v>1065</v>
      </c>
      <c r="B1067" s="27">
        <v>55</v>
      </c>
      <c r="C1067" s="27">
        <v>0</v>
      </c>
      <c r="D1067" s="27">
        <v>1</v>
      </c>
      <c r="E1067" s="27">
        <v>1229</v>
      </c>
      <c r="F1067" s="27">
        <v>2</v>
      </c>
      <c r="G1067" s="27">
        <v>4</v>
      </c>
      <c r="H1067" s="27">
        <v>4</v>
      </c>
      <c r="I1067" s="27">
        <v>1</v>
      </c>
      <c r="J1067" s="27">
        <v>1</v>
      </c>
      <c r="K1067" s="27">
        <v>1501</v>
      </c>
      <c r="L1067" s="27">
        <v>4</v>
      </c>
      <c r="M1067" s="27">
        <v>1</v>
      </c>
      <c r="N1067" s="27">
        <v>30</v>
      </c>
      <c r="O1067" s="27">
        <v>3</v>
      </c>
      <c r="P1067" s="27">
        <v>2</v>
      </c>
      <c r="Q1067" s="27">
        <v>5</v>
      </c>
      <c r="R1067" s="27">
        <v>3</v>
      </c>
      <c r="S1067" s="27">
        <v>2</v>
      </c>
      <c r="T1067" s="27">
        <v>4035</v>
      </c>
      <c r="U1067" s="27">
        <v>16143</v>
      </c>
      <c r="V1067" s="27">
        <v>0</v>
      </c>
      <c r="W1067" s="27">
        <v>1</v>
      </c>
      <c r="X1067" s="27">
        <v>16</v>
      </c>
      <c r="Y1067" s="27">
        <v>3</v>
      </c>
      <c r="Z1067" s="27">
        <v>2</v>
      </c>
      <c r="AA1067" s="27">
        <v>80</v>
      </c>
      <c r="AB1067" s="27">
        <v>0</v>
      </c>
      <c r="AC1067" s="27">
        <v>4</v>
      </c>
      <c r="AD1067" s="27">
        <v>2</v>
      </c>
      <c r="AE1067" s="27">
        <v>3</v>
      </c>
      <c r="AF1067" s="27">
        <v>3</v>
      </c>
      <c r="AG1067" s="27">
        <v>2</v>
      </c>
      <c r="AH1067" s="27">
        <v>1</v>
      </c>
      <c r="AI1067" s="28">
        <v>2</v>
      </c>
      <c r="AK1067" s="36">
        <v>1034</v>
      </c>
      <c r="AL1067" s="33">
        <v>1</v>
      </c>
      <c r="AM1067" s="33">
        <v>3</v>
      </c>
      <c r="AN1067" s="33">
        <v>2</v>
      </c>
      <c r="AO1067" s="33">
        <v>1</v>
      </c>
      <c r="AP1067" s="33">
        <v>0</v>
      </c>
      <c r="AQ1067" s="33">
        <v>0</v>
      </c>
      <c r="AR1067" s="33">
        <v>3</v>
      </c>
      <c r="AS1067" s="33">
        <v>10</v>
      </c>
      <c r="AT1067" s="33">
        <v>4</v>
      </c>
      <c r="AU1067" s="43">
        <v>5.4974311106669581E-2</v>
      </c>
      <c r="AV1067" s="33">
        <v>0</v>
      </c>
      <c r="AW1067" s="33">
        <v>1</v>
      </c>
      <c r="AY1067" s="36">
        <v>1039</v>
      </c>
      <c r="AZ1067" s="33">
        <v>2</v>
      </c>
      <c r="BA1067" s="33">
        <v>1</v>
      </c>
      <c r="BB1067" s="33">
        <v>0</v>
      </c>
      <c r="BC1067" s="33">
        <v>3</v>
      </c>
      <c r="BD1067" s="43">
        <v>4.6521660648451695E-2</v>
      </c>
      <c r="BE1067" s="33">
        <v>0</v>
      </c>
      <c r="BF1067" s="33">
        <v>0</v>
      </c>
      <c r="CE1067" s="36">
        <v>1033</v>
      </c>
      <c r="CF1067" s="33">
        <v>2</v>
      </c>
      <c r="CG1067" s="33">
        <v>1</v>
      </c>
      <c r="CH1067" s="33">
        <v>1</v>
      </c>
      <c r="CI1067" s="33">
        <v>1</v>
      </c>
      <c r="CJ1067" s="33">
        <v>2</v>
      </c>
      <c r="CK1067" s="33">
        <v>1</v>
      </c>
      <c r="CL1067" s="33">
        <v>0</v>
      </c>
      <c r="CM1067" s="33">
        <v>4</v>
      </c>
      <c r="CN1067" s="33">
        <v>1</v>
      </c>
      <c r="CO1067" s="33">
        <v>0</v>
      </c>
      <c r="CP1067" s="43">
        <v>0.5818241719566003</v>
      </c>
      <c r="CQ1067" s="33">
        <v>1</v>
      </c>
      <c r="CR1067" s="33">
        <v>1</v>
      </c>
    </row>
    <row r="1068" spans="1:96" ht="15" customHeight="1" x14ac:dyDescent="0.25">
      <c r="A1068" s="26">
        <v>1066</v>
      </c>
      <c r="B1068" s="27">
        <v>33</v>
      </c>
      <c r="C1068" s="27">
        <v>0</v>
      </c>
      <c r="D1068" s="27">
        <v>1</v>
      </c>
      <c r="E1068" s="27">
        <v>1099</v>
      </c>
      <c r="F1068" s="27">
        <v>2</v>
      </c>
      <c r="G1068" s="27">
        <v>4</v>
      </c>
      <c r="H1068" s="27">
        <v>4</v>
      </c>
      <c r="I1068" s="27">
        <v>3</v>
      </c>
      <c r="J1068" s="27">
        <v>1</v>
      </c>
      <c r="K1068" s="27">
        <v>1502</v>
      </c>
      <c r="L1068" s="27">
        <v>1</v>
      </c>
      <c r="M1068" s="27">
        <v>0</v>
      </c>
      <c r="N1068" s="27">
        <v>82</v>
      </c>
      <c r="O1068" s="27">
        <v>2</v>
      </c>
      <c r="P1068" s="27">
        <v>1</v>
      </c>
      <c r="Q1068" s="27">
        <v>3</v>
      </c>
      <c r="R1068" s="27">
        <v>2</v>
      </c>
      <c r="S1068" s="27">
        <v>2</v>
      </c>
      <c r="T1068" s="27">
        <v>3838</v>
      </c>
      <c r="U1068" s="27">
        <v>8192</v>
      </c>
      <c r="V1068" s="27">
        <v>8</v>
      </c>
      <c r="W1068" s="27">
        <v>0</v>
      </c>
      <c r="X1068" s="27">
        <v>11</v>
      </c>
      <c r="Y1068" s="27">
        <v>3</v>
      </c>
      <c r="Z1068" s="27">
        <v>4</v>
      </c>
      <c r="AA1068" s="27">
        <v>80</v>
      </c>
      <c r="AB1068" s="27">
        <v>0</v>
      </c>
      <c r="AC1068" s="27">
        <v>8</v>
      </c>
      <c r="AD1068" s="27">
        <v>5</v>
      </c>
      <c r="AE1068" s="27">
        <v>3</v>
      </c>
      <c r="AF1068" s="27">
        <v>5</v>
      </c>
      <c r="AG1068" s="27">
        <v>4</v>
      </c>
      <c r="AH1068" s="27">
        <v>0</v>
      </c>
      <c r="AI1068" s="28">
        <v>2</v>
      </c>
      <c r="AK1068" s="36">
        <v>1035</v>
      </c>
      <c r="AL1068" s="33">
        <v>20</v>
      </c>
      <c r="AM1068" s="33">
        <v>3</v>
      </c>
      <c r="AN1068" s="33">
        <v>1</v>
      </c>
      <c r="AO1068" s="33">
        <v>2</v>
      </c>
      <c r="AP1068" s="33">
        <v>1</v>
      </c>
      <c r="AQ1068" s="33">
        <v>1</v>
      </c>
      <c r="AR1068" s="33">
        <v>3</v>
      </c>
      <c r="AS1068" s="33">
        <v>7</v>
      </c>
      <c r="AT1068" s="33">
        <v>0</v>
      </c>
      <c r="AU1068" s="43">
        <v>0.23900080694667331</v>
      </c>
      <c r="AV1068" s="33">
        <v>0</v>
      </c>
      <c r="AW1068" s="33">
        <v>0</v>
      </c>
      <c r="AY1068" s="36">
        <v>1040</v>
      </c>
      <c r="AZ1068" s="33">
        <v>1</v>
      </c>
      <c r="BA1068" s="33">
        <v>3</v>
      </c>
      <c r="BB1068" s="33">
        <v>0</v>
      </c>
      <c r="BC1068" s="33">
        <v>0</v>
      </c>
      <c r="BD1068" s="43">
        <v>0.18791247240909698</v>
      </c>
      <c r="BE1068" s="33">
        <v>0</v>
      </c>
      <c r="BF1068" s="33">
        <v>1</v>
      </c>
      <c r="CE1068" s="36">
        <v>1034</v>
      </c>
      <c r="CF1068" s="33">
        <v>1</v>
      </c>
      <c r="CG1068" s="33">
        <v>3</v>
      </c>
      <c r="CH1068" s="33">
        <v>2</v>
      </c>
      <c r="CI1068" s="33">
        <v>1</v>
      </c>
      <c r="CJ1068" s="33">
        <v>1</v>
      </c>
      <c r="CK1068" s="33">
        <v>0</v>
      </c>
      <c r="CL1068" s="33">
        <v>0</v>
      </c>
      <c r="CM1068" s="33">
        <v>3</v>
      </c>
      <c r="CN1068" s="33">
        <v>10</v>
      </c>
      <c r="CO1068" s="33">
        <v>4</v>
      </c>
      <c r="CP1068" s="43">
        <v>6.6962941613543839E-2</v>
      </c>
      <c r="CQ1068" s="33">
        <v>0</v>
      </c>
      <c r="CR1068" s="33">
        <v>1</v>
      </c>
    </row>
    <row r="1069" spans="1:96" ht="15" customHeight="1" x14ac:dyDescent="0.25">
      <c r="A1069" s="26">
        <v>1067</v>
      </c>
      <c r="B1069" s="27">
        <v>47</v>
      </c>
      <c r="C1069" s="27">
        <v>0</v>
      </c>
      <c r="D1069" s="27">
        <v>1</v>
      </c>
      <c r="E1069" s="27">
        <v>571</v>
      </c>
      <c r="F1069" s="27">
        <v>1</v>
      </c>
      <c r="G1069" s="27">
        <v>14</v>
      </c>
      <c r="H1069" s="27">
        <v>3</v>
      </c>
      <c r="I1069" s="27">
        <v>3</v>
      </c>
      <c r="J1069" s="27">
        <v>1</v>
      </c>
      <c r="K1069" s="27">
        <v>1503</v>
      </c>
      <c r="L1069" s="27">
        <v>3</v>
      </c>
      <c r="M1069" s="27">
        <v>0</v>
      </c>
      <c r="N1069" s="27">
        <v>78</v>
      </c>
      <c r="O1069" s="27">
        <v>3</v>
      </c>
      <c r="P1069" s="27">
        <v>2</v>
      </c>
      <c r="Q1069" s="27">
        <v>1</v>
      </c>
      <c r="R1069" s="27">
        <v>3</v>
      </c>
      <c r="S1069" s="27">
        <v>2</v>
      </c>
      <c r="T1069" s="27">
        <v>4591</v>
      </c>
      <c r="U1069" s="27">
        <v>24200</v>
      </c>
      <c r="V1069" s="27">
        <v>3</v>
      </c>
      <c r="W1069" s="27">
        <v>1</v>
      </c>
      <c r="X1069" s="27">
        <v>17</v>
      </c>
      <c r="Y1069" s="27">
        <v>3</v>
      </c>
      <c r="Z1069" s="27">
        <v>3</v>
      </c>
      <c r="AA1069" s="27">
        <v>80</v>
      </c>
      <c r="AB1069" s="27">
        <v>1</v>
      </c>
      <c r="AC1069" s="27">
        <v>11</v>
      </c>
      <c r="AD1069" s="27">
        <v>4</v>
      </c>
      <c r="AE1069" s="27">
        <v>2</v>
      </c>
      <c r="AF1069" s="27">
        <v>5</v>
      </c>
      <c r="AG1069" s="27">
        <v>4</v>
      </c>
      <c r="AH1069" s="27">
        <v>1</v>
      </c>
      <c r="AI1069" s="28">
        <v>2</v>
      </c>
      <c r="AK1069" s="36">
        <v>1036</v>
      </c>
      <c r="AL1069" s="33">
        <v>8</v>
      </c>
      <c r="AM1069" s="33">
        <v>1</v>
      </c>
      <c r="AN1069" s="33">
        <v>2</v>
      </c>
      <c r="AO1069" s="33">
        <v>9</v>
      </c>
      <c r="AP1069" s="33">
        <v>0</v>
      </c>
      <c r="AQ1069" s="33">
        <v>0</v>
      </c>
      <c r="AR1069" s="33">
        <v>3</v>
      </c>
      <c r="AS1069" s="33">
        <v>3</v>
      </c>
      <c r="AT1069" s="33">
        <v>0</v>
      </c>
      <c r="AU1069" s="43">
        <v>0.31378234747859141</v>
      </c>
      <c r="AV1069" s="33">
        <v>0</v>
      </c>
      <c r="AW1069" s="33">
        <v>0</v>
      </c>
      <c r="AY1069" s="36">
        <v>1041</v>
      </c>
      <c r="AZ1069" s="33">
        <v>3</v>
      </c>
      <c r="BA1069" s="33">
        <v>2</v>
      </c>
      <c r="BB1069" s="33">
        <v>0</v>
      </c>
      <c r="BC1069" s="33">
        <v>1</v>
      </c>
      <c r="BD1069" s="43">
        <v>5.6480788250011953E-2</v>
      </c>
      <c r="BE1069" s="33">
        <v>0</v>
      </c>
      <c r="BF1069" s="33">
        <v>0</v>
      </c>
      <c r="CE1069" s="36">
        <v>1035</v>
      </c>
      <c r="CF1069" s="33">
        <v>20</v>
      </c>
      <c r="CG1069" s="33">
        <v>3</v>
      </c>
      <c r="CH1069" s="33">
        <v>1</v>
      </c>
      <c r="CI1069" s="33">
        <v>3</v>
      </c>
      <c r="CJ1069" s="33">
        <v>2</v>
      </c>
      <c r="CK1069" s="33">
        <v>1</v>
      </c>
      <c r="CL1069" s="33">
        <v>1</v>
      </c>
      <c r="CM1069" s="33">
        <v>3</v>
      </c>
      <c r="CN1069" s="33">
        <v>7</v>
      </c>
      <c r="CO1069" s="33">
        <v>0</v>
      </c>
      <c r="CP1069" s="43">
        <v>0.15857445192832351</v>
      </c>
      <c r="CQ1069" s="33">
        <v>0</v>
      </c>
      <c r="CR1069" s="33">
        <v>0</v>
      </c>
    </row>
    <row r="1070" spans="1:96" ht="15" customHeight="1" x14ac:dyDescent="0.25">
      <c r="A1070" s="26">
        <v>1068</v>
      </c>
      <c r="B1070" s="27">
        <v>28</v>
      </c>
      <c r="C1070" s="27">
        <v>1</v>
      </c>
      <c r="D1070" s="27">
        <v>2</v>
      </c>
      <c r="E1070" s="27">
        <v>289</v>
      </c>
      <c r="F1070" s="27">
        <v>2</v>
      </c>
      <c r="G1070" s="27">
        <v>2</v>
      </c>
      <c r="H1070" s="27">
        <v>2</v>
      </c>
      <c r="I1070" s="27">
        <v>3</v>
      </c>
      <c r="J1070" s="27">
        <v>1</v>
      </c>
      <c r="K1070" s="27">
        <v>1504</v>
      </c>
      <c r="L1070" s="27">
        <v>3</v>
      </c>
      <c r="M1070" s="27">
        <v>1</v>
      </c>
      <c r="N1070" s="27">
        <v>38</v>
      </c>
      <c r="O1070" s="27">
        <v>2</v>
      </c>
      <c r="P1070" s="27">
        <v>1</v>
      </c>
      <c r="Q1070" s="27">
        <v>3</v>
      </c>
      <c r="R1070" s="27">
        <v>1</v>
      </c>
      <c r="S1070" s="27">
        <v>1</v>
      </c>
      <c r="T1070" s="27">
        <v>2561</v>
      </c>
      <c r="U1070" s="27">
        <v>5355</v>
      </c>
      <c r="V1070" s="27">
        <v>7</v>
      </c>
      <c r="W1070" s="27">
        <v>0</v>
      </c>
      <c r="X1070" s="27">
        <v>11</v>
      </c>
      <c r="Y1070" s="27">
        <v>3</v>
      </c>
      <c r="Z1070" s="27">
        <v>3</v>
      </c>
      <c r="AA1070" s="27">
        <v>80</v>
      </c>
      <c r="AB1070" s="27">
        <v>0</v>
      </c>
      <c r="AC1070" s="27">
        <v>8</v>
      </c>
      <c r="AD1070" s="27">
        <v>2</v>
      </c>
      <c r="AE1070" s="27">
        <v>2</v>
      </c>
      <c r="AF1070" s="27">
        <v>0</v>
      </c>
      <c r="AG1070" s="27">
        <v>0</v>
      </c>
      <c r="AH1070" s="27">
        <v>0</v>
      </c>
      <c r="AI1070" s="28">
        <v>0</v>
      </c>
      <c r="AK1070" s="36">
        <v>1037</v>
      </c>
      <c r="AL1070" s="33">
        <v>2</v>
      </c>
      <c r="AM1070" s="33">
        <v>1</v>
      </c>
      <c r="AN1070" s="33">
        <v>4</v>
      </c>
      <c r="AO1070" s="33">
        <v>6</v>
      </c>
      <c r="AP1070" s="33">
        <v>1</v>
      </c>
      <c r="AQ1070" s="33">
        <v>1</v>
      </c>
      <c r="AR1070" s="33">
        <v>1</v>
      </c>
      <c r="AS1070" s="33">
        <v>2</v>
      </c>
      <c r="AT1070" s="33">
        <v>2</v>
      </c>
      <c r="AU1070" s="43">
        <v>0.46299640839810402</v>
      </c>
      <c r="AV1070" s="33">
        <v>0</v>
      </c>
      <c r="AW1070" s="33">
        <v>1</v>
      </c>
      <c r="AY1070" s="36">
        <v>1042</v>
      </c>
      <c r="AZ1070" s="33">
        <v>2</v>
      </c>
      <c r="BA1070" s="33">
        <v>1</v>
      </c>
      <c r="BB1070" s="33">
        <v>0</v>
      </c>
      <c r="BC1070" s="33">
        <v>0</v>
      </c>
      <c r="BD1070" s="43">
        <v>0.19196561144667343</v>
      </c>
      <c r="BE1070" s="33">
        <v>0</v>
      </c>
      <c r="BF1070" s="33">
        <v>0</v>
      </c>
      <c r="CE1070" s="36">
        <v>1036</v>
      </c>
      <c r="CF1070" s="33">
        <v>8</v>
      </c>
      <c r="CG1070" s="33">
        <v>1</v>
      </c>
      <c r="CH1070" s="33">
        <v>2</v>
      </c>
      <c r="CI1070" s="33">
        <v>1</v>
      </c>
      <c r="CJ1070" s="33">
        <v>9</v>
      </c>
      <c r="CK1070" s="33">
        <v>0</v>
      </c>
      <c r="CL1070" s="33">
        <v>0</v>
      </c>
      <c r="CM1070" s="33">
        <v>3</v>
      </c>
      <c r="CN1070" s="33">
        <v>3</v>
      </c>
      <c r="CO1070" s="33">
        <v>0</v>
      </c>
      <c r="CP1070" s="43">
        <v>0.35580525819655417</v>
      </c>
      <c r="CQ1070" s="33">
        <v>0</v>
      </c>
      <c r="CR1070" s="33">
        <v>0</v>
      </c>
    </row>
    <row r="1071" spans="1:96" ht="15" customHeight="1" x14ac:dyDescent="0.25">
      <c r="A1071" s="26">
        <v>1069</v>
      </c>
      <c r="B1071" s="27">
        <v>28</v>
      </c>
      <c r="C1071" s="27">
        <v>0</v>
      </c>
      <c r="D1071" s="27">
        <v>1</v>
      </c>
      <c r="E1071" s="27">
        <v>1423</v>
      </c>
      <c r="F1071" s="27">
        <v>2</v>
      </c>
      <c r="G1071" s="27">
        <v>1</v>
      </c>
      <c r="H1071" s="27">
        <v>3</v>
      </c>
      <c r="I1071" s="27">
        <v>1</v>
      </c>
      <c r="J1071" s="27">
        <v>1</v>
      </c>
      <c r="K1071" s="27">
        <v>1506</v>
      </c>
      <c r="L1071" s="27">
        <v>1</v>
      </c>
      <c r="M1071" s="27">
        <v>1</v>
      </c>
      <c r="N1071" s="27">
        <v>72</v>
      </c>
      <c r="O1071" s="27">
        <v>2</v>
      </c>
      <c r="P1071" s="27">
        <v>1</v>
      </c>
      <c r="Q1071" s="27">
        <v>2</v>
      </c>
      <c r="R1071" s="27">
        <v>3</v>
      </c>
      <c r="S1071" s="27">
        <v>3</v>
      </c>
      <c r="T1071" s="27">
        <v>1563</v>
      </c>
      <c r="U1071" s="27">
        <v>12530</v>
      </c>
      <c r="V1071" s="27">
        <v>1</v>
      </c>
      <c r="W1071" s="27">
        <v>0</v>
      </c>
      <c r="X1071" s="27">
        <v>14</v>
      </c>
      <c r="Y1071" s="27">
        <v>3</v>
      </c>
      <c r="Z1071" s="27">
        <v>4</v>
      </c>
      <c r="AA1071" s="27">
        <v>80</v>
      </c>
      <c r="AB1071" s="27">
        <v>1</v>
      </c>
      <c r="AC1071" s="27">
        <v>1</v>
      </c>
      <c r="AD1071" s="27">
        <v>2</v>
      </c>
      <c r="AE1071" s="27">
        <v>1</v>
      </c>
      <c r="AF1071" s="27">
        <v>1</v>
      </c>
      <c r="AG1071" s="27">
        <v>0</v>
      </c>
      <c r="AH1071" s="27">
        <v>0</v>
      </c>
      <c r="AI1071" s="28">
        <v>0</v>
      </c>
      <c r="AK1071" s="36">
        <v>1038</v>
      </c>
      <c r="AL1071" s="33">
        <v>29</v>
      </c>
      <c r="AM1071" s="33">
        <v>3</v>
      </c>
      <c r="AN1071" s="33">
        <v>4</v>
      </c>
      <c r="AO1071" s="33">
        <v>4</v>
      </c>
      <c r="AP1071" s="33">
        <v>1</v>
      </c>
      <c r="AQ1071" s="33">
        <v>2</v>
      </c>
      <c r="AR1071" s="33">
        <v>4</v>
      </c>
      <c r="AS1071" s="33">
        <v>3</v>
      </c>
      <c r="AT1071" s="33">
        <v>1</v>
      </c>
      <c r="AU1071" s="43">
        <v>0.12331204560980454</v>
      </c>
      <c r="AV1071" s="33">
        <v>0</v>
      </c>
      <c r="AW1071" s="33">
        <v>0</v>
      </c>
      <c r="AY1071" s="36">
        <v>1043</v>
      </c>
      <c r="AZ1071" s="33">
        <v>1</v>
      </c>
      <c r="BA1071" s="33">
        <v>3</v>
      </c>
      <c r="BB1071" s="33">
        <v>0</v>
      </c>
      <c r="BC1071" s="33">
        <v>0</v>
      </c>
      <c r="BD1071" s="43">
        <v>0.18791247240909698</v>
      </c>
      <c r="BE1071" s="33">
        <v>0</v>
      </c>
      <c r="BF1071" s="33">
        <v>0</v>
      </c>
      <c r="CE1071" s="36">
        <v>1037</v>
      </c>
      <c r="CF1071" s="33">
        <v>2</v>
      </c>
      <c r="CG1071" s="33">
        <v>1</v>
      </c>
      <c r="CH1071" s="33">
        <v>4</v>
      </c>
      <c r="CI1071" s="33">
        <v>2</v>
      </c>
      <c r="CJ1071" s="33">
        <v>6</v>
      </c>
      <c r="CK1071" s="33">
        <v>1</v>
      </c>
      <c r="CL1071" s="33">
        <v>1</v>
      </c>
      <c r="CM1071" s="33">
        <v>1</v>
      </c>
      <c r="CN1071" s="33">
        <v>2</v>
      </c>
      <c r="CO1071" s="33">
        <v>2</v>
      </c>
      <c r="CP1071" s="43">
        <v>0.46765092481112996</v>
      </c>
      <c r="CQ1071" s="33">
        <v>0</v>
      </c>
      <c r="CR1071" s="33">
        <v>1</v>
      </c>
    </row>
    <row r="1072" spans="1:96" ht="15" customHeight="1" x14ac:dyDescent="0.25">
      <c r="A1072" s="26">
        <v>1070</v>
      </c>
      <c r="B1072" s="27">
        <v>28</v>
      </c>
      <c r="C1072" s="27">
        <v>0</v>
      </c>
      <c r="D1072" s="27">
        <v>2</v>
      </c>
      <c r="E1072" s="27">
        <v>467</v>
      </c>
      <c r="F1072" s="27">
        <v>1</v>
      </c>
      <c r="G1072" s="27">
        <v>7</v>
      </c>
      <c r="H1072" s="27">
        <v>3</v>
      </c>
      <c r="I1072" s="27">
        <v>1</v>
      </c>
      <c r="J1072" s="27">
        <v>1</v>
      </c>
      <c r="K1072" s="27">
        <v>1507</v>
      </c>
      <c r="L1072" s="27">
        <v>3</v>
      </c>
      <c r="M1072" s="27">
        <v>1</v>
      </c>
      <c r="N1072" s="27">
        <v>55</v>
      </c>
      <c r="O1072" s="27">
        <v>3</v>
      </c>
      <c r="P1072" s="27">
        <v>2</v>
      </c>
      <c r="Q1072" s="27">
        <v>1</v>
      </c>
      <c r="R1072" s="27">
        <v>1</v>
      </c>
      <c r="S1072" s="27">
        <v>1</v>
      </c>
      <c r="T1072" s="27">
        <v>4898</v>
      </c>
      <c r="U1072" s="27">
        <v>11827</v>
      </c>
      <c r="V1072" s="27">
        <v>0</v>
      </c>
      <c r="W1072" s="27">
        <v>0</v>
      </c>
      <c r="X1072" s="27">
        <v>14</v>
      </c>
      <c r="Y1072" s="27">
        <v>3</v>
      </c>
      <c r="Z1072" s="27">
        <v>4</v>
      </c>
      <c r="AA1072" s="27">
        <v>80</v>
      </c>
      <c r="AB1072" s="27">
        <v>0</v>
      </c>
      <c r="AC1072" s="27">
        <v>5</v>
      </c>
      <c r="AD1072" s="27">
        <v>5</v>
      </c>
      <c r="AE1072" s="27">
        <v>3</v>
      </c>
      <c r="AF1072" s="27">
        <v>4</v>
      </c>
      <c r="AG1072" s="27">
        <v>2</v>
      </c>
      <c r="AH1072" s="27">
        <v>1</v>
      </c>
      <c r="AI1072" s="28">
        <v>3</v>
      </c>
      <c r="AK1072" s="36">
        <v>1039</v>
      </c>
      <c r="AL1072" s="33">
        <v>7</v>
      </c>
      <c r="AM1072" s="33">
        <v>2</v>
      </c>
      <c r="AN1072" s="33">
        <v>1</v>
      </c>
      <c r="AO1072" s="33">
        <v>4</v>
      </c>
      <c r="AP1072" s="33">
        <v>0</v>
      </c>
      <c r="AQ1072" s="33">
        <v>3</v>
      </c>
      <c r="AR1072" s="33">
        <v>3</v>
      </c>
      <c r="AS1072" s="33">
        <v>2</v>
      </c>
      <c r="AT1072" s="33">
        <v>2</v>
      </c>
      <c r="AU1072" s="43">
        <v>5.2243344958926859E-2</v>
      </c>
      <c r="AV1072" s="33">
        <v>0</v>
      </c>
      <c r="AW1072" s="33">
        <v>0</v>
      </c>
      <c r="AY1072" s="36">
        <v>1044</v>
      </c>
      <c r="AZ1072" s="33">
        <v>4</v>
      </c>
      <c r="BA1072" s="33">
        <v>2</v>
      </c>
      <c r="BB1072" s="33">
        <v>0</v>
      </c>
      <c r="BC1072" s="33">
        <v>0</v>
      </c>
      <c r="BD1072" s="43">
        <v>5.4862919617085948E-2</v>
      </c>
      <c r="BE1072" s="33">
        <v>0</v>
      </c>
      <c r="BF1072" s="33">
        <v>0</v>
      </c>
      <c r="CE1072" s="36">
        <v>1038</v>
      </c>
      <c r="CF1072" s="33">
        <v>29</v>
      </c>
      <c r="CG1072" s="33">
        <v>3</v>
      </c>
      <c r="CH1072" s="33">
        <v>4</v>
      </c>
      <c r="CI1072" s="33">
        <v>2</v>
      </c>
      <c r="CJ1072" s="33">
        <v>4</v>
      </c>
      <c r="CK1072" s="33">
        <v>1</v>
      </c>
      <c r="CL1072" s="33">
        <v>2</v>
      </c>
      <c r="CM1072" s="33">
        <v>4</v>
      </c>
      <c r="CN1072" s="33">
        <v>3</v>
      </c>
      <c r="CO1072" s="33">
        <v>1</v>
      </c>
      <c r="CP1072" s="43">
        <v>0.16247539845936337</v>
      </c>
      <c r="CQ1072" s="33">
        <v>0</v>
      </c>
      <c r="CR1072" s="33">
        <v>0</v>
      </c>
    </row>
    <row r="1073" spans="1:96" ht="15" customHeight="1" x14ac:dyDescent="0.25">
      <c r="A1073" s="26">
        <v>1071</v>
      </c>
      <c r="B1073" s="27">
        <v>49</v>
      </c>
      <c r="C1073" s="27">
        <v>0</v>
      </c>
      <c r="D1073" s="27">
        <v>1</v>
      </c>
      <c r="E1073" s="27">
        <v>271</v>
      </c>
      <c r="F1073" s="27">
        <v>2</v>
      </c>
      <c r="G1073" s="27">
        <v>3</v>
      </c>
      <c r="H1073" s="27">
        <v>2</v>
      </c>
      <c r="I1073" s="27">
        <v>3</v>
      </c>
      <c r="J1073" s="27">
        <v>1</v>
      </c>
      <c r="K1073" s="27">
        <v>1509</v>
      </c>
      <c r="L1073" s="27">
        <v>3</v>
      </c>
      <c r="M1073" s="27">
        <v>0</v>
      </c>
      <c r="N1073" s="27">
        <v>43</v>
      </c>
      <c r="O1073" s="27">
        <v>2</v>
      </c>
      <c r="P1073" s="27">
        <v>2</v>
      </c>
      <c r="Q1073" s="27">
        <v>3</v>
      </c>
      <c r="R1073" s="27">
        <v>1</v>
      </c>
      <c r="S1073" s="27">
        <v>2</v>
      </c>
      <c r="T1073" s="27">
        <v>4789</v>
      </c>
      <c r="U1073" s="27">
        <v>23070</v>
      </c>
      <c r="V1073" s="27">
        <v>4</v>
      </c>
      <c r="W1073" s="27">
        <v>0</v>
      </c>
      <c r="X1073" s="27">
        <v>25</v>
      </c>
      <c r="Y1073" s="27">
        <v>4</v>
      </c>
      <c r="Z1073" s="27">
        <v>1</v>
      </c>
      <c r="AA1073" s="27">
        <v>80</v>
      </c>
      <c r="AB1073" s="27">
        <v>1</v>
      </c>
      <c r="AC1073" s="27">
        <v>10</v>
      </c>
      <c r="AD1073" s="27">
        <v>3</v>
      </c>
      <c r="AE1073" s="27">
        <v>3</v>
      </c>
      <c r="AF1073" s="27">
        <v>3</v>
      </c>
      <c r="AG1073" s="27">
        <v>2</v>
      </c>
      <c r="AH1073" s="27">
        <v>1</v>
      </c>
      <c r="AI1073" s="28">
        <v>2</v>
      </c>
      <c r="AK1073" s="36">
        <v>1040</v>
      </c>
      <c r="AL1073" s="33">
        <v>9</v>
      </c>
      <c r="AM1073" s="33">
        <v>1</v>
      </c>
      <c r="AN1073" s="33">
        <v>3</v>
      </c>
      <c r="AO1073" s="33">
        <v>1</v>
      </c>
      <c r="AP1073" s="33">
        <v>0</v>
      </c>
      <c r="AQ1073" s="33">
        <v>0</v>
      </c>
      <c r="AR1073" s="33">
        <v>3</v>
      </c>
      <c r="AS1073" s="33">
        <v>2</v>
      </c>
      <c r="AT1073" s="33">
        <v>2</v>
      </c>
      <c r="AU1073" s="43">
        <v>0.19560787251831752</v>
      </c>
      <c r="AV1073" s="33">
        <v>0</v>
      </c>
      <c r="AW1073" s="33">
        <v>1</v>
      </c>
      <c r="AY1073" s="36">
        <v>1045</v>
      </c>
      <c r="AZ1073" s="33">
        <v>2</v>
      </c>
      <c r="BA1073" s="33">
        <v>3</v>
      </c>
      <c r="BB1073" s="33">
        <v>0</v>
      </c>
      <c r="BC1073" s="33">
        <v>1</v>
      </c>
      <c r="BD1073" s="43">
        <v>7.244788656931947E-2</v>
      </c>
      <c r="BE1073" s="33">
        <v>0</v>
      </c>
      <c r="BF1073" s="33">
        <v>0</v>
      </c>
      <c r="CE1073" s="36">
        <v>1039</v>
      </c>
      <c r="CF1073" s="33">
        <v>7</v>
      </c>
      <c r="CG1073" s="33">
        <v>2</v>
      </c>
      <c r="CH1073" s="33">
        <v>1</v>
      </c>
      <c r="CI1073" s="33">
        <v>3</v>
      </c>
      <c r="CJ1073" s="33">
        <v>4</v>
      </c>
      <c r="CK1073" s="33">
        <v>0</v>
      </c>
      <c r="CL1073" s="33">
        <v>3</v>
      </c>
      <c r="CM1073" s="33">
        <v>3</v>
      </c>
      <c r="CN1073" s="33">
        <v>2</v>
      </c>
      <c r="CO1073" s="33">
        <v>2</v>
      </c>
      <c r="CP1073" s="43">
        <v>5.9699872487931495E-2</v>
      </c>
      <c r="CQ1073" s="33">
        <v>0</v>
      </c>
      <c r="CR1073" s="33">
        <v>0</v>
      </c>
    </row>
    <row r="1074" spans="1:96" ht="15" customHeight="1" x14ac:dyDescent="0.25">
      <c r="A1074" s="26">
        <v>1072</v>
      </c>
      <c r="B1074" s="27">
        <v>29</v>
      </c>
      <c r="C1074" s="27">
        <v>0</v>
      </c>
      <c r="D1074" s="27">
        <v>2</v>
      </c>
      <c r="E1074" s="27">
        <v>410</v>
      </c>
      <c r="F1074" s="27">
        <v>2</v>
      </c>
      <c r="G1074" s="27">
        <v>2</v>
      </c>
      <c r="H1074" s="27">
        <v>1</v>
      </c>
      <c r="I1074" s="27">
        <v>1</v>
      </c>
      <c r="J1074" s="27">
        <v>1</v>
      </c>
      <c r="K1074" s="27">
        <v>1513</v>
      </c>
      <c r="L1074" s="27">
        <v>4</v>
      </c>
      <c r="M1074" s="27">
        <v>0</v>
      </c>
      <c r="N1074" s="27">
        <v>97</v>
      </c>
      <c r="O1074" s="27">
        <v>3</v>
      </c>
      <c r="P1074" s="27">
        <v>1</v>
      </c>
      <c r="Q1074" s="27">
        <v>3</v>
      </c>
      <c r="R1074" s="27">
        <v>2</v>
      </c>
      <c r="S1074" s="27">
        <v>2</v>
      </c>
      <c r="T1074" s="27">
        <v>3180</v>
      </c>
      <c r="U1074" s="27">
        <v>4668</v>
      </c>
      <c r="V1074" s="27">
        <v>0</v>
      </c>
      <c r="W1074" s="27">
        <v>0</v>
      </c>
      <c r="X1074" s="27">
        <v>13</v>
      </c>
      <c r="Y1074" s="27">
        <v>3</v>
      </c>
      <c r="Z1074" s="27">
        <v>3</v>
      </c>
      <c r="AA1074" s="27">
        <v>80</v>
      </c>
      <c r="AB1074" s="27">
        <v>3</v>
      </c>
      <c r="AC1074" s="27">
        <v>4</v>
      </c>
      <c r="AD1074" s="27">
        <v>3</v>
      </c>
      <c r="AE1074" s="27">
        <v>3</v>
      </c>
      <c r="AF1074" s="27">
        <v>3</v>
      </c>
      <c r="AG1074" s="27">
        <v>2</v>
      </c>
      <c r="AH1074" s="27">
        <v>0</v>
      </c>
      <c r="AI1074" s="28">
        <v>2</v>
      </c>
      <c r="AK1074" s="36">
        <v>1041</v>
      </c>
      <c r="AL1074" s="33">
        <v>8</v>
      </c>
      <c r="AM1074" s="33">
        <v>3</v>
      </c>
      <c r="AN1074" s="33">
        <v>2</v>
      </c>
      <c r="AO1074" s="33">
        <v>2</v>
      </c>
      <c r="AP1074" s="33">
        <v>0</v>
      </c>
      <c r="AQ1074" s="33">
        <v>1</v>
      </c>
      <c r="AR1074" s="33">
        <v>3</v>
      </c>
      <c r="AS1074" s="33">
        <v>9</v>
      </c>
      <c r="AT1074" s="33">
        <v>4</v>
      </c>
      <c r="AU1074" s="43">
        <v>4.6533872892359822E-2</v>
      </c>
      <c r="AV1074" s="33">
        <v>0</v>
      </c>
      <c r="AW1074" s="33">
        <v>0</v>
      </c>
      <c r="AY1074" s="36">
        <v>1046</v>
      </c>
      <c r="AZ1074" s="33">
        <v>1</v>
      </c>
      <c r="BA1074" s="33">
        <v>3</v>
      </c>
      <c r="BB1074" s="33">
        <v>0</v>
      </c>
      <c r="BC1074" s="33">
        <v>1</v>
      </c>
      <c r="BD1074" s="43">
        <v>0.12012271365792118</v>
      </c>
      <c r="BE1074" s="33">
        <v>0</v>
      </c>
      <c r="BF1074" s="33">
        <v>0</v>
      </c>
      <c r="CE1074" s="36">
        <v>1040</v>
      </c>
      <c r="CF1074" s="33">
        <v>9</v>
      </c>
      <c r="CG1074" s="33">
        <v>1</v>
      </c>
      <c r="CH1074" s="33">
        <v>3</v>
      </c>
      <c r="CI1074" s="33">
        <v>2</v>
      </c>
      <c r="CJ1074" s="33">
        <v>1</v>
      </c>
      <c r="CK1074" s="33">
        <v>0</v>
      </c>
      <c r="CL1074" s="33">
        <v>0</v>
      </c>
      <c r="CM1074" s="33">
        <v>3</v>
      </c>
      <c r="CN1074" s="33">
        <v>2</v>
      </c>
      <c r="CO1074" s="33">
        <v>2</v>
      </c>
      <c r="CP1074" s="43">
        <v>0.14142122390152323</v>
      </c>
      <c r="CQ1074" s="33">
        <v>0</v>
      </c>
      <c r="CR1074" s="33">
        <v>1</v>
      </c>
    </row>
    <row r="1075" spans="1:96" ht="15" customHeight="1" x14ac:dyDescent="0.25">
      <c r="A1075" s="26">
        <v>1073</v>
      </c>
      <c r="B1075" s="27">
        <v>28</v>
      </c>
      <c r="C1075" s="27">
        <v>0</v>
      </c>
      <c r="D1075" s="27">
        <v>1</v>
      </c>
      <c r="E1075" s="27">
        <v>1083</v>
      </c>
      <c r="F1075" s="27">
        <v>2</v>
      </c>
      <c r="G1075" s="27">
        <v>29</v>
      </c>
      <c r="H1075" s="27">
        <v>1</v>
      </c>
      <c r="I1075" s="27">
        <v>1</v>
      </c>
      <c r="J1075" s="27">
        <v>1</v>
      </c>
      <c r="K1075" s="27">
        <v>1514</v>
      </c>
      <c r="L1075" s="27">
        <v>3</v>
      </c>
      <c r="M1075" s="27">
        <v>1</v>
      </c>
      <c r="N1075" s="27">
        <v>96</v>
      </c>
      <c r="O1075" s="27">
        <v>1</v>
      </c>
      <c r="P1075" s="27">
        <v>2</v>
      </c>
      <c r="Q1075" s="27">
        <v>4</v>
      </c>
      <c r="R1075" s="27">
        <v>2</v>
      </c>
      <c r="S1075" s="27">
        <v>2</v>
      </c>
      <c r="T1075" s="27">
        <v>6549</v>
      </c>
      <c r="U1075" s="27">
        <v>3173</v>
      </c>
      <c r="V1075" s="27">
        <v>1</v>
      </c>
      <c r="W1075" s="27">
        <v>0</v>
      </c>
      <c r="X1075" s="27">
        <v>14</v>
      </c>
      <c r="Y1075" s="27">
        <v>3</v>
      </c>
      <c r="Z1075" s="27">
        <v>2</v>
      </c>
      <c r="AA1075" s="27">
        <v>80</v>
      </c>
      <c r="AB1075" s="27">
        <v>2</v>
      </c>
      <c r="AC1075" s="27">
        <v>8</v>
      </c>
      <c r="AD1075" s="27">
        <v>2</v>
      </c>
      <c r="AE1075" s="27">
        <v>2</v>
      </c>
      <c r="AF1075" s="27">
        <v>8</v>
      </c>
      <c r="AG1075" s="27">
        <v>6</v>
      </c>
      <c r="AH1075" s="27">
        <v>1</v>
      </c>
      <c r="AI1075" s="28">
        <v>7</v>
      </c>
      <c r="AK1075" s="36">
        <v>1042</v>
      </c>
      <c r="AL1075" s="33">
        <v>5</v>
      </c>
      <c r="AM1075" s="33">
        <v>2</v>
      </c>
      <c r="AN1075" s="33">
        <v>1</v>
      </c>
      <c r="AO1075" s="33">
        <v>0</v>
      </c>
      <c r="AP1075" s="33">
        <v>0</v>
      </c>
      <c r="AQ1075" s="33">
        <v>0</v>
      </c>
      <c r="AR1075" s="33">
        <v>3</v>
      </c>
      <c r="AS1075" s="33">
        <v>5</v>
      </c>
      <c r="AT1075" s="33">
        <v>1</v>
      </c>
      <c r="AU1075" s="43">
        <v>0.12678360810961245</v>
      </c>
      <c r="AV1075" s="33">
        <v>0</v>
      </c>
      <c r="AW1075" s="33">
        <v>0</v>
      </c>
      <c r="AY1075" s="36">
        <v>1047</v>
      </c>
      <c r="AZ1075" s="33">
        <v>1</v>
      </c>
      <c r="BA1075" s="33">
        <v>2</v>
      </c>
      <c r="BB1075" s="33">
        <v>0</v>
      </c>
      <c r="BC1075" s="33">
        <v>0</v>
      </c>
      <c r="BD1075" s="43">
        <v>0.23662845161334917</v>
      </c>
      <c r="BE1075" s="33">
        <v>0</v>
      </c>
      <c r="BF1075" s="33">
        <v>0</v>
      </c>
      <c r="CE1075" s="36">
        <v>1041</v>
      </c>
      <c r="CF1075" s="33">
        <v>8</v>
      </c>
      <c r="CG1075" s="33">
        <v>3</v>
      </c>
      <c r="CH1075" s="33">
        <v>2</v>
      </c>
      <c r="CI1075" s="33">
        <v>3</v>
      </c>
      <c r="CJ1075" s="33">
        <v>2</v>
      </c>
      <c r="CK1075" s="33">
        <v>0</v>
      </c>
      <c r="CL1075" s="33">
        <v>1</v>
      </c>
      <c r="CM1075" s="33">
        <v>3</v>
      </c>
      <c r="CN1075" s="33">
        <v>9</v>
      </c>
      <c r="CO1075" s="33">
        <v>4</v>
      </c>
      <c r="CP1075" s="43">
        <v>2.7266371691410544E-2</v>
      </c>
      <c r="CQ1075" s="33">
        <v>0</v>
      </c>
      <c r="CR1075" s="33">
        <v>0</v>
      </c>
    </row>
    <row r="1076" spans="1:96" ht="15" customHeight="1" x14ac:dyDescent="0.25">
      <c r="A1076" s="26">
        <v>1074</v>
      </c>
      <c r="B1076" s="27">
        <v>33</v>
      </c>
      <c r="C1076" s="27">
        <v>0</v>
      </c>
      <c r="D1076" s="27">
        <v>1</v>
      </c>
      <c r="E1076" s="27">
        <v>516</v>
      </c>
      <c r="F1076" s="27">
        <v>2</v>
      </c>
      <c r="G1076" s="27">
        <v>8</v>
      </c>
      <c r="H1076" s="27">
        <v>5</v>
      </c>
      <c r="I1076" s="27">
        <v>1</v>
      </c>
      <c r="J1076" s="27">
        <v>1</v>
      </c>
      <c r="K1076" s="27">
        <v>1515</v>
      </c>
      <c r="L1076" s="27">
        <v>4</v>
      </c>
      <c r="M1076" s="27">
        <v>1</v>
      </c>
      <c r="N1076" s="27">
        <v>69</v>
      </c>
      <c r="O1076" s="27">
        <v>3</v>
      </c>
      <c r="P1076" s="27">
        <v>2</v>
      </c>
      <c r="Q1076" s="27">
        <v>5</v>
      </c>
      <c r="R1076" s="27">
        <v>3</v>
      </c>
      <c r="S1076" s="27">
        <v>1</v>
      </c>
      <c r="T1076" s="27">
        <v>6388</v>
      </c>
      <c r="U1076" s="27">
        <v>22049</v>
      </c>
      <c r="V1076" s="27">
        <v>2</v>
      </c>
      <c r="W1076" s="27">
        <v>1</v>
      </c>
      <c r="X1076" s="27">
        <v>17</v>
      </c>
      <c r="Y1076" s="27">
        <v>3</v>
      </c>
      <c r="Z1076" s="27">
        <v>1</v>
      </c>
      <c r="AA1076" s="27">
        <v>80</v>
      </c>
      <c r="AB1076" s="27">
        <v>0</v>
      </c>
      <c r="AC1076" s="27">
        <v>14</v>
      </c>
      <c r="AD1076" s="27">
        <v>6</v>
      </c>
      <c r="AE1076" s="27">
        <v>3</v>
      </c>
      <c r="AF1076" s="27">
        <v>0</v>
      </c>
      <c r="AG1076" s="27">
        <v>0</v>
      </c>
      <c r="AH1076" s="27">
        <v>0</v>
      </c>
      <c r="AI1076" s="28">
        <v>0</v>
      </c>
      <c r="AK1076" s="36">
        <v>1043</v>
      </c>
      <c r="AL1076" s="33">
        <v>5</v>
      </c>
      <c r="AM1076" s="33">
        <v>1</v>
      </c>
      <c r="AN1076" s="33">
        <v>3</v>
      </c>
      <c r="AO1076" s="33">
        <v>3</v>
      </c>
      <c r="AP1076" s="33">
        <v>0</v>
      </c>
      <c r="AQ1076" s="33">
        <v>0</v>
      </c>
      <c r="AR1076" s="33">
        <v>3</v>
      </c>
      <c r="AS1076" s="33">
        <v>5</v>
      </c>
      <c r="AT1076" s="33">
        <v>0</v>
      </c>
      <c r="AU1076" s="43">
        <v>0.1390070555054693</v>
      </c>
      <c r="AV1076" s="33">
        <v>0</v>
      </c>
      <c r="AW1076" s="33">
        <v>0</v>
      </c>
      <c r="AY1076" s="36">
        <v>1048</v>
      </c>
      <c r="AZ1076" s="33">
        <v>2</v>
      </c>
      <c r="BA1076" s="33">
        <v>1</v>
      </c>
      <c r="BB1076" s="33">
        <v>0</v>
      </c>
      <c r="BC1076" s="33">
        <v>2</v>
      </c>
      <c r="BD1076" s="43">
        <v>7.638126547101505E-2</v>
      </c>
      <c r="BE1076" s="33">
        <v>0</v>
      </c>
      <c r="BF1076" s="33">
        <v>0</v>
      </c>
      <c r="CE1076" s="36">
        <v>1042</v>
      </c>
      <c r="CF1076" s="33">
        <v>5</v>
      </c>
      <c r="CG1076" s="33">
        <v>2</v>
      </c>
      <c r="CH1076" s="33">
        <v>1</v>
      </c>
      <c r="CI1076" s="33">
        <v>1</v>
      </c>
      <c r="CJ1076" s="33">
        <v>0</v>
      </c>
      <c r="CK1076" s="33">
        <v>0</v>
      </c>
      <c r="CL1076" s="33">
        <v>0</v>
      </c>
      <c r="CM1076" s="33">
        <v>3</v>
      </c>
      <c r="CN1076" s="33">
        <v>5</v>
      </c>
      <c r="CO1076" s="33">
        <v>1</v>
      </c>
      <c r="CP1076" s="43">
        <v>0.15162475061308037</v>
      </c>
      <c r="CQ1076" s="33">
        <v>0</v>
      </c>
      <c r="CR1076" s="33">
        <v>0</v>
      </c>
    </row>
    <row r="1077" spans="1:96" ht="15" customHeight="1" x14ac:dyDescent="0.25">
      <c r="A1077" s="26">
        <v>1075</v>
      </c>
      <c r="B1077" s="27">
        <v>32</v>
      </c>
      <c r="C1077" s="27">
        <v>0</v>
      </c>
      <c r="D1077" s="27">
        <v>1</v>
      </c>
      <c r="E1077" s="27">
        <v>495</v>
      </c>
      <c r="F1077" s="27">
        <v>2</v>
      </c>
      <c r="G1077" s="27">
        <v>10</v>
      </c>
      <c r="H1077" s="27">
        <v>3</v>
      </c>
      <c r="I1077" s="27">
        <v>3</v>
      </c>
      <c r="J1077" s="27">
        <v>1</v>
      </c>
      <c r="K1077" s="27">
        <v>1516</v>
      </c>
      <c r="L1077" s="27">
        <v>3</v>
      </c>
      <c r="M1077" s="27">
        <v>1</v>
      </c>
      <c r="N1077" s="27">
        <v>64</v>
      </c>
      <c r="O1077" s="27">
        <v>3</v>
      </c>
      <c r="P1077" s="27">
        <v>3</v>
      </c>
      <c r="Q1077" s="27">
        <v>6</v>
      </c>
      <c r="R1077" s="27">
        <v>4</v>
      </c>
      <c r="S1077" s="27">
        <v>1</v>
      </c>
      <c r="T1077" s="27">
        <v>11244</v>
      </c>
      <c r="U1077" s="27">
        <v>21072</v>
      </c>
      <c r="V1077" s="27">
        <v>2</v>
      </c>
      <c r="W1077" s="27">
        <v>0</v>
      </c>
      <c r="X1077" s="27">
        <v>25</v>
      </c>
      <c r="Y1077" s="27">
        <v>4</v>
      </c>
      <c r="Z1077" s="27">
        <v>2</v>
      </c>
      <c r="AA1077" s="27">
        <v>80</v>
      </c>
      <c r="AB1077" s="27">
        <v>0</v>
      </c>
      <c r="AC1077" s="27">
        <v>10</v>
      </c>
      <c r="AD1077" s="27">
        <v>5</v>
      </c>
      <c r="AE1077" s="27">
        <v>4</v>
      </c>
      <c r="AF1077" s="27">
        <v>5</v>
      </c>
      <c r="AG1077" s="27">
        <v>2</v>
      </c>
      <c r="AH1077" s="27">
        <v>0</v>
      </c>
      <c r="AI1077" s="28">
        <v>0</v>
      </c>
      <c r="AK1077" s="36">
        <v>1044</v>
      </c>
      <c r="AL1077" s="33">
        <v>2</v>
      </c>
      <c r="AM1077" s="33">
        <v>4</v>
      </c>
      <c r="AN1077" s="33">
        <v>2</v>
      </c>
      <c r="AO1077" s="33">
        <v>4</v>
      </c>
      <c r="AP1077" s="33">
        <v>0</v>
      </c>
      <c r="AQ1077" s="33">
        <v>0</v>
      </c>
      <c r="AR1077" s="33">
        <v>2</v>
      </c>
      <c r="AS1077" s="33">
        <v>9</v>
      </c>
      <c r="AT1077" s="33">
        <v>8</v>
      </c>
      <c r="AU1077" s="43">
        <v>8.6883861728108247E-2</v>
      </c>
      <c r="AV1077" s="33">
        <v>0</v>
      </c>
      <c r="AW1077" s="33">
        <v>0</v>
      </c>
      <c r="AY1077" s="36">
        <v>1049</v>
      </c>
      <c r="AZ1077" s="33">
        <v>2</v>
      </c>
      <c r="BA1077" s="33">
        <v>1</v>
      </c>
      <c r="BB1077" s="33">
        <v>0</v>
      </c>
      <c r="BC1077" s="33">
        <v>0</v>
      </c>
      <c r="BD1077" s="43">
        <v>0.19196561144667343</v>
      </c>
      <c r="BE1077" s="33">
        <v>0</v>
      </c>
      <c r="BF1077" s="33">
        <v>0</v>
      </c>
      <c r="CE1077" s="36">
        <v>1043</v>
      </c>
      <c r="CF1077" s="33">
        <v>5</v>
      </c>
      <c r="CG1077" s="33">
        <v>1</v>
      </c>
      <c r="CH1077" s="33">
        <v>3</v>
      </c>
      <c r="CI1077" s="33">
        <v>1</v>
      </c>
      <c r="CJ1077" s="33">
        <v>3</v>
      </c>
      <c r="CK1077" s="33">
        <v>0</v>
      </c>
      <c r="CL1077" s="33">
        <v>0</v>
      </c>
      <c r="CM1077" s="33">
        <v>3</v>
      </c>
      <c r="CN1077" s="33">
        <v>5</v>
      </c>
      <c r="CO1077" s="33">
        <v>0</v>
      </c>
      <c r="CP1077" s="43">
        <v>0.15946290346070205</v>
      </c>
      <c r="CQ1077" s="33">
        <v>0</v>
      </c>
      <c r="CR1077" s="33">
        <v>0</v>
      </c>
    </row>
    <row r="1078" spans="1:96" ht="15" customHeight="1" x14ac:dyDescent="0.25">
      <c r="A1078" s="26">
        <v>1076</v>
      </c>
      <c r="B1078" s="27">
        <v>54</v>
      </c>
      <c r="C1078" s="27">
        <v>0</v>
      </c>
      <c r="D1078" s="27">
        <v>2</v>
      </c>
      <c r="E1078" s="27">
        <v>1050</v>
      </c>
      <c r="F1078" s="27">
        <v>2</v>
      </c>
      <c r="G1078" s="27">
        <v>11</v>
      </c>
      <c r="H1078" s="27">
        <v>4</v>
      </c>
      <c r="I1078" s="27">
        <v>3</v>
      </c>
      <c r="J1078" s="27">
        <v>1</v>
      </c>
      <c r="K1078" s="27">
        <v>1520</v>
      </c>
      <c r="L1078" s="27">
        <v>2</v>
      </c>
      <c r="M1078" s="27">
        <v>0</v>
      </c>
      <c r="N1078" s="27">
        <v>87</v>
      </c>
      <c r="O1078" s="27">
        <v>3</v>
      </c>
      <c r="P1078" s="27">
        <v>4</v>
      </c>
      <c r="Q1078" s="27">
        <v>6</v>
      </c>
      <c r="R1078" s="27">
        <v>4</v>
      </c>
      <c r="S1078" s="27">
        <v>3</v>
      </c>
      <c r="T1078" s="27">
        <v>16032</v>
      </c>
      <c r="U1078" s="27">
        <v>24456</v>
      </c>
      <c r="V1078" s="27">
        <v>3</v>
      </c>
      <c r="W1078" s="27">
        <v>0</v>
      </c>
      <c r="X1078" s="27">
        <v>20</v>
      </c>
      <c r="Y1078" s="27">
        <v>4</v>
      </c>
      <c r="Z1078" s="27">
        <v>1</v>
      </c>
      <c r="AA1078" s="27">
        <v>80</v>
      </c>
      <c r="AB1078" s="27">
        <v>1</v>
      </c>
      <c r="AC1078" s="27">
        <v>26</v>
      </c>
      <c r="AD1078" s="27">
        <v>2</v>
      </c>
      <c r="AE1078" s="27">
        <v>3</v>
      </c>
      <c r="AF1078" s="27">
        <v>14</v>
      </c>
      <c r="AG1078" s="27">
        <v>9</v>
      </c>
      <c r="AH1078" s="27">
        <v>1</v>
      </c>
      <c r="AI1078" s="28">
        <v>12</v>
      </c>
      <c r="AK1078" s="36">
        <v>1045</v>
      </c>
      <c r="AL1078" s="33">
        <v>5</v>
      </c>
      <c r="AM1078" s="33">
        <v>2</v>
      </c>
      <c r="AN1078" s="33">
        <v>3</v>
      </c>
      <c r="AO1078" s="33">
        <v>2</v>
      </c>
      <c r="AP1078" s="33">
        <v>0</v>
      </c>
      <c r="AQ1078" s="33">
        <v>1</v>
      </c>
      <c r="AR1078" s="33">
        <v>2</v>
      </c>
      <c r="AS1078" s="33">
        <v>3</v>
      </c>
      <c r="AT1078" s="33">
        <v>1</v>
      </c>
      <c r="AU1078" s="43">
        <v>7.3362071138898713E-2</v>
      </c>
      <c r="AV1078" s="33">
        <v>0</v>
      </c>
      <c r="AW1078" s="33">
        <v>0</v>
      </c>
      <c r="AY1078" s="36">
        <v>1050</v>
      </c>
      <c r="AZ1078" s="33">
        <v>2</v>
      </c>
      <c r="BA1078" s="33">
        <v>3</v>
      </c>
      <c r="BB1078" s="33">
        <v>0</v>
      </c>
      <c r="BC1078" s="33">
        <v>2</v>
      </c>
      <c r="BD1078" s="43">
        <v>4.4052611042036123E-2</v>
      </c>
      <c r="BE1078" s="33">
        <v>0</v>
      </c>
      <c r="BF1078" s="33">
        <v>0</v>
      </c>
      <c r="CE1078" s="36">
        <v>1044</v>
      </c>
      <c r="CF1078" s="33">
        <v>2</v>
      </c>
      <c r="CG1078" s="33">
        <v>4</v>
      </c>
      <c r="CH1078" s="33">
        <v>2</v>
      </c>
      <c r="CI1078" s="33">
        <v>1</v>
      </c>
      <c r="CJ1078" s="33">
        <v>4</v>
      </c>
      <c r="CK1078" s="33">
        <v>0</v>
      </c>
      <c r="CL1078" s="33">
        <v>0</v>
      </c>
      <c r="CM1078" s="33">
        <v>2</v>
      </c>
      <c r="CN1078" s="33">
        <v>9</v>
      </c>
      <c r="CO1078" s="33">
        <v>8</v>
      </c>
      <c r="CP1078" s="43">
        <v>0.10931144234841714</v>
      </c>
      <c r="CQ1078" s="33">
        <v>0</v>
      </c>
      <c r="CR1078" s="33">
        <v>0</v>
      </c>
    </row>
    <row r="1079" spans="1:96" ht="15" customHeight="1" x14ac:dyDescent="0.25">
      <c r="A1079" s="26">
        <v>1077</v>
      </c>
      <c r="B1079" s="27">
        <v>29</v>
      </c>
      <c r="C1079" s="27">
        <v>1</v>
      </c>
      <c r="D1079" s="27">
        <v>1</v>
      </c>
      <c r="E1079" s="27">
        <v>224</v>
      </c>
      <c r="F1079" s="27">
        <v>2</v>
      </c>
      <c r="G1079" s="27">
        <v>1</v>
      </c>
      <c r="H1079" s="27">
        <v>4</v>
      </c>
      <c r="I1079" s="27">
        <v>5</v>
      </c>
      <c r="J1079" s="27">
        <v>1</v>
      </c>
      <c r="K1079" s="27">
        <v>1522</v>
      </c>
      <c r="L1079" s="27">
        <v>1</v>
      </c>
      <c r="M1079" s="27">
        <v>1</v>
      </c>
      <c r="N1079" s="27">
        <v>100</v>
      </c>
      <c r="O1079" s="27">
        <v>2</v>
      </c>
      <c r="P1079" s="27">
        <v>1</v>
      </c>
      <c r="Q1079" s="27">
        <v>2</v>
      </c>
      <c r="R1079" s="27">
        <v>1</v>
      </c>
      <c r="S1079" s="27">
        <v>1</v>
      </c>
      <c r="T1079" s="27">
        <v>2362</v>
      </c>
      <c r="U1079" s="27">
        <v>7568</v>
      </c>
      <c r="V1079" s="27">
        <v>6</v>
      </c>
      <c r="W1079" s="27">
        <v>0</v>
      </c>
      <c r="X1079" s="27">
        <v>13</v>
      </c>
      <c r="Y1079" s="27">
        <v>3</v>
      </c>
      <c r="Z1079" s="27">
        <v>3</v>
      </c>
      <c r="AA1079" s="27">
        <v>80</v>
      </c>
      <c r="AB1079" s="27">
        <v>0</v>
      </c>
      <c r="AC1079" s="27">
        <v>11</v>
      </c>
      <c r="AD1079" s="27">
        <v>2</v>
      </c>
      <c r="AE1079" s="27">
        <v>1</v>
      </c>
      <c r="AF1079" s="27">
        <v>9</v>
      </c>
      <c r="AG1079" s="27">
        <v>7</v>
      </c>
      <c r="AH1079" s="27">
        <v>0</v>
      </c>
      <c r="AI1079" s="28">
        <v>7</v>
      </c>
      <c r="AK1079" s="36">
        <v>1046</v>
      </c>
      <c r="AL1079" s="33">
        <v>2</v>
      </c>
      <c r="AM1079" s="33">
        <v>1</v>
      </c>
      <c r="AN1079" s="33">
        <v>3</v>
      </c>
      <c r="AO1079" s="33">
        <v>2</v>
      </c>
      <c r="AP1079" s="33">
        <v>0</v>
      </c>
      <c r="AQ1079" s="33">
        <v>1</v>
      </c>
      <c r="AR1079" s="33">
        <v>4</v>
      </c>
      <c r="AS1079" s="33">
        <v>3</v>
      </c>
      <c r="AT1079" s="33">
        <v>1</v>
      </c>
      <c r="AU1079" s="43">
        <v>7.2389114934901119E-2</v>
      </c>
      <c r="AV1079" s="33">
        <v>0</v>
      </c>
      <c r="AW1079" s="33">
        <v>0</v>
      </c>
      <c r="AY1079" s="36">
        <v>1051</v>
      </c>
      <c r="AZ1079" s="33">
        <v>1</v>
      </c>
      <c r="BA1079" s="33">
        <v>4</v>
      </c>
      <c r="BB1079" s="33">
        <v>0</v>
      </c>
      <c r="BC1079" s="33">
        <v>0</v>
      </c>
      <c r="BD1079" s="43">
        <v>0.1472907617042678</v>
      </c>
      <c r="BE1079" s="33">
        <v>0</v>
      </c>
      <c r="BF1079" s="33">
        <v>0</v>
      </c>
      <c r="CE1079" s="36">
        <v>1045</v>
      </c>
      <c r="CF1079" s="33">
        <v>5</v>
      </c>
      <c r="CG1079" s="33">
        <v>2</v>
      </c>
      <c r="CH1079" s="33">
        <v>3</v>
      </c>
      <c r="CI1079" s="33">
        <v>2</v>
      </c>
      <c r="CJ1079" s="33">
        <v>2</v>
      </c>
      <c r="CK1079" s="33">
        <v>0</v>
      </c>
      <c r="CL1079" s="33">
        <v>1</v>
      </c>
      <c r="CM1079" s="33">
        <v>2</v>
      </c>
      <c r="CN1079" s="33">
        <v>3</v>
      </c>
      <c r="CO1079" s="33">
        <v>1</v>
      </c>
      <c r="CP1079" s="43">
        <v>7.2098904811102746E-2</v>
      </c>
      <c r="CQ1079" s="33">
        <v>0</v>
      </c>
      <c r="CR1079" s="33">
        <v>0</v>
      </c>
    </row>
    <row r="1080" spans="1:96" ht="15" customHeight="1" x14ac:dyDescent="0.25">
      <c r="A1080" s="26">
        <v>1078</v>
      </c>
      <c r="B1080" s="27">
        <v>44</v>
      </c>
      <c r="C1080" s="27">
        <v>0</v>
      </c>
      <c r="D1080" s="27">
        <v>1</v>
      </c>
      <c r="E1080" s="27">
        <v>136</v>
      </c>
      <c r="F1080" s="27">
        <v>2</v>
      </c>
      <c r="G1080" s="27">
        <v>28</v>
      </c>
      <c r="H1080" s="27">
        <v>3</v>
      </c>
      <c r="I1080" s="27">
        <v>1</v>
      </c>
      <c r="J1080" s="27">
        <v>1</v>
      </c>
      <c r="K1080" s="27">
        <v>1523</v>
      </c>
      <c r="L1080" s="27">
        <v>4</v>
      </c>
      <c r="M1080" s="27">
        <v>1</v>
      </c>
      <c r="N1080" s="27">
        <v>32</v>
      </c>
      <c r="O1080" s="27">
        <v>3</v>
      </c>
      <c r="P1080" s="27">
        <v>4</v>
      </c>
      <c r="Q1080" s="27">
        <v>8</v>
      </c>
      <c r="R1080" s="27">
        <v>1</v>
      </c>
      <c r="S1080" s="27">
        <v>2</v>
      </c>
      <c r="T1080" s="27">
        <v>16328</v>
      </c>
      <c r="U1080" s="27">
        <v>22074</v>
      </c>
      <c r="V1080" s="27">
        <v>3</v>
      </c>
      <c r="W1080" s="27">
        <v>0</v>
      </c>
      <c r="X1080" s="27">
        <v>13</v>
      </c>
      <c r="Y1080" s="27">
        <v>3</v>
      </c>
      <c r="Z1080" s="27">
        <v>3</v>
      </c>
      <c r="AA1080" s="27">
        <v>80</v>
      </c>
      <c r="AB1080" s="27">
        <v>1</v>
      </c>
      <c r="AC1080" s="27">
        <v>24</v>
      </c>
      <c r="AD1080" s="27">
        <v>1</v>
      </c>
      <c r="AE1080" s="27">
        <v>4</v>
      </c>
      <c r="AF1080" s="27">
        <v>20</v>
      </c>
      <c r="AG1080" s="27">
        <v>6</v>
      </c>
      <c r="AH1080" s="27">
        <v>14</v>
      </c>
      <c r="AI1080" s="28">
        <v>17</v>
      </c>
      <c r="AK1080" s="36">
        <v>1047</v>
      </c>
      <c r="AL1080" s="33">
        <v>20</v>
      </c>
      <c r="AM1080" s="33">
        <v>1</v>
      </c>
      <c r="AN1080" s="33">
        <v>2</v>
      </c>
      <c r="AO1080" s="33">
        <v>1</v>
      </c>
      <c r="AP1080" s="33">
        <v>0</v>
      </c>
      <c r="AQ1080" s="33">
        <v>0</v>
      </c>
      <c r="AR1080" s="33">
        <v>2</v>
      </c>
      <c r="AS1080" s="33">
        <v>5</v>
      </c>
      <c r="AT1080" s="33">
        <v>1</v>
      </c>
      <c r="AU1080" s="43">
        <v>0.299626015331243</v>
      </c>
      <c r="AV1080" s="33">
        <v>0</v>
      </c>
      <c r="AW1080" s="33">
        <v>0</v>
      </c>
      <c r="AY1080" s="36">
        <v>1052</v>
      </c>
      <c r="AZ1080" s="33">
        <v>2</v>
      </c>
      <c r="BA1080" s="33">
        <v>3</v>
      </c>
      <c r="BB1080" s="33">
        <v>0</v>
      </c>
      <c r="BC1080" s="33">
        <v>1</v>
      </c>
      <c r="BD1080" s="43">
        <v>7.244788656931947E-2</v>
      </c>
      <c r="BE1080" s="33">
        <v>0</v>
      </c>
      <c r="BF1080" s="33">
        <v>0</v>
      </c>
      <c r="CE1080" s="36">
        <v>1046</v>
      </c>
      <c r="CF1080" s="33">
        <v>2</v>
      </c>
      <c r="CG1080" s="33">
        <v>1</v>
      </c>
      <c r="CH1080" s="33">
        <v>3</v>
      </c>
      <c r="CI1080" s="33">
        <v>3</v>
      </c>
      <c r="CJ1080" s="33">
        <v>2</v>
      </c>
      <c r="CK1080" s="33">
        <v>0</v>
      </c>
      <c r="CL1080" s="33">
        <v>1</v>
      </c>
      <c r="CM1080" s="33">
        <v>4</v>
      </c>
      <c r="CN1080" s="33">
        <v>3</v>
      </c>
      <c r="CO1080" s="33">
        <v>1</v>
      </c>
      <c r="CP1080" s="43">
        <v>4.0448731864927076E-2</v>
      </c>
      <c r="CQ1080" s="33">
        <v>0</v>
      </c>
      <c r="CR1080" s="33">
        <v>0</v>
      </c>
    </row>
    <row r="1081" spans="1:96" ht="15" customHeight="1" x14ac:dyDescent="0.25">
      <c r="A1081" s="26">
        <v>1079</v>
      </c>
      <c r="B1081" s="27">
        <v>39</v>
      </c>
      <c r="C1081" s="27">
        <v>0</v>
      </c>
      <c r="D1081" s="27">
        <v>1</v>
      </c>
      <c r="E1081" s="27">
        <v>1089</v>
      </c>
      <c r="F1081" s="27">
        <v>2</v>
      </c>
      <c r="G1081" s="27">
        <v>6</v>
      </c>
      <c r="H1081" s="27">
        <v>3</v>
      </c>
      <c r="I1081" s="27">
        <v>1</v>
      </c>
      <c r="J1081" s="27">
        <v>1</v>
      </c>
      <c r="K1081" s="27">
        <v>1525</v>
      </c>
      <c r="L1081" s="27">
        <v>2</v>
      </c>
      <c r="M1081" s="27">
        <v>0</v>
      </c>
      <c r="N1081" s="27">
        <v>32</v>
      </c>
      <c r="O1081" s="27">
        <v>3</v>
      </c>
      <c r="P1081" s="27">
        <v>3</v>
      </c>
      <c r="Q1081" s="27">
        <v>4</v>
      </c>
      <c r="R1081" s="27">
        <v>2</v>
      </c>
      <c r="S1081" s="27">
        <v>1</v>
      </c>
      <c r="T1081" s="27">
        <v>8376</v>
      </c>
      <c r="U1081" s="27">
        <v>9150</v>
      </c>
      <c r="V1081" s="27">
        <v>4</v>
      </c>
      <c r="W1081" s="27">
        <v>0</v>
      </c>
      <c r="X1081" s="27">
        <v>18</v>
      </c>
      <c r="Y1081" s="27">
        <v>3</v>
      </c>
      <c r="Z1081" s="27">
        <v>4</v>
      </c>
      <c r="AA1081" s="27">
        <v>80</v>
      </c>
      <c r="AB1081" s="27">
        <v>0</v>
      </c>
      <c r="AC1081" s="27">
        <v>9</v>
      </c>
      <c r="AD1081" s="27">
        <v>3</v>
      </c>
      <c r="AE1081" s="27">
        <v>3</v>
      </c>
      <c r="AF1081" s="27">
        <v>2</v>
      </c>
      <c r="AG1081" s="27">
        <v>0</v>
      </c>
      <c r="AH1081" s="27">
        <v>2</v>
      </c>
      <c r="AI1081" s="28">
        <v>2</v>
      </c>
      <c r="AK1081" s="36">
        <v>1048</v>
      </c>
      <c r="AL1081" s="33">
        <v>7</v>
      </c>
      <c r="AM1081" s="33">
        <v>2</v>
      </c>
      <c r="AN1081" s="33">
        <v>1</v>
      </c>
      <c r="AO1081" s="33">
        <v>0</v>
      </c>
      <c r="AP1081" s="33">
        <v>0</v>
      </c>
      <c r="AQ1081" s="33">
        <v>2</v>
      </c>
      <c r="AR1081" s="33">
        <v>3</v>
      </c>
      <c r="AS1081" s="33">
        <v>4</v>
      </c>
      <c r="AT1081" s="33">
        <v>0</v>
      </c>
      <c r="AU1081" s="43">
        <v>4.5741904767063045E-2</v>
      </c>
      <c r="AV1081" s="33">
        <v>0</v>
      </c>
      <c r="AW1081" s="33">
        <v>0</v>
      </c>
      <c r="AY1081" s="36">
        <v>1053</v>
      </c>
      <c r="AZ1081" s="33">
        <v>1</v>
      </c>
      <c r="BA1081" s="33">
        <v>3</v>
      </c>
      <c r="BB1081" s="33">
        <v>0</v>
      </c>
      <c r="BC1081" s="33">
        <v>2</v>
      </c>
      <c r="BD1081" s="43">
        <v>7.4543423691031577E-2</v>
      </c>
      <c r="BE1081" s="33">
        <v>0</v>
      </c>
      <c r="BF1081" s="33">
        <v>0</v>
      </c>
      <c r="CE1081" s="36">
        <v>1047</v>
      </c>
      <c r="CF1081" s="33">
        <v>20</v>
      </c>
      <c r="CG1081" s="33">
        <v>1</v>
      </c>
      <c r="CH1081" s="33">
        <v>2</v>
      </c>
      <c r="CI1081" s="33">
        <v>1</v>
      </c>
      <c r="CJ1081" s="33">
        <v>1</v>
      </c>
      <c r="CK1081" s="33">
        <v>0</v>
      </c>
      <c r="CL1081" s="33">
        <v>0</v>
      </c>
      <c r="CM1081" s="33">
        <v>2</v>
      </c>
      <c r="CN1081" s="33">
        <v>5</v>
      </c>
      <c r="CO1081" s="33">
        <v>1</v>
      </c>
      <c r="CP1081" s="43">
        <v>0.34121154199856424</v>
      </c>
      <c r="CQ1081" s="33">
        <v>0</v>
      </c>
      <c r="CR1081" s="33">
        <v>0</v>
      </c>
    </row>
    <row r="1082" spans="1:96" ht="15" customHeight="1" x14ac:dyDescent="0.25">
      <c r="A1082" s="26">
        <v>1080</v>
      </c>
      <c r="B1082" s="27">
        <v>46</v>
      </c>
      <c r="C1082" s="27">
        <v>0</v>
      </c>
      <c r="D1082" s="27">
        <v>1</v>
      </c>
      <c r="E1082" s="27">
        <v>228</v>
      </c>
      <c r="F1082" s="27">
        <v>1</v>
      </c>
      <c r="G1082" s="27">
        <v>3</v>
      </c>
      <c r="H1082" s="27">
        <v>3</v>
      </c>
      <c r="I1082" s="27">
        <v>1</v>
      </c>
      <c r="J1082" s="27">
        <v>1</v>
      </c>
      <c r="K1082" s="27">
        <v>1527</v>
      </c>
      <c r="L1082" s="27">
        <v>3</v>
      </c>
      <c r="M1082" s="27">
        <v>0</v>
      </c>
      <c r="N1082" s="27">
        <v>51</v>
      </c>
      <c r="O1082" s="27">
        <v>3</v>
      </c>
      <c r="P1082" s="27">
        <v>4</v>
      </c>
      <c r="Q1082" s="27">
        <v>6</v>
      </c>
      <c r="R1082" s="27">
        <v>2</v>
      </c>
      <c r="S1082" s="27">
        <v>2</v>
      </c>
      <c r="T1082" s="27">
        <v>16606</v>
      </c>
      <c r="U1082" s="27">
        <v>11380</v>
      </c>
      <c r="V1082" s="27">
        <v>8</v>
      </c>
      <c r="W1082" s="27">
        <v>0</v>
      </c>
      <c r="X1082" s="27">
        <v>12</v>
      </c>
      <c r="Y1082" s="27">
        <v>3</v>
      </c>
      <c r="Z1082" s="27">
        <v>4</v>
      </c>
      <c r="AA1082" s="27">
        <v>80</v>
      </c>
      <c r="AB1082" s="27">
        <v>1</v>
      </c>
      <c r="AC1082" s="27">
        <v>23</v>
      </c>
      <c r="AD1082" s="27">
        <v>2</v>
      </c>
      <c r="AE1082" s="27">
        <v>4</v>
      </c>
      <c r="AF1082" s="27">
        <v>13</v>
      </c>
      <c r="AG1082" s="27">
        <v>12</v>
      </c>
      <c r="AH1082" s="27">
        <v>5</v>
      </c>
      <c r="AI1082" s="28">
        <v>1</v>
      </c>
      <c r="AK1082" s="36">
        <v>1049</v>
      </c>
      <c r="AL1082" s="33">
        <v>3</v>
      </c>
      <c r="AM1082" s="33">
        <v>2</v>
      </c>
      <c r="AN1082" s="33">
        <v>1</v>
      </c>
      <c r="AO1082" s="33">
        <v>3</v>
      </c>
      <c r="AP1082" s="33">
        <v>0</v>
      </c>
      <c r="AQ1082" s="33">
        <v>0</v>
      </c>
      <c r="AR1082" s="33">
        <v>3</v>
      </c>
      <c r="AS1082" s="33">
        <v>13</v>
      </c>
      <c r="AT1082" s="33">
        <v>3</v>
      </c>
      <c r="AU1082" s="43">
        <v>0.10956831856554212</v>
      </c>
      <c r="AV1082" s="33">
        <v>0</v>
      </c>
      <c r="AW1082" s="33">
        <v>0</v>
      </c>
      <c r="AY1082" s="36">
        <v>1054</v>
      </c>
      <c r="AZ1082" s="33">
        <v>2</v>
      </c>
      <c r="BA1082" s="33">
        <v>3</v>
      </c>
      <c r="BB1082" s="33">
        <v>0</v>
      </c>
      <c r="BC1082" s="33">
        <v>1</v>
      </c>
      <c r="BD1082" s="43">
        <v>7.244788656931947E-2</v>
      </c>
      <c r="BE1082" s="33">
        <v>0</v>
      </c>
      <c r="BF1082" s="33">
        <v>0</v>
      </c>
      <c r="CE1082" s="36">
        <v>1048</v>
      </c>
      <c r="CF1082" s="33">
        <v>7</v>
      </c>
      <c r="CG1082" s="33">
        <v>2</v>
      </c>
      <c r="CH1082" s="33">
        <v>1</v>
      </c>
      <c r="CI1082" s="33">
        <v>2</v>
      </c>
      <c r="CJ1082" s="33">
        <v>0</v>
      </c>
      <c r="CK1082" s="33">
        <v>0</v>
      </c>
      <c r="CL1082" s="33">
        <v>2</v>
      </c>
      <c r="CM1082" s="33">
        <v>3</v>
      </c>
      <c r="CN1082" s="33">
        <v>4</v>
      </c>
      <c r="CO1082" s="33">
        <v>0</v>
      </c>
      <c r="CP1082" s="43">
        <v>6.3001241194829222E-2</v>
      </c>
      <c r="CQ1082" s="33">
        <v>0</v>
      </c>
      <c r="CR1082" s="33">
        <v>0</v>
      </c>
    </row>
    <row r="1083" spans="1:96" ht="15" customHeight="1" x14ac:dyDescent="0.25">
      <c r="A1083" s="26">
        <v>1081</v>
      </c>
      <c r="B1083" s="27">
        <v>35</v>
      </c>
      <c r="C1083" s="27">
        <v>0</v>
      </c>
      <c r="D1083" s="27">
        <v>1</v>
      </c>
      <c r="E1083" s="27">
        <v>1029</v>
      </c>
      <c r="F1083" s="27">
        <v>2</v>
      </c>
      <c r="G1083" s="27">
        <v>16</v>
      </c>
      <c r="H1083" s="27">
        <v>3</v>
      </c>
      <c r="I1083" s="27">
        <v>1</v>
      </c>
      <c r="J1083" s="27">
        <v>1</v>
      </c>
      <c r="K1083" s="27">
        <v>1529</v>
      </c>
      <c r="L1083" s="27">
        <v>4</v>
      </c>
      <c r="M1083" s="27">
        <v>0</v>
      </c>
      <c r="N1083" s="27">
        <v>91</v>
      </c>
      <c r="O1083" s="27">
        <v>2</v>
      </c>
      <c r="P1083" s="27">
        <v>3</v>
      </c>
      <c r="Q1083" s="27">
        <v>5</v>
      </c>
      <c r="R1083" s="27">
        <v>2</v>
      </c>
      <c r="S1083" s="27">
        <v>1</v>
      </c>
      <c r="T1083" s="27">
        <v>8606</v>
      </c>
      <c r="U1083" s="27">
        <v>21195</v>
      </c>
      <c r="V1083" s="27">
        <v>1</v>
      </c>
      <c r="W1083" s="27">
        <v>0</v>
      </c>
      <c r="X1083" s="27">
        <v>19</v>
      </c>
      <c r="Y1083" s="27">
        <v>3</v>
      </c>
      <c r="Z1083" s="27">
        <v>4</v>
      </c>
      <c r="AA1083" s="27">
        <v>80</v>
      </c>
      <c r="AB1083" s="27">
        <v>0</v>
      </c>
      <c r="AC1083" s="27">
        <v>11</v>
      </c>
      <c r="AD1083" s="27">
        <v>3</v>
      </c>
      <c r="AE1083" s="27">
        <v>1</v>
      </c>
      <c r="AF1083" s="27">
        <v>11</v>
      </c>
      <c r="AG1083" s="27">
        <v>8</v>
      </c>
      <c r="AH1083" s="27">
        <v>3</v>
      </c>
      <c r="AI1083" s="28">
        <v>3</v>
      </c>
      <c r="AK1083" s="36">
        <v>1050</v>
      </c>
      <c r="AL1083" s="33">
        <v>16</v>
      </c>
      <c r="AM1083" s="33">
        <v>2</v>
      </c>
      <c r="AN1083" s="33">
        <v>3</v>
      </c>
      <c r="AO1083" s="33">
        <v>8</v>
      </c>
      <c r="AP1083" s="33">
        <v>0</v>
      </c>
      <c r="AQ1083" s="33">
        <v>2</v>
      </c>
      <c r="AR1083" s="33">
        <v>2</v>
      </c>
      <c r="AS1083" s="33">
        <v>2</v>
      </c>
      <c r="AT1083" s="33">
        <v>2</v>
      </c>
      <c r="AU1083" s="43">
        <v>0.11466971084925354</v>
      </c>
      <c r="AV1083" s="33">
        <v>0</v>
      </c>
      <c r="AW1083" s="33">
        <v>0</v>
      </c>
      <c r="AY1083" s="36">
        <v>1055</v>
      </c>
      <c r="AZ1083" s="33">
        <v>3</v>
      </c>
      <c r="BA1083" s="33">
        <v>2</v>
      </c>
      <c r="BB1083" s="33">
        <v>0</v>
      </c>
      <c r="BC1083" s="33">
        <v>2</v>
      </c>
      <c r="BD1083" s="43">
        <v>3.4113506034874549E-2</v>
      </c>
      <c r="BE1083" s="33">
        <v>0</v>
      </c>
      <c r="BF1083" s="33">
        <v>0</v>
      </c>
      <c r="CE1083" s="36">
        <v>1049</v>
      </c>
      <c r="CF1083" s="33">
        <v>3</v>
      </c>
      <c r="CG1083" s="33">
        <v>2</v>
      </c>
      <c r="CH1083" s="33">
        <v>1</v>
      </c>
      <c r="CI1083" s="33">
        <v>1</v>
      </c>
      <c r="CJ1083" s="33">
        <v>3</v>
      </c>
      <c r="CK1083" s="33">
        <v>0</v>
      </c>
      <c r="CL1083" s="33">
        <v>0</v>
      </c>
      <c r="CM1083" s="33">
        <v>3</v>
      </c>
      <c r="CN1083" s="33">
        <v>13</v>
      </c>
      <c r="CO1083" s="33">
        <v>3</v>
      </c>
      <c r="CP1083" s="43">
        <v>0.13235184563518343</v>
      </c>
      <c r="CQ1083" s="33">
        <v>0</v>
      </c>
      <c r="CR1083" s="33">
        <v>0</v>
      </c>
    </row>
    <row r="1084" spans="1:96" ht="15" customHeight="1" x14ac:dyDescent="0.25">
      <c r="A1084" s="26">
        <v>1082</v>
      </c>
      <c r="B1084" s="27">
        <v>23</v>
      </c>
      <c r="C1084" s="27">
        <v>0</v>
      </c>
      <c r="D1084" s="27">
        <v>1</v>
      </c>
      <c r="E1084" s="27">
        <v>507</v>
      </c>
      <c r="F1084" s="27">
        <v>2</v>
      </c>
      <c r="G1084" s="27">
        <v>20</v>
      </c>
      <c r="H1084" s="27">
        <v>1</v>
      </c>
      <c r="I1084" s="27">
        <v>1</v>
      </c>
      <c r="J1084" s="27">
        <v>1</v>
      </c>
      <c r="K1084" s="27">
        <v>1533</v>
      </c>
      <c r="L1084" s="27">
        <v>1</v>
      </c>
      <c r="M1084" s="27">
        <v>1</v>
      </c>
      <c r="N1084" s="27">
        <v>97</v>
      </c>
      <c r="O1084" s="27">
        <v>3</v>
      </c>
      <c r="P1084" s="27">
        <v>2</v>
      </c>
      <c r="Q1084" s="27">
        <v>3</v>
      </c>
      <c r="R1084" s="27">
        <v>3</v>
      </c>
      <c r="S1084" s="27">
        <v>1</v>
      </c>
      <c r="T1084" s="27">
        <v>2272</v>
      </c>
      <c r="U1084" s="27">
        <v>24812</v>
      </c>
      <c r="V1084" s="27">
        <v>0</v>
      </c>
      <c r="W1084" s="27">
        <v>0</v>
      </c>
      <c r="X1084" s="27">
        <v>14</v>
      </c>
      <c r="Y1084" s="27">
        <v>3</v>
      </c>
      <c r="Z1084" s="27">
        <v>2</v>
      </c>
      <c r="AA1084" s="27">
        <v>80</v>
      </c>
      <c r="AB1084" s="27">
        <v>0</v>
      </c>
      <c r="AC1084" s="27">
        <v>5</v>
      </c>
      <c r="AD1084" s="27">
        <v>2</v>
      </c>
      <c r="AE1084" s="27">
        <v>3</v>
      </c>
      <c r="AF1084" s="27">
        <v>4</v>
      </c>
      <c r="AG1084" s="27">
        <v>3</v>
      </c>
      <c r="AH1084" s="27">
        <v>1</v>
      </c>
      <c r="AI1084" s="28">
        <v>2</v>
      </c>
      <c r="AK1084" s="36">
        <v>1051</v>
      </c>
      <c r="AL1084" s="33">
        <v>9</v>
      </c>
      <c r="AM1084" s="33">
        <v>1</v>
      </c>
      <c r="AN1084" s="33">
        <v>4</v>
      </c>
      <c r="AO1084" s="33">
        <v>1</v>
      </c>
      <c r="AP1084" s="33">
        <v>0</v>
      </c>
      <c r="AQ1084" s="33">
        <v>0</v>
      </c>
      <c r="AR1084" s="33">
        <v>3</v>
      </c>
      <c r="AS1084" s="33">
        <v>12</v>
      </c>
      <c r="AT1084" s="33">
        <v>5</v>
      </c>
      <c r="AU1084" s="43">
        <v>0.11036612616732387</v>
      </c>
      <c r="AV1084" s="33">
        <v>0</v>
      </c>
      <c r="AW1084" s="33">
        <v>0</v>
      </c>
      <c r="AY1084" s="36">
        <v>1056</v>
      </c>
      <c r="AZ1084" s="33">
        <v>4</v>
      </c>
      <c r="BA1084" s="33">
        <v>1</v>
      </c>
      <c r="BB1084" s="33">
        <v>0</v>
      </c>
      <c r="BC1084" s="33">
        <v>2</v>
      </c>
      <c r="BD1084" s="43">
        <v>2.6355028393935769E-2</v>
      </c>
      <c r="BE1084" s="33">
        <v>0</v>
      </c>
      <c r="BF1084" s="33">
        <v>0</v>
      </c>
      <c r="CE1084" s="36">
        <v>1050</v>
      </c>
      <c r="CF1084" s="33">
        <v>16</v>
      </c>
      <c r="CG1084" s="33">
        <v>2</v>
      </c>
      <c r="CH1084" s="33">
        <v>3</v>
      </c>
      <c r="CI1084" s="33">
        <v>2</v>
      </c>
      <c r="CJ1084" s="33">
        <v>8</v>
      </c>
      <c r="CK1084" s="33">
        <v>0</v>
      </c>
      <c r="CL1084" s="33">
        <v>2</v>
      </c>
      <c r="CM1084" s="33">
        <v>2</v>
      </c>
      <c r="CN1084" s="33">
        <v>2</v>
      </c>
      <c r="CO1084" s="33">
        <v>2</v>
      </c>
      <c r="CP1084" s="43">
        <v>0.15323140479244818</v>
      </c>
      <c r="CQ1084" s="33">
        <v>0</v>
      </c>
      <c r="CR1084" s="33">
        <v>0</v>
      </c>
    </row>
    <row r="1085" spans="1:96" ht="15" customHeight="1" x14ac:dyDescent="0.25">
      <c r="A1085" s="26">
        <v>1083</v>
      </c>
      <c r="B1085" s="27">
        <v>40</v>
      </c>
      <c r="C1085" s="27">
        <v>1</v>
      </c>
      <c r="D1085" s="27">
        <v>1</v>
      </c>
      <c r="E1085" s="27">
        <v>676</v>
      </c>
      <c r="F1085" s="27">
        <v>2</v>
      </c>
      <c r="G1085" s="27">
        <v>9</v>
      </c>
      <c r="H1085" s="27">
        <v>4</v>
      </c>
      <c r="I1085" s="27">
        <v>1</v>
      </c>
      <c r="J1085" s="27">
        <v>1</v>
      </c>
      <c r="K1085" s="27">
        <v>1534</v>
      </c>
      <c r="L1085" s="27">
        <v>4</v>
      </c>
      <c r="M1085" s="27">
        <v>1</v>
      </c>
      <c r="N1085" s="27">
        <v>86</v>
      </c>
      <c r="O1085" s="27">
        <v>3</v>
      </c>
      <c r="P1085" s="27">
        <v>1</v>
      </c>
      <c r="Q1085" s="27">
        <v>3</v>
      </c>
      <c r="R1085" s="27">
        <v>1</v>
      </c>
      <c r="S1085" s="27">
        <v>1</v>
      </c>
      <c r="T1085" s="27">
        <v>2018</v>
      </c>
      <c r="U1085" s="27">
        <v>21831</v>
      </c>
      <c r="V1085" s="27">
        <v>3</v>
      </c>
      <c r="W1085" s="27">
        <v>0</v>
      </c>
      <c r="X1085" s="27">
        <v>14</v>
      </c>
      <c r="Y1085" s="27">
        <v>3</v>
      </c>
      <c r="Z1085" s="27">
        <v>2</v>
      </c>
      <c r="AA1085" s="27">
        <v>80</v>
      </c>
      <c r="AB1085" s="27">
        <v>0</v>
      </c>
      <c r="AC1085" s="27">
        <v>15</v>
      </c>
      <c r="AD1085" s="27">
        <v>3</v>
      </c>
      <c r="AE1085" s="27">
        <v>1</v>
      </c>
      <c r="AF1085" s="27">
        <v>5</v>
      </c>
      <c r="AG1085" s="27">
        <v>4</v>
      </c>
      <c r="AH1085" s="27">
        <v>1</v>
      </c>
      <c r="AI1085" s="28">
        <v>0</v>
      </c>
      <c r="AK1085" s="36">
        <v>1052</v>
      </c>
      <c r="AL1085" s="33">
        <v>1</v>
      </c>
      <c r="AM1085" s="33">
        <v>2</v>
      </c>
      <c r="AN1085" s="33">
        <v>3</v>
      </c>
      <c r="AO1085" s="33">
        <v>7</v>
      </c>
      <c r="AP1085" s="33">
        <v>0</v>
      </c>
      <c r="AQ1085" s="33">
        <v>1</v>
      </c>
      <c r="AR1085" s="33">
        <v>2</v>
      </c>
      <c r="AS1085" s="33">
        <v>1</v>
      </c>
      <c r="AT1085" s="33">
        <v>0</v>
      </c>
      <c r="AU1085" s="43">
        <v>9.7977152055691283E-2</v>
      </c>
      <c r="AV1085" s="33">
        <v>0</v>
      </c>
      <c r="AW1085" s="33">
        <v>0</v>
      </c>
      <c r="AY1085" s="36">
        <v>1057</v>
      </c>
      <c r="AZ1085" s="33">
        <v>1</v>
      </c>
      <c r="BA1085" s="33">
        <v>3</v>
      </c>
      <c r="BB1085" s="33">
        <v>0</v>
      </c>
      <c r="BC1085" s="33">
        <v>1</v>
      </c>
      <c r="BD1085" s="43">
        <v>0.12012271365792118</v>
      </c>
      <c r="BE1085" s="33">
        <v>0</v>
      </c>
      <c r="BF1085" s="33">
        <v>1</v>
      </c>
      <c r="CE1085" s="36">
        <v>1051</v>
      </c>
      <c r="CF1085" s="33">
        <v>9</v>
      </c>
      <c r="CG1085" s="33">
        <v>1</v>
      </c>
      <c r="CH1085" s="33">
        <v>4</v>
      </c>
      <c r="CI1085" s="33">
        <v>1</v>
      </c>
      <c r="CJ1085" s="33">
        <v>1</v>
      </c>
      <c r="CK1085" s="33">
        <v>0</v>
      </c>
      <c r="CL1085" s="33">
        <v>0</v>
      </c>
      <c r="CM1085" s="33">
        <v>3</v>
      </c>
      <c r="CN1085" s="33">
        <v>12</v>
      </c>
      <c r="CO1085" s="33">
        <v>5</v>
      </c>
      <c r="CP1085" s="43">
        <v>0.12599149665991771</v>
      </c>
      <c r="CQ1085" s="33">
        <v>0</v>
      </c>
      <c r="CR1085" s="33">
        <v>0</v>
      </c>
    </row>
    <row r="1086" spans="1:96" ht="15" customHeight="1" x14ac:dyDescent="0.25">
      <c r="A1086" s="26">
        <v>1084</v>
      </c>
      <c r="B1086" s="27">
        <v>34</v>
      </c>
      <c r="C1086" s="27">
        <v>0</v>
      </c>
      <c r="D1086" s="27">
        <v>1</v>
      </c>
      <c r="E1086" s="27">
        <v>971</v>
      </c>
      <c r="F1086" s="27">
        <v>1</v>
      </c>
      <c r="G1086" s="27">
        <v>1</v>
      </c>
      <c r="H1086" s="27">
        <v>3</v>
      </c>
      <c r="I1086" s="27">
        <v>5</v>
      </c>
      <c r="J1086" s="27">
        <v>1</v>
      </c>
      <c r="K1086" s="27">
        <v>1535</v>
      </c>
      <c r="L1086" s="27">
        <v>4</v>
      </c>
      <c r="M1086" s="27">
        <v>1</v>
      </c>
      <c r="N1086" s="27">
        <v>64</v>
      </c>
      <c r="O1086" s="27">
        <v>2</v>
      </c>
      <c r="P1086" s="27">
        <v>3</v>
      </c>
      <c r="Q1086" s="27">
        <v>1</v>
      </c>
      <c r="R1086" s="27">
        <v>3</v>
      </c>
      <c r="S1086" s="27">
        <v>2</v>
      </c>
      <c r="T1086" s="27">
        <v>7083</v>
      </c>
      <c r="U1086" s="27">
        <v>12288</v>
      </c>
      <c r="V1086" s="27">
        <v>1</v>
      </c>
      <c r="W1086" s="27">
        <v>1</v>
      </c>
      <c r="X1086" s="27">
        <v>14</v>
      </c>
      <c r="Y1086" s="27">
        <v>3</v>
      </c>
      <c r="Z1086" s="27">
        <v>4</v>
      </c>
      <c r="AA1086" s="27">
        <v>80</v>
      </c>
      <c r="AB1086" s="27">
        <v>0</v>
      </c>
      <c r="AC1086" s="27">
        <v>10</v>
      </c>
      <c r="AD1086" s="27">
        <v>3</v>
      </c>
      <c r="AE1086" s="27">
        <v>3</v>
      </c>
      <c r="AF1086" s="27">
        <v>10</v>
      </c>
      <c r="AG1086" s="27">
        <v>9</v>
      </c>
      <c r="AH1086" s="27">
        <v>8</v>
      </c>
      <c r="AI1086" s="28">
        <v>6</v>
      </c>
      <c r="AK1086" s="36">
        <v>1053</v>
      </c>
      <c r="AL1086" s="33">
        <v>7</v>
      </c>
      <c r="AM1086" s="33">
        <v>1</v>
      </c>
      <c r="AN1086" s="33">
        <v>3</v>
      </c>
      <c r="AO1086" s="33">
        <v>1</v>
      </c>
      <c r="AP1086" s="33">
        <v>0</v>
      </c>
      <c r="AQ1086" s="33">
        <v>2</v>
      </c>
      <c r="AR1086" s="33">
        <v>2</v>
      </c>
      <c r="AS1086" s="33">
        <v>1</v>
      </c>
      <c r="AT1086" s="33">
        <v>0</v>
      </c>
      <c r="AU1086" s="43">
        <v>7.3267339443568627E-2</v>
      </c>
      <c r="AV1086" s="33">
        <v>0</v>
      </c>
      <c r="AW1086" s="33">
        <v>0</v>
      </c>
      <c r="AY1086" s="36">
        <v>1058</v>
      </c>
      <c r="AZ1086" s="33">
        <v>2</v>
      </c>
      <c r="BA1086" s="33">
        <v>2</v>
      </c>
      <c r="BB1086" s="33">
        <v>0</v>
      </c>
      <c r="BC1086" s="33">
        <v>0</v>
      </c>
      <c r="BD1086" s="43">
        <v>0.15063023792355215</v>
      </c>
      <c r="BE1086" s="33">
        <v>0</v>
      </c>
      <c r="BF1086" s="33">
        <v>1</v>
      </c>
      <c r="CE1086" s="36">
        <v>1052</v>
      </c>
      <c r="CF1086" s="33">
        <v>1</v>
      </c>
      <c r="CG1086" s="33">
        <v>2</v>
      </c>
      <c r="CH1086" s="33">
        <v>3</v>
      </c>
      <c r="CI1086" s="33">
        <v>2</v>
      </c>
      <c r="CJ1086" s="33">
        <v>7</v>
      </c>
      <c r="CK1086" s="33">
        <v>0</v>
      </c>
      <c r="CL1086" s="33">
        <v>1</v>
      </c>
      <c r="CM1086" s="33">
        <v>2</v>
      </c>
      <c r="CN1086" s="33">
        <v>1</v>
      </c>
      <c r="CO1086" s="33">
        <v>0</v>
      </c>
      <c r="CP1086" s="43">
        <v>9.6935749757364589E-2</v>
      </c>
      <c r="CQ1086" s="33">
        <v>0</v>
      </c>
      <c r="CR1086" s="33">
        <v>0</v>
      </c>
    </row>
    <row r="1087" spans="1:96" ht="15" customHeight="1" x14ac:dyDescent="0.25">
      <c r="A1087" s="26">
        <v>1085</v>
      </c>
      <c r="B1087" s="27">
        <v>31</v>
      </c>
      <c r="C1087" s="27">
        <v>1</v>
      </c>
      <c r="D1087" s="27">
        <v>2</v>
      </c>
      <c r="E1087" s="27">
        <v>561</v>
      </c>
      <c r="F1087" s="27">
        <v>2</v>
      </c>
      <c r="G1087" s="27">
        <v>3</v>
      </c>
      <c r="H1087" s="27">
        <v>3</v>
      </c>
      <c r="I1087" s="27">
        <v>1</v>
      </c>
      <c r="J1087" s="27">
        <v>1</v>
      </c>
      <c r="K1087" s="27">
        <v>1537</v>
      </c>
      <c r="L1087" s="27">
        <v>4</v>
      </c>
      <c r="M1087" s="27">
        <v>0</v>
      </c>
      <c r="N1087" s="27">
        <v>33</v>
      </c>
      <c r="O1087" s="27">
        <v>3</v>
      </c>
      <c r="P1087" s="27">
        <v>1</v>
      </c>
      <c r="Q1087" s="27">
        <v>2</v>
      </c>
      <c r="R1087" s="27">
        <v>3</v>
      </c>
      <c r="S1087" s="27">
        <v>1</v>
      </c>
      <c r="T1087" s="27">
        <v>4084</v>
      </c>
      <c r="U1087" s="27">
        <v>4156</v>
      </c>
      <c r="V1087" s="27">
        <v>1</v>
      </c>
      <c r="W1087" s="27">
        <v>0</v>
      </c>
      <c r="X1087" s="27">
        <v>12</v>
      </c>
      <c r="Y1087" s="27">
        <v>3</v>
      </c>
      <c r="Z1087" s="27">
        <v>1</v>
      </c>
      <c r="AA1087" s="27">
        <v>80</v>
      </c>
      <c r="AB1087" s="27">
        <v>0</v>
      </c>
      <c r="AC1087" s="27">
        <v>7</v>
      </c>
      <c r="AD1087" s="27">
        <v>2</v>
      </c>
      <c r="AE1087" s="27">
        <v>1</v>
      </c>
      <c r="AF1087" s="27">
        <v>7</v>
      </c>
      <c r="AG1087" s="27">
        <v>2</v>
      </c>
      <c r="AH1087" s="27">
        <v>7</v>
      </c>
      <c r="AI1087" s="28">
        <v>7</v>
      </c>
      <c r="AK1087" s="36">
        <v>1054</v>
      </c>
      <c r="AL1087" s="33">
        <v>1</v>
      </c>
      <c r="AM1087" s="33">
        <v>2</v>
      </c>
      <c r="AN1087" s="33">
        <v>3</v>
      </c>
      <c r="AO1087" s="33">
        <v>0</v>
      </c>
      <c r="AP1087" s="33">
        <v>0</v>
      </c>
      <c r="AQ1087" s="33">
        <v>1</v>
      </c>
      <c r="AR1087" s="33">
        <v>2</v>
      </c>
      <c r="AS1087" s="33">
        <v>12</v>
      </c>
      <c r="AT1087" s="33">
        <v>2</v>
      </c>
      <c r="AU1087" s="43">
        <v>3.3109224626807696E-2</v>
      </c>
      <c r="AV1087" s="33">
        <v>0</v>
      </c>
      <c r="AW1087" s="33">
        <v>0</v>
      </c>
      <c r="AY1087" s="36">
        <v>1059</v>
      </c>
      <c r="AZ1087" s="33">
        <v>2</v>
      </c>
      <c r="BA1087" s="33">
        <v>2</v>
      </c>
      <c r="BB1087" s="33">
        <v>1</v>
      </c>
      <c r="BC1087" s="33">
        <v>0</v>
      </c>
      <c r="BD1087" s="43">
        <v>0.4312038484945574</v>
      </c>
      <c r="BE1087" s="33">
        <v>0</v>
      </c>
      <c r="BF1087" s="33">
        <v>1</v>
      </c>
      <c r="CE1087" s="36">
        <v>1053</v>
      </c>
      <c r="CF1087" s="33">
        <v>7</v>
      </c>
      <c r="CG1087" s="33">
        <v>1</v>
      </c>
      <c r="CH1087" s="33">
        <v>3</v>
      </c>
      <c r="CI1087" s="33">
        <v>3</v>
      </c>
      <c r="CJ1087" s="33">
        <v>1</v>
      </c>
      <c r="CK1087" s="33">
        <v>0</v>
      </c>
      <c r="CL1087" s="33">
        <v>2</v>
      </c>
      <c r="CM1087" s="33">
        <v>2</v>
      </c>
      <c r="CN1087" s="33">
        <v>1</v>
      </c>
      <c r="CO1087" s="33">
        <v>0</v>
      </c>
      <c r="CP1087" s="43">
        <v>5.8305070419723742E-2</v>
      </c>
      <c r="CQ1087" s="33">
        <v>0</v>
      </c>
      <c r="CR1087" s="33">
        <v>0</v>
      </c>
    </row>
    <row r="1088" spans="1:96" ht="15" customHeight="1" x14ac:dyDescent="0.25">
      <c r="A1088" s="26">
        <v>1086</v>
      </c>
      <c r="B1088" s="27">
        <v>50</v>
      </c>
      <c r="C1088" s="27">
        <v>0</v>
      </c>
      <c r="D1088" s="27">
        <v>2</v>
      </c>
      <c r="E1088" s="27">
        <v>333</v>
      </c>
      <c r="F1088" s="27">
        <v>2</v>
      </c>
      <c r="G1088" s="27">
        <v>22</v>
      </c>
      <c r="H1088" s="27">
        <v>5</v>
      </c>
      <c r="I1088" s="27">
        <v>3</v>
      </c>
      <c r="J1088" s="27">
        <v>1</v>
      </c>
      <c r="K1088" s="27">
        <v>1539</v>
      </c>
      <c r="L1088" s="27">
        <v>3</v>
      </c>
      <c r="M1088" s="27">
        <v>1</v>
      </c>
      <c r="N1088" s="27">
        <v>88</v>
      </c>
      <c r="O1088" s="27">
        <v>1</v>
      </c>
      <c r="P1088" s="27">
        <v>4</v>
      </c>
      <c r="Q1088" s="27">
        <v>8</v>
      </c>
      <c r="R1088" s="27">
        <v>4</v>
      </c>
      <c r="S1088" s="27">
        <v>1</v>
      </c>
      <c r="T1088" s="27">
        <v>14411</v>
      </c>
      <c r="U1088" s="27">
        <v>24450</v>
      </c>
      <c r="V1088" s="27">
        <v>1</v>
      </c>
      <c r="W1088" s="27">
        <v>1</v>
      </c>
      <c r="X1088" s="27">
        <v>13</v>
      </c>
      <c r="Y1088" s="27">
        <v>3</v>
      </c>
      <c r="Z1088" s="27">
        <v>4</v>
      </c>
      <c r="AA1088" s="27">
        <v>80</v>
      </c>
      <c r="AB1088" s="27">
        <v>0</v>
      </c>
      <c r="AC1088" s="27">
        <v>32</v>
      </c>
      <c r="AD1088" s="27">
        <v>2</v>
      </c>
      <c r="AE1088" s="27">
        <v>3</v>
      </c>
      <c r="AF1088" s="27">
        <v>32</v>
      </c>
      <c r="AG1088" s="27">
        <v>6</v>
      </c>
      <c r="AH1088" s="27">
        <v>13</v>
      </c>
      <c r="AI1088" s="28">
        <v>9</v>
      </c>
      <c r="AK1088" s="36">
        <v>1055</v>
      </c>
      <c r="AL1088" s="33">
        <v>7</v>
      </c>
      <c r="AM1088" s="33">
        <v>3</v>
      </c>
      <c r="AN1088" s="33">
        <v>2</v>
      </c>
      <c r="AO1088" s="33">
        <v>3</v>
      </c>
      <c r="AP1088" s="33">
        <v>0</v>
      </c>
      <c r="AQ1088" s="33">
        <v>2</v>
      </c>
      <c r="AR1088" s="33">
        <v>3</v>
      </c>
      <c r="AS1088" s="33">
        <v>8</v>
      </c>
      <c r="AT1088" s="33">
        <v>0</v>
      </c>
      <c r="AU1088" s="43">
        <v>1.9493490936764481E-2</v>
      </c>
      <c r="AV1088" s="33">
        <v>0</v>
      </c>
      <c r="AW1088" s="33">
        <v>0</v>
      </c>
      <c r="AY1088" s="36">
        <v>1060</v>
      </c>
      <c r="AZ1088" s="33">
        <v>1</v>
      </c>
      <c r="BA1088" s="33">
        <v>3</v>
      </c>
      <c r="BB1088" s="33">
        <v>0</v>
      </c>
      <c r="BC1088" s="33">
        <v>1</v>
      </c>
      <c r="BD1088" s="43">
        <v>0.12012271365792118</v>
      </c>
      <c r="BE1088" s="33">
        <v>0</v>
      </c>
      <c r="BF1088" s="33">
        <v>0</v>
      </c>
      <c r="CE1088" s="36">
        <v>1054</v>
      </c>
      <c r="CF1088" s="33">
        <v>1</v>
      </c>
      <c r="CG1088" s="33">
        <v>2</v>
      </c>
      <c r="CH1088" s="33">
        <v>3</v>
      </c>
      <c r="CI1088" s="33">
        <v>2</v>
      </c>
      <c r="CJ1088" s="33">
        <v>0</v>
      </c>
      <c r="CK1088" s="33">
        <v>0</v>
      </c>
      <c r="CL1088" s="33">
        <v>1</v>
      </c>
      <c r="CM1088" s="33">
        <v>2</v>
      </c>
      <c r="CN1088" s="33">
        <v>12</v>
      </c>
      <c r="CO1088" s="33">
        <v>2</v>
      </c>
      <c r="CP1088" s="43">
        <v>3.2406086310757497E-2</v>
      </c>
      <c r="CQ1088" s="33">
        <v>0</v>
      </c>
      <c r="CR1088" s="33">
        <v>0</v>
      </c>
    </row>
    <row r="1089" spans="1:96" ht="15" customHeight="1" x14ac:dyDescent="0.25">
      <c r="A1089" s="26">
        <v>1087</v>
      </c>
      <c r="B1089" s="27">
        <v>34</v>
      </c>
      <c r="C1089" s="27">
        <v>0</v>
      </c>
      <c r="D1089" s="27">
        <v>1</v>
      </c>
      <c r="E1089" s="27">
        <v>1440</v>
      </c>
      <c r="F1089" s="27">
        <v>1</v>
      </c>
      <c r="G1089" s="27">
        <v>7</v>
      </c>
      <c r="H1089" s="27">
        <v>2</v>
      </c>
      <c r="I1089" s="27">
        <v>5</v>
      </c>
      <c r="J1089" s="27">
        <v>1</v>
      </c>
      <c r="K1089" s="27">
        <v>1541</v>
      </c>
      <c r="L1089" s="27">
        <v>2</v>
      </c>
      <c r="M1089" s="27">
        <v>1</v>
      </c>
      <c r="N1089" s="27">
        <v>55</v>
      </c>
      <c r="O1089" s="27">
        <v>3</v>
      </c>
      <c r="P1089" s="27">
        <v>1</v>
      </c>
      <c r="Q1089" s="27">
        <v>7</v>
      </c>
      <c r="R1089" s="27">
        <v>3</v>
      </c>
      <c r="S1089" s="27">
        <v>2</v>
      </c>
      <c r="T1089" s="27">
        <v>2308</v>
      </c>
      <c r="U1089" s="27">
        <v>4944</v>
      </c>
      <c r="V1089" s="27">
        <v>0</v>
      </c>
      <c r="W1089" s="27">
        <v>1</v>
      </c>
      <c r="X1089" s="27">
        <v>25</v>
      </c>
      <c r="Y1089" s="27">
        <v>4</v>
      </c>
      <c r="Z1089" s="27">
        <v>2</v>
      </c>
      <c r="AA1089" s="27">
        <v>80</v>
      </c>
      <c r="AB1089" s="27">
        <v>1</v>
      </c>
      <c r="AC1089" s="27">
        <v>12</v>
      </c>
      <c r="AD1089" s="27">
        <v>4</v>
      </c>
      <c r="AE1089" s="27">
        <v>3</v>
      </c>
      <c r="AF1089" s="27">
        <v>11</v>
      </c>
      <c r="AG1089" s="27">
        <v>10</v>
      </c>
      <c r="AH1089" s="27">
        <v>5</v>
      </c>
      <c r="AI1089" s="28">
        <v>7</v>
      </c>
      <c r="AK1089" s="36">
        <v>1056</v>
      </c>
      <c r="AL1089" s="33">
        <v>15</v>
      </c>
      <c r="AM1089" s="33">
        <v>4</v>
      </c>
      <c r="AN1089" s="33">
        <v>1</v>
      </c>
      <c r="AO1089" s="33">
        <v>7</v>
      </c>
      <c r="AP1089" s="33">
        <v>0</v>
      </c>
      <c r="AQ1089" s="33">
        <v>2</v>
      </c>
      <c r="AR1089" s="33">
        <v>2</v>
      </c>
      <c r="AS1089" s="33">
        <v>14</v>
      </c>
      <c r="AT1089" s="33">
        <v>6</v>
      </c>
      <c r="AU1089" s="43">
        <v>4.3417444661953179E-2</v>
      </c>
      <c r="AV1089" s="33">
        <v>0</v>
      </c>
      <c r="AW1089" s="33">
        <v>0</v>
      </c>
      <c r="AY1089" s="36">
        <v>1061</v>
      </c>
      <c r="AZ1089" s="33">
        <v>1</v>
      </c>
      <c r="BA1089" s="33">
        <v>1</v>
      </c>
      <c r="BB1089" s="33">
        <v>1</v>
      </c>
      <c r="BC1089" s="33">
        <v>0</v>
      </c>
      <c r="BD1089" s="43">
        <v>0.63965103699986936</v>
      </c>
      <c r="BE1089" s="33">
        <v>1</v>
      </c>
      <c r="BF1089" s="33">
        <v>1</v>
      </c>
      <c r="CE1089" s="36">
        <v>1055</v>
      </c>
      <c r="CF1089" s="33">
        <v>7</v>
      </c>
      <c r="CG1089" s="33">
        <v>3</v>
      </c>
      <c r="CH1089" s="33">
        <v>2</v>
      </c>
      <c r="CI1089" s="33">
        <v>3</v>
      </c>
      <c r="CJ1089" s="33">
        <v>3</v>
      </c>
      <c r="CK1089" s="33">
        <v>0</v>
      </c>
      <c r="CL1089" s="33">
        <v>2</v>
      </c>
      <c r="CM1089" s="33">
        <v>3</v>
      </c>
      <c r="CN1089" s="33">
        <v>8</v>
      </c>
      <c r="CO1089" s="33">
        <v>0</v>
      </c>
      <c r="CP1089" s="43">
        <v>1.5700079380021662E-2</v>
      </c>
      <c r="CQ1089" s="33">
        <v>0</v>
      </c>
      <c r="CR1089" s="33">
        <v>0</v>
      </c>
    </row>
    <row r="1090" spans="1:96" ht="15" customHeight="1" x14ac:dyDescent="0.25">
      <c r="A1090" s="26">
        <v>1088</v>
      </c>
      <c r="B1090" s="27">
        <v>42</v>
      </c>
      <c r="C1090" s="27">
        <v>0</v>
      </c>
      <c r="D1090" s="27">
        <v>1</v>
      </c>
      <c r="E1090" s="27">
        <v>1210</v>
      </c>
      <c r="F1090" s="27">
        <v>2</v>
      </c>
      <c r="G1090" s="27">
        <v>2</v>
      </c>
      <c r="H1090" s="27">
        <v>3</v>
      </c>
      <c r="I1090" s="27">
        <v>3</v>
      </c>
      <c r="J1090" s="27">
        <v>1</v>
      </c>
      <c r="K1090" s="27">
        <v>1542</v>
      </c>
      <c r="L1090" s="27">
        <v>3</v>
      </c>
      <c r="M1090" s="27">
        <v>1</v>
      </c>
      <c r="N1090" s="27">
        <v>68</v>
      </c>
      <c r="O1090" s="27">
        <v>2</v>
      </c>
      <c r="P1090" s="27">
        <v>1</v>
      </c>
      <c r="Q1090" s="27">
        <v>3</v>
      </c>
      <c r="R1090" s="27">
        <v>2</v>
      </c>
      <c r="S1090" s="27">
        <v>2</v>
      </c>
      <c r="T1090" s="27">
        <v>4841</v>
      </c>
      <c r="U1090" s="27">
        <v>24052</v>
      </c>
      <c r="V1090" s="27">
        <v>4</v>
      </c>
      <c r="W1090" s="27">
        <v>0</v>
      </c>
      <c r="X1090" s="27">
        <v>14</v>
      </c>
      <c r="Y1090" s="27">
        <v>3</v>
      </c>
      <c r="Z1090" s="27">
        <v>2</v>
      </c>
      <c r="AA1090" s="27">
        <v>80</v>
      </c>
      <c r="AB1090" s="27">
        <v>1</v>
      </c>
      <c r="AC1090" s="27">
        <v>4</v>
      </c>
      <c r="AD1090" s="27">
        <v>3</v>
      </c>
      <c r="AE1090" s="27">
        <v>3</v>
      </c>
      <c r="AF1090" s="27">
        <v>1</v>
      </c>
      <c r="AG1090" s="27">
        <v>0</v>
      </c>
      <c r="AH1090" s="27">
        <v>0</v>
      </c>
      <c r="AI1090" s="28">
        <v>0</v>
      </c>
      <c r="AK1090" s="36">
        <v>1057</v>
      </c>
      <c r="AL1090" s="33">
        <v>1</v>
      </c>
      <c r="AM1090" s="33">
        <v>1</v>
      </c>
      <c r="AN1090" s="33">
        <v>3</v>
      </c>
      <c r="AO1090" s="33">
        <v>3</v>
      </c>
      <c r="AP1090" s="33">
        <v>0</v>
      </c>
      <c r="AQ1090" s="33">
        <v>1</v>
      </c>
      <c r="AR1090" s="33">
        <v>4</v>
      </c>
      <c r="AS1090" s="33">
        <v>3</v>
      </c>
      <c r="AT1090" s="33">
        <v>1</v>
      </c>
      <c r="AU1090" s="43">
        <v>7.5843751026327497E-2</v>
      </c>
      <c r="AV1090" s="33">
        <v>0</v>
      </c>
      <c r="AW1090" s="33">
        <v>1</v>
      </c>
      <c r="AY1090" s="36">
        <v>1062</v>
      </c>
      <c r="AZ1090" s="33">
        <v>1</v>
      </c>
      <c r="BA1090" s="33">
        <v>2</v>
      </c>
      <c r="BB1090" s="33">
        <v>0</v>
      </c>
      <c r="BC1090" s="33">
        <v>1</v>
      </c>
      <c r="BD1090" s="43">
        <v>0.15461023487664</v>
      </c>
      <c r="BE1090" s="33">
        <v>0</v>
      </c>
      <c r="BF1090" s="33">
        <v>0</v>
      </c>
      <c r="CE1090" s="36">
        <v>1056</v>
      </c>
      <c r="CF1090" s="33">
        <v>15</v>
      </c>
      <c r="CG1090" s="33">
        <v>4</v>
      </c>
      <c r="CH1090" s="33">
        <v>1</v>
      </c>
      <c r="CI1090" s="33">
        <v>3</v>
      </c>
      <c r="CJ1090" s="33">
        <v>7</v>
      </c>
      <c r="CK1090" s="33">
        <v>0</v>
      </c>
      <c r="CL1090" s="33">
        <v>2</v>
      </c>
      <c r="CM1090" s="33">
        <v>2</v>
      </c>
      <c r="CN1090" s="33">
        <v>14</v>
      </c>
      <c r="CO1090" s="33">
        <v>6</v>
      </c>
      <c r="CP1090" s="43">
        <v>3.7387814900844273E-2</v>
      </c>
      <c r="CQ1090" s="33">
        <v>0</v>
      </c>
      <c r="CR1090" s="33">
        <v>0</v>
      </c>
    </row>
    <row r="1091" spans="1:96" ht="15" customHeight="1" x14ac:dyDescent="0.25">
      <c r="A1091" s="26">
        <v>1089</v>
      </c>
      <c r="B1091" s="27">
        <v>37</v>
      </c>
      <c r="C1091" s="27">
        <v>0</v>
      </c>
      <c r="D1091" s="27">
        <v>1</v>
      </c>
      <c r="E1091" s="27">
        <v>674</v>
      </c>
      <c r="F1091" s="27">
        <v>2</v>
      </c>
      <c r="G1091" s="27">
        <v>13</v>
      </c>
      <c r="H1091" s="27">
        <v>3</v>
      </c>
      <c r="I1091" s="27">
        <v>3</v>
      </c>
      <c r="J1091" s="27">
        <v>1</v>
      </c>
      <c r="K1091" s="27">
        <v>1543</v>
      </c>
      <c r="L1091" s="27">
        <v>1</v>
      </c>
      <c r="M1091" s="27">
        <v>1</v>
      </c>
      <c r="N1091" s="27">
        <v>47</v>
      </c>
      <c r="O1091" s="27">
        <v>3</v>
      </c>
      <c r="P1091" s="27">
        <v>2</v>
      </c>
      <c r="Q1091" s="27">
        <v>2</v>
      </c>
      <c r="R1091" s="27">
        <v>4</v>
      </c>
      <c r="S1091" s="27">
        <v>2</v>
      </c>
      <c r="T1091" s="27">
        <v>4285</v>
      </c>
      <c r="U1091" s="27">
        <v>3031</v>
      </c>
      <c r="V1091" s="27">
        <v>1</v>
      </c>
      <c r="W1091" s="27">
        <v>0</v>
      </c>
      <c r="X1091" s="27">
        <v>17</v>
      </c>
      <c r="Y1091" s="27">
        <v>3</v>
      </c>
      <c r="Z1091" s="27">
        <v>1</v>
      </c>
      <c r="AA1091" s="27">
        <v>80</v>
      </c>
      <c r="AB1091" s="27">
        <v>0</v>
      </c>
      <c r="AC1091" s="27">
        <v>10</v>
      </c>
      <c r="AD1091" s="27">
        <v>2</v>
      </c>
      <c r="AE1091" s="27">
        <v>3</v>
      </c>
      <c r="AF1091" s="27">
        <v>10</v>
      </c>
      <c r="AG1091" s="27">
        <v>8</v>
      </c>
      <c r="AH1091" s="27">
        <v>3</v>
      </c>
      <c r="AI1091" s="28">
        <v>7</v>
      </c>
      <c r="AK1091" s="36">
        <v>1058</v>
      </c>
      <c r="AL1091" s="33">
        <v>13</v>
      </c>
      <c r="AM1091" s="33">
        <v>2</v>
      </c>
      <c r="AN1091" s="33">
        <v>2</v>
      </c>
      <c r="AO1091" s="33">
        <v>5</v>
      </c>
      <c r="AP1091" s="33">
        <v>0</v>
      </c>
      <c r="AQ1091" s="33">
        <v>0</v>
      </c>
      <c r="AR1091" s="33">
        <v>1</v>
      </c>
      <c r="AS1091" s="33">
        <v>5</v>
      </c>
      <c r="AT1091" s="33">
        <v>0</v>
      </c>
      <c r="AU1091" s="43">
        <v>0.23487599141050178</v>
      </c>
      <c r="AV1091" s="33">
        <v>0</v>
      </c>
      <c r="AW1091" s="33">
        <v>1</v>
      </c>
      <c r="AY1091" s="36">
        <v>1063</v>
      </c>
      <c r="AZ1091" s="33">
        <v>3</v>
      </c>
      <c r="BA1091" s="33">
        <v>3</v>
      </c>
      <c r="BB1091" s="33">
        <v>1</v>
      </c>
      <c r="BC1091" s="33">
        <v>0</v>
      </c>
      <c r="BD1091" s="43">
        <v>0.24457985721149755</v>
      </c>
      <c r="BE1091" s="33">
        <v>0</v>
      </c>
      <c r="BF1091" s="33">
        <v>0</v>
      </c>
      <c r="CE1091" s="36">
        <v>1057</v>
      </c>
      <c r="CF1091" s="33">
        <v>1</v>
      </c>
      <c r="CG1091" s="33">
        <v>1</v>
      </c>
      <c r="CH1091" s="33">
        <v>3</v>
      </c>
      <c r="CI1091" s="33">
        <v>2</v>
      </c>
      <c r="CJ1091" s="33">
        <v>3</v>
      </c>
      <c r="CK1091" s="33">
        <v>0</v>
      </c>
      <c r="CL1091" s="33">
        <v>1</v>
      </c>
      <c r="CM1091" s="33">
        <v>4</v>
      </c>
      <c r="CN1091" s="33">
        <v>3</v>
      </c>
      <c r="CO1091" s="33">
        <v>1</v>
      </c>
      <c r="CP1091" s="43">
        <v>7.1753568892024305E-2</v>
      </c>
      <c r="CQ1091" s="33">
        <v>0</v>
      </c>
      <c r="CR1091" s="33">
        <v>1</v>
      </c>
    </row>
    <row r="1092" spans="1:96" ht="15" customHeight="1" x14ac:dyDescent="0.25">
      <c r="A1092" s="26">
        <v>1090</v>
      </c>
      <c r="B1092" s="27">
        <v>29</v>
      </c>
      <c r="C1092" s="27">
        <v>0</v>
      </c>
      <c r="D1092" s="27">
        <v>1</v>
      </c>
      <c r="E1092" s="27">
        <v>441</v>
      </c>
      <c r="F1092" s="27">
        <v>2</v>
      </c>
      <c r="G1092" s="27">
        <v>8</v>
      </c>
      <c r="H1092" s="27">
        <v>1</v>
      </c>
      <c r="I1092" s="27">
        <v>6</v>
      </c>
      <c r="J1092" s="27">
        <v>1</v>
      </c>
      <c r="K1092" s="27">
        <v>1544</v>
      </c>
      <c r="L1092" s="27">
        <v>3</v>
      </c>
      <c r="M1092" s="27">
        <v>0</v>
      </c>
      <c r="N1092" s="27">
        <v>39</v>
      </c>
      <c r="O1092" s="27">
        <v>1</v>
      </c>
      <c r="P1092" s="27">
        <v>2</v>
      </c>
      <c r="Q1092" s="27">
        <v>5</v>
      </c>
      <c r="R1092" s="27">
        <v>1</v>
      </c>
      <c r="S1092" s="27">
        <v>2</v>
      </c>
      <c r="T1092" s="27">
        <v>9715</v>
      </c>
      <c r="U1092" s="27">
        <v>7288</v>
      </c>
      <c r="V1092" s="27">
        <v>3</v>
      </c>
      <c r="W1092" s="27">
        <v>0</v>
      </c>
      <c r="X1092" s="27">
        <v>13</v>
      </c>
      <c r="Y1092" s="27">
        <v>3</v>
      </c>
      <c r="Z1092" s="27">
        <v>3</v>
      </c>
      <c r="AA1092" s="27">
        <v>80</v>
      </c>
      <c r="AB1092" s="27">
        <v>1</v>
      </c>
      <c r="AC1092" s="27">
        <v>9</v>
      </c>
      <c r="AD1092" s="27">
        <v>3</v>
      </c>
      <c r="AE1092" s="27">
        <v>3</v>
      </c>
      <c r="AF1092" s="27">
        <v>7</v>
      </c>
      <c r="AG1092" s="27">
        <v>7</v>
      </c>
      <c r="AH1092" s="27">
        <v>0</v>
      </c>
      <c r="AI1092" s="28">
        <v>7</v>
      </c>
      <c r="AK1092" s="36">
        <v>1059</v>
      </c>
      <c r="AL1092" s="33">
        <v>24</v>
      </c>
      <c r="AM1092" s="33">
        <v>2</v>
      </c>
      <c r="AN1092" s="33">
        <v>2</v>
      </c>
      <c r="AO1092" s="33">
        <v>0</v>
      </c>
      <c r="AP1092" s="33">
        <v>1</v>
      </c>
      <c r="AQ1092" s="33">
        <v>0</v>
      </c>
      <c r="AR1092" s="33">
        <v>4</v>
      </c>
      <c r="AS1092" s="33">
        <v>15</v>
      </c>
      <c r="AT1092" s="33">
        <v>10</v>
      </c>
      <c r="AU1092" s="43">
        <v>0.48980136161809967</v>
      </c>
      <c r="AV1092" s="33">
        <v>0</v>
      </c>
      <c r="AW1092" s="33">
        <v>1</v>
      </c>
      <c r="AY1092" s="36">
        <v>1064</v>
      </c>
      <c r="AZ1092" s="33">
        <v>2</v>
      </c>
      <c r="BA1092" s="33">
        <v>3</v>
      </c>
      <c r="BB1092" s="33">
        <v>0</v>
      </c>
      <c r="BC1092" s="33">
        <v>2</v>
      </c>
      <c r="BD1092" s="43">
        <v>4.4052611042036123E-2</v>
      </c>
      <c r="BE1092" s="33">
        <v>0</v>
      </c>
      <c r="BF1092" s="33">
        <v>0</v>
      </c>
      <c r="CE1092" s="36">
        <v>1058</v>
      </c>
      <c r="CF1092" s="33">
        <v>13</v>
      </c>
      <c r="CG1092" s="33">
        <v>2</v>
      </c>
      <c r="CH1092" s="33">
        <v>2</v>
      </c>
      <c r="CI1092" s="33">
        <v>1</v>
      </c>
      <c r="CJ1092" s="33">
        <v>5</v>
      </c>
      <c r="CK1092" s="33">
        <v>0</v>
      </c>
      <c r="CL1092" s="33">
        <v>0</v>
      </c>
      <c r="CM1092" s="33">
        <v>1</v>
      </c>
      <c r="CN1092" s="33">
        <v>5</v>
      </c>
      <c r="CO1092" s="33">
        <v>0</v>
      </c>
      <c r="CP1092" s="43">
        <v>0.27749954732856019</v>
      </c>
      <c r="CQ1092" s="33">
        <v>0</v>
      </c>
      <c r="CR1092" s="33">
        <v>1</v>
      </c>
    </row>
    <row r="1093" spans="1:96" ht="15" customHeight="1" x14ac:dyDescent="0.25">
      <c r="A1093" s="26">
        <v>1091</v>
      </c>
      <c r="B1093" s="27">
        <v>33</v>
      </c>
      <c r="C1093" s="27">
        <v>0</v>
      </c>
      <c r="D1093" s="27">
        <v>1</v>
      </c>
      <c r="E1093" s="27">
        <v>575</v>
      </c>
      <c r="F1093" s="27">
        <v>2</v>
      </c>
      <c r="G1093" s="27">
        <v>25</v>
      </c>
      <c r="H1093" s="27">
        <v>3</v>
      </c>
      <c r="I1093" s="27">
        <v>1</v>
      </c>
      <c r="J1093" s="27">
        <v>1</v>
      </c>
      <c r="K1093" s="27">
        <v>1545</v>
      </c>
      <c r="L1093" s="27">
        <v>4</v>
      </c>
      <c r="M1093" s="27">
        <v>1</v>
      </c>
      <c r="N1093" s="27">
        <v>44</v>
      </c>
      <c r="O1093" s="27">
        <v>2</v>
      </c>
      <c r="P1093" s="27">
        <v>2</v>
      </c>
      <c r="Q1093" s="27">
        <v>4</v>
      </c>
      <c r="R1093" s="27">
        <v>2</v>
      </c>
      <c r="S1093" s="27">
        <v>1</v>
      </c>
      <c r="T1093" s="27">
        <v>4320</v>
      </c>
      <c r="U1093" s="27">
        <v>24152</v>
      </c>
      <c r="V1093" s="27">
        <v>1</v>
      </c>
      <c r="W1093" s="27">
        <v>0</v>
      </c>
      <c r="X1093" s="27">
        <v>13</v>
      </c>
      <c r="Y1093" s="27">
        <v>3</v>
      </c>
      <c r="Z1093" s="27">
        <v>4</v>
      </c>
      <c r="AA1093" s="27">
        <v>80</v>
      </c>
      <c r="AB1093" s="27">
        <v>0</v>
      </c>
      <c r="AC1093" s="27">
        <v>5</v>
      </c>
      <c r="AD1093" s="27">
        <v>2</v>
      </c>
      <c r="AE1093" s="27">
        <v>3</v>
      </c>
      <c r="AF1093" s="27">
        <v>5</v>
      </c>
      <c r="AG1093" s="27">
        <v>3</v>
      </c>
      <c r="AH1093" s="27">
        <v>0</v>
      </c>
      <c r="AI1093" s="28">
        <v>2</v>
      </c>
      <c r="AK1093" s="36">
        <v>1060</v>
      </c>
      <c r="AL1093" s="33">
        <v>7</v>
      </c>
      <c r="AM1093" s="33">
        <v>1</v>
      </c>
      <c r="AN1093" s="33">
        <v>3</v>
      </c>
      <c r="AO1093" s="33">
        <v>1</v>
      </c>
      <c r="AP1093" s="33">
        <v>0</v>
      </c>
      <c r="AQ1093" s="33">
        <v>1</v>
      </c>
      <c r="AR1093" s="33">
        <v>3</v>
      </c>
      <c r="AS1093" s="33">
        <v>1</v>
      </c>
      <c r="AT1093" s="33">
        <v>0</v>
      </c>
      <c r="AU1093" s="43">
        <v>9.9484637300472675E-2</v>
      </c>
      <c r="AV1093" s="33">
        <v>0</v>
      </c>
      <c r="AW1093" s="33">
        <v>0</v>
      </c>
      <c r="AY1093" s="36">
        <v>1065</v>
      </c>
      <c r="AZ1093" s="33">
        <v>1</v>
      </c>
      <c r="BA1093" s="33">
        <v>3</v>
      </c>
      <c r="BB1093" s="33">
        <v>0</v>
      </c>
      <c r="BC1093" s="33">
        <v>1</v>
      </c>
      <c r="BD1093" s="43">
        <v>0.12012271365792118</v>
      </c>
      <c r="BE1093" s="33">
        <v>0</v>
      </c>
      <c r="BF1093" s="33">
        <v>0</v>
      </c>
      <c r="CE1093" s="36">
        <v>1059</v>
      </c>
      <c r="CF1093" s="33">
        <v>24</v>
      </c>
      <c r="CG1093" s="33">
        <v>2</v>
      </c>
      <c r="CH1093" s="33">
        <v>2</v>
      </c>
      <c r="CI1093" s="33">
        <v>1</v>
      </c>
      <c r="CJ1093" s="33">
        <v>0</v>
      </c>
      <c r="CK1093" s="33">
        <v>1</v>
      </c>
      <c r="CL1093" s="33">
        <v>0</v>
      </c>
      <c r="CM1093" s="33">
        <v>4</v>
      </c>
      <c r="CN1093" s="33">
        <v>15</v>
      </c>
      <c r="CO1093" s="33">
        <v>10</v>
      </c>
      <c r="CP1093" s="43">
        <v>0.5470162002136012</v>
      </c>
      <c r="CQ1093" s="33">
        <v>1</v>
      </c>
      <c r="CR1093" s="33">
        <v>1</v>
      </c>
    </row>
    <row r="1094" spans="1:96" ht="15" customHeight="1" x14ac:dyDescent="0.25">
      <c r="A1094" s="26">
        <v>1092</v>
      </c>
      <c r="B1094" s="27">
        <v>45</v>
      </c>
      <c r="C1094" s="27">
        <v>0</v>
      </c>
      <c r="D1094" s="27">
        <v>1</v>
      </c>
      <c r="E1094" s="27">
        <v>950</v>
      </c>
      <c r="F1094" s="27">
        <v>2</v>
      </c>
      <c r="G1094" s="27">
        <v>28</v>
      </c>
      <c r="H1094" s="27">
        <v>3</v>
      </c>
      <c r="I1094" s="27">
        <v>5</v>
      </c>
      <c r="J1094" s="27">
        <v>1</v>
      </c>
      <c r="K1094" s="27">
        <v>1546</v>
      </c>
      <c r="L1094" s="27">
        <v>4</v>
      </c>
      <c r="M1094" s="27">
        <v>1</v>
      </c>
      <c r="N1094" s="27">
        <v>97</v>
      </c>
      <c r="O1094" s="27">
        <v>3</v>
      </c>
      <c r="P1094" s="27">
        <v>1</v>
      </c>
      <c r="Q1094" s="27">
        <v>2</v>
      </c>
      <c r="R1094" s="27">
        <v>4</v>
      </c>
      <c r="S1094" s="27">
        <v>2</v>
      </c>
      <c r="T1094" s="27">
        <v>2132</v>
      </c>
      <c r="U1094" s="27">
        <v>4585</v>
      </c>
      <c r="V1094" s="27">
        <v>4</v>
      </c>
      <c r="W1094" s="27">
        <v>0</v>
      </c>
      <c r="X1094" s="27">
        <v>20</v>
      </c>
      <c r="Y1094" s="27">
        <v>4</v>
      </c>
      <c r="Z1094" s="27">
        <v>4</v>
      </c>
      <c r="AA1094" s="27">
        <v>80</v>
      </c>
      <c r="AB1094" s="27">
        <v>1</v>
      </c>
      <c r="AC1094" s="27">
        <v>8</v>
      </c>
      <c r="AD1094" s="27">
        <v>3</v>
      </c>
      <c r="AE1094" s="27">
        <v>3</v>
      </c>
      <c r="AF1094" s="27">
        <v>5</v>
      </c>
      <c r="AG1094" s="27">
        <v>4</v>
      </c>
      <c r="AH1094" s="27">
        <v>0</v>
      </c>
      <c r="AI1094" s="28">
        <v>3</v>
      </c>
      <c r="AK1094" s="36">
        <v>1061</v>
      </c>
      <c r="AL1094" s="33">
        <v>9</v>
      </c>
      <c r="AM1094" s="33">
        <v>1</v>
      </c>
      <c r="AN1094" s="33">
        <v>1</v>
      </c>
      <c r="AO1094" s="33">
        <v>2</v>
      </c>
      <c r="AP1094" s="33">
        <v>1</v>
      </c>
      <c r="AQ1094" s="33">
        <v>0</v>
      </c>
      <c r="AR1094" s="33">
        <v>2</v>
      </c>
      <c r="AS1094" s="33">
        <v>0</v>
      </c>
      <c r="AT1094" s="33">
        <v>0</v>
      </c>
      <c r="AU1094" s="43">
        <v>0.70669735370896269</v>
      </c>
      <c r="AV1094" s="33">
        <v>1</v>
      </c>
      <c r="AW1094" s="33">
        <v>1</v>
      </c>
      <c r="AY1094" s="36">
        <v>1066</v>
      </c>
      <c r="AZ1094" s="33">
        <v>2</v>
      </c>
      <c r="BA1094" s="33">
        <v>3</v>
      </c>
      <c r="BB1094" s="33">
        <v>1</v>
      </c>
      <c r="BC1094" s="33">
        <v>0</v>
      </c>
      <c r="BD1094" s="43">
        <v>0.36139389867144694</v>
      </c>
      <c r="BE1094" s="33">
        <v>0</v>
      </c>
      <c r="BF1094" s="33">
        <v>0</v>
      </c>
      <c r="CE1094" s="36">
        <v>1060</v>
      </c>
      <c r="CF1094" s="33">
        <v>7</v>
      </c>
      <c r="CG1094" s="33">
        <v>1</v>
      </c>
      <c r="CH1094" s="33">
        <v>3</v>
      </c>
      <c r="CI1094" s="33">
        <v>2</v>
      </c>
      <c r="CJ1094" s="33">
        <v>1</v>
      </c>
      <c r="CK1094" s="33">
        <v>0</v>
      </c>
      <c r="CL1094" s="33">
        <v>1</v>
      </c>
      <c r="CM1094" s="33">
        <v>3</v>
      </c>
      <c r="CN1094" s="33">
        <v>1</v>
      </c>
      <c r="CO1094" s="33">
        <v>0</v>
      </c>
      <c r="CP1094" s="43">
        <v>9.505255985700449E-2</v>
      </c>
      <c r="CQ1094" s="33">
        <v>0</v>
      </c>
      <c r="CR1094" s="33">
        <v>0</v>
      </c>
    </row>
    <row r="1095" spans="1:96" ht="15" customHeight="1" x14ac:dyDescent="0.25">
      <c r="A1095" s="26">
        <v>1093</v>
      </c>
      <c r="B1095" s="27">
        <v>42</v>
      </c>
      <c r="C1095" s="27">
        <v>0</v>
      </c>
      <c r="D1095" s="27">
        <v>2</v>
      </c>
      <c r="E1095" s="27">
        <v>288</v>
      </c>
      <c r="F1095" s="27">
        <v>2</v>
      </c>
      <c r="G1095" s="27">
        <v>2</v>
      </c>
      <c r="H1095" s="27">
        <v>3</v>
      </c>
      <c r="I1095" s="27">
        <v>1</v>
      </c>
      <c r="J1095" s="27">
        <v>1</v>
      </c>
      <c r="K1095" s="27">
        <v>1547</v>
      </c>
      <c r="L1095" s="27">
        <v>4</v>
      </c>
      <c r="M1095" s="27">
        <v>1</v>
      </c>
      <c r="N1095" s="27">
        <v>40</v>
      </c>
      <c r="O1095" s="27">
        <v>3</v>
      </c>
      <c r="P1095" s="27">
        <v>3</v>
      </c>
      <c r="Q1095" s="27">
        <v>5</v>
      </c>
      <c r="R1095" s="27">
        <v>4</v>
      </c>
      <c r="S1095" s="27">
        <v>2</v>
      </c>
      <c r="T1095" s="27">
        <v>10124</v>
      </c>
      <c r="U1095" s="27">
        <v>18611</v>
      </c>
      <c r="V1095" s="27">
        <v>2</v>
      </c>
      <c r="W1095" s="27">
        <v>1</v>
      </c>
      <c r="X1095" s="27">
        <v>14</v>
      </c>
      <c r="Y1095" s="27">
        <v>3</v>
      </c>
      <c r="Z1095" s="27">
        <v>3</v>
      </c>
      <c r="AA1095" s="27">
        <v>80</v>
      </c>
      <c r="AB1095" s="27">
        <v>1</v>
      </c>
      <c r="AC1095" s="27">
        <v>24</v>
      </c>
      <c r="AD1095" s="27">
        <v>3</v>
      </c>
      <c r="AE1095" s="27">
        <v>1</v>
      </c>
      <c r="AF1095" s="27">
        <v>20</v>
      </c>
      <c r="AG1095" s="27">
        <v>8</v>
      </c>
      <c r="AH1095" s="27">
        <v>13</v>
      </c>
      <c r="AI1095" s="28">
        <v>9</v>
      </c>
      <c r="AK1095" s="36">
        <v>1062</v>
      </c>
      <c r="AL1095" s="33">
        <v>13</v>
      </c>
      <c r="AM1095" s="33">
        <v>1</v>
      </c>
      <c r="AN1095" s="33">
        <v>2</v>
      </c>
      <c r="AO1095" s="33">
        <v>1</v>
      </c>
      <c r="AP1095" s="33">
        <v>0</v>
      </c>
      <c r="AQ1095" s="33">
        <v>1</v>
      </c>
      <c r="AR1095" s="33">
        <v>3</v>
      </c>
      <c r="AS1095" s="33">
        <v>1</v>
      </c>
      <c r="AT1095" s="33">
        <v>0</v>
      </c>
      <c r="AU1095" s="43">
        <v>0.15327782612602689</v>
      </c>
      <c r="AV1095" s="33">
        <v>0</v>
      </c>
      <c r="AW1095" s="33">
        <v>0</v>
      </c>
      <c r="AY1095" s="36">
        <v>1067</v>
      </c>
      <c r="AZ1095" s="33">
        <v>1</v>
      </c>
      <c r="BA1095" s="33">
        <v>2</v>
      </c>
      <c r="BB1095" s="33">
        <v>0</v>
      </c>
      <c r="BC1095" s="33">
        <v>0</v>
      </c>
      <c r="BD1095" s="43">
        <v>0.23662845161334917</v>
      </c>
      <c r="BE1095" s="33">
        <v>0</v>
      </c>
      <c r="BF1095" s="33">
        <v>0</v>
      </c>
      <c r="CE1095" s="36">
        <v>1061</v>
      </c>
      <c r="CF1095" s="33">
        <v>9</v>
      </c>
      <c r="CG1095" s="33">
        <v>1</v>
      </c>
      <c r="CH1095" s="33">
        <v>1</v>
      </c>
      <c r="CI1095" s="33">
        <v>1</v>
      </c>
      <c r="CJ1095" s="33">
        <v>2</v>
      </c>
      <c r="CK1095" s="33">
        <v>1</v>
      </c>
      <c r="CL1095" s="33">
        <v>0</v>
      </c>
      <c r="CM1095" s="33">
        <v>2</v>
      </c>
      <c r="CN1095" s="33">
        <v>0</v>
      </c>
      <c r="CO1095" s="33">
        <v>0</v>
      </c>
      <c r="CP1095" s="43">
        <v>0.75653210689610451</v>
      </c>
      <c r="CQ1095" s="33">
        <v>1</v>
      </c>
      <c r="CR1095" s="33">
        <v>1</v>
      </c>
    </row>
    <row r="1096" spans="1:96" ht="15" customHeight="1" x14ac:dyDescent="0.25">
      <c r="A1096" s="26">
        <v>1094</v>
      </c>
      <c r="B1096" s="27">
        <v>40</v>
      </c>
      <c r="C1096" s="27">
        <v>0</v>
      </c>
      <c r="D1096" s="27">
        <v>1</v>
      </c>
      <c r="E1096" s="27">
        <v>1342</v>
      </c>
      <c r="F1096" s="27">
        <v>1</v>
      </c>
      <c r="G1096" s="27">
        <v>9</v>
      </c>
      <c r="H1096" s="27">
        <v>2</v>
      </c>
      <c r="I1096" s="27">
        <v>3</v>
      </c>
      <c r="J1096" s="27">
        <v>1</v>
      </c>
      <c r="K1096" s="27">
        <v>1548</v>
      </c>
      <c r="L1096" s="27">
        <v>1</v>
      </c>
      <c r="M1096" s="27">
        <v>1</v>
      </c>
      <c r="N1096" s="27">
        <v>47</v>
      </c>
      <c r="O1096" s="27">
        <v>3</v>
      </c>
      <c r="P1096" s="27">
        <v>2</v>
      </c>
      <c r="Q1096" s="27">
        <v>1</v>
      </c>
      <c r="R1096" s="27">
        <v>1</v>
      </c>
      <c r="S1096" s="27">
        <v>2</v>
      </c>
      <c r="T1096" s="27">
        <v>5473</v>
      </c>
      <c r="U1096" s="27">
        <v>19345</v>
      </c>
      <c r="V1096" s="27">
        <v>0</v>
      </c>
      <c r="W1096" s="27">
        <v>0</v>
      </c>
      <c r="X1096" s="27">
        <v>12</v>
      </c>
      <c r="Y1096" s="27">
        <v>3</v>
      </c>
      <c r="Z1096" s="27">
        <v>4</v>
      </c>
      <c r="AA1096" s="27">
        <v>80</v>
      </c>
      <c r="AB1096" s="27">
        <v>0</v>
      </c>
      <c r="AC1096" s="27">
        <v>9</v>
      </c>
      <c r="AD1096" s="27">
        <v>5</v>
      </c>
      <c r="AE1096" s="27">
        <v>4</v>
      </c>
      <c r="AF1096" s="27">
        <v>8</v>
      </c>
      <c r="AG1096" s="27">
        <v>4</v>
      </c>
      <c r="AH1096" s="27">
        <v>7</v>
      </c>
      <c r="AI1096" s="28">
        <v>1</v>
      </c>
      <c r="AK1096" s="36">
        <v>1063</v>
      </c>
      <c r="AL1096" s="33">
        <v>2</v>
      </c>
      <c r="AM1096" s="33">
        <v>3</v>
      </c>
      <c r="AN1096" s="33">
        <v>3</v>
      </c>
      <c r="AO1096" s="33">
        <v>5</v>
      </c>
      <c r="AP1096" s="33">
        <v>1</v>
      </c>
      <c r="AQ1096" s="33">
        <v>0</v>
      </c>
      <c r="AR1096" s="33">
        <v>2</v>
      </c>
      <c r="AS1096" s="33">
        <v>2</v>
      </c>
      <c r="AT1096" s="33">
        <v>2</v>
      </c>
      <c r="AU1096" s="43">
        <v>0.32985891796696326</v>
      </c>
      <c r="AV1096" s="33">
        <v>0</v>
      </c>
      <c r="AW1096" s="33">
        <v>0</v>
      </c>
      <c r="AY1096" s="36">
        <v>1068</v>
      </c>
      <c r="AZ1096" s="33">
        <v>2</v>
      </c>
      <c r="BA1096" s="33">
        <v>3</v>
      </c>
      <c r="BB1096" s="33">
        <v>1</v>
      </c>
      <c r="BC1096" s="33">
        <v>1</v>
      </c>
      <c r="BD1096" s="43">
        <v>0.25031066197755131</v>
      </c>
      <c r="BE1096" s="33">
        <v>0</v>
      </c>
      <c r="BF1096" s="33">
        <v>0</v>
      </c>
      <c r="CE1096" s="36">
        <v>1062</v>
      </c>
      <c r="CF1096" s="33">
        <v>13</v>
      </c>
      <c r="CG1096" s="33">
        <v>1</v>
      </c>
      <c r="CH1096" s="33">
        <v>2</v>
      </c>
      <c r="CI1096" s="33">
        <v>2</v>
      </c>
      <c r="CJ1096" s="33">
        <v>1</v>
      </c>
      <c r="CK1096" s="33">
        <v>0</v>
      </c>
      <c r="CL1096" s="33">
        <v>1</v>
      </c>
      <c r="CM1096" s="33">
        <v>3</v>
      </c>
      <c r="CN1096" s="33">
        <v>1</v>
      </c>
      <c r="CO1096" s="33">
        <v>0</v>
      </c>
      <c r="CP1096" s="43">
        <v>0.14891093152272705</v>
      </c>
      <c r="CQ1096" s="33">
        <v>0</v>
      </c>
      <c r="CR1096" s="33">
        <v>0</v>
      </c>
    </row>
    <row r="1097" spans="1:96" ht="15" customHeight="1" x14ac:dyDescent="0.25">
      <c r="A1097" s="26">
        <v>1095</v>
      </c>
      <c r="B1097" s="27">
        <v>33</v>
      </c>
      <c r="C1097" s="27">
        <v>0</v>
      </c>
      <c r="D1097" s="27">
        <v>1</v>
      </c>
      <c r="E1097" s="27">
        <v>589</v>
      </c>
      <c r="F1097" s="27">
        <v>2</v>
      </c>
      <c r="G1097" s="27">
        <v>28</v>
      </c>
      <c r="H1097" s="27">
        <v>4</v>
      </c>
      <c r="I1097" s="27">
        <v>1</v>
      </c>
      <c r="J1097" s="27">
        <v>1</v>
      </c>
      <c r="K1097" s="27">
        <v>1549</v>
      </c>
      <c r="L1097" s="27">
        <v>2</v>
      </c>
      <c r="M1097" s="27">
        <v>1</v>
      </c>
      <c r="N1097" s="27">
        <v>79</v>
      </c>
      <c r="O1097" s="27">
        <v>3</v>
      </c>
      <c r="P1097" s="27">
        <v>2</v>
      </c>
      <c r="Q1097" s="27">
        <v>3</v>
      </c>
      <c r="R1097" s="27">
        <v>3</v>
      </c>
      <c r="S1097" s="27">
        <v>2</v>
      </c>
      <c r="T1097" s="27">
        <v>5207</v>
      </c>
      <c r="U1097" s="27">
        <v>22949</v>
      </c>
      <c r="V1097" s="27">
        <v>1</v>
      </c>
      <c r="W1097" s="27">
        <v>1</v>
      </c>
      <c r="X1097" s="27">
        <v>12</v>
      </c>
      <c r="Y1097" s="27">
        <v>3</v>
      </c>
      <c r="Z1097" s="27">
        <v>2</v>
      </c>
      <c r="AA1097" s="27">
        <v>80</v>
      </c>
      <c r="AB1097" s="27">
        <v>1</v>
      </c>
      <c r="AC1097" s="27">
        <v>15</v>
      </c>
      <c r="AD1097" s="27">
        <v>3</v>
      </c>
      <c r="AE1097" s="27">
        <v>3</v>
      </c>
      <c r="AF1097" s="27">
        <v>15</v>
      </c>
      <c r="AG1097" s="27">
        <v>14</v>
      </c>
      <c r="AH1097" s="27">
        <v>5</v>
      </c>
      <c r="AI1097" s="28">
        <v>7</v>
      </c>
      <c r="AK1097" s="36">
        <v>1064</v>
      </c>
      <c r="AL1097" s="33">
        <v>19</v>
      </c>
      <c r="AM1097" s="33">
        <v>2</v>
      </c>
      <c r="AN1097" s="33">
        <v>3</v>
      </c>
      <c r="AO1097" s="33">
        <v>1</v>
      </c>
      <c r="AP1097" s="33">
        <v>0</v>
      </c>
      <c r="AQ1097" s="33">
        <v>2</v>
      </c>
      <c r="AR1097" s="33">
        <v>3</v>
      </c>
      <c r="AS1097" s="33">
        <v>10</v>
      </c>
      <c r="AT1097" s="33">
        <v>0</v>
      </c>
      <c r="AU1097" s="43">
        <v>2.7465282097764193E-2</v>
      </c>
      <c r="AV1097" s="33">
        <v>0</v>
      </c>
      <c r="AW1097" s="33">
        <v>0</v>
      </c>
      <c r="AY1097" s="36">
        <v>1069</v>
      </c>
      <c r="AZ1097" s="33">
        <v>1</v>
      </c>
      <c r="BA1097" s="33">
        <v>1</v>
      </c>
      <c r="BB1097" s="33">
        <v>0</v>
      </c>
      <c r="BC1097" s="33">
        <v>0</v>
      </c>
      <c r="BD1097" s="43">
        <v>0.29341085656570393</v>
      </c>
      <c r="BE1097" s="33">
        <v>0</v>
      </c>
      <c r="BF1097" s="33">
        <v>1</v>
      </c>
      <c r="CE1097" s="36">
        <v>1063</v>
      </c>
      <c r="CF1097" s="33">
        <v>2</v>
      </c>
      <c r="CG1097" s="33">
        <v>3</v>
      </c>
      <c r="CH1097" s="33">
        <v>3</v>
      </c>
      <c r="CI1097" s="33">
        <v>1</v>
      </c>
      <c r="CJ1097" s="33">
        <v>5</v>
      </c>
      <c r="CK1097" s="33">
        <v>1</v>
      </c>
      <c r="CL1097" s="33">
        <v>0</v>
      </c>
      <c r="CM1097" s="33">
        <v>2</v>
      </c>
      <c r="CN1097" s="33">
        <v>2</v>
      </c>
      <c r="CO1097" s="33">
        <v>2</v>
      </c>
      <c r="CP1097" s="43">
        <v>0.38778493819710014</v>
      </c>
      <c r="CQ1097" s="33">
        <v>0</v>
      </c>
      <c r="CR1097" s="33">
        <v>0</v>
      </c>
    </row>
    <row r="1098" spans="1:96" ht="15" customHeight="1" x14ac:dyDescent="0.25">
      <c r="A1098" s="26">
        <v>1096</v>
      </c>
      <c r="B1098" s="27">
        <v>40</v>
      </c>
      <c r="C1098" s="27">
        <v>0</v>
      </c>
      <c r="D1098" s="27">
        <v>1</v>
      </c>
      <c r="E1098" s="27">
        <v>898</v>
      </c>
      <c r="F1098" s="27">
        <v>3</v>
      </c>
      <c r="G1098" s="27">
        <v>6</v>
      </c>
      <c r="H1098" s="27">
        <v>2</v>
      </c>
      <c r="I1098" s="27">
        <v>3</v>
      </c>
      <c r="J1098" s="27">
        <v>1</v>
      </c>
      <c r="K1098" s="27">
        <v>1550</v>
      </c>
      <c r="L1098" s="27">
        <v>3</v>
      </c>
      <c r="M1098" s="27">
        <v>1</v>
      </c>
      <c r="N1098" s="27">
        <v>38</v>
      </c>
      <c r="O1098" s="27">
        <v>3</v>
      </c>
      <c r="P1098" s="27">
        <v>4</v>
      </c>
      <c r="Q1098" s="27">
        <v>6</v>
      </c>
      <c r="R1098" s="27">
        <v>4</v>
      </c>
      <c r="S1098" s="27">
        <v>1</v>
      </c>
      <c r="T1098" s="27">
        <v>16437</v>
      </c>
      <c r="U1098" s="27">
        <v>17381</v>
      </c>
      <c r="V1098" s="27">
        <v>1</v>
      </c>
      <c r="W1098" s="27">
        <v>1</v>
      </c>
      <c r="X1098" s="27">
        <v>21</v>
      </c>
      <c r="Y1098" s="27">
        <v>4</v>
      </c>
      <c r="Z1098" s="27">
        <v>4</v>
      </c>
      <c r="AA1098" s="27">
        <v>80</v>
      </c>
      <c r="AB1098" s="27">
        <v>0</v>
      </c>
      <c r="AC1098" s="27">
        <v>21</v>
      </c>
      <c r="AD1098" s="27">
        <v>2</v>
      </c>
      <c r="AE1098" s="27">
        <v>3</v>
      </c>
      <c r="AF1098" s="27">
        <v>21</v>
      </c>
      <c r="AG1098" s="27">
        <v>7</v>
      </c>
      <c r="AH1098" s="27">
        <v>7</v>
      </c>
      <c r="AI1098" s="28">
        <v>7</v>
      </c>
      <c r="AK1098" s="36">
        <v>1065</v>
      </c>
      <c r="AL1098" s="33">
        <v>1</v>
      </c>
      <c r="AM1098" s="33">
        <v>1</v>
      </c>
      <c r="AN1098" s="33">
        <v>3</v>
      </c>
      <c r="AO1098" s="33">
        <v>0</v>
      </c>
      <c r="AP1098" s="33">
        <v>0</v>
      </c>
      <c r="AQ1098" s="33">
        <v>1</v>
      </c>
      <c r="AR1098" s="33">
        <v>4</v>
      </c>
      <c r="AS1098" s="33">
        <v>5</v>
      </c>
      <c r="AT1098" s="33">
        <v>1</v>
      </c>
      <c r="AU1098" s="43">
        <v>5.2332950478393925E-2</v>
      </c>
      <c r="AV1098" s="33">
        <v>0</v>
      </c>
      <c r="AW1098" s="33">
        <v>0</v>
      </c>
      <c r="AY1098" s="36">
        <v>1070</v>
      </c>
      <c r="AZ1098" s="33">
        <v>1</v>
      </c>
      <c r="BA1098" s="33">
        <v>3</v>
      </c>
      <c r="BB1098" s="33">
        <v>0</v>
      </c>
      <c r="BC1098" s="33">
        <v>1</v>
      </c>
      <c r="BD1098" s="43">
        <v>0.12012271365792118</v>
      </c>
      <c r="BE1098" s="33">
        <v>0</v>
      </c>
      <c r="BF1098" s="33">
        <v>0</v>
      </c>
      <c r="CE1098" s="36">
        <v>1064</v>
      </c>
      <c r="CF1098" s="33">
        <v>19</v>
      </c>
      <c r="CG1098" s="33">
        <v>2</v>
      </c>
      <c r="CH1098" s="33">
        <v>3</v>
      </c>
      <c r="CI1098" s="33">
        <v>3</v>
      </c>
      <c r="CJ1098" s="33">
        <v>1</v>
      </c>
      <c r="CK1098" s="33">
        <v>0</v>
      </c>
      <c r="CL1098" s="33">
        <v>2</v>
      </c>
      <c r="CM1098" s="33">
        <v>3</v>
      </c>
      <c r="CN1098" s="33">
        <v>10</v>
      </c>
      <c r="CO1098" s="33">
        <v>0</v>
      </c>
      <c r="CP1098" s="43">
        <v>2.1356750966059976E-2</v>
      </c>
      <c r="CQ1098" s="33">
        <v>0</v>
      </c>
      <c r="CR1098" s="33">
        <v>0</v>
      </c>
    </row>
    <row r="1099" spans="1:96" ht="15" customHeight="1" x14ac:dyDescent="0.25">
      <c r="A1099" s="26">
        <v>1097</v>
      </c>
      <c r="B1099" s="27">
        <v>24</v>
      </c>
      <c r="C1099" s="27">
        <v>0</v>
      </c>
      <c r="D1099" s="27">
        <v>1</v>
      </c>
      <c r="E1099" s="27">
        <v>350</v>
      </c>
      <c r="F1099" s="27">
        <v>2</v>
      </c>
      <c r="G1099" s="27">
        <v>21</v>
      </c>
      <c r="H1099" s="27">
        <v>2</v>
      </c>
      <c r="I1099" s="27">
        <v>5</v>
      </c>
      <c r="J1099" s="27">
        <v>1</v>
      </c>
      <c r="K1099" s="27">
        <v>1551</v>
      </c>
      <c r="L1099" s="27">
        <v>3</v>
      </c>
      <c r="M1099" s="27">
        <v>1</v>
      </c>
      <c r="N1099" s="27">
        <v>57</v>
      </c>
      <c r="O1099" s="27">
        <v>2</v>
      </c>
      <c r="P1099" s="27">
        <v>1</v>
      </c>
      <c r="Q1099" s="27">
        <v>3</v>
      </c>
      <c r="R1099" s="27">
        <v>1</v>
      </c>
      <c r="S1099" s="27">
        <v>3</v>
      </c>
      <c r="T1099" s="27">
        <v>2296</v>
      </c>
      <c r="U1099" s="27">
        <v>10036</v>
      </c>
      <c r="V1099" s="27">
        <v>0</v>
      </c>
      <c r="W1099" s="27">
        <v>0</v>
      </c>
      <c r="X1099" s="27">
        <v>14</v>
      </c>
      <c r="Y1099" s="27">
        <v>3</v>
      </c>
      <c r="Z1099" s="27">
        <v>2</v>
      </c>
      <c r="AA1099" s="27">
        <v>80</v>
      </c>
      <c r="AB1099" s="27">
        <v>3</v>
      </c>
      <c r="AC1099" s="27">
        <v>2</v>
      </c>
      <c r="AD1099" s="27">
        <v>3</v>
      </c>
      <c r="AE1099" s="27">
        <v>3</v>
      </c>
      <c r="AF1099" s="27">
        <v>1</v>
      </c>
      <c r="AG1099" s="27">
        <v>1</v>
      </c>
      <c r="AH1099" s="27">
        <v>0</v>
      </c>
      <c r="AI1099" s="28">
        <v>0</v>
      </c>
      <c r="AK1099" s="36">
        <v>1066</v>
      </c>
      <c r="AL1099" s="33">
        <v>4</v>
      </c>
      <c r="AM1099" s="33">
        <v>2</v>
      </c>
      <c r="AN1099" s="33">
        <v>3</v>
      </c>
      <c r="AO1099" s="33">
        <v>0</v>
      </c>
      <c r="AP1099" s="33">
        <v>1</v>
      </c>
      <c r="AQ1099" s="33">
        <v>0</v>
      </c>
      <c r="AR1099" s="33">
        <v>3</v>
      </c>
      <c r="AS1099" s="33">
        <v>3</v>
      </c>
      <c r="AT1099" s="33">
        <v>1</v>
      </c>
      <c r="AU1099" s="43">
        <v>0.28335201798461107</v>
      </c>
      <c r="AV1099" s="33">
        <v>0</v>
      </c>
      <c r="AW1099" s="33">
        <v>0</v>
      </c>
      <c r="AY1099" s="36">
        <v>1071</v>
      </c>
      <c r="AZ1099" s="33">
        <v>2</v>
      </c>
      <c r="BA1099" s="33">
        <v>1</v>
      </c>
      <c r="BB1099" s="33">
        <v>0</v>
      </c>
      <c r="BC1099" s="33">
        <v>0</v>
      </c>
      <c r="BD1099" s="43">
        <v>0.19196561144667343</v>
      </c>
      <c r="BE1099" s="33">
        <v>0</v>
      </c>
      <c r="BF1099" s="33">
        <v>0</v>
      </c>
      <c r="CE1099" s="36">
        <v>1065</v>
      </c>
      <c r="CF1099" s="33">
        <v>1</v>
      </c>
      <c r="CG1099" s="33">
        <v>1</v>
      </c>
      <c r="CH1099" s="33">
        <v>3</v>
      </c>
      <c r="CI1099" s="33">
        <v>3</v>
      </c>
      <c r="CJ1099" s="33">
        <v>0</v>
      </c>
      <c r="CK1099" s="33">
        <v>0</v>
      </c>
      <c r="CL1099" s="33">
        <v>1</v>
      </c>
      <c r="CM1099" s="33">
        <v>4</v>
      </c>
      <c r="CN1099" s="33">
        <v>5</v>
      </c>
      <c r="CO1099" s="33">
        <v>1</v>
      </c>
      <c r="CP1099" s="43">
        <v>2.8859805630503492E-2</v>
      </c>
      <c r="CQ1099" s="33">
        <v>0</v>
      </c>
      <c r="CR1099" s="33">
        <v>0</v>
      </c>
    </row>
    <row r="1100" spans="1:96" ht="15" customHeight="1" x14ac:dyDescent="0.25">
      <c r="A1100" s="26">
        <v>1098</v>
      </c>
      <c r="B1100" s="27">
        <v>40</v>
      </c>
      <c r="C1100" s="27">
        <v>0</v>
      </c>
      <c r="D1100" s="27">
        <v>3</v>
      </c>
      <c r="E1100" s="27">
        <v>1142</v>
      </c>
      <c r="F1100" s="27">
        <v>2</v>
      </c>
      <c r="G1100" s="27">
        <v>8</v>
      </c>
      <c r="H1100" s="27">
        <v>2</v>
      </c>
      <c r="I1100" s="27">
        <v>1</v>
      </c>
      <c r="J1100" s="27">
        <v>1</v>
      </c>
      <c r="K1100" s="27">
        <v>1552</v>
      </c>
      <c r="L1100" s="27">
        <v>4</v>
      </c>
      <c r="M1100" s="27">
        <v>1</v>
      </c>
      <c r="N1100" s="27">
        <v>72</v>
      </c>
      <c r="O1100" s="27">
        <v>3</v>
      </c>
      <c r="P1100" s="27">
        <v>2</v>
      </c>
      <c r="Q1100" s="27">
        <v>5</v>
      </c>
      <c r="R1100" s="27">
        <v>4</v>
      </c>
      <c r="S1100" s="27">
        <v>3</v>
      </c>
      <c r="T1100" s="27">
        <v>4069</v>
      </c>
      <c r="U1100" s="27">
        <v>8841</v>
      </c>
      <c r="V1100" s="27">
        <v>3</v>
      </c>
      <c r="W1100" s="27">
        <v>1</v>
      </c>
      <c r="X1100" s="27">
        <v>18</v>
      </c>
      <c r="Y1100" s="27">
        <v>3</v>
      </c>
      <c r="Z1100" s="27">
        <v>3</v>
      </c>
      <c r="AA1100" s="27">
        <v>80</v>
      </c>
      <c r="AB1100" s="27">
        <v>0</v>
      </c>
      <c r="AC1100" s="27">
        <v>8</v>
      </c>
      <c r="AD1100" s="27">
        <v>2</v>
      </c>
      <c r="AE1100" s="27">
        <v>3</v>
      </c>
      <c r="AF1100" s="27">
        <v>2</v>
      </c>
      <c r="AG1100" s="27">
        <v>2</v>
      </c>
      <c r="AH1100" s="27">
        <v>2</v>
      </c>
      <c r="AI1100" s="28">
        <v>2</v>
      </c>
      <c r="AK1100" s="36">
        <v>1067</v>
      </c>
      <c r="AL1100" s="33">
        <v>4</v>
      </c>
      <c r="AM1100" s="33">
        <v>1</v>
      </c>
      <c r="AN1100" s="33">
        <v>2</v>
      </c>
      <c r="AO1100" s="33">
        <v>8</v>
      </c>
      <c r="AP1100" s="33">
        <v>0</v>
      </c>
      <c r="AQ1100" s="33">
        <v>0</v>
      </c>
      <c r="AR1100" s="33">
        <v>3</v>
      </c>
      <c r="AS1100" s="33">
        <v>5</v>
      </c>
      <c r="AT1100" s="33">
        <v>0</v>
      </c>
      <c r="AU1100" s="43">
        <v>0.24135999843213782</v>
      </c>
      <c r="AV1100" s="33">
        <v>0</v>
      </c>
      <c r="AW1100" s="33">
        <v>0</v>
      </c>
      <c r="AY1100" s="36">
        <v>1072</v>
      </c>
      <c r="AZ1100" s="33">
        <v>2</v>
      </c>
      <c r="BA1100" s="33">
        <v>1</v>
      </c>
      <c r="BB1100" s="33">
        <v>0</v>
      </c>
      <c r="BC1100" s="33">
        <v>1</v>
      </c>
      <c r="BD1100" s="43">
        <v>0.12293502213131684</v>
      </c>
      <c r="BE1100" s="33">
        <v>0</v>
      </c>
      <c r="BF1100" s="33">
        <v>0</v>
      </c>
      <c r="CE1100" s="36">
        <v>1066</v>
      </c>
      <c r="CF1100" s="33">
        <v>4</v>
      </c>
      <c r="CG1100" s="33">
        <v>2</v>
      </c>
      <c r="CH1100" s="33">
        <v>3</v>
      </c>
      <c r="CI1100" s="33">
        <v>2</v>
      </c>
      <c r="CJ1100" s="33">
        <v>0</v>
      </c>
      <c r="CK1100" s="33">
        <v>1</v>
      </c>
      <c r="CL1100" s="33">
        <v>0</v>
      </c>
      <c r="CM1100" s="33">
        <v>3</v>
      </c>
      <c r="CN1100" s="33">
        <v>3</v>
      </c>
      <c r="CO1100" s="33">
        <v>1</v>
      </c>
      <c r="CP1100" s="43">
        <v>0.21937897966472722</v>
      </c>
      <c r="CQ1100" s="33">
        <v>0</v>
      </c>
      <c r="CR1100" s="33">
        <v>0</v>
      </c>
    </row>
    <row r="1101" spans="1:96" ht="15" customHeight="1" x14ac:dyDescent="0.25">
      <c r="A1101" s="26">
        <v>1099</v>
      </c>
      <c r="B1101" s="27">
        <v>45</v>
      </c>
      <c r="C1101" s="27">
        <v>0</v>
      </c>
      <c r="D1101" s="27">
        <v>1</v>
      </c>
      <c r="E1101" s="27">
        <v>538</v>
      </c>
      <c r="F1101" s="27">
        <v>2</v>
      </c>
      <c r="G1101" s="27">
        <v>1</v>
      </c>
      <c r="H1101" s="27">
        <v>4</v>
      </c>
      <c r="I1101" s="27">
        <v>5</v>
      </c>
      <c r="J1101" s="27">
        <v>1</v>
      </c>
      <c r="K1101" s="27">
        <v>1553</v>
      </c>
      <c r="L1101" s="27">
        <v>1</v>
      </c>
      <c r="M1101" s="27">
        <v>1</v>
      </c>
      <c r="N1101" s="27">
        <v>66</v>
      </c>
      <c r="O1101" s="27">
        <v>3</v>
      </c>
      <c r="P1101" s="27">
        <v>3</v>
      </c>
      <c r="Q1101" s="27">
        <v>5</v>
      </c>
      <c r="R1101" s="27">
        <v>2</v>
      </c>
      <c r="S1101" s="27">
        <v>3</v>
      </c>
      <c r="T1101" s="27">
        <v>7441</v>
      </c>
      <c r="U1101" s="27">
        <v>20933</v>
      </c>
      <c r="V1101" s="27">
        <v>1</v>
      </c>
      <c r="W1101" s="27">
        <v>0</v>
      </c>
      <c r="X1101" s="27">
        <v>12</v>
      </c>
      <c r="Y1101" s="27">
        <v>3</v>
      </c>
      <c r="Z1101" s="27">
        <v>1</v>
      </c>
      <c r="AA1101" s="27">
        <v>80</v>
      </c>
      <c r="AB1101" s="27">
        <v>3</v>
      </c>
      <c r="AC1101" s="27">
        <v>10</v>
      </c>
      <c r="AD1101" s="27">
        <v>4</v>
      </c>
      <c r="AE1101" s="27">
        <v>3</v>
      </c>
      <c r="AF1101" s="27">
        <v>10</v>
      </c>
      <c r="AG1101" s="27">
        <v>8</v>
      </c>
      <c r="AH1101" s="27">
        <v>7</v>
      </c>
      <c r="AI1101" s="28">
        <v>7</v>
      </c>
      <c r="AK1101" s="36">
        <v>1068</v>
      </c>
      <c r="AL1101" s="33">
        <v>14</v>
      </c>
      <c r="AM1101" s="33">
        <v>2</v>
      </c>
      <c r="AN1101" s="33">
        <v>3</v>
      </c>
      <c r="AO1101" s="33">
        <v>3</v>
      </c>
      <c r="AP1101" s="33">
        <v>1</v>
      </c>
      <c r="AQ1101" s="33">
        <v>1</v>
      </c>
      <c r="AR1101" s="33">
        <v>2</v>
      </c>
      <c r="AS1101" s="33">
        <v>5</v>
      </c>
      <c r="AT1101" s="33">
        <v>1</v>
      </c>
      <c r="AU1101" s="43">
        <v>0.30610990523035236</v>
      </c>
      <c r="AV1101" s="33">
        <v>0</v>
      </c>
      <c r="AW1101" s="33">
        <v>0</v>
      </c>
      <c r="AY1101" s="36">
        <v>1073</v>
      </c>
      <c r="AZ1101" s="33">
        <v>1</v>
      </c>
      <c r="BA1101" s="33">
        <v>2</v>
      </c>
      <c r="BB1101" s="33">
        <v>0</v>
      </c>
      <c r="BC1101" s="33">
        <v>3</v>
      </c>
      <c r="BD1101" s="43">
        <v>5.9851914082878141E-2</v>
      </c>
      <c r="BE1101" s="33">
        <v>0</v>
      </c>
      <c r="BF1101" s="33">
        <v>0</v>
      </c>
      <c r="CE1101" s="36">
        <v>1067</v>
      </c>
      <c r="CF1101" s="33">
        <v>4</v>
      </c>
      <c r="CG1101" s="33">
        <v>1</v>
      </c>
      <c r="CH1101" s="33">
        <v>2</v>
      </c>
      <c r="CI1101" s="33">
        <v>2</v>
      </c>
      <c r="CJ1101" s="33">
        <v>8</v>
      </c>
      <c r="CK1101" s="33">
        <v>0</v>
      </c>
      <c r="CL1101" s="33">
        <v>0</v>
      </c>
      <c r="CM1101" s="33">
        <v>3</v>
      </c>
      <c r="CN1101" s="33">
        <v>5</v>
      </c>
      <c r="CO1101" s="33">
        <v>0</v>
      </c>
      <c r="CP1101" s="43">
        <v>0.18066465860034264</v>
      </c>
      <c r="CQ1101" s="33">
        <v>0</v>
      </c>
      <c r="CR1101" s="33">
        <v>0</v>
      </c>
    </row>
    <row r="1102" spans="1:96" ht="15" customHeight="1" x14ac:dyDescent="0.25">
      <c r="A1102" s="26">
        <v>1100</v>
      </c>
      <c r="B1102" s="27">
        <v>35</v>
      </c>
      <c r="C1102" s="27">
        <v>0</v>
      </c>
      <c r="D1102" s="27">
        <v>1</v>
      </c>
      <c r="E1102" s="27">
        <v>1402</v>
      </c>
      <c r="F1102" s="27">
        <v>1</v>
      </c>
      <c r="G1102" s="27">
        <v>28</v>
      </c>
      <c r="H1102" s="27">
        <v>4</v>
      </c>
      <c r="I1102" s="27">
        <v>1</v>
      </c>
      <c r="J1102" s="27">
        <v>1</v>
      </c>
      <c r="K1102" s="27">
        <v>1554</v>
      </c>
      <c r="L1102" s="27">
        <v>2</v>
      </c>
      <c r="M1102" s="27">
        <v>0</v>
      </c>
      <c r="N1102" s="27">
        <v>98</v>
      </c>
      <c r="O1102" s="27">
        <v>2</v>
      </c>
      <c r="P1102" s="27">
        <v>1</v>
      </c>
      <c r="Q1102" s="27">
        <v>7</v>
      </c>
      <c r="R1102" s="27">
        <v>3</v>
      </c>
      <c r="S1102" s="27">
        <v>2</v>
      </c>
      <c r="T1102" s="27">
        <v>2430</v>
      </c>
      <c r="U1102" s="27">
        <v>26204</v>
      </c>
      <c r="V1102" s="27">
        <v>0</v>
      </c>
      <c r="W1102" s="27">
        <v>0</v>
      </c>
      <c r="X1102" s="27">
        <v>23</v>
      </c>
      <c r="Y1102" s="27">
        <v>4</v>
      </c>
      <c r="Z1102" s="27">
        <v>1</v>
      </c>
      <c r="AA1102" s="27">
        <v>80</v>
      </c>
      <c r="AB1102" s="27">
        <v>2</v>
      </c>
      <c r="AC1102" s="27">
        <v>6</v>
      </c>
      <c r="AD1102" s="27">
        <v>5</v>
      </c>
      <c r="AE1102" s="27">
        <v>3</v>
      </c>
      <c r="AF1102" s="27">
        <v>5</v>
      </c>
      <c r="AG1102" s="27">
        <v>3</v>
      </c>
      <c r="AH1102" s="27">
        <v>4</v>
      </c>
      <c r="AI1102" s="28">
        <v>2</v>
      </c>
      <c r="AK1102" s="36">
        <v>1069</v>
      </c>
      <c r="AL1102" s="33">
        <v>2</v>
      </c>
      <c r="AM1102" s="33">
        <v>1</v>
      </c>
      <c r="AN1102" s="33">
        <v>1</v>
      </c>
      <c r="AO1102" s="33">
        <v>7</v>
      </c>
      <c r="AP1102" s="33">
        <v>0</v>
      </c>
      <c r="AQ1102" s="33">
        <v>0</v>
      </c>
      <c r="AR1102" s="33">
        <v>2</v>
      </c>
      <c r="AS1102" s="33">
        <v>0</v>
      </c>
      <c r="AT1102" s="33">
        <v>0</v>
      </c>
      <c r="AU1102" s="43">
        <v>0.39857484937434445</v>
      </c>
      <c r="AV1102" s="33">
        <v>0</v>
      </c>
      <c r="AW1102" s="33">
        <v>1</v>
      </c>
      <c r="AY1102" s="36">
        <v>1074</v>
      </c>
      <c r="AZ1102" s="33">
        <v>2</v>
      </c>
      <c r="BA1102" s="33">
        <v>2</v>
      </c>
      <c r="BB1102" s="33">
        <v>0</v>
      </c>
      <c r="BC1102" s="33">
        <v>2</v>
      </c>
      <c r="BD1102" s="43">
        <v>5.8143431646637607E-2</v>
      </c>
      <c r="BE1102" s="33">
        <v>0</v>
      </c>
      <c r="BF1102" s="33">
        <v>0</v>
      </c>
      <c r="CE1102" s="36">
        <v>1068</v>
      </c>
      <c r="CF1102" s="33">
        <v>14</v>
      </c>
      <c r="CG1102" s="33">
        <v>2</v>
      </c>
      <c r="CH1102" s="33">
        <v>3</v>
      </c>
      <c r="CI1102" s="33">
        <v>2</v>
      </c>
      <c r="CJ1102" s="33">
        <v>3</v>
      </c>
      <c r="CK1102" s="33">
        <v>1</v>
      </c>
      <c r="CL1102" s="33">
        <v>1</v>
      </c>
      <c r="CM1102" s="33">
        <v>2</v>
      </c>
      <c r="CN1102" s="33">
        <v>5</v>
      </c>
      <c r="CO1102" s="33">
        <v>1</v>
      </c>
      <c r="CP1102" s="43">
        <v>0.31020475047225915</v>
      </c>
      <c r="CQ1102" s="33">
        <v>0</v>
      </c>
      <c r="CR1102" s="33">
        <v>0</v>
      </c>
    </row>
    <row r="1103" spans="1:96" ht="15" customHeight="1" x14ac:dyDescent="0.25">
      <c r="A1103" s="26">
        <v>1101</v>
      </c>
      <c r="B1103" s="27">
        <v>32</v>
      </c>
      <c r="C1103" s="27">
        <v>0</v>
      </c>
      <c r="D1103" s="27">
        <v>1</v>
      </c>
      <c r="E1103" s="27">
        <v>824</v>
      </c>
      <c r="F1103" s="27">
        <v>2</v>
      </c>
      <c r="G1103" s="27">
        <v>5</v>
      </c>
      <c r="H1103" s="27">
        <v>2</v>
      </c>
      <c r="I1103" s="27">
        <v>1</v>
      </c>
      <c r="J1103" s="27">
        <v>1</v>
      </c>
      <c r="K1103" s="27">
        <v>1555</v>
      </c>
      <c r="L1103" s="27">
        <v>4</v>
      </c>
      <c r="M1103" s="27">
        <v>0</v>
      </c>
      <c r="N1103" s="27">
        <v>67</v>
      </c>
      <c r="O1103" s="27">
        <v>2</v>
      </c>
      <c r="P1103" s="27">
        <v>2</v>
      </c>
      <c r="Q1103" s="27">
        <v>2</v>
      </c>
      <c r="R1103" s="27">
        <v>2</v>
      </c>
      <c r="S1103" s="27">
        <v>2</v>
      </c>
      <c r="T1103" s="27">
        <v>5878</v>
      </c>
      <c r="U1103" s="27">
        <v>15624</v>
      </c>
      <c r="V1103" s="27">
        <v>3</v>
      </c>
      <c r="W1103" s="27">
        <v>0</v>
      </c>
      <c r="X1103" s="27">
        <v>12</v>
      </c>
      <c r="Y1103" s="27">
        <v>3</v>
      </c>
      <c r="Z1103" s="27">
        <v>1</v>
      </c>
      <c r="AA1103" s="27">
        <v>80</v>
      </c>
      <c r="AB1103" s="27">
        <v>1</v>
      </c>
      <c r="AC1103" s="27">
        <v>12</v>
      </c>
      <c r="AD1103" s="27">
        <v>2</v>
      </c>
      <c r="AE1103" s="27">
        <v>3</v>
      </c>
      <c r="AF1103" s="27">
        <v>7</v>
      </c>
      <c r="AG1103" s="27">
        <v>1</v>
      </c>
      <c r="AH1103" s="27">
        <v>2</v>
      </c>
      <c r="AI1103" s="28">
        <v>5</v>
      </c>
      <c r="AK1103" s="36">
        <v>1070</v>
      </c>
      <c r="AL1103" s="33">
        <v>1</v>
      </c>
      <c r="AM1103" s="33">
        <v>1</v>
      </c>
      <c r="AN1103" s="33">
        <v>3</v>
      </c>
      <c r="AO1103" s="33">
        <v>1</v>
      </c>
      <c r="AP1103" s="33">
        <v>0</v>
      </c>
      <c r="AQ1103" s="33">
        <v>1</v>
      </c>
      <c r="AR1103" s="33">
        <v>1</v>
      </c>
      <c r="AS1103" s="33">
        <v>1</v>
      </c>
      <c r="AT1103" s="33">
        <v>0</v>
      </c>
      <c r="AU1103" s="43">
        <v>0.12567997455235624</v>
      </c>
      <c r="AV1103" s="33">
        <v>0</v>
      </c>
      <c r="AW1103" s="33">
        <v>0</v>
      </c>
      <c r="AY1103" s="36">
        <v>1075</v>
      </c>
      <c r="AZ1103" s="33">
        <v>2</v>
      </c>
      <c r="BA1103" s="33">
        <v>3</v>
      </c>
      <c r="BB1103" s="33">
        <v>1</v>
      </c>
      <c r="BC1103" s="33">
        <v>0</v>
      </c>
      <c r="BD1103" s="43">
        <v>0.36139389867144694</v>
      </c>
      <c r="BE1103" s="33">
        <v>0</v>
      </c>
      <c r="BF1103" s="33">
        <v>0</v>
      </c>
      <c r="CE1103" s="36">
        <v>1069</v>
      </c>
      <c r="CF1103" s="33">
        <v>2</v>
      </c>
      <c r="CG1103" s="33">
        <v>1</v>
      </c>
      <c r="CH1103" s="33">
        <v>1</v>
      </c>
      <c r="CI1103" s="33">
        <v>1</v>
      </c>
      <c r="CJ1103" s="33">
        <v>7</v>
      </c>
      <c r="CK1103" s="33">
        <v>0</v>
      </c>
      <c r="CL1103" s="33">
        <v>0</v>
      </c>
      <c r="CM1103" s="33">
        <v>2</v>
      </c>
      <c r="CN1103" s="33">
        <v>0</v>
      </c>
      <c r="CO1103" s="33">
        <v>0</v>
      </c>
      <c r="CP1103" s="43">
        <v>0.45325480055555206</v>
      </c>
      <c r="CQ1103" s="33">
        <v>0</v>
      </c>
      <c r="CR1103" s="33">
        <v>1</v>
      </c>
    </row>
    <row r="1104" spans="1:96" ht="15" customHeight="1" x14ac:dyDescent="0.25">
      <c r="A1104" s="26">
        <v>1102</v>
      </c>
      <c r="B1104" s="27">
        <v>36</v>
      </c>
      <c r="C1104" s="27">
        <v>0</v>
      </c>
      <c r="D1104" s="27">
        <v>1</v>
      </c>
      <c r="E1104" s="27">
        <v>1157</v>
      </c>
      <c r="F1104" s="27">
        <v>1</v>
      </c>
      <c r="G1104" s="27">
        <v>2</v>
      </c>
      <c r="H1104" s="27">
        <v>4</v>
      </c>
      <c r="I1104" s="27">
        <v>1</v>
      </c>
      <c r="J1104" s="27">
        <v>1</v>
      </c>
      <c r="K1104" s="27">
        <v>1556</v>
      </c>
      <c r="L1104" s="27">
        <v>3</v>
      </c>
      <c r="M1104" s="27">
        <v>1</v>
      </c>
      <c r="N1104" s="27">
        <v>70</v>
      </c>
      <c r="O1104" s="27">
        <v>3</v>
      </c>
      <c r="P1104" s="27">
        <v>1</v>
      </c>
      <c r="Q1104" s="27">
        <v>7</v>
      </c>
      <c r="R1104" s="27">
        <v>4</v>
      </c>
      <c r="S1104" s="27">
        <v>1</v>
      </c>
      <c r="T1104" s="27">
        <v>2644</v>
      </c>
      <c r="U1104" s="27">
        <v>17001</v>
      </c>
      <c r="V1104" s="27">
        <v>3</v>
      </c>
      <c r="W1104" s="27">
        <v>1</v>
      </c>
      <c r="X1104" s="27">
        <v>21</v>
      </c>
      <c r="Y1104" s="27">
        <v>4</v>
      </c>
      <c r="Z1104" s="27">
        <v>4</v>
      </c>
      <c r="AA1104" s="27">
        <v>80</v>
      </c>
      <c r="AB1104" s="27">
        <v>0</v>
      </c>
      <c r="AC1104" s="27">
        <v>7</v>
      </c>
      <c r="AD1104" s="27">
        <v>3</v>
      </c>
      <c r="AE1104" s="27">
        <v>2</v>
      </c>
      <c r="AF1104" s="27">
        <v>3</v>
      </c>
      <c r="AG1104" s="27">
        <v>2</v>
      </c>
      <c r="AH1104" s="27">
        <v>1</v>
      </c>
      <c r="AI1104" s="28">
        <v>2</v>
      </c>
      <c r="AK1104" s="36">
        <v>1071</v>
      </c>
      <c r="AL1104" s="33">
        <v>7</v>
      </c>
      <c r="AM1104" s="33">
        <v>2</v>
      </c>
      <c r="AN1104" s="33">
        <v>1</v>
      </c>
      <c r="AO1104" s="33">
        <v>0</v>
      </c>
      <c r="AP1104" s="33">
        <v>0</v>
      </c>
      <c r="AQ1104" s="33">
        <v>0</v>
      </c>
      <c r="AR1104" s="33">
        <v>3</v>
      </c>
      <c r="AS1104" s="33">
        <v>4</v>
      </c>
      <c r="AT1104" s="33">
        <v>1</v>
      </c>
      <c r="AU1104" s="43">
        <v>0.1430330326587434</v>
      </c>
      <c r="AV1104" s="33">
        <v>0</v>
      </c>
      <c r="AW1104" s="33">
        <v>0</v>
      </c>
      <c r="AY1104" s="36">
        <v>1076</v>
      </c>
      <c r="AZ1104" s="33">
        <v>3</v>
      </c>
      <c r="BA1104" s="33">
        <v>4</v>
      </c>
      <c r="BB1104" s="33">
        <v>0</v>
      </c>
      <c r="BC1104" s="33">
        <v>0</v>
      </c>
      <c r="BD1104" s="43">
        <v>5.3512841598087578E-2</v>
      </c>
      <c r="BE1104" s="33">
        <v>0</v>
      </c>
      <c r="BF1104" s="33">
        <v>0</v>
      </c>
      <c r="CE1104" s="36">
        <v>1070</v>
      </c>
      <c r="CF1104" s="33">
        <v>1</v>
      </c>
      <c r="CG1104" s="33">
        <v>1</v>
      </c>
      <c r="CH1104" s="33">
        <v>3</v>
      </c>
      <c r="CI1104" s="33">
        <v>3</v>
      </c>
      <c r="CJ1104" s="33">
        <v>1</v>
      </c>
      <c r="CK1104" s="33">
        <v>0</v>
      </c>
      <c r="CL1104" s="33">
        <v>1</v>
      </c>
      <c r="CM1104" s="33">
        <v>1</v>
      </c>
      <c r="CN1104" s="33">
        <v>1</v>
      </c>
      <c r="CO1104" s="33">
        <v>0</v>
      </c>
      <c r="CP1104" s="43">
        <v>7.5163696438835206E-2</v>
      </c>
      <c r="CQ1104" s="33">
        <v>0</v>
      </c>
      <c r="CR1104" s="33">
        <v>0</v>
      </c>
    </row>
    <row r="1105" spans="1:96" ht="15" customHeight="1" x14ac:dyDescent="0.25">
      <c r="A1105" s="26">
        <v>1103</v>
      </c>
      <c r="B1105" s="27">
        <v>48</v>
      </c>
      <c r="C1105" s="27">
        <v>0</v>
      </c>
      <c r="D1105" s="27">
        <v>1</v>
      </c>
      <c r="E1105" s="27">
        <v>492</v>
      </c>
      <c r="F1105" s="27">
        <v>1</v>
      </c>
      <c r="G1105" s="27">
        <v>16</v>
      </c>
      <c r="H1105" s="27">
        <v>4</v>
      </c>
      <c r="I1105" s="27">
        <v>1</v>
      </c>
      <c r="J1105" s="27">
        <v>1</v>
      </c>
      <c r="K1105" s="27">
        <v>1557</v>
      </c>
      <c r="L1105" s="27">
        <v>3</v>
      </c>
      <c r="M1105" s="27">
        <v>0</v>
      </c>
      <c r="N1105" s="27">
        <v>96</v>
      </c>
      <c r="O1105" s="27">
        <v>3</v>
      </c>
      <c r="P1105" s="27">
        <v>2</v>
      </c>
      <c r="Q1105" s="27">
        <v>1</v>
      </c>
      <c r="R1105" s="27">
        <v>3</v>
      </c>
      <c r="S1105" s="27">
        <v>3</v>
      </c>
      <c r="T1105" s="27">
        <v>6439</v>
      </c>
      <c r="U1105" s="27">
        <v>13693</v>
      </c>
      <c r="V1105" s="27">
        <v>8</v>
      </c>
      <c r="W1105" s="27">
        <v>0</v>
      </c>
      <c r="X1105" s="27">
        <v>14</v>
      </c>
      <c r="Y1105" s="27">
        <v>3</v>
      </c>
      <c r="Z1105" s="27">
        <v>3</v>
      </c>
      <c r="AA1105" s="27">
        <v>80</v>
      </c>
      <c r="AB1105" s="27">
        <v>1</v>
      </c>
      <c r="AC1105" s="27">
        <v>18</v>
      </c>
      <c r="AD1105" s="27">
        <v>2</v>
      </c>
      <c r="AE1105" s="27">
        <v>3</v>
      </c>
      <c r="AF1105" s="27">
        <v>8</v>
      </c>
      <c r="AG1105" s="27">
        <v>7</v>
      </c>
      <c r="AH1105" s="27">
        <v>7</v>
      </c>
      <c r="AI1105" s="28">
        <v>7</v>
      </c>
      <c r="AK1105" s="36">
        <v>1072</v>
      </c>
      <c r="AL1105" s="33">
        <v>3</v>
      </c>
      <c r="AM1105" s="33">
        <v>2</v>
      </c>
      <c r="AN1105" s="33">
        <v>1</v>
      </c>
      <c r="AO1105" s="33">
        <v>4</v>
      </c>
      <c r="AP1105" s="33">
        <v>0</v>
      </c>
      <c r="AQ1105" s="33">
        <v>1</v>
      </c>
      <c r="AR1105" s="33">
        <v>3</v>
      </c>
      <c r="AS1105" s="33">
        <v>3</v>
      </c>
      <c r="AT1105" s="33">
        <v>1</v>
      </c>
      <c r="AU1105" s="43">
        <v>0.11066768283359829</v>
      </c>
      <c r="AV1105" s="33">
        <v>0</v>
      </c>
      <c r="AW1105" s="33">
        <v>0</v>
      </c>
      <c r="AY1105" s="36">
        <v>1077</v>
      </c>
      <c r="AZ1105" s="33">
        <v>4</v>
      </c>
      <c r="BA1105" s="33">
        <v>4</v>
      </c>
      <c r="BB1105" s="33">
        <v>0</v>
      </c>
      <c r="BC1105" s="33">
        <v>1</v>
      </c>
      <c r="BD1105" s="43">
        <v>1.872698143618769E-2</v>
      </c>
      <c r="BE1105" s="33">
        <v>0</v>
      </c>
      <c r="BF1105" s="33">
        <v>0</v>
      </c>
      <c r="CE1105" s="36">
        <v>1071</v>
      </c>
      <c r="CF1105" s="33">
        <v>7</v>
      </c>
      <c r="CG1105" s="33">
        <v>2</v>
      </c>
      <c r="CH1105" s="33">
        <v>1</v>
      </c>
      <c r="CI1105" s="33">
        <v>1</v>
      </c>
      <c r="CJ1105" s="33">
        <v>0</v>
      </c>
      <c r="CK1105" s="33">
        <v>0</v>
      </c>
      <c r="CL1105" s="33">
        <v>0</v>
      </c>
      <c r="CM1105" s="33">
        <v>3</v>
      </c>
      <c r="CN1105" s="33">
        <v>4</v>
      </c>
      <c r="CO1105" s="33">
        <v>1</v>
      </c>
      <c r="CP1105" s="43">
        <v>0.17042135893756988</v>
      </c>
      <c r="CQ1105" s="33">
        <v>0</v>
      </c>
      <c r="CR1105" s="33">
        <v>0</v>
      </c>
    </row>
    <row r="1106" spans="1:96" ht="15" customHeight="1" x14ac:dyDescent="0.25">
      <c r="A1106" s="26">
        <v>1104</v>
      </c>
      <c r="B1106" s="27">
        <v>29</v>
      </c>
      <c r="C1106" s="27">
        <v>0</v>
      </c>
      <c r="D1106" s="27">
        <v>1</v>
      </c>
      <c r="E1106" s="27">
        <v>598</v>
      </c>
      <c r="F1106" s="27">
        <v>2</v>
      </c>
      <c r="G1106" s="27">
        <v>9</v>
      </c>
      <c r="H1106" s="27">
        <v>3</v>
      </c>
      <c r="I1106" s="27">
        <v>1</v>
      </c>
      <c r="J1106" s="27">
        <v>1</v>
      </c>
      <c r="K1106" s="27">
        <v>1558</v>
      </c>
      <c r="L1106" s="27">
        <v>3</v>
      </c>
      <c r="M1106" s="27">
        <v>1</v>
      </c>
      <c r="N1106" s="27">
        <v>91</v>
      </c>
      <c r="O1106" s="27">
        <v>4</v>
      </c>
      <c r="P1106" s="27">
        <v>1</v>
      </c>
      <c r="Q1106" s="27">
        <v>2</v>
      </c>
      <c r="R1106" s="27">
        <v>3</v>
      </c>
      <c r="S1106" s="27">
        <v>2</v>
      </c>
      <c r="T1106" s="27">
        <v>2451</v>
      </c>
      <c r="U1106" s="27">
        <v>22376</v>
      </c>
      <c r="V1106" s="27">
        <v>6</v>
      </c>
      <c r="W1106" s="27">
        <v>0</v>
      </c>
      <c r="X1106" s="27">
        <v>18</v>
      </c>
      <c r="Y1106" s="27">
        <v>3</v>
      </c>
      <c r="Z1106" s="27">
        <v>1</v>
      </c>
      <c r="AA1106" s="27">
        <v>80</v>
      </c>
      <c r="AB1106" s="27">
        <v>2</v>
      </c>
      <c r="AC1106" s="27">
        <v>5</v>
      </c>
      <c r="AD1106" s="27">
        <v>2</v>
      </c>
      <c r="AE1106" s="27">
        <v>2</v>
      </c>
      <c r="AF1106" s="27">
        <v>1</v>
      </c>
      <c r="AG1106" s="27">
        <v>0</v>
      </c>
      <c r="AH1106" s="27">
        <v>0</v>
      </c>
      <c r="AI1106" s="28">
        <v>0</v>
      </c>
      <c r="AK1106" s="36">
        <v>1073</v>
      </c>
      <c r="AL1106" s="33">
        <v>2</v>
      </c>
      <c r="AM1106" s="33">
        <v>1</v>
      </c>
      <c r="AN1106" s="33">
        <v>2</v>
      </c>
      <c r="AO1106" s="33">
        <v>0</v>
      </c>
      <c r="AP1106" s="33">
        <v>0</v>
      </c>
      <c r="AQ1106" s="33">
        <v>3</v>
      </c>
      <c r="AR1106" s="33">
        <v>3</v>
      </c>
      <c r="AS1106" s="33">
        <v>3</v>
      </c>
      <c r="AT1106" s="33">
        <v>0</v>
      </c>
      <c r="AU1106" s="43">
        <v>3.1021482197116305E-2</v>
      </c>
      <c r="AV1106" s="33">
        <v>0</v>
      </c>
      <c r="AW1106" s="33">
        <v>0</v>
      </c>
      <c r="AY1106" s="36">
        <v>1078</v>
      </c>
      <c r="AZ1106" s="33">
        <v>1</v>
      </c>
      <c r="BA1106" s="33">
        <v>1</v>
      </c>
      <c r="BB1106" s="33">
        <v>0</v>
      </c>
      <c r="BC1106" s="33">
        <v>0</v>
      </c>
      <c r="BD1106" s="43">
        <v>0.29341085656570393</v>
      </c>
      <c r="BE1106" s="33">
        <v>0</v>
      </c>
      <c r="BF1106" s="33">
        <v>1</v>
      </c>
      <c r="CE1106" s="36">
        <v>1072</v>
      </c>
      <c r="CF1106" s="33">
        <v>3</v>
      </c>
      <c r="CG1106" s="33">
        <v>2</v>
      </c>
      <c r="CH1106" s="33">
        <v>1</v>
      </c>
      <c r="CI1106" s="33">
        <v>2</v>
      </c>
      <c r="CJ1106" s="33">
        <v>4</v>
      </c>
      <c r="CK1106" s="33">
        <v>0</v>
      </c>
      <c r="CL1106" s="33">
        <v>1</v>
      </c>
      <c r="CM1106" s="33">
        <v>3</v>
      </c>
      <c r="CN1106" s="33">
        <v>3</v>
      </c>
      <c r="CO1106" s="33">
        <v>1</v>
      </c>
      <c r="CP1106" s="43">
        <v>0.11119163561955507</v>
      </c>
      <c r="CQ1106" s="33">
        <v>0</v>
      </c>
      <c r="CR1106" s="33">
        <v>0</v>
      </c>
    </row>
    <row r="1107" spans="1:96" ht="15" customHeight="1" x14ac:dyDescent="0.25">
      <c r="A1107" s="26">
        <v>1105</v>
      </c>
      <c r="B1107" s="27">
        <v>33</v>
      </c>
      <c r="C1107" s="27">
        <v>0</v>
      </c>
      <c r="D1107" s="27">
        <v>1</v>
      </c>
      <c r="E1107" s="27">
        <v>1242</v>
      </c>
      <c r="F1107" s="27">
        <v>1</v>
      </c>
      <c r="G1107" s="27">
        <v>8</v>
      </c>
      <c r="H1107" s="27">
        <v>4</v>
      </c>
      <c r="I1107" s="27">
        <v>1</v>
      </c>
      <c r="J1107" s="27">
        <v>1</v>
      </c>
      <c r="K1107" s="27">
        <v>1560</v>
      </c>
      <c r="L1107" s="27">
        <v>1</v>
      </c>
      <c r="M1107" s="27">
        <v>1</v>
      </c>
      <c r="N1107" s="27">
        <v>46</v>
      </c>
      <c r="O1107" s="27">
        <v>3</v>
      </c>
      <c r="P1107" s="27">
        <v>2</v>
      </c>
      <c r="Q1107" s="27">
        <v>1</v>
      </c>
      <c r="R1107" s="27">
        <v>1</v>
      </c>
      <c r="S1107" s="27">
        <v>2</v>
      </c>
      <c r="T1107" s="27">
        <v>6392</v>
      </c>
      <c r="U1107" s="27">
        <v>10589</v>
      </c>
      <c r="V1107" s="27">
        <v>2</v>
      </c>
      <c r="W1107" s="27">
        <v>0</v>
      </c>
      <c r="X1107" s="27">
        <v>13</v>
      </c>
      <c r="Y1107" s="27">
        <v>3</v>
      </c>
      <c r="Z1107" s="27">
        <v>4</v>
      </c>
      <c r="AA1107" s="27">
        <v>80</v>
      </c>
      <c r="AB1107" s="27">
        <v>1</v>
      </c>
      <c r="AC1107" s="27">
        <v>8</v>
      </c>
      <c r="AD1107" s="27">
        <v>6</v>
      </c>
      <c r="AE1107" s="27">
        <v>1</v>
      </c>
      <c r="AF1107" s="27">
        <v>2</v>
      </c>
      <c r="AG1107" s="27">
        <v>2</v>
      </c>
      <c r="AH1107" s="27">
        <v>2</v>
      </c>
      <c r="AI1107" s="28">
        <v>2</v>
      </c>
      <c r="AK1107" s="36">
        <v>1074</v>
      </c>
      <c r="AL1107" s="33">
        <v>29</v>
      </c>
      <c r="AM1107" s="33">
        <v>2</v>
      </c>
      <c r="AN1107" s="33">
        <v>2</v>
      </c>
      <c r="AO1107" s="33">
        <v>1</v>
      </c>
      <c r="AP1107" s="33">
        <v>0</v>
      </c>
      <c r="AQ1107" s="33">
        <v>2</v>
      </c>
      <c r="AR1107" s="33">
        <v>2</v>
      </c>
      <c r="AS1107" s="33">
        <v>8</v>
      </c>
      <c r="AT1107" s="33">
        <v>1</v>
      </c>
      <c r="AU1107" s="43">
        <v>7.9548497233098925E-2</v>
      </c>
      <c r="AV1107" s="33">
        <v>0</v>
      </c>
      <c r="AW1107" s="33">
        <v>0</v>
      </c>
      <c r="AY1107" s="36">
        <v>1079</v>
      </c>
      <c r="AZ1107" s="33">
        <v>4</v>
      </c>
      <c r="BA1107" s="33">
        <v>1</v>
      </c>
      <c r="BB1107" s="33">
        <v>0</v>
      </c>
      <c r="BC1107" s="33">
        <v>1</v>
      </c>
      <c r="BD1107" s="43">
        <v>4.3866321508597754E-2</v>
      </c>
      <c r="BE1107" s="33">
        <v>0</v>
      </c>
      <c r="BF1107" s="33">
        <v>0</v>
      </c>
      <c r="CE1107" s="36">
        <v>1073</v>
      </c>
      <c r="CF1107" s="33">
        <v>2</v>
      </c>
      <c r="CG1107" s="33">
        <v>1</v>
      </c>
      <c r="CH1107" s="33">
        <v>2</v>
      </c>
      <c r="CI1107" s="33">
        <v>2</v>
      </c>
      <c r="CJ1107" s="33">
        <v>0</v>
      </c>
      <c r="CK1107" s="33">
        <v>0</v>
      </c>
      <c r="CL1107" s="33">
        <v>3</v>
      </c>
      <c r="CM1107" s="33">
        <v>3</v>
      </c>
      <c r="CN1107" s="33">
        <v>3</v>
      </c>
      <c r="CO1107" s="33">
        <v>0</v>
      </c>
      <c r="CP1107" s="43">
        <v>5.8041414477013414E-2</v>
      </c>
      <c r="CQ1107" s="33">
        <v>0</v>
      </c>
      <c r="CR1107" s="33">
        <v>0</v>
      </c>
    </row>
    <row r="1108" spans="1:96" ht="15" customHeight="1" x14ac:dyDescent="0.25">
      <c r="A1108" s="26">
        <v>1106</v>
      </c>
      <c r="B1108" s="27">
        <v>30</v>
      </c>
      <c r="C1108" s="27">
        <v>1</v>
      </c>
      <c r="D1108" s="27">
        <v>1</v>
      </c>
      <c r="E1108" s="27">
        <v>740</v>
      </c>
      <c r="F1108" s="27">
        <v>1</v>
      </c>
      <c r="G1108" s="27">
        <v>1</v>
      </c>
      <c r="H1108" s="27">
        <v>3</v>
      </c>
      <c r="I1108" s="27">
        <v>1</v>
      </c>
      <c r="J1108" s="27">
        <v>1</v>
      </c>
      <c r="K1108" s="27">
        <v>1562</v>
      </c>
      <c r="L1108" s="27">
        <v>2</v>
      </c>
      <c r="M1108" s="27">
        <v>1</v>
      </c>
      <c r="N1108" s="27">
        <v>64</v>
      </c>
      <c r="O1108" s="27">
        <v>2</v>
      </c>
      <c r="P1108" s="27">
        <v>2</v>
      </c>
      <c r="Q1108" s="27">
        <v>1</v>
      </c>
      <c r="R1108" s="27">
        <v>1</v>
      </c>
      <c r="S1108" s="27">
        <v>2</v>
      </c>
      <c r="T1108" s="27">
        <v>9714</v>
      </c>
      <c r="U1108" s="27">
        <v>5323</v>
      </c>
      <c r="V1108" s="27">
        <v>1</v>
      </c>
      <c r="W1108" s="27">
        <v>0</v>
      </c>
      <c r="X1108" s="27">
        <v>11</v>
      </c>
      <c r="Y1108" s="27">
        <v>3</v>
      </c>
      <c r="Z1108" s="27">
        <v>4</v>
      </c>
      <c r="AA1108" s="27">
        <v>80</v>
      </c>
      <c r="AB1108" s="27">
        <v>1</v>
      </c>
      <c r="AC1108" s="27">
        <v>10</v>
      </c>
      <c r="AD1108" s="27">
        <v>4</v>
      </c>
      <c r="AE1108" s="27">
        <v>3</v>
      </c>
      <c r="AF1108" s="27">
        <v>10</v>
      </c>
      <c r="AG1108" s="27">
        <v>8</v>
      </c>
      <c r="AH1108" s="27">
        <v>6</v>
      </c>
      <c r="AI1108" s="28">
        <v>7</v>
      </c>
      <c r="AK1108" s="36">
        <v>1075</v>
      </c>
      <c r="AL1108" s="33">
        <v>8</v>
      </c>
      <c r="AM1108" s="33">
        <v>2</v>
      </c>
      <c r="AN1108" s="33">
        <v>3</v>
      </c>
      <c r="AO1108" s="33">
        <v>2</v>
      </c>
      <c r="AP1108" s="33">
        <v>1</v>
      </c>
      <c r="AQ1108" s="33">
        <v>0</v>
      </c>
      <c r="AR1108" s="33">
        <v>3</v>
      </c>
      <c r="AS1108" s="33">
        <v>0</v>
      </c>
      <c r="AT1108" s="33">
        <v>0</v>
      </c>
      <c r="AU1108" s="43">
        <v>0.37228895818957336</v>
      </c>
      <c r="AV1108" s="33">
        <v>0</v>
      </c>
      <c r="AW1108" s="33">
        <v>0</v>
      </c>
      <c r="AY1108" s="36">
        <v>1080</v>
      </c>
      <c r="AZ1108" s="33">
        <v>3</v>
      </c>
      <c r="BA1108" s="33">
        <v>2</v>
      </c>
      <c r="BB1108" s="33">
        <v>0</v>
      </c>
      <c r="BC1108" s="33">
        <v>0</v>
      </c>
      <c r="BD1108" s="43">
        <v>9.2115043168566224E-2</v>
      </c>
      <c r="BE1108" s="33">
        <v>0</v>
      </c>
      <c r="BF1108" s="33">
        <v>0</v>
      </c>
      <c r="CE1108" s="36">
        <v>1074</v>
      </c>
      <c r="CF1108" s="33">
        <v>29</v>
      </c>
      <c r="CG1108" s="33">
        <v>2</v>
      </c>
      <c r="CH1108" s="33">
        <v>2</v>
      </c>
      <c r="CI1108" s="33">
        <v>2</v>
      </c>
      <c r="CJ1108" s="33">
        <v>1</v>
      </c>
      <c r="CK1108" s="33">
        <v>0</v>
      </c>
      <c r="CL1108" s="33">
        <v>2</v>
      </c>
      <c r="CM1108" s="33">
        <v>2</v>
      </c>
      <c r="CN1108" s="33">
        <v>8</v>
      </c>
      <c r="CO1108" s="33">
        <v>1</v>
      </c>
      <c r="CP1108" s="43">
        <v>0.10749147042568831</v>
      </c>
      <c r="CQ1108" s="33">
        <v>0</v>
      </c>
      <c r="CR1108" s="33">
        <v>0</v>
      </c>
    </row>
    <row r="1109" spans="1:96" ht="15" customHeight="1" x14ac:dyDescent="0.25">
      <c r="A1109" s="26">
        <v>1107</v>
      </c>
      <c r="B1109" s="27">
        <v>38</v>
      </c>
      <c r="C1109" s="27">
        <v>0</v>
      </c>
      <c r="D1109" s="27">
        <v>2</v>
      </c>
      <c r="E1109" s="27">
        <v>888</v>
      </c>
      <c r="F1109" s="27">
        <v>3</v>
      </c>
      <c r="G1109" s="27">
        <v>10</v>
      </c>
      <c r="H1109" s="27">
        <v>4</v>
      </c>
      <c r="I1109" s="27">
        <v>2</v>
      </c>
      <c r="J1109" s="27">
        <v>1</v>
      </c>
      <c r="K1109" s="27">
        <v>1563</v>
      </c>
      <c r="L1109" s="27">
        <v>3</v>
      </c>
      <c r="M1109" s="27">
        <v>1</v>
      </c>
      <c r="N1109" s="27">
        <v>71</v>
      </c>
      <c r="O1109" s="27">
        <v>3</v>
      </c>
      <c r="P1109" s="27">
        <v>2</v>
      </c>
      <c r="Q1109" s="27">
        <v>9</v>
      </c>
      <c r="R1109" s="27">
        <v>3</v>
      </c>
      <c r="S1109" s="27">
        <v>2</v>
      </c>
      <c r="T1109" s="27">
        <v>6077</v>
      </c>
      <c r="U1109" s="27">
        <v>14814</v>
      </c>
      <c r="V1109" s="27">
        <v>3</v>
      </c>
      <c r="W1109" s="27">
        <v>0</v>
      </c>
      <c r="X1109" s="27">
        <v>11</v>
      </c>
      <c r="Y1109" s="27">
        <v>3</v>
      </c>
      <c r="Z1109" s="27">
        <v>3</v>
      </c>
      <c r="AA1109" s="27">
        <v>80</v>
      </c>
      <c r="AB1109" s="27">
        <v>0</v>
      </c>
      <c r="AC1109" s="27">
        <v>10</v>
      </c>
      <c r="AD1109" s="27">
        <v>2</v>
      </c>
      <c r="AE1109" s="27">
        <v>3</v>
      </c>
      <c r="AF1109" s="27">
        <v>6</v>
      </c>
      <c r="AG1109" s="27">
        <v>3</v>
      </c>
      <c r="AH1109" s="27">
        <v>1</v>
      </c>
      <c r="AI1109" s="28">
        <v>2</v>
      </c>
      <c r="AK1109" s="36">
        <v>1076</v>
      </c>
      <c r="AL1109" s="33">
        <v>10</v>
      </c>
      <c r="AM1109" s="33">
        <v>3</v>
      </c>
      <c r="AN1109" s="33">
        <v>4</v>
      </c>
      <c r="AO1109" s="33">
        <v>2</v>
      </c>
      <c r="AP1109" s="33">
        <v>0</v>
      </c>
      <c r="AQ1109" s="33">
        <v>0</v>
      </c>
      <c r="AR1109" s="33">
        <v>4</v>
      </c>
      <c r="AS1109" s="33">
        <v>5</v>
      </c>
      <c r="AT1109" s="33">
        <v>0</v>
      </c>
      <c r="AU1109" s="43">
        <v>3.3339846961571482E-2</v>
      </c>
      <c r="AV1109" s="33">
        <v>0</v>
      </c>
      <c r="AW1109" s="33">
        <v>0</v>
      </c>
      <c r="AY1109" s="36">
        <v>1081</v>
      </c>
      <c r="AZ1109" s="33">
        <v>4</v>
      </c>
      <c r="BA1109" s="33">
        <v>2</v>
      </c>
      <c r="BB1109" s="33">
        <v>0</v>
      </c>
      <c r="BC1109" s="33">
        <v>1</v>
      </c>
      <c r="BD1109" s="43">
        <v>3.3113852747679105E-2</v>
      </c>
      <c r="BE1109" s="33">
        <v>0</v>
      </c>
      <c r="BF1109" s="33">
        <v>0</v>
      </c>
      <c r="CE1109" s="36">
        <v>1075</v>
      </c>
      <c r="CF1109" s="33">
        <v>8</v>
      </c>
      <c r="CG1109" s="33">
        <v>2</v>
      </c>
      <c r="CH1109" s="33">
        <v>3</v>
      </c>
      <c r="CI1109" s="33">
        <v>1</v>
      </c>
      <c r="CJ1109" s="33">
        <v>2</v>
      </c>
      <c r="CK1109" s="33">
        <v>1</v>
      </c>
      <c r="CL1109" s="33">
        <v>0</v>
      </c>
      <c r="CM1109" s="33">
        <v>3</v>
      </c>
      <c r="CN1109" s="33">
        <v>0</v>
      </c>
      <c r="CO1109" s="33">
        <v>0</v>
      </c>
      <c r="CP1109" s="43">
        <v>0.42328932885630433</v>
      </c>
      <c r="CQ1109" s="33">
        <v>0</v>
      </c>
      <c r="CR1109" s="33">
        <v>0</v>
      </c>
    </row>
    <row r="1110" spans="1:96" ht="15" customHeight="1" x14ac:dyDescent="0.25">
      <c r="A1110" s="26">
        <v>1108</v>
      </c>
      <c r="B1110" s="27">
        <v>35</v>
      </c>
      <c r="C1110" s="27">
        <v>0</v>
      </c>
      <c r="D1110" s="27">
        <v>1</v>
      </c>
      <c r="E1110" s="27">
        <v>992</v>
      </c>
      <c r="F1110" s="27">
        <v>2</v>
      </c>
      <c r="G1110" s="27">
        <v>1</v>
      </c>
      <c r="H1110" s="27">
        <v>3</v>
      </c>
      <c r="I1110" s="27">
        <v>3</v>
      </c>
      <c r="J1110" s="27">
        <v>1</v>
      </c>
      <c r="K1110" s="27">
        <v>1564</v>
      </c>
      <c r="L1110" s="27">
        <v>4</v>
      </c>
      <c r="M1110" s="27">
        <v>1</v>
      </c>
      <c r="N1110" s="27">
        <v>68</v>
      </c>
      <c r="O1110" s="27">
        <v>2</v>
      </c>
      <c r="P1110" s="27">
        <v>1</v>
      </c>
      <c r="Q1110" s="27">
        <v>3</v>
      </c>
      <c r="R1110" s="27">
        <v>1</v>
      </c>
      <c r="S1110" s="27">
        <v>1</v>
      </c>
      <c r="T1110" s="27">
        <v>2450</v>
      </c>
      <c r="U1110" s="27">
        <v>21731</v>
      </c>
      <c r="V1110" s="27">
        <v>1</v>
      </c>
      <c r="W1110" s="27">
        <v>0</v>
      </c>
      <c r="X1110" s="27">
        <v>19</v>
      </c>
      <c r="Y1110" s="27">
        <v>3</v>
      </c>
      <c r="Z1110" s="27">
        <v>2</v>
      </c>
      <c r="AA1110" s="27">
        <v>80</v>
      </c>
      <c r="AB1110" s="27">
        <v>0</v>
      </c>
      <c r="AC1110" s="27">
        <v>3</v>
      </c>
      <c r="AD1110" s="27">
        <v>3</v>
      </c>
      <c r="AE1110" s="27">
        <v>3</v>
      </c>
      <c r="AF1110" s="27">
        <v>3</v>
      </c>
      <c r="AG1110" s="27">
        <v>0</v>
      </c>
      <c r="AH1110" s="27">
        <v>1</v>
      </c>
      <c r="AI1110" s="28">
        <v>2</v>
      </c>
      <c r="AK1110" s="36">
        <v>1077</v>
      </c>
      <c r="AL1110" s="33">
        <v>11</v>
      </c>
      <c r="AM1110" s="33">
        <v>4</v>
      </c>
      <c r="AN1110" s="33">
        <v>4</v>
      </c>
      <c r="AO1110" s="33">
        <v>3</v>
      </c>
      <c r="AP1110" s="33">
        <v>0</v>
      </c>
      <c r="AQ1110" s="33">
        <v>1</v>
      </c>
      <c r="AR1110" s="33">
        <v>3</v>
      </c>
      <c r="AS1110" s="33">
        <v>14</v>
      </c>
      <c r="AT1110" s="33">
        <v>1</v>
      </c>
      <c r="AU1110" s="43">
        <v>9.2738645004641074E-3</v>
      </c>
      <c r="AV1110" s="33">
        <v>0</v>
      </c>
      <c r="AW1110" s="33">
        <v>0</v>
      </c>
      <c r="AY1110" s="36">
        <v>1082</v>
      </c>
      <c r="AZ1110" s="33">
        <v>3</v>
      </c>
      <c r="BA1110" s="33">
        <v>2</v>
      </c>
      <c r="BB1110" s="33">
        <v>0</v>
      </c>
      <c r="BC1110" s="33">
        <v>0</v>
      </c>
      <c r="BD1110" s="43">
        <v>9.2115043168566224E-2</v>
      </c>
      <c r="BE1110" s="33">
        <v>0</v>
      </c>
      <c r="BF1110" s="33">
        <v>0</v>
      </c>
      <c r="CE1110" s="36">
        <v>1076</v>
      </c>
      <c r="CF1110" s="33">
        <v>10</v>
      </c>
      <c r="CG1110" s="33">
        <v>3</v>
      </c>
      <c r="CH1110" s="33">
        <v>4</v>
      </c>
      <c r="CI1110" s="33">
        <v>1</v>
      </c>
      <c r="CJ1110" s="33">
        <v>2</v>
      </c>
      <c r="CK1110" s="33">
        <v>0</v>
      </c>
      <c r="CL1110" s="33">
        <v>0</v>
      </c>
      <c r="CM1110" s="33">
        <v>4</v>
      </c>
      <c r="CN1110" s="33">
        <v>5</v>
      </c>
      <c r="CO1110" s="33">
        <v>0</v>
      </c>
      <c r="CP1110" s="43">
        <v>3.8393244531941942E-2</v>
      </c>
      <c r="CQ1110" s="33">
        <v>0</v>
      </c>
      <c r="CR1110" s="33">
        <v>0</v>
      </c>
    </row>
    <row r="1111" spans="1:96" ht="15" customHeight="1" x14ac:dyDescent="0.25">
      <c r="A1111" s="26">
        <v>1109</v>
      </c>
      <c r="B1111" s="27">
        <v>30</v>
      </c>
      <c r="C1111" s="27">
        <v>0</v>
      </c>
      <c r="D1111" s="27">
        <v>1</v>
      </c>
      <c r="E1111" s="27">
        <v>1288</v>
      </c>
      <c r="F1111" s="27">
        <v>1</v>
      </c>
      <c r="G1111" s="27">
        <v>29</v>
      </c>
      <c r="H1111" s="27">
        <v>4</v>
      </c>
      <c r="I1111" s="27">
        <v>5</v>
      </c>
      <c r="J1111" s="27">
        <v>1</v>
      </c>
      <c r="K1111" s="27">
        <v>1568</v>
      </c>
      <c r="L1111" s="27">
        <v>3</v>
      </c>
      <c r="M1111" s="27">
        <v>1</v>
      </c>
      <c r="N1111" s="27">
        <v>33</v>
      </c>
      <c r="O1111" s="27">
        <v>3</v>
      </c>
      <c r="P1111" s="27">
        <v>3</v>
      </c>
      <c r="Q1111" s="27">
        <v>1</v>
      </c>
      <c r="R1111" s="27">
        <v>2</v>
      </c>
      <c r="S1111" s="27">
        <v>2</v>
      </c>
      <c r="T1111" s="27">
        <v>9250</v>
      </c>
      <c r="U1111" s="27">
        <v>17799</v>
      </c>
      <c r="V1111" s="27">
        <v>3</v>
      </c>
      <c r="W1111" s="27">
        <v>0</v>
      </c>
      <c r="X1111" s="27">
        <v>12</v>
      </c>
      <c r="Y1111" s="27">
        <v>3</v>
      </c>
      <c r="Z1111" s="27">
        <v>2</v>
      </c>
      <c r="AA1111" s="27">
        <v>80</v>
      </c>
      <c r="AB1111" s="27">
        <v>1</v>
      </c>
      <c r="AC1111" s="27">
        <v>9</v>
      </c>
      <c r="AD1111" s="27">
        <v>3</v>
      </c>
      <c r="AE1111" s="27">
        <v>3</v>
      </c>
      <c r="AF1111" s="27">
        <v>4</v>
      </c>
      <c r="AG1111" s="27">
        <v>2</v>
      </c>
      <c r="AH1111" s="27">
        <v>1</v>
      </c>
      <c r="AI1111" s="28">
        <v>3</v>
      </c>
      <c r="AK1111" s="36">
        <v>1078</v>
      </c>
      <c r="AL1111" s="33">
        <v>1</v>
      </c>
      <c r="AM1111" s="33">
        <v>1</v>
      </c>
      <c r="AN1111" s="33">
        <v>1</v>
      </c>
      <c r="AO1111" s="33">
        <v>6</v>
      </c>
      <c r="AP1111" s="33">
        <v>0</v>
      </c>
      <c r="AQ1111" s="33">
        <v>0</v>
      </c>
      <c r="AR1111" s="33">
        <v>1</v>
      </c>
      <c r="AS1111" s="33">
        <v>9</v>
      </c>
      <c r="AT1111" s="33">
        <v>0</v>
      </c>
      <c r="AU1111" s="43">
        <v>0.27980241751341484</v>
      </c>
      <c r="AV1111" s="33">
        <v>0</v>
      </c>
      <c r="AW1111" s="33">
        <v>1</v>
      </c>
      <c r="AY1111" s="36">
        <v>1083</v>
      </c>
      <c r="AZ1111" s="33">
        <v>2</v>
      </c>
      <c r="BA1111" s="33">
        <v>3</v>
      </c>
      <c r="BB1111" s="33">
        <v>0</v>
      </c>
      <c r="BC1111" s="33">
        <v>0</v>
      </c>
      <c r="BD1111" s="43">
        <v>0.11690772887050198</v>
      </c>
      <c r="BE1111" s="33">
        <v>0</v>
      </c>
      <c r="BF1111" s="33">
        <v>0</v>
      </c>
      <c r="CE1111" s="36">
        <v>1077</v>
      </c>
      <c r="CF1111" s="33">
        <v>11</v>
      </c>
      <c r="CG1111" s="33">
        <v>4</v>
      </c>
      <c r="CH1111" s="33">
        <v>4</v>
      </c>
      <c r="CI1111" s="33">
        <v>3</v>
      </c>
      <c r="CJ1111" s="33">
        <v>3</v>
      </c>
      <c r="CK1111" s="33">
        <v>0</v>
      </c>
      <c r="CL1111" s="33">
        <v>1</v>
      </c>
      <c r="CM1111" s="33">
        <v>3</v>
      </c>
      <c r="CN1111" s="33">
        <v>14</v>
      </c>
      <c r="CO1111" s="33">
        <v>1</v>
      </c>
      <c r="CP1111" s="43">
        <v>5.1575482082560067E-3</v>
      </c>
      <c r="CQ1111" s="33">
        <v>0</v>
      </c>
      <c r="CR1111" s="33">
        <v>0</v>
      </c>
    </row>
    <row r="1112" spans="1:96" ht="15" customHeight="1" x14ac:dyDescent="0.25">
      <c r="A1112" s="26">
        <v>1110</v>
      </c>
      <c r="B1112" s="27">
        <v>35</v>
      </c>
      <c r="C1112" s="27">
        <v>1</v>
      </c>
      <c r="D1112" s="27">
        <v>1</v>
      </c>
      <c r="E1112" s="27">
        <v>104</v>
      </c>
      <c r="F1112" s="27">
        <v>2</v>
      </c>
      <c r="G1112" s="27">
        <v>2</v>
      </c>
      <c r="H1112" s="27">
        <v>3</v>
      </c>
      <c r="I1112" s="27">
        <v>1</v>
      </c>
      <c r="J1112" s="27">
        <v>1</v>
      </c>
      <c r="K1112" s="27">
        <v>1569</v>
      </c>
      <c r="L1112" s="27">
        <v>1</v>
      </c>
      <c r="M1112" s="27">
        <v>0</v>
      </c>
      <c r="N1112" s="27">
        <v>69</v>
      </c>
      <c r="O1112" s="27">
        <v>3</v>
      </c>
      <c r="P1112" s="27">
        <v>1</v>
      </c>
      <c r="Q1112" s="27">
        <v>3</v>
      </c>
      <c r="R1112" s="27">
        <v>1</v>
      </c>
      <c r="S1112" s="27">
        <v>3</v>
      </c>
      <c r="T1112" s="27">
        <v>2074</v>
      </c>
      <c r="U1112" s="27">
        <v>26619</v>
      </c>
      <c r="V1112" s="27">
        <v>1</v>
      </c>
      <c r="W1112" s="27">
        <v>1</v>
      </c>
      <c r="X1112" s="27">
        <v>12</v>
      </c>
      <c r="Y1112" s="27">
        <v>3</v>
      </c>
      <c r="Z1112" s="27">
        <v>4</v>
      </c>
      <c r="AA1112" s="27">
        <v>80</v>
      </c>
      <c r="AB1112" s="27">
        <v>1</v>
      </c>
      <c r="AC1112" s="27">
        <v>1</v>
      </c>
      <c r="AD1112" s="27">
        <v>2</v>
      </c>
      <c r="AE1112" s="27">
        <v>3</v>
      </c>
      <c r="AF1112" s="27">
        <v>1</v>
      </c>
      <c r="AG1112" s="27">
        <v>0</v>
      </c>
      <c r="AH1112" s="27">
        <v>0</v>
      </c>
      <c r="AI1112" s="28">
        <v>0</v>
      </c>
      <c r="AK1112" s="36">
        <v>1079</v>
      </c>
      <c r="AL1112" s="33">
        <v>28</v>
      </c>
      <c r="AM1112" s="33">
        <v>4</v>
      </c>
      <c r="AN1112" s="33">
        <v>1</v>
      </c>
      <c r="AO1112" s="33">
        <v>3</v>
      </c>
      <c r="AP1112" s="33">
        <v>0</v>
      </c>
      <c r="AQ1112" s="33">
        <v>1</v>
      </c>
      <c r="AR1112" s="33">
        <v>4</v>
      </c>
      <c r="AS1112" s="33">
        <v>20</v>
      </c>
      <c r="AT1112" s="33">
        <v>14</v>
      </c>
      <c r="AU1112" s="43">
        <v>8.2038351333162896E-2</v>
      </c>
      <c r="AV1112" s="33">
        <v>0</v>
      </c>
      <c r="AW1112" s="33">
        <v>0</v>
      </c>
      <c r="AY1112" s="36">
        <v>1084</v>
      </c>
      <c r="AZ1112" s="33">
        <v>1</v>
      </c>
      <c r="BA1112" s="33">
        <v>1</v>
      </c>
      <c r="BB1112" s="33">
        <v>0</v>
      </c>
      <c r="BC1112" s="33">
        <v>0</v>
      </c>
      <c r="BD1112" s="43">
        <v>0.29341085656570393</v>
      </c>
      <c r="BE1112" s="33">
        <v>0</v>
      </c>
      <c r="BF1112" s="33">
        <v>1</v>
      </c>
      <c r="CE1112" s="36">
        <v>1078</v>
      </c>
      <c r="CF1112" s="33">
        <v>1</v>
      </c>
      <c r="CG1112" s="33">
        <v>1</v>
      </c>
      <c r="CH1112" s="33">
        <v>1</v>
      </c>
      <c r="CI1112" s="33">
        <v>1</v>
      </c>
      <c r="CJ1112" s="33">
        <v>6</v>
      </c>
      <c r="CK1112" s="33">
        <v>0</v>
      </c>
      <c r="CL1112" s="33">
        <v>0</v>
      </c>
      <c r="CM1112" s="33">
        <v>1</v>
      </c>
      <c r="CN1112" s="33">
        <v>9</v>
      </c>
      <c r="CO1112" s="33">
        <v>0</v>
      </c>
      <c r="CP1112" s="43">
        <v>0.32933557249439721</v>
      </c>
      <c r="CQ1112" s="33">
        <v>0</v>
      </c>
      <c r="CR1112" s="33">
        <v>1</v>
      </c>
    </row>
    <row r="1113" spans="1:96" ht="15" customHeight="1" x14ac:dyDescent="0.25">
      <c r="A1113" s="26">
        <v>1111</v>
      </c>
      <c r="B1113" s="27">
        <v>53</v>
      </c>
      <c r="C1113" s="27">
        <v>1</v>
      </c>
      <c r="D1113" s="27">
        <v>1</v>
      </c>
      <c r="E1113" s="27">
        <v>607</v>
      </c>
      <c r="F1113" s="27">
        <v>2</v>
      </c>
      <c r="G1113" s="27">
        <v>2</v>
      </c>
      <c r="H1113" s="27">
        <v>5</v>
      </c>
      <c r="I1113" s="27">
        <v>5</v>
      </c>
      <c r="J1113" s="27">
        <v>1</v>
      </c>
      <c r="K1113" s="27">
        <v>1572</v>
      </c>
      <c r="L1113" s="27">
        <v>3</v>
      </c>
      <c r="M1113" s="27">
        <v>0</v>
      </c>
      <c r="N1113" s="27">
        <v>78</v>
      </c>
      <c r="O1113" s="27">
        <v>2</v>
      </c>
      <c r="P1113" s="27">
        <v>3</v>
      </c>
      <c r="Q1113" s="27">
        <v>4</v>
      </c>
      <c r="R1113" s="27">
        <v>4</v>
      </c>
      <c r="S1113" s="27">
        <v>2</v>
      </c>
      <c r="T1113" s="27">
        <v>10169</v>
      </c>
      <c r="U1113" s="27">
        <v>14618</v>
      </c>
      <c r="V1113" s="27">
        <v>0</v>
      </c>
      <c r="W1113" s="27">
        <v>0</v>
      </c>
      <c r="X1113" s="27">
        <v>16</v>
      </c>
      <c r="Y1113" s="27">
        <v>3</v>
      </c>
      <c r="Z1113" s="27">
        <v>2</v>
      </c>
      <c r="AA1113" s="27">
        <v>80</v>
      </c>
      <c r="AB1113" s="27">
        <v>1</v>
      </c>
      <c r="AC1113" s="27">
        <v>34</v>
      </c>
      <c r="AD1113" s="27">
        <v>4</v>
      </c>
      <c r="AE1113" s="27">
        <v>3</v>
      </c>
      <c r="AF1113" s="27">
        <v>33</v>
      </c>
      <c r="AG1113" s="27">
        <v>7</v>
      </c>
      <c r="AH1113" s="27">
        <v>1</v>
      </c>
      <c r="AI1113" s="28">
        <v>9</v>
      </c>
      <c r="AK1113" s="36">
        <v>1080</v>
      </c>
      <c r="AL1113" s="33">
        <v>6</v>
      </c>
      <c r="AM1113" s="33">
        <v>3</v>
      </c>
      <c r="AN1113" s="33">
        <v>2</v>
      </c>
      <c r="AO1113" s="33">
        <v>4</v>
      </c>
      <c r="AP1113" s="33">
        <v>0</v>
      </c>
      <c r="AQ1113" s="33">
        <v>0</v>
      </c>
      <c r="AR1113" s="33">
        <v>3</v>
      </c>
      <c r="AS1113" s="33">
        <v>2</v>
      </c>
      <c r="AT1113" s="33">
        <v>2</v>
      </c>
      <c r="AU1113" s="43">
        <v>0.11164369879152887</v>
      </c>
      <c r="AV1113" s="33">
        <v>0</v>
      </c>
      <c r="AW1113" s="33">
        <v>0</v>
      </c>
      <c r="AY1113" s="36">
        <v>1085</v>
      </c>
      <c r="AZ1113" s="33">
        <v>3</v>
      </c>
      <c r="BA1113" s="33">
        <v>3</v>
      </c>
      <c r="BB1113" s="33">
        <v>1</v>
      </c>
      <c r="BC1113" s="33">
        <v>0</v>
      </c>
      <c r="BD1113" s="43">
        <v>0.24457985721149755</v>
      </c>
      <c r="BE1113" s="33">
        <v>0</v>
      </c>
      <c r="BF1113" s="33">
        <v>0</v>
      </c>
      <c r="CE1113" s="36">
        <v>1079</v>
      </c>
      <c r="CF1113" s="33">
        <v>28</v>
      </c>
      <c r="CG1113" s="33">
        <v>4</v>
      </c>
      <c r="CH1113" s="33">
        <v>1</v>
      </c>
      <c r="CI1113" s="33">
        <v>2</v>
      </c>
      <c r="CJ1113" s="33">
        <v>3</v>
      </c>
      <c r="CK1113" s="33">
        <v>0</v>
      </c>
      <c r="CL1113" s="33">
        <v>1</v>
      </c>
      <c r="CM1113" s="33">
        <v>4</v>
      </c>
      <c r="CN1113" s="33">
        <v>20</v>
      </c>
      <c r="CO1113" s="33">
        <v>14</v>
      </c>
      <c r="CP1113" s="43">
        <v>8.4534908008138052E-2</v>
      </c>
      <c r="CQ1113" s="33">
        <v>0</v>
      </c>
      <c r="CR1113" s="33">
        <v>0</v>
      </c>
    </row>
    <row r="1114" spans="1:96" ht="15" customHeight="1" x14ac:dyDescent="0.25">
      <c r="A1114" s="26">
        <v>1112</v>
      </c>
      <c r="B1114" s="27">
        <v>38</v>
      </c>
      <c r="C1114" s="27">
        <v>1</v>
      </c>
      <c r="D1114" s="27">
        <v>1</v>
      </c>
      <c r="E1114" s="27">
        <v>903</v>
      </c>
      <c r="F1114" s="27">
        <v>2</v>
      </c>
      <c r="G1114" s="27">
        <v>2</v>
      </c>
      <c r="H1114" s="27">
        <v>3</v>
      </c>
      <c r="I1114" s="27">
        <v>3</v>
      </c>
      <c r="J1114" s="27">
        <v>1</v>
      </c>
      <c r="K1114" s="27">
        <v>1573</v>
      </c>
      <c r="L1114" s="27">
        <v>3</v>
      </c>
      <c r="M1114" s="27">
        <v>1</v>
      </c>
      <c r="N1114" s="27">
        <v>81</v>
      </c>
      <c r="O1114" s="27">
        <v>3</v>
      </c>
      <c r="P1114" s="27">
        <v>2</v>
      </c>
      <c r="Q1114" s="27">
        <v>4</v>
      </c>
      <c r="R1114" s="27">
        <v>2</v>
      </c>
      <c r="S1114" s="27">
        <v>2</v>
      </c>
      <c r="T1114" s="27">
        <v>4855</v>
      </c>
      <c r="U1114" s="27">
        <v>7653</v>
      </c>
      <c r="V1114" s="27">
        <v>4</v>
      </c>
      <c r="W1114" s="27">
        <v>0</v>
      </c>
      <c r="X1114" s="27">
        <v>11</v>
      </c>
      <c r="Y1114" s="27">
        <v>3</v>
      </c>
      <c r="Z1114" s="27">
        <v>1</v>
      </c>
      <c r="AA1114" s="27">
        <v>80</v>
      </c>
      <c r="AB1114" s="27">
        <v>2</v>
      </c>
      <c r="AC1114" s="27">
        <v>7</v>
      </c>
      <c r="AD1114" s="27">
        <v>2</v>
      </c>
      <c r="AE1114" s="27">
        <v>3</v>
      </c>
      <c r="AF1114" s="27">
        <v>5</v>
      </c>
      <c r="AG1114" s="27">
        <v>2</v>
      </c>
      <c r="AH1114" s="27">
        <v>1</v>
      </c>
      <c r="AI1114" s="28">
        <v>4</v>
      </c>
      <c r="AK1114" s="36">
        <v>1081</v>
      </c>
      <c r="AL1114" s="33">
        <v>3</v>
      </c>
      <c r="AM1114" s="33">
        <v>4</v>
      </c>
      <c r="AN1114" s="33">
        <v>2</v>
      </c>
      <c r="AO1114" s="33">
        <v>8</v>
      </c>
      <c r="AP1114" s="33">
        <v>0</v>
      </c>
      <c r="AQ1114" s="33">
        <v>1</v>
      </c>
      <c r="AR1114" s="33">
        <v>4</v>
      </c>
      <c r="AS1114" s="33">
        <v>13</v>
      </c>
      <c r="AT1114" s="33">
        <v>5</v>
      </c>
      <c r="AU1114" s="43">
        <v>2.5496808276255868E-2</v>
      </c>
      <c r="AV1114" s="33">
        <v>0</v>
      </c>
      <c r="AW1114" s="33">
        <v>0</v>
      </c>
      <c r="AY1114" s="36">
        <v>1086</v>
      </c>
      <c r="AZ1114" s="33">
        <v>1</v>
      </c>
      <c r="BA1114" s="33">
        <v>3</v>
      </c>
      <c r="BB1114" s="33">
        <v>0</v>
      </c>
      <c r="BC1114" s="33">
        <v>0</v>
      </c>
      <c r="BD1114" s="43">
        <v>0.18791247240909698</v>
      </c>
      <c r="BE1114" s="33">
        <v>0</v>
      </c>
      <c r="BF1114" s="33">
        <v>1</v>
      </c>
      <c r="CE1114" s="36">
        <v>1080</v>
      </c>
      <c r="CF1114" s="33">
        <v>6</v>
      </c>
      <c r="CG1114" s="33">
        <v>3</v>
      </c>
      <c r="CH1114" s="33">
        <v>2</v>
      </c>
      <c r="CI1114" s="33">
        <v>1</v>
      </c>
      <c r="CJ1114" s="33">
        <v>4</v>
      </c>
      <c r="CK1114" s="33">
        <v>0</v>
      </c>
      <c r="CL1114" s="33">
        <v>0</v>
      </c>
      <c r="CM1114" s="33">
        <v>3</v>
      </c>
      <c r="CN1114" s="33">
        <v>2</v>
      </c>
      <c r="CO1114" s="33">
        <v>2</v>
      </c>
      <c r="CP1114" s="43">
        <v>0.13436697003058828</v>
      </c>
      <c r="CQ1114" s="33">
        <v>0</v>
      </c>
      <c r="CR1114" s="33">
        <v>0</v>
      </c>
    </row>
    <row r="1115" spans="1:96" ht="15" customHeight="1" x14ac:dyDescent="0.25">
      <c r="A1115" s="26">
        <v>1113</v>
      </c>
      <c r="B1115" s="27">
        <v>32</v>
      </c>
      <c r="C1115" s="27">
        <v>0</v>
      </c>
      <c r="D1115" s="27">
        <v>3</v>
      </c>
      <c r="E1115" s="27">
        <v>1200</v>
      </c>
      <c r="F1115" s="27">
        <v>2</v>
      </c>
      <c r="G1115" s="27">
        <v>1</v>
      </c>
      <c r="H1115" s="27">
        <v>4</v>
      </c>
      <c r="I1115" s="27">
        <v>5</v>
      </c>
      <c r="J1115" s="27">
        <v>1</v>
      </c>
      <c r="K1115" s="27">
        <v>1574</v>
      </c>
      <c r="L1115" s="27">
        <v>4</v>
      </c>
      <c r="M1115" s="27">
        <v>1</v>
      </c>
      <c r="N1115" s="27">
        <v>62</v>
      </c>
      <c r="O1115" s="27">
        <v>3</v>
      </c>
      <c r="P1115" s="27">
        <v>2</v>
      </c>
      <c r="Q1115" s="27">
        <v>2</v>
      </c>
      <c r="R1115" s="27">
        <v>1</v>
      </c>
      <c r="S1115" s="27">
        <v>2</v>
      </c>
      <c r="T1115" s="27">
        <v>4087</v>
      </c>
      <c r="U1115" s="27">
        <v>25174</v>
      </c>
      <c r="V1115" s="27">
        <v>4</v>
      </c>
      <c r="W1115" s="27">
        <v>0</v>
      </c>
      <c r="X1115" s="27">
        <v>14</v>
      </c>
      <c r="Y1115" s="27">
        <v>3</v>
      </c>
      <c r="Z1115" s="27">
        <v>2</v>
      </c>
      <c r="AA1115" s="27">
        <v>80</v>
      </c>
      <c r="AB1115" s="27">
        <v>1</v>
      </c>
      <c r="AC1115" s="27">
        <v>9</v>
      </c>
      <c r="AD1115" s="27">
        <v>3</v>
      </c>
      <c r="AE1115" s="27">
        <v>2</v>
      </c>
      <c r="AF1115" s="27">
        <v>6</v>
      </c>
      <c r="AG1115" s="27">
        <v>5</v>
      </c>
      <c r="AH1115" s="27">
        <v>1</v>
      </c>
      <c r="AI1115" s="28">
        <v>2</v>
      </c>
      <c r="AK1115" s="36">
        <v>1082</v>
      </c>
      <c r="AL1115" s="33">
        <v>16</v>
      </c>
      <c r="AM1115" s="33">
        <v>3</v>
      </c>
      <c r="AN1115" s="33">
        <v>2</v>
      </c>
      <c r="AO1115" s="33">
        <v>1</v>
      </c>
      <c r="AP1115" s="33">
        <v>0</v>
      </c>
      <c r="AQ1115" s="33">
        <v>0</v>
      </c>
      <c r="AR1115" s="33">
        <v>1</v>
      </c>
      <c r="AS1115" s="33">
        <v>11</v>
      </c>
      <c r="AT1115" s="33">
        <v>3</v>
      </c>
      <c r="AU1115" s="43">
        <v>0.11302735273994384</v>
      </c>
      <c r="AV1115" s="33">
        <v>0</v>
      </c>
      <c r="AW1115" s="33">
        <v>0</v>
      </c>
      <c r="AY1115" s="36">
        <v>1087</v>
      </c>
      <c r="AZ1115" s="33">
        <v>4</v>
      </c>
      <c r="BA1115" s="33">
        <v>4</v>
      </c>
      <c r="BB1115" s="33">
        <v>1</v>
      </c>
      <c r="BC1115" s="33">
        <v>0</v>
      </c>
      <c r="BD1115" s="43">
        <v>0.12147634917774761</v>
      </c>
      <c r="BE1115" s="33">
        <v>0</v>
      </c>
      <c r="BF1115" s="33">
        <v>0</v>
      </c>
      <c r="CE1115" s="36">
        <v>1081</v>
      </c>
      <c r="CF1115" s="33">
        <v>3</v>
      </c>
      <c r="CG1115" s="33">
        <v>4</v>
      </c>
      <c r="CH1115" s="33">
        <v>2</v>
      </c>
      <c r="CI1115" s="33">
        <v>2</v>
      </c>
      <c r="CJ1115" s="33">
        <v>8</v>
      </c>
      <c r="CK1115" s="33">
        <v>0</v>
      </c>
      <c r="CL1115" s="33">
        <v>1</v>
      </c>
      <c r="CM1115" s="33">
        <v>4</v>
      </c>
      <c r="CN1115" s="33">
        <v>13</v>
      </c>
      <c r="CO1115" s="33">
        <v>5</v>
      </c>
      <c r="CP1115" s="43">
        <v>2.5655531369616631E-2</v>
      </c>
      <c r="CQ1115" s="33">
        <v>0</v>
      </c>
      <c r="CR1115" s="33">
        <v>0</v>
      </c>
    </row>
    <row r="1116" spans="1:96" ht="15" customHeight="1" x14ac:dyDescent="0.25">
      <c r="A1116" s="26">
        <v>1114</v>
      </c>
      <c r="B1116" s="27">
        <v>48</v>
      </c>
      <c r="C1116" s="27">
        <v>0</v>
      </c>
      <c r="D1116" s="27">
        <v>1</v>
      </c>
      <c r="E1116" s="27">
        <v>1108</v>
      </c>
      <c r="F1116" s="27">
        <v>2</v>
      </c>
      <c r="G1116" s="27">
        <v>15</v>
      </c>
      <c r="H1116" s="27">
        <v>4</v>
      </c>
      <c r="I1116" s="27">
        <v>6</v>
      </c>
      <c r="J1116" s="27">
        <v>1</v>
      </c>
      <c r="K1116" s="27">
        <v>1576</v>
      </c>
      <c r="L1116" s="27">
        <v>3</v>
      </c>
      <c r="M1116" s="27">
        <v>0</v>
      </c>
      <c r="N1116" s="27">
        <v>65</v>
      </c>
      <c r="O1116" s="27">
        <v>3</v>
      </c>
      <c r="P1116" s="27">
        <v>1</v>
      </c>
      <c r="Q1116" s="27">
        <v>2</v>
      </c>
      <c r="R1116" s="27">
        <v>1</v>
      </c>
      <c r="S1116" s="27">
        <v>2</v>
      </c>
      <c r="T1116" s="27">
        <v>2367</v>
      </c>
      <c r="U1116" s="27">
        <v>16530</v>
      </c>
      <c r="V1116" s="27">
        <v>8</v>
      </c>
      <c r="W1116" s="27">
        <v>0</v>
      </c>
      <c r="X1116" s="27">
        <v>12</v>
      </c>
      <c r="Y1116" s="27">
        <v>3</v>
      </c>
      <c r="Z1116" s="27">
        <v>4</v>
      </c>
      <c r="AA1116" s="27">
        <v>80</v>
      </c>
      <c r="AB1116" s="27">
        <v>1</v>
      </c>
      <c r="AC1116" s="27">
        <v>10</v>
      </c>
      <c r="AD1116" s="27">
        <v>3</v>
      </c>
      <c r="AE1116" s="27">
        <v>2</v>
      </c>
      <c r="AF1116" s="27">
        <v>8</v>
      </c>
      <c r="AG1116" s="27">
        <v>2</v>
      </c>
      <c r="AH1116" s="27">
        <v>7</v>
      </c>
      <c r="AI1116" s="28">
        <v>6</v>
      </c>
      <c r="AK1116" s="36">
        <v>1083</v>
      </c>
      <c r="AL1116" s="33">
        <v>20</v>
      </c>
      <c r="AM1116" s="33">
        <v>2</v>
      </c>
      <c r="AN1116" s="33">
        <v>3</v>
      </c>
      <c r="AO1116" s="33">
        <v>0</v>
      </c>
      <c r="AP1116" s="33">
        <v>0</v>
      </c>
      <c r="AQ1116" s="33">
        <v>0</v>
      </c>
      <c r="AR1116" s="33">
        <v>3</v>
      </c>
      <c r="AS1116" s="33">
        <v>4</v>
      </c>
      <c r="AT1116" s="33">
        <v>1</v>
      </c>
      <c r="AU1116" s="43">
        <v>0.12596620282097057</v>
      </c>
      <c r="AV1116" s="33">
        <v>0</v>
      </c>
      <c r="AW1116" s="33">
        <v>0</v>
      </c>
      <c r="AY1116" s="36">
        <v>1088</v>
      </c>
      <c r="AZ1116" s="33">
        <v>1</v>
      </c>
      <c r="BA1116" s="33">
        <v>3</v>
      </c>
      <c r="BB1116" s="33">
        <v>1</v>
      </c>
      <c r="BC1116" s="33">
        <v>1</v>
      </c>
      <c r="BD1116" s="43">
        <v>0.36852652578740397</v>
      </c>
      <c r="BE1116" s="33">
        <v>0</v>
      </c>
      <c r="BF1116" s="33">
        <v>0</v>
      </c>
      <c r="CE1116" s="36">
        <v>1082</v>
      </c>
      <c r="CF1116" s="33">
        <v>16</v>
      </c>
      <c r="CG1116" s="33">
        <v>3</v>
      </c>
      <c r="CH1116" s="33">
        <v>2</v>
      </c>
      <c r="CI1116" s="33">
        <v>1</v>
      </c>
      <c r="CJ1116" s="33">
        <v>1</v>
      </c>
      <c r="CK1116" s="33">
        <v>0</v>
      </c>
      <c r="CL1116" s="33">
        <v>0</v>
      </c>
      <c r="CM1116" s="33">
        <v>1</v>
      </c>
      <c r="CN1116" s="33">
        <v>11</v>
      </c>
      <c r="CO1116" s="33">
        <v>3</v>
      </c>
      <c r="CP1116" s="43">
        <v>0.13873285132323293</v>
      </c>
      <c r="CQ1116" s="33">
        <v>0</v>
      </c>
      <c r="CR1116" s="33">
        <v>0</v>
      </c>
    </row>
    <row r="1117" spans="1:96" ht="15" customHeight="1" x14ac:dyDescent="0.25">
      <c r="A1117" s="26">
        <v>1115</v>
      </c>
      <c r="B1117" s="27">
        <v>34</v>
      </c>
      <c r="C1117" s="27">
        <v>0</v>
      </c>
      <c r="D1117" s="27">
        <v>1</v>
      </c>
      <c r="E1117" s="27">
        <v>479</v>
      </c>
      <c r="F1117" s="27">
        <v>2</v>
      </c>
      <c r="G1117" s="27">
        <v>7</v>
      </c>
      <c r="H1117" s="27">
        <v>4</v>
      </c>
      <c r="I1117" s="27">
        <v>3</v>
      </c>
      <c r="J1117" s="27">
        <v>1</v>
      </c>
      <c r="K1117" s="27">
        <v>1577</v>
      </c>
      <c r="L1117" s="27">
        <v>1</v>
      </c>
      <c r="M1117" s="27">
        <v>1</v>
      </c>
      <c r="N1117" s="27">
        <v>35</v>
      </c>
      <c r="O1117" s="27">
        <v>3</v>
      </c>
      <c r="P1117" s="27">
        <v>1</v>
      </c>
      <c r="Q1117" s="27">
        <v>2</v>
      </c>
      <c r="R1117" s="27">
        <v>4</v>
      </c>
      <c r="S1117" s="27">
        <v>1</v>
      </c>
      <c r="T1117" s="27">
        <v>2972</v>
      </c>
      <c r="U1117" s="27">
        <v>22061</v>
      </c>
      <c r="V1117" s="27">
        <v>1</v>
      </c>
      <c r="W1117" s="27">
        <v>0</v>
      </c>
      <c r="X1117" s="27">
        <v>13</v>
      </c>
      <c r="Y1117" s="27">
        <v>3</v>
      </c>
      <c r="Z1117" s="27">
        <v>3</v>
      </c>
      <c r="AA1117" s="27">
        <v>80</v>
      </c>
      <c r="AB1117" s="27">
        <v>0</v>
      </c>
      <c r="AC1117" s="27">
        <v>1</v>
      </c>
      <c r="AD1117" s="27">
        <v>4</v>
      </c>
      <c r="AE1117" s="27">
        <v>1</v>
      </c>
      <c r="AF1117" s="27">
        <v>1</v>
      </c>
      <c r="AG1117" s="27">
        <v>0</v>
      </c>
      <c r="AH1117" s="27">
        <v>0</v>
      </c>
      <c r="AI1117" s="28">
        <v>0</v>
      </c>
      <c r="AK1117" s="36">
        <v>1084</v>
      </c>
      <c r="AL1117" s="33">
        <v>9</v>
      </c>
      <c r="AM1117" s="33">
        <v>1</v>
      </c>
      <c r="AN1117" s="33">
        <v>1</v>
      </c>
      <c r="AO1117" s="33">
        <v>3</v>
      </c>
      <c r="AP1117" s="33">
        <v>0</v>
      </c>
      <c r="AQ1117" s="33">
        <v>0</v>
      </c>
      <c r="AR1117" s="33">
        <v>1</v>
      </c>
      <c r="AS1117" s="33">
        <v>5</v>
      </c>
      <c r="AT1117" s="33">
        <v>1</v>
      </c>
      <c r="AU1117" s="43">
        <v>0.37132396310512855</v>
      </c>
      <c r="AV1117" s="33">
        <v>0</v>
      </c>
      <c r="AW1117" s="33">
        <v>1</v>
      </c>
      <c r="AY1117" s="36">
        <v>1089</v>
      </c>
      <c r="AZ1117" s="33">
        <v>1</v>
      </c>
      <c r="BA1117" s="33">
        <v>2</v>
      </c>
      <c r="BB1117" s="33">
        <v>0</v>
      </c>
      <c r="BC1117" s="33">
        <v>1</v>
      </c>
      <c r="BD1117" s="43">
        <v>0.15461023487664</v>
      </c>
      <c r="BE1117" s="33">
        <v>0</v>
      </c>
      <c r="BF1117" s="33">
        <v>0</v>
      </c>
      <c r="CE1117" s="36">
        <v>1083</v>
      </c>
      <c r="CF1117" s="33">
        <v>20</v>
      </c>
      <c r="CG1117" s="33">
        <v>2</v>
      </c>
      <c r="CH1117" s="33">
        <v>3</v>
      </c>
      <c r="CI1117" s="33">
        <v>1</v>
      </c>
      <c r="CJ1117" s="33">
        <v>0</v>
      </c>
      <c r="CK1117" s="33">
        <v>0</v>
      </c>
      <c r="CL1117" s="33">
        <v>0</v>
      </c>
      <c r="CM1117" s="33">
        <v>3</v>
      </c>
      <c r="CN1117" s="33">
        <v>4</v>
      </c>
      <c r="CO1117" s="33">
        <v>1</v>
      </c>
      <c r="CP1117" s="43">
        <v>0.14552294355776665</v>
      </c>
      <c r="CQ1117" s="33">
        <v>0</v>
      </c>
      <c r="CR1117" s="33">
        <v>0</v>
      </c>
    </row>
    <row r="1118" spans="1:96" ht="15" customHeight="1" x14ac:dyDescent="0.25">
      <c r="A1118" s="26">
        <v>1116</v>
      </c>
      <c r="B1118" s="27">
        <v>55</v>
      </c>
      <c r="C1118" s="27">
        <v>0</v>
      </c>
      <c r="D1118" s="27">
        <v>1</v>
      </c>
      <c r="E1118" s="27">
        <v>685</v>
      </c>
      <c r="F1118" s="27">
        <v>1</v>
      </c>
      <c r="G1118" s="27">
        <v>26</v>
      </c>
      <c r="H1118" s="27">
        <v>5</v>
      </c>
      <c r="I1118" s="27">
        <v>4</v>
      </c>
      <c r="J1118" s="27">
        <v>1</v>
      </c>
      <c r="K1118" s="27">
        <v>1578</v>
      </c>
      <c r="L1118" s="27">
        <v>3</v>
      </c>
      <c r="M1118" s="27">
        <v>1</v>
      </c>
      <c r="N1118" s="27">
        <v>60</v>
      </c>
      <c r="O1118" s="27">
        <v>2</v>
      </c>
      <c r="P1118" s="27">
        <v>5</v>
      </c>
      <c r="Q1118" s="27">
        <v>6</v>
      </c>
      <c r="R1118" s="27">
        <v>4</v>
      </c>
      <c r="S1118" s="27">
        <v>2</v>
      </c>
      <c r="T1118" s="27">
        <v>19586</v>
      </c>
      <c r="U1118" s="27">
        <v>23037</v>
      </c>
      <c r="V1118" s="27">
        <v>1</v>
      </c>
      <c r="W1118" s="27">
        <v>0</v>
      </c>
      <c r="X1118" s="27">
        <v>21</v>
      </c>
      <c r="Y1118" s="27">
        <v>4</v>
      </c>
      <c r="Z1118" s="27">
        <v>3</v>
      </c>
      <c r="AA1118" s="27">
        <v>80</v>
      </c>
      <c r="AB1118" s="27">
        <v>1</v>
      </c>
      <c r="AC1118" s="27">
        <v>36</v>
      </c>
      <c r="AD1118" s="27">
        <v>3</v>
      </c>
      <c r="AE1118" s="27">
        <v>3</v>
      </c>
      <c r="AF1118" s="27">
        <v>36</v>
      </c>
      <c r="AG1118" s="27">
        <v>6</v>
      </c>
      <c r="AH1118" s="27">
        <v>2</v>
      </c>
      <c r="AI1118" s="28">
        <v>13</v>
      </c>
      <c r="AK1118" s="36">
        <v>1085</v>
      </c>
      <c r="AL1118" s="33">
        <v>1</v>
      </c>
      <c r="AM1118" s="33">
        <v>3</v>
      </c>
      <c r="AN1118" s="33">
        <v>3</v>
      </c>
      <c r="AO1118" s="33">
        <v>1</v>
      </c>
      <c r="AP1118" s="33">
        <v>1</v>
      </c>
      <c r="AQ1118" s="33">
        <v>0</v>
      </c>
      <c r="AR1118" s="33">
        <v>3</v>
      </c>
      <c r="AS1118" s="33">
        <v>10</v>
      </c>
      <c r="AT1118" s="33">
        <v>8</v>
      </c>
      <c r="AU1118" s="43">
        <v>0.23011013755335258</v>
      </c>
      <c r="AV1118" s="33">
        <v>0</v>
      </c>
      <c r="AW1118" s="33">
        <v>0</v>
      </c>
      <c r="AY1118" s="36">
        <v>1090</v>
      </c>
      <c r="AZ1118" s="33">
        <v>2</v>
      </c>
      <c r="BA1118" s="33">
        <v>4</v>
      </c>
      <c r="BB1118" s="33">
        <v>0</v>
      </c>
      <c r="BC1118" s="33">
        <v>0</v>
      </c>
      <c r="BD1118" s="43">
        <v>8.9935487507215722E-2</v>
      </c>
      <c r="BE1118" s="33">
        <v>0</v>
      </c>
      <c r="BF1118" s="33">
        <v>0</v>
      </c>
      <c r="CE1118" s="36">
        <v>1084</v>
      </c>
      <c r="CF1118" s="33">
        <v>9</v>
      </c>
      <c r="CG1118" s="33">
        <v>1</v>
      </c>
      <c r="CH1118" s="33">
        <v>1</v>
      </c>
      <c r="CI1118" s="33">
        <v>1</v>
      </c>
      <c r="CJ1118" s="33">
        <v>3</v>
      </c>
      <c r="CK1118" s="33">
        <v>0</v>
      </c>
      <c r="CL1118" s="33">
        <v>0</v>
      </c>
      <c r="CM1118" s="33">
        <v>1</v>
      </c>
      <c r="CN1118" s="33">
        <v>5</v>
      </c>
      <c r="CO1118" s="33">
        <v>1</v>
      </c>
      <c r="CP1118" s="43">
        <v>0.42695891675871883</v>
      </c>
      <c r="CQ1118" s="33">
        <v>0</v>
      </c>
      <c r="CR1118" s="33">
        <v>1</v>
      </c>
    </row>
    <row r="1119" spans="1:96" ht="15" customHeight="1" x14ac:dyDescent="0.25">
      <c r="A1119" s="26">
        <v>1117</v>
      </c>
      <c r="B1119" s="27">
        <v>34</v>
      </c>
      <c r="C1119" s="27">
        <v>0</v>
      </c>
      <c r="D1119" s="27">
        <v>1</v>
      </c>
      <c r="E1119" s="27">
        <v>1351</v>
      </c>
      <c r="F1119" s="27">
        <v>2</v>
      </c>
      <c r="G1119" s="27">
        <v>1</v>
      </c>
      <c r="H1119" s="27">
        <v>4</v>
      </c>
      <c r="I1119" s="27">
        <v>1</v>
      </c>
      <c r="J1119" s="27">
        <v>1</v>
      </c>
      <c r="K1119" s="27">
        <v>1580</v>
      </c>
      <c r="L1119" s="27">
        <v>2</v>
      </c>
      <c r="M1119" s="27">
        <v>1</v>
      </c>
      <c r="N1119" s="27">
        <v>45</v>
      </c>
      <c r="O1119" s="27">
        <v>3</v>
      </c>
      <c r="P1119" s="27">
        <v>2</v>
      </c>
      <c r="Q1119" s="27">
        <v>2</v>
      </c>
      <c r="R1119" s="27">
        <v>4</v>
      </c>
      <c r="S1119" s="27">
        <v>2</v>
      </c>
      <c r="T1119" s="27">
        <v>5484</v>
      </c>
      <c r="U1119" s="27">
        <v>13008</v>
      </c>
      <c r="V1119" s="27">
        <v>9</v>
      </c>
      <c r="W1119" s="27">
        <v>0</v>
      </c>
      <c r="X1119" s="27">
        <v>17</v>
      </c>
      <c r="Y1119" s="27">
        <v>3</v>
      </c>
      <c r="Z1119" s="27">
        <v>2</v>
      </c>
      <c r="AA1119" s="27">
        <v>80</v>
      </c>
      <c r="AB1119" s="27">
        <v>1</v>
      </c>
      <c r="AC1119" s="27">
        <v>9</v>
      </c>
      <c r="AD1119" s="27">
        <v>3</v>
      </c>
      <c r="AE1119" s="27">
        <v>2</v>
      </c>
      <c r="AF1119" s="27">
        <v>2</v>
      </c>
      <c r="AG1119" s="27">
        <v>2</v>
      </c>
      <c r="AH1119" s="27">
        <v>2</v>
      </c>
      <c r="AI1119" s="28">
        <v>1</v>
      </c>
      <c r="AK1119" s="36">
        <v>1086</v>
      </c>
      <c r="AL1119" s="33">
        <v>3</v>
      </c>
      <c r="AM1119" s="33">
        <v>1</v>
      </c>
      <c r="AN1119" s="33">
        <v>3</v>
      </c>
      <c r="AO1119" s="33">
        <v>1</v>
      </c>
      <c r="AP1119" s="33">
        <v>0</v>
      </c>
      <c r="AQ1119" s="33">
        <v>0</v>
      </c>
      <c r="AR1119" s="33">
        <v>1</v>
      </c>
      <c r="AS1119" s="33">
        <v>7</v>
      </c>
      <c r="AT1119" s="33">
        <v>7</v>
      </c>
      <c r="AU1119" s="43">
        <v>0.27999268156751245</v>
      </c>
      <c r="AV1119" s="33">
        <v>0</v>
      </c>
      <c r="AW1119" s="33">
        <v>1</v>
      </c>
      <c r="AY1119" s="36">
        <v>1091</v>
      </c>
      <c r="AZ1119" s="33">
        <v>2</v>
      </c>
      <c r="BA1119" s="33">
        <v>1</v>
      </c>
      <c r="BB1119" s="33">
        <v>0</v>
      </c>
      <c r="BC1119" s="33">
        <v>1</v>
      </c>
      <c r="BD1119" s="43">
        <v>0.12293502213131684</v>
      </c>
      <c r="BE1119" s="33">
        <v>0</v>
      </c>
      <c r="BF1119" s="33">
        <v>0</v>
      </c>
      <c r="CE1119" s="36">
        <v>1085</v>
      </c>
      <c r="CF1119" s="33">
        <v>1</v>
      </c>
      <c r="CG1119" s="33">
        <v>3</v>
      </c>
      <c r="CH1119" s="33">
        <v>3</v>
      </c>
      <c r="CI1119" s="33">
        <v>2</v>
      </c>
      <c r="CJ1119" s="33">
        <v>1</v>
      </c>
      <c r="CK1119" s="33">
        <v>1</v>
      </c>
      <c r="CL1119" s="33">
        <v>0</v>
      </c>
      <c r="CM1119" s="33">
        <v>3</v>
      </c>
      <c r="CN1119" s="33">
        <v>10</v>
      </c>
      <c r="CO1119" s="33">
        <v>8</v>
      </c>
      <c r="CP1119" s="43">
        <v>0.17978414004731497</v>
      </c>
      <c r="CQ1119" s="33">
        <v>0</v>
      </c>
      <c r="CR1119" s="33">
        <v>0</v>
      </c>
    </row>
    <row r="1120" spans="1:96" ht="15" customHeight="1" x14ac:dyDescent="0.25">
      <c r="A1120" s="26">
        <v>1118</v>
      </c>
      <c r="B1120" s="27">
        <v>26</v>
      </c>
      <c r="C1120" s="27">
        <v>0</v>
      </c>
      <c r="D1120" s="27">
        <v>1</v>
      </c>
      <c r="E1120" s="27">
        <v>474</v>
      </c>
      <c r="F1120" s="27">
        <v>2</v>
      </c>
      <c r="G1120" s="27">
        <v>3</v>
      </c>
      <c r="H1120" s="27">
        <v>3</v>
      </c>
      <c r="I1120" s="27">
        <v>1</v>
      </c>
      <c r="J1120" s="27">
        <v>1</v>
      </c>
      <c r="K1120" s="27">
        <v>1581</v>
      </c>
      <c r="L1120" s="27">
        <v>1</v>
      </c>
      <c r="M1120" s="27">
        <v>0</v>
      </c>
      <c r="N1120" s="27">
        <v>89</v>
      </c>
      <c r="O1120" s="27">
        <v>3</v>
      </c>
      <c r="P1120" s="27">
        <v>1</v>
      </c>
      <c r="Q1120" s="27">
        <v>2</v>
      </c>
      <c r="R1120" s="27">
        <v>4</v>
      </c>
      <c r="S1120" s="27">
        <v>2</v>
      </c>
      <c r="T1120" s="27">
        <v>2061</v>
      </c>
      <c r="U1120" s="27">
        <v>11133</v>
      </c>
      <c r="V1120" s="27">
        <v>1</v>
      </c>
      <c r="W1120" s="27">
        <v>0</v>
      </c>
      <c r="X1120" s="27">
        <v>21</v>
      </c>
      <c r="Y1120" s="27">
        <v>4</v>
      </c>
      <c r="Z1120" s="27">
        <v>1</v>
      </c>
      <c r="AA1120" s="27">
        <v>80</v>
      </c>
      <c r="AB1120" s="27">
        <v>0</v>
      </c>
      <c r="AC1120" s="27">
        <v>1</v>
      </c>
      <c r="AD1120" s="27">
        <v>5</v>
      </c>
      <c r="AE1120" s="27">
        <v>3</v>
      </c>
      <c r="AF1120" s="27">
        <v>1</v>
      </c>
      <c r="AG1120" s="27">
        <v>0</v>
      </c>
      <c r="AH1120" s="27">
        <v>0</v>
      </c>
      <c r="AI1120" s="28">
        <v>0</v>
      </c>
      <c r="AK1120" s="36">
        <v>1087</v>
      </c>
      <c r="AL1120" s="33">
        <v>22</v>
      </c>
      <c r="AM1120" s="33">
        <v>4</v>
      </c>
      <c r="AN1120" s="33">
        <v>4</v>
      </c>
      <c r="AO1120" s="33">
        <v>1</v>
      </c>
      <c r="AP1120" s="33">
        <v>1</v>
      </c>
      <c r="AQ1120" s="33">
        <v>0</v>
      </c>
      <c r="AR1120" s="33">
        <v>3</v>
      </c>
      <c r="AS1120" s="33">
        <v>32</v>
      </c>
      <c r="AT1120" s="33">
        <v>13</v>
      </c>
      <c r="AU1120" s="43">
        <v>8.5919440850823856E-2</v>
      </c>
      <c r="AV1120" s="33">
        <v>0</v>
      </c>
      <c r="AW1120" s="33">
        <v>0</v>
      </c>
      <c r="AY1120" s="36">
        <v>1092</v>
      </c>
      <c r="AZ1120" s="33">
        <v>2</v>
      </c>
      <c r="BA1120" s="33">
        <v>2</v>
      </c>
      <c r="BB1120" s="33">
        <v>0</v>
      </c>
      <c r="BC1120" s="33">
        <v>0</v>
      </c>
      <c r="BD1120" s="43">
        <v>0.15063023792355215</v>
      </c>
      <c r="BE1120" s="33">
        <v>0</v>
      </c>
      <c r="BF1120" s="33">
        <v>0</v>
      </c>
      <c r="CE1120" s="36">
        <v>1086</v>
      </c>
      <c r="CF1120" s="33">
        <v>3</v>
      </c>
      <c r="CG1120" s="33">
        <v>1</v>
      </c>
      <c r="CH1120" s="33">
        <v>3</v>
      </c>
      <c r="CI1120" s="33">
        <v>1</v>
      </c>
      <c r="CJ1120" s="33">
        <v>1</v>
      </c>
      <c r="CK1120" s="33">
        <v>0</v>
      </c>
      <c r="CL1120" s="33">
        <v>0</v>
      </c>
      <c r="CM1120" s="33">
        <v>1</v>
      </c>
      <c r="CN1120" s="33">
        <v>7</v>
      </c>
      <c r="CO1120" s="33">
        <v>7</v>
      </c>
      <c r="CP1120" s="43">
        <v>0.32454028544615671</v>
      </c>
      <c r="CQ1120" s="33">
        <v>0</v>
      </c>
      <c r="CR1120" s="33">
        <v>1</v>
      </c>
    </row>
    <row r="1121" spans="1:96" ht="15" customHeight="1" x14ac:dyDescent="0.25">
      <c r="A1121" s="26">
        <v>1119</v>
      </c>
      <c r="B1121" s="27">
        <v>38</v>
      </c>
      <c r="C1121" s="27">
        <v>0</v>
      </c>
      <c r="D1121" s="27">
        <v>1</v>
      </c>
      <c r="E1121" s="27">
        <v>1245</v>
      </c>
      <c r="F1121" s="27">
        <v>1</v>
      </c>
      <c r="G1121" s="27">
        <v>14</v>
      </c>
      <c r="H1121" s="27">
        <v>3</v>
      </c>
      <c r="I1121" s="27">
        <v>1</v>
      </c>
      <c r="J1121" s="27">
        <v>1</v>
      </c>
      <c r="K1121" s="27">
        <v>1582</v>
      </c>
      <c r="L1121" s="27">
        <v>3</v>
      </c>
      <c r="M1121" s="27">
        <v>1</v>
      </c>
      <c r="N1121" s="27">
        <v>80</v>
      </c>
      <c r="O1121" s="27">
        <v>3</v>
      </c>
      <c r="P1121" s="27">
        <v>2</v>
      </c>
      <c r="Q1121" s="27">
        <v>1</v>
      </c>
      <c r="R1121" s="27">
        <v>2</v>
      </c>
      <c r="S1121" s="27">
        <v>2</v>
      </c>
      <c r="T1121" s="27">
        <v>9924</v>
      </c>
      <c r="U1121" s="27">
        <v>12355</v>
      </c>
      <c r="V1121" s="27">
        <v>0</v>
      </c>
      <c r="W1121" s="27">
        <v>0</v>
      </c>
      <c r="X1121" s="27">
        <v>11</v>
      </c>
      <c r="Y1121" s="27">
        <v>3</v>
      </c>
      <c r="Z1121" s="27">
        <v>4</v>
      </c>
      <c r="AA1121" s="27">
        <v>80</v>
      </c>
      <c r="AB1121" s="27">
        <v>1</v>
      </c>
      <c r="AC1121" s="27">
        <v>10</v>
      </c>
      <c r="AD1121" s="27">
        <v>3</v>
      </c>
      <c r="AE1121" s="27">
        <v>3</v>
      </c>
      <c r="AF1121" s="27">
        <v>9</v>
      </c>
      <c r="AG1121" s="27">
        <v>8</v>
      </c>
      <c r="AH1121" s="27">
        <v>7</v>
      </c>
      <c r="AI1121" s="28">
        <v>7</v>
      </c>
      <c r="AK1121" s="36">
        <v>1088</v>
      </c>
      <c r="AL1121" s="33">
        <v>7</v>
      </c>
      <c r="AM1121" s="33">
        <v>1</v>
      </c>
      <c r="AN1121" s="33">
        <v>3</v>
      </c>
      <c r="AO1121" s="33">
        <v>0</v>
      </c>
      <c r="AP1121" s="33">
        <v>1</v>
      </c>
      <c r="AQ1121" s="33">
        <v>1</v>
      </c>
      <c r="AR1121" s="33">
        <v>3</v>
      </c>
      <c r="AS1121" s="33">
        <v>11</v>
      </c>
      <c r="AT1121" s="33">
        <v>5</v>
      </c>
      <c r="AU1121" s="43">
        <v>0.2756839640454582</v>
      </c>
      <c r="AV1121" s="33">
        <v>0</v>
      </c>
      <c r="AW1121" s="33">
        <v>0</v>
      </c>
      <c r="AY1121" s="36">
        <v>1093</v>
      </c>
      <c r="AZ1121" s="33">
        <v>1</v>
      </c>
      <c r="BA1121" s="33">
        <v>4</v>
      </c>
      <c r="BB1121" s="33">
        <v>0</v>
      </c>
      <c r="BC1121" s="33">
        <v>1</v>
      </c>
      <c r="BD1121" s="43">
        <v>9.2486413274924434E-2</v>
      </c>
      <c r="BE1121" s="33">
        <v>0</v>
      </c>
      <c r="BF1121" s="33">
        <v>0</v>
      </c>
      <c r="CE1121" s="36">
        <v>1087</v>
      </c>
      <c r="CF1121" s="33">
        <v>22</v>
      </c>
      <c r="CG1121" s="33">
        <v>4</v>
      </c>
      <c r="CH1121" s="33">
        <v>4</v>
      </c>
      <c r="CI1121" s="33">
        <v>1</v>
      </c>
      <c r="CJ1121" s="33">
        <v>1</v>
      </c>
      <c r="CK1121" s="33">
        <v>1</v>
      </c>
      <c r="CL1121" s="33">
        <v>0</v>
      </c>
      <c r="CM1121" s="33">
        <v>3</v>
      </c>
      <c r="CN1121" s="33">
        <v>32</v>
      </c>
      <c r="CO1121" s="33">
        <v>13</v>
      </c>
      <c r="CP1121" s="43">
        <v>0.10617627848647422</v>
      </c>
      <c r="CQ1121" s="33">
        <v>0</v>
      </c>
      <c r="CR1121" s="33">
        <v>0</v>
      </c>
    </row>
    <row r="1122" spans="1:96" ht="15" customHeight="1" x14ac:dyDescent="0.25">
      <c r="A1122" s="26">
        <v>1120</v>
      </c>
      <c r="B1122" s="27">
        <v>38</v>
      </c>
      <c r="C1122" s="27">
        <v>0</v>
      </c>
      <c r="D1122" s="27">
        <v>1</v>
      </c>
      <c r="E1122" s="27">
        <v>437</v>
      </c>
      <c r="F1122" s="27">
        <v>1</v>
      </c>
      <c r="G1122" s="27">
        <v>16</v>
      </c>
      <c r="H1122" s="27">
        <v>3</v>
      </c>
      <c r="I1122" s="27">
        <v>1</v>
      </c>
      <c r="J1122" s="27">
        <v>1</v>
      </c>
      <c r="K1122" s="27">
        <v>1583</v>
      </c>
      <c r="L1122" s="27">
        <v>2</v>
      </c>
      <c r="M1122" s="27">
        <v>0</v>
      </c>
      <c r="N1122" s="27">
        <v>90</v>
      </c>
      <c r="O1122" s="27">
        <v>3</v>
      </c>
      <c r="P1122" s="27">
        <v>2</v>
      </c>
      <c r="Q1122" s="27">
        <v>1</v>
      </c>
      <c r="R1122" s="27">
        <v>2</v>
      </c>
      <c r="S1122" s="27">
        <v>1</v>
      </c>
      <c r="T1122" s="27">
        <v>4198</v>
      </c>
      <c r="U1122" s="27">
        <v>16379</v>
      </c>
      <c r="V1122" s="27">
        <v>2</v>
      </c>
      <c r="W1122" s="27">
        <v>0</v>
      </c>
      <c r="X1122" s="27">
        <v>12</v>
      </c>
      <c r="Y1122" s="27">
        <v>3</v>
      </c>
      <c r="Z1122" s="27">
        <v>2</v>
      </c>
      <c r="AA1122" s="27">
        <v>80</v>
      </c>
      <c r="AB1122" s="27">
        <v>0</v>
      </c>
      <c r="AC1122" s="27">
        <v>8</v>
      </c>
      <c r="AD1122" s="27">
        <v>5</v>
      </c>
      <c r="AE1122" s="27">
        <v>4</v>
      </c>
      <c r="AF1122" s="27">
        <v>3</v>
      </c>
      <c r="AG1122" s="27">
        <v>2</v>
      </c>
      <c r="AH1122" s="27">
        <v>1</v>
      </c>
      <c r="AI1122" s="28">
        <v>2</v>
      </c>
      <c r="AK1122" s="36">
        <v>1089</v>
      </c>
      <c r="AL1122" s="33">
        <v>2</v>
      </c>
      <c r="AM1122" s="33">
        <v>1</v>
      </c>
      <c r="AN1122" s="33">
        <v>2</v>
      </c>
      <c r="AO1122" s="33">
        <v>4</v>
      </c>
      <c r="AP1122" s="33">
        <v>0</v>
      </c>
      <c r="AQ1122" s="33">
        <v>1</v>
      </c>
      <c r="AR1122" s="33">
        <v>3</v>
      </c>
      <c r="AS1122" s="33">
        <v>1</v>
      </c>
      <c r="AT1122" s="33">
        <v>0</v>
      </c>
      <c r="AU1122" s="43">
        <v>0.13857711984512316</v>
      </c>
      <c r="AV1122" s="33">
        <v>0</v>
      </c>
      <c r="AW1122" s="33">
        <v>0</v>
      </c>
      <c r="AY1122" s="36">
        <v>1094</v>
      </c>
      <c r="AZ1122" s="33">
        <v>3</v>
      </c>
      <c r="BA1122" s="33">
        <v>4</v>
      </c>
      <c r="BB1122" s="33">
        <v>1</v>
      </c>
      <c r="BC1122" s="33">
        <v>1</v>
      </c>
      <c r="BD1122" s="43">
        <v>0.12479921665315721</v>
      </c>
      <c r="BE1122" s="33">
        <v>0</v>
      </c>
      <c r="BF1122" s="33">
        <v>0</v>
      </c>
      <c r="CE1122" s="36">
        <v>1088</v>
      </c>
      <c r="CF1122" s="33">
        <v>7</v>
      </c>
      <c r="CG1122" s="33">
        <v>1</v>
      </c>
      <c r="CH1122" s="33">
        <v>3</v>
      </c>
      <c r="CI1122" s="33">
        <v>2</v>
      </c>
      <c r="CJ1122" s="33">
        <v>0</v>
      </c>
      <c r="CK1122" s="33">
        <v>1</v>
      </c>
      <c r="CL1122" s="33">
        <v>1</v>
      </c>
      <c r="CM1122" s="33">
        <v>3</v>
      </c>
      <c r="CN1122" s="33">
        <v>11</v>
      </c>
      <c r="CO1122" s="33">
        <v>5</v>
      </c>
      <c r="CP1122" s="43">
        <v>0.27531299655450919</v>
      </c>
      <c r="CQ1122" s="33">
        <v>0</v>
      </c>
      <c r="CR1122" s="33">
        <v>0</v>
      </c>
    </row>
    <row r="1123" spans="1:96" ht="15" customHeight="1" x14ac:dyDescent="0.25">
      <c r="A1123" s="26">
        <v>1121</v>
      </c>
      <c r="B1123" s="27">
        <v>36</v>
      </c>
      <c r="C1123" s="27">
        <v>0</v>
      </c>
      <c r="D1123" s="27">
        <v>1</v>
      </c>
      <c r="E1123" s="27">
        <v>884</v>
      </c>
      <c r="F1123" s="27">
        <v>1</v>
      </c>
      <c r="G1123" s="27">
        <v>1</v>
      </c>
      <c r="H1123" s="27">
        <v>4</v>
      </c>
      <c r="I1123" s="27">
        <v>1</v>
      </c>
      <c r="J1123" s="27">
        <v>1</v>
      </c>
      <c r="K1123" s="27">
        <v>1585</v>
      </c>
      <c r="L1123" s="27">
        <v>2</v>
      </c>
      <c r="M1123" s="27">
        <v>0</v>
      </c>
      <c r="N1123" s="27">
        <v>73</v>
      </c>
      <c r="O1123" s="27">
        <v>3</v>
      </c>
      <c r="P1123" s="27">
        <v>2</v>
      </c>
      <c r="Q1123" s="27">
        <v>1</v>
      </c>
      <c r="R1123" s="27">
        <v>3</v>
      </c>
      <c r="S1123" s="27">
        <v>1</v>
      </c>
      <c r="T1123" s="27">
        <v>6815</v>
      </c>
      <c r="U1123" s="27">
        <v>21447</v>
      </c>
      <c r="V1123" s="27">
        <v>6</v>
      </c>
      <c r="W1123" s="27">
        <v>0</v>
      </c>
      <c r="X1123" s="27">
        <v>13</v>
      </c>
      <c r="Y1123" s="27">
        <v>3</v>
      </c>
      <c r="Z1123" s="27">
        <v>1</v>
      </c>
      <c r="AA1123" s="27">
        <v>80</v>
      </c>
      <c r="AB1123" s="27">
        <v>0</v>
      </c>
      <c r="AC1123" s="27">
        <v>15</v>
      </c>
      <c r="AD1123" s="27">
        <v>5</v>
      </c>
      <c r="AE1123" s="27">
        <v>3</v>
      </c>
      <c r="AF1123" s="27">
        <v>1</v>
      </c>
      <c r="AG1123" s="27">
        <v>0</v>
      </c>
      <c r="AH1123" s="27">
        <v>0</v>
      </c>
      <c r="AI1123" s="28">
        <v>0</v>
      </c>
      <c r="AK1123" s="36">
        <v>1090</v>
      </c>
      <c r="AL1123" s="33">
        <v>13</v>
      </c>
      <c r="AM1123" s="33">
        <v>2</v>
      </c>
      <c r="AN1123" s="33">
        <v>4</v>
      </c>
      <c r="AO1123" s="33">
        <v>1</v>
      </c>
      <c r="AP1123" s="33">
        <v>0</v>
      </c>
      <c r="AQ1123" s="33">
        <v>0</v>
      </c>
      <c r="AR1123" s="33">
        <v>3</v>
      </c>
      <c r="AS1123" s="33">
        <v>10</v>
      </c>
      <c r="AT1123" s="33">
        <v>3</v>
      </c>
      <c r="AU1123" s="43">
        <v>7.0010254872953967E-2</v>
      </c>
      <c r="AV1123" s="33">
        <v>0</v>
      </c>
      <c r="AW1123" s="33">
        <v>0</v>
      </c>
      <c r="AY1123" s="36">
        <v>1095</v>
      </c>
      <c r="AZ1123" s="33">
        <v>2</v>
      </c>
      <c r="BA1123" s="33">
        <v>1</v>
      </c>
      <c r="BB1123" s="33">
        <v>0</v>
      </c>
      <c r="BC1123" s="33">
        <v>0</v>
      </c>
      <c r="BD1123" s="43">
        <v>0.19196561144667343</v>
      </c>
      <c r="BE1123" s="33">
        <v>0</v>
      </c>
      <c r="BF1123" s="33">
        <v>0</v>
      </c>
      <c r="CE1123" s="36">
        <v>1089</v>
      </c>
      <c r="CF1123" s="33">
        <v>2</v>
      </c>
      <c r="CG1123" s="33">
        <v>1</v>
      </c>
      <c r="CH1123" s="33">
        <v>2</v>
      </c>
      <c r="CI1123" s="33">
        <v>2</v>
      </c>
      <c r="CJ1123" s="33">
        <v>4</v>
      </c>
      <c r="CK1123" s="33">
        <v>0</v>
      </c>
      <c r="CL1123" s="33">
        <v>1</v>
      </c>
      <c r="CM1123" s="33">
        <v>3</v>
      </c>
      <c r="CN1123" s="33">
        <v>1</v>
      </c>
      <c r="CO1123" s="33">
        <v>0</v>
      </c>
      <c r="CP1123" s="43">
        <v>0.13549933166801506</v>
      </c>
      <c r="CQ1123" s="33">
        <v>0</v>
      </c>
      <c r="CR1123" s="33">
        <v>0</v>
      </c>
    </row>
    <row r="1124" spans="1:96" ht="15" customHeight="1" x14ac:dyDescent="0.25">
      <c r="A1124" s="26">
        <v>1122</v>
      </c>
      <c r="B1124" s="27">
        <v>29</v>
      </c>
      <c r="C1124" s="27">
        <v>0</v>
      </c>
      <c r="D1124" s="27">
        <v>1</v>
      </c>
      <c r="E1124" s="27">
        <v>1370</v>
      </c>
      <c r="F1124" s="27">
        <v>2</v>
      </c>
      <c r="G1124" s="27">
        <v>3</v>
      </c>
      <c r="H1124" s="27">
        <v>1</v>
      </c>
      <c r="I1124" s="27">
        <v>3</v>
      </c>
      <c r="J1124" s="27">
        <v>1</v>
      </c>
      <c r="K1124" s="27">
        <v>1586</v>
      </c>
      <c r="L1124" s="27">
        <v>2</v>
      </c>
      <c r="M1124" s="27">
        <v>1</v>
      </c>
      <c r="N1124" s="27">
        <v>87</v>
      </c>
      <c r="O1124" s="27">
        <v>3</v>
      </c>
      <c r="P1124" s="27">
        <v>1</v>
      </c>
      <c r="Q1124" s="27">
        <v>3</v>
      </c>
      <c r="R1124" s="27">
        <v>1</v>
      </c>
      <c r="S1124" s="27">
        <v>1</v>
      </c>
      <c r="T1124" s="27">
        <v>4723</v>
      </c>
      <c r="U1124" s="27">
        <v>16213</v>
      </c>
      <c r="V1124" s="27">
        <v>1</v>
      </c>
      <c r="W1124" s="27">
        <v>1</v>
      </c>
      <c r="X1124" s="27">
        <v>18</v>
      </c>
      <c r="Y1124" s="27">
        <v>3</v>
      </c>
      <c r="Z1124" s="27">
        <v>4</v>
      </c>
      <c r="AA1124" s="27">
        <v>80</v>
      </c>
      <c r="AB1124" s="27">
        <v>0</v>
      </c>
      <c r="AC1124" s="27">
        <v>10</v>
      </c>
      <c r="AD1124" s="27">
        <v>3</v>
      </c>
      <c r="AE1124" s="27">
        <v>3</v>
      </c>
      <c r="AF1124" s="27">
        <v>10</v>
      </c>
      <c r="AG1124" s="27">
        <v>9</v>
      </c>
      <c r="AH1124" s="27">
        <v>1</v>
      </c>
      <c r="AI1124" s="28">
        <v>5</v>
      </c>
      <c r="AK1124" s="36">
        <v>1091</v>
      </c>
      <c r="AL1124" s="33">
        <v>8</v>
      </c>
      <c r="AM1124" s="33">
        <v>2</v>
      </c>
      <c r="AN1124" s="33">
        <v>1</v>
      </c>
      <c r="AO1124" s="33">
        <v>3</v>
      </c>
      <c r="AP1124" s="33">
        <v>0</v>
      </c>
      <c r="AQ1124" s="33">
        <v>1</v>
      </c>
      <c r="AR1124" s="33">
        <v>3</v>
      </c>
      <c r="AS1124" s="33">
        <v>7</v>
      </c>
      <c r="AT1124" s="33">
        <v>0</v>
      </c>
      <c r="AU1124" s="43">
        <v>8.3057157659093842E-2</v>
      </c>
      <c r="AV1124" s="33">
        <v>0</v>
      </c>
      <c r="AW1124" s="33">
        <v>0</v>
      </c>
      <c r="AY1124" s="36">
        <v>1096</v>
      </c>
      <c r="AZ1124" s="33">
        <v>2</v>
      </c>
      <c r="BA1124" s="33">
        <v>3</v>
      </c>
      <c r="BB1124" s="33">
        <v>1</v>
      </c>
      <c r="BC1124" s="33">
        <v>1</v>
      </c>
      <c r="BD1124" s="43">
        <v>0.25031066197755131</v>
      </c>
      <c r="BE1124" s="33">
        <v>0</v>
      </c>
      <c r="BF1124" s="33">
        <v>0</v>
      </c>
      <c r="CE1124" s="36">
        <v>1090</v>
      </c>
      <c r="CF1124" s="33">
        <v>13</v>
      </c>
      <c r="CG1124" s="33">
        <v>2</v>
      </c>
      <c r="CH1124" s="33">
        <v>4</v>
      </c>
      <c r="CI1124" s="33">
        <v>2</v>
      </c>
      <c r="CJ1124" s="33">
        <v>1</v>
      </c>
      <c r="CK1124" s="33">
        <v>0</v>
      </c>
      <c r="CL1124" s="33">
        <v>0</v>
      </c>
      <c r="CM1124" s="33">
        <v>3</v>
      </c>
      <c r="CN1124" s="33">
        <v>10</v>
      </c>
      <c r="CO1124" s="33">
        <v>3</v>
      </c>
      <c r="CP1124" s="43">
        <v>4.8086748736536448E-2</v>
      </c>
      <c r="CQ1124" s="33">
        <v>0</v>
      </c>
      <c r="CR1124" s="33">
        <v>0</v>
      </c>
    </row>
    <row r="1125" spans="1:96" ht="15" customHeight="1" x14ac:dyDescent="0.25">
      <c r="A1125" s="26">
        <v>1123</v>
      </c>
      <c r="B1125" s="27">
        <v>35</v>
      </c>
      <c r="C1125" s="27">
        <v>0</v>
      </c>
      <c r="D1125" s="27">
        <v>1</v>
      </c>
      <c r="E1125" s="27">
        <v>670</v>
      </c>
      <c r="F1125" s="27">
        <v>2</v>
      </c>
      <c r="G1125" s="27">
        <v>10</v>
      </c>
      <c r="H1125" s="27">
        <v>4</v>
      </c>
      <c r="I1125" s="27">
        <v>3</v>
      </c>
      <c r="J1125" s="27">
        <v>1</v>
      </c>
      <c r="K1125" s="27">
        <v>1587</v>
      </c>
      <c r="L1125" s="27">
        <v>1</v>
      </c>
      <c r="M1125" s="27">
        <v>0</v>
      </c>
      <c r="N1125" s="27">
        <v>51</v>
      </c>
      <c r="O1125" s="27">
        <v>3</v>
      </c>
      <c r="P1125" s="27">
        <v>2</v>
      </c>
      <c r="Q1125" s="27">
        <v>5</v>
      </c>
      <c r="R1125" s="27">
        <v>3</v>
      </c>
      <c r="S1125" s="27">
        <v>1</v>
      </c>
      <c r="T1125" s="27">
        <v>6142</v>
      </c>
      <c r="U1125" s="27">
        <v>4223</v>
      </c>
      <c r="V1125" s="27">
        <v>3</v>
      </c>
      <c r="W1125" s="27">
        <v>1</v>
      </c>
      <c r="X1125" s="27">
        <v>16</v>
      </c>
      <c r="Y1125" s="27">
        <v>3</v>
      </c>
      <c r="Z1125" s="27">
        <v>3</v>
      </c>
      <c r="AA1125" s="27">
        <v>80</v>
      </c>
      <c r="AB1125" s="27">
        <v>0</v>
      </c>
      <c r="AC1125" s="27">
        <v>10</v>
      </c>
      <c r="AD1125" s="27">
        <v>4</v>
      </c>
      <c r="AE1125" s="27">
        <v>3</v>
      </c>
      <c r="AF1125" s="27">
        <v>5</v>
      </c>
      <c r="AG1125" s="27">
        <v>2</v>
      </c>
      <c r="AH1125" s="27">
        <v>0</v>
      </c>
      <c r="AI1125" s="28">
        <v>4</v>
      </c>
      <c r="AK1125" s="36">
        <v>1092</v>
      </c>
      <c r="AL1125" s="33">
        <v>25</v>
      </c>
      <c r="AM1125" s="33">
        <v>2</v>
      </c>
      <c r="AN1125" s="33">
        <v>2</v>
      </c>
      <c r="AO1125" s="33">
        <v>1</v>
      </c>
      <c r="AP1125" s="33">
        <v>0</v>
      </c>
      <c r="AQ1125" s="33">
        <v>0</v>
      </c>
      <c r="AR1125" s="33">
        <v>3</v>
      </c>
      <c r="AS1125" s="33">
        <v>5</v>
      </c>
      <c r="AT1125" s="33">
        <v>0</v>
      </c>
      <c r="AU1125" s="43">
        <v>0.17102697044551879</v>
      </c>
      <c r="AV1125" s="33">
        <v>0</v>
      </c>
      <c r="AW1125" s="33">
        <v>0</v>
      </c>
      <c r="AY1125" s="36">
        <v>1097</v>
      </c>
      <c r="AZ1125" s="33">
        <v>4</v>
      </c>
      <c r="BA1125" s="33">
        <v>4</v>
      </c>
      <c r="BB1125" s="33">
        <v>1</v>
      </c>
      <c r="BC1125" s="33">
        <v>0</v>
      </c>
      <c r="BD1125" s="43">
        <v>0.12147634917774761</v>
      </c>
      <c r="BE1125" s="33">
        <v>0</v>
      </c>
      <c r="BF1125" s="33">
        <v>0</v>
      </c>
      <c r="CE1125" s="36">
        <v>1091</v>
      </c>
      <c r="CF1125" s="33">
        <v>8</v>
      </c>
      <c r="CG1125" s="33">
        <v>2</v>
      </c>
      <c r="CH1125" s="33">
        <v>1</v>
      </c>
      <c r="CI1125" s="33">
        <v>2</v>
      </c>
      <c r="CJ1125" s="33">
        <v>3</v>
      </c>
      <c r="CK1125" s="33">
        <v>0</v>
      </c>
      <c r="CL1125" s="33">
        <v>1</v>
      </c>
      <c r="CM1125" s="33">
        <v>3</v>
      </c>
      <c r="CN1125" s="33">
        <v>7</v>
      </c>
      <c r="CO1125" s="33">
        <v>0</v>
      </c>
      <c r="CP1125" s="43">
        <v>8.28381199228055E-2</v>
      </c>
      <c r="CQ1125" s="33">
        <v>0</v>
      </c>
      <c r="CR1125" s="33">
        <v>0</v>
      </c>
    </row>
    <row r="1126" spans="1:96" ht="15" customHeight="1" x14ac:dyDescent="0.25">
      <c r="A1126" s="26">
        <v>1124</v>
      </c>
      <c r="B1126" s="27">
        <v>39</v>
      </c>
      <c r="C1126" s="27">
        <v>0</v>
      </c>
      <c r="D1126" s="27">
        <v>1</v>
      </c>
      <c r="E1126" s="27">
        <v>1462</v>
      </c>
      <c r="F1126" s="27">
        <v>1</v>
      </c>
      <c r="G1126" s="27">
        <v>6</v>
      </c>
      <c r="H1126" s="27">
        <v>3</v>
      </c>
      <c r="I1126" s="27">
        <v>3</v>
      </c>
      <c r="J1126" s="27">
        <v>1</v>
      </c>
      <c r="K1126" s="27">
        <v>1588</v>
      </c>
      <c r="L1126" s="27">
        <v>4</v>
      </c>
      <c r="M1126" s="27">
        <v>1</v>
      </c>
      <c r="N1126" s="27">
        <v>38</v>
      </c>
      <c r="O1126" s="27">
        <v>4</v>
      </c>
      <c r="P1126" s="27">
        <v>3</v>
      </c>
      <c r="Q1126" s="27">
        <v>1</v>
      </c>
      <c r="R1126" s="27">
        <v>3</v>
      </c>
      <c r="S1126" s="27">
        <v>2</v>
      </c>
      <c r="T1126" s="27">
        <v>8237</v>
      </c>
      <c r="U1126" s="27">
        <v>4658</v>
      </c>
      <c r="V1126" s="27">
        <v>2</v>
      </c>
      <c r="W1126" s="27">
        <v>0</v>
      </c>
      <c r="X1126" s="27">
        <v>11</v>
      </c>
      <c r="Y1126" s="27">
        <v>3</v>
      </c>
      <c r="Z1126" s="27">
        <v>1</v>
      </c>
      <c r="AA1126" s="27">
        <v>80</v>
      </c>
      <c r="AB1126" s="27">
        <v>1</v>
      </c>
      <c r="AC1126" s="27">
        <v>11</v>
      </c>
      <c r="AD1126" s="27">
        <v>3</v>
      </c>
      <c r="AE1126" s="27">
        <v>3</v>
      </c>
      <c r="AF1126" s="27">
        <v>7</v>
      </c>
      <c r="AG1126" s="27">
        <v>6</v>
      </c>
      <c r="AH1126" s="27">
        <v>7</v>
      </c>
      <c r="AI1126" s="28">
        <v>6</v>
      </c>
      <c r="AK1126" s="36">
        <v>1093</v>
      </c>
      <c r="AL1126" s="33">
        <v>28</v>
      </c>
      <c r="AM1126" s="33">
        <v>1</v>
      </c>
      <c r="AN1126" s="33">
        <v>4</v>
      </c>
      <c r="AO1126" s="33">
        <v>4</v>
      </c>
      <c r="AP1126" s="33">
        <v>0</v>
      </c>
      <c r="AQ1126" s="33">
        <v>1</v>
      </c>
      <c r="AR1126" s="33">
        <v>3</v>
      </c>
      <c r="AS1126" s="33">
        <v>5</v>
      </c>
      <c r="AT1126" s="33">
        <v>0</v>
      </c>
      <c r="AU1126" s="43">
        <v>0.13882409800231843</v>
      </c>
      <c r="AV1126" s="33">
        <v>0</v>
      </c>
      <c r="AW1126" s="33">
        <v>0</v>
      </c>
      <c r="AY1126" s="36">
        <v>1098</v>
      </c>
      <c r="AZ1126" s="33">
        <v>1</v>
      </c>
      <c r="BA1126" s="33">
        <v>1</v>
      </c>
      <c r="BB1126" s="33">
        <v>0</v>
      </c>
      <c r="BC1126" s="33">
        <v>3</v>
      </c>
      <c r="BD1126" s="43">
        <v>7.8580935992741602E-2</v>
      </c>
      <c r="BE1126" s="33">
        <v>0</v>
      </c>
      <c r="BF1126" s="33">
        <v>0</v>
      </c>
      <c r="CE1126" s="36">
        <v>1092</v>
      </c>
      <c r="CF1126" s="33">
        <v>25</v>
      </c>
      <c r="CG1126" s="33">
        <v>2</v>
      </c>
      <c r="CH1126" s="33">
        <v>2</v>
      </c>
      <c r="CI1126" s="33">
        <v>1</v>
      </c>
      <c r="CJ1126" s="33">
        <v>1</v>
      </c>
      <c r="CK1126" s="33">
        <v>0</v>
      </c>
      <c r="CL1126" s="33">
        <v>0</v>
      </c>
      <c r="CM1126" s="33">
        <v>3</v>
      </c>
      <c r="CN1126" s="33">
        <v>5</v>
      </c>
      <c r="CO1126" s="33">
        <v>0</v>
      </c>
      <c r="CP1126" s="43">
        <v>0.19834317860122705</v>
      </c>
      <c r="CQ1126" s="33">
        <v>0</v>
      </c>
      <c r="CR1126" s="33">
        <v>0</v>
      </c>
    </row>
    <row r="1127" spans="1:96" ht="15" customHeight="1" x14ac:dyDescent="0.25">
      <c r="A1127" s="26">
        <v>1125</v>
      </c>
      <c r="B1127" s="27">
        <v>29</v>
      </c>
      <c r="C1127" s="27">
        <v>0</v>
      </c>
      <c r="D1127" s="27">
        <v>2</v>
      </c>
      <c r="E1127" s="27">
        <v>995</v>
      </c>
      <c r="F1127" s="27">
        <v>2</v>
      </c>
      <c r="G1127" s="27">
        <v>2</v>
      </c>
      <c r="H1127" s="27">
        <v>1</v>
      </c>
      <c r="I1127" s="27">
        <v>1</v>
      </c>
      <c r="J1127" s="27">
        <v>1</v>
      </c>
      <c r="K1127" s="27">
        <v>1590</v>
      </c>
      <c r="L1127" s="27">
        <v>1</v>
      </c>
      <c r="M1127" s="27">
        <v>1</v>
      </c>
      <c r="N1127" s="27">
        <v>87</v>
      </c>
      <c r="O1127" s="27">
        <v>3</v>
      </c>
      <c r="P1127" s="27">
        <v>2</v>
      </c>
      <c r="Q1127" s="27">
        <v>5</v>
      </c>
      <c r="R1127" s="27">
        <v>4</v>
      </c>
      <c r="S1127" s="27">
        <v>3</v>
      </c>
      <c r="T1127" s="27">
        <v>8853</v>
      </c>
      <c r="U1127" s="27">
        <v>24483</v>
      </c>
      <c r="V1127" s="27">
        <v>1</v>
      </c>
      <c r="W1127" s="27">
        <v>0</v>
      </c>
      <c r="X1127" s="27">
        <v>19</v>
      </c>
      <c r="Y1127" s="27">
        <v>3</v>
      </c>
      <c r="Z1127" s="27">
        <v>4</v>
      </c>
      <c r="AA1127" s="27">
        <v>80</v>
      </c>
      <c r="AB1127" s="27">
        <v>1</v>
      </c>
      <c r="AC1127" s="27">
        <v>6</v>
      </c>
      <c r="AD1127" s="27">
        <v>0</v>
      </c>
      <c r="AE1127" s="27">
        <v>4</v>
      </c>
      <c r="AF1127" s="27">
        <v>6</v>
      </c>
      <c r="AG1127" s="27">
        <v>4</v>
      </c>
      <c r="AH1127" s="27">
        <v>1</v>
      </c>
      <c r="AI1127" s="28">
        <v>3</v>
      </c>
      <c r="AK1127" s="36">
        <v>1094</v>
      </c>
      <c r="AL1127" s="33">
        <v>2</v>
      </c>
      <c r="AM1127" s="33">
        <v>3</v>
      </c>
      <c r="AN1127" s="33">
        <v>4</v>
      </c>
      <c r="AO1127" s="33">
        <v>2</v>
      </c>
      <c r="AP1127" s="33">
        <v>1</v>
      </c>
      <c r="AQ1127" s="33">
        <v>1</v>
      </c>
      <c r="AR1127" s="33">
        <v>1</v>
      </c>
      <c r="AS1127" s="33">
        <v>20</v>
      </c>
      <c r="AT1127" s="33">
        <v>13</v>
      </c>
      <c r="AU1127" s="43">
        <v>0.16267627475165355</v>
      </c>
      <c r="AV1127" s="33">
        <v>0</v>
      </c>
      <c r="AW1127" s="33">
        <v>0</v>
      </c>
      <c r="AY1127" s="36">
        <v>1099</v>
      </c>
      <c r="AZ1127" s="33">
        <v>2</v>
      </c>
      <c r="BA1127" s="33">
        <v>4</v>
      </c>
      <c r="BB1127" s="33">
        <v>1</v>
      </c>
      <c r="BC1127" s="33">
        <v>0</v>
      </c>
      <c r="BD1127" s="43">
        <v>0.29698480921718856</v>
      </c>
      <c r="BE1127" s="33">
        <v>0</v>
      </c>
      <c r="BF1127" s="33">
        <v>0</v>
      </c>
      <c r="CE1127" s="36">
        <v>1093</v>
      </c>
      <c r="CF1127" s="33">
        <v>28</v>
      </c>
      <c r="CG1127" s="33">
        <v>1</v>
      </c>
      <c r="CH1127" s="33">
        <v>4</v>
      </c>
      <c r="CI1127" s="33">
        <v>2</v>
      </c>
      <c r="CJ1127" s="33">
        <v>4</v>
      </c>
      <c r="CK1127" s="33">
        <v>0</v>
      </c>
      <c r="CL1127" s="33">
        <v>1</v>
      </c>
      <c r="CM1127" s="33">
        <v>3</v>
      </c>
      <c r="CN1127" s="33">
        <v>5</v>
      </c>
      <c r="CO1127" s="33">
        <v>0</v>
      </c>
      <c r="CP1127" s="43">
        <v>0.13033261806805166</v>
      </c>
      <c r="CQ1127" s="33">
        <v>0</v>
      </c>
      <c r="CR1127" s="33">
        <v>0</v>
      </c>
    </row>
    <row r="1128" spans="1:96" ht="15" customHeight="1" x14ac:dyDescent="0.25">
      <c r="A1128" s="26">
        <v>1126</v>
      </c>
      <c r="B1128" s="27">
        <v>50</v>
      </c>
      <c r="C1128" s="27">
        <v>0</v>
      </c>
      <c r="D1128" s="27">
        <v>1</v>
      </c>
      <c r="E1128" s="27">
        <v>264</v>
      </c>
      <c r="F1128" s="27">
        <v>1</v>
      </c>
      <c r="G1128" s="27">
        <v>9</v>
      </c>
      <c r="H1128" s="27">
        <v>3</v>
      </c>
      <c r="I1128" s="27">
        <v>4</v>
      </c>
      <c r="J1128" s="27">
        <v>1</v>
      </c>
      <c r="K1128" s="27">
        <v>1591</v>
      </c>
      <c r="L1128" s="27">
        <v>3</v>
      </c>
      <c r="M1128" s="27">
        <v>1</v>
      </c>
      <c r="N1128" s="27">
        <v>59</v>
      </c>
      <c r="O1128" s="27">
        <v>3</v>
      </c>
      <c r="P1128" s="27">
        <v>5</v>
      </c>
      <c r="Q1128" s="27">
        <v>6</v>
      </c>
      <c r="R1128" s="27">
        <v>3</v>
      </c>
      <c r="S1128" s="27">
        <v>2</v>
      </c>
      <c r="T1128" s="27">
        <v>19331</v>
      </c>
      <c r="U1128" s="27">
        <v>19519</v>
      </c>
      <c r="V1128" s="27">
        <v>4</v>
      </c>
      <c r="W1128" s="27">
        <v>1</v>
      </c>
      <c r="X1128" s="27">
        <v>16</v>
      </c>
      <c r="Y1128" s="27">
        <v>3</v>
      </c>
      <c r="Z1128" s="27">
        <v>3</v>
      </c>
      <c r="AA1128" s="27">
        <v>80</v>
      </c>
      <c r="AB1128" s="27">
        <v>1</v>
      </c>
      <c r="AC1128" s="27">
        <v>27</v>
      </c>
      <c r="AD1128" s="27">
        <v>2</v>
      </c>
      <c r="AE1128" s="27">
        <v>3</v>
      </c>
      <c r="AF1128" s="27">
        <v>1</v>
      </c>
      <c r="AG1128" s="27">
        <v>0</v>
      </c>
      <c r="AH1128" s="27">
        <v>0</v>
      </c>
      <c r="AI1128" s="28">
        <v>0</v>
      </c>
      <c r="AK1128" s="36">
        <v>1095</v>
      </c>
      <c r="AL1128" s="33">
        <v>9</v>
      </c>
      <c r="AM1128" s="33">
        <v>2</v>
      </c>
      <c r="AN1128" s="33">
        <v>1</v>
      </c>
      <c r="AO1128" s="33">
        <v>0</v>
      </c>
      <c r="AP1128" s="33">
        <v>0</v>
      </c>
      <c r="AQ1128" s="33">
        <v>0</v>
      </c>
      <c r="AR1128" s="33">
        <v>4</v>
      </c>
      <c r="AS1128" s="33">
        <v>8</v>
      </c>
      <c r="AT1128" s="33">
        <v>7</v>
      </c>
      <c r="AU1128" s="43">
        <v>0.17308594554721637</v>
      </c>
      <c r="AV1128" s="33">
        <v>0</v>
      </c>
      <c r="AW1128" s="33">
        <v>0</v>
      </c>
      <c r="AY1128" s="36">
        <v>1100</v>
      </c>
      <c r="AZ1128" s="33">
        <v>3</v>
      </c>
      <c r="BA1128" s="33">
        <v>2</v>
      </c>
      <c r="BB1128" s="33">
        <v>0</v>
      </c>
      <c r="BC1128" s="33">
        <v>3</v>
      </c>
      <c r="BD1128" s="43">
        <v>2.0412387742342619E-2</v>
      </c>
      <c r="BE1128" s="33">
        <v>0</v>
      </c>
      <c r="BF1128" s="33">
        <v>0</v>
      </c>
      <c r="CE1128" s="36">
        <v>1094</v>
      </c>
      <c r="CF1128" s="33">
        <v>2</v>
      </c>
      <c r="CG1128" s="33">
        <v>3</v>
      </c>
      <c r="CH1128" s="33">
        <v>4</v>
      </c>
      <c r="CI1128" s="33">
        <v>2</v>
      </c>
      <c r="CJ1128" s="33">
        <v>2</v>
      </c>
      <c r="CK1128" s="33">
        <v>1</v>
      </c>
      <c r="CL1128" s="33">
        <v>1</v>
      </c>
      <c r="CM1128" s="33">
        <v>1</v>
      </c>
      <c r="CN1128" s="33">
        <v>20</v>
      </c>
      <c r="CO1128" s="33">
        <v>13</v>
      </c>
      <c r="CP1128" s="43">
        <v>0.17088999816129594</v>
      </c>
      <c r="CQ1128" s="33">
        <v>0</v>
      </c>
      <c r="CR1128" s="33">
        <v>0</v>
      </c>
    </row>
    <row r="1129" spans="1:96" ht="15" customHeight="1" x14ac:dyDescent="0.25">
      <c r="A1129" s="26">
        <v>1127</v>
      </c>
      <c r="B1129" s="27">
        <v>23</v>
      </c>
      <c r="C1129" s="27">
        <v>0</v>
      </c>
      <c r="D1129" s="27">
        <v>1</v>
      </c>
      <c r="E1129" s="27">
        <v>977</v>
      </c>
      <c r="F1129" s="27">
        <v>2</v>
      </c>
      <c r="G1129" s="27">
        <v>10</v>
      </c>
      <c r="H1129" s="27">
        <v>3</v>
      </c>
      <c r="I1129" s="27">
        <v>5</v>
      </c>
      <c r="J1129" s="27">
        <v>1</v>
      </c>
      <c r="K1129" s="27">
        <v>1592</v>
      </c>
      <c r="L1129" s="27">
        <v>4</v>
      </c>
      <c r="M1129" s="27">
        <v>1</v>
      </c>
      <c r="N1129" s="27">
        <v>45</v>
      </c>
      <c r="O1129" s="27">
        <v>4</v>
      </c>
      <c r="P1129" s="27">
        <v>1</v>
      </c>
      <c r="Q1129" s="27">
        <v>2</v>
      </c>
      <c r="R1129" s="27">
        <v>3</v>
      </c>
      <c r="S1129" s="27">
        <v>2</v>
      </c>
      <c r="T1129" s="27">
        <v>2073</v>
      </c>
      <c r="U1129" s="27">
        <v>12826</v>
      </c>
      <c r="V1129" s="27">
        <v>2</v>
      </c>
      <c r="W1129" s="27">
        <v>0</v>
      </c>
      <c r="X1129" s="27">
        <v>16</v>
      </c>
      <c r="Y1129" s="27">
        <v>3</v>
      </c>
      <c r="Z1129" s="27">
        <v>4</v>
      </c>
      <c r="AA1129" s="27">
        <v>80</v>
      </c>
      <c r="AB1129" s="27">
        <v>1</v>
      </c>
      <c r="AC1129" s="27">
        <v>4</v>
      </c>
      <c r="AD1129" s="27">
        <v>2</v>
      </c>
      <c r="AE1129" s="27">
        <v>3</v>
      </c>
      <c r="AF1129" s="27">
        <v>2</v>
      </c>
      <c r="AG1129" s="27">
        <v>2</v>
      </c>
      <c r="AH1129" s="27">
        <v>2</v>
      </c>
      <c r="AI1129" s="28">
        <v>2</v>
      </c>
      <c r="AK1129" s="36">
        <v>1096</v>
      </c>
      <c r="AL1129" s="33">
        <v>28</v>
      </c>
      <c r="AM1129" s="33">
        <v>2</v>
      </c>
      <c r="AN1129" s="33">
        <v>3</v>
      </c>
      <c r="AO1129" s="33">
        <v>1</v>
      </c>
      <c r="AP1129" s="33">
        <v>1</v>
      </c>
      <c r="AQ1129" s="33">
        <v>1</v>
      </c>
      <c r="AR1129" s="33">
        <v>3</v>
      </c>
      <c r="AS1129" s="33">
        <v>15</v>
      </c>
      <c r="AT1129" s="33">
        <v>5</v>
      </c>
      <c r="AU1129" s="43">
        <v>0.26587972717585068</v>
      </c>
      <c r="AV1129" s="33">
        <v>0</v>
      </c>
      <c r="AW1129" s="33">
        <v>0</v>
      </c>
      <c r="AY1129" s="36">
        <v>1101</v>
      </c>
      <c r="AZ1129" s="33">
        <v>1</v>
      </c>
      <c r="BA1129" s="33">
        <v>3</v>
      </c>
      <c r="BB1129" s="33">
        <v>0</v>
      </c>
      <c r="BC1129" s="33">
        <v>2</v>
      </c>
      <c r="BD1129" s="43">
        <v>7.4543423691031577E-2</v>
      </c>
      <c r="BE1129" s="33">
        <v>0</v>
      </c>
      <c r="BF1129" s="33">
        <v>0</v>
      </c>
      <c r="CE1129" s="36">
        <v>1095</v>
      </c>
      <c r="CF1129" s="33">
        <v>9</v>
      </c>
      <c r="CG1129" s="33">
        <v>2</v>
      </c>
      <c r="CH1129" s="33">
        <v>1</v>
      </c>
      <c r="CI1129" s="33">
        <v>2</v>
      </c>
      <c r="CJ1129" s="33">
        <v>0</v>
      </c>
      <c r="CK1129" s="33">
        <v>0</v>
      </c>
      <c r="CL1129" s="33">
        <v>0</v>
      </c>
      <c r="CM1129" s="33">
        <v>4</v>
      </c>
      <c r="CN1129" s="33">
        <v>8</v>
      </c>
      <c r="CO1129" s="33">
        <v>7</v>
      </c>
      <c r="CP1129" s="43">
        <v>0.1288327484909669</v>
      </c>
      <c r="CQ1129" s="33">
        <v>0</v>
      </c>
      <c r="CR1129" s="33">
        <v>0</v>
      </c>
    </row>
    <row r="1130" spans="1:96" ht="15" customHeight="1" x14ac:dyDescent="0.25">
      <c r="A1130" s="26">
        <v>1128</v>
      </c>
      <c r="B1130" s="27">
        <v>36</v>
      </c>
      <c r="C1130" s="27">
        <v>0</v>
      </c>
      <c r="D1130" s="27">
        <v>2</v>
      </c>
      <c r="E1130" s="27">
        <v>1302</v>
      </c>
      <c r="F1130" s="27">
        <v>2</v>
      </c>
      <c r="G1130" s="27">
        <v>6</v>
      </c>
      <c r="H1130" s="27">
        <v>4</v>
      </c>
      <c r="I1130" s="27">
        <v>1</v>
      </c>
      <c r="J1130" s="27">
        <v>1</v>
      </c>
      <c r="K1130" s="27">
        <v>1594</v>
      </c>
      <c r="L1130" s="27">
        <v>1</v>
      </c>
      <c r="M1130" s="27">
        <v>1</v>
      </c>
      <c r="N1130" s="27">
        <v>80</v>
      </c>
      <c r="O1130" s="27">
        <v>4</v>
      </c>
      <c r="P1130" s="27">
        <v>2</v>
      </c>
      <c r="Q1130" s="27">
        <v>3</v>
      </c>
      <c r="R1130" s="27">
        <v>1</v>
      </c>
      <c r="S1130" s="27">
        <v>2</v>
      </c>
      <c r="T1130" s="27">
        <v>5562</v>
      </c>
      <c r="U1130" s="27">
        <v>19711</v>
      </c>
      <c r="V1130" s="27">
        <v>3</v>
      </c>
      <c r="W1130" s="27">
        <v>1</v>
      </c>
      <c r="X1130" s="27">
        <v>13</v>
      </c>
      <c r="Y1130" s="27">
        <v>3</v>
      </c>
      <c r="Z1130" s="27">
        <v>4</v>
      </c>
      <c r="AA1130" s="27">
        <v>80</v>
      </c>
      <c r="AB1130" s="27">
        <v>1</v>
      </c>
      <c r="AC1130" s="27">
        <v>9</v>
      </c>
      <c r="AD1130" s="27">
        <v>3</v>
      </c>
      <c r="AE1130" s="27">
        <v>3</v>
      </c>
      <c r="AF1130" s="27">
        <v>3</v>
      </c>
      <c r="AG1130" s="27">
        <v>2</v>
      </c>
      <c r="AH1130" s="27">
        <v>0</v>
      </c>
      <c r="AI1130" s="28">
        <v>2</v>
      </c>
      <c r="AK1130" s="36">
        <v>1097</v>
      </c>
      <c r="AL1130" s="33">
        <v>6</v>
      </c>
      <c r="AM1130" s="33">
        <v>4</v>
      </c>
      <c r="AN1130" s="33">
        <v>4</v>
      </c>
      <c r="AO1130" s="33">
        <v>1</v>
      </c>
      <c r="AP1130" s="33">
        <v>1</v>
      </c>
      <c r="AQ1130" s="33">
        <v>0</v>
      </c>
      <c r="AR1130" s="33">
        <v>3</v>
      </c>
      <c r="AS1130" s="33">
        <v>21</v>
      </c>
      <c r="AT1130" s="33">
        <v>7</v>
      </c>
      <c r="AU1130" s="43">
        <v>5.788737019717112E-2</v>
      </c>
      <c r="AV1130" s="33">
        <v>0</v>
      </c>
      <c r="AW1130" s="33">
        <v>0</v>
      </c>
      <c r="AY1130" s="36">
        <v>1102</v>
      </c>
      <c r="AZ1130" s="33">
        <v>2</v>
      </c>
      <c r="BA1130" s="33">
        <v>2</v>
      </c>
      <c r="BB1130" s="33">
        <v>0</v>
      </c>
      <c r="BC1130" s="33">
        <v>1</v>
      </c>
      <c r="BD1130" s="43">
        <v>9.4721355311452843E-2</v>
      </c>
      <c r="BE1130" s="33">
        <v>0</v>
      </c>
      <c r="BF1130" s="33">
        <v>0</v>
      </c>
      <c r="CE1130" s="36">
        <v>1096</v>
      </c>
      <c r="CF1130" s="33">
        <v>28</v>
      </c>
      <c r="CG1130" s="33">
        <v>2</v>
      </c>
      <c r="CH1130" s="33">
        <v>3</v>
      </c>
      <c r="CI1130" s="33">
        <v>2</v>
      </c>
      <c r="CJ1130" s="33">
        <v>1</v>
      </c>
      <c r="CK1130" s="33">
        <v>1</v>
      </c>
      <c r="CL1130" s="33">
        <v>1</v>
      </c>
      <c r="CM1130" s="33">
        <v>3</v>
      </c>
      <c r="CN1130" s="33">
        <v>15</v>
      </c>
      <c r="CO1130" s="33">
        <v>5</v>
      </c>
      <c r="CP1130" s="43">
        <v>0.26633581789675925</v>
      </c>
      <c r="CQ1130" s="33">
        <v>0</v>
      </c>
      <c r="CR1130" s="33">
        <v>0</v>
      </c>
    </row>
    <row r="1131" spans="1:96" ht="15" customHeight="1" x14ac:dyDescent="0.25">
      <c r="A1131" s="26">
        <v>1129</v>
      </c>
      <c r="B1131" s="27">
        <v>42</v>
      </c>
      <c r="C1131" s="27">
        <v>0</v>
      </c>
      <c r="D1131" s="27">
        <v>1</v>
      </c>
      <c r="E1131" s="27">
        <v>1059</v>
      </c>
      <c r="F1131" s="27">
        <v>2</v>
      </c>
      <c r="G1131" s="27">
        <v>9</v>
      </c>
      <c r="H1131" s="27">
        <v>2</v>
      </c>
      <c r="I1131" s="27">
        <v>6</v>
      </c>
      <c r="J1131" s="27">
        <v>1</v>
      </c>
      <c r="K1131" s="27">
        <v>1595</v>
      </c>
      <c r="L1131" s="27">
        <v>4</v>
      </c>
      <c r="M1131" s="27">
        <v>1</v>
      </c>
      <c r="N1131" s="27">
        <v>93</v>
      </c>
      <c r="O1131" s="27">
        <v>2</v>
      </c>
      <c r="P1131" s="27">
        <v>5</v>
      </c>
      <c r="Q1131" s="27">
        <v>6</v>
      </c>
      <c r="R1131" s="27">
        <v>4</v>
      </c>
      <c r="S1131" s="27">
        <v>1</v>
      </c>
      <c r="T1131" s="27">
        <v>19613</v>
      </c>
      <c r="U1131" s="27">
        <v>26362</v>
      </c>
      <c r="V1131" s="27">
        <v>8</v>
      </c>
      <c r="W1131" s="27">
        <v>0</v>
      </c>
      <c r="X1131" s="27">
        <v>22</v>
      </c>
      <c r="Y1131" s="27">
        <v>4</v>
      </c>
      <c r="Z1131" s="27">
        <v>4</v>
      </c>
      <c r="AA1131" s="27">
        <v>80</v>
      </c>
      <c r="AB1131" s="27">
        <v>0</v>
      </c>
      <c r="AC1131" s="27">
        <v>24</v>
      </c>
      <c r="AD1131" s="27">
        <v>2</v>
      </c>
      <c r="AE1131" s="27">
        <v>3</v>
      </c>
      <c r="AF1131" s="27">
        <v>1</v>
      </c>
      <c r="AG1131" s="27">
        <v>0</v>
      </c>
      <c r="AH1131" s="27">
        <v>0</v>
      </c>
      <c r="AI1131" s="28">
        <v>1</v>
      </c>
      <c r="AK1131" s="36">
        <v>1098</v>
      </c>
      <c r="AL1131" s="33">
        <v>21</v>
      </c>
      <c r="AM1131" s="33">
        <v>1</v>
      </c>
      <c r="AN1131" s="33">
        <v>1</v>
      </c>
      <c r="AO1131" s="33">
        <v>0</v>
      </c>
      <c r="AP1131" s="33">
        <v>0</v>
      </c>
      <c r="AQ1131" s="33">
        <v>3</v>
      </c>
      <c r="AR1131" s="33">
        <v>3</v>
      </c>
      <c r="AS1131" s="33">
        <v>1</v>
      </c>
      <c r="AT1131" s="33">
        <v>0</v>
      </c>
      <c r="AU1131" s="43">
        <v>8.5783765208789567E-2</v>
      </c>
      <c r="AV1131" s="33">
        <v>0</v>
      </c>
      <c r="AW1131" s="33">
        <v>0</v>
      </c>
      <c r="AY1131" s="36">
        <v>1103</v>
      </c>
      <c r="AZ1131" s="33">
        <v>1</v>
      </c>
      <c r="BA1131" s="33">
        <v>4</v>
      </c>
      <c r="BB1131" s="33">
        <v>1</v>
      </c>
      <c r="BC1131" s="33">
        <v>0</v>
      </c>
      <c r="BD1131" s="43">
        <v>0.42475472169672474</v>
      </c>
      <c r="BE1131" s="33">
        <v>0</v>
      </c>
      <c r="BF1131" s="33">
        <v>0</v>
      </c>
      <c r="CE1131" s="36">
        <v>1097</v>
      </c>
      <c r="CF1131" s="33">
        <v>6</v>
      </c>
      <c r="CG1131" s="33">
        <v>4</v>
      </c>
      <c r="CH1131" s="33">
        <v>4</v>
      </c>
      <c r="CI1131" s="33">
        <v>1</v>
      </c>
      <c r="CJ1131" s="33">
        <v>1</v>
      </c>
      <c r="CK1131" s="33">
        <v>1</v>
      </c>
      <c r="CL1131" s="33">
        <v>0</v>
      </c>
      <c r="CM1131" s="33">
        <v>3</v>
      </c>
      <c r="CN1131" s="33">
        <v>21</v>
      </c>
      <c r="CO1131" s="33">
        <v>7</v>
      </c>
      <c r="CP1131" s="43">
        <v>7.1568423550509394E-2</v>
      </c>
      <c r="CQ1131" s="33">
        <v>0</v>
      </c>
      <c r="CR1131" s="33">
        <v>0</v>
      </c>
    </row>
    <row r="1132" spans="1:96" ht="15" customHeight="1" x14ac:dyDescent="0.25">
      <c r="A1132" s="26">
        <v>1130</v>
      </c>
      <c r="B1132" s="27">
        <v>35</v>
      </c>
      <c r="C1132" s="27">
        <v>0</v>
      </c>
      <c r="D1132" s="27">
        <v>1</v>
      </c>
      <c r="E1132" s="27">
        <v>750</v>
      </c>
      <c r="F1132" s="27">
        <v>2</v>
      </c>
      <c r="G1132" s="27">
        <v>28</v>
      </c>
      <c r="H1132" s="27">
        <v>3</v>
      </c>
      <c r="I1132" s="27">
        <v>1</v>
      </c>
      <c r="J1132" s="27">
        <v>1</v>
      </c>
      <c r="K1132" s="27">
        <v>1596</v>
      </c>
      <c r="L1132" s="27">
        <v>2</v>
      </c>
      <c r="M1132" s="27">
        <v>1</v>
      </c>
      <c r="N1132" s="27">
        <v>46</v>
      </c>
      <c r="O1132" s="27">
        <v>4</v>
      </c>
      <c r="P1132" s="27">
        <v>2</v>
      </c>
      <c r="Q1132" s="27">
        <v>3</v>
      </c>
      <c r="R1132" s="27">
        <v>3</v>
      </c>
      <c r="S1132" s="27">
        <v>2</v>
      </c>
      <c r="T1132" s="27">
        <v>3407</v>
      </c>
      <c r="U1132" s="27">
        <v>25348</v>
      </c>
      <c r="V1132" s="27">
        <v>1</v>
      </c>
      <c r="W1132" s="27">
        <v>0</v>
      </c>
      <c r="X1132" s="27">
        <v>17</v>
      </c>
      <c r="Y1132" s="27">
        <v>3</v>
      </c>
      <c r="Z1132" s="27">
        <v>4</v>
      </c>
      <c r="AA1132" s="27">
        <v>80</v>
      </c>
      <c r="AB1132" s="27">
        <v>2</v>
      </c>
      <c r="AC1132" s="27">
        <v>10</v>
      </c>
      <c r="AD1132" s="27">
        <v>3</v>
      </c>
      <c r="AE1132" s="27">
        <v>2</v>
      </c>
      <c r="AF1132" s="27">
        <v>10</v>
      </c>
      <c r="AG1132" s="27">
        <v>9</v>
      </c>
      <c r="AH1132" s="27">
        <v>6</v>
      </c>
      <c r="AI1132" s="28">
        <v>8</v>
      </c>
      <c r="AK1132" s="36">
        <v>1099</v>
      </c>
      <c r="AL1132" s="33">
        <v>8</v>
      </c>
      <c r="AM1132" s="33">
        <v>2</v>
      </c>
      <c r="AN1132" s="33">
        <v>4</v>
      </c>
      <c r="AO1132" s="33">
        <v>3</v>
      </c>
      <c r="AP1132" s="33">
        <v>1</v>
      </c>
      <c r="AQ1132" s="33">
        <v>0</v>
      </c>
      <c r="AR1132" s="33">
        <v>3</v>
      </c>
      <c r="AS1132" s="33">
        <v>2</v>
      </c>
      <c r="AT1132" s="33">
        <v>2</v>
      </c>
      <c r="AU1132" s="43">
        <v>0.34344921454047789</v>
      </c>
      <c r="AV1132" s="33">
        <v>0</v>
      </c>
      <c r="AW1132" s="33">
        <v>0</v>
      </c>
      <c r="AY1132" s="36">
        <v>1104</v>
      </c>
      <c r="AZ1132" s="33">
        <v>2</v>
      </c>
      <c r="BA1132" s="33">
        <v>3</v>
      </c>
      <c r="BB1132" s="33">
        <v>0</v>
      </c>
      <c r="BC1132" s="33">
        <v>1</v>
      </c>
      <c r="BD1132" s="43">
        <v>7.244788656931947E-2</v>
      </c>
      <c r="BE1132" s="33">
        <v>0</v>
      </c>
      <c r="BF1132" s="33">
        <v>0</v>
      </c>
      <c r="CE1132" s="36">
        <v>1098</v>
      </c>
      <c r="CF1132" s="33">
        <v>21</v>
      </c>
      <c r="CG1132" s="33">
        <v>1</v>
      </c>
      <c r="CH1132" s="33">
        <v>1</v>
      </c>
      <c r="CI1132" s="33">
        <v>3</v>
      </c>
      <c r="CJ1132" s="33">
        <v>0</v>
      </c>
      <c r="CK1132" s="33">
        <v>0</v>
      </c>
      <c r="CL1132" s="33">
        <v>3</v>
      </c>
      <c r="CM1132" s="33">
        <v>3</v>
      </c>
      <c r="CN1132" s="33">
        <v>1</v>
      </c>
      <c r="CO1132" s="33">
        <v>0</v>
      </c>
      <c r="CP1132" s="43">
        <v>9.5153481385719621E-2</v>
      </c>
      <c r="CQ1132" s="33">
        <v>0</v>
      </c>
      <c r="CR1132" s="33">
        <v>0</v>
      </c>
    </row>
    <row r="1133" spans="1:96" ht="15" customHeight="1" x14ac:dyDescent="0.25">
      <c r="A1133" s="26">
        <v>1131</v>
      </c>
      <c r="B1133" s="27">
        <v>34</v>
      </c>
      <c r="C1133" s="27">
        <v>0</v>
      </c>
      <c r="D1133" s="27">
        <v>2</v>
      </c>
      <c r="E1133" s="27">
        <v>653</v>
      </c>
      <c r="F1133" s="27">
        <v>2</v>
      </c>
      <c r="G1133" s="27">
        <v>10</v>
      </c>
      <c r="H1133" s="27">
        <v>4</v>
      </c>
      <c r="I1133" s="27">
        <v>5</v>
      </c>
      <c r="J1133" s="27">
        <v>1</v>
      </c>
      <c r="K1133" s="27">
        <v>1597</v>
      </c>
      <c r="L1133" s="27">
        <v>4</v>
      </c>
      <c r="M1133" s="27">
        <v>1</v>
      </c>
      <c r="N1133" s="27">
        <v>92</v>
      </c>
      <c r="O1133" s="27">
        <v>2</v>
      </c>
      <c r="P1133" s="27">
        <v>2</v>
      </c>
      <c r="Q1133" s="27">
        <v>5</v>
      </c>
      <c r="R1133" s="27">
        <v>3</v>
      </c>
      <c r="S1133" s="27">
        <v>2</v>
      </c>
      <c r="T1133" s="27">
        <v>5063</v>
      </c>
      <c r="U1133" s="27">
        <v>15332</v>
      </c>
      <c r="V1133" s="27">
        <v>1</v>
      </c>
      <c r="W1133" s="27">
        <v>0</v>
      </c>
      <c r="X1133" s="27">
        <v>14</v>
      </c>
      <c r="Y1133" s="27">
        <v>3</v>
      </c>
      <c r="Z1133" s="27">
        <v>2</v>
      </c>
      <c r="AA1133" s="27">
        <v>80</v>
      </c>
      <c r="AB1133" s="27">
        <v>1</v>
      </c>
      <c r="AC1133" s="27">
        <v>8</v>
      </c>
      <c r="AD1133" s="27">
        <v>3</v>
      </c>
      <c r="AE1133" s="27">
        <v>2</v>
      </c>
      <c r="AF1133" s="27">
        <v>8</v>
      </c>
      <c r="AG1133" s="27">
        <v>2</v>
      </c>
      <c r="AH1133" s="27">
        <v>7</v>
      </c>
      <c r="AI1133" s="28">
        <v>7</v>
      </c>
      <c r="AK1133" s="36">
        <v>1100</v>
      </c>
      <c r="AL1133" s="33">
        <v>1</v>
      </c>
      <c r="AM1133" s="33">
        <v>3</v>
      </c>
      <c r="AN1133" s="33">
        <v>2</v>
      </c>
      <c r="AO1133" s="33">
        <v>1</v>
      </c>
      <c r="AP1133" s="33">
        <v>0</v>
      </c>
      <c r="AQ1133" s="33">
        <v>3</v>
      </c>
      <c r="AR1133" s="33">
        <v>3</v>
      </c>
      <c r="AS1133" s="33">
        <v>10</v>
      </c>
      <c r="AT1133" s="33">
        <v>7</v>
      </c>
      <c r="AU1133" s="43">
        <v>1.4691778982889349E-2</v>
      </c>
      <c r="AV1133" s="33">
        <v>0</v>
      </c>
      <c r="AW1133" s="33">
        <v>0</v>
      </c>
      <c r="AY1133" s="36">
        <v>1105</v>
      </c>
      <c r="AZ1133" s="33">
        <v>1</v>
      </c>
      <c r="BA1133" s="33">
        <v>3</v>
      </c>
      <c r="BB1133" s="33">
        <v>0</v>
      </c>
      <c r="BC1133" s="33">
        <v>2</v>
      </c>
      <c r="BD1133" s="43">
        <v>7.4543423691031577E-2</v>
      </c>
      <c r="BE1133" s="33">
        <v>0</v>
      </c>
      <c r="BF1133" s="33">
        <v>0</v>
      </c>
      <c r="CE1133" s="36">
        <v>1099</v>
      </c>
      <c r="CF1133" s="33">
        <v>8</v>
      </c>
      <c r="CG1133" s="33">
        <v>2</v>
      </c>
      <c r="CH1133" s="33">
        <v>4</v>
      </c>
      <c r="CI1133" s="33">
        <v>3</v>
      </c>
      <c r="CJ1133" s="33">
        <v>3</v>
      </c>
      <c r="CK1133" s="33">
        <v>1</v>
      </c>
      <c r="CL1133" s="33">
        <v>0</v>
      </c>
      <c r="CM1133" s="33">
        <v>3</v>
      </c>
      <c r="CN1133" s="33">
        <v>2</v>
      </c>
      <c r="CO1133" s="33">
        <v>2</v>
      </c>
      <c r="CP1133" s="43">
        <v>0.1743621978284349</v>
      </c>
      <c r="CQ1133" s="33">
        <v>0</v>
      </c>
      <c r="CR1133" s="33">
        <v>0</v>
      </c>
    </row>
    <row r="1134" spans="1:96" ht="15" customHeight="1" x14ac:dyDescent="0.25">
      <c r="A1134" s="26">
        <v>1132</v>
      </c>
      <c r="B1134" s="27">
        <v>40</v>
      </c>
      <c r="C1134" s="27">
        <v>0</v>
      </c>
      <c r="D1134" s="27">
        <v>1</v>
      </c>
      <c r="E1134" s="27">
        <v>118</v>
      </c>
      <c r="F1134" s="27">
        <v>1</v>
      </c>
      <c r="G1134" s="27">
        <v>14</v>
      </c>
      <c r="H1134" s="27">
        <v>2</v>
      </c>
      <c r="I1134" s="27">
        <v>1</v>
      </c>
      <c r="J1134" s="27">
        <v>1</v>
      </c>
      <c r="K1134" s="27">
        <v>1598</v>
      </c>
      <c r="L1134" s="27">
        <v>4</v>
      </c>
      <c r="M1134" s="27">
        <v>0</v>
      </c>
      <c r="N1134" s="27">
        <v>84</v>
      </c>
      <c r="O1134" s="27">
        <v>3</v>
      </c>
      <c r="P1134" s="27">
        <v>2</v>
      </c>
      <c r="Q1134" s="27">
        <v>1</v>
      </c>
      <c r="R1134" s="27">
        <v>1</v>
      </c>
      <c r="S1134" s="27">
        <v>2</v>
      </c>
      <c r="T1134" s="27">
        <v>4639</v>
      </c>
      <c r="U1134" s="27">
        <v>11262</v>
      </c>
      <c r="V1134" s="27">
        <v>1</v>
      </c>
      <c r="W1134" s="27">
        <v>0</v>
      </c>
      <c r="X1134" s="27">
        <v>15</v>
      </c>
      <c r="Y1134" s="27">
        <v>3</v>
      </c>
      <c r="Z1134" s="27">
        <v>3</v>
      </c>
      <c r="AA1134" s="27">
        <v>80</v>
      </c>
      <c r="AB1134" s="27">
        <v>1</v>
      </c>
      <c r="AC1134" s="27">
        <v>5</v>
      </c>
      <c r="AD1134" s="27">
        <v>2</v>
      </c>
      <c r="AE1134" s="27">
        <v>3</v>
      </c>
      <c r="AF1134" s="27">
        <v>5</v>
      </c>
      <c r="AG1134" s="27">
        <v>4</v>
      </c>
      <c r="AH1134" s="27">
        <v>1</v>
      </c>
      <c r="AI1134" s="28">
        <v>2</v>
      </c>
      <c r="AK1134" s="36">
        <v>1101</v>
      </c>
      <c r="AL1134" s="33">
        <v>28</v>
      </c>
      <c r="AM1134" s="33">
        <v>1</v>
      </c>
      <c r="AN1134" s="33">
        <v>3</v>
      </c>
      <c r="AO1134" s="33">
        <v>0</v>
      </c>
      <c r="AP1134" s="33">
        <v>0</v>
      </c>
      <c r="AQ1134" s="33">
        <v>2</v>
      </c>
      <c r="AR1134" s="33">
        <v>3</v>
      </c>
      <c r="AS1134" s="33">
        <v>5</v>
      </c>
      <c r="AT1134" s="33">
        <v>4</v>
      </c>
      <c r="AU1134" s="43">
        <v>0.12102740068813329</v>
      </c>
      <c r="AV1134" s="33">
        <v>0</v>
      </c>
      <c r="AW1134" s="33">
        <v>0</v>
      </c>
      <c r="AY1134" s="36">
        <v>1106</v>
      </c>
      <c r="AZ1134" s="33">
        <v>2</v>
      </c>
      <c r="BA1134" s="33">
        <v>1</v>
      </c>
      <c r="BB1134" s="33">
        <v>0</v>
      </c>
      <c r="BC1134" s="33">
        <v>1</v>
      </c>
      <c r="BD1134" s="43">
        <v>0.12293502213131684</v>
      </c>
      <c r="BE1134" s="33">
        <v>0</v>
      </c>
      <c r="BF1134" s="33">
        <v>0</v>
      </c>
      <c r="CE1134" s="36">
        <v>1100</v>
      </c>
      <c r="CF1134" s="33">
        <v>1</v>
      </c>
      <c r="CG1134" s="33">
        <v>3</v>
      </c>
      <c r="CH1134" s="33">
        <v>2</v>
      </c>
      <c r="CI1134" s="33">
        <v>3</v>
      </c>
      <c r="CJ1134" s="33">
        <v>1</v>
      </c>
      <c r="CK1134" s="33">
        <v>0</v>
      </c>
      <c r="CL1134" s="33">
        <v>3</v>
      </c>
      <c r="CM1134" s="33">
        <v>3</v>
      </c>
      <c r="CN1134" s="33">
        <v>10</v>
      </c>
      <c r="CO1134" s="33">
        <v>7</v>
      </c>
      <c r="CP1134" s="43">
        <v>1.6905139185256032E-2</v>
      </c>
      <c r="CQ1134" s="33">
        <v>0</v>
      </c>
      <c r="CR1134" s="33">
        <v>0</v>
      </c>
    </row>
    <row r="1135" spans="1:96" ht="15" customHeight="1" x14ac:dyDescent="0.25">
      <c r="A1135" s="26">
        <v>1133</v>
      </c>
      <c r="B1135" s="27">
        <v>43</v>
      </c>
      <c r="C1135" s="27">
        <v>0</v>
      </c>
      <c r="D1135" s="27">
        <v>1</v>
      </c>
      <c r="E1135" s="27">
        <v>990</v>
      </c>
      <c r="F1135" s="27">
        <v>2</v>
      </c>
      <c r="G1135" s="27">
        <v>27</v>
      </c>
      <c r="H1135" s="27">
        <v>3</v>
      </c>
      <c r="I1135" s="27">
        <v>5</v>
      </c>
      <c r="J1135" s="27">
        <v>1</v>
      </c>
      <c r="K1135" s="27">
        <v>1599</v>
      </c>
      <c r="L1135" s="27">
        <v>4</v>
      </c>
      <c r="M1135" s="27">
        <v>1</v>
      </c>
      <c r="N1135" s="27">
        <v>87</v>
      </c>
      <c r="O1135" s="27">
        <v>4</v>
      </c>
      <c r="P1135" s="27">
        <v>1</v>
      </c>
      <c r="Q1135" s="27">
        <v>3</v>
      </c>
      <c r="R1135" s="27">
        <v>2</v>
      </c>
      <c r="S1135" s="27">
        <v>3</v>
      </c>
      <c r="T1135" s="27">
        <v>4876</v>
      </c>
      <c r="U1135" s="27">
        <v>5855</v>
      </c>
      <c r="V1135" s="27">
        <v>5</v>
      </c>
      <c r="W1135" s="27">
        <v>0</v>
      </c>
      <c r="X1135" s="27">
        <v>12</v>
      </c>
      <c r="Y1135" s="27">
        <v>3</v>
      </c>
      <c r="Z1135" s="27">
        <v>3</v>
      </c>
      <c r="AA1135" s="27">
        <v>80</v>
      </c>
      <c r="AB1135" s="27">
        <v>1</v>
      </c>
      <c r="AC1135" s="27">
        <v>8</v>
      </c>
      <c r="AD1135" s="27">
        <v>0</v>
      </c>
      <c r="AE1135" s="27">
        <v>3</v>
      </c>
      <c r="AF1135" s="27">
        <v>6</v>
      </c>
      <c r="AG1135" s="27">
        <v>4</v>
      </c>
      <c r="AH1135" s="27">
        <v>0</v>
      </c>
      <c r="AI1135" s="28">
        <v>2</v>
      </c>
      <c r="AK1135" s="36">
        <v>1102</v>
      </c>
      <c r="AL1135" s="33">
        <v>5</v>
      </c>
      <c r="AM1135" s="33">
        <v>2</v>
      </c>
      <c r="AN1135" s="33">
        <v>2</v>
      </c>
      <c r="AO1135" s="33">
        <v>3</v>
      </c>
      <c r="AP1135" s="33">
        <v>0</v>
      </c>
      <c r="AQ1135" s="33">
        <v>1</v>
      </c>
      <c r="AR1135" s="33">
        <v>3</v>
      </c>
      <c r="AS1135" s="33">
        <v>7</v>
      </c>
      <c r="AT1135" s="33">
        <v>2</v>
      </c>
      <c r="AU1135" s="43">
        <v>7.1242915313581789E-2</v>
      </c>
      <c r="AV1135" s="33">
        <v>0</v>
      </c>
      <c r="AW1135" s="33">
        <v>0</v>
      </c>
      <c r="AY1135" s="36">
        <v>1107</v>
      </c>
      <c r="AZ1135" s="33">
        <v>2</v>
      </c>
      <c r="BA1135" s="33">
        <v>1</v>
      </c>
      <c r="BB1135" s="33">
        <v>0</v>
      </c>
      <c r="BC1135" s="33">
        <v>1</v>
      </c>
      <c r="BD1135" s="43">
        <v>0.12293502213131684</v>
      </c>
      <c r="BE1135" s="33">
        <v>0</v>
      </c>
      <c r="BF1135" s="33">
        <v>1</v>
      </c>
      <c r="CE1135" s="36">
        <v>1101</v>
      </c>
      <c r="CF1135" s="33">
        <v>28</v>
      </c>
      <c r="CG1135" s="33">
        <v>1</v>
      </c>
      <c r="CH1135" s="33">
        <v>3</v>
      </c>
      <c r="CI1135" s="33">
        <v>2</v>
      </c>
      <c r="CJ1135" s="33">
        <v>0</v>
      </c>
      <c r="CK1135" s="33">
        <v>0</v>
      </c>
      <c r="CL1135" s="33">
        <v>2</v>
      </c>
      <c r="CM1135" s="33">
        <v>3</v>
      </c>
      <c r="CN1135" s="33">
        <v>5</v>
      </c>
      <c r="CO1135" s="33">
        <v>4</v>
      </c>
      <c r="CP1135" s="43">
        <v>0.1561157452014863</v>
      </c>
      <c r="CQ1135" s="33">
        <v>0</v>
      </c>
      <c r="CR1135" s="33">
        <v>0</v>
      </c>
    </row>
    <row r="1136" spans="1:96" ht="15" customHeight="1" x14ac:dyDescent="0.25">
      <c r="A1136" s="26">
        <v>1134</v>
      </c>
      <c r="B1136" s="27">
        <v>35</v>
      </c>
      <c r="C1136" s="27">
        <v>0</v>
      </c>
      <c r="D1136" s="27">
        <v>1</v>
      </c>
      <c r="E1136" s="27">
        <v>1349</v>
      </c>
      <c r="F1136" s="27">
        <v>2</v>
      </c>
      <c r="G1136" s="27">
        <v>7</v>
      </c>
      <c r="H1136" s="27">
        <v>2</v>
      </c>
      <c r="I1136" s="27">
        <v>1</v>
      </c>
      <c r="J1136" s="27">
        <v>1</v>
      </c>
      <c r="K1136" s="27">
        <v>1601</v>
      </c>
      <c r="L1136" s="27">
        <v>3</v>
      </c>
      <c r="M1136" s="27">
        <v>1</v>
      </c>
      <c r="N1136" s="27">
        <v>63</v>
      </c>
      <c r="O1136" s="27">
        <v>2</v>
      </c>
      <c r="P1136" s="27">
        <v>1</v>
      </c>
      <c r="Q1136" s="27">
        <v>3</v>
      </c>
      <c r="R1136" s="27">
        <v>4</v>
      </c>
      <c r="S1136" s="27">
        <v>2</v>
      </c>
      <c r="T1136" s="27">
        <v>2690</v>
      </c>
      <c r="U1136" s="27">
        <v>7713</v>
      </c>
      <c r="V1136" s="27">
        <v>1</v>
      </c>
      <c r="W1136" s="27">
        <v>0</v>
      </c>
      <c r="X1136" s="27">
        <v>18</v>
      </c>
      <c r="Y1136" s="27">
        <v>3</v>
      </c>
      <c r="Z1136" s="27">
        <v>4</v>
      </c>
      <c r="AA1136" s="27">
        <v>80</v>
      </c>
      <c r="AB1136" s="27">
        <v>1</v>
      </c>
      <c r="AC1136" s="27">
        <v>1</v>
      </c>
      <c r="AD1136" s="27">
        <v>5</v>
      </c>
      <c r="AE1136" s="27">
        <v>2</v>
      </c>
      <c r="AF1136" s="27">
        <v>1</v>
      </c>
      <c r="AG1136" s="27">
        <v>0</v>
      </c>
      <c r="AH1136" s="27">
        <v>0</v>
      </c>
      <c r="AI1136" s="28">
        <v>1</v>
      </c>
      <c r="AK1136" s="36">
        <v>1103</v>
      </c>
      <c r="AL1136" s="33">
        <v>2</v>
      </c>
      <c r="AM1136" s="33">
        <v>1</v>
      </c>
      <c r="AN1136" s="33">
        <v>4</v>
      </c>
      <c r="AO1136" s="33">
        <v>3</v>
      </c>
      <c r="AP1136" s="33">
        <v>1</v>
      </c>
      <c r="AQ1136" s="33">
        <v>0</v>
      </c>
      <c r="AR1136" s="33">
        <v>2</v>
      </c>
      <c r="AS1136" s="33">
        <v>3</v>
      </c>
      <c r="AT1136" s="33">
        <v>1</v>
      </c>
      <c r="AU1136" s="43">
        <v>0.43754917848887359</v>
      </c>
      <c r="AV1136" s="33">
        <v>0</v>
      </c>
      <c r="AW1136" s="33">
        <v>0</v>
      </c>
      <c r="AY1136" s="36">
        <v>1108</v>
      </c>
      <c r="AZ1136" s="33">
        <v>2</v>
      </c>
      <c r="BA1136" s="33">
        <v>3</v>
      </c>
      <c r="BB1136" s="33">
        <v>0</v>
      </c>
      <c r="BC1136" s="33">
        <v>0</v>
      </c>
      <c r="BD1136" s="43">
        <v>0.11690772887050198</v>
      </c>
      <c r="BE1136" s="33">
        <v>0</v>
      </c>
      <c r="BF1136" s="33">
        <v>0</v>
      </c>
      <c r="CE1136" s="36">
        <v>1102</v>
      </c>
      <c r="CF1136" s="33">
        <v>5</v>
      </c>
      <c r="CG1136" s="33">
        <v>2</v>
      </c>
      <c r="CH1136" s="33">
        <v>2</v>
      </c>
      <c r="CI1136" s="33">
        <v>2</v>
      </c>
      <c r="CJ1136" s="33">
        <v>3</v>
      </c>
      <c r="CK1136" s="33">
        <v>0</v>
      </c>
      <c r="CL1136" s="33">
        <v>1</v>
      </c>
      <c r="CM1136" s="33">
        <v>3</v>
      </c>
      <c r="CN1136" s="33">
        <v>7</v>
      </c>
      <c r="CO1136" s="33">
        <v>2</v>
      </c>
      <c r="CP1136" s="43">
        <v>7.0307081332870378E-2</v>
      </c>
      <c r="CQ1136" s="33">
        <v>0</v>
      </c>
      <c r="CR1136" s="33">
        <v>0</v>
      </c>
    </row>
    <row r="1137" spans="1:96" ht="15" customHeight="1" x14ac:dyDescent="0.25">
      <c r="A1137" s="26">
        <v>1135</v>
      </c>
      <c r="B1137" s="27">
        <v>46</v>
      </c>
      <c r="C1137" s="27">
        <v>0</v>
      </c>
      <c r="D1137" s="27">
        <v>1</v>
      </c>
      <c r="E1137" s="27">
        <v>563</v>
      </c>
      <c r="F1137" s="27">
        <v>1</v>
      </c>
      <c r="G1137" s="27">
        <v>1</v>
      </c>
      <c r="H1137" s="27">
        <v>4</v>
      </c>
      <c r="I1137" s="27">
        <v>1</v>
      </c>
      <c r="J1137" s="27">
        <v>1</v>
      </c>
      <c r="K1137" s="27">
        <v>1602</v>
      </c>
      <c r="L1137" s="27">
        <v>4</v>
      </c>
      <c r="M1137" s="27">
        <v>1</v>
      </c>
      <c r="N1137" s="27">
        <v>56</v>
      </c>
      <c r="O1137" s="27">
        <v>4</v>
      </c>
      <c r="P1137" s="27">
        <v>4</v>
      </c>
      <c r="Q1137" s="27">
        <v>6</v>
      </c>
      <c r="R1137" s="27">
        <v>1</v>
      </c>
      <c r="S1137" s="27">
        <v>1</v>
      </c>
      <c r="T1137" s="27">
        <v>17567</v>
      </c>
      <c r="U1137" s="27">
        <v>3156</v>
      </c>
      <c r="V1137" s="27">
        <v>1</v>
      </c>
      <c r="W1137" s="27">
        <v>0</v>
      </c>
      <c r="X1137" s="27">
        <v>15</v>
      </c>
      <c r="Y1137" s="27">
        <v>3</v>
      </c>
      <c r="Z1137" s="27">
        <v>2</v>
      </c>
      <c r="AA1137" s="27">
        <v>80</v>
      </c>
      <c r="AB1137" s="27">
        <v>0</v>
      </c>
      <c r="AC1137" s="27">
        <v>27</v>
      </c>
      <c r="AD1137" s="27">
        <v>5</v>
      </c>
      <c r="AE1137" s="27">
        <v>1</v>
      </c>
      <c r="AF1137" s="27">
        <v>26</v>
      </c>
      <c r="AG1137" s="27">
        <v>0</v>
      </c>
      <c r="AH1137" s="27">
        <v>0</v>
      </c>
      <c r="AI1137" s="28">
        <v>12</v>
      </c>
      <c r="AK1137" s="36">
        <v>1104</v>
      </c>
      <c r="AL1137" s="33">
        <v>16</v>
      </c>
      <c r="AM1137" s="33">
        <v>2</v>
      </c>
      <c r="AN1137" s="33">
        <v>3</v>
      </c>
      <c r="AO1137" s="33">
        <v>8</v>
      </c>
      <c r="AP1137" s="33">
        <v>0</v>
      </c>
      <c r="AQ1137" s="33">
        <v>1</v>
      </c>
      <c r="AR1137" s="33">
        <v>3</v>
      </c>
      <c r="AS1137" s="33">
        <v>8</v>
      </c>
      <c r="AT1137" s="33">
        <v>7</v>
      </c>
      <c r="AU1137" s="43">
        <v>0.17147586273702989</v>
      </c>
      <c r="AV1137" s="33">
        <v>0</v>
      </c>
      <c r="AW1137" s="33">
        <v>0</v>
      </c>
      <c r="AY1137" s="36">
        <v>1109</v>
      </c>
      <c r="AZ1137" s="33">
        <v>1</v>
      </c>
      <c r="BA1137" s="33">
        <v>1</v>
      </c>
      <c r="BB1137" s="33">
        <v>0</v>
      </c>
      <c r="BC1137" s="33">
        <v>0</v>
      </c>
      <c r="BD1137" s="43">
        <v>0.29341085656570393</v>
      </c>
      <c r="BE1137" s="33">
        <v>0</v>
      </c>
      <c r="BF1137" s="33">
        <v>0</v>
      </c>
      <c r="CE1137" s="36">
        <v>1103</v>
      </c>
      <c r="CF1137" s="33">
        <v>2</v>
      </c>
      <c r="CG1137" s="33">
        <v>1</v>
      </c>
      <c r="CH1137" s="33">
        <v>4</v>
      </c>
      <c r="CI1137" s="33">
        <v>1</v>
      </c>
      <c r="CJ1137" s="33">
        <v>3</v>
      </c>
      <c r="CK1137" s="33">
        <v>1</v>
      </c>
      <c r="CL1137" s="33">
        <v>0</v>
      </c>
      <c r="CM1137" s="33">
        <v>2</v>
      </c>
      <c r="CN1137" s="33">
        <v>3</v>
      </c>
      <c r="CO1137" s="33">
        <v>1</v>
      </c>
      <c r="CP1137" s="43">
        <v>0.48836587504847295</v>
      </c>
      <c r="CQ1137" s="33">
        <v>0</v>
      </c>
      <c r="CR1137" s="33">
        <v>0</v>
      </c>
    </row>
    <row r="1138" spans="1:96" ht="15" customHeight="1" x14ac:dyDescent="0.25">
      <c r="A1138" s="26">
        <v>1136</v>
      </c>
      <c r="B1138" s="27">
        <v>28</v>
      </c>
      <c r="C1138" s="27">
        <v>1</v>
      </c>
      <c r="D1138" s="27">
        <v>1</v>
      </c>
      <c r="E1138" s="27">
        <v>329</v>
      </c>
      <c r="F1138" s="27">
        <v>2</v>
      </c>
      <c r="G1138" s="27">
        <v>24</v>
      </c>
      <c r="H1138" s="27">
        <v>3</v>
      </c>
      <c r="I1138" s="27">
        <v>3</v>
      </c>
      <c r="J1138" s="27">
        <v>1</v>
      </c>
      <c r="K1138" s="27">
        <v>1604</v>
      </c>
      <c r="L1138" s="27">
        <v>3</v>
      </c>
      <c r="M1138" s="27">
        <v>1</v>
      </c>
      <c r="N1138" s="27">
        <v>51</v>
      </c>
      <c r="O1138" s="27">
        <v>3</v>
      </c>
      <c r="P1138" s="27">
        <v>1</v>
      </c>
      <c r="Q1138" s="27">
        <v>3</v>
      </c>
      <c r="R1138" s="27">
        <v>2</v>
      </c>
      <c r="S1138" s="27">
        <v>2</v>
      </c>
      <c r="T1138" s="27">
        <v>2408</v>
      </c>
      <c r="U1138" s="27">
        <v>7324</v>
      </c>
      <c r="V1138" s="27">
        <v>1</v>
      </c>
      <c r="W1138" s="27">
        <v>1</v>
      </c>
      <c r="X1138" s="27">
        <v>17</v>
      </c>
      <c r="Y1138" s="27">
        <v>3</v>
      </c>
      <c r="Z1138" s="27">
        <v>3</v>
      </c>
      <c r="AA1138" s="27">
        <v>80</v>
      </c>
      <c r="AB1138" s="27">
        <v>3</v>
      </c>
      <c r="AC1138" s="27">
        <v>1</v>
      </c>
      <c r="AD1138" s="27">
        <v>3</v>
      </c>
      <c r="AE1138" s="27">
        <v>3</v>
      </c>
      <c r="AF1138" s="27">
        <v>1</v>
      </c>
      <c r="AG1138" s="27">
        <v>1</v>
      </c>
      <c r="AH1138" s="27">
        <v>0</v>
      </c>
      <c r="AI1138" s="28">
        <v>0</v>
      </c>
      <c r="AK1138" s="36">
        <v>1105</v>
      </c>
      <c r="AL1138" s="33">
        <v>9</v>
      </c>
      <c r="AM1138" s="33">
        <v>1</v>
      </c>
      <c r="AN1138" s="33">
        <v>3</v>
      </c>
      <c r="AO1138" s="33">
        <v>6</v>
      </c>
      <c r="AP1138" s="33">
        <v>0</v>
      </c>
      <c r="AQ1138" s="33">
        <v>2</v>
      </c>
      <c r="AR1138" s="33">
        <v>2</v>
      </c>
      <c r="AS1138" s="33">
        <v>1</v>
      </c>
      <c r="AT1138" s="33">
        <v>0</v>
      </c>
      <c r="AU1138" s="43">
        <v>0.11401763533296586</v>
      </c>
      <c r="AV1138" s="33">
        <v>0</v>
      </c>
      <c r="AW1138" s="33">
        <v>0</v>
      </c>
      <c r="AY1138" s="36">
        <v>1110</v>
      </c>
      <c r="AZ1138" s="33">
        <v>3</v>
      </c>
      <c r="BA1138" s="33">
        <v>2</v>
      </c>
      <c r="BB1138" s="33">
        <v>0</v>
      </c>
      <c r="BC1138" s="33">
        <v>1</v>
      </c>
      <c r="BD1138" s="43">
        <v>5.6480788250011953E-2</v>
      </c>
      <c r="BE1138" s="33">
        <v>0</v>
      </c>
      <c r="BF1138" s="33">
        <v>0</v>
      </c>
      <c r="CE1138" s="36">
        <v>1104</v>
      </c>
      <c r="CF1138" s="33">
        <v>16</v>
      </c>
      <c r="CG1138" s="33">
        <v>2</v>
      </c>
      <c r="CH1138" s="33">
        <v>3</v>
      </c>
      <c r="CI1138" s="33">
        <v>3</v>
      </c>
      <c r="CJ1138" s="33">
        <v>8</v>
      </c>
      <c r="CK1138" s="33">
        <v>0</v>
      </c>
      <c r="CL1138" s="33">
        <v>1</v>
      </c>
      <c r="CM1138" s="33">
        <v>3</v>
      </c>
      <c r="CN1138" s="33">
        <v>8</v>
      </c>
      <c r="CO1138" s="33">
        <v>7</v>
      </c>
      <c r="CP1138" s="43">
        <v>0.10496402771181197</v>
      </c>
      <c r="CQ1138" s="33">
        <v>0</v>
      </c>
      <c r="CR1138" s="33">
        <v>0</v>
      </c>
    </row>
    <row r="1139" spans="1:96" ht="15" customHeight="1" x14ac:dyDescent="0.25">
      <c r="A1139" s="26">
        <v>1137</v>
      </c>
      <c r="B1139" s="27">
        <v>22</v>
      </c>
      <c r="C1139" s="27">
        <v>0</v>
      </c>
      <c r="D1139" s="27">
        <v>3</v>
      </c>
      <c r="E1139" s="27">
        <v>457</v>
      </c>
      <c r="F1139" s="27">
        <v>2</v>
      </c>
      <c r="G1139" s="27">
        <v>26</v>
      </c>
      <c r="H1139" s="27">
        <v>2</v>
      </c>
      <c r="I1139" s="27">
        <v>6</v>
      </c>
      <c r="J1139" s="27">
        <v>1</v>
      </c>
      <c r="K1139" s="27">
        <v>1605</v>
      </c>
      <c r="L1139" s="27">
        <v>2</v>
      </c>
      <c r="M1139" s="27">
        <v>0</v>
      </c>
      <c r="N1139" s="27">
        <v>85</v>
      </c>
      <c r="O1139" s="27">
        <v>2</v>
      </c>
      <c r="P1139" s="27">
        <v>1</v>
      </c>
      <c r="Q1139" s="27">
        <v>2</v>
      </c>
      <c r="R1139" s="27">
        <v>3</v>
      </c>
      <c r="S1139" s="27">
        <v>2</v>
      </c>
      <c r="T1139" s="27">
        <v>2814</v>
      </c>
      <c r="U1139" s="27">
        <v>10293</v>
      </c>
      <c r="V1139" s="27">
        <v>1</v>
      </c>
      <c r="W1139" s="27">
        <v>1</v>
      </c>
      <c r="X1139" s="27">
        <v>14</v>
      </c>
      <c r="Y1139" s="27">
        <v>3</v>
      </c>
      <c r="Z1139" s="27">
        <v>2</v>
      </c>
      <c r="AA1139" s="27">
        <v>80</v>
      </c>
      <c r="AB1139" s="27">
        <v>0</v>
      </c>
      <c r="AC1139" s="27">
        <v>4</v>
      </c>
      <c r="AD1139" s="27">
        <v>2</v>
      </c>
      <c r="AE1139" s="27">
        <v>2</v>
      </c>
      <c r="AF1139" s="27">
        <v>4</v>
      </c>
      <c r="AG1139" s="27">
        <v>2</v>
      </c>
      <c r="AH1139" s="27">
        <v>1</v>
      </c>
      <c r="AI1139" s="28">
        <v>3</v>
      </c>
      <c r="AK1139" s="36">
        <v>1106</v>
      </c>
      <c r="AL1139" s="33">
        <v>8</v>
      </c>
      <c r="AM1139" s="33">
        <v>2</v>
      </c>
      <c r="AN1139" s="33">
        <v>1</v>
      </c>
      <c r="AO1139" s="33">
        <v>2</v>
      </c>
      <c r="AP1139" s="33">
        <v>0</v>
      </c>
      <c r="AQ1139" s="33">
        <v>1</v>
      </c>
      <c r="AR1139" s="33">
        <v>1</v>
      </c>
      <c r="AS1139" s="33">
        <v>2</v>
      </c>
      <c r="AT1139" s="33">
        <v>2</v>
      </c>
      <c r="AU1139" s="43">
        <v>0.19260011254233633</v>
      </c>
      <c r="AV1139" s="33">
        <v>0</v>
      </c>
      <c r="AW1139" s="33">
        <v>0</v>
      </c>
      <c r="AY1139" s="36">
        <v>1111</v>
      </c>
      <c r="AZ1139" s="33">
        <v>1</v>
      </c>
      <c r="BA1139" s="33">
        <v>1</v>
      </c>
      <c r="BB1139" s="33">
        <v>1</v>
      </c>
      <c r="BC1139" s="33">
        <v>1</v>
      </c>
      <c r="BD1139" s="43">
        <v>0.51155121875600029</v>
      </c>
      <c r="BE1139" s="33">
        <v>1</v>
      </c>
      <c r="BF1139" s="33">
        <v>1</v>
      </c>
      <c r="CE1139" s="36">
        <v>1105</v>
      </c>
      <c r="CF1139" s="33">
        <v>9</v>
      </c>
      <c r="CG1139" s="33">
        <v>1</v>
      </c>
      <c r="CH1139" s="33">
        <v>3</v>
      </c>
      <c r="CI1139" s="33">
        <v>2</v>
      </c>
      <c r="CJ1139" s="33">
        <v>6</v>
      </c>
      <c r="CK1139" s="33">
        <v>0</v>
      </c>
      <c r="CL1139" s="33">
        <v>2</v>
      </c>
      <c r="CM1139" s="33">
        <v>2</v>
      </c>
      <c r="CN1139" s="33">
        <v>1</v>
      </c>
      <c r="CO1139" s="33">
        <v>0</v>
      </c>
      <c r="CP1139" s="43">
        <v>0.15012440372725785</v>
      </c>
      <c r="CQ1139" s="33">
        <v>0</v>
      </c>
      <c r="CR1139" s="33">
        <v>0</v>
      </c>
    </row>
    <row r="1140" spans="1:96" ht="15" customHeight="1" x14ac:dyDescent="0.25">
      <c r="A1140" s="26">
        <v>1138</v>
      </c>
      <c r="B1140" s="27">
        <v>50</v>
      </c>
      <c r="C1140" s="27">
        <v>0</v>
      </c>
      <c r="D1140" s="27">
        <v>2</v>
      </c>
      <c r="E1140" s="27">
        <v>1234</v>
      </c>
      <c r="F1140" s="27">
        <v>2</v>
      </c>
      <c r="G1140" s="27">
        <v>20</v>
      </c>
      <c r="H1140" s="27">
        <v>5</v>
      </c>
      <c r="I1140" s="27">
        <v>3</v>
      </c>
      <c r="J1140" s="27">
        <v>1</v>
      </c>
      <c r="K1140" s="27">
        <v>1606</v>
      </c>
      <c r="L1140" s="27">
        <v>2</v>
      </c>
      <c r="M1140" s="27">
        <v>1</v>
      </c>
      <c r="N1140" s="27">
        <v>41</v>
      </c>
      <c r="O1140" s="27">
        <v>3</v>
      </c>
      <c r="P1140" s="27">
        <v>4</v>
      </c>
      <c r="Q1140" s="27">
        <v>5</v>
      </c>
      <c r="R1140" s="27">
        <v>3</v>
      </c>
      <c r="S1140" s="27">
        <v>2</v>
      </c>
      <c r="T1140" s="27">
        <v>11245</v>
      </c>
      <c r="U1140" s="27">
        <v>20689</v>
      </c>
      <c r="V1140" s="27">
        <v>2</v>
      </c>
      <c r="W1140" s="27">
        <v>1</v>
      </c>
      <c r="X1140" s="27">
        <v>15</v>
      </c>
      <c r="Y1140" s="27">
        <v>3</v>
      </c>
      <c r="Z1140" s="27">
        <v>3</v>
      </c>
      <c r="AA1140" s="27">
        <v>80</v>
      </c>
      <c r="AB1140" s="27">
        <v>1</v>
      </c>
      <c r="AC1140" s="27">
        <v>32</v>
      </c>
      <c r="AD1140" s="27">
        <v>3</v>
      </c>
      <c r="AE1140" s="27">
        <v>3</v>
      </c>
      <c r="AF1140" s="27">
        <v>30</v>
      </c>
      <c r="AG1140" s="27">
        <v>8</v>
      </c>
      <c r="AH1140" s="27">
        <v>12</v>
      </c>
      <c r="AI1140" s="28">
        <v>13</v>
      </c>
      <c r="AK1140" s="36">
        <v>1107</v>
      </c>
      <c r="AL1140" s="33">
        <v>1</v>
      </c>
      <c r="AM1140" s="33">
        <v>2</v>
      </c>
      <c r="AN1140" s="33">
        <v>1</v>
      </c>
      <c r="AO1140" s="33">
        <v>1</v>
      </c>
      <c r="AP1140" s="33">
        <v>0</v>
      </c>
      <c r="AQ1140" s="33">
        <v>1</v>
      </c>
      <c r="AR1140" s="33">
        <v>3</v>
      </c>
      <c r="AS1140" s="33">
        <v>10</v>
      </c>
      <c r="AT1140" s="33">
        <v>6</v>
      </c>
      <c r="AU1140" s="43">
        <v>8.7770825591685961E-2</v>
      </c>
      <c r="AV1140" s="33">
        <v>0</v>
      </c>
      <c r="AW1140" s="33">
        <v>1</v>
      </c>
      <c r="AY1140" s="36">
        <v>1112</v>
      </c>
      <c r="AZ1140" s="33">
        <v>3</v>
      </c>
      <c r="BA1140" s="33">
        <v>4</v>
      </c>
      <c r="BB1140" s="33">
        <v>0</v>
      </c>
      <c r="BC1140" s="33">
        <v>1</v>
      </c>
      <c r="BD1140" s="43">
        <v>3.2280700557178299E-2</v>
      </c>
      <c r="BE1140" s="33">
        <v>0</v>
      </c>
      <c r="BF1140" s="33">
        <v>1</v>
      </c>
      <c r="CE1140" s="36">
        <v>1106</v>
      </c>
      <c r="CF1140" s="33">
        <v>8</v>
      </c>
      <c r="CG1140" s="33">
        <v>2</v>
      </c>
      <c r="CH1140" s="33">
        <v>1</v>
      </c>
      <c r="CI1140" s="33">
        <v>2</v>
      </c>
      <c r="CJ1140" s="33">
        <v>2</v>
      </c>
      <c r="CK1140" s="33">
        <v>0</v>
      </c>
      <c r="CL1140" s="33">
        <v>1</v>
      </c>
      <c r="CM1140" s="33">
        <v>1</v>
      </c>
      <c r="CN1140" s="33">
        <v>2</v>
      </c>
      <c r="CO1140" s="33">
        <v>2</v>
      </c>
      <c r="CP1140" s="43">
        <v>0.19838350134982136</v>
      </c>
      <c r="CQ1140" s="33">
        <v>0</v>
      </c>
      <c r="CR1140" s="33">
        <v>0</v>
      </c>
    </row>
    <row r="1141" spans="1:96" ht="15" customHeight="1" x14ac:dyDescent="0.25">
      <c r="A1141" s="26">
        <v>1139</v>
      </c>
      <c r="B1141" s="27">
        <v>32</v>
      </c>
      <c r="C1141" s="27">
        <v>0</v>
      </c>
      <c r="D1141" s="27">
        <v>1</v>
      </c>
      <c r="E1141" s="27">
        <v>634</v>
      </c>
      <c r="F1141" s="27">
        <v>2</v>
      </c>
      <c r="G1141" s="27">
        <v>5</v>
      </c>
      <c r="H1141" s="27">
        <v>4</v>
      </c>
      <c r="I1141" s="27">
        <v>6</v>
      </c>
      <c r="J1141" s="27">
        <v>1</v>
      </c>
      <c r="K1141" s="27">
        <v>1607</v>
      </c>
      <c r="L1141" s="27">
        <v>2</v>
      </c>
      <c r="M1141" s="27">
        <v>0</v>
      </c>
      <c r="N1141" s="27">
        <v>35</v>
      </c>
      <c r="O1141" s="27">
        <v>4</v>
      </c>
      <c r="P1141" s="27">
        <v>1</v>
      </c>
      <c r="Q1141" s="27">
        <v>2</v>
      </c>
      <c r="R1141" s="27">
        <v>4</v>
      </c>
      <c r="S1141" s="27">
        <v>2</v>
      </c>
      <c r="T1141" s="27">
        <v>3312</v>
      </c>
      <c r="U1141" s="27">
        <v>18783</v>
      </c>
      <c r="V1141" s="27">
        <v>3</v>
      </c>
      <c r="W1141" s="27">
        <v>0</v>
      </c>
      <c r="X1141" s="27">
        <v>17</v>
      </c>
      <c r="Y1141" s="27">
        <v>3</v>
      </c>
      <c r="Z1141" s="27">
        <v>4</v>
      </c>
      <c r="AA1141" s="27">
        <v>80</v>
      </c>
      <c r="AB1141" s="27">
        <v>2</v>
      </c>
      <c r="AC1141" s="27">
        <v>6</v>
      </c>
      <c r="AD1141" s="27">
        <v>3</v>
      </c>
      <c r="AE1141" s="27">
        <v>3</v>
      </c>
      <c r="AF1141" s="27">
        <v>3</v>
      </c>
      <c r="AG1141" s="27">
        <v>2</v>
      </c>
      <c r="AH1141" s="27">
        <v>0</v>
      </c>
      <c r="AI1141" s="28">
        <v>2</v>
      </c>
      <c r="AK1141" s="36">
        <v>1108</v>
      </c>
      <c r="AL1141" s="33">
        <v>10</v>
      </c>
      <c r="AM1141" s="33">
        <v>2</v>
      </c>
      <c r="AN1141" s="33">
        <v>3</v>
      </c>
      <c r="AO1141" s="33">
        <v>3</v>
      </c>
      <c r="AP1141" s="33">
        <v>0</v>
      </c>
      <c r="AQ1141" s="33">
        <v>0</v>
      </c>
      <c r="AR1141" s="33">
        <v>3</v>
      </c>
      <c r="AS1141" s="33">
        <v>6</v>
      </c>
      <c r="AT1141" s="33">
        <v>1</v>
      </c>
      <c r="AU1141" s="43">
        <v>0.1028715335483366</v>
      </c>
      <c r="AV1141" s="33">
        <v>0</v>
      </c>
      <c r="AW1141" s="33">
        <v>0</v>
      </c>
      <c r="AY1141" s="36">
        <v>1113</v>
      </c>
      <c r="AZ1141" s="33">
        <v>2</v>
      </c>
      <c r="BA1141" s="33">
        <v>2</v>
      </c>
      <c r="BB1141" s="33">
        <v>0</v>
      </c>
      <c r="BC1141" s="33">
        <v>2</v>
      </c>
      <c r="BD1141" s="43">
        <v>5.8143431646637607E-2</v>
      </c>
      <c r="BE1141" s="33">
        <v>0</v>
      </c>
      <c r="BF1141" s="33">
        <v>1</v>
      </c>
      <c r="CE1141" s="36">
        <v>1107</v>
      </c>
      <c r="CF1141" s="33">
        <v>1</v>
      </c>
      <c r="CG1141" s="33">
        <v>2</v>
      </c>
      <c r="CH1141" s="33">
        <v>1</v>
      </c>
      <c r="CI1141" s="33">
        <v>2</v>
      </c>
      <c r="CJ1141" s="33">
        <v>1</v>
      </c>
      <c r="CK1141" s="33">
        <v>0</v>
      </c>
      <c r="CL1141" s="33">
        <v>1</v>
      </c>
      <c r="CM1141" s="33">
        <v>3</v>
      </c>
      <c r="CN1141" s="33">
        <v>10</v>
      </c>
      <c r="CO1141" s="33">
        <v>6</v>
      </c>
      <c r="CP1141" s="43">
        <v>8.8801020546950354E-2</v>
      </c>
      <c r="CQ1141" s="33">
        <v>0</v>
      </c>
      <c r="CR1141" s="33">
        <v>1</v>
      </c>
    </row>
    <row r="1142" spans="1:96" ht="15" customHeight="1" x14ac:dyDescent="0.25">
      <c r="A1142" s="26">
        <v>1140</v>
      </c>
      <c r="B1142" s="27">
        <v>44</v>
      </c>
      <c r="C1142" s="27">
        <v>0</v>
      </c>
      <c r="D1142" s="27">
        <v>1</v>
      </c>
      <c r="E1142" s="27">
        <v>1313</v>
      </c>
      <c r="F1142" s="27">
        <v>2</v>
      </c>
      <c r="G1142" s="27">
        <v>7</v>
      </c>
      <c r="H1142" s="27">
        <v>3</v>
      </c>
      <c r="I1142" s="27">
        <v>3</v>
      </c>
      <c r="J1142" s="27">
        <v>1</v>
      </c>
      <c r="K1142" s="27">
        <v>1608</v>
      </c>
      <c r="L1142" s="27">
        <v>2</v>
      </c>
      <c r="M1142" s="27">
        <v>0</v>
      </c>
      <c r="N1142" s="27">
        <v>31</v>
      </c>
      <c r="O1142" s="27">
        <v>3</v>
      </c>
      <c r="P1142" s="27">
        <v>5</v>
      </c>
      <c r="Q1142" s="27">
        <v>8</v>
      </c>
      <c r="R1142" s="27">
        <v>4</v>
      </c>
      <c r="S1142" s="27">
        <v>3</v>
      </c>
      <c r="T1142" s="27">
        <v>19049</v>
      </c>
      <c r="U1142" s="27">
        <v>3549</v>
      </c>
      <c r="V1142" s="27">
        <v>0</v>
      </c>
      <c r="W1142" s="27">
        <v>1</v>
      </c>
      <c r="X1142" s="27">
        <v>14</v>
      </c>
      <c r="Y1142" s="27">
        <v>3</v>
      </c>
      <c r="Z1142" s="27">
        <v>4</v>
      </c>
      <c r="AA1142" s="27">
        <v>80</v>
      </c>
      <c r="AB1142" s="27">
        <v>1</v>
      </c>
      <c r="AC1142" s="27">
        <v>23</v>
      </c>
      <c r="AD1142" s="27">
        <v>4</v>
      </c>
      <c r="AE1142" s="27">
        <v>2</v>
      </c>
      <c r="AF1142" s="27">
        <v>22</v>
      </c>
      <c r="AG1142" s="27">
        <v>7</v>
      </c>
      <c r="AH1142" s="27">
        <v>1</v>
      </c>
      <c r="AI1142" s="28">
        <v>10</v>
      </c>
      <c r="AK1142" s="36">
        <v>1109</v>
      </c>
      <c r="AL1142" s="33">
        <v>1</v>
      </c>
      <c r="AM1142" s="33">
        <v>1</v>
      </c>
      <c r="AN1142" s="33">
        <v>1</v>
      </c>
      <c r="AO1142" s="33">
        <v>1</v>
      </c>
      <c r="AP1142" s="33">
        <v>0</v>
      </c>
      <c r="AQ1142" s="33">
        <v>0</v>
      </c>
      <c r="AR1142" s="33">
        <v>3</v>
      </c>
      <c r="AS1142" s="33">
        <v>3</v>
      </c>
      <c r="AT1142" s="33">
        <v>1</v>
      </c>
      <c r="AU1142" s="43">
        <v>0.21679077312783873</v>
      </c>
      <c r="AV1142" s="33">
        <v>0</v>
      </c>
      <c r="AW1142" s="33">
        <v>0</v>
      </c>
      <c r="AY1142" s="36">
        <v>1114</v>
      </c>
      <c r="AZ1142" s="33">
        <v>2</v>
      </c>
      <c r="BA1142" s="33">
        <v>1</v>
      </c>
      <c r="BB1142" s="33">
        <v>0</v>
      </c>
      <c r="BC1142" s="33">
        <v>1</v>
      </c>
      <c r="BD1142" s="43">
        <v>0.12293502213131684</v>
      </c>
      <c r="BE1142" s="33">
        <v>0</v>
      </c>
      <c r="BF1142" s="33">
        <v>0</v>
      </c>
      <c r="CE1142" s="36">
        <v>1108</v>
      </c>
      <c r="CF1142" s="33">
        <v>10</v>
      </c>
      <c r="CG1142" s="33">
        <v>2</v>
      </c>
      <c r="CH1142" s="33">
        <v>3</v>
      </c>
      <c r="CI1142" s="33">
        <v>2</v>
      </c>
      <c r="CJ1142" s="33">
        <v>3</v>
      </c>
      <c r="CK1142" s="33">
        <v>0</v>
      </c>
      <c r="CL1142" s="33">
        <v>0</v>
      </c>
      <c r="CM1142" s="33">
        <v>3</v>
      </c>
      <c r="CN1142" s="33">
        <v>6</v>
      </c>
      <c r="CO1142" s="33">
        <v>1</v>
      </c>
      <c r="CP1142" s="43">
        <v>7.2676151627475552E-2</v>
      </c>
      <c r="CQ1142" s="33">
        <v>0</v>
      </c>
      <c r="CR1142" s="33">
        <v>0</v>
      </c>
    </row>
    <row r="1143" spans="1:96" ht="15" customHeight="1" x14ac:dyDescent="0.25">
      <c r="A1143" s="26">
        <v>1141</v>
      </c>
      <c r="B1143" s="27">
        <v>30</v>
      </c>
      <c r="C1143" s="27">
        <v>0</v>
      </c>
      <c r="D1143" s="27">
        <v>1</v>
      </c>
      <c r="E1143" s="27">
        <v>241</v>
      </c>
      <c r="F1143" s="27">
        <v>2</v>
      </c>
      <c r="G1143" s="27">
        <v>7</v>
      </c>
      <c r="H1143" s="27">
        <v>3</v>
      </c>
      <c r="I1143" s="27">
        <v>3</v>
      </c>
      <c r="J1143" s="27">
        <v>1</v>
      </c>
      <c r="K1143" s="27">
        <v>1609</v>
      </c>
      <c r="L1143" s="27">
        <v>2</v>
      </c>
      <c r="M1143" s="27">
        <v>1</v>
      </c>
      <c r="N1143" s="27">
        <v>48</v>
      </c>
      <c r="O1143" s="27">
        <v>2</v>
      </c>
      <c r="P1143" s="27">
        <v>1</v>
      </c>
      <c r="Q1143" s="27">
        <v>2</v>
      </c>
      <c r="R1143" s="27">
        <v>2</v>
      </c>
      <c r="S1143" s="27">
        <v>2</v>
      </c>
      <c r="T1143" s="27">
        <v>2141</v>
      </c>
      <c r="U1143" s="27">
        <v>5348</v>
      </c>
      <c r="V1143" s="27">
        <v>1</v>
      </c>
      <c r="W1143" s="27">
        <v>0</v>
      </c>
      <c r="X1143" s="27">
        <v>12</v>
      </c>
      <c r="Y1143" s="27">
        <v>3</v>
      </c>
      <c r="Z1143" s="27">
        <v>2</v>
      </c>
      <c r="AA1143" s="27">
        <v>80</v>
      </c>
      <c r="AB1143" s="27">
        <v>1</v>
      </c>
      <c r="AC1143" s="27">
        <v>6</v>
      </c>
      <c r="AD1143" s="27">
        <v>3</v>
      </c>
      <c r="AE1143" s="27">
        <v>2</v>
      </c>
      <c r="AF1143" s="27">
        <v>6</v>
      </c>
      <c r="AG1143" s="27">
        <v>4</v>
      </c>
      <c r="AH1143" s="27">
        <v>1</v>
      </c>
      <c r="AI1143" s="28">
        <v>1</v>
      </c>
      <c r="AK1143" s="36">
        <v>1110</v>
      </c>
      <c r="AL1143" s="33">
        <v>29</v>
      </c>
      <c r="AM1143" s="33">
        <v>3</v>
      </c>
      <c r="AN1143" s="33">
        <v>2</v>
      </c>
      <c r="AO1143" s="33">
        <v>3</v>
      </c>
      <c r="AP1143" s="33">
        <v>0</v>
      </c>
      <c r="AQ1143" s="33">
        <v>1</v>
      </c>
      <c r="AR1143" s="33">
        <v>3</v>
      </c>
      <c r="AS1143" s="33">
        <v>4</v>
      </c>
      <c r="AT1143" s="33">
        <v>1</v>
      </c>
      <c r="AU1143" s="43">
        <v>9.8936487086420971E-2</v>
      </c>
      <c r="AV1143" s="33">
        <v>0</v>
      </c>
      <c r="AW1143" s="33">
        <v>0</v>
      </c>
      <c r="AY1143" s="36">
        <v>1115</v>
      </c>
      <c r="AZ1143" s="33">
        <v>1</v>
      </c>
      <c r="BA1143" s="33">
        <v>1</v>
      </c>
      <c r="BB1143" s="33">
        <v>0</v>
      </c>
      <c r="BC1143" s="33">
        <v>1</v>
      </c>
      <c r="BD1143" s="43">
        <v>0.19678474515944386</v>
      </c>
      <c r="BE1143" s="33">
        <v>0</v>
      </c>
      <c r="BF1143" s="33">
        <v>0</v>
      </c>
      <c r="CE1143" s="36">
        <v>1109</v>
      </c>
      <c r="CF1143" s="33">
        <v>1</v>
      </c>
      <c r="CG1143" s="33">
        <v>1</v>
      </c>
      <c r="CH1143" s="33">
        <v>1</v>
      </c>
      <c r="CI1143" s="33">
        <v>1</v>
      </c>
      <c r="CJ1143" s="33">
        <v>1</v>
      </c>
      <c r="CK1143" s="33">
        <v>0</v>
      </c>
      <c r="CL1143" s="33">
        <v>0</v>
      </c>
      <c r="CM1143" s="33">
        <v>3</v>
      </c>
      <c r="CN1143" s="33">
        <v>3</v>
      </c>
      <c r="CO1143" s="33">
        <v>1</v>
      </c>
      <c r="CP1143" s="43">
        <v>0.25270827011264213</v>
      </c>
      <c r="CQ1143" s="33">
        <v>0</v>
      </c>
      <c r="CR1143" s="33">
        <v>0</v>
      </c>
    </row>
    <row r="1144" spans="1:96" ht="15" customHeight="1" x14ac:dyDescent="0.25">
      <c r="A1144" s="26">
        <v>1142</v>
      </c>
      <c r="B1144" s="27">
        <v>45</v>
      </c>
      <c r="C1144" s="27">
        <v>0</v>
      </c>
      <c r="D1144" s="27">
        <v>1</v>
      </c>
      <c r="E1144" s="27">
        <v>1015</v>
      </c>
      <c r="F1144" s="27">
        <v>2</v>
      </c>
      <c r="G1144" s="27">
        <v>5</v>
      </c>
      <c r="H1144" s="27">
        <v>5</v>
      </c>
      <c r="I1144" s="27">
        <v>3</v>
      </c>
      <c r="J1144" s="27">
        <v>1</v>
      </c>
      <c r="K1144" s="27">
        <v>1611</v>
      </c>
      <c r="L1144" s="27">
        <v>3</v>
      </c>
      <c r="M1144" s="27">
        <v>0</v>
      </c>
      <c r="N1144" s="27">
        <v>50</v>
      </c>
      <c r="O1144" s="27">
        <v>1</v>
      </c>
      <c r="P1144" s="27">
        <v>2</v>
      </c>
      <c r="Q1144" s="27">
        <v>3</v>
      </c>
      <c r="R1144" s="27">
        <v>1</v>
      </c>
      <c r="S1144" s="27">
        <v>1</v>
      </c>
      <c r="T1144" s="27">
        <v>5769</v>
      </c>
      <c r="U1144" s="27">
        <v>23447</v>
      </c>
      <c r="V1144" s="27">
        <v>1</v>
      </c>
      <c r="W1144" s="27">
        <v>1</v>
      </c>
      <c r="X1144" s="27">
        <v>14</v>
      </c>
      <c r="Y1144" s="27">
        <v>3</v>
      </c>
      <c r="Z1144" s="27">
        <v>1</v>
      </c>
      <c r="AA1144" s="27">
        <v>80</v>
      </c>
      <c r="AB1144" s="27">
        <v>0</v>
      </c>
      <c r="AC1144" s="27">
        <v>10</v>
      </c>
      <c r="AD1144" s="27">
        <v>3</v>
      </c>
      <c r="AE1144" s="27">
        <v>3</v>
      </c>
      <c r="AF1144" s="27">
        <v>10</v>
      </c>
      <c r="AG1144" s="27">
        <v>7</v>
      </c>
      <c r="AH1144" s="27">
        <v>1</v>
      </c>
      <c r="AI1144" s="28">
        <v>4</v>
      </c>
      <c r="AK1144" s="36">
        <v>1111</v>
      </c>
      <c r="AL1144" s="33">
        <v>2</v>
      </c>
      <c r="AM1144" s="33">
        <v>1</v>
      </c>
      <c r="AN1144" s="33">
        <v>1</v>
      </c>
      <c r="AO1144" s="33">
        <v>1</v>
      </c>
      <c r="AP1144" s="33">
        <v>1</v>
      </c>
      <c r="AQ1144" s="33">
        <v>1</v>
      </c>
      <c r="AR1144" s="33">
        <v>3</v>
      </c>
      <c r="AS1144" s="33">
        <v>1</v>
      </c>
      <c r="AT1144" s="33">
        <v>0</v>
      </c>
      <c r="AU1144" s="43">
        <v>0.42267348702441171</v>
      </c>
      <c r="AV1144" s="33">
        <v>0</v>
      </c>
      <c r="AW1144" s="33">
        <v>1</v>
      </c>
      <c r="AY1144" s="36">
        <v>1116</v>
      </c>
      <c r="AZ1144" s="33">
        <v>1</v>
      </c>
      <c r="BA1144" s="33">
        <v>4</v>
      </c>
      <c r="BB1144" s="33">
        <v>0</v>
      </c>
      <c r="BC1144" s="33">
        <v>0</v>
      </c>
      <c r="BD1144" s="43">
        <v>0.1472907617042678</v>
      </c>
      <c r="BE1144" s="33">
        <v>0</v>
      </c>
      <c r="BF1144" s="33">
        <v>0</v>
      </c>
      <c r="CE1144" s="36">
        <v>1110</v>
      </c>
      <c r="CF1144" s="33">
        <v>29</v>
      </c>
      <c r="CG1144" s="33">
        <v>3</v>
      </c>
      <c r="CH1144" s="33">
        <v>2</v>
      </c>
      <c r="CI1144" s="33">
        <v>2</v>
      </c>
      <c r="CJ1144" s="33">
        <v>3</v>
      </c>
      <c r="CK1144" s="33">
        <v>0</v>
      </c>
      <c r="CL1144" s="33">
        <v>1</v>
      </c>
      <c r="CM1144" s="33">
        <v>3</v>
      </c>
      <c r="CN1144" s="33">
        <v>4</v>
      </c>
      <c r="CO1144" s="33">
        <v>1</v>
      </c>
      <c r="CP1144" s="43">
        <v>9.7883802394320568E-2</v>
      </c>
      <c r="CQ1144" s="33">
        <v>0</v>
      </c>
      <c r="CR1144" s="33">
        <v>0</v>
      </c>
    </row>
    <row r="1145" spans="1:96" ht="15" customHeight="1" x14ac:dyDescent="0.25">
      <c r="A1145" s="26">
        <v>1143</v>
      </c>
      <c r="B1145" s="27">
        <v>45</v>
      </c>
      <c r="C1145" s="27">
        <v>0</v>
      </c>
      <c r="D1145" s="27">
        <v>3</v>
      </c>
      <c r="E1145" s="27">
        <v>336</v>
      </c>
      <c r="F1145" s="27">
        <v>1</v>
      </c>
      <c r="G1145" s="27">
        <v>26</v>
      </c>
      <c r="H1145" s="27">
        <v>3</v>
      </c>
      <c r="I1145" s="27">
        <v>4</v>
      </c>
      <c r="J1145" s="27">
        <v>1</v>
      </c>
      <c r="K1145" s="27">
        <v>1612</v>
      </c>
      <c r="L1145" s="27">
        <v>1</v>
      </c>
      <c r="M1145" s="27">
        <v>1</v>
      </c>
      <c r="N1145" s="27">
        <v>52</v>
      </c>
      <c r="O1145" s="27">
        <v>2</v>
      </c>
      <c r="P1145" s="27">
        <v>2</v>
      </c>
      <c r="Q1145" s="27">
        <v>1</v>
      </c>
      <c r="R1145" s="27">
        <v>1</v>
      </c>
      <c r="S1145" s="27">
        <v>2</v>
      </c>
      <c r="T1145" s="27">
        <v>4385</v>
      </c>
      <c r="U1145" s="27">
        <v>24162</v>
      </c>
      <c r="V1145" s="27">
        <v>1</v>
      </c>
      <c r="W1145" s="27">
        <v>0</v>
      </c>
      <c r="X1145" s="27">
        <v>15</v>
      </c>
      <c r="Y1145" s="27">
        <v>3</v>
      </c>
      <c r="Z1145" s="27">
        <v>1</v>
      </c>
      <c r="AA1145" s="27">
        <v>80</v>
      </c>
      <c r="AB1145" s="27">
        <v>1</v>
      </c>
      <c r="AC1145" s="27">
        <v>10</v>
      </c>
      <c r="AD1145" s="27">
        <v>2</v>
      </c>
      <c r="AE1145" s="27">
        <v>3</v>
      </c>
      <c r="AF1145" s="27">
        <v>10</v>
      </c>
      <c r="AG1145" s="27">
        <v>7</v>
      </c>
      <c r="AH1145" s="27">
        <v>4</v>
      </c>
      <c r="AI1145" s="28">
        <v>5</v>
      </c>
      <c r="AK1145" s="36">
        <v>1112</v>
      </c>
      <c r="AL1145" s="33">
        <v>2</v>
      </c>
      <c r="AM1145" s="33">
        <v>3</v>
      </c>
      <c r="AN1145" s="33">
        <v>4</v>
      </c>
      <c r="AO1145" s="33">
        <v>0</v>
      </c>
      <c r="AP1145" s="33">
        <v>0</v>
      </c>
      <c r="AQ1145" s="33">
        <v>1</v>
      </c>
      <c r="AR1145" s="33">
        <v>3</v>
      </c>
      <c r="AS1145" s="33">
        <v>33</v>
      </c>
      <c r="AT1145" s="33">
        <v>1</v>
      </c>
      <c r="AU1145" s="43">
        <v>2.3656221365464174E-3</v>
      </c>
      <c r="AV1145" s="33">
        <v>0</v>
      </c>
      <c r="AW1145" s="33">
        <v>1</v>
      </c>
      <c r="AY1145" s="36">
        <v>1117</v>
      </c>
      <c r="AZ1145" s="33">
        <v>5</v>
      </c>
      <c r="BA1145" s="33">
        <v>4</v>
      </c>
      <c r="BB1145" s="33">
        <v>0</v>
      </c>
      <c r="BC1145" s="33">
        <v>1</v>
      </c>
      <c r="BD1145" s="43">
        <v>1.0800557147898916E-2</v>
      </c>
      <c r="BE1145" s="33">
        <v>0</v>
      </c>
      <c r="BF1145" s="33">
        <v>0</v>
      </c>
      <c r="CE1145" s="36">
        <v>1111</v>
      </c>
      <c r="CF1145" s="33">
        <v>2</v>
      </c>
      <c r="CG1145" s="33">
        <v>1</v>
      </c>
      <c r="CH1145" s="33">
        <v>1</v>
      </c>
      <c r="CI1145" s="33">
        <v>3</v>
      </c>
      <c r="CJ1145" s="33">
        <v>1</v>
      </c>
      <c r="CK1145" s="33">
        <v>1</v>
      </c>
      <c r="CL1145" s="33">
        <v>1</v>
      </c>
      <c r="CM1145" s="33">
        <v>3</v>
      </c>
      <c r="CN1145" s="33">
        <v>1</v>
      </c>
      <c r="CO1145" s="33">
        <v>0</v>
      </c>
      <c r="CP1145" s="43">
        <v>0.30196213237406788</v>
      </c>
      <c r="CQ1145" s="33">
        <v>0</v>
      </c>
      <c r="CR1145" s="33">
        <v>1</v>
      </c>
    </row>
    <row r="1146" spans="1:96" ht="15" customHeight="1" x14ac:dyDescent="0.25">
      <c r="A1146" s="26">
        <v>1144</v>
      </c>
      <c r="B1146" s="27">
        <v>31</v>
      </c>
      <c r="C1146" s="27">
        <v>0</v>
      </c>
      <c r="D1146" s="27">
        <v>2</v>
      </c>
      <c r="E1146" s="27">
        <v>715</v>
      </c>
      <c r="F1146" s="27">
        <v>1</v>
      </c>
      <c r="G1146" s="27">
        <v>2</v>
      </c>
      <c r="H1146" s="27">
        <v>4</v>
      </c>
      <c r="I1146" s="27">
        <v>6</v>
      </c>
      <c r="J1146" s="27">
        <v>1</v>
      </c>
      <c r="K1146" s="27">
        <v>1613</v>
      </c>
      <c r="L1146" s="27">
        <v>4</v>
      </c>
      <c r="M1146" s="27">
        <v>1</v>
      </c>
      <c r="N1146" s="27">
        <v>54</v>
      </c>
      <c r="O1146" s="27">
        <v>3</v>
      </c>
      <c r="P1146" s="27">
        <v>2</v>
      </c>
      <c r="Q1146" s="27">
        <v>1</v>
      </c>
      <c r="R1146" s="27">
        <v>1</v>
      </c>
      <c r="S1146" s="27">
        <v>1</v>
      </c>
      <c r="T1146" s="27">
        <v>5332</v>
      </c>
      <c r="U1146" s="27">
        <v>21602</v>
      </c>
      <c r="V1146" s="27">
        <v>7</v>
      </c>
      <c r="W1146" s="27">
        <v>0</v>
      </c>
      <c r="X1146" s="27">
        <v>13</v>
      </c>
      <c r="Y1146" s="27">
        <v>3</v>
      </c>
      <c r="Z1146" s="27">
        <v>4</v>
      </c>
      <c r="AA1146" s="27">
        <v>80</v>
      </c>
      <c r="AB1146" s="27">
        <v>0</v>
      </c>
      <c r="AC1146" s="27">
        <v>10</v>
      </c>
      <c r="AD1146" s="27">
        <v>3</v>
      </c>
      <c r="AE1146" s="27">
        <v>3</v>
      </c>
      <c r="AF1146" s="27">
        <v>5</v>
      </c>
      <c r="AG1146" s="27">
        <v>2</v>
      </c>
      <c r="AH1146" s="27">
        <v>0</v>
      </c>
      <c r="AI1146" s="28">
        <v>3</v>
      </c>
      <c r="AK1146" s="36">
        <v>1113</v>
      </c>
      <c r="AL1146" s="33">
        <v>2</v>
      </c>
      <c r="AM1146" s="33">
        <v>2</v>
      </c>
      <c r="AN1146" s="33">
        <v>2</v>
      </c>
      <c r="AO1146" s="33">
        <v>4</v>
      </c>
      <c r="AP1146" s="33">
        <v>0</v>
      </c>
      <c r="AQ1146" s="33">
        <v>2</v>
      </c>
      <c r="AR1146" s="33">
        <v>3</v>
      </c>
      <c r="AS1146" s="33">
        <v>5</v>
      </c>
      <c r="AT1146" s="33">
        <v>1</v>
      </c>
      <c r="AU1146" s="43">
        <v>4.2251902607468285E-2</v>
      </c>
      <c r="AV1146" s="33">
        <v>0</v>
      </c>
      <c r="AW1146" s="33">
        <v>1</v>
      </c>
      <c r="AY1146" s="36">
        <v>1118</v>
      </c>
      <c r="AZ1146" s="33">
        <v>2</v>
      </c>
      <c r="BA1146" s="33">
        <v>4</v>
      </c>
      <c r="BB1146" s="33">
        <v>0</v>
      </c>
      <c r="BC1146" s="33">
        <v>1</v>
      </c>
      <c r="BD1146" s="43">
        <v>5.5093218126976727E-2</v>
      </c>
      <c r="BE1146" s="33">
        <v>0</v>
      </c>
      <c r="BF1146" s="33">
        <v>0</v>
      </c>
      <c r="CE1146" s="36">
        <v>1112</v>
      </c>
      <c r="CF1146" s="33">
        <v>2</v>
      </c>
      <c r="CG1146" s="33">
        <v>3</v>
      </c>
      <c r="CH1146" s="33">
        <v>4</v>
      </c>
      <c r="CI1146" s="33">
        <v>2</v>
      </c>
      <c r="CJ1146" s="33">
        <v>0</v>
      </c>
      <c r="CK1146" s="33">
        <v>0</v>
      </c>
      <c r="CL1146" s="33">
        <v>1</v>
      </c>
      <c r="CM1146" s="33">
        <v>3</v>
      </c>
      <c r="CN1146" s="33">
        <v>33</v>
      </c>
      <c r="CO1146" s="33">
        <v>1</v>
      </c>
      <c r="CP1146" s="43">
        <v>2.2288340691104056E-3</v>
      </c>
      <c r="CQ1146" s="33">
        <v>0</v>
      </c>
      <c r="CR1146" s="33">
        <v>1</v>
      </c>
    </row>
    <row r="1147" spans="1:96" ht="15" customHeight="1" x14ac:dyDescent="0.25">
      <c r="A1147" s="26">
        <v>1145</v>
      </c>
      <c r="B1147" s="27">
        <v>36</v>
      </c>
      <c r="C1147" s="27">
        <v>0</v>
      </c>
      <c r="D1147" s="27">
        <v>1</v>
      </c>
      <c r="E1147" s="27">
        <v>559</v>
      </c>
      <c r="F1147" s="27">
        <v>2</v>
      </c>
      <c r="G1147" s="27">
        <v>12</v>
      </c>
      <c r="H1147" s="27">
        <v>4</v>
      </c>
      <c r="I1147" s="27">
        <v>1</v>
      </c>
      <c r="J1147" s="27">
        <v>1</v>
      </c>
      <c r="K1147" s="27">
        <v>1614</v>
      </c>
      <c r="L1147" s="27">
        <v>3</v>
      </c>
      <c r="M1147" s="27">
        <v>0</v>
      </c>
      <c r="N1147" s="27">
        <v>76</v>
      </c>
      <c r="O1147" s="27">
        <v>3</v>
      </c>
      <c r="P1147" s="27">
        <v>2</v>
      </c>
      <c r="Q1147" s="27">
        <v>4</v>
      </c>
      <c r="R1147" s="27">
        <v>3</v>
      </c>
      <c r="S1147" s="27">
        <v>2</v>
      </c>
      <c r="T1147" s="27">
        <v>4663</v>
      </c>
      <c r="U1147" s="27">
        <v>12421</v>
      </c>
      <c r="V1147" s="27">
        <v>9</v>
      </c>
      <c r="W1147" s="27">
        <v>1</v>
      </c>
      <c r="X1147" s="27">
        <v>12</v>
      </c>
      <c r="Y1147" s="27">
        <v>3</v>
      </c>
      <c r="Z1147" s="27">
        <v>2</v>
      </c>
      <c r="AA1147" s="27">
        <v>80</v>
      </c>
      <c r="AB1147" s="27">
        <v>2</v>
      </c>
      <c r="AC1147" s="27">
        <v>7</v>
      </c>
      <c r="AD1147" s="27">
        <v>2</v>
      </c>
      <c r="AE1147" s="27">
        <v>3</v>
      </c>
      <c r="AF1147" s="27">
        <v>3</v>
      </c>
      <c r="AG1147" s="27">
        <v>2</v>
      </c>
      <c r="AH1147" s="27">
        <v>1</v>
      </c>
      <c r="AI1147" s="28">
        <v>1</v>
      </c>
      <c r="AK1147" s="36">
        <v>1114</v>
      </c>
      <c r="AL1147" s="33">
        <v>1</v>
      </c>
      <c r="AM1147" s="33">
        <v>2</v>
      </c>
      <c r="AN1147" s="33">
        <v>1</v>
      </c>
      <c r="AO1147" s="33">
        <v>4</v>
      </c>
      <c r="AP1147" s="33">
        <v>0</v>
      </c>
      <c r="AQ1147" s="33">
        <v>1</v>
      </c>
      <c r="AR1147" s="33">
        <v>2</v>
      </c>
      <c r="AS1147" s="33">
        <v>6</v>
      </c>
      <c r="AT1147" s="33">
        <v>1</v>
      </c>
      <c r="AU1147" s="43">
        <v>0.10574210478447083</v>
      </c>
      <c r="AV1147" s="33">
        <v>0</v>
      </c>
      <c r="AW1147" s="33">
        <v>0</v>
      </c>
      <c r="AY1147" s="36">
        <v>1119</v>
      </c>
      <c r="AZ1147" s="33">
        <v>1</v>
      </c>
      <c r="BA1147" s="33">
        <v>4</v>
      </c>
      <c r="BB1147" s="33">
        <v>0</v>
      </c>
      <c r="BC1147" s="33">
        <v>0</v>
      </c>
      <c r="BD1147" s="43">
        <v>0.1472907617042678</v>
      </c>
      <c r="BE1147" s="33">
        <v>0</v>
      </c>
      <c r="BF1147" s="33">
        <v>0</v>
      </c>
      <c r="CE1147" s="36">
        <v>1113</v>
      </c>
      <c r="CF1147" s="33">
        <v>2</v>
      </c>
      <c r="CG1147" s="33">
        <v>2</v>
      </c>
      <c r="CH1147" s="33">
        <v>2</v>
      </c>
      <c r="CI1147" s="33">
        <v>2</v>
      </c>
      <c r="CJ1147" s="33">
        <v>4</v>
      </c>
      <c r="CK1147" s="33">
        <v>0</v>
      </c>
      <c r="CL1147" s="33">
        <v>2</v>
      </c>
      <c r="CM1147" s="33">
        <v>3</v>
      </c>
      <c r="CN1147" s="33">
        <v>5</v>
      </c>
      <c r="CO1147" s="33">
        <v>1</v>
      </c>
      <c r="CP1147" s="43">
        <v>5.7827874909980398E-2</v>
      </c>
      <c r="CQ1147" s="33">
        <v>0</v>
      </c>
      <c r="CR1147" s="33">
        <v>1</v>
      </c>
    </row>
    <row r="1148" spans="1:96" ht="15" customHeight="1" x14ac:dyDescent="0.25">
      <c r="A1148" s="26">
        <v>1146</v>
      </c>
      <c r="B1148" s="27">
        <v>34</v>
      </c>
      <c r="C1148" s="27">
        <v>0</v>
      </c>
      <c r="D1148" s="27">
        <v>2</v>
      </c>
      <c r="E1148" s="27">
        <v>426</v>
      </c>
      <c r="F1148" s="27">
        <v>2</v>
      </c>
      <c r="G1148" s="27">
        <v>10</v>
      </c>
      <c r="H1148" s="27">
        <v>4</v>
      </c>
      <c r="I1148" s="27">
        <v>1</v>
      </c>
      <c r="J1148" s="27">
        <v>1</v>
      </c>
      <c r="K1148" s="27">
        <v>1615</v>
      </c>
      <c r="L1148" s="27">
        <v>3</v>
      </c>
      <c r="M1148" s="27">
        <v>1</v>
      </c>
      <c r="N1148" s="27">
        <v>42</v>
      </c>
      <c r="O1148" s="27">
        <v>4</v>
      </c>
      <c r="P1148" s="27">
        <v>2</v>
      </c>
      <c r="Q1148" s="27">
        <v>4</v>
      </c>
      <c r="R1148" s="27">
        <v>4</v>
      </c>
      <c r="S1148" s="27">
        <v>3</v>
      </c>
      <c r="T1148" s="27">
        <v>4724</v>
      </c>
      <c r="U1148" s="27">
        <v>17000</v>
      </c>
      <c r="V1148" s="27">
        <v>1</v>
      </c>
      <c r="W1148" s="27">
        <v>0</v>
      </c>
      <c r="X1148" s="27">
        <v>13</v>
      </c>
      <c r="Y1148" s="27">
        <v>3</v>
      </c>
      <c r="Z1148" s="27">
        <v>1</v>
      </c>
      <c r="AA1148" s="27">
        <v>80</v>
      </c>
      <c r="AB1148" s="27">
        <v>1</v>
      </c>
      <c r="AC1148" s="27">
        <v>9</v>
      </c>
      <c r="AD1148" s="27">
        <v>3</v>
      </c>
      <c r="AE1148" s="27">
        <v>3</v>
      </c>
      <c r="AF1148" s="27">
        <v>9</v>
      </c>
      <c r="AG1148" s="27">
        <v>7</v>
      </c>
      <c r="AH1148" s="27">
        <v>7</v>
      </c>
      <c r="AI1148" s="28">
        <v>2</v>
      </c>
      <c r="AK1148" s="36">
        <v>1115</v>
      </c>
      <c r="AL1148" s="33">
        <v>15</v>
      </c>
      <c r="AM1148" s="33">
        <v>1</v>
      </c>
      <c r="AN1148" s="33">
        <v>1</v>
      </c>
      <c r="AO1148" s="33">
        <v>8</v>
      </c>
      <c r="AP1148" s="33">
        <v>0</v>
      </c>
      <c r="AQ1148" s="33">
        <v>1</v>
      </c>
      <c r="AR1148" s="33">
        <v>2</v>
      </c>
      <c r="AS1148" s="33">
        <v>8</v>
      </c>
      <c r="AT1148" s="33">
        <v>7</v>
      </c>
      <c r="AU1148" s="43">
        <v>0.44012155064049202</v>
      </c>
      <c r="AV1148" s="33">
        <v>0</v>
      </c>
      <c r="AW1148" s="33">
        <v>0</v>
      </c>
      <c r="AY1148" s="36">
        <v>1120</v>
      </c>
      <c r="AZ1148" s="33">
        <v>2</v>
      </c>
      <c r="BA1148" s="33">
        <v>2</v>
      </c>
      <c r="BB1148" s="33">
        <v>0</v>
      </c>
      <c r="BC1148" s="33">
        <v>1</v>
      </c>
      <c r="BD1148" s="43">
        <v>9.4721355311452843E-2</v>
      </c>
      <c r="BE1148" s="33">
        <v>0</v>
      </c>
      <c r="BF1148" s="33">
        <v>0</v>
      </c>
      <c r="CE1148" s="36">
        <v>1114</v>
      </c>
      <c r="CF1148" s="33">
        <v>1</v>
      </c>
      <c r="CG1148" s="33">
        <v>2</v>
      </c>
      <c r="CH1148" s="33">
        <v>1</v>
      </c>
      <c r="CI1148" s="33">
        <v>2</v>
      </c>
      <c r="CJ1148" s="33">
        <v>4</v>
      </c>
      <c r="CK1148" s="33">
        <v>0</v>
      </c>
      <c r="CL1148" s="33">
        <v>1</v>
      </c>
      <c r="CM1148" s="33">
        <v>2</v>
      </c>
      <c r="CN1148" s="33">
        <v>6</v>
      </c>
      <c r="CO1148" s="33">
        <v>1</v>
      </c>
      <c r="CP1148" s="43">
        <v>0.10771052599921521</v>
      </c>
      <c r="CQ1148" s="33">
        <v>0</v>
      </c>
      <c r="CR1148" s="33">
        <v>0</v>
      </c>
    </row>
    <row r="1149" spans="1:96" ht="15" customHeight="1" x14ac:dyDescent="0.25">
      <c r="A1149" s="26">
        <v>1147</v>
      </c>
      <c r="B1149" s="27">
        <v>49</v>
      </c>
      <c r="C1149" s="27">
        <v>0</v>
      </c>
      <c r="D1149" s="27">
        <v>1</v>
      </c>
      <c r="E1149" s="27">
        <v>722</v>
      </c>
      <c r="F1149" s="27">
        <v>2</v>
      </c>
      <c r="G1149" s="27">
        <v>25</v>
      </c>
      <c r="H1149" s="27">
        <v>4</v>
      </c>
      <c r="I1149" s="27">
        <v>1</v>
      </c>
      <c r="J1149" s="27">
        <v>1</v>
      </c>
      <c r="K1149" s="27">
        <v>1617</v>
      </c>
      <c r="L1149" s="27">
        <v>3</v>
      </c>
      <c r="M1149" s="27">
        <v>0</v>
      </c>
      <c r="N1149" s="27">
        <v>84</v>
      </c>
      <c r="O1149" s="27">
        <v>3</v>
      </c>
      <c r="P1149" s="27">
        <v>1</v>
      </c>
      <c r="Q1149" s="27">
        <v>3</v>
      </c>
      <c r="R1149" s="27">
        <v>1</v>
      </c>
      <c r="S1149" s="27">
        <v>2</v>
      </c>
      <c r="T1149" s="27">
        <v>3211</v>
      </c>
      <c r="U1149" s="27">
        <v>22102</v>
      </c>
      <c r="V1149" s="27">
        <v>1</v>
      </c>
      <c r="W1149" s="27">
        <v>0</v>
      </c>
      <c r="X1149" s="27">
        <v>14</v>
      </c>
      <c r="Y1149" s="27">
        <v>3</v>
      </c>
      <c r="Z1149" s="27">
        <v>4</v>
      </c>
      <c r="AA1149" s="27">
        <v>80</v>
      </c>
      <c r="AB1149" s="27">
        <v>1</v>
      </c>
      <c r="AC1149" s="27">
        <v>10</v>
      </c>
      <c r="AD1149" s="27">
        <v>3</v>
      </c>
      <c r="AE1149" s="27">
        <v>2</v>
      </c>
      <c r="AF1149" s="27">
        <v>9</v>
      </c>
      <c r="AG1149" s="27">
        <v>6</v>
      </c>
      <c r="AH1149" s="27">
        <v>1</v>
      </c>
      <c r="AI1149" s="28">
        <v>4</v>
      </c>
      <c r="AK1149" s="36">
        <v>1116</v>
      </c>
      <c r="AL1149" s="33">
        <v>7</v>
      </c>
      <c r="AM1149" s="33">
        <v>1</v>
      </c>
      <c r="AN1149" s="33">
        <v>4</v>
      </c>
      <c r="AO1149" s="33">
        <v>1</v>
      </c>
      <c r="AP1149" s="33">
        <v>0</v>
      </c>
      <c r="AQ1149" s="33">
        <v>0</v>
      </c>
      <c r="AR1149" s="33">
        <v>1</v>
      </c>
      <c r="AS1149" s="33">
        <v>1</v>
      </c>
      <c r="AT1149" s="33">
        <v>0</v>
      </c>
      <c r="AU1149" s="43">
        <v>0.18804042333349988</v>
      </c>
      <c r="AV1149" s="33">
        <v>0</v>
      </c>
      <c r="AW1149" s="33">
        <v>0</v>
      </c>
      <c r="AY1149" s="36">
        <v>1121</v>
      </c>
      <c r="AZ1149" s="33">
        <v>2</v>
      </c>
      <c r="BA1149" s="33">
        <v>2</v>
      </c>
      <c r="BB1149" s="33">
        <v>0</v>
      </c>
      <c r="BC1149" s="33">
        <v>0</v>
      </c>
      <c r="BD1149" s="43">
        <v>0.15063023792355215</v>
      </c>
      <c r="BE1149" s="33">
        <v>0</v>
      </c>
      <c r="BF1149" s="33">
        <v>0</v>
      </c>
      <c r="CE1149" s="36">
        <v>1115</v>
      </c>
      <c r="CF1149" s="33">
        <v>15</v>
      </c>
      <c r="CG1149" s="33">
        <v>1</v>
      </c>
      <c r="CH1149" s="33">
        <v>1</v>
      </c>
      <c r="CI1149" s="33">
        <v>2</v>
      </c>
      <c r="CJ1149" s="33">
        <v>8</v>
      </c>
      <c r="CK1149" s="33">
        <v>0</v>
      </c>
      <c r="CL1149" s="33">
        <v>1</v>
      </c>
      <c r="CM1149" s="33">
        <v>2</v>
      </c>
      <c r="CN1149" s="33">
        <v>8</v>
      </c>
      <c r="CO1149" s="33">
        <v>7</v>
      </c>
      <c r="CP1149" s="43">
        <v>0.44703442132993754</v>
      </c>
      <c r="CQ1149" s="33">
        <v>0</v>
      </c>
      <c r="CR1149" s="33">
        <v>0</v>
      </c>
    </row>
    <row r="1150" spans="1:96" ht="15" customHeight="1" x14ac:dyDescent="0.25">
      <c r="A1150" s="26">
        <v>1148</v>
      </c>
      <c r="B1150" s="27">
        <v>39</v>
      </c>
      <c r="C1150" s="27">
        <v>0</v>
      </c>
      <c r="D1150" s="27">
        <v>1</v>
      </c>
      <c r="E1150" s="27">
        <v>1387</v>
      </c>
      <c r="F1150" s="27">
        <v>2</v>
      </c>
      <c r="G1150" s="27">
        <v>10</v>
      </c>
      <c r="H1150" s="27">
        <v>5</v>
      </c>
      <c r="I1150" s="27">
        <v>3</v>
      </c>
      <c r="J1150" s="27">
        <v>1</v>
      </c>
      <c r="K1150" s="27">
        <v>1618</v>
      </c>
      <c r="L1150" s="27">
        <v>2</v>
      </c>
      <c r="M1150" s="27">
        <v>1</v>
      </c>
      <c r="N1150" s="27">
        <v>76</v>
      </c>
      <c r="O1150" s="27">
        <v>3</v>
      </c>
      <c r="P1150" s="27">
        <v>2</v>
      </c>
      <c r="Q1150" s="27">
        <v>4</v>
      </c>
      <c r="R1150" s="27">
        <v>1</v>
      </c>
      <c r="S1150" s="27">
        <v>2</v>
      </c>
      <c r="T1150" s="27">
        <v>5377</v>
      </c>
      <c r="U1150" s="27">
        <v>3835</v>
      </c>
      <c r="V1150" s="27">
        <v>2</v>
      </c>
      <c r="W1150" s="27">
        <v>0</v>
      </c>
      <c r="X1150" s="27">
        <v>13</v>
      </c>
      <c r="Y1150" s="27">
        <v>3</v>
      </c>
      <c r="Z1150" s="27">
        <v>4</v>
      </c>
      <c r="AA1150" s="27">
        <v>80</v>
      </c>
      <c r="AB1150" s="27">
        <v>3</v>
      </c>
      <c r="AC1150" s="27">
        <v>10</v>
      </c>
      <c r="AD1150" s="27">
        <v>3</v>
      </c>
      <c r="AE1150" s="27">
        <v>3</v>
      </c>
      <c r="AF1150" s="27">
        <v>7</v>
      </c>
      <c r="AG1150" s="27">
        <v>7</v>
      </c>
      <c r="AH1150" s="27">
        <v>7</v>
      </c>
      <c r="AI1150" s="28">
        <v>7</v>
      </c>
      <c r="AK1150" s="36">
        <v>1117</v>
      </c>
      <c r="AL1150" s="33">
        <v>26</v>
      </c>
      <c r="AM1150" s="33">
        <v>5</v>
      </c>
      <c r="AN1150" s="33">
        <v>4</v>
      </c>
      <c r="AO1150" s="33">
        <v>1</v>
      </c>
      <c r="AP1150" s="33">
        <v>0</v>
      </c>
      <c r="AQ1150" s="33">
        <v>1</v>
      </c>
      <c r="AR1150" s="33">
        <v>3</v>
      </c>
      <c r="AS1150" s="33">
        <v>36</v>
      </c>
      <c r="AT1150" s="33">
        <v>2</v>
      </c>
      <c r="AU1150" s="43">
        <v>1.7277259167188582E-3</v>
      </c>
      <c r="AV1150" s="33">
        <v>0</v>
      </c>
      <c r="AW1150" s="33">
        <v>0</v>
      </c>
      <c r="AY1150" s="36">
        <v>1122</v>
      </c>
      <c r="AZ1150" s="33">
        <v>2</v>
      </c>
      <c r="BA1150" s="33">
        <v>3</v>
      </c>
      <c r="BB1150" s="33">
        <v>0</v>
      </c>
      <c r="BC1150" s="33">
        <v>0</v>
      </c>
      <c r="BD1150" s="43">
        <v>0.11690772887050198</v>
      </c>
      <c r="BE1150" s="33">
        <v>0</v>
      </c>
      <c r="BF1150" s="33">
        <v>0</v>
      </c>
      <c r="CE1150" s="36">
        <v>1116</v>
      </c>
      <c r="CF1150" s="33">
        <v>7</v>
      </c>
      <c r="CG1150" s="33">
        <v>1</v>
      </c>
      <c r="CH1150" s="33">
        <v>4</v>
      </c>
      <c r="CI1150" s="33">
        <v>1</v>
      </c>
      <c r="CJ1150" s="33">
        <v>1</v>
      </c>
      <c r="CK1150" s="33">
        <v>0</v>
      </c>
      <c r="CL1150" s="33">
        <v>0</v>
      </c>
      <c r="CM1150" s="33">
        <v>1</v>
      </c>
      <c r="CN1150" s="33">
        <v>1</v>
      </c>
      <c r="CO1150" s="33">
        <v>0</v>
      </c>
      <c r="CP1150" s="43">
        <v>0.21605129799930847</v>
      </c>
      <c r="CQ1150" s="33">
        <v>0</v>
      </c>
      <c r="CR1150" s="33">
        <v>0</v>
      </c>
    </row>
    <row r="1151" spans="1:96" ht="15" customHeight="1" x14ac:dyDescent="0.25">
      <c r="A1151" s="26">
        <v>1149</v>
      </c>
      <c r="B1151" s="27">
        <v>27</v>
      </c>
      <c r="C1151" s="27">
        <v>0</v>
      </c>
      <c r="D1151" s="27">
        <v>1</v>
      </c>
      <c r="E1151" s="27">
        <v>1302</v>
      </c>
      <c r="F1151" s="27">
        <v>2</v>
      </c>
      <c r="G1151" s="27">
        <v>19</v>
      </c>
      <c r="H1151" s="27">
        <v>3</v>
      </c>
      <c r="I1151" s="27">
        <v>6</v>
      </c>
      <c r="J1151" s="27">
        <v>1</v>
      </c>
      <c r="K1151" s="27">
        <v>1619</v>
      </c>
      <c r="L1151" s="27">
        <v>4</v>
      </c>
      <c r="M1151" s="27">
        <v>1</v>
      </c>
      <c r="N1151" s="27">
        <v>67</v>
      </c>
      <c r="O1151" s="27">
        <v>2</v>
      </c>
      <c r="P1151" s="27">
        <v>1</v>
      </c>
      <c r="Q1151" s="27">
        <v>3</v>
      </c>
      <c r="R1151" s="27">
        <v>1</v>
      </c>
      <c r="S1151" s="27">
        <v>3</v>
      </c>
      <c r="T1151" s="27">
        <v>4066</v>
      </c>
      <c r="U1151" s="27">
        <v>16290</v>
      </c>
      <c r="V1151" s="27">
        <v>1</v>
      </c>
      <c r="W1151" s="27">
        <v>0</v>
      </c>
      <c r="X1151" s="27">
        <v>11</v>
      </c>
      <c r="Y1151" s="27">
        <v>3</v>
      </c>
      <c r="Z1151" s="27">
        <v>1</v>
      </c>
      <c r="AA1151" s="27">
        <v>80</v>
      </c>
      <c r="AB1151" s="27">
        <v>2</v>
      </c>
      <c r="AC1151" s="27">
        <v>7</v>
      </c>
      <c r="AD1151" s="27">
        <v>3</v>
      </c>
      <c r="AE1151" s="27">
        <v>3</v>
      </c>
      <c r="AF1151" s="27">
        <v>7</v>
      </c>
      <c r="AG1151" s="27">
        <v>7</v>
      </c>
      <c r="AH1151" s="27">
        <v>0</v>
      </c>
      <c r="AI1151" s="28">
        <v>7</v>
      </c>
      <c r="AK1151" s="36">
        <v>1118</v>
      </c>
      <c r="AL1151" s="33">
        <v>1</v>
      </c>
      <c r="AM1151" s="33">
        <v>2</v>
      </c>
      <c r="AN1151" s="33">
        <v>4</v>
      </c>
      <c r="AO1151" s="33">
        <v>9</v>
      </c>
      <c r="AP1151" s="33">
        <v>0</v>
      </c>
      <c r="AQ1151" s="33">
        <v>1</v>
      </c>
      <c r="AR1151" s="33">
        <v>2</v>
      </c>
      <c r="AS1151" s="33">
        <v>2</v>
      </c>
      <c r="AT1151" s="33">
        <v>2</v>
      </c>
      <c r="AU1151" s="43">
        <v>0.10070963306495065</v>
      </c>
      <c r="AV1151" s="33">
        <v>0</v>
      </c>
      <c r="AW1151" s="33">
        <v>0</v>
      </c>
      <c r="AY1151" s="36">
        <v>1123</v>
      </c>
      <c r="AZ1151" s="33">
        <v>1</v>
      </c>
      <c r="BA1151" s="33">
        <v>1</v>
      </c>
      <c r="BB1151" s="33">
        <v>1</v>
      </c>
      <c r="BC1151" s="33">
        <v>0</v>
      </c>
      <c r="BD1151" s="43">
        <v>0.63965103699986936</v>
      </c>
      <c r="BE1151" s="33">
        <v>1</v>
      </c>
      <c r="BF1151" s="33">
        <v>0</v>
      </c>
      <c r="CE1151" s="36">
        <v>1117</v>
      </c>
      <c r="CF1151" s="33">
        <v>26</v>
      </c>
      <c r="CG1151" s="33">
        <v>5</v>
      </c>
      <c r="CH1151" s="33">
        <v>4</v>
      </c>
      <c r="CI1151" s="33">
        <v>2</v>
      </c>
      <c r="CJ1151" s="33">
        <v>1</v>
      </c>
      <c r="CK1151" s="33">
        <v>0</v>
      </c>
      <c r="CL1151" s="33">
        <v>1</v>
      </c>
      <c r="CM1151" s="33">
        <v>3</v>
      </c>
      <c r="CN1151" s="33">
        <v>36</v>
      </c>
      <c r="CO1151" s="33">
        <v>2</v>
      </c>
      <c r="CP1151" s="43">
        <v>1.6575224469857776E-3</v>
      </c>
      <c r="CQ1151" s="33">
        <v>0</v>
      </c>
      <c r="CR1151" s="33">
        <v>0</v>
      </c>
    </row>
    <row r="1152" spans="1:96" ht="15" customHeight="1" x14ac:dyDescent="0.25">
      <c r="A1152" s="26">
        <v>1150</v>
      </c>
      <c r="B1152" s="27">
        <v>35</v>
      </c>
      <c r="C1152" s="27">
        <v>0</v>
      </c>
      <c r="D1152" s="27">
        <v>1</v>
      </c>
      <c r="E1152" s="27">
        <v>819</v>
      </c>
      <c r="F1152" s="27">
        <v>2</v>
      </c>
      <c r="G1152" s="27">
        <v>18</v>
      </c>
      <c r="H1152" s="27">
        <v>5</v>
      </c>
      <c r="I1152" s="27">
        <v>1</v>
      </c>
      <c r="J1152" s="27">
        <v>1</v>
      </c>
      <c r="K1152" s="27">
        <v>1621</v>
      </c>
      <c r="L1152" s="27">
        <v>2</v>
      </c>
      <c r="M1152" s="27">
        <v>1</v>
      </c>
      <c r="N1152" s="27">
        <v>48</v>
      </c>
      <c r="O1152" s="27">
        <v>4</v>
      </c>
      <c r="P1152" s="27">
        <v>2</v>
      </c>
      <c r="Q1152" s="27">
        <v>2</v>
      </c>
      <c r="R1152" s="27">
        <v>1</v>
      </c>
      <c r="S1152" s="27">
        <v>2</v>
      </c>
      <c r="T1152" s="27">
        <v>5208</v>
      </c>
      <c r="U1152" s="27">
        <v>26312</v>
      </c>
      <c r="V1152" s="27">
        <v>1</v>
      </c>
      <c r="W1152" s="27">
        <v>0</v>
      </c>
      <c r="X1152" s="27">
        <v>11</v>
      </c>
      <c r="Y1152" s="27">
        <v>3</v>
      </c>
      <c r="Z1152" s="27">
        <v>4</v>
      </c>
      <c r="AA1152" s="27">
        <v>80</v>
      </c>
      <c r="AB1152" s="27">
        <v>0</v>
      </c>
      <c r="AC1152" s="27">
        <v>16</v>
      </c>
      <c r="AD1152" s="27">
        <v>2</v>
      </c>
      <c r="AE1152" s="27">
        <v>3</v>
      </c>
      <c r="AF1152" s="27">
        <v>16</v>
      </c>
      <c r="AG1152" s="27">
        <v>15</v>
      </c>
      <c r="AH1152" s="27">
        <v>1</v>
      </c>
      <c r="AI1152" s="28">
        <v>10</v>
      </c>
      <c r="AK1152" s="36">
        <v>1119</v>
      </c>
      <c r="AL1152" s="33">
        <v>3</v>
      </c>
      <c r="AM1152" s="33">
        <v>1</v>
      </c>
      <c r="AN1152" s="33">
        <v>4</v>
      </c>
      <c r="AO1152" s="33">
        <v>1</v>
      </c>
      <c r="AP1152" s="33">
        <v>0</v>
      </c>
      <c r="AQ1152" s="33">
        <v>0</v>
      </c>
      <c r="AR1152" s="33">
        <v>3</v>
      </c>
      <c r="AS1152" s="33">
        <v>1</v>
      </c>
      <c r="AT1152" s="33">
        <v>0</v>
      </c>
      <c r="AU1152" s="43">
        <v>0.11280420759925573</v>
      </c>
      <c r="AV1152" s="33">
        <v>0</v>
      </c>
      <c r="AW1152" s="33">
        <v>0</v>
      </c>
      <c r="AY1152" s="36">
        <v>1124</v>
      </c>
      <c r="AZ1152" s="33">
        <v>2</v>
      </c>
      <c r="BA1152" s="33">
        <v>3</v>
      </c>
      <c r="BB1152" s="33">
        <v>1</v>
      </c>
      <c r="BC1152" s="33">
        <v>0</v>
      </c>
      <c r="BD1152" s="43">
        <v>0.36139389867144694</v>
      </c>
      <c r="BE1152" s="33">
        <v>0</v>
      </c>
      <c r="BF1152" s="33">
        <v>0</v>
      </c>
      <c r="CE1152" s="36">
        <v>1118</v>
      </c>
      <c r="CF1152" s="33">
        <v>1</v>
      </c>
      <c r="CG1152" s="33">
        <v>2</v>
      </c>
      <c r="CH1152" s="33">
        <v>4</v>
      </c>
      <c r="CI1152" s="33">
        <v>2</v>
      </c>
      <c r="CJ1152" s="33">
        <v>9</v>
      </c>
      <c r="CK1152" s="33">
        <v>0</v>
      </c>
      <c r="CL1152" s="33">
        <v>1</v>
      </c>
      <c r="CM1152" s="33">
        <v>2</v>
      </c>
      <c r="CN1152" s="33">
        <v>2</v>
      </c>
      <c r="CO1152" s="33">
        <v>2</v>
      </c>
      <c r="CP1152" s="43">
        <v>9.8769015407799837E-2</v>
      </c>
      <c r="CQ1152" s="33">
        <v>0</v>
      </c>
      <c r="CR1152" s="33">
        <v>0</v>
      </c>
    </row>
    <row r="1153" spans="1:96" ht="15" customHeight="1" x14ac:dyDescent="0.25">
      <c r="A1153" s="26">
        <v>1151</v>
      </c>
      <c r="B1153" s="27">
        <v>28</v>
      </c>
      <c r="C1153" s="27">
        <v>0</v>
      </c>
      <c r="D1153" s="27">
        <v>1</v>
      </c>
      <c r="E1153" s="27">
        <v>580</v>
      </c>
      <c r="F1153" s="27">
        <v>2</v>
      </c>
      <c r="G1153" s="27">
        <v>27</v>
      </c>
      <c r="H1153" s="27">
        <v>3</v>
      </c>
      <c r="I1153" s="27">
        <v>3</v>
      </c>
      <c r="J1153" s="27">
        <v>1</v>
      </c>
      <c r="K1153" s="27">
        <v>1622</v>
      </c>
      <c r="L1153" s="27">
        <v>2</v>
      </c>
      <c r="M1153" s="27">
        <v>0</v>
      </c>
      <c r="N1153" s="27">
        <v>39</v>
      </c>
      <c r="O1153" s="27">
        <v>1</v>
      </c>
      <c r="P1153" s="27">
        <v>2</v>
      </c>
      <c r="Q1153" s="27">
        <v>4</v>
      </c>
      <c r="R1153" s="27">
        <v>1</v>
      </c>
      <c r="S1153" s="27">
        <v>3</v>
      </c>
      <c r="T1153" s="27">
        <v>4877</v>
      </c>
      <c r="U1153" s="27">
        <v>20460</v>
      </c>
      <c r="V1153" s="27">
        <v>0</v>
      </c>
      <c r="W1153" s="27">
        <v>0</v>
      </c>
      <c r="X1153" s="27">
        <v>21</v>
      </c>
      <c r="Y1153" s="27">
        <v>4</v>
      </c>
      <c r="Z1153" s="27">
        <v>2</v>
      </c>
      <c r="AA1153" s="27">
        <v>80</v>
      </c>
      <c r="AB1153" s="27">
        <v>1</v>
      </c>
      <c r="AC1153" s="27">
        <v>6</v>
      </c>
      <c r="AD1153" s="27">
        <v>5</v>
      </c>
      <c r="AE1153" s="27">
        <v>2</v>
      </c>
      <c r="AF1153" s="27">
        <v>5</v>
      </c>
      <c r="AG1153" s="27">
        <v>3</v>
      </c>
      <c r="AH1153" s="27">
        <v>0</v>
      </c>
      <c r="AI1153" s="28">
        <v>0</v>
      </c>
      <c r="AK1153" s="36">
        <v>1120</v>
      </c>
      <c r="AL1153" s="33">
        <v>14</v>
      </c>
      <c r="AM1153" s="33">
        <v>2</v>
      </c>
      <c r="AN1153" s="33">
        <v>2</v>
      </c>
      <c r="AO1153" s="33">
        <v>0</v>
      </c>
      <c r="AP1153" s="33">
        <v>0</v>
      </c>
      <c r="AQ1153" s="33">
        <v>1</v>
      </c>
      <c r="AR1153" s="33">
        <v>3</v>
      </c>
      <c r="AS1153" s="33">
        <v>9</v>
      </c>
      <c r="AT1153" s="33">
        <v>7</v>
      </c>
      <c r="AU1153" s="43">
        <v>0.10963749379465217</v>
      </c>
      <c r="AV1153" s="33">
        <v>0</v>
      </c>
      <c r="AW1153" s="33">
        <v>0</v>
      </c>
      <c r="AY1153" s="36">
        <v>1125</v>
      </c>
      <c r="AZ1153" s="33">
        <v>3</v>
      </c>
      <c r="BA1153" s="33">
        <v>3</v>
      </c>
      <c r="BB1153" s="33">
        <v>0</v>
      </c>
      <c r="BC1153" s="33">
        <v>1</v>
      </c>
      <c r="BD1153" s="43">
        <v>4.2774603045834733E-2</v>
      </c>
      <c r="BE1153" s="33">
        <v>0</v>
      </c>
      <c r="BF1153" s="33">
        <v>0</v>
      </c>
      <c r="CE1153" s="36">
        <v>1119</v>
      </c>
      <c r="CF1153" s="33">
        <v>3</v>
      </c>
      <c r="CG1153" s="33">
        <v>1</v>
      </c>
      <c r="CH1153" s="33">
        <v>4</v>
      </c>
      <c r="CI1153" s="33">
        <v>2</v>
      </c>
      <c r="CJ1153" s="33">
        <v>1</v>
      </c>
      <c r="CK1153" s="33">
        <v>0</v>
      </c>
      <c r="CL1153" s="33">
        <v>0</v>
      </c>
      <c r="CM1153" s="33">
        <v>3</v>
      </c>
      <c r="CN1153" s="33">
        <v>1</v>
      </c>
      <c r="CO1153" s="33">
        <v>0</v>
      </c>
      <c r="CP1153" s="43">
        <v>7.7707250188408586E-2</v>
      </c>
      <c r="CQ1153" s="33">
        <v>0</v>
      </c>
      <c r="CR1153" s="33">
        <v>0</v>
      </c>
    </row>
    <row r="1154" spans="1:96" ht="15" customHeight="1" x14ac:dyDescent="0.25">
      <c r="A1154" s="26">
        <v>1152</v>
      </c>
      <c r="B1154" s="27">
        <v>21</v>
      </c>
      <c r="C1154" s="27">
        <v>0</v>
      </c>
      <c r="D1154" s="27">
        <v>1</v>
      </c>
      <c r="E1154" s="27">
        <v>546</v>
      </c>
      <c r="F1154" s="27">
        <v>2</v>
      </c>
      <c r="G1154" s="27">
        <v>5</v>
      </c>
      <c r="H1154" s="27">
        <v>1</v>
      </c>
      <c r="I1154" s="27">
        <v>3</v>
      </c>
      <c r="J1154" s="27">
        <v>1</v>
      </c>
      <c r="K1154" s="27">
        <v>1623</v>
      </c>
      <c r="L1154" s="27">
        <v>3</v>
      </c>
      <c r="M1154" s="27">
        <v>1</v>
      </c>
      <c r="N1154" s="27">
        <v>97</v>
      </c>
      <c r="O1154" s="27">
        <v>3</v>
      </c>
      <c r="P1154" s="27">
        <v>1</v>
      </c>
      <c r="Q1154" s="27">
        <v>2</v>
      </c>
      <c r="R1154" s="27">
        <v>4</v>
      </c>
      <c r="S1154" s="27">
        <v>1</v>
      </c>
      <c r="T1154" s="27">
        <v>3117</v>
      </c>
      <c r="U1154" s="27">
        <v>26009</v>
      </c>
      <c r="V1154" s="27">
        <v>1</v>
      </c>
      <c r="W1154" s="27">
        <v>0</v>
      </c>
      <c r="X1154" s="27">
        <v>18</v>
      </c>
      <c r="Y1154" s="27">
        <v>3</v>
      </c>
      <c r="Z1154" s="27">
        <v>3</v>
      </c>
      <c r="AA1154" s="27">
        <v>80</v>
      </c>
      <c r="AB1154" s="27">
        <v>0</v>
      </c>
      <c r="AC1154" s="27">
        <v>3</v>
      </c>
      <c r="AD1154" s="27">
        <v>2</v>
      </c>
      <c r="AE1154" s="27">
        <v>3</v>
      </c>
      <c r="AF1154" s="27">
        <v>2</v>
      </c>
      <c r="AG1154" s="27">
        <v>2</v>
      </c>
      <c r="AH1154" s="27">
        <v>2</v>
      </c>
      <c r="AI1154" s="28">
        <v>2</v>
      </c>
      <c r="AK1154" s="36">
        <v>1121</v>
      </c>
      <c r="AL1154" s="33">
        <v>16</v>
      </c>
      <c r="AM1154" s="33">
        <v>2</v>
      </c>
      <c r="AN1154" s="33">
        <v>2</v>
      </c>
      <c r="AO1154" s="33">
        <v>2</v>
      </c>
      <c r="AP1154" s="33">
        <v>0</v>
      </c>
      <c r="AQ1154" s="33">
        <v>0</v>
      </c>
      <c r="AR1154" s="33">
        <v>4</v>
      </c>
      <c r="AS1154" s="33">
        <v>3</v>
      </c>
      <c r="AT1154" s="33">
        <v>1</v>
      </c>
      <c r="AU1154" s="43">
        <v>0.14528361856156463</v>
      </c>
      <c r="AV1154" s="33">
        <v>0</v>
      </c>
      <c r="AW1154" s="33">
        <v>0</v>
      </c>
      <c r="AY1154" s="36">
        <v>1126</v>
      </c>
      <c r="AZ1154" s="33">
        <v>2</v>
      </c>
      <c r="BA1154" s="33">
        <v>4</v>
      </c>
      <c r="BB1154" s="33">
        <v>0</v>
      </c>
      <c r="BC1154" s="33">
        <v>1</v>
      </c>
      <c r="BD1154" s="43">
        <v>5.5093218126976727E-2</v>
      </c>
      <c r="BE1154" s="33">
        <v>0</v>
      </c>
      <c r="BF1154" s="33">
        <v>0</v>
      </c>
      <c r="CE1154" s="36">
        <v>1120</v>
      </c>
      <c r="CF1154" s="33">
        <v>14</v>
      </c>
      <c r="CG1154" s="33">
        <v>2</v>
      </c>
      <c r="CH1154" s="33">
        <v>2</v>
      </c>
      <c r="CI1154" s="33">
        <v>2</v>
      </c>
      <c r="CJ1154" s="33">
        <v>0</v>
      </c>
      <c r="CK1154" s="33">
        <v>0</v>
      </c>
      <c r="CL1154" s="33">
        <v>1</v>
      </c>
      <c r="CM1154" s="33">
        <v>3</v>
      </c>
      <c r="CN1154" s="33">
        <v>9</v>
      </c>
      <c r="CO1154" s="33">
        <v>7</v>
      </c>
      <c r="CP1154" s="43">
        <v>0.10889823298723338</v>
      </c>
      <c r="CQ1154" s="33">
        <v>0</v>
      </c>
      <c r="CR1154" s="33">
        <v>0</v>
      </c>
    </row>
    <row r="1155" spans="1:96" ht="15" customHeight="1" x14ac:dyDescent="0.25">
      <c r="A1155" s="26">
        <v>1153</v>
      </c>
      <c r="B1155" s="27">
        <v>18</v>
      </c>
      <c r="C1155" s="27">
        <v>1</v>
      </c>
      <c r="D1155" s="27">
        <v>2</v>
      </c>
      <c r="E1155" s="27">
        <v>544</v>
      </c>
      <c r="F1155" s="27">
        <v>1</v>
      </c>
      <c r="G1155" s="27">
        <v>3</v>
      </c>
      <c r="H1155" s="27">
        <v>2</v>
      </c>
      <c r="I1155" s="27">
        <v>3</v>
      </c>
      <c r="J1155" s="27">
        <v>1</v>
      </c>
      <c r="K1155" s="27">
        <v>1624</v>
      </c>
      <c r="L1155" s="27">
        <v>2</v>
      </c>
      <c r="M1155" s="27">
        <v>0</v>
      </c>
      <c r="N1155" s="27">
        <v>70</v>
      </c>
      <c r="O1155" s="27">
        <v>3</v>
      </c>
      <c r="P1155" s="27">
        <v>1</v>
      </c>
      <c r="Q1155" s="27">
        <v>7</v>
      </c>
      <c r="R1155" s="27">
        <v>4</v>
      </c>
      <c r="S1155" s="27">
        <v>1</v>
      </c>
      <c r="T1155" s="27">
        <v>1569</v>
      </c>
      <c r="U1155" s="27">
        <v>18420</v>
      </c>
      <c r="V1155" s="27">
        <v>1</v>
      </c>
      <c r="W1155" s="27">
        <v>1</v>
      </c>
      <c r="X1155" s="27">
        <v>12</v>
      </c>
      <c r="Y1155" s="27">
        <v>3</v>
      </c>
      <c r="Z1155" s="27">
        <v>3</v>
      </c>
      <c r="AA1155" s="27">
        <v>80</v>
      </c>
      <c r="AB1155" s="27">
        <v>0</v>
      </c>
      <c r="AC1155" s="27">
        <v>0</v>
      </c>
      <c r="AD1155" s="27">
        <v>2</v>
      </c>
      <c r="AE1155" s="27">
        <v>4</v>
      </c>
      <c r="AF1155" s="27">
        <v>0</v>
      </c>
      <c r="AG1155" s="27">
        <v>0</v>
      </c>
      <c r="AH1155" s="27">
        <v>0</v>
      </c>
      <c r="AI1155" s="28">
        <v>0</v>
      </c>
      <c r="AK1155" s="36">
        <v>1122</v>
      </c>
      <c r="AL1155" s="33">
        <v>1</v>
      </c>
      <c r="AM1155" s="33">
        <v>2</v>
      </c>
      <c r="AN1155" s="33">
        <v>3</v>
      </c>
      <c r="AO1155" s="33">
        <v>6</v>
      </c>
      <c r="AP1155" s="33">
        <v>0</v>
      </c>
      <c r="AQ1155" s="33">
        <v>0</v>
      </c>
      <c r="AR1155" s="33">
        <v>3</v>
      </c>
      <c r="AS1155" s="33">
        <v>1</v>
      </c>
      <c r="AT1155" s="33">
        <v>0</v>
      </c>
      <c r="AU1155" s="43">
        <v>0.12246343729619581</v>
      </c>
      <c r="AV1155" s="33">
        <v>0</v>
      </c>
      <c r="AW1155" s="33">
        <v>0</v>
      </c>
      <c r="AY1155" s="36">
        <v>1127</v>
      </c>
      <c r="AZ1155" s="33">
        <v>5</v>
      </c>
      <c r="BA1155" s="33">
        <v>3</v>
      </c>
      <c r="BB1155" s="33">
        <v>1</v>
      </c>
      <c r="BC1155" s="33">
        <v>1</v>
      </c>
      <c r="BD1155" s="43">
        <v>5.8845347099450079E-2</v>
      </c>
      <c r="BE1155" s="33">
        <v>0</v>
      </c>
      <c r="BF1155" s="33">
        <v>0</v>
      </c>
      <c r="CE1155" s="36">
        <v>1121</v>
      </c>
      <c r="CF1155" s="33">
        <v>16</v>
      </c>
      <c r="CG1155" s="33">
        <v>2</v>
      </c>
      <c r="CH1155" s="33">
        <v>2</v>
      </c>
      <c r="CI1155" s="33">
        <v>1</v>
      </c>
      <c r="CJ1155" s="33">
        <v>2</v>
      </c>
      <c r="CK1155" s="33">
        <v>0</v>
      </c>
      <c r="CL1155" s="33">
        <v>0</v>
      </c>
      <c r="CM1155" s="33">
        <v>4</v>
      </c>
      <c r="CN1155" s="33">
        <v>3</v>
      </c>
      <c r="CO1155" s="33">
        <v>1</v>
      </c>
      <c r="CP1155" s="43">
        <v>0.16822486702519465</v>
      </c>
      <c r="CQ1155" s="33">
        <v>0</v>
      </c>
      <c r="CR1155" s="33">
        <v>0</v>
      </c>
    </row>
    <row r="1156" spans="1:96" ht="15" customHeight="1" x14ac:dyDescent="0.25">
      <c r="A1156" s="26">
        <v>1154</v>
      </c>
      <c r="B1156" s="27">
        <v>47</v>
      </c>
      <c r="C1156" s="27">
        <v>0</v>
      </c>
      <c r="D1156" s="27">
        <v>1</v>
      </c>
      <c r="E1156" s="27">
        <v>1176</v>
      </c>
      <c r="F1156" s="27">
        <v>3</v>
      </c>
      <c r="G1156" s="27">
        <v>26</v>
      </c>
      <c r="H1156" s="27">
        <v>4</v>
      </c>
      <c r="I1156" s="27">
        <v>1</v>
      </c>
      <c r="J1156" s="27">
        <v>1</v>
      </c>
      <c r="K1156" s="27">
        <v>1625</v>
      </c>
      <c r="L1156" s="27">
        <v>4</v>
      </c>
      <c r="M1156" s="27">
        <v>0</v>
      </c>
      <c r="N1156" s="27">
        <v>98</v>
      </c>
      <c r="O1156" s="27">
        <v>3</v>
      </c>
      <c r="P1156" s="27">
        <v>5</v>
      </c>
      <c r="Q1156" s="27">
        <v>6</v>
      </c>
      <c r="R1156" s="27">
        <v>3</v>
      </c>
      <c r="S1156" s="27">
        <v>2</v>
      </c>
      <c r="T1156" s="27">
        <v>19658</v>
      </c>
      <c r="U1156" s="27">
        <v>5220</v>
      </c>
      <c r="V1156" s="27">
        <v>3</v>
      </c>
      <c r="W1156" s="27">
        <v>0</v>
      </c>
      <c r="X1156" s="27">
        <v>11</v>
      </c>
      <c r="Y1156" s="27">
        <v>3</v>
      </c>
      <c r="Z1156" s="27">
        <v>3</v>
      </c>
      <c r="AA1156" s="27">
        <v>80</v>
      </c>
      <c r="AB1156" s="27">
        <v>1</v>
      </c>
      <c r="AC1156" s="27">
        <v>27</v>
      </c>
      <c r="AD1156" s="27">
        <v>2</v>
      </c>
      <c r="AE1156" s="27">
        <v>3</v>
      </c>
      <c r="AF1156" s="27">
        <v>5</v>
      </c>
      <c r="AG1156" s="27">
        <v>2</v>
      </c>
      <c r="AH1156" s="27">
        <v>1</v>
      </c>
      <c r="AI1156" s="28">
        <v>0</v>
      </c>
      <c r="AK1156" s="36">
        <v>1123</v>
      </c>
      <c r="AL1156" s="33">
        <v>3</v>
      </c>
      <c r="AM1156" s="33">
        <v>1</v>
      </c>
      <c r="AN1156" s="33">
        <v>1</v>
      </c>
      <c r="AO1156" s="33">
        <v>1</v>
      </c>
      <c r="AP1156" s="33">
        <v>1</v>
      </c>
      <c r="AQ1156" s="33">
        <v>0</v>
      </c>
      <c r="AR1156" s="33">
        <v>3</v>
      </c>
      <c r="AS1156" s="33">
        <v>10</v>
      </c>
      <c r="AT1156" s="33">
        <v>1</v>
      </c>
      <c r="AU1156" s="43">
        <v>0.4386486757502</v>
      </c>
      <c r="AV1156" s="33">
        <v>0</v>
      </c>
      <c r="AW1156" s="33">
        <v>0</v>
      </c>
      <c r="AY1156" s="36">
        <v>1128</v>
      </c>
      <c r="AZ1156" s="33">
        <v>1</v>
      </c>
      <c r="BA1156" s="33">
        <v>3</v>
      </c>
      <c r="BB1156" s="33">
        <v>0</v>
      </c>
      <c r="BC1156" s="33">
        <v>1</v>
      </c>
      <c r="BD1156" s="43">
        <v>0.12012271365792118</v>
      </c>
      <c r="BE1156" s="33">
        <v>0</v>
      </c>
      <c r="BF1156" s="33">
        <v>0</v>
      </c>
      <c r="CE1156" s="36">
        <v>1122</v>
      </c>
      <c r="CF1156" s="33">
        <v>1</v>
      </c>
      <c r="CG1156" s="33">
        <v>2</v>
      </c>
      <c r="CH1156" s="33">
        <v>3</v>
      </c>
      <c r="CI1156" s="33">
        <v>1</v>
      </c>
      <c r="CJ1156" s="33">
        <v>6</v>
      </c>
      <c r="CK1156" s="33">
        <v>0</v>
      </c>
      <c r="CL1156" s="33">
        <v>0</v>
      </c>
      <c r="CM1156" s="33">
        <v>3</v>
      </c>
      <c r="CN1156" s="33">
        <v>1</v>
      </c>
      <c r="CO1156" s="33">
        <v>0</v>
      </c>
      <c r="CP1156" s="43">
        <v>0.14323126265047517</v>
      </c>
      <c r="CQ1156" s="33">
        <v>0</v>
      </c>
      <c r="CR1156" s="33">
        <v>0</v>
      </c>
    </row>
    <row r="1157" spans="1:96" ht="15" customHeight="1" x14ac:dyDescent="0.25">
      <c r="A1157" s="26">
        <v>1155</v>
      </c>
      <c r="B1157" s="27">
        <v>39</v>
      </c>
      <c r="C1157" s="27">
        <v>0</v>
      </c>
      <c r="D1157" s="27">
        <v>1</v>
      </c>
      <c r="E1157" s="27">
        <v>170</v>
      </c>
      <c r="F1157" s="27">
        <v>2</v>
      </c>
      <c r="G1157" s="27">
        <v>3</v>
      </c>
      <c r="H1157" s="27">
        <v>2</v>
      </c>
      <c r="I1157" s="27">
        <v>3</v>
      </c>
      <c r="J1157" s="27">
        <v>1</v>
      </c>
      <c r="K1157" s="27">
        <v>1627</v>
      </c>
      <c r="L1157" s="27">
        <v>3</v>
      </c>
      <c r="M1157" s="27">
        <v>1</v>
      </c>
      <c r="N1157" s="27">
        <v>76</v>
      </c>
      <c r="O1157" s="27">
        <v>2</v>
      </c>
      <c r="P1157" s="27">
        <v>2</v>
      </c>
      <c r="Q1157" s="27">
        <v>3</v>
      </c>
      <c r="R1157" s="27">
        <v>3</v>
      </c>
      <c r="S1157" s="27">
        <v>3</v>
      </c>
      <c r="T1157" s="27">
        <v>3069</v>
      </c>
      <c r="U1157" s="27">
        <v>10302</v>
      </c>
      <c r="V1157" s="27">
        <v>0</v>
      </c>
      <c r="W1157" s="27">
        <v>0</v>
      </c>
      <c r="X1157" s="27">
        <v>15</v>
      </c>
      <c r="Y1157" s="27">
        <v>3</v>
      </c>
      <c r="Z1157" s="27">
        <v>4</v>
      </c>
      <c r="AA1157" s="27">
        <v>80</v>
      </c>
      <c r="AB1157" s="27">
        <v>1</v>
      </c>
      <c r="AC1157" s="27">
        <v>11</v>
      </c>
      <c r="AD1157" s="27">
        <v>3</v>
      </c>
      <c r="AE1157" s="27">
        <v>3</v>
      </c>
      <c r="AF1157" s="27">
        <v>10</v>
      </c>
      <c r="AG1157" s="27">
        <v>8</v>
      </c>
      <c r="AH1157" s="27">
        <v>0</v>
      </c>
      <c r="AI1157" s="28">
        <v>7</v>
      </c>
      <c r="AK1157" s="36">
        <v>1124</v>
      </c>
      <c r="AL1157" s="33">
        <v>10</v>
      </c>
      <c r="AM1157" s="33">
        <v>2</v>
      </c>
      <c r="AN1157" s="33">
        <v>3</v>
      </c>
      <c r="AO1157" s="33">
        <v>3</v>
      </c>
      <c r="AP1157" s="33">
        <v>1</v>
      </c>
      <c r="AQ1157" s="33">
        <v>0</v>
      </c>
      <c r="AR1157" s="33">
        <v>3</v>
      </c>
      <c r="AS1157" s="33">
        <v>5</v>
      </c>
      <c r="AT1157" s="33">
        <v>0</v>
      </c>
      <c r="AU1157" s="43">
        <v>0.32482669873856734</v>
      </c>
      <c r="AV1157" s="33">
        <v>0</v>
      </c>
      <c r="AW1157" s="33">
        <v>0</v>
      </c>
      <c r="AY1157" s="36">
        <v>1129</v>
      </c>
      <c r="AZ1157" s="33">
        <v>2</v>
      </c>
      <c r="BA1157" s="33">
        <v>1</v>
      </c>
      <c r="BB1157" s="33">
        <v>1</v>
      </c>
      <c r="BC1157" s="33">
        <v>1</v>
      </c>
      <c r="BD1157" s="43">
        <v>0.37467799024663817</v>
      </c>
      <c r="BE1157" s="33">
        <v>0</v>
      </c>
      <c r="BF1157" s="33">
        <v>0</v>
      </c>
      <c r="CE1157" s="36">
        <v>1123</v>
      </c>
      <c r="CF1157" s="33">
        <v>3</v>
      </c>
      <c r="CG1157" s="33">
        <v>1</v>
      </c>
      <c r="CH1157" s="33">
        <v>1</v>
      </c>
      <c r="CI1157" s="33">
        <v>1</v>
      </c>
      <c r="CJ1157" s="33">
        <v>1</v>
      </c>
      <c r="CK1157" s="33">
        <v>1</v>
      </c>
      <c r="CL1157" s="33">
        <v>0</v>
      </c>
      <c r="CM1157" s="33">
        <v>3</v>
      </c>
      <c r="CN1157" s="33">
        <v>10</v>
      </c>
      <c r="CO1157" s="33">
        <v>1</v>
      </c>
      <c r="CP1157" s="43">
        <v>0.49740254355223862</v>
      </c>
      <c r="CQ1157" s="33">
        <v>0</v>
      </c>
      <c r="CR1157" s="33">
        <v>0</v>
      </c>
    </row>
    <row r="1158" spans="1:96" ht="15" customHeight="1" x14ac:dyDescent="0.25">
      <c r="A1158" s="26">
        <v>1156</v>
      </c>
      <c r="B1158" s="27">
        <v>40</v>
      </c>
      <c r="C1158" s="27">
        <v>0</v>
      </c>
      <c r="D1158" s="27">
        <v>1</v>
      </c>
      <c r="E1158" s="27">
        <v>884</v>
      </c>
      <c r="F1158" s="27">
        <v>2</v>
      </c>
      <c r="G1158" s="27">
        <v>15</v>
      </c>
      <c r="H1158" s="27">
        <v>3</v>
      </c>
      <c r="I1158" s="27">
        <v>1</v>
      </c>
      <c r="J1158" s="27">
        <v>1</v>
      </c>
      <c r="K1158" s="27">
        <v>1628</v>
      </c>
      <c r="L1158" s="27">
        <v>1</v>
      </c>
      <c r="M1158" s="27">
        <v>0</v>
      </c>
      <c r="N1158" s="27">
        <v>80</v>
      </c>
      <c r="O1158" s="27">
        <v>2</v>
      </c>
      <c r="P1158" s="27">
        <v>3</v>
      </c>
      <c r="Q1158" s="27">
        <v>4</v>
      </c>
      <c r="R1158" s="27">
        <v>3</v>
      </c>
      <c r="S1158" s="27">
        <v>2</v>
      </c>
      <c r="T1158" s="27">
        <v>10435</v>
      </c>
      <c r="U1158" s="27">
        <v>25800</v>
      </c>
      <c r="V1158" s="27">
        <v>1</v>
      </c>
      <c r="W1158" s="27">
        <v>0</v>
      </c>
      <c r="X1158" s="27">
        <v>13</v>
      </c>
      <c r="Y1158" s="27">
        <v>3</v>
      </c>
      <c r="Z1158" s="27">
        <v>4</v>
      </c>
      <c r="AA1158" s="27">
        <v>80</v>
      </c>
      <c r="AB1158" s="27">
        <v>2</v>
      </c>
      <c r="AC1158" s="27">
        <v>18</v>
      </c>
      <c r="AD1158" s="27">
        <v>2</v>
      </c>
      <c r="AE1158" s="27">
        <v>3</v>
      </c>
      <c r="AF1158" s="27">
        <v>18</v>
      </c>
      <c r="AG1158" s="27">
        <v>15</v>
      </c>
      <c r="AH1158" s="27">
        <v>14</v>
      </c>
      <c r="AI1158" s="28">
        <v>12</v>
      </c>
      <c r="AK1158" s="36">
        <v>1125</v>
      </c>
      <c r="AL1158" s="33">
        <v>6</v>
      </c>
      <c r="AM1158" s="33">
        <v>3</v>
      </c>
      <c r="AN1158" s="33">
        <v>3</v>
      </c>
      <c r="AO1158" s="33">
        <v>2</v>
      </c>
      <c r="AP1158" s="33">
        <v>0</v>
      </c>
      <c r="AQ1158" s="33">
        <v>1</v>
      </c>
      <c r="AR1158" s="33">
        <v>3</v>
      </c>
      <c r="AS1158" s="33">
        <v>7</v>
      </c>
      <c r="AT1158" s="33">
        <v>7</v>
      </c>
      <c r="AU1158" s="43">
        <v>5.2403148502715137E-2</v>
      </c>
      <c r="AV1158" s="33">
        <v>0</v>
      </c>
      <c r="AW1158" s="33">
        <v>0</v>
      </c>
      <c r="AY1158" s="36">
        <v>1130</v>
      </c>
      <c r="AZ1158" s="33">
        <v>5</v>
      </c>
      <c r="BA1158" s="33">
        <v>4</v>
      </c>
      <c r="BB1158" s="33">
        <v>0</v>
      </c>
      <c r="BC1158" s="33">
        <v>0</v>
      </c>
      <c r="BD1158" s="43">
        <v>1.8169729095294188E-2</v>
      </c>
      <c r="BE1158" s="33">
        <v>0</v>
      </c>
      <c r="BF1158" s="33">
        <v>0</v>
      </c>
      <c r="CE1158" s="36">
        <v>1124</v>
      </c>
      <c r="CF1158" s="33">
        <v>10</v>
      </c>
      <c r="CG1158" s="33">
        <v>2</v>
      </c>
      <c r="CH1158" s="33">
        <v>3</v>
      </c>
      <c r="CI1158" s="33">
        <v>1</v>
      </c>
      <c r="CJ1158" s="33">
        <v>3</v>
      </c>
      <c r="CK1158" s="33">
        <v>1</v>
      </c>
      <c r="CL1158" s="33">
        <v>0</v>
      </c>
      <c r="CM1158" s="33">
        <v>3</v>
      </c>
      <c r="CN1158" s="33">
        <v>5</v>
      </c>
      <c r="CO1158" s="33">
        <v>0</v>
      </c>
      <c r="CP1158" s="43">
        <v>0.37278970133726985</v>
      </c>
      <c r="CQ1158" s="33">
        <v>0</v>
      </c>
      <c r="CR1158" s="33">
        <v>0</v>
      </c>
    </row>
    <row r="1159" spans="1:96" ht="15" customHeight="1" x14ac:dyDescent="0.25">
      <c r="A1159" s="26">
        <v>1157</v>
      </c>
      <c r="B1159" s="27">
        <v>35</v>
      </c>
      <c r="C1159" s="27">
        <v>0</v>
      </c>
      <c r="D1159" s="27">
        <v>3</v>
      </c>
      <c r="E1159" s="27">
        <v>208</v>
      </c>
      <c r="F1159" s="27">
        <v>2</v>
      </c>
      <c r="G1159" s="27">
        <v>8</v>
      </c>
      <c r="H1159" s="27">
        <v>4</v>
      </c>
      <c r="I1159" s="27">
        <v>1</v>
      </c>
      <c r="J1159" s="27">
        <v>1</v>
      </c>
      <c r="K1159" s="27">
        <v>1630</v>
      </c>
      <c r="L1159" s="27">
        <v>3</v>
      </c>
      <c r="M1159" s="27">
        <v>0</v>
      </c>
      <c r="N1159" s="27">
        <v>52</v>
      </c>
      <c r="O1159" s="27">
        <v>3</v>
      </c>
      <c r="P1159" s="27">
        <v>2</v>
      </c>
      <c r="Q1159" s="27">
        <v>5</v>
      </c>
      <c r="R1159" s="27">
        <v>3</v>
      </c>
      <c r="S1159" s="27">
        <v>2</v>
      </c>
      <c r="T1159" s="27">
        <v>4148</v>
      </c>
      <c r="U1159" s="27">
        <v>12250</v>
      </c>
      <c r="V1159" s="27">
        <v>1</v>
      </c>
      <c r="W1159" s="27">
        <v>0</v>
      </c>
      <c r="X1159" s="27">
        <v>12</v>
      </c>
      <c r="Y1159" s="27">
        <v>3</v>
      </c>
      <c r="Z1159" s="27">
        <v>4</v>
      </c>
      <c r="AA1159" s="27">
        <v>80</v>
      </c>
      <c r="AB1159" s="27">
        <v>1</v>
      </c>
      <c r="AC1159" s="27">
        <v>15</v>
      </c>
      <c r="AD1159" s="27">
        <v>5</v>
      </c>
      <c r="AE1159" s="27">
        <v>3</v>
      </c>
      <c r="AF1159" s="27">
        <v>14</v>
      </c>
      <c r="AG1159" s="27">
        <v>11</v>
      </c>
      <c r="AH1159" s="27">
        <v>2</v>
      </c>
      <c r="AI1159" s="28">
        <v>9</v>
      </c>
      <c r="AK1159" s="36">
        <v>1126</v>
      </c>
      <c r="AL1159" s="33">
        <v>2</v>
      </c>
      <c r="AM1159" s="33">
        <v>2</v>
      </c>
      <c r="AN1159" s="33">
        <v>4</v>
      </c>
      <c r="AO1159" s="33">
        <v>1</v>
      </c>
      <c r="AP1159" s="33">
        <v>0</v>
      </c>
      <c r="AQ1159" s="33">
        <v>1</v>
      </c>
      <c r="AR1159" s="33">
        <v>4</v>
      </c>
      <c r="AS1159" s="33">
        <v>6</v>
      </c>
      <c r="AT1159" s="33">
        <v>1</v>
      </c>
      <c r="AU1159" s="43">
        <v>2.4257630132107244E-2</v>
      </c>
      <c r="AV1159" s="33">
        <v>0</v>
      </c>
      <c r="AW1159" s="33">
        <v>0</v>
      </c>
      <c r="AY1159" s="36">
        <v>1131</v>
      </c>
      <c r="AZ1159" s="33">
        <v>2</v>
      </c>
      <c r="BA1159" s="33">
        <v>3</v>
      </c>
      <c r="BB1159" s="33">
        <v>0</v>
      </c>
      <c r="BC1159" s="33">
        <v>2</v>
      </c>
      <c r="BD1159" s="43">
        <v>4.4052611042036123E-2</v>
      </c>
      <c r="BE1159" s="33">
        <v>0</v>
      </c>
      <c r="BF1159" s="33">
        <v>0</v>
      </c>
      <c r="CE1159" s="36">
        <v>1125</v>
      </c>
      <c r="CF1159" s="33">
        <v>6</v>
      </c>
      <c r="CG1159" s="33">
        <v>3</v>
      </c>
      <c r="CH1159" s="33">
        <v>3</v>
      </c>
      <c r="CI1159" s="33">
        <v>2</v>
      </c>
      <c r="CJ1159" s="33">
        <v>2</v>
      </c>
      <c r="CK1159" s="33">
        <v>0</v>
      </c>
      <c r="CL1159" s="33">
        <v>1</v>
      </c>
      <c r="CM1159" s="33">
        <v>3</v>
      </c>
      <c r="CN1159" s="33">
        <v>7</v>
      </c>
      <c r="CO1159" s="33">
        <v>7</v>
      </c>
      <c r="CP1159" s="43">
        <v>5.2009477601688947E-2</v>
      </c>
      <c r="CQ1159" s="33">
        <v>0</v>
      </c>
      <c r="CR1159" s="33">
        <v>0</v>
      </c>
    </row>
    <row r="1160" spans="1:96" ht="15" customHeight="1" x14ac:dyDescent="0.25">
      <c r="A1160" s="26">
        <v>1158</v>
      </c>
      <c r="B1160" s="27">
        <v>37</v>
      </c>
      <c r="C1160" s="27">
        <v>0</v>
      </c>
      <c r="D1160" s="27">
        <v>1</v>
      </c>
      <c r="E1160" s="27">
        <v>671</v>
      </c>
      <c r="F1160" s="27">
        <v>2</v>
      </c>
      <c r="G1160" s="27">
        <v>19</v>
      </c>
      <c r="H1160" s="27">
        <v>3</v>
      </c>
      <c r="I1160" s="27">
        <v>1</v>
      </c>
      <c r="J1160" s="27">
        <v>1</v>
      </c>
      <c r="K1160" s="27">
        <v>1631</v>
      </c>
      <c r="L1160" s="27">
        <v>3</v>
      </c>
      <c r="M1160" s="27">
        <v>1</v>
      </c>
      <c r="N1160" s="27">
        <v>85</v>
      </c>
      <c r="O1160" s="27">
        <v>3</v>
      </c>
      <c r="P1160" s="27">
        <v>2</v>
      </c>
      <c r="Q1160" s="27">
        <v>4</v>
      </c>
      <c r="R1160" s="27">
        <v>3</v>
      </c>
      <c r="S1160" s="27">
        <v>2</v>
      </c>
      <c r="T1160" s="27">
        <v>5768</v>
      </c>
      <c r="U1160" s="27">
        <v>26493</v>
      </c>
      <c r="V1160" s="27">
        <v>3</v>
      </c>
      <c r="W1160" s="27">
        <v>0</v>
      </c>
      <c r="X1160" s="27">
        <v>17</v>
      </c>
      <c r="Y1160" s="27">
        <v>3</v>
      </c>
      <c r="Z1160" s="27">
        <v>1</v>
      </c>
      <c r="AA1160" s="27">
        <v>80</v>
      </c>
      <c r="AB1160" s="27">
        <v>3</v>
      </c>
      <c r="AC1160" s="27">
        <v>9</v>
      </c>
      <c r="AD1160" s="27">
        <v>2</v>
      </c>
      <c r="AE1160" s="27">
        <v>2</v>
      </c>
      <c r="AF1160" s="27">
        <v>4</v>
      </c>
      <c r="AG1160" s="27">
        <v>3</v>
      </c>
      <c r="AH1160" s="27">
        <v>0</v>
      </c>
      <c r="AI1160" s="28">
        <v>2</v>
      </c>
      <c r="AK1160" s="36">
        <v>1127</v>
      </c>
      <c r="AL1160" s="33">
        <v>9</v>
      </c>
      <c r="AM1160" s="33">
        <v>5</v>
      </c>
      <c r="AN1160" s="33">
        <v>3</v>
      </c>
      <c r="AO1160" s="33">
        <v>4</v>
      </c>
      <c r="AP1160" s="33">
        <v>1</v>
      </c>
      <c r="AQ1160" s="33">
        <v>1</v>
      </c>
      <c r="AR1160" s="33">
        <v>3</v>
      </c>
      <c r="AS1160" s="33">
        <v>1</v>
      </c>
      <c r="AT1160" s="33">
        <v>0</v>
      </c>
      <c r="AU1160" s="43">
        <v>6.8193662774703415E-2</v>
      </c>
      <c r="AV1160" s="33">
        <v>0</v>
      </c>
      <c r="AW1160" s="33">
        <v>0</v>
      </c>
      <c r="AY1160" s="36">
        <v>1132</v>
      </c>
      <c r="AZ1160" s="33">
        <v>2</v>
      </c>
      <c r="BA1160" s="33">
        <v>3</v>
      </c>
      <c r="BB1160" s="33">
        <v>0</v>
      </c>
      <c r="BC1160" s="33">
        <v>1</v>
      </c>
      <c r="BD1160" s="43">
        <v>7.244788656931947E-2</v>
      </c>
      <c r="BE1160" s="33">
        <v>0</v>
      </c>
      <c r="BF1160" s="33">
        <v>0</v>
      </c>
      <c r="CE1160" s="36">
        <v>1126</v>
      </c>
      <c r="CF1160" s="33">
        <v>2</v>
      </c>
      <c r="CG1160" s="33">
        <v>2</v>
      </c>
      <c r="CH1160" s="33">
        <v>4</v>
      </c>
      <c r="CI1160" s="33">
        <v>3</v>
      </c>
      <c r="CJ1160" s="33">
        <v>1</v>
      </c>
      <c r="CK1160" s="33">
        <v>0</v>
      </c>
      <c r="CL1160" s="33">
        <v>1</v>
      </c>
      <c r="CM1160" s="33">
        <v>4</v>
      </c>
      <c r="CN1160" s="33">
        <v>6</v>
      </c>
      <c r="CO1160" s="33">
        <v>1</v>
      </c>
      <c r="CP1160" s="43">
        <v>1.3120313094746634E-2</v>
      </c>
      <c r="CQ1160" s="33">
        <v>0</v>
      </c>
      <c r="CR1160" s="33">
        <v>0</v>
      </c>
    </row>
    <row r="1161" spans="1:96" ht="15" customHeight="1" x14ac:dyDescent="0.25">
      <c r="A1161" s="26">
        <v>1159</v>
      </c>
      <c r="B1161" s="27">
        <v>39</v>
      </c>
      <c r="C1161" s="27">
        <v>0</v>
      </c>
      <c r="D1161" s="27">
        <v>2</v>
      </c>
      <c r="E1161" s="27">
        <v>711</v>
      </c>
      <c r="F1161" s="27">
        <v>2</v>
      </c>
      <c r="G1161" s="27">
        <v>4</v>
      </c>
      <c r="H1161" s="27">
        <v>3</v>
      </c>
      <c r="I1161" s="27">
        <v>3</v>
      </c>
      <c r="J1161" s="27">
        <v>1</v>
      </c>
      <c r="K1161" s="27">
        <v>1633</v>
      </c>
      <c r="L1161" s="27">
        <v>1</v>
      </c>
      <c r="M1161" s="27">
        <v>0</v>
      </c>
      <c r="N1161" s="27">
        <v>81</v>
      </c>
      <c r="O1161" s="27">
        <v>3</v>
      </c>
      <c r="P1161" s="27">
        <v>2</v>
      </c>
      <c r="Q1161" s="27">
        <v>4</v>
      </c>
      <c r="R1161" s="27">
        <v>3</v>
      </c>
      <c r="S1161" s="27">
        <v>1</v>
      </c>
      <c r="T1161" s="27">
        <v>5042</v>
      </c>
      <c r="U1161" s="27">
        <v>3140</v>
      </c>
      <c r="V1161" s="27">
        <v>0</v>
      </c>
      <c r="W1161" s="27">
        <v>0</v>
      </c>
      <c r="X1161" s="27">
        <v>13</v>
      </c>
      <c r="Y1161" s="27">
        <v>3</v>
      </c>
      <c r="Z1161" s="27">
        <v>4</v>
      </c>
      <c r="AA1161" s="27">
        <v>80</v>
      </c>
      <c r="AB1161" s="27">
        <v>0</v>
      </c>
      <c r="AC1161" s="27">
        <v>10</v>
      </c>
      <c r="AD1161" s="27">
        <v>2</v>
      </c>
      <c r="AE1161" s="27">
        <v>1</v>
      </c>
      <c r="AF1161" s="27">
        <v>9</v>
      </c>
      <c r="AG1161" s="27">
        <v>2</v>
      </c>
      <c r="AH1161" s="27">
        <v>3</v>
      </c>
      <c r="AI1161" s="28">
        <v>8</v>
      </c>
      <c r="AK1161" s="36">
        <v>1128</v>
      </c>
      <c r="AL1161" s="33">
        <v>10</v>
      </c>
      <c r="AM1161" s="33">
        <v>1</v>
      </c>
      <c r="AN1161" s="33">
        <v>3</v>
      </c>
      <c r="AO1161" s="33">
        <v>2</v>
      </c>
      <c r="AP1161" s="33">
        <v>0</v>
      </c>
      <c r="AQ1161" s="33">
        <v>1</v>
      </c>
      <c r="AR1161" s="33">
        <v>3</v>
      </c>
      <c r="AS1161" s="33">
        <v>2</v>
      </c>
      <c r="AT1161" s="33">
        <v>2</v>
      </c>
      <c r="AU1161" s="43">
        <v>0.13429853973535338</v>
      </c>
      <c r="AV1161" s="33">
        <v>0</v>
      </c>
      <c r="AW1161" s="33">
        <v>0</v>
      </c>
      <c r="AY1161" s="36">
        <v>1133</v>
      </c>
      <c r="AZ1161" s="33">
        <v>2</v>
      </c>
      <c r="BA1161" s="33">
        <v>1</v>
      </c>
      <c r="BB1161" s="33">
        <v>0</v>
      </c>
      <c r="BC1161" s="33">
        <v>1</v>
      </c>
      <c r="BD1161" s="43">
        <v>0.12293502213131684</v>
      </c>
      <c r="BE1161" s="33">
        <v>0</v>
      </c>
      <c r="BF1161" s="33">
        <v>0</v>
      </c>
      <c r="CE1161" s="36">
        <v>1127</v>
      </c>
      <c r="CF1161" s="33">
        <v>9</v>
      </c>
      <c r="CG1161" s="33">
        <v>5</v>
      </c>
      <c r="CH1161" s="33">
        <v>3</v>
      </c>
      <c r="CI1161" s="33">
        <v>2</v>
      </c>
      <c r="CJ1161" s="33">
        <v>4</v>
      </c>
      <c r="CK1161" s="33">
        <v>1</v>
      </c>
      <c r="CL1161" s="33">
        <v>1</v>
      </c>
      <c r="CM1161" s="33">
        <v>3</v>
      </c>
      <c r="CN1161" s="33">
        <v>1</v>
      </c>
      <c r="CO1161" s="33">
        <v>0</v>
      </c>
      <c r="CP1161" s="43">
        <v>7.0726127490974219E-2</v>
      </c>
      <c r="CQ1161" s="33">
        <v>0</v>
      </c>
      <c r="CR1161" s="33">
        <v>0</v>
      </c>
    </row>
    <row r="1162" spans="1:96" ht="15" customHeight="1" x14ac:dyDescent="0.25">
      <c r="A1162" s="26">
        <v>1160</v>
      </c>
      <c r="B1162" s="27">
        <v>45</v>
      </c>
      <c r="C1162" s="27">
        <v>0</v>
      </c>
      <c r="D1162" s="27">
        <v>1</v>
      </c>
      <c r="E1162" s="27">
        <v>1329</v>
      </c>
      <c r="F1162" s="27">
        <v>2</v>
      </c>
      <c r="G1162" s="27">
        <v>2</v>
      </c>
      <c r="H1162" s="27">
        <v>2</v>
      </c>
      <c r="I1162" s="27">
        <v>6</v>
      </c>
      <c r="J1162" s="27">
        <v>1</v>
      </c>
      <c r="K1162" s="27">
        <v>1635</v>
      </c>
      <c r="L1162" s="27">
        <v>4</v>
      </c>
      <c r="M1162" s="27">
        <v>0</v>
      </c>
      <c r="N1162" s="27">
        <v>59</v>
      </c>
      <c r="O1162" s="27">
        <v>2</v>
      </c>
      <c r="P1162" s="27">
        <v>2</v>
      </c>
      <c r="Q1162" s="27">
        <v>4</v>
      </c>
      <c r="R1162" s="27">
        <v>4</v>
      </c>
      <c r="S1162" s="27">
        <v>3</v>
      </c>
      <c r="T1162" s="27">
        <v>5770</v>
      </c>
      <c r="U1162" s="27">
        <v>5388</v>
      </c>
      <c r="V1162" s="27">
        <v>1</v>
      </c>
      <c r="W1162" s="27">
        <v>0</v>
      </c>
      <c r="X1162" s="27">
        <v>19</v>
      </c>
      <c r="Y1162" s="27">
        <v>3</v>
      </c>
      <c r="Z1162" s="27">
        <v>1</v>
      </c>
      <c r="AA1162" s="27">
        <v>80</v>
      </c>
      <c r="AB1162" s="27">
        <v>2</v>
      </c>
      <c r="AC1162" s="27">
        <v>10</v>
      </c>
      <c r="AD1162" s="27">
        <v>3</v>
      </c>
      <c r="AE1162" s="27">
        <v>3</v>
      </c>
      <c r="AF1162" s="27">
        <v>10</v>
      </c>
      <c r="AG1162" s="27">
        <v>7</v>
      </c>
      <c r="AH1162" s="27">
        <v>3</v>
      </c>
      <c r="AI1162" s="28">
        <v>9</v>
      </c>
      <c r="AK1162" s="36">
        <v>1129</v>
      </c>
      <c r="AL1162" s="33">
        <v>6</v>
      </c>
      <c r="AM1162" s="33">
        <v>2</v>
      </c>
      <c r="AN1162" s="33">
        <v>1</v>
      </c>
      <c r="AO1162" s="33">
        <v>3</v>
      </c>
      <c r="AP1162" s="33">
        <v>1</v>
      </c>
      <c r="AQ1162" s="33">
        <v>1</v>
      </c>
      <c r="AR1162" s="33">
        <v>3</v>
      </c>
      <c r="AS1162" s="33">
        <v>3</v>
      </c>
      <c r="AT1162" s="33">
        <v>0</v>
      </c>
      <c r="AU1162" s="43">
        <v>0.33068641103204138</v>
      </c>
      <c r="AV1162" s="33">
        <v>0</v>
      </c>
      <c r="AW1162" s="33">
        <v>0</v>
      </c>
      <c r="AY1162" s="36">
        <v>1134</v>
      </c>
      <c r="AZ1162" s="33">
        <v>1</v>
      </c>
      <c r="BA1162" s="33">
        <v>2</v>
      </c>
      <c r="BB1162" s="33">
        <v>0</v>
      </c>
      <c r="BC1162" s="33">
        <v>1</v>
      </c>
      <c r="BD1162" s="43">
        <v>0.15461023487664</v>
      </c>
      <c r="BE1162" s="33">
        <v>0</v>
      </c>
      <c r="BF1162" s="33">
        <v>0</v>
      </c>
      <c r="CE1162" s="36">
        <v>1128</v>
      </c>
      <c r="CF1162" s="33">
        <v>10</v>
      </c>
      <c r="CG1162" s="33">
        <v>1</v>
      </c>
      <c r="CH1162" s="33">
        <v>3</v>
      </c>
      <c r="CI1162" s="33">
        <v>2</v>
      </c>
      <c r="CJ1162" s="33">
        <v>2</v>
      </c>
      <c r="CK1162" s="33">
        <v>0</v>
      </c>
      <c r="CL1162" s="33">
        <v>1</v>
      </c>
      <c r="CM1162" s="33">
        <v>3</v>
      </c>
      <c r="CN1162" s="33">
        <v>2</v>
      </c>
      <c r="CO1162" s="33">
        <v>2</v>
      </c>
      <c r="CP1162" s="43">
        <v>0.12921991239013603</v>
      </c>
      <c r="CQ1162" s="33">
        <v>0</v>
      </c>
      <c r="CR1162" s="33">
        <v>0</v>
      </c>
    </row>
    <row r="1163" spans="1:96" ht="15" customHeight="1" x14ac:dyDescent="0.25">
      <c r="A1163" s="26">
        <v>1161</v>
      </c>
      <c r="B1163" s="27">
        <v>38</v>
      </c>
      <c r="C1163" s="27">
        <v>0</v>
      </c>
      <c r="D1163" s="27">
        <v>1</v>
      </c>
      <c r="E1163" s="27">
        <v>397</v>
      </c>
      <c r="F1163" s="27">
        <v>2</v>
      </c>
      <c r="G1163" s="27">
        <v>2</v>
      </c>
      <c r="H1163" s="27">
        <v>2</v>
      </c>
      <c r="I1163" s="27">
        <v>3</v>
      </c>
      <c r="J1163" s="27">
        <v>1</v>
      </c>
      <c r="K1163" s="27">
        <v>1638</v>
      </c>
      <c r="L1163" s="27">
        <v>4</v>
      </c>
      <c r="M1163" s="27">
        <v>0</v>
      </c>
      <c r="N1163" s="27">
        <v>54</v>
      </c>
      <c r="O1163" s="27">
        <v>2</v>
      </c>
      <c r="P1163" s="27">
        <v>3</v>
      </c>
      <c r="Q1163" s="27">
        <v>4</v>
      </c>
      <c r="R1163" s="27">
        <v>3</v>
      </c>
      <c r="S1163" s="27">
        <v>2</v>
      </c>
      <c r="T1163" s="27">
        <v>7756</v>
      </c>
      <c r="U1163" s="27">
        <v>14199</v>
      </c>
      <c r="V1163" s="27">
        <v>3</v>
      </c>
      <c r="W1163" s="27">
        <v>1</v>
      </c>
      <c r="X1163" s="27">
        <v>19</v>
      </c>
      <c r="Y1163" s="27">
        <v>3</v>
      </c>
      <c r="Z1163" s="27">
        <v>4</v>
      </c>
      <c r="AA1163" s="27">
        <v>80</v>
      </c>
      <c r="AB1163" s="27">
        <v>1</v>
      </c>
      <c r="AC1163" s="27">
        <v>10</v>
      </c>
      <c r="AD1163" s="27">
        <v>6</v>
      </c>
      <c r="AE1163" s="27">
        <v>4</v>
      </c>
      <c r="AF1163" s="27">
        <v>5</v>
      </c>
      <c r="AG1163" s="27">
        <v>4</v>
      </c>
      <c r="AH1163" s="27">
        <v>0</v>
      </c>
      <c r="AI1163" s="28">
        <v>2</v>
      </c>
      <c r="AK1163" s="36">
        <v>1130</v>
      </c>
      <c r="AL1163" s="33">
        <v>9</v>
      </c>
      <c r="AM1163" s="33">
        <v>5</v>
      </c>
      <c r="AN1163" s="33">
        <v>4</v>
      </c>
      <c r="AO1163" s="33">
        <v>8</v>
      </c>
      <c r="AP1163" s="33">
        <v>0</v>
      </c>
      <c r="AQ1163" s="33">
        <v>0</v>
      </c>
      <c r="AR1163" s="33">
        <v>3</v>
      </c>
      <c r="AS1163" s="33">
        <v>1</v>
      </c>
      <c r="AT1163" s="33">
        <v>0</v>
      </c>
      <c r="AU1163" s="43">
        <v>2.9915277023216506E-2</v>
      </c>
      <c r="AV1163" s="33">
        <v>0</v>
      </c>
      <c r="AW1163" s="33">
        <v>0</v>
      </c>
      <c r="AY1163" s="36">
        <v>1135</v>
      </c>
      <c r="AZ1163" s="33">
        <v>1</v>
      </c>
      <c r="BA1163" s="33">
        <v>4</v>
      </c>
      <c r="BB1163" s="33">
        <v>0</v>
      </c>
      <c r="BC1163" s="33">
        <v>1</v>
      </c>
      <c r="BD1163" s="43">
        <v>9.2486413274924434E-2</v>
      </c>
      <c r="BE1163" s="33">
        <v>0</v>
      </c>
      <c r="BF1163" s="33">
        <v>0</v>
      </c>
      <c r="CE1163" s="36">
        <v>1129</v>
      </c>
      <c r="CF1163" s="33">
        <v>6</v>
      </c>
      <c r="CG1163" s="33">
        <v>2</v>
      </c>
      <c r="CH1163" s="33">
        <v>1</v>
      </c>
      <c r="CI1163" s="33">
        <v>2</v>
      </c>
      <c r="CJ1163" s="33">
        <v>3</v>
      </c>
      <c r="CK1163" s="33">
        <v>1</v>
      </c>
      <c r="CL1163" s="33">
        <v>1</v>
      </c>
      <c r="CM1163" s="33">
        <v>3</v>
      </c>
      <c r="CN1163" s="33">
        <v>3</v>
      </c>
      <c r="CO1163" s="33">
        <v>0</v>
      </c>
      <c r="CP1163" s="43">
        <v>0.339626670936026</v>
      </c>
      <c r="CQ1163" s="33">
        <v>0</v>
      </c>
      <c r="CR1163" s="33">
        <v>0</v>
      </c>
    </row>
    <row r="1164" spans="1:96" ht="15" customHeight="1" x14ac:dyDescent="0.25">
      <c r="A1164" s="26">
        <v>1162</v>
      </c>
      <c r="B1164" s="27">
        <v>35</v>
      </c>
      <c r="C1164" s="27">
        <v>1</v>
      </c>
      <c r="D1164" s="27">
        <v>1</v>
      </c>
      <c r="E1164" s="27">
        <v>737</v>
      </c>
      <c r="F1164" s="27">
        <v>1</v>
      </c>
      <c r="G1164" s="27">
        <v>10</v>
      </c>
      <c r="H1164" s="27">
        <v>3</v>
      </c>
      <c r="I1164" s="27">
        <v>3</v>
      </c>
      <c r="J1164" s="27">
        <v>1</v>
      </c>
      <c r="K1164" s="27">
        <v>1639</v>
      </c>
      <c r="L1164" s="27">
        <v>4</v>
      </c>
      <c r="M1164" s="27">
        <v>1</v>
      </c>
      <c r="N1164" s="27">
        <v>55</v>
      </c>
      <c r="O1164" s="27">
        <v>2</v>
      </c>
      <c r="P1164" s="27">
        <v>3</v>
      </c>
      <c r="Q1164" s="27">
        <v>1</v>
      </c>
      <c r="R1164" s="27">
        <v>1</v>
      </c>
      <c r="S1164" s="27">
        <v>2</v>
      </c>
      <c r="T1164" s="27">
        <v>10306</v>
      </c>
      <c r="U1164" s="27">
        <v>21530</v>
      </c>
      <c r="V1164" s="27">
        <v>9</v>
      </c>
      <c r="W1164" s="27">
        <v>0</v>
      </c>
      <c r="X1164" s="27">
        <v>17</v>
      </c>
      <c r="Y1164" s="27">
        <v>3</v>
      </c>
      <c r="Z1164" s="27">
        <v>3</v>
      </c>
      <c r="AA1164" s="27">
        <v>80</v>
      </c>
      <c r="AB1164" s="27">
        <v>0</v>
      </c>
      <c r="AC1164" s="27">
        <v>15</v>
      </c>
      <c r="AD1164" s="27">
        <v>3</v>
      </c>
      <c r="AE1164" s="27">
        <v>3</v>
      </c>
      <c r="AF1164" s="27">
        <v>13</v>
      </c>
      <c r="AG1164" s="27">
        <v>12</v>
      </c>
      <c r="AH1164" s="27">
        <v>6</v>
      </c>
      <c r="AI1164" s="28">
        <v>0</v>
      </c>
      <c r="AK1164" s="36">
        <v>1131</v>
      </c>
      <c r="AL1164" s="33">
        <v>28</v>
      </c>
      <c r="AM1164" s="33">
        <v>2</v>
      </c>
      <c r="AN1164" s="33">
        <v>3</v>
      </c>
      <c r="AO1164" s="33">
        <v>1</v>
      </c>
      <c r="AP1164" s="33">
        <v>0</v>
      </c>
      <c r="AQ1164" s="33">
        <v>2</v>
      </c>
      <c r="AR1164" s="33">
        <v>2</v>
      </c>
      <c r="AS1164" s="33">
        <v>10</v>
      </c>
      <c r="AT1164" s="33">
        <v>6</v>
      </c>
      <c r="AU1164" s="43">
        <v>8.6936860394013091E-2</v>
      </c>
      <c r="AV1164" s="33">
        <v>0</v>
      </c>
      <c r="AW1164" s="33">
        <v>0</v>
      </c>
      <c r="AY1164" s="36">
        <v>1136</v>
      </c>
      <c r="AZ1164" s="33">
        <v>4</v>
      </c>
      <c r="BA1164" s="33">
        <v>1</v>
      </c>
      <c r="BB1164" s="33">
        <v>0</v>
      </c>
      <c r="BC1164" s="33">
        <v>0</v>
      </c>
      <c r="BD1164" s="43">
        <v>7.2150582122512491E-2</v>
      </c>
      <c r="BE1164" s="33">
        <v>0</v>
      </c>
      <c r="BF1164" s="33">
        <v>0</v>
      </c>
      <c r="CE1164" s="36">
        <v>1130</v>
      </c>
      <c r="CF1164" s="33">
        <v>9</v>
      </c>
      <c r="CG1164" s="33">
        <v>5</v>
      </c>
      <c r="CH1164" s="33">
        <v>4</v>
      </c>
      <c r="CI1164" s="33">
        <v>1</v>
      </c>
      <c r="CJ1164" s="33">
        <v>8</v>
      </c>
      <c r="CK1164" s="33">
        <v>0</v>
      </c>
      <c r="CL1164" s="33">
        <v>0</v>
      </c>
      <c r="CM1164" s="33">
        <v>3</v>
      </c>
      <c r="CN1164" s="33">
        <v>1</v>
      </c>
      <c r="CO1164" s="33">
        <v>0</v>
      </c>
      <c r="CP1164" s="43">
        <v>3.6189457620581282E-2</v>
      </c>
      <c r="CQ1164" s="33">
        <v>0</v>
      </c>
      <c r="CR1164" s="33">
        <v>0</v>
      </c>
    </row>
    <row r="1165" spans="1:96" ht="15" customHeight="1" x14ac:dyDescent="0.25">
      <c r="A1165" s="26">
        <v>1163</v>
      </c>
      <c r="B1165" s="27">
        <v>37</v>
      </c>
      <c r="C1165" s="27">
        <v>0</v>
      </c>
      <c r="D1165" s="27">
        <v>1</v>
      </c>
      <c r="E1165" s="27">
        <v>1470</v>
      </c>
      <c r="F1165" s="27">
        <v>2</v>
      </c>
      <c r="G1165" s="27">
        <v>10</v>
      </c>
      <c r="H1165" s="27">
        <v>3</v>
      </c>
      <c r="I1165" s="27">
        <v>3</v>
      </c>
      <c r="J1165" s="27">
        <v>1</v>
      </c>
      <c r="K1165" s="27">
        <v>1640</v>
      </c>
      <c r="L1165" s="27">
        <v>2</v>
      </c>
      <c r="M1165" s="27">
        <v>0</v>
      </c>
      <c r="N1165" s="27">
        <v>71</v>
      </c>
      <c r="O1165" s="27">
        <v>3</v>
      </c>
      <c r="P1165" s="27">
        <v>1</v>
      </c>
      <c r="Q1165" s="27">
        <v>2</v>
      </c>
      <c r="R1165" s="27">
        <v>2</v>
      </c>
      <c r="S1165" s="27">
        <v>2</v>
      </c>
      <c r="T1165" s="27">
        <v>3936</v>
      </c>
      <c r="U1165" s="27">
        <v>9953</v>
      </c>
      <c r="V1165" s="27">
        <v>1</v>
      </c>
      <c r="W1165" s="27">
        <v>0</v>
      </c>
      <c r="X1165" s="27">
        <v>11</v>
      </c>
      <c r="Y1165" s="27">
        <v>3</v>
      </c>
      <c r="Z1165" s="27">
        <v>1</v>
      </c>
      <c r="AA1165" s="27">
        <v>80</v>
      </c>
      <c r="AB1165" s="27">
        <v>1</v>
      </c>
      <c r="AC1165" s="27">
        <v>8</v>
      </c>
      <c r="AD1165" s="27">
        <v>2</v>
      </c>
      <c r="AE1165" s="27">
        <v>1</v>
      </c>
      <c r="AF1165" s="27">
        <v>8</v>
      </c>
      <c r="AG1165" s="27">
        <v>4</v>
      </c>
      <c r="AH1165" s="27">
        <v>7</v>
      </c>
      <c r="AI1165" s="28">
        <v>7</v>
      </c>
      <c r="AK1165" s="36">
        <v>1132</v>
      </c>
      <c r="AL1165" s="33">
        <v>10</v>
      </c>
      <c r="AM1165" s="33">
        <v>2</v>
      </c>
      <c r="AN1165" s="33">
        <v>3</v>
      </c>
      <c r="AO1165" s="33">
        <v>1</v>
      </c>
      <c r="AP1165" s="33">
        <v>0</v>
      </c>
      <c r="AQ1165" s="33">
        <v>1</v>
      </c>
      <c r="AR1165" s="33">
        <v>2</v>
      </c>
      <c r="AS1165" s="33">
        <v>8</v>
      </c>
      <c r="AT1165" s="33">
        <v>7</v>
      </c>
      <c r="AU1165" s="43">
        <v>0.10598818763296242</v>
      </c>
      <c r="AV1165" s="33">
        <v>0</v>
      </c>
      <c r="AW1165" s="33">
        <v>0</v>
      </c>
      <c r="AY1165" s="36">
        <v>1137</v>
      </c>
      <c r="AZ1165" s="33">
        <v>1</v>
      </c>
      <c r="BA1165" s="33">
        <v>2</v>
      </c>
      <c r="BB1165" s="33">
        <v>1</v>
      </c>
      <c r="BC1165" s="33">
        <v>3</v>
      </c>
      <c r="BD1165" s="43">
        <v>0.2139229997628791</v>
      </c>
      <c r="BE1165" s="33">
        <v>0</v>
      </c>
      <c r="BF1165" s="33">
        <v>1</v>
      </c>
      <c r="CE1165" s="36">
        <v>1131</v>
      </c>
      <c r="CF1165" s="33">
        <v>28</v>
      </c>
      <c r="CG1165" s="33">
        <v>2</v>
      </c>
      <c r="CH1165" s="33">
        <v>3</v>
      </c>
      <c r="CI1165" s="33">
        <v>2</v>
      </c>
      <c r="CJ1165" s="33">
        <v>1</v>
      </c>
      <c r="CK1165" s="33">
        <v>0</v>
      </c>
      <c r="CL1165" s="33">
        <v>2</v>
      </c>
      <c r="CM1165" s="33">
        <v>2</v>
      </c>
      <c r="CN1165" s="33">
        <v>10</v>
      </c>
      <c r="CO1165" s="33">
        <v>6</v>
      </c>
      <c r="CP1165" s="43">
        <v>0.11673381238463514</v>
      </c>
      <c r="CQ1165" s="33">
        <v>0</v>
      </c>
      <c r="CR1165" s="33">
        <v>0</v>
      </c>
    </row>
    <row r="1166" spans="1:96" ht="15" customHeight="1" x14ac:dyDescent="0.25">
      <c r="A1166" s="26">
        <v>1164</v>
      </c>
      <c r="B1166" s="27">
        <v>40</v>
      </c>
      <c r="C1166" s="27">
        <v>0</v>
      </c>
      <c r="D1166" s="27">
        <v>1</v>
      </c>
      <c r="E1166" s="27">
        <v>448</v>
      </c>
      <c r="F1166" s="27">
        <v>2</v>
      </c>
      <c r="G1166" s="27">
        <v>16</v>
      </c>
      <c r="H1166" s="27">
        <v>3</v>
      </c>
      <c r="I1166" s="27">
        <v>1</v>
      </c>
      <c r="J1166" s="27">
        <v>1</v>
      </c>
      <c r="K1166" s="27">
        <v>1641</v>
      </c>
      <c r="L1166" s="27">
        <v>3</v>
      </c>
      <c r="M1166" s="27">
        <v>0</v>
      </c>
      <c r="N1166" s="27">
        <v>84</v>
      </c>
      <c r="O1166" s="27">
        <v>3</v>
      </c>
      <c r="P1166" s="27">
        <v>3</v>
      </c>
      <c r="Q1166" s="27">
        <v>4</v>
      </c>
      <c r="R1166" s="27">
        <v>4</v>
      </c>
      <c r="S1166" s="27">
        <v>1</v>
      </c>
      <c r="T1166" s="27">
        <v>7945</v>
      </c>
      <c r="U1166" s="27">
        <v>19948</v>
      </c>
      <c r="V1166" s="27">
        <v>6</v>
      </c>
      <c r="W1166" s="27">
        <v>1</v>
      </c>
      <c r="X1166" s="27">
        <v>15</v>
      </c>
      <c r="Y1166" s="27">
        <v>3</v>
      </c>
      <c r="Z1166" s="27">
        <v>4</v>
      </c>
      <c r="AA1166" s="27">
        <v>80</v>
      </c>
      <c r="AB1166" s="27">
        <v>0</v>
      </c>
      <c r="AC1166" s="27">
        <v>18</v>
      </c>
      <c r="AD1166" s="27">
        <v>2</v>
      </c>
      <c r="AE1166" s="27">
        <v>2</v>
      </c>
      <c r="AF1166" s="27">
        <v>4</v>
      </c>
      <c r="AG1166" s="27">
        <v>2</v>
      </c>
      <c r="AH1166" s="27">
        <v>3</v>
      </c>
      <c r="AI1166" s="28">
        <v>3</v>
      </c>
      <c r="AK1166" s="36">
        <v>1133</v>
      </c>
      <c r="AL1166" s="33">
        <v>14</v>
      </c>
      <c r="AM1166" s="33">
        <v>2</v>
      </c>
      <c r="AN1166" s="33">
        <v>1</v>
      </c>
      <c r="AO1166" s="33">
        <v>1</v>
      </c>
      <c r="AP1166" s="33">
        <v>0</v>
      </c>
      <c r="AQ1166" s="33">
        <v>1</v>
      </c>
      <c r="AR1166" s="33">
        <v>3</v>
      </c>
      <c r="AS1166" s="33">
        <v>5</v>
      </c>
      <c r="AT1166" s="33">
        <v>1</v>
      </c>
      <c r="AU1166" s="43">
        <v>0.10811787196200733</v>
      </c>
      <c r="AV1166" s="33">
        <v>0</v>
      </c>
      <c r="AW1166" s="33">
        <v>0</v>
      </c>
      <c r="AY1166" s="36">
        <v>1138</v>
      </c>
      <c r="AZ1166" s="33">
        <v>1</v>
      </c>
      <c r="BA1166" s="33">
        <v>3</v>
      </c>
      <c r="BB1166" s="33">
        <v>1</v>
      </c>
      <c r="BC1166" s="33">
        <v>0</v>
      </c>
      <c r="BD1166" s="43">
        <v>0.49727340882350407</v>
      </c>
      <c r="BE1166" s="33">
        <v>0</v>
      </c>
      <c r="BF1166" s="33">
        <v>0</v>
      </c>
      <c r="CE1166" s="36">
        <v>1132</v>
      </c>
      <c r="CF1166" s="33">
        <v>10</v>
      </c>
      <c r="CG1166" s="33">
        <v>2</v>
      </c>
      <c r="CH1166" s="33">
        <v>3</v>
      </c>
      <c r="CI1166" s="33">
        <v>2</v>
      </c>
      <c r="CJ1166" s="33">
        <v>1</v>
      </c>
      <c r="CK1166" s="33">
        <v>0</v>
      </c>
      <c r="CL1166" s="33">
        <v>1</v>
      </c>
      <c r="CM1166" s="33">
        <v>2</v>
      </c>
      <c r="CN1166" s="33">
        <v>8</v>
      </c>
      <c r="CO1166" s="33">
        <v>7</v>
      </c>
      <c r="CP1166" s="43">
        <v>0.10538829789661729</v>
      </c>
      <c r="CQ1166" s="33">
        <v>0</v>
      </c>
      <c r="CR1166" s="33">
        <v>0</v>
      </c>
    </row>
    <row r="1167" spans="1:96" ht="15" customHeight="1" x14ac:dyDescent="0.25">
      <c r="A1167" s="26">
        <v>1165</v>
      </c>
      <c r="B1167" s="27">
        <v>44</v>
      </c>
      <c r="C1167" s="27">
        <v>0</v>
      </c>
      <c r="D1167" s="27">
        <v>2</v>
      </c>
      <c r="E1167" s="27">
        <v>602</v>
      </c>
      <c r="F1167" s="27">
        <v>3</v>
      </c>
      <c r="G1167" s="27">
        <v>1</v>
      </c>
      <c r="H1167" s="27">
        <v>5</v>
      </c>
      <c r="I1167" s="27">
        <v>2</v>
      </c>
      <c r="J1167" s="27">
        <v>1</v>
      </c>
      <c r="K1167" s="27">
        <v>1642</v>
      </c>
      <c r="L1167" s="27">
        <v>1</v>
      </c>
      <c r="M1167" s="27">
        <v>1</v>
      </c>
      <c r="N1167" s="27">
        <v>37</v>
      </c>
      <c r="O1167" s="27">
        <v>3</v>
      </c>
      <c r="P1167" s="27">
        <v>2</v>
      </c>
      <c r="Q1167" s="27">
        <v>9</v>
      </c>
      <c r="R1167" s="27">
        <v>4</v>
      </c>
      <c r="S1167" s="27">
        <v>2</v>
      </c>
      <c r="T1167" s="27">
        <v>5743</v>
      </c>
      <c r="U1167" s="27">
        <v>10503</v>
      </c>
      <c r="V1167" s="27">
        <v>4</v>
      </c>
      <c r="W1167" s="27">
        <v>1</v>
      </c>
      <c r="X1167" s="27">
        <v>11</v>
      </c>
      <c r="Y1167" s="27">
        <v>3</v>
      </c>
      <c r="Z1167" s="27">
        <v>3</v>
      </c>
      <c r="AA1167" s="27">
        <v>80</v>
      </c>
      <c r="AB1167" s="27">
        <v>0</v>
      </c>
      <c r="AC1167" s="27">
        <v>14</v>
      </c>
      <c r="AD1167" s="27">
        <v>3</v>
      </c>
      <c r="AE1167" s="27">
        <v>3</v>
      </c>
      <c r="AF1167" s="27">
        <v>10</v>
      </c>
      <c r="AG1167" s="27">
        <v>7</v>
      </c>
      <c r="AH1167" s="27">
        <v>0</v>
      </c>
      <c r="AI1167" s="28">
        <v>2</v>
      </c>
      <c r="AK1167" s="36">
        <v>1134</v>
      </c>
      <c r="AL1167" s="33">
        <v>27</v>
      </c>
      <c r="AM1167" s="33">
        <v>1</v>
      </c>
      <c r="AN1167" s="33">
        <v>2</v>
      </c>
      <c r="AO1167" s="33">
        <v>5</v>
      </c>
      <c r="AP1167" s="33">
        <v>0</v>
      </c>
      <c r="AQ1167" s="33">
        <v>1</v>
      </c>
      <c r="AR1167" s="33">
        <v>3</v>
      </c>
      <c r="AS1167" s="33">
        <v>6</v>
      </c>
      <c r="AT1167" s="33">
        <v>0</v>
      </c>
      <c r="AU1167" s="43">
        <v>0.2204933652531775</v>
      </c>
      <c r="AV1167" s="33">
        <v>0</v>
      </c>
      <c r="AW1167" s="33">
        <v>0</v>
      </c>
      <c r="AY1167" s="36">
        <v>1139</v>
      </c>
      <c r="AZ1167" s="33">
        <v>4</v>
      </c>
      <c r="BA1167" s="33">
        <v>3</v>
      </c>
      <c r="BB1167" s="33">
        <v>1</v>
      </c>
      <c r="BC1167" s="33">
        <v>1</v>
      </c>
      <c r="BD1167" s="43">
        <v>9.8519683934659791E-2</v>
      </c>
      <c r="BE1167" s="33">
        <v>0</v>
      </c>
      <c r="BF1167" s="33">
        <v>0</v>
      </c>
      <c r="CE1167" s="36">
        <v>1133</v>
      </c>
      <c r="CF1167" s="33">
        <v>14</v>
      </c>
      <c r="CG1167" s="33">
        <v>2</v>
      </c>
      <c r="CH1167" s="33">
        <v>1</v>
      </c>
      <c r="CI1167" s="33">
        <v>2</v>
      </c>
      <c r="CJ1167" s="33">
        <v>1</v>
      </c>
      <c r="CK1167" s="33">
        <v>0</v>
      </c>
      <c r="CL1167" s="33">
        <v>1</v>
      </c>
      <c r="CM1167" s="33">
        <v>3</v>
      </c>
      <c r="CN1167" s="33">
        <v>5</v>
      </c>
      <c r="CO1167" s="33">
        <v>1</v>
      </c>
      <c r="CP1167" s="43">
        <v>0.10775668496834341</v>
      </c>
      <c r="CQ1167" s="33">
        <v>0</v>
      </c>
      <c r="CR1167" s="33">
        <v>0</v>
      </c>
    </row>
    <row r="1168" spans="1:96" ht="15" customHeight="1" x14ac:dyDescent="0.25">
      <c r="A1168" s="26">
        <v>1166</v>
      </c>
      <c r="B1168" s="27">
        <v>48</v>
      </c>
      <c r="C1168" s="27">
        <v>0</v>
      </c>
      <c r="D1168" s="27">
        <v>2</v>
      </c>
      <c r="E1168" s="27">
        <v>365</v>
      </c>
      <c r="F1168" s="27">
        <v>2</v>
      </c>
      <c r="G1168" s="27">
        <v>4</v>
      </c>
      <c r="H1168" s="27">
        <v>5</v>
      </c>
      <c r="I1168" s="27">
        <v>3</v>
      </c>
      <c r="J1168" s="27">
        <v>1</v>
      </c>
      <c r="K1168" s="27">
        <v>1644</v>
      </c>
      <c r="L1168" s="27">
        <v>3</v>
      </c>
      <c r="M1168" s="27">
        <v>1</v>
      </c>
      <c r="N1168" s="27">
        <v>89</v>
      </c>
      <c r="O1168" s="27">
        <v>2</v>
      </c>
      <c r="P1168" s="27">
        <v>4</v>
      </c>
      <c r="Q1168" s="27">
        <v>6</v>
      </c>
      <c r="R1168" s="27">
        <v>4</v>
      </c>
      <c r="S1168" s="27">
        <v>2</v>
      </c>
      <c r="T1168" s="27">
        <v>15202</v>
      </c>
      <c r="U1168" s="27">
        <v>5602</v>
      </c>
      <c r="V1168" s="27">
        <v>2</v>
      </c>
      <c r="W1168" s="27">
        <v>0</v>
      </c>
      <c r="X1168" s="27">
        <v>25</v>
      </c>
      <c r="Y1168" s="27">
        <v>4</v>
      </c>
      <c r="Z1168" s="27">
        <v>2</v>
      </c>
      <c r="AA1168" s="27">
        <v>80</v>
      </c>
      <c r="AB1168" s="27">
        <v>1</v>
      </c>
      <c r="AC1168" s="27">
        <v>23</v>
      </c>
      <c r="AD1168" s="27">
        <v>3</v>
      </c>
      <c r="AE1168" s="27">
        <v>3</v>
      </c>
      <c r="AF1168" s="27">
        <v>2</v>
      </c>
      <c r="AG1168" s="27">
        <v>2</v>
      </c>
      <c r="AH1168" s="27">
        <v>2</v>
      </c>
      <c r="AI1168" s="28">
        <v>2</v>
      </c>
      <c r="AK1168" s="36">
        <v>1135</v>
      </c>
      <c r="AL1168" s="33">
        <v>7</v>
      </c>
      <c r="AM1168" s="33">
        <v>1</v>
      </c>
      <c r="AN1168" s="33">
        <v>4</v>
      </c>
      <c r="AO1168" s="33">
        <v>1</v>
      </c>
      <c r="AP1168" s="33">
        <v>0</v>
      </c>
      <c r="AQ1168" s="33">
        <v>1</v>
      </c>
      <c r="AR1168" s="33">
        <v>2</v>
      </c>
      <c r="AS1168" s="33">
        <v>1</v>
      </c>
      <c r="AT1168" s="33">
        <v>0</v>
      </c>
      <c r="AU1168" s="43">
        <v>9.4280659904408648E-2</v>
      </c>
      <c r="AV1168" s="33">
        <v>0</v>
      </c>
      <c r="AW1168" s="33">
        <v>0</v>
      </c>
      <c r="AY1168" s="36">
        <v>1140</v>
      </c>
      <c r="AZ1168" s="33">
        <v>1</v>
      </c>
      <c r="BA1168" s="33">
        <v>4</v>
      </c>
      <c r="BB1168" s="33">
        <v>0</v>
      </c>
      <c r="BC1168" s="33">
        <v>2</v>
      </c>
      <c r="BD1168" s="43">
        <v>5.6717470552978752E-2</v>
      </c>
      <c r="BE1168" s="33">
        <v>0</v>
      </c>
      <c r="BF1168" s="33">
        <v>0</v>
      </c>
      <c r="CE1168" s="36">
        <v>1134</v>
      </c>
      <c r="CF1168" s="33">
        <v>27</v>
      </c>
      <c r="CG1168" s="33">
        <v>1</v>
      </c>
      <c r="CH1168" s="33">
        <v>2</v>
      </c>
      <c r="CI1168" s="33">
        <v>3</v>
      </c>
      <c r="CJ1168" s="33">
        <v>5</v>
      </c>
      <c r="CK1168" s="33">
        <v>0</v>
      </c>
      <c r="CL1168" s="33">
        <v>1</v>
      </c>
      <c r="CM1168" s="33">
        <v>3</v>
      </c>
      <c r="CN1168" s="33">
        <v>6</v>
      </c>
      <c r="CO1168" s="33">
        <v>0</v>
      </c>
      <c r="CP1168" s="43">
        <v>0.13564390941838844</v>
      </c>
      <c r="CQ1168" s="33">
        <v>0</v>
      </c>
      <c r="CR1168" s="33">
        <v>0</v>
      </c>
    </row>
    <row r="1169" spans="1:96" ht="15" customHeight="1" x14ac:dyDescent="0.25">
      <c r="A1169" s="26">
        <v>1167</v>
      </c>
      <c r="B1169" s="27">
        <v>35</v>
      </c>
      <c r="C1169" s="27">
        <v>1</v>
      </c>
      <c r="D1169" s="27">
        <v>1</v>
      </c>
      <c r="E1169" s="27">
        <v>763</v>
      </c>
      <c r="F1169" s="27">
        <v>1</v>
      </c>
      <c r="G1169" s="27">
        <v>15</v>
      </c>
      <c r="H1169" s="27">
        <v>2</v>
      </c>
      <c r="I1169" s="27">
        <v>3</v>
      </c>
      <c r="J1169" s="27">
        <v>1</v>
      </c>
      <c r="K1169" s="27">
        <v>1645</v>
      </c>
      <c r="L1169" s="27">
        <v>1</v>
      </c>
      <c r="M1169" s="27">
        <v>1</v>
      </c>
      <c r="N1169" s="27">
        <v>59</v>
      </c>
      <c r="O1169" s="27">
        <v>1</v>
      </c>
      <c r="P1169" s="27">
        <v>2</v>
      </c>
      <c r="Q1169" s="27">
        <v>1</v>
      </c>
      <c r="R1169" s="27">
        <v>4</v>
      </c>
      <c r="S1169" s="27">
        <v>3</v>
      </c>
      <c r="T1169" s="27">
        <v>5440</v>
      </c>
      <c r="U1169" s="27">
        <v>22098</v>
      </c>
      <c r="V1169" s="27">
        <v>6</v>
      </c>
      <c r="W1169" s="27">
        <v>1</v>
      </c>
      <c r="X1169" s="27">
        <v>14</v>
      </c>
      <c r="Y1169" s="27">
        <v>3</v>
      </c>
      <c r="Z1169" s="27">
        <v>4</v>
      </c>
      <c r="AA1169" s="27">
        <v>80</v>
      </c>
      <c r="AB1169" s="27">
        <v>2</v>
      </c>
      <c r="AC1169" s="27">
        <v>7</v>
      </c>
      <c r="AD1169" s="27">
        <v>2</v>
      </c>
      <c r="AE1169" s="27">
        <v>2</v>
      </c>
      <c r="AF1169" s="27">
        <v>2</v>
      </c>
      <c r="AG1169" s="27">
        <v>2</v>
      </c>
      <c r="AH1169" s="27">
        <v>2</v>
      </c>
      <c r="AI1169" s="28">
        <v>2</v>
      </c>
      <c r="AK1169" s="36">
        <v>1136</v>
      </c>
      <c r="AL1169" s="33">
        <v>1</v>
      </c>
      <c r="AM1169" s="33">
        <v>4</v>
      </c>
      <c r="AN1169" s="33">
        <v>1</v>
      </c>
      <c r="AO1169" s="33">
        <v>1</v>
      </c>
      <c r="AP1169" s="33">
        <v>0</v>
      </c>
      <c r="AQ1169" s="33">
        <v>0</v>
      </c>
      <c r="AR1169" s="33">
        <v>1</v>
      </c>
      <c r="AS1169" s="33">
        <v>26</v>
      </c>
      <c r="AT1169" s="33">
        <v>0</v>
      </c>
      <c r="AU1169" s="43">
        <v>1.4120406331897912E-2</v>
      </c>
      <c r="AV1169" s="33">
        <v>0</v>
      </c>
      <c r="AW1169" s="33">
        <v>0</v>
      </c>
      <c r="AY1169" s="36">
        <v>1141</v>
      </c>
      <c r="AZ1169" s="33">
        <v>5</v>
      </c>
      <c r="BA1169" s="33">
        <v>4</v>
      </c>
      <c r="BB1169" s="33">
        <v>1</v>
      </c>
      <c r="BC1169" s="33">
        <v>1</v>
      </c>
      <c r="BD1169" s="43">
        <v>4.4592473915788571E-2</v>
      </c>
      <c r="BE1169" s="33">
        <v>0</v>
      </c>
      <c r="BF1169" s="33">
        <v>0</v>
      </c>
      <c r="CE1169" s="36">
        <v>1135</v>
      </c>
      <c r="CF1169" s="33">
        <v>7</v>
      </c>
      <c r="CG1169" s="33">
        <v>1</v>
      </c>
      <c r="CH1169" s="33">
        <v>4</v>
      </c>
      <c r="CI1169" s="33">
        <v>2</v>
      </c>
      <c r="CJ1169" s="33">
        <v>1</v>
      </c>
      <c r="CK1169" s="33">
        <v>0</v>
      </c>
      <c r="CL1169" s="33">
        <v>1</v>
      </c>
      <c r="CM1169" s="33">
        <v>2</v>
      </c>
      <c r="CN1169" s="33">
        <v>1</v>
      </c>
      <c r="CO1169" s="33">
        <v>0</v>
      </c>
      <c r="CP1169" s="43">
        <v>8.9889294487776522E-2</v>
      </c>
      <c r="CQ1169" s="33">
        <v>0</v>
      </c>
      <c r="CR1169" s="33">
        <v>0</v>
      </c>
    </row>
    <row r="1170" spans="1:96" ht="15" customHeight="1" x14ac:dyDescent="0.25">
      <c r="A1170" s="26">
        <v>1168</v>
      </c>
      <c r="B1170" s="27">
        <v>24</v>
      </c>
      <c r="C1170" s="27">
        <v>0</v>
      </c>
      <c r="D1170" s="27">
        <v>2</v>
      </c>
      <c r="E1170" s="27">
        <v>567</v>
      </c>
      <c r="F1170" s="27">
        <v>2</v>
      </c>
      <c r="G1170" s="27">
        <v>2</v>
      </c>
      <c r="H1170" s="27">
        <v>1</v>
      </c>
      <c r="I1170" s="27">
        <v>5</v>
      </c>
      <c r="J1170" s="27">
        <v>1</v>
      </c>
      <c r="K1170" s="27">
        <v>1646</v>
      </c>
      <c r="L1170" s="27">
        <v>1</v>
      </c>
      <c r="M1170" s="27">
        <v>0</v>
      </c>
      <c r="N1170" s="27">
        <v>32</v>
      </c>
      <c r="O1170" s="27">
        <v>3</v>
      </c>
      <c r="P1170" s="27">
        <v>1</v>
      </c>
      <c r="Q1170" s="27">
        <v>2</v>
      </c>
      <c r="R1170" s="27">
        <v>4</v>
      </c>
      <c r="S1170" s="27">
        <v>1</v>
      </c>
      <c r="T1170" s="27">
        <v>3760</v>
      </c>
      <c r="U1170" s="27">
        <v>17218</v>
      </c>
      <c r="V1170" s="27">
        <v>1</v>
      </c>
      <c r="W1170" s="27">
        <v>1</v>
      </c>
      <c r="X1170" s="27">
        <v>13</v>
      </c>
      <c r="Y1170" s="27">
        <v>3</v>
      </c>
      <c r="Z1170" s="27">
        <v>3</v>
      </c>
      <c r="AA1170" s="27">
        <v>80</v>
      </c>
      <c r="AB1170" s="27">
        <v>0</v>
      </c>
      <c r="AC1170" s="27">
        <v>6</v>
      </c>
      <c r="AD1170" s="27">
        <v>2</v>
      </c>
      <c r="AE1170" s="27">
        <v>3</v>
      </c>
      <c r="AF1170" s="27">
        <v>6</v>
      </c>
      <c r="AG1170" s="27">
        <v>3</v>
      </c>
      <c r="AH1170" s="27">
        <v>1</v>
      </c>
      <c r="AI1170" s="28">
        <v>3</v>
      </c>
      <c r="AK1170" s="36">
        <v>1137</v>
      </c>
      <c r="AL1170" s="33">
        <v>24</v>
      </c>
      <c r="AM1170" s="33">
        <v>1</v>
      </c>
      <c r="AN1170" s="33">
        <v>2</v>
      </c>
      <c r="AO1170" s="33">
        <v>1</v>
      </c>
      <c r="AP1170" s="33">
        <v>1</v>
      </c>
      <c r="AQ1170" s="33">
        <v>3</v>
      </c>
      <c r="AR1170" s="33">
        <v>3</v>
      </c>
      <c r="AS1170" s="33">
        <v>1</v>
      </c>
      <c r="AT1170" s="33">
        <v>0</v>
      </c>
      <c r="AU1170" s="43">
        <v>0.26931839353996972</v>
      </c>
      <c r="AV1170" s="33">
        <v>0</v>
      </c>
      <c r="AW1170" s="33">
        <v>1</v>
      </c>
      <c r="AY1170" s="36">
        <v>1142</v>
      </c>
      <c r="AZ1170" s="33">
        <v>1</v>
      </c>
      <c r="BA1170" s="33">
        <v>2</v>
      </c>
      <c r="BB1170" s="33">
        <v>0</v>
      </c>
      <c r="BC1170" s="33">
        <v>1</v>
      </c>
      <c r="BD1170" s="43">
        <v>0.15461023487664</v>
      </c>
      <c r="BE1170" s="33">
        <v>0</v>
      </c>
      <c r="BF1170" s="33">
        <v>0</v>
      </c>
      <c r="CE1170" s="36">
        <v>1136</v>
      </c>
      <c r="CF1170" s="33">
        <v>1</v>
      </c>
      <c r="CG1170" s="33">
        <v>4</v>
      </c>
      <c r="CH1170" s="33">
        <v>1</v>
      </c>
      <c r="CI1170" s="33">
        <v>1</v>
      </c>
      <c r="CJ1170" s="33">
        <v>1</v>
      </c>
      <c r="CK1170" s="33">
        <v>0</v>
      </c>
      <c r="CL1170" s="33">
        <v>0</v>
      </c>
      <c r="CM1170" s="33">
        <v>1</v>
      </c>
      <c r="CN1170" s="33">
        <v>26</v>
      </c>
      <c r="CO1170" s="33">
        <v>0</v>
      </c>
      <c r="CP1170" s="43">
        <v>1.8091671329236541E-2</v>
      </c>
      <c r="CQ1170" s="33">
        <v>0</v>
      </c>
      <c r="CR1170" s="33">
        <v>0</v>
      </c>
    </row>
    <row r="1171" spans="1:96" ht="15" customHeight="1" x14ac:dyDescent="0.25">
      <c r="A1171" s="26">
        <v>1169</v>
      </c>
      <c r="B1171" s="27">
        <v>27</v>
      </c>
      <c r="C1171" s="27">
        <v>0</v>
      </c>
      <c r="D1171" s="27">
        <v>1</v>
      </c>
      <c r="E1171" s="27">
        <v>486</v>
      </c>
      <c r="F1171" s="27">
        <v>2</v>
      </c>
      <c r="G1171" s="27">
        <v>8</v>
      </c>
      <c r="H1171" s="27">
        <v>3</v>
      </c>
      <c r="I1171" s="27">
        <v>3</v>
      </c>
      <c r="J1171" s="27">
        <v>1</v>
      </c>
      <c r="K1171" s="27">
        <v>1647</v>
      </c>
      <c r="L1171" s="27">
        <v>2</v>
      </c>
      <c r="M1171" s="27">
        <v>0</v>
      </c>
      <c r="N1171" s="27">
        <v>86</v>
      </c>
      <c r="O1171" s="27">
        <v>4</v>
      </c>
      <c r="P1171" s="27">
        <v>1</v>
      </c>
      <c r="Q1171" s="27">
        <v>2</v>
      </c>
      <c r="R1171" s="27">
        <v>3</v>
      </c>
      <c r="S1171" s="27">
        <v>2</v>
      </c>
      <c r="T1171" s="27">
        <v>3517</v>
      </c>
      <c r="U1171" s="27">
        <v>22490</v>
      </c>
      <c r="V1171" s="27">
        <v>7</v>
      </c>
      <c r="W1171" s="27">
        <v>0</v>
      </c>
      <c r="X1171" s="27">
        <v>17</v>
      </c>
      <c r="Y1171" s="27">
        <v>3</v>
      </c>
      <c r="Z1171" s="27">
        <v>1</v>
      </c>
      <c r="AA1171" s="27">
        <v>80</v>
      </c>
      <c r="AB1171" s="27">
        <v>0</v>
      </c>
      <c r="AC1171" s="27">
        <v>5</v>
      </c>
      <c r="AD1171" s="27">
        <v>0</v>
      </c>
      <c r="AE1171" s="27">
        <v>3</v>
      </c>
      <c r="AF1171" s="27">
        <v>3</v>
      </c>
      <c r="AG1171" s="27">
        <v>2</v>
      </c>
      <c r="AH1171" s="27">
        <v>0</v>
      </c>
      <c r="AI1171" s="28">
        <v>2</v>
      </c>
      <c r="AK1171" s="36">
        <v>1138</v>
      </c>
      <c r="AL1171" s="33">
        <v>26</v>
      </c>
      <c r="AM1171" s="33">
        <v>1</v>
      </c>
      <c r="AN1171" s="33">
        <v>3</v>
      </c>
      <c r="AO1171" s="33">
        <v>1</v>
      </c>
      <c r="AP1171" s="33">
        <v>1</v>
      </c>
      <c r="AQ1171" s="33">
        <v>0</v>
      </c>
      <c r="AR1171" s="33">
        <v>2</v>
      </c>
      <c r="AS1171" s="33">
        <v>4</v>
      </c>
      <c r="AT1171" s="33">
        <v>1</v>
      </c>
      <c r="AU1171" s="43">
        <v>0.64750767053726221</v>
      </c>
      <c r="AV1171" s="33">
        <v>1</v>
      </c>
      <c r="AW1171" s="33">
        <v>0</v>
      </c>
      <c r="AY1171" s="36">
        <v>1143</v>
      </c>
      <c r="AZ1171" s="33">
        <v>2</v>
      </c>
      <c r="BA1171" s="33">
        <v>1</v>
      </c>
      <c r="BB1171" s="33">
        <v>1</v>
      </c>
      <c r="BC1171" s="33">
        <v>0</v>
      </c>
      <c r="BD1171" s="43">
        <v>0.50385917417366921</v>
      </c>
      <c r="BE1171" s="33">
        <v>1</v>
      </c>
      <c r="BF1171" s="33">
        <v>0</v>
      </c>
      <c r="CE1171" s="36">
        <v>1137</v>
      </c>
      <c r="CF1171" s="33">
        <v>24</v>
      </c>
      <c r="CG1171" s="33">
        <v>1</v>
      </c>
      <c r="CH1171" s="33">
        <v>2</v>
      </c>
      <c r="CI1171" s="33">
        <v>2</v>
      </c>
      <c r="CJ1171" s="33">
        <v>1</v>
      </c>
      <c r="CK1171" s="33">
        <v>1</v>
      </c>
      <c r="CL1171" s="33">
        <v>3</v>
      </c>
      <c r="CM1171" s="33">
        <v>3</v>
      </c>
      <c r="CN1171" s="33">
        <v>1</v>
      </c>
      <c r="CO1171" s="33">
        <v>0</v>
      </c>
      <c r="CP1171" s="43">
        <v>0.42375193629291313</v>
      </c>
      <c r="CQ1171" s="33">
        <v>0</v>
      </c>
      <c r="CR1171" s="33">
        <v>1</v>
      </c>
    </row>
    <row r="1172" spans="1:96" ht="15" customHeight="1" x14ac:dyDescent="0.25">
      <c r="A1172" s="26">
        <v>1170</v>
      </c>
      <c r="B1172" s="27">
        <v>27</v>
      </c>
      <c r="C1172" s="27">
        <v>0</v>
      </c>
      <c r="D1172" s="27">
        <v>2</v>
      </c>
      <c r="E1172" s="27">
        <v>591</v>
      </c>
      <c r="F1172" s="27">
        <v>2</v>
      </c>
      <c r="G1172" s="27">
        <v>2</v>
      </c>
      <c r="H1172" s="27">
        <v>3</v>
      </c>
      <c r="I1172" s="27">
        <v>3</v>
      </c>
      <c r="J1172" s="27">
        <v>1</v>
      </c>
      <c r="K1172" s="27">
        <v>1648</v>
      </c>
      <c r="L1172" s="27">
        <v>4</v>
      </c>
      <c r="M1172" s="27">
        <v>1</v>
      </c>
      <c r="N1172" s="27">
        <v>87</v>
      </c>
      <c r="O1172" s="27">
        <v>3</v>
      </c>
      <c r="P1172" s="27">
        <v>1</v>
      </c>
      <c r="Q1172" s="27">
        <v>2</v>
      </c>
      <c r="R1172" s="27">
        <v>4</v>
      </c>
      <c r="S1172" s="27">
        <v>1</v>
      </c>
      <c r="T1172" s="27">
        <v>2580</v>
      </c>
      <c r="U1172" s="27">
        <v>6297</v>
      </c>
      <c r="V1172" s="27">
        <v>2</v>
      </c>
      <c r="W1172" s="27">
        <v>0</v>
      </c>
      <c r="X1172" s="27">
        <v>13</v>
      </c>
      <c r="Y1172" s="27">
        <v>3</v>
      </c>
      <c r="Z1172" s="27">
        <v>3</v>
      </c>
      <c r="AA1172" s="27">
        <v>80</v>
      </c>
      <c r="AB1172" s="27">
        <v>0</v>
      </c>
      <c r="AC1172" s="27">
        <v>6</v>
      </c>
      <c r="AD1172" s="27">
        <v>0</v>
      </c>
      <c r="AE1172" s="27">
        <v>2</v>
      </c>
      <c r="AF1172" s="27">
        <v>4</v>
      </c>
      <c r="AG1172" s="27">
        <v>2</v>
      </c>
      <c r="AH1172" s="27">
        <v>1</v>
      </c>
      <c r="AI1172" s="28">
        <v>2</v>
      </c>
      <c r="AK1172" s="36">
        <v>1139</v>
      </c>
      <c r="AL1172" s="33">
        <v>20</v>
      </c>
      <c r="AM1172" s="33">
        <v>4</v>
      </c>
      <c r="AN1172" s="33">
        <v>3</v>
      </c>
      <c r="AO1172" s="33">
        <v>2</v>
      </c>
      <c r="AP1172" s="33">
        <v>1</v>
      </c>
      <c r="AQ1172" s="33">
        <v>1</v>
      </c>
      <c r="AR1172" s="33">
        <v>3</v>
      </c>
      <c r="AS1172" s="33">
        <v>30</v>
      </c>
      <c r="AT1172" s="33">
        <v>12</v>
      </c>
      <c r="AU1172" s="43">
        <v>6.9653138319632255E-2</v>
      </c>
      <c r="AV1172" s="33">
        <v>0</v>
      </c>
      <c r="AW1172" s="33">
        <v>0</v>
      </c>
      <c r="AY1172" s="36">
        <v>1144</v>
      </c>
      <c r="AZ1172" s="33">
        <v>2</v>
      </c>
      <c r="BA1172" s="33">
        <v>1</v>
      </c>
      <c r="BB1172" s="33">
        <v>0</v>
      </c>
      <c r="BC1172" s="33">
        <v>1</v>
      </c>
      <c r="BD1172" s="43">
        <v>0.12293502213131684</v>
      </c>
      <c r="BE1172" s="33">
        <v>0</v>
      </c>
      <c r="BF1172" s="33">
        <v>0</v>
      </c>
      <c r="CE1172" s="36">
        <v>1138</v>
      </c>
      <c r="CF1172" s="33">
        <v>26</v>
      </c>
      <c r="CG1172" s="33">
        <v>1</v>
      </c>
      <c r="CH1172" s="33">
        <v>3</v>
      </c>
      <c r="CI1172" s="33">
        <v>2</v>
      </c>
      <c r="CJ1172" s="33">
        <v>1</v>
      </c>
      <c r="CK1172" s="33">
        <v>1</v>
      </c>
      <c r="CL1172" s="33">
        <v>0</v>
      </c>
      <c r="CM1172" s="33">
        <v>2</v>
      </c>
      <c r="CN1172" s="33">
        <v>4</v>
      </c>
      <c r="CO1172" s="33">
        <v>1</v>
      </c>
      <c r="CP1172" s="43">
        <v>0.56603668711988586</v>
      </c>
      <c r="CQ1172" s="33">
        <v>1</v>
      </c>
      <c r="CR1172" s="33">
        <v>0</v>
      </c>
    </row>
    <row r="1173" spans="1:96" ht="15" customHeight="1" x14ac:dyDescent="0.25">
      <c r="A1173" s="26">
        <v>1171</v>
      </c>
      <c r="B1173" s="27">
        <v>40</v>
      </c>
      <c r="C1173" s="27">
        <v>1</v>
      </c>
      <c r="D1173" s="27">
        <v>1</v>
      </c>
      <c r="E1173" s="27">
        <v>1329</v>
      </c>
      <c r="F1173" s="27">
        <v>2</v>
      </c>
      <c r="G1173" s="27">
        <v>7</v>
      </c>
      <c r="H1173" s="27">
        <v>3</v>
      </c>
      <c r="I1173" s="27">
        <v>1</v>
      </c>
      <c r="J1173" s="27">
        <v>1</v>
      </c>
      <c r="K1173" s="27">
        <v>1649</v>
      </c>
      <c r="L1173" s="27">
        <v>1</v>
      </c>
      <c r="M1173" s="27">
        <v>1</v>
      </c>
      <c r="N1173" s="27">
        <v>73</v>
      </c>
      <c r="O1173" s="27">
        <v>3</v>
      </c>
      <c r="P1173" s="27">
        <v>1</v>
      </c>
      <c r="Q1173" s="27">
        <v>3</v>
      </c>
      <c r="R1173" s="27">
        <v>1</v>
      </c>
      <c r="S1173" s="27">
        <v>1</v>
      </c>
      <c r="T1173" s="27">
        <v>2166</v>
      </c>
      <c r="U1173" s="27">
        <v>3339</v>
      </c>
      <c r="V1173" s="27">
        <v>3</v>
      </c>
      <c r="W1173" s="27">
        <v>1</v>
      </c>
      <c r="X1173" s="27">
        <v>14</v>
      </c>
      <c r="Y1173" s="27">
        <v>3</v>
      </c>
      <c r="Z1173" s="27">
        <v>2</v>
      </c>
      <c r="AA1173" s="27">
        <v>80</v>
      </c>
      <c r="AB1173" s="27">
        <v>0</v>
      </c>
      <c r="AC1173" s="27">
        <v>10</v>
      </c>
      <c r="AD1173" s="27">
        <v>3</v>
      </c>
      <c r="AE1173" s="27">
        <v>1</v>
      </c>
      <c r="AF1173" s="27">
        <v>4</v>
      </c>
      <c r="AG1173" s="27">
        <v>2</v>
      </c>
      <c r="AH1173" s="27">
        <v>0</v>
      </c>
      <c r="AI1173" s="28">
        <v>3</v>
      </c>
      <c r="AK1173" s="36">
        <v>1140</v>
      </c>
      <c r="AL1173" s="33">
        <v>5</v>
      </c>
      <c r="AM1173" s="33">
        <v>1</v>
      </c>
      <c r="AN1173" s="33">
        <v>4</v>
      </c>
      <c r="AO1173" s="33">
        <v>3</v>
      </c>
      <c r="AP1173" s="33">
        <v>0</v>
      </c>
      <c r="AQ1173" s="33">
        <v>2</v>
      </c>
      <c r="AR1173" s="33">
        <v>3</v>
      </c>
      <c r="AS1173" s="33">
        <v>3</v>
      </c>
      <c r="AT1173" s="33">
        <v>0</v>
      </c>
      <c r="AU1173" s="43">
        <v>4.2875908197441762E-2</v>
      </c>
      <c r="AV1173" s="33">
        <v>0</v>
      </c>
      <c r="AW1173" s="33">
        <v>0</v>
      </c>
      <c r="AY1173" s="36">
        <v>1145</v>
      </c>
      <c r="AZ1173" s="33">
        <v>2</v>
      </c>
      <c r="BA1173" s="33">
        <v>1</v>
      </c>
      <c r="BB1173" s="33">
        <v>0</v>
      </c>
      <c r="BC1173" s="33">
        <v>0</v>
      </c>
      <c r="BD1173" s="43">
        <v>0.19196561144667343</v>
      </c>
      <c r="BE1173" s="33">
        <v>0</v>
      </c>
      <c r="BF1173" s="33">
        <v>0</v>
      </c>
      <c r="CE1173" s="36">
        <v>1139</v>
      </c>
      <c r="CF1173" s="33">
        <v>20</v>
      </c>
      <c r="CG1173" s="33">
        <v>4</v>
      </c>
      <c r="CH1173" s="33">
        <v>3</v>
      </c>
      <c r="CI1173" s="33">
        <v>2</v>
      </c>
      <c r="CJ1173" s="33">
        <v>2</v>
      </c>
      <c r="CK1173" s="33">
        <v>1</v>
      </c>
      <c r="CL1173" s="33">
        <v>1</v>
      </c>
      <c r="CM1173" s="33">
        <v>3</v>
      </c>
      <c r="CN1173" s="33">
        <v>30</v>
      </c>
      <c r="CO1173" s="33">
        <v>12</v>
      </c>
      <c r="CP1173" s="43">
        <v>7.2449421312321474E-2</v>
      </c>
      <c r="CQ1173" s="33">
        <v>0</v>
      </c>
      <c r="CR1173" s="33">
        <v>0</v>
      </c>
    </row>
    <row r="1174" spans="1:96" ht="15" customHeight="1" x14ac:dyDescent="0.25">
      <c r="A1174" s="26">
        <v>1172</v>
      </c>
      <c r="B1174" s="27">
        <v>29</v>
      </c>
      <c r="C1174" s="27">
        <v>0</v>
      </c>
      <c r="D1174" s="27">
        <v>1</v>
      </c>
      <c r="E1174" s="27">
        <v>469</v>
      </c>
      <c r="F1174" s="27">
        <v>1</v>
      </c>
      <c r="G1174" s="27">
        <v>10</v>
      </c>
      <c r="H1174" s="27">
        <v>3</v>
      </c>
      <c r="I1174" s="27">
        <v>3</v>
      </c>
      <c r="J1174" s="27">
        <v>1</v>
      </c>
      <c r="K1174" s="27">
        <v>1650</v>
      </c>
      <c r="L1174" s="27">
        <v>3</v>
      </c>
      <c r="M1174" s="27">
        <v>1</v>
      </c>
      <c r="N1174" s="27">
        <v>42</v>
      </c>
      <c r="O1174" s="27">
        <v>2</v>
      </c>
      <c r="P1174" s="27">
        <v>2</v>
      </c>
      <c r="Q1174" s="27">
        <v>1</v>
      </c>
      <c r="R1174" s="27">
        <v>3</v>
      </c>
      <c r="S1174" s="27">
        <v>1</v>
      </c>
      <c r="T1174" s="27">
        <v>5869</v>
      </c>
      <c r="U1174" s="27">
        <v>23413</v>
      </c>
      <c r="V1174" s="27">
        <v>9</v>
      </c>
      <c r="W1174" s="27">
        <v>0</v>
      </c>
      <c r="X1174" s="27">
        <v>11</v>
      </c>
      <c r="Y1174" s="27">
        <v>3</v>
      </c>
      <c r="Z1174" s="27">
        <v>3</v>
      </c>
      <c r="AA1174" s="27">
        <v>80</v>
      </c>
      <c r="AB1174" s="27">
        <v>0</v>
      </c>
      <c r="AC1174" s="27">
        <v>8</v>
      </c>
      <c r="AD1174" s="27">
        <v>2</v>
      </c>
      <c r="AE1174" s="27">
        <v>3</v>
      </c>
      <c r="AF1174" s="27">
        <v>5</v>
      </c>
      <c r="AG1174" s="27">
        <v>2</v>
      </c>
      <c r="AH1174" s="27">
        <v>1</v>
      </c>
      <c r="AI1174" s="28">
        <v>4</v>
      </c>
      <c r="AK1174" s="36">
        <v>1141</v>
      </c>
      <c r="AL1174" s="33">
        <v>7</v>
      </c>
      <c r="AM1174" s="33">
        <v>5</v>
      </c>
      <c r="AN1174" s="33">
        <v>4</v>
      </c>
      <c r="AO1174" s="33">
        <v>0</v>
      </c>
      <c r="AP1174" s="33">
        <v>1</v>
      </c>
      <c r="AQ1174" s="33">
        <v>1</v>
      </c>
      <c r="AR1174" s="33">
        <v>2</v>
      </c>
      <c r="AS1174" s="33">
        <v>22</v>
      </c>
      <c r="AT1174" s="33">
        <v>1</v>
      </c>
      <c r="AU1174" s="43">
        <v>1.1224739111517983E-2</v>
      </c>
      <c r="AV1174" s="33">
        <v>0</v>
      </c>
      <c r="AW1174" s="33">
        <v>0</v>
      </c>
      <c r="AY1174" s="36">
        <v>1146</v>
      </c>
      <c r="AZ1174" s="33">
        <v>2</v>
      </c>
      <c r="BA1174" s="33">
        <v>3</v>
      </c>
      <c r="BB1174" s="33">
        <v>1</v>
      </c>
      <c r="BC1174" s="33">
        <v>2</v>
      </c>
      <c r="BD1174" s="43">
        <v>0.16457242924360335</v>
      </c>
      <c r="BE1174" s="33">
        <v>0</v>
      </c>
      <c r="BF1174" s="33">
        <v>0</v>
      </c>
      <c r="CE1174" s="36">
        <v>1140</v>
      </c>
      <c r="CF1174" s="33">
        <v>5</v>
      </c>
      <c r="CG1174" s="33">
        <v>1</v>
      </c>
      <c r="CH1174" s="33">
        <v>4</v>
      </c>
      <c r="CI1174" s="33">
        <v>2</v>
      </c>
      <c r="CJ1174" s="33">
        <v>3</v>
      </c>
      <c r="CK1174" s="33">
        <v>0</v>
      </c>
      <c r="CL1174" s="33">
        <v>2</v>
      </c>
      <c r="CM1174" s="33">
        <v>3</v>
      </c>
      <c r="CN1174" s="33">
        <v>3</v>
      </c>
      <c r="CO1174" s="33">
        <v>0</v>
      </c>
      <c r="CP1174" s="43">
        <v>5.5837953249774197E-2</v>
      </c>
      <c r="CQ1174" s="33">
        <v>0</v>
      </c>
      <c r="CR1174" s="33">
        <v>0</v>
      </c>
    </row>
    <row r="1175" spans="1:96" ht="15" customHeight="1" x14ac:dyDescent="0.25">
      <c r="A1175" s="26">
        <v>1173</v>
      </c>
      <c r="B1175" s="27">
        <v>36</v>
      </c>
      <c r="C1175" s="27">
        <v>0</v>
      </c>
      <c r="D1175" s="27">
        <v>1</v>
      </c>
      <c r="E1175" s="27">
        <v>711</v>
      </c>
      <c r="F1175" s="27">
        <v>2</v>
      </c>
      <c r="G1175" s="27">
        <v>5</v>
      </c>
      <c r="H1175" s="27">
        <v>4</v>
      </c>
      <c r="I1175" s="27">
        <v>1</v>
      </c>
      <c r="J1175" s="27">
        <v>1</v>
      </c>
      <c r="K1175" s="27">
        <v>1651</v>
      </c>
      <c r="L1175" s="27">
        <v>2</v>
      </c>
      <c r="M1175" s="27">
        <v>0</v>
      </c>
      <c r="N1175" s="27">
        <v>42</v>
      </c>
      <c r="O1175" s="27">
        <v>3</v>
      </c>
      <c r="P1175" s="27">
        <v>3</v>
      </c>
      <c r="Q1175" s="27">
        <v>5</v>
      </c>
      <c r="R1175" s="27">
        <v>1</v>
      </c>
      <c r="S1175" s="27">
        <v>2</v>
      </c>
      <c r="T1175" s="27">
        <v>8008</v>
      </c>
      <c r="U1175" s="27">
        <v>22792</v>
      </c>
      <c r="V1175" s="27">
        <v>4</v>
      </c>
      <c r="W1175" s="27">
        <v>0</v>
      </c>
      <c r="X1175" s="27">
        <v>12</v>
      </c>
      <c r="Y1175" s="27">
        <v>3</v>
      </c>
      <c r="Z1175" s="27">
        <v>3</v>
      </c>
      <c r="AA1175" s="27">
        <v>80</v>
      </c>
      <c r="AB1175" s="27">
        <v>2</v>
      </c>
      <c r="AC1175" s="27">
        <v>9</v>
      </c>
      <c r="AD1175" s="27">
        <v>6</v>
      </c>
      <c r="AE1175" s="27">
        <v>3</v>
      </c>
      <c r="AF1175" s="27">
        <v>3</v>
      </c>
      <c r="AG1175" s="27">
        <v>2</v>
      </c>
      <c r="AH1175" s="27">
        <v>0</v>
      </c>
      <c r="AI1175" s="28">
        <v>2</v>
      </c>
      <c r="AK1175" s="36">
        <v>1142</v>
      </c>
      <c r="AL1175" s="33">
        <v>7</v>
      </c>
      <c r="AM1175" s="33">
        <v>1</v>
      </c>
      <c r="AN1175" s="33">
        <v>2</v>
      </c>
      <c r="AO1175" s="33">
        <v>1</v>
      </c>
      <c r="AP1175" s="33">
        <v>0</v>
      </c>
      <c r="AQ1175" s="33">
        <v>1</v>
      </c>
      <c r="AR1175" s="33">
        <v>2</v>
      </c>
      <c r="AS1175" s="33">
        <v>6</v>
      </c>
      <c r="AT1175" s="33">
        <v>1</v>
      </c>
      <c r="AU1175" s="43">
        <v>0.12724077044367985</v>
      </c>
      <c r="AV1175" s="33">
        <v>0</v>
      </c>
      <c r="AW1175" s="33">
        <v>0</v>
      </c>
      <c r="AY1175" s="36">
        <v>1147</v>
      </c>
      <c r="AZ1175" s="33">
        <v>2</v>
      </c>
      <c r="BA1175" s="33">
        <v>4</v>
      </c>
      <c r="BB1175" s="33">
        <v>0</v>
      </c>
      <c r="BC1175" s="33">
        <v>1</v>
      </c>
      <c r="BD1175" s="43">
        <v>5.5093218126976727E-2</v>
      </c>
      <c r="BE1175" s="33">
        <v>0</v>
      </c>
      <c r="BF1175" s="33">
        <v>0</v>
      </c>
      <c r="CE1175" s="36">
        <v>1141</v>
      </c>
      <c r="CF1175" s="33">
        <v>7</v>
      </c>
      <c r="CG1175" s="33">
        <v>5</v>
      </c>
      <c r="CH1175" s="33">
        <v>4</v>
      </c>
      <c r="CI1175" s="33">
        <v>3</v>
      </c>
      <c r="CJ1175" s="33">
        <v>0</v>
      </c>
      <c r="CK1175" s="33">
        <v>1</v>
      </c>
      <c r="CL1175" s="33">
        <v>1</v>
      </c>
      <c r="CM1175" s="33">
        <v>2</v>
      </c>
      <c r="CN1175" s="33">
        <v>22</v>
      </c>
      <c r="CO1175" s="33">
        <v>1</v>
      </c>
      <c r="CP1175" s="43">
        <v>6.6346881842995736E-3</v>
      </c>
      <c r="CQ1175" s="33">
        <v>0</v>
      </c>
      <c r="CR1175" s="33">
        <v>0</v>
      </c>
    </row>
    <row r="1176" spans="1:96" ht="15" customHeight="1" x14ac:dyDescent="0.25">
      <c r="A1176" s="26">
        <v>1174</v>
      </c>
      <c r="B1176" s="27">
        <v>25</v>
      </c>
      <c r="C1176" s="27">
        <v>0</v>
      </c>
      <c r="D1176" s="27">
        <v>2</v>
      </c>
      <c r="E1176" s="27">
        <v>772</v>
      </c>
      <c r="F1176" s="27">
        <v>2</v>
      </c>
      <c r="G1176" s="27">
        <v>2</v>
      </c>
      <c r="H1176" s="27">
        <v>1</v>
      </c>
      <c r="I1176" s="27">
        <v>1</v>
      </c>
      <c r="J1176" s="27">
        <v>1</v>
      </c>
      <c r="K1176" s="27">
        <v>1653</v>
      </c>
      <c r="L1176" s="27">
        <v>4</v>
      </c>
      <c r="M1176" s="27">
        <v>1</v>
      </c>
      <c r="N1176" s="27">
        <v>77</v>
      </c>
      <c r="O1176" s="27">
        <v>4</v>
      </c>
      <c r="P1176" s="27">
        <v>2</v>
      </c>
      <c r="Q1176" s="27">
        <v>4</v>
      </c>
      <c r="R1176" s="27">
        <v>3</v>
      </c>
      <c r="S1176" s="27">
        <v>3</v>
      </c>
      <c r="T1176" s="27">
        <v>5206</v>
      </c>
      <c r="U1176" s="27">
        <v>4973</v>
      </c>
      <c r="V1176" s="27">
        <v>1</v>
      </c>
      <c r="W1176" s="27">
        <v>0</v>
      </c>
      <c r="X1176" s="27">
        <v>17</v>
      </c>
      <c r="Y1176" s="27">
        <v>3</v>
      </c>
      <c r="Z1176" s="27">
        <v>3</v>
      </c>
      <c r="AA1176" s="27">
        <v>80</v>
      </c>
      <c r="AB1176" s="27">
        <v>2</v>
      </c>
      <c r="AC1176" s="27">
        <v>7</v>
      </c>
      <c r="AD1176" s="27">
        <v>6</v>
      </c>
      <c r="AE1176" s="27">
        <v>3</v>
      </c>
      <c r="AF1176" s="27">
        <v>7</v>
      </c>
      <c r="AG1176" s="27">
        <v>7</v>
      </c>
      <c r="AH1176" s="27">
        <v>0</v>
      </c>
      <c r="AI1176" s="28">
        <v>7</v>
      </c>
      <c r="AK1176" s="36">
        <v>1143</v>
      </c>
      <c r="AL1176" s="33">
        <v>5</v>
      </c>
      <c r="AM1176" s="33">
        <v>2</v>
      </c>
      <c r="AN1176" s="33">
        <v>1</v>
      </c>
      <c r="AO1176" s="33">
        <v>1</v>
      </c>
      <c r="AP1176" s="33">
        <v>1</v>
      </c>
      <c r="AQ1176" s="33">
        <v>0</v>
      </c>
      <c r="AR1176" s="33">
        <v>3</v>
      </c>
      <c r="AS1176" s="33">
        <v>10</v>
      </c>
      <c r="AT1176" s="33">
        <v>1</v>
      </c>
      <c r="AU1176" s="43">
        <v>0.32498466651749403</v>
      </c>
      <c r="AV1176" s="33">
        <v>0</v>
      </c>
      <c r="AW1176" s="33">
        <v>0</v>
      </c>
      <c r="AY1176" s="36">
        <v>1148</v>
      </c>
      <c r="AZ1176" s="33">
        <v>1</v>
      </c>
      <c r="BA1176" s="33">
        <v>1</v>
      </c>
      <c r="BB1176" s="33">
        <v>0</v>
      </c>
      <c r="BC1176" s="33">
        <v>1</v>
      </c>
      <c r="BD1176" s="43">
        <v>0.19678474515944386</v>
      </c>
      <c r="BE1176" s="33">
        <v>0</v>
      </c>
      <c r="BF1176" s="33">
        <v>0</v>
      </c>
      <c r="CE1176" s="36">
        <v>1142</v>
      </c>
      <c r="CF1176" s="33">
        <v>7</v>
      </c>
      <c r="CG1176" s="33">
        <v>1</v>
      </c>
      <c r="CH1176" s="33">
        <v>2</v>
      </c>
      <c r="CI1176" s="33">
        <v>2</v>
      </c>
      <c r="CJ1176" s="33">
        <v>1</v>
      </c>
      <c r="CK1176" s="33">
        <v>0</v>
      </c>
      <c r="CL1176" s="33">
        <v>1</v>
      </c>
      <c r="CM1176" s="33">
        <v>2</v>
      </c>
      <c r="CN1176" s="33">
        <v>6</v>
      </c>
      <c r="CO1176" s="33">
        <v>1</v>
      </c>
      <c r="CP1176" s="43">
        <v>0.12553117255830215</v>
      </c>
      <c r="CQ1176" s="33">
        <v>0</v>
      </c>
      <c r="CR1176" s="33">
        <v>0</v>
      </c>
    </row>
    <row r="1177" spans="1:96" ht="15" customHeight="1" x14ac:dyDescent="0.25">
      <c r="A1177" s="26">
        <v>1175</v>
      </c>
      <c r="B1177" s="27">
        <v>39</v>
      </c>
      <c r="C1177" s="27">
        <v>0</v>
      </c>
      <c r="D1177" s="27">
        <v>1</v>
      </c>
      <c r="E1177" s="27">
        <v>492</v>
      </c>
      <c r="F1177" s="27">
        <v>2</v>
      </c>
      <c r="G1177" s="27">
        <v>12</v>
      </c>
      <c r="H1177" s="27">
        <v>3</v>
      </c>
      <c r="I1177" s="27">
        <v>3</v>
      </c>
      <c r="J1177" s="27">
        <v>1</v>
      </c>
      <c r="K1177" s="27">
        <v>1654</v>
      </c>
      <c r="L1177" s="27">
        <v>4</v>
      </c>
      <c r="M1177" s="27">
        <v>1</v>
      </c>
      <c r="N1177" s="27">
        <v>66</v>
      </c>
      <c r="O1177" s="27">
        <v>3</v>
      </c>
      <c r="P1177" s="27">
        <v>2</v>
      </c>
      <c r="Q1177" s="27">
        <v>4</v>
      </c>
      <c r="R1177" s="27">
        <v>2</v>
      </c>
      <c r="S1177" s="27">
        <v>2</v>
      </c>
      <c r="T1177" s="27">
        <v>5295</v>
      </c>
      <c r="U1177" s="27">
        <v>7693</v>
      </c>
      <c r="V1177" s="27">
        <v>4</v>
      </c>
      <c r="W1177" s="27">
        <v>0</v>
      </c>
      <c r="X1177" s="27">
        <v>21</v>
      </c>
      <c r="Y1177" s="27">
        <v>4</v>
      </c>
      <c r="Z1177" s="27">
        <v>3</v>
      </c>
      <c r="AA1177" s="27">
        <v>80</v>
      </c>
      <c r="AB1177" s="27">
        <v>0</v>
      </c>
      <c r="AC1177" s="27">
        <v>7</v>
      </c>
      <c r="AD1177" s="27">
        <v>3</v>
      </c>
      <c r="AE1177" s="27">
        <v>3</v>
      </c>
      <c r="AF1177" s="27">
        <v>5</v>
      </c>
      <c r="AG1177" s="27">
        <v>4</v>
      </c>
      <c r="AH1177" s="27">
        <v>1</v>
      </c>
      <c r="AI1177" s="28">
        <v>0</v>
      </c>
      <c r="AK1177" s="36">
        <v>1144</v>
      </c>
      <c r="AL1177" s="33">
        <v>26</v>
      </c>
      <c r="AM1177" s="33">
        <v>2</v>
      </c>
      <c r="AN1177" s="33">
        <v>1</v>
      </c>
      <c r="AO1177" s="33">
        <v>1</v>
      </c>
      <c r="AP1177" s="33">
        <v>0</v>
      </c>
      <c r="AQ1177" s="33">
        <v>1</v>
      </c>
      <c r="AR1177" s="33">
        <v>3</v>
      </c>
      <c r="AS1177" s="33">
        <v>10</v>
      </c>
      <c r="AT1177" s="33">
        <v>4</v>
      </c>
      <c r="AU1177" s="43">
        <v>0.1509773733017169</v>
      </c>
      <c r="AV1177" s="33">
        <v>0</v>
      </c>
      <c r="AW1177" s="33">
        <v>0</v>
      </c>
      <c r="AY1177" s="36">
        <v>1149</v>
      </c>
      <c r="AZ1177" s="33">
        <v>2</v>
      </c>
      <c r="BA1177" s="33">
        <v>1</v>
      </c>
      <c r="BB1177" s="33">
        <v>0</v>
      </c>
      <c r="BC1177" s="33">
        <v>3</v>
      </c>
      <c r="BD1177" s="43">
        <v>4.6521660648451695E-2</v>
      </c>
      <c r="BE1177" s="33">
        <v>0</v>
      </c>
      <c r="BF1177" s="33">
        <v>0</v>
      </c>
      <c r="CE1177" s="36">
        <v>1143</v>
      </c>
      <c r="CF1177" s="33">
        <v>5</v>
      </c>
      <c r="CG1177" s="33">
        <v>2</v>
      </c>
      <c r="CH1177" s="33">
        <v>1</v>
      </c>
      <c r="CI1177" s="33">
        <v>1</v>
      </c>
      <c r="CJ1177" s="33">
        <v>1</v>
      </c>
      <c r="CK1177" s="33">
        <v>1</v>
      </c>
      <c r="CL1177" s="33">
        <v>0</v>
      </c>
      <c r="CM1177" s="33">
        <v>3</v>
      </c>
      <c r="CN1177" s="33">
        <v>10</v>
      </c>
      <c r="CO1177" s="33">
        <v>1</v>
      </c>
      <c r="CP1177" s="43">
        <v>0.38131586699124259</v>
      </c>
      <c r="CQ1177" s="33">
        <v>0</v>
      </c>
      <c r="CR1177" s="33">
        <v>0</v>
      </c>
    </row>
    <row r="1178" spans="1:96" ht="15" customHeight="1" x14ac:dyDescent="0.25">
      <c r="A1178" s="26">
        <v>1176</v>
      </c>
      <c r="B1178" s="27">
        <v>49</v>
      </c>
      <c r="C1178" s="27">
        <v>0</v>
      </c>
      <c r="D1178" s="27">
        <v>1</v>
      </c>
      <c r="E1178" s="27">
        <v>301</v>
      </c>
      <c r="F1178" s="27">
        <v>2</v>
      </c>
      <c r="G1178" s="27">
        <v>22</v>
      </c>
      <c r="H1178" s="27">
        <v>4</v>
      </c>
      <c r="I1178" s="27">
        <v>6</v>
      </c>
      <c r="J1178" s="27">
        <v>1</v>
      </c>
      <c r="K1178" s="27">
        <v>1655</v>
      </c>
      <c r="L1178" s="27">
        <v>1</v>
      </c>
      <c r="M1178" s="27">
        <v>0</v>
      </c>
      <c r="N1178" s="27">
        <v>72</v>
      </c>
      <c r="O1178" s="27">
        <v>3</v>
      </c>
      <c r="P1178" s="27">
        <v>4</v>
      </c>
      <c r="Q1178" s="27">
        <v>8</v>
      </c>
      <c r="R1178" s="27">
        <v>2</v>
      </c>
      <c r="S1178" s="27">
        <v>2</v>
      </c>
      <c r="T1178" s="27">
        <v>16413</v>
      </c>
      <c r="U1178" s="27">
        <v>3498</v>
      </c>
      <c r="V1178" s="27">
        <v>3</v>
      </c>
      <c r="W1178" s="27">
        <v>0</v>
      </c>
      <c r="X1178" s="27">
        <v>16</v>
      </c>
      <c r="Y1178" s="27">
        <v>3</v>
      </c>
      <c r="Z1178" s="27">
        <v>2</v>
      </c>
      <c r="AA1178" s="27">
        <v>80</v>
      </c>
      <c r="AB1178" s="27">
        <v>2</v>
      </c>
      <c r="AC1178" s="27">
        <v>27</v>
      </c>
      <c r="AD1178" s="27">
        <v>2</v>
      </c>
      <c r="AE1178" s="27">
        <v>3</v>
      </c>
      <c r="AF1178" s="27">
        <v>4</v>
      </c>
      <c r="AG1178" s="27">
        <v>2</v>
      </c>
      <c r="AH1178" s="27">
        <v>1</v>
      </c>
      <c r="AI1178" s="28">
        <v>2</v>
      </c>
      <c r="AK1178" s="36">
        <v>1145</v>
      </c>
      <c r="AL1178" s="33">
        <v>2</v>
      </c>
      <c r="AM1178" s="33">
        <v>2</v>
      </c>
      <c r="AN1178" s="33">
        <v>1</v>
      </c>
      <c r="AO1178" s="33">
        <v>7</v>
      </c>
      <c r="AP1178" s="33">
        <v>0</v>
      </c>
      <c r="AQ1178" s="33">
        <v>0</v>
      </c>
      <c r="AR1178" s="33">
        <v>3</v>
      </c>
      <c r="AS1178" s="33">
        <v>5</v>
      </c>
      <c r="AT1178" s="33">
        <v>0</v>
      </c>
      <c r="AU1178" s="43">
        <v>0.17421382493125082</v>
      </c>
      <c r="AV1178" s="33">
        <v>0</v>
      </c>
      <c r="AW1178" s="33">
        <v>0</v>
      </c>
      <c r="AY1178" s="36">
        <v>1150</v>
      </c>
      <c r="AZ1178" s="33">
        <v>1</v>
      </c>
      <c r="BA1178" s="33">
        <v>1</v>
      </c>
      <c r="BB1178" s="33">
        <v>0</v>
      </c>
      <c r="BC1178" s="33">
        <v>2</v>
      </c>
      <c r="BD1178" s="43">
        <v>0.12629205428487661</v>
      </c>
      <c r="BE1178" s="33">
        <v>0</v>
      </c>
      <c r="BF1178" s="33">
        <v>0</v>
      </c>
      <c r="CE1178" s="36">
        <v>1144</v>
      </c>
      <c r="CF1178" s="33">
        <v>26</v>
      </c>
      <c r="CG1178" s="33">
        <v>2</v>
      </c>
      <c r="CH1178" s="33">
        <v>1</v>
      </c>
      <c r="CI1178" s="33">
        <v>2</v>
      </c>
      <c r="CJ1178" s="33">
        <v>1</v>
      </c>
      <c r="CK1178" s="33">
        <v>0</v>
      </c>
      <c r="CL1178" s="33">
        <v>1</v>
      </c>
      <c r="CM1178" s="33">
        <v>3</v>
      </c>
      <c r="CN1178" s="33">
        <v>10</v>
      </c>
      <c r="CO1178" s="33">
        <v>4</v>
      </c>
      <c r="CP1178" s="43">
        <v>0.15083780436775773</v>
      </c>
      <c r="CQ1178" s="33">
        <v>0</v>
      </c>
      <c r="CR1178" s="33">
        <v>0</v>
      </c>
    </row>
    <row r="1179" spans="1:96" ht="15" customHeight="1" x14ac:dyDescent="0.25">
      <c r="A1179" s="26">
        <v>1177</v>
      </c>
      <c r="B1179" s="27">
        <v>50</v>
      </c>
      <c r="C1179" s="27">
        <v>0</v>
      </c>
      <c r="D1179" s="27">
        <v>1</v>
      </c>
      <c r="E1179" s="27">
        <v>813</v>
      </c>
      <c r="F1179" s="27">
        <v>2</v>
      </c>
      <c r="G1179" s="27">
        <v>17</v>
      </c>
      <c r="H1179" s="27">
        <v>5</v>
      </c>
      <c r="I1179" s="27">
        <v>1</v>
      </c>
      <c r="J1179" s="27">
        <v>1</v>
      </c>
      <c r="K1179" s="27">
        <v>1656</v>
      </c>
      <c r="L1179" s="27">
        <v>4</v>
      </c>
      <c r="M1179" s="27">
        <v>0</v>
      </c>
      <c r="N1179" s="27">
        <v>50</v>
      </c>
      <c r="O1179" s="27">
        <v>2</v>
      </c>
      <c r="P1179" s="27">
        <v>3</v>
      </c>
      <c r="Q1179" s="27">
        <v>8</v>
      </c>
      <c r="R1179" s="27">
        <v>1</v>
      </c>
      <c r="S1179" s="27">
        <v>3</v>
      </c>
      <c r="T1179" s="27">
        <v>13269</v>
      </c>
      <c r="U1179" s="27">
        <v>21981</v>
      </c>
      <c r="V1179" s="27">
        <v>5</v>
      </c>
      <c r="W1179" s="27">
        <v>0</v>
      </c>
      <c r="X1179" s="27">
        <v>15</v>
      </c>
      <c r="Y1179" s="27">
        <v>3</v>
      </c>
      <c r="Z1179" s="27">
        <v>3</v>
      </c>
      <c r="AA1179" s="27">
        <v>80</v>
      </c>
      <c r="AB1179" s="27">
        <v>3</v>
      </c>
      <c r="AC1179" s="27">
        <v>19</v>
      </c>
      <c r="AD1179" s="27">
        <v>3</v>
      </c>
      <c r="AE1179" s="27">
        <v>3</v>
      </c>
      <c r="AF1179" s="27">
        <v>14</v>
      </c>
      <c r="AG1179" s="27">
        <v>11</v>
      </c>
      <c r="AH1179" s="27">
        <v>1</v>
      </c>
      <c r="AI1179" s="28">
        <v>11</v>
      </c>
      <c r="AK1179" s="36">
        <v>1146</v>
      </c>
      <c r="AL1179" s="33">
        <v>12</v>
      </c>
      <c r="AM1179" s="33">
        <v>2</v>
      </c>
      <c r="AN1179" s="33">
        <v>3</v>
      </c>
      <c r="AO1179" s="33">
        <v>9</v>
      </c>
      <c r="AP1179" s="33">
        <v>1</v>
      </c>
      <c r="AQ1179" s="33">
        <v>2</v>
      </c>
      <c r="AR1179" s="33">
        <v>3</v>
      </c>
      <c r="AS1179" s="33">
        <v>3</v>
      </c>
      <c r="AT1179" s="33">
        <v>1</v>
      </c>
      <c r="AU1179" s="43">
        <v>0.2616963916430341</v>
      </c>
      <c r="AV1179" s="33">
        <v>0</v>
      </c>
      <c r="AW1179" s="33">
        <v>0</v>
      </c>
      <c r="AY1179" s="36">
        <v>1151</v>
      </c>
      <c r="AZ1179" s="33">
        <v>2</v>
      </c>
      <c r="BA1179" s="33">
        <v>1</v>
      </c>
      <c r="BB1179" s="33">
        <v>0</v>
      </c>
      <c r="BC1179" s="33">
        <v>0</v>
      </c>
      <c r="BD1179" s="43">
        <v>0.19196561144667343</v>
      </c>
      <c r="BE1179" s="33">
        <v>0</v>
      </c>
      <c r="BF1179" s="33">
        <v>0</v>
      </c>
      <c r="CE1179" s="36">
        <v>1145</v>
      </c>
      <c r="CF1179" s="33">
        <v>2</v>
      </c>
      <c r="CG1179" s="33">
        <v>2</v>
      </c>
      <c r="CH1179" s="33">
        <v>1</v>
      </c>
      <c r="CI1179" s="33">
        <v>1</v>
      </c>
      <c r="CJ1179" s="33">
        <v>7</v>
      </c>
      <c r="CK1179" s="33">
        <v>0</v>
      </c>
      <c r="CL1179" s="33">
        <v>0</v>
      </c>
      <c r="CM1179" s="33">
        <v>3</v>
      </c>
      <c r="CN1179" s="33">
        <v>5</v>
      </c>
      <c r="CO1179" s="33">
        <v>0</v>
      </c>
      <c r="CP1179" s="43">
        <v>0.20756106248848694</v>
      </c>
      <c r="CQ1179" s="33">
        <v>0</v>
      </c>
      <c r="CR1179" s="33">
        <v>0</v>
      </c>
    </row>
    <row r="1180" spans="1:96" ht="15" customHeight="1" x14ac:dyDescent="0.25">
      <c r="A1180" s="26">
        <v>1178</v>
      </c>
      <c r="B1180" s="27">
        <v>20</v>
      </c>
      <c r="C1180" s="27">
        <v>0</v>
      </c>
      <c r="D1180" s="27">
        <v>1</v>
      </c>
      <c r="E1180" s="27">
        <v>1141</v>
      </c>
      <c r="F1180" s="27">
        <v>1</v>
      </c>
      <c r="G1180" s="27">
        <v>2</v>
      </c>
      <c r="H1180" s="27">
        <v>3</v>
      </c>
      <c r="I1180" s="27">
        <v>3</v>
      </c>
      <c r="J1180" s="27">
        <v>1</v>
      </c>
      <c r="K1180" s="27">
        <v>1657</v>
      </c>
      <c r="L1180" s="27">
        <v>3</v>
      </c>
      <c r="M1180" s="27">
        <v>0</v>
      </c>
      <c r="N1180" s="27">
        <v>31</v>
      </c>
      <c r="O1180" s="27">
        <v>3</v>
      </c>
      <c r="P1180" s="27">
        <v>1</v>
      </c>
      <c r="Q1180" s="27">
        <v>7</v>
      </c>
      <c r="R1180" s="27">
        <v>3</v>
      </c>
      <c r="S1180" s="27">
        <v>1</v>
      </c>
      <c r="T1180" s="27">
        <v>2783</v>
      </c>
      <c r="U1180" s="27">
        <v>13251</v>
      </c>
      <c r="V1180" s="27">
        <v>1</v>
      </c>
      <c r="W1180" s="27">
        <v>0</v>
      </c>
      <c r="X1180" s="27">
        <v>19</v>
      </c>
      <c r="Y1180" s="27">
        <v>3</v>
      </c>
      <c r="Z1180" s="27">
        <v>1</v>
      </c>
      <c r="AA1180" s="27">
        <v>80</v>
      </c>
      <c r="AB1180" s="27">
        <v>0</v>
      </c>
      <c r="AC1180" s="27">
        <v>2</v>
      </c>
      <c r="AD1180" s="27">
        <v>3</v>
      </c>
      <c r="AE1180" s="27">
        <v>3</v>
      </c>
      <c r="AF1180" s="27">
        <v>2</v>
      </c>
      <c r="AG1180" s="27">
        <v>2</v>
      </c>
      <c r="AH1180" s="27">
        <v>2</v>
      </c>
      <c r="AI1180" s="28">
        <v>2</v>
      </c>
      <c r="AK1180" s="36">
        <v>1147</v>
      </c>
      <c r="AL1180" s="33">
        <v>10</v>
      </c>
      <c r="AM1180" s="33">
        <v>2</v>
      </c>
      <c r="AN1180" s="33">
        <v>4</v>
      </c>
      <c r="AO1180" s="33">
        <v>1</v>
      </c>
      <c r="AP1180" s="33">
        <v>0</v>
      </c>
      <c r="AQ1180" s="33">
        <v>1</v>
      </c>
      <c r="AR1180" s="33">
        <v>3</v>
      </c>
      <c r="AS1180" s="33">
        <v>9</v>
      </c>
      <c r="AT1180" s="33">
        <v>7</v>
      </c>
      <c r="AU1180" s="43">
        <v>6.128022655260023E-2</v>
      </c>
      <c r="AV1180" s="33">
        <v>0</v>
      </c>
      <c r="AW1180" s="33">
        <v>0</v>
      </c>
      <c r="AY1180" s="36">
        <v>1152</v>
      </c>
      <c r="AZ1180" s="33">
        <v>2</v>
      </c>
      <c r="BA1180" s="33">
        <v>1</v>
      </c>
      <c r="BB1180" s="33">
        <v>0</v>
      </c>
      <c r="BC1180" s="33">
        <v>1</v>
      </c>
      <c r="BD1180" s="43">
        <v>0.12293502213131684</v>
      </c>
      <c r="BE1180" s="33">
        <v>0</v>
      </c>
      <c r="BF1180" s="33">
        <v>0</v>
      </c>
      <c r="CE1180" s="36">
        <v>1146</v>
      </c>
      <c r="CF1180" s="33">
        <v>12</v>
      </c>
      <c r="CG1180" s="33">
        <v>2</v>
      </c>
      <c r="CH1180" s="33">
        <v>3</v>
      </c>
      <c r="CI1180" s="33">
        <v>2</v>
      </c>
      <c r="CJ1180" s="33">
        <v>9</v>
      </c>
      <c r="CK1180" s="33">
        <v>1</v>
      </c>
      <c r="CL1180" s="33">
        <v>2</v>
      </c>
      <c r="CM1180" s="33">
        <v>3</v>
      </c>
      <c r="CN1180" s="33">
        <v>3</v>
      </c>
      <c r="CO1180" s="33">
        <v>1</v>
      </c>
      <c r="CP1180" s="43">
        <v>0.33637707606043216</v>
      </c>
      <c r="CQ1180" s="33">
        <v>0</v>
      </c>
      <c r="CR1180" s="33">
        <v>0</v>
      </c>
    </row>
    <row r="1181" spans="1:96" ht="15" customHeight="1" x14ac:dyDescent="0.25">
      <c r="A1181" s="26">
        <v>1179</v>
      </c>
      <c r="B1181" s="27">
        <v>34</v>
      </c>
      <c r="C1181" s="27">
        <v>0</v>
      </c>
      <c r="D1181" s="27">
        <v>1</v>
      </c>
      <c r="E1181" s="27">
        <v>1130</v>
      </c>
      <c r="F1181" s="27">
        <v>2</v>
      </c>
      <c r="G1181" s="27">
        <v>3</v>
      </c>
      <c r="H1181" s="27">
        <v>3</v>
      </c>
      <c r="I1181" s="27">
        <v>1</v>
      </c>
      <c r="J1181" s="27">
        <v>1</v>
      </c>
      <c r="K1181" s="27">
        <v>1658</v>
      </c>
      <c r="L1181" s="27">
        <v>4</v>
      </c>
      <c r="M1181" s="27">
        <v>0</v>
      </c>
      <c r="N1181" s="27">
        <v>66</v>
      </c>
      <c r="O1181" s="27">
        <v>3</v>
      </c>
      <c r="P1181" s="27">
        <v>2</v>
      </c>
      <c r="Q1181" s="27">
        <v>2</v>
      </c>
      <c r="R1181" s="27">
        <v>2</v>
      </c>
      <c r="S1181" s="27">
        <v>3</v>
      </c>
      <c r="T1181" s="27">
        <v>5433</v>
      </c>
      <c r="U1181" s="27">
        <v>19332</v>
      </c>
      <c r="V1181" s="27">
        <v>1</v>
      </c>
      <c r="W1181" s="27">
        <v>0</v>
      </c>
      <c r="X1181" s="27">
        <v>12</v>
      </c>
      <c r="Y1181" s="27">
        <v>3</v>
      </c>
      <c r="Z1181" s="27">
        <v>3</v>
      </c>
      <c r="AA1181" s="27">
        <v>80</v>
      </c>
      <c r="AB1181" s="27">
        <v>1</v>
      </c>
      <c r="AC1181" s="27">
        <v>11</v>
      </c>
      <c r="AD1181" s="27">
        <v>2</v>
      </c>
      <c r="AE1181" s="27">
        <v>3</v>
      </c>
      <c r="AF1181" s="27">
        <v>11</v>
      </c>
      <c r="AG1181" s="27">
        <v>8</v>
      </c>
      <c r="AH1181" s="27">
        <v>7</v>
      </c>
      <c r="AI1181" s="28">
        <v>9</v>
      </c>
      <c r="AK1181" s="36">
        <v>1148</v>
      </c>
      <c r="AL1181" s="33">
        <v>25</v>
      </c>
      <c r="AM1181" s="33">
        <v>1</v>
      </c>
      <c r="AN1181" s="33">
        <v>1</v>
      </c>
      <c r="AO1181" s="33">
        <v>1</v>
      </c>
      <c r="AP1181" s="33">
        <v>0</v>
      </c>
      <c r="AQ1181" s="33">
        <v>1</v>
      </c>
      <c r="AR1181" s="33">
        <v>2</v>
      </c>
      <c r="AS1181" s="33">
        <v>9</v>
      </c>
      <c r="AT1181" s="33">
        <v>1</v>
      </c>
      <c r="AU1181" s="43">
        <v>0.22366810621396641</v>
      </c>
      <c r="AV1181" s="33">
        <v>0</v>
      </c>
      <c r="AW1181" s="33">
        <v>0</v>
      </c>
      <c r="AY1181" s="36">
        <v>1153</v>
      </c>
      <c r="AZ1181" s="33">
        <v>1</v>
      </c>
      <c r="BA1181" s="33">
        <v>4</v>
      </c>
      <c r="BB1181" s="33">
        <v>0</v>
      </c>
      <c r="BC1181" s="33">
        <v>0</v>
      </c>
      <c r="BD1181" s="43">
        <v>0.1472907617042678</v>
      </c>
      <c r="BE1181" s="33">
        <v>0</v>
      </c>
      <c r="BF1181" s="33">
        <v>0</v>
      </c>
      <c r="CE1181" s="36">
        <v>1147</v>
      </c>
      <c r="CF1181" s="33">
        <v>10</v>
      </c>
      <c r="CG1181" s="33">
        <v>2</v>
      </c>
      <c r="CH1181" s="33">
        <v>4</v>
      </c>
      <c r="CI1181" s="33">
        <v>3</v>
      </c>
      <c r="CJ1181" s="33">
        <v>1</v>
      </c>
      <c r="CK1181" s="33">
        <v>0</v>
      </c>
      <c r="CL1181" s="33">
        <v>1</v>
      </c>
      <c r="CM1181" s="33">
        <v>3</v>
      </c>
      <c r="CN1181" s="33">
        <v>9</v>
      </c>
      <c r="CO1181" s="33">
        <v>7</v>
      </c>
      <c r="CP1181" s="43">
        <v>3.4733328933209733E-2</v>
      </c>
      <c r="CQ1181" s="33">
        <v>0</v>
      </c>
      <c r="CR1181" s="33">
        <v>0</v>
      </c>
    </row>
    <row r="1182" spans="1:96" ht="15" customHeight="1" x14ac:dyDescent="0.25">
      <c r="A1182" s="26">
        <v>1180</v>
      </c>
      <c r="B1182" s="27">
        <v>36</v>
      </c>
      <c r="C1182" s="27">
        <v>0</v>
      </c>
      <c r="D1182" s="27">
        <v>1</v>
      </c>
      <c r="E1182" s="27">
        <v>311</v>
      </c>
      <c r="F1182" s="27">
        <v>2</v>
      </c>
      <c r="G1182" s="27">
        <v>7</v>
      </c>
      <c r="H1182" s="27">
        <v>3</v>
      </c>
      <c r="I1182" s="27">
        <v>1</v>
      </c>
      <c r="J1182" s="27">
        <v>1</v>
      </c>
      <c r="K1182" s="27">
        <v>1659</v>
      </c>
      <c r="L1182" s="27">
        <v>1</v>
      </c>
      <c r="M1182" s="27">
        <v>1</v>
      </c>
      <c r="N1182" s="27">
        <v>77</v>
      </c>
      <c r="O1182" s="27">
        <v>3</v>
      </c>
      <c r="P1182" s="27">
        <v>1</v>
      </c>
      <c r="Q1182" s="27">
        <v>3</v>
      </c>
      <c r="R1182" s="27">
        <v>2</v>
      </c>
      <c r="S1182" s="27">
        <v>1</v>
      </c>
      <c r="T1182" s="27">
        <v>2013</v>
      </c>
      <c r="U1182" s="27">
        <v>10950</v>
      </c>
      <c r="V1182" s="27">
        <v>2</v>
      </c>
      <c r="W1182" s="27">
        <v>0</v>
      </c>
      <c r="X1182" s="27">
        <v>11</v>
      </c>
      <c r="Y1182" s="27">
        <v>3</v>
      </c>
      <c r="Z1182" s="27">
        <v>3</v>
      </c>
      <c r="AA1182" s="27">
        <v>80</v>
      </c>
      <c r="AB1182" s="27">
        <v>0</v>
      </c>
      <c r="AC1182" s="27">
        <v>15</v>
      </c>
      <c r="AD1182" s="27">
        <v>4</v>
      </c>
      <c r="AE1182" s="27">
        <v>3</v>
      </c>
      <c r="AF1182" s="27">
        <v>4</v>
      </c>
      <c r="AG1182" s="27">
        <v>3</v>
      </c>
      <c r="AH1182" s="27">
        <v>1</v>
      </c>
      <c r="AI1182" s="28">
        <v>3</v>
      </c>
      <c r="AK1182" s="36">
        <v>1149</v>
      </c>
      <c r="AL1182" s="33">
        <v>10</v>
      </c>
      <c r="AM1182" s="33">
        <v>2</v>
      </c>
      <c r="AN1182" s="33">
        <v>1</v>
      </c>
      <c r="AO1182" s="33">
        <v>2</v>
      </c>
      <c r="AP1182" s="33">
        <v>0</v>
      </c>
      <c r="AQ1182" s="33">
        <v>3</v>
      </c>
      <c r="AR1182" s="33">
        <v>3</v>
      </c>
      <c r="AS1182" s="33">
        <v>7</v>
      </c>
      <c r="AT1182" s="33">
        <v>7</v>
      </c>
      <c r="AU1182" s="43">
        <v>5.9578717924135369E-2</v>
      </c>
      <c r="AV1182" s="33">
        <v>0</v>
      </c>
      <c r="AW1182" s="33">
        <v>0</v>
      </c>
      <c r="AY1182" s="36">
        <v>1154</v>
      </c>
      <c r="AZ1182" s="33">
        <v>1</v>
      </c>
      <c r="BA1182" s="33">
        <v>4</v>
      </c>
      <c r="BB1182" s="33">
        <v>1</v>
      </c>
      <c r="BC1182" s="33">
        <v>0</v>
      </c>
      <c r="BD1182" s="43">
        <v>0.42475472169672474</v>
      </c>
      <c r="BE1182" s="33">
        <v>0</v>
      </c>
      <c r="BF1182" s="33">
        <v>1</v>
      </c>
      <c r="CE1182" s="36">
        <v>1148</v>
      </c>
      <c r="CF1182" s="33">
        <v>25</v>
      </c>
      <c r="CG1182" s="33">
        <v>1</v>
      </c>
      <c r="CH1182" s="33">
        <v>1</v>
      </c>
      <c r="CI1182" s="33">
        <v>2</v>
      </c>
      <c r="CJ1182" s="33">
        <v>1</v>
      </c>
      <c r="CK1182" s="33">
        <v>0</v>
      </c>
      <c r="CL1182" s="33">
        <v>1</v>
      </c>
      <c r="CM1182" s="33">
        <v>2</v>
      </c>
      <c r="CN1182" s="33">
        <v>9</v>
      </c>
      <c r="CO1182" s="33">
        <v>1</v>
      </c>
      <c r="CP1182" s="43">
        <v>0.22290743843132999</v>
      </c>
      <c r="CQ1182" s="33">
        <v>0</v>
      </c>
      <c r="CR1182" s="33">
        <v>0</v>
      </c>
    </row>
    <row r="1183" spans="1:96" ht="15" customHeight="1" x14ac:dyDescent="0.25">
      <c r="A1183" s="26">
        <v>1181</v>
      </c>
      <c r="B1183" s="27">
        <v>49</v>
      </c>
      <c r="C1183" s="27">
        <v>0</v>
      </c>
      <c r="D1183" s="27">
        <v>1</v>
      </c>
      <c r="E1183" s="27">
        <v>465</v>
      </c>
      <c r="F1183" s="27">
        <v>2</v>
      </c>
      <c r="G1183" s="27">
        <v>6</v>
      </c>
      <c r="H1183" s="27">
        <v>1</v>
      </c>
      <c r="I1183" s="27">
        <v>1</v>
      </c>
      <c r="J1183" s="27">
        <v>1</v>
      </c>
      <c r="K1183" s="27">
        <v>1661</v>
      </c>
      <c r="L1183" s="27">
        <v>3</v>
      </c>
      <c r="M1183" s="27">
        <v>0</v>
      </c>
      <c r="N1183" s="27">
        <v>41</v>
      </c>
      <c r="O1183" s="27">
        <v>2</v>
      </c>
      <c r="P1183" s="27">
        <v>4</v>
      </c>
      <c r="Q1183" s="27">
        <v>5</v>
      </c>
      <c r="R1183" s="27">
        <v>3</v>
      </c>
      <c r="S1183" s="27">
        <v>2</v>
      </c>
      <c r="T1183" s="27">
        <v>13966</v>
      </c>
      <c r="U1183" s="27">
        <v>11652</v>
      </c>
      <c r="V1183" s="27">
        <v>2</v>
      </c>
      <c r="W1183" s="27">
        <v>1</v>
      </c>
      <c r="X1183" s="27">
        <v>19</v>
      </c>
      <c r="Y1183" s="27">
        <v>3</v>
      </c>
      <c r="Z1183" s="27">
        <v>2</v>
      </c>
      <c r="AA1183" s="27">
        <v>80</v>
      </c>
      <c r="AB1183" s="27">
        <v>1</v>
      </c>
      <c r="AC1183" s="27">
        <v>30</v>
      </c>
      <c r="AD1183" s="27">
        <v>3</v>
      </c>
      <c r="AE1183" s="27">
        <v>3</v>
      </c>
      <c r="AF1183" s="27">
        <v>15</v>
      </c>
      <c r="AG1183" s="27">
        <v>11</v>
      </c>
      <c r="AH1183" s="27">
        <v>2</v>
      </c>
      <c r="AI1183" s="28">
        <v>12</v>
      </c>
      <c r="AK1183" s="36">
        <v>1150</v>
      </c>
      <c r="AL1183" s="33">
        <v>19</v>
      </c>
      <c r="AM1183" s="33">
        <v>1</v>
      </c>
      <c r="AN1183" s="33">
        <v>1</v>
      </c>
      <c r="AO1183" s="33">
        <v>1</v>
      </c>
      <c r="AP1183" s="33">
        <v>0</v>
      </c>
      <c r="AQ1183" s="33">
        <v>2</v>
      </c>
      <c r="AR1183" s="33">
        <v>3</v>
      </c>
      <c r="AS1183" s="33">
        <v>7</v>
      </c>
      <c r="AT1183" s="33">
        <v>0</v>
      </c>
      <c r="AU1183" s="43">
        <v>9.8408653472437463E-2</v>
      </c>
      <c r="AV1183" s="33">
        <v>0</v>
      </c>
      <c r="AW1183" s="33">
        <v>0</v>
      </c>
      <c r="AY1183" s="36">
        <v>1155</v>
      </c>
      <c r="AZ1183" s="33">
        <v>5</v>
      </c>
      <c r="BA1183" s="33">
        <v>3</v>
      </c>
      <c r="BB1183" s="33">
        <v>0</v>
      </c>
      <c r="BC1183" s="33">
        <v>1</v>
      </c>
      <c r="BD1183" s="43">
        <v>1.4415653001325196E-2</v>
      </c>
      <c r="BE1183" s="33">
        <v>0</v>
      </c>
      <c r="BF1183" s="33">
        <v>0</v>
      </c>
      <c r="CE1183" s="36">
        <v>1149</v>
      </c>
      <c r="CF1183" s="33">
        <v>10</v>
      </c>
      <c r="CG1183" s="33">
        <v>2</v>
      </c>
      <c r="CH1183" s="33">
        <v>1</v>
      </c>
      <c r="CI1183" s="33">
        <v>2</v>
      </c>
      <c r="CJ1183" s="33">
        <v>2</v>
      </c>
      <c r="CK1183" s="33">
        <v>0</v>
      </c>
      <c r="CL1183" s="33">
        <v>3</v>
      </c>
      <c r="CM1183" s="33">
        <v>3</v>
      </c>
      <c r="CN1183" s="33">
        <v>7</v>
      </c>
      <c r="CO1183" s="33">
        <v>7</v>
      </c>
      <c r="CP1183" s="43">
        <v>0.11354302469115966</v>
      </c>
      <c r="CQ1183" s="33">
        <v>0</v>
      </c>
      <c r="CR1183" s="33">
        <v>0</v>
      </c>
    </row>
    <row r="1184" spans="1:96" ht="15" customHeight="1" x14ac:dyDescent="0.25">
      <c r="A1184" s="26">
        <v>1182</v>
      </c>
      <c r="B1184" s="27">
        <v>36</v>
      </c>
      <c r="C1184" s="27">
        <v>0</v>
      </c>
      <c r="D1184" s="27">
        <v>3</v>
      </c>
      <c r="E1184" s="27">
        <v>894</v>
      </c>
      <c r="F1184" s="27">
        <v>2</v>
      </c>
      <c r="G1184" s="27">
        <v>1</v>
      </c>
      <c r="H1184" s="27">
        <v>4</v>
      </c>
      <c r="I1184" s="27">
        <v>3</v>
      </c>
      <c r="J1184" s="27">
        <v>1</v>
      </c>
      <c r="K1184" s="27">
        <v>1662</v>
      </c>
      <c r="L1184" s="27">
        <v>4</v>
      </c>
      <c r="M1184" s="27">
        <v>0</v>
      </c>
      <c r="N1184" s="27">
        <v>33</v>
      </c>
      <c r="O1184" s="27">
        <v>2</v>
      </c>
      <c r="P1184" s="27">
        <v>2</v>
      </c>
      <c r="Q1184" s="27">
        <v>4</v>
      </c>
      <c r="R1184" s="27">
        <v>3</v>
      </c>
      <c r="S1184" s="27">
        <v>2</v>
      </c>
      <c r="T1184" s="27">
        <v>4374</v>
      </c>
      <c r="U1184" s="27">
        <v>15411</v>
      </c>
      <c r="V1184" s="27">
        <v>0</v>
      </c>
      <c r="W1184" s="27">
        <v>0</v>
      </c>
      <c r="X1184" s="27">
        <v>15</v>
      </c>
      <c r="Y1184" s="27">
        <v>3</v>
      </c>
      <c r="Z1184" s="27">
        <v>3</v>
      </c>
      <c r="AA1184" s="27">
        <v>80</v>
      </c>
      <c r="AB1184" s="27">
        <v>0</v>
      </c>
      <c r="AC1184" s="27">
        <v>4</v>
      </c>
      <c r="AD1184" s="27">
        <v>6</v>
      </c>
      <c r="AE1184" s="27">
        <v>3</v>
      </c>
      <c r="AF1184" s="27">
        <v>3</v>
      </c>
      <c r="AG1184" s="27">
        <v>2</v>
      </c>
      <c r="AH1184" s="27">
        <v>1</v>
      </c>
      <c r="AI1184" s="28">
        <v>2</v>
      </c>
      <c r="AK1184" s="36">
        <v>1151</v>
      </c>
      <c r="AL1184" s="33">
        <v>18</v>
      </c>
      <c r="AM1184" s="33">
        <v>2</v>
      </c>
      <c r="AN1184" s="33">
        <v>1</v>
      </c>
      <c r="AO1184" s="33">
        <v>1</v>
      </c>
      <c r="AP1184" s="33">
        <v>0</v>
      </c>
      <c r="AQ1184" s="33">
        <v>0</v>
      </c>
      <c r="AR1184" s="33">
        <v>3</v>
      </c>
      <c r="AS1184" s="33">
        <v>16</v>
      </c>
      <c r="AT1184" s="33">
        <v>1</v>
      </c>
      <c r="AU1184" s="43">
        <v>9.9606552812447194E-2</v>
      </c>
      <c r="AV1184" s="33">
        <v>0</v>
      </c>
      <c r="AW1184" s="33">
        <v>0</v>
      </c>
      <c r="AY1184" s="36">
        <v>1156</v>
      </c>
      <c r="AZ1184" s="33">
        <v>2</v>
      </c>
      <c r="BA1184" s="33">
        <v>3</v>
      </c>
      <c r="BB1184" s="33">
        <v>0</v>
      </c>
      <c r="BC1184" s="33">
        <v>1</v>
      </c>
      <c r="BD1184" s="43">
        <v>7.244788656931947E-2</v>
      </c>
      <c r="BE1184" s="33">
        <v>0</v>
      </c>
      <c r="BF1184" s="33">
        <v>0</v>
      </c>
      <c r="CE1184" s="36">
        <v>1150</v>
      </c>
      <c r="CF1184" s="33">
        <v>19</v>
      </c>
      <c r="CG1184" s="33">
        <v>1</v>
      </c>
      <c r="CH1184" s="33">
        <v>1</v>
      </c>
      <c r="CI1184" s="33">
        <v>3</v>
      </c>
      <c r="CJ1184" s="33">
        <v>1</v>
      </c>
      <c r="CK1184" s="33">
        <v>0</v>
      </c>
      <c r="CL1184" s="33">
        <v>2</v>
      </c>
      <c r="CM1184" s="33">
        <v>3</v>
      </c>
      <c r="CN1184" s="33">
        <v>7</v>
      </c>
      <c r="CO1184" s="33">
        <v>0</v>
      </c>
      <c r="CP1184" s="43">
        <v>7.9731318530527687E-2</v>
      </c>
      <c r="CQ1184" s="33">
        <v>0</v>
      </c>
      <c r="CR1184" s="33">
        <v>0</v>
      </c>
    </row>
    <row r="1185" spans="1:96" ht="15" customHeight="1" x14ac:dyDescent="0.25">
      <c r="A1185" s="26">
        <v>1183</v>
      </c>
      <c r="B1185" s="27">
        <v>36</v>
      </c>
      <c r="C1185" s="27">
        <v>0</v>
      </c>
      <c r="D1185" s="27">
        <v>1</v>
      </c>
      <c r="E1185" s="27">
        <v>1040</v>
      </c>
      <c r="F1185" s="27">
        <v>2</v>
      </c>
      <c r="G1185" s="27">
        <v>3</v>
      </c>
      <c r="H1185" s="27">
        <v>2</v>
      </c>
      <c r="I1185" s="27">
        <v>1</v>
      </c>
      <c r="J1185" s="27">
        <v>1</v>
      </c>
      <c r="K1185" s="27">
        <v>1664</v>
      </c>
      <c r="L1185" s="27">
        <v>4</v>
      </c>
      <c r="M1185" s="27">
        <v>1</v>
      </c>
      <c r="N1185" s="27">
        <v>79</v>
      </c>
      <c r="O1185" s="27">
        <v>4</v>
      </c>
      <c r="P1185" s="27">
        <v>2</v>
      </c>
      <c r="Q1185" s="27">
        <v>5</v>
      </c>
      <c r="R1185" s="27">
        <v>1</v>
      </c>
      <c r="S1185" s="27">
        <v>3</v>
      </c>
      <c r="T1185" s="27">
        <v>6842</v>
      </c>
      <c r="U1185" s="27">
        <v>26308</v>
      </c>
      <c r="V1185" s="27">
        <v>6</v>
      </c>
      <c r="W1185" s="27">
        <v>0</v>
      </c>
      <c r="X1185" s="27">
        <v>20</v>
      </c>
      <c r="Y1185" s="27">
        <v>4</v>
      </c>
      <c r="Z1185" s="27">
        <v>1</v>
      </c>
      <c r="AA1185" s="27">
        <v>80</v>
      </c>
      <c r="AB1185" s="27">
        <v>1</v>
      </c>
      <c r="AC1185" s="27">
        <v>13</v>
      </c>
      <c r="AD1185" s="27">
        <v>3</v>
      </c>
      <c r="AE1185" s="27">
        <v>3</v>
      </c>
      <c r="AF1185" s="27">
        <v>5</v>
      </c>
      <c r="AG1185" s="27">
        <v>4</v>
      </c>
      <c r="AH1185" s="27">
        <v>0</v>
      </c>
      <c r="AI1185" s="28">
        <v>4</v>
      </c>
      <c r="AK1185" s="36">
        <v>1152</v>
      </c>
      <c r="AL1185" s="33">
        <v>27</v>
      </c>
      <c r="AM1185" s="33">
        <v>2</v>
      </c>
      <c r="AN1185" s="33">
        <v>1</v>
      </c>
      <c r="AO1185" s="33">
        <v>0</v>
      </c>
      <c r="AP1185" s="33">
        <v>0</v>
      </c>
      <c r="AQ1185" s="33">
        <v>1</v>
      </c>
      <c r="AR1185" s="33">
        <v>2</v>
      </c>
      <c r="AS1185" s="33">
        <v>5</v>
      </c>
      <c r="AT1185" s="33">
        <v>0</v>
      </c>
      <c r="AU1185" s="43">
        <v>0.1627863495804108</v>
      </c>
      <c r="AV1185" s="33">
        <v>0</v>
      </c>
      <c r="AW1185" s="33">
        <v>0</v>
      </c>
      <c r="AY1185" s="36">
        <v>1157</v>
      </c>
      <c r="AZ1185" s="33">
        <v>3</v>
      </c>
      <c r="BA1185" s="33">
        <v>3</v>
      </c>
      <c r="BB1185" s="33">
        <v>0</v>
      </c>
      <c r="BC1185" s="33">
        <v>2</v>
      </c>
      <c r="BD1185" s="43">
        <v>2.5687411947183297E-2</v>
      </c>
      <c r="BE1185" s="33">
        <v>0</v>
      </c>
      <c r="BF1185" s="33">
        <v>0</v>
      </c>
      <c r="CE1185" s="36">
        <v>1151</v>
      </c>
      <c r="CF1185" s="33">
        <v>18</v>
      </c>
      <c r="CG1185" s="33">
        <v>2</v>
      </c>
      <c r="CH1185" s="33">
        <v>1</v>
      </c>
      <c r="CI1185" s="33">
        <v>2</v>
      </c>
      <c r="CJ1185" s="33">
        <v>1</v>
      </c>
      <c r="CK1185" s="33">
        <v>0</v>
      </c>
      <c r="CL1185" s="33">
        <v>0</v>
      </c>
      <c r="CM1185" s="33">
        <v>3</v>
      </c>
      <c r="CN1185" s="33">
        <v>16</v>
      </c>
      <c r="CO1185" s="33">
        <v>1</v>
      </c>
      <c r="CP1185" s="43">
        <v>7.200419350636024E-2</v>
      </c>
      <c r="CQ1185" s="33">
        <v>0</v>
      </c>
      <c r="CR1185" s="33">
        <v>0</v>
      </c>
    </row>
    <row r="1186" spans="1:96" ht="15" customHeight="1" x14ac:dyDescent="0.25">
      <c r="A1186" s="26">
        <v>1184</v>
      </c>
      <c r="B1186" s="27">
        <v>54</v>
      </c>
      <c r="C1186" s="27">
        <v>0</v>
      </c>
      <c r="D1186" s="27">
        <v>1</v>
      </c>
      <c r="E1186" s="27">
        <v>584</v>
      </c>
      <c r="F1186" s="27">
        <v>2</v>
      </c>
      <c r="G1186" s="27">
        <v>22</v>
      </c>
      <c r="H1186" s="27">
        <v>5</v>
      </c>
      <c r="I1186" s="27">
        <v>3</v>
      </c>
      <c r="J1186" s="27">
        <v>1</v>
      </c>
      <c r="K1186" s="27">
        <v>1665</v>
      </c>
      <c r="L1186" s="27">
        <v>2</v>
      </c>
      <c r="M1186" s="27">
        <v>0</v>
      </c>
      <c r="N1186" s="27">
        <v>91</v>
      </c>
      <c r="O1186" s="27">
        <v>3</v>
      </c>
      <c r="P1186" s="27">
        <v>4</v>
      </c>
      <c r="Q1186" s="27">
        <v>6</v>
      </c>
      <c r="R1186" s="27">
        <v>3</v>
      </c>
      <c r="S1186" s="27">
        <v>2</v>
      </c>
      <c r="T1186" s="27">
        <v>17426</v>
      </c>
      <c r="U1186" s="27">
        <v>18685</v>
      </c>
      <c r="V1186" s="27">
        <v>3</v>
      </c>
      <c r="W1186" s="27">
        <v>0</v>
      </c>
      <c r="X1186" s="27">
        <v>25</v>
      </c>
      <c r="Y1186" s="27">
        <v>4</v>
      </c>
      <c r="Z1186" s="27">
        <v>3</v>
      </c>
      <c r="AA1186" s="27">
        <v>80</v>
      </c>
      <c r="AB1186" s="27">
        <v>1</v>
      </c>
      <c r="AC1186" s="27">
        <v>36</v>
      </c>
      <c r="AD1186" s="27">
        <v>6</v>
      </c>
      <c r="AE1186" s="27">
        <v>3</v>
      </c>
      <c r="AF1186" s="27">
        <v>10</v>
      </c>
      <c r="AG1186" s="27">
        <v>8</v>
      </c>
      <c r="AH1186" s="27">
        <v>4</v>
      </c>
      <c r="AI1186" s="28">
        <v>7</v>
      </c>
      <c r="AK1186" s="36">
        <v>1153</v>
      </c>
      <c r="AL1186" s="33">
        <v>5</v>
      </c>
      <c r="AM1186" s="33">
        <v>1</v>
      </c>
      <c r="AN1186" s="33">
        <v>4</v>
      </c>
      <c r="AO1186" s="33">
        <v>1</v>
      </c>
      <c r="AP1186" s="33">
        <v>0</v>
      </c>
      <c r="AQ1186" s="33">
        <v>0</v>
      </c>
      <c r="AR1186" s="33">
        <v>3</v>
      </c>
      <c r="AS1186" s="33">
        <v>2</v>
      </c>
      <c r="AT1186" s="33">
        <v>2</v>
      </c>
      <c r="AU1186" s="43">
        <v>0.13698673895258007</v>
      </c>
      <c r="AV1186" s="33">
        <v>0</v>
      </c>
      <c r="AW1186" s="33">
        <v>0</v>
      </c>
      <c r="AY1186" s="36">
        <v>1158</v>
      </c>
      <c r="AZ1186" s="33">
        <v>2</v>
      </c>
      <c r="BA1186" s="33">
        <v>3</v>
      </c>
      <c r="BB1186" s="33">
        <v>0</v>
      </c>
      <c r="BC1186" s="33">
        <v>1</v>
      </c>
      <c r="BD1186" s="43">
        <v>7.244788656931947E-2</v>
      </c>
      <c r="BE1186" s="33">
        <v>0</v>
      </c>
      <c r="BF1186" s="33">
        <v>0</v>
      </c>
      <c r="CE1186" s="36">
        <v>1152</v>
      </c>
      <c r="CF1186" s="33">
        <v>27</v>
      </c>
      <c r="CG1186" s="33">
        <v>2</v>
      </c>
      <c r="CH1186" s="33">
        <v>1</v>
      </c>
      <c r="CI1186" s="33">
        <v>3</v>
      </c>
      <c r="CJ1186" s="33">
        <v>0</v>
      </c>
      <c r="CK1186" s="33">
        <v>0</v>
      </c>
      <c r="CL1186" s="33">
        <v>1</v>
      </c>
      <c r="CM1186" s="33">
        <v>2</v>
      </c>
      <c r="CN1186" s="33">
        <v>5</v>
      </c>
      <c r="CO1186" s="33">
        <v>0</v>
      </c>
      <c r="CP1186" s="43">
        <v>0.10083974946224619</v>
      </c>
      <c r="CQ1186" s="33">
        <v>0</v>
      </c>
      <c r="CR1186" s="33">
        <v>0</v>
      </c>
    </row>
    <row r="1187" spans="1:96" ht="15" customHeight="1" x14ac:dyDescent="0.25">
      <c r="A1187" s="26">
        <v>1185</v>
      </c>
      <c r="B1187" s="27">
        <v>43</v>
      </c>
      <c r="C1187" s="27">
        <v>0</v>
      </c>
      <c r="D1187" s="27">
        <v>1</v>
      </c>
      <c r="E1187" s="27">
        <v>1291</v>
      </c>
      <c r="F1187" s="27">
        <v>2</v>
      </c>
      <c r="G1187" s="27">
        <v>15</v>
      </c>
      <c r="H1187" s="27">
        <v>2</v>
      </c>
      <c r="I1187" s="27">
        <v>1</v>
      </c>
      <c r="J1187" s="27">
        <v>1</v>
      </c>
      <c r="K1187" s="27">
        <v>1666</v>
      </c>
      <c r="L1187" s="27">
        <v>3</v>
      </c>
      <c r="M1187" s="27">
        <v>1</v>
      </c>
      <c r="N1187" s="27">
        <v>65</v>
      </c>
      <c r="O1187" s="27">
        <v>2</v>
      </c>
      <c r="P1187" s="27">
        <v>4</v>
      </c>
      <c r="Q1187" s="27">
        <v>8</v>
      </c>
      <c r="R1187" s="27">
        <v>3</v>
      </c>
      <c r="S1187" s="27">
        <v>2</v>
      </c>
      <c r="T1187" s="27">
        <v>17603</v>
      </c>
      <c r="U1187" s="27">
        <v>3525</v>
      </c>
      <c r="V1187" s="27">
        <v>1</v>
      </c>
      <c r="W1187" s="27">
        <v>0</v>
      </c>
      <c r="X1187" s="27">
        <v>24</v>
      </c>
      <c r="Y1187" s="27">
        <v>4</v>
      </c>
      <c r="Z1187" s="27">
        <v>1</v>
      </c>
      <c r="AA1187" s="27">
        <v>80</v>
      </c>
      <c r="AB1187" s="27">
        <v>1</v>
      </c>
      <c r="AC1187" s="27">
        <v>14</v>
      </c>
      <c r="AD1187" s="27">
        <v>3</v>
      </c>
      <c r="AE1187" s="27">
        <v>3</v>
      </c>
      <c r="AF1187" s="27">
        <v>14</v>
      </c>
      <c r="AG1187" s="27">
        <v>10</v>
      </c>
      <c r="AH1187" s="27">
        <v>6</v>
      </c>
      <c r="AI1187" s="28">
        <v>11</v>
      </c>
      <c r="AK1187" s="36">
        <v>1154</v>
      </c>
      <c r="AL1187" s="33">
        <v>3</v>
      </c>
      <c r="AM1187" s="33">
        <v>1</v>
      </c>
      <c r="AN1187" s="33">
        <v>4</v>
      </c>
      <c r="AO1187" s="33">
        <v>1</v>
      </c>
      <c r="AP1187" s="33">
        <v>1</v>
      </c>
      <c r="AQ1187" s="33">
        <v>0</v>
      </c>
      <c r="AR1187" s="33">
        <v>4</v>
      </c>
      <c r="AS1187" s="33">
        <v>0</v>
      </c>
      <c r="AT1187" s="33">
        <v>0</v>
      </c>
      <c r="AU1187" s="43">
        <v>0.3213534638359839</v>
      </c>
      <c r="AV1187" s="33">
        <v>0</v>
      </c>
      <c r="AW1187" s="33">
        <v>1</v>
      </c>
      <c r="AY1187" s="36">
        <v>1159</v>
      </c>
      <c r="AZ1187" s="33">
        <v>2</v>
      </c>
      <c r="BA1187" s="33">
        <v>3</v>
      </c>
      <c r="BB1187" s="33">
        <v>0</v>
      </c>
      <c r="BC1187" s="33">
        <v>3</v>
      </c>
      <c r="BD1187" s="43">
        <v>2.6469010457514919E-2</v>
      </c>
      <c r="BE1187" s="33">
        <v>0</v>
      </c>
      <c r="BF1187" s="33">
        <v>0</v>
      </c>
      <c r="CE1187" s="36">
        <v>1153</v>
      </c>
      <c r="CF1187" s="33">
        <v>5</v>
      </c>
      <c r="CG1187" s="33">
        <v>1</v>
      </c>
      <c r="CH1187" s="33">
        <v>4</v>
      </c>
      <c r="CI1187" s="33">
        <v>1</v>
      </c>
      <c r="CJ1187" s="33">
        <v>1</v>
      </c>
      <c r="CK1187" s="33">
        <v>0</v>
      </c>
      <c r="CL1187" s="33">
        <v>0</v>
      </c>
      <c r="CM1187" s="33">
        <v>3</v>
      </c>
      <c r="CN1187" s="33">
        <v>2</v>
      </c>
      <c r="CO1187" s="33">
        <v>2</v>
      </c>
      <c r="CP1187" s="43">
        <v>0.15538362829079869</v>
      </c>
      <c r="CQ1187" s="33">
        <v>0</v>
      </c>
      <c r="CR1187" s="33">
        <v>0</v>
      </c>
    </row>
    <row r="1188" spans="1:96" ht="15" customHeight="1" x14ac:dyDescent="0.25">
      <c r="A1188" s="26">
        <v>1186</v>
      </c>
      <c r="B1188" s="27">
        <v>35</v>
      </c>
      <c r="C1188" s="27">
        <v>1</v>
      </c>
      <c r="D1188" s="27">
        <v>2</v>
      </c>
      <c r="E1188" s="27">
        <v>880</v>
      </c>
      <c r="F1188" s="27">
        <v>1</v>
      </c>
      <c r="G1188" s="27">
        <v>12</v>
      </c>
      <c r="H1188" s="27">
        <v>4</v>
      </c>
      <c r="I1188" s="27">
        <v>6</v>
      </c>
      <c r="J1188" s="27">
        <v>1</v>
      </c>
      <c r="K1188" s="27">
        <v>1667</v>
      </c>
      <c r="L1188" s="27">
        <v>4</v>
      </c>
      <c r="M1188" s="27">
        <v>1</v>
      </c>
      <c r="N1188" s="27">
        <v>36</v>
      </c>
      <c r="O1188" s="27">
        <v>3</v>
      </c>
      <c r="P1188" s="27">
        <v>2</v>
      </c>
      <c r="Q1188" s="27">
        <v>1</v>
      </c>
      <c r="R1188" s="27">
        <v>4</v>
      </c>
      <c r="S1188" s="27">
        <v>1</v>
      </c>
      <c r="T1188" s="27">
        <v>4581</v>
      </c>
      <c r="U1188" s="27">
        <v>10414</v>
      </c>
      <c r="V1188" s="27">
        <v>3</v>
      </c>
      <c r="W1188" s="27">
        <v>1</v>
      </c>
      <c r="X1188" s="27">
        <v>24</v>
      </c>
      <c r="Y1188" s="27">
        <v>4</v>
      </c>
      <c r="Z1188" s="27">
        <v>1</v>
      </c>
      <c r="AA1188" s="27">
        <v>80</v>
      </c>
      <c r="AB1188" s="27">
        <v>0</v>
      </c>
      <c r="AC1188" s="27">
        <v>13</v>
      </c>
      <c r="AD1188" s="27">
        <v>2</v>
      </c>
      <c r="AE1188" s="27">
        <v>4</v>
      </c>
      <c r="AF1188" s="27">
        <v>11</v>
      </c>
      <c r="AG1188" s="27">
        <v>9</v>
      </c>
      <c r="AH1188" s="27">
        <v>6</v>
      </c>
      <c r="AI1188" s="28">
        <v>7</v>
      </c>
      <c r="AK1188" s="36">
        <v>1155</v>
      </c>
      <c r="AL1188" s="33">
        <v>26</v>
      </c>
      <c r="AM1188" s="33">
        <v>5</v>
      </c>
      <c r="AN1188" s="33">
        <v>3</v>
      </c>
      <c r="AO1188" s="33">
        <v>3</v>
      </c>
      <c r="AP1188" s="33">
        <v>0</v>
      </c>
      <c r="AQ1188" s="33">
        <v>1</v>
      </c>
      <c r="AR1188" s="33">
        <v>3</v>
      </c>
      <c r="AS1188" s="33">
        <v>5</v>
      </c>
      <c r="AT1188" s="33">
        <v>1</v>
      </c>
      <c r="AU1188" s="43">
        <v>2.2372388056184474E-2</v>
      </c>
      <c r="AV1188" s="33">
        <v>0</v>
      </c>
      <c r="AW1188" s="33">
        <v>0</v>
      </c>
      <c r="AY1188" s="36">
        <v>1160</v>
      </c>
      <c r="AZ1188" s="33">
        <v>2</v>
      </c>
      <c r="BA1188" s="33">
        <v>3</v>
      </c>
      <c r="BB1188" s="33">
        <v>0</v>
      </c>
      <c r="BC1188" s="33">
        <v>0</v>
      </c>
      <c r="BD1188" s="43">
        <v>0.11690772887050198</v>
      </c>
      <c r="BE1188" s="33">
        <v>0</v>
      </c>
      <c r="BF1188" s="33">
        <v>0</v>
      </c>
      <c r="CE1188" s="36">
        <v>1154</v>
      </c>
      <c r="CF1188" s="33">
        <v>3</v>
      </c>
      <c r="CG1188" s="33">
        <v>1</v>
      </c>
      <c r="CH1188" s="33">
        <v>4</v>
      </c>
      <c r="CI1188" s="33">
        <v>1</v>
      </c>
      <c r="CJ1188" s="33">
        <v>1</v>
      </c>
      <c r="CK1188" s="33">
        <v>1</v>
      </c>
      <c r="CL1188" s="33">
        <v>0</v>
      </c>
      <c r="CM1188" s="33">
        <v>4</v>
      </c>
      <c r="CN1188" s="33">
        <v>0</v>
      </c>
      <c r="CO1188" s="33">
        <v>0</v>
      </c>
      <c r="CP1188" s="43">
        <v>0.35885535844576805</v>
      </c>
      <c r="CQ1188" s="33">
        <v>0</v>
      </c>
      <c r="CR1188" s="33">
        <v>1</v>
      </c>
    </row>
    <row r="1189" spans="1:96" ht="15" customHeight="1" x14ac:dyDescent="0.25">
      <c r="A1189" s="26">
        <v>1187</v>
      </c>
      <c r="B1189" s="27">
        <v>38</v>
      </c>
      <c r="C1189" s="27">
        <v>0</v>
      </c>
      <c r="D1189" s="27">
        <v>2</v>
      </c>
      <c r="E1189" s="27">
        <v>1189</v>
      </c>
      <c r="F1189" s="27">
        <v>2</v>
      </c>
      <c r="G1189" s="27">
        <v>1</v>
      </c>
      <c r="H1189" s="27">
        <v>3</v>
      </c>
      <c r="I1189" s="27">
        <v>1</v>
      </c>
      <c r="J1189" s="27">
        <v>1</v>
      </c>
      <c r="K1189" s="27">
        <v>1668</v>
      </c>
      <c r="L1189" s="27">
        <v>4</v>
      </c>
      <c r="M1189" s="27">
        <v>1</v>
      </c>
      <c r="N1189" s="27">
        <v>90</v>
      </c>
      <c r="O1189" s="27">
        <v>3</v>
      </c>
      <c r="P1189" s="27">
        <v>2</v>
      </c>
      <c r="Q1189" s="27">
        <v>2</v>
      </c>
      <c r="R1189" s="27">
        <v>4</v>
      </c>
      <c r="S1189" s="27">
        <v>2</v>
      </c>
      <c r="T1189" s="27">
        <v>4735</v>
      </c>
      <c r="U1189" s="27">
        <v>9867</v>
      </c>
      <c r="V1189" s="27">
        <v>7</v>
      </c>
      <c r="W1189" s="27">
        <v>0</v>
      </c>
      <c r="X1189" s="27">
        <v>15</v>
      </c>
      <c r="Y1189" s="27">
        <v>3</v>
      </c>
      <c r="Z1189" s="27">
        <v>4</v>
      </c>
      <c r="AA1189" s="27">
        <v>80</v>
      </c>
      <c r="AB1189" s="27">
        <v>2</v>
      </c>
      <c r="AC1189" s="27">
        <v>19</v>
      </c>
      <c r="AD1189" s="27">
        <v>4</v>
      </c>
      <c r="AE1189" s="27">
        <v>4</v>
      </c>
      <c r="AF1189" s="27">
        <v>13</v>
      </c>
      <c r="AG1189" s="27">
        <v>11</v>
      </c>
      <c r="AH1189" s="27">
        <v>2</v>
      </c>
      <c r="AI1189" s="28">
        <v>9</v>
      </c>
      <c r="AK1189" s="36">
        <v>1156</v>
      </c>
      <c r="AL1189" s="33">
        <v>3</v>
      </c>
      <c r="AM1189" s="33">
        <v>2</v>
      </c>
      <c r="AN1189" s="33">
        <v>3</v>
      </c>
      <c r="AO1189" s="33">
        <v>0</v>
      </c>
      <c r="AP1189" s="33">
        <v>0</v>
      </c>
      <c r="AQ1189" s="33">
        <v>1</v>
      </c>
      <c r="AR1189" s="33">
        <v>3</v>
      </c>
      <c r="AS1189" s="33">
        <v>10</v>
      </c>
      <c r="AT1189" s="33">
        <v>0</v>
      </c>
      <c r="AU1189" s="43">
        <v>2.6032650777288852E-2</v>
      </c>
      <c r="AV1189" s="33">
        <v>0</v>
      </c>
      <c r="AW1189" s="33">
        <v>0</v>
      </c>
      <c r="AY1189" s="36">
        <v>1161</v>
      </c>
      <c r="AZ1189" s="33">
        <v>2</v>
      </c>
      <c r="BA1189" s="33">
        <v>4</v>
      </c>
      <c r="BB1189" s="33">
        <v>0</v>
      </c>
      <c r="BC1189" s="33">
        <v>2</v>
      </c>
      <c r="BD1189" s="43">
        <v>3.3256067423154199E-2</v>
      </c>
      <c r="BE1189" s="33">
        <v>0</v>
      </c>
      <c r="BF1189" s="33">
        <v>0</v>
      </c>
      <c r="CE1189" s="36">
        <v>1155</v>
      </c>
      <c r="CF1189" s="33">
        <v>26</v>
      </c>
      <c r="CG1189" s="33">
        <v>5</v>
      </c>
      <c r="CH1189" s="33">
        <v>3</v>
      </c>
      <c r="CI1189" s="33">
        <v>2</v>
      </c>
      <c r="CJ1189" s="33">
        <v>3</v>
      </c>
      <c r="CK1189" s="33">
        <v>0</v>
      </c>
      <c r="CL1189" s="33">
        <v>1</v>
      </c>
      <c r="CM1189" s="33">
        <v>3</v>
      </c>
      <c r="CN1189" s="33">
        <v>5</v>
      </c>
      <c r="CO1189" s="33">
        <v>1</v>
      </c>
      <c r="CP1189" s="43">
        <v>2.221889078553424E-2</v>
      </c>
      <c r="CQ1189" s="33">
        <v>0</v>
      </c>
      <c r="CR1189" s="33">
        <v>0</v>
      </c>
    </row>
    <row r="1190" spans="1:96" ht="15" customHeight="1" x14ac:dyDescent="0.25">
      <c r="A1190" s="26">
        <v>1188</v>
      </c>
      <c r="B1190" s="27">
        <v>29</v>
      </c>
      <c r="C1190" s="27">
        <v>0</v>
      </c>
      <c r="D1190" s="27">
        <v>1</v>
      </c>
      <c r="E1190" s="27">
        <v>991</v>
      </c>
      <c r="F1190" s="27">
        <v>1</v>
      </c>
      <c r="G1190" s="27">
        <v>5</v>
      </c>
      <c r="H1190" s="27">
        <v>3</v>
      </c>
      <c r="I1190" s="27">
        <v>3</v>
      </c>
      <c r="J1190" s="27">
        <v>1</v>
      </c>
      <c r="K1190" s="27">
        <v>1669</v>
      </c>
      <c r="L1190" s="27">
        <v>1</v>
      </c>
      <c r="M1190" s="27">
        <v>1</v>
      </c>
      <c r="N1190" s="27">
        <v>43</v>
      </c>
      <c r="O1190" s="27">
        <v>2</v>
      </c>
      <c r="P1190" s="27">
        <v>2</v>
      </c>
      <c r="Q1190" s="27">
        <v>1</v>
      </c>
      <c r="R1190" s="27">
        <v>2</v>
      </c>
      <c r="S1190" s="27">
        <v>3</v>
      </c>
      <c r="T1190" s="27">
        <v>4187</v>
      </c>
      <c r="U1190" s="27">
        <v>3356</v>
      </c>
      <c r="V1190" s="27">
        <v>1</v>
      </c>
      <c r="W1190" s="27">
        <v>1</v>
      </c>
      <c r="X1190" s="27">
        <v>13</v>
      </c>
      <c r="Y1190" s="27">
        <v>3</v>
      </c>
      <c r="Z1190" s="27">
        <v>2</v>
      </c>
      <c r="AA1190" s="27">
        <v>80</v>
      </c>
      <c r="AB1190" s="27">
        <v>1</v>
      </c>
      <c r="AC1190" s="27">
        <v>10</v>
      </c>
      <c r="AD1190" s="27">
        <v>3</v>
      </c>
      <c r="AE1190" s="27">
        <v>2</v>
      </c>
      <c r="AF1190" s="27">
        <v>10</v>
      </c>
      <c r="AG1190" s="27">
        <v>0</v>
      </c>
      <c r="AH1190" s="27">
        <v>0</v>
      </c>
      <c r="AI1190" s="28">
        <v>9</v>
      </c>
      <c r="AK1190" s="36">
        <v>1157</v>
      </c>
      <c r="AL1190" s="33">
        <v>15</v>
      </c>
      <c r="AM1190" s="33">
        <v>3</v>
      </c>
      <c r="AN1190" s="33">
        <v>3</v>
      </c>
      <c r="AO1190" s="33">
        <v>1</v>
      </c>
      <c r="AP1190" s="33">
        <v>0</v>
      </c>
      <c r="AQ1190" s="33">
        <v>2</v>
      </c>
      <c r="AR1190" s="33">
        <v>3</v>
      </c>
      <c r="AS1190" s="33">
        <v>18</v>
      </c>
      <c r="AT1190" s="33">
        <v>14</v>
      </c>
      <c r="AU1190" s="43">
        <v>3.7577098989004215E-2</v>
      </c>
      <c r="AV1190" s="33">
        <v>0</v>
      </c>
      <c r="AW1190" s="33">
        <v>0</v>
      </c>
      <c r="AY1190" s="36">
        <v>1162</v>
      </c>
      <c r="AZ1190" s="33">
        <v>3</v>
      </c>
      <c r="BA1190" s="33">
        <v>3</v>
      </c>
      <c r="BB1190" s="33">
        <v>1</v>
      </c>
      <c r="BC1190" s="33">
        <v>1</v>
      </c>
      <c r="BD1190" s="43">
        <v>0.16038463669030681</v>
      </c>
      <c r="BE1190" s="33">
        <v>0</v>
      </c>
      <c r="BF1190" s="33">
        <v>0</v>
      </c>
      <c r="CE1190" s="36">
        <v>1156</v>
      </c>
      <c r="CF1190" s="33">
        <v>3</v>
      </c>
      <c r="CG1190" s="33">
        <v>2</v>
      </c>
      <c r="CH1190" s="33">
        <v>3</v>
      </c>
      <c r="CI1190" s="33">
        <v>3</v>
      </c>
      <c r="CJ1190" s="33">
        <v>0</v>
      </c>
      <c r="CK1190" s="33">
        <v>0</v>
      </c>
      <c r="CL1190" s="33">
        <v>1</v>
      </c>
      <c r="CM1190" s="33">
        <v>3</v>
      </c>
      <c r="CN1190" s="33">
        <v>10</v>
      </c>
      <c r="CO1190" s="33">
        <v>0</v>
      </c>
      <c r="CP1190" s="43">
        <v>1.4481612127233428E-2</v>
      </c>
      <c r="CQ1190" s="33">
        <v>0</v>
      </c>
      <c r="CR1190" s="33">
        <v>0</v>
      </c>
    </row>
    <row r="1191" spans="1:96" ht="15" customHeight="1" x14ac:dyDescent="0.25">
      <c r="A1191" s="26">
        <v>1189</v>
      </c>
      <c r="B1191" s="27">
        <v>33</v>
      </c>
      <c r="C1191" s="27">
        <v>0</v>
      </c>
      <c r="D1191" s="27">
        <v>1</v>
      </c>
      <c r="E1191" s="27">
        <v>392</v>
      </c>
      <c r="F1191" s="27">
        <v>1</v>
      </c>
      <c r="G1191" s="27">
        <v>2</v>
      </c>
      <c r="H1191" s="27">
        <v>4</v>
      </c>
      <c r="I1191" s="27">
        <v>3</v>
      </c>
      <c r="J1191" s="27">
        <v>1</v>
      </c>
      <c r="K1191" s="27">
        <v>1670</v>
      </c>
      <c r="L1191" s="27">
        <v>4</v>
      </c>
      <c r="M1191" s="27">
        <v>1</v>
      </c>
      <c r="N1191" s="27">
        <v>93</v>
      </c>
      <c r="O1191" s="27">
        <v>3</v>
      </c>
      <c r="P1191" s="27">
        <v>2</v>
      </c>
      <c r="Q1191" s="27">
        <v>1</v>
      </c>
      <c r="R1191" s="27">
        <v>4</v>
      </c>
      <c r="S1191" s="27">
        <v>3</v>
      </c>
      <c r="T1191" s="27">
        <v>5505</v>
      </c>
      <c r="U1191" s="27">
        <v>3921</v>
      </c>
      <c r="V1191" s="27">
        <v>1</v>
      </c>
      <c r="W1191" s="27">
        <v>0</v>
      </c>
      <c r="X1191" s="27">
        <v>14</v>
      </c>
      <c r="Y1191" s="27">
        <v>3</v>
      </c>
      <c r="Z1191" s="27">
        <v>3</v>
      </c>
      <c r="AA1191" s="27">
        <v>80</v>
      </c>
      <c r="AB1191" s="27">
        <v>2</v>
      </c>
      <c r="AC1191" s="27">
        <v>6</v>
      </c>
      <c r="AD1191" s="27">
        <v>5</v>
      </c>
      <c r="AE1191" s="27">
        <v>3</v>
      </c>
      <c r="AF1191" s="27">
        <v>6</v>
      </c>
      <c r="AG1191" s="27">
        <v>2</v>
      </c>
      <c r="AH1191" s="27">
        <v>0</v>
      </c>
      <c r="AI1191" s="28">
        <v>4</v>
      </c>
      <c r="AK1191" s="36">
        <v>1158</v>
      </c>
      <c r="AL1191" s="33">
        <v>8</v>
      </c>
      <c r="AM1191" s="33">
        <v>2</v>
      </c>
      <c r="AN1191" s="33">
        <v>3</v>
      </c>
      <c r="AO1191" s="33">
        <v>1</v>
      </c>
      <c r="AP1191" s="33">
        <v>0</v>
      </c>
      <c r="AQ1191" s="33">
        <v>1</v>
      </c>
      <c r="AR1191" s="33">
        <v>3</v>
      </c>
      <c r="AS1191" s="33">
        <v>14</v>
      </c>
      <c r="AT1191" s="33">
        <v>2</v>
      </c>
      <c r="AU1191" s="43">
        <v>3.1322926164396352E-2</v>
      </c>
      <c r="AV1191" s="33">
        <v>0</v>
      </c>
      <c r="AW1191" s="33">
        <v>0</v>
      </c>
      <c r="AY1191" s="36">
        <v>1163</v>
      </c>
      <c r="AZ1191" s="33">
        <v>3</v>
      </c>
      <c r="BA1191" s="33">
        <v>1</v>
      </c>
      <c r="BB1191" s="33">
        <v>0</v>
      </c>
      <c r="BC1191" s="33">
        <v>0</v>
      </c>
      <c r="BD1191" s="43">
        <v>0.11965500412792122</v>
      </c>
      <c r="BE1191" s="33">
        <v>0</v>
      </c>
      <c r="BF1191" s="33">
        <v>1</v>
      </c>
      <c r="CE1191" s="36">
        <v>1157</v>
      </c>
      <c r="CF1191" s="33">
        <v>15</v>
      </c>
      <c r="CG1191" s="33">
        <v>3</v>
      </c>
      <c r="CH1191" s="33">
        <v>3</v>
      </c>
      <c r="CI1191" s="33">
        <v>2</v>
      </c>
      <c r="CJ1191" s="33">
        <v>1</v>
      </c>
      <c r="CK1191" s="33">
        <v>0</v>
      </c>
      <c r="CL1191" s="33">
        <v>2</v>
      </c>
      <c r="CM1191" s="33">
        <v>3</v>
      </c>
      <c r="CN1191" s="33">
        <v>18</v>
      </c>
      <c r="CO1191" s="33">
        <v>14</v>
      </c>
      <c r="CP1191" s="43">
        <v>5.2349270293941458E-2</v>
      </c>
      <c r="CQ1191" s="33">
        <v>0</v>
      </c>
      <c r="CR1191" s="33">
        <v>0</v>
      </c>
    </row>
    <row r="1192" spans="1:96" ht="15" customHeight="1" x14ac:dyDescent="0.25">
      <c r="A1192" s="26">
        <v>1190</v>
      </c>
      <c r="B1192" s="27">
        <v>32</v>
      </c>
      <c r="C1192" s="27">
        <v>0</v>
      </c>
      <c r="D1192" s="27">
        <v>1</v>
      </c>
      <c r="E1192" s="27">
        <v>977</v>
      </c>
      <c r="F1192" s="27">
        <v>2</v>
      </c>
      <c r="G1192" s="27">
        <v>2</v>
      </c>
      <c r="H1192" s="27">
        <v>3</v>
      </c>
      <c r="I1192" s="27">
        <v>3</v>
      </c>
      <c r="J1192" s="27">
        <v>1</v>
      </c>
      <c r="K1192" s="27">
        <v>1671</v>
      </c>
      <c r="L1192" s="27">
        <v>4</v>
      </c>
      <c r="M1192" s="27">
        <v>1</v>
      </c>
      <c r="N1192" s="27">
        <v>45</v>
      </c>
      <c r="O1192" s="27">
        <v>3</v>
      </c>
      <c r="P1192" s="27">
        <v>2</v>
      </c>
      <c r="Q1192" s="27">
        <v>2</v>
      </c>
      <c r="R1192" s="27">
        <v>2</v>
      </c>
      <c r="S1192" s="27">
        <v>3</v>
      </c>
      <c r="T1192" s="27">
        <v>5470</v>
      </c>
      <c r="U1192" s="27">
        <v>25518</v>
      </c>
      <c r="V1192" s="27">
        <v>0</v>
      </c>
      <c r="W1192" s="27">
        <v>0</v>
      </c>
      <c r="X1192" s="27">
        <v>13</v>
      </c>
      <c r="Y1192" s="27">
        <v>3</v>
      </c>
      <c r="Z1192" s="27">
        <v>3</v>
      </c>
      <c r="AA1192" s="27">
        <v>80</v>
      </c>
      <c r="AB1192" s="27">
        <v>2</v>
      </c>
      <c r="AC1192" s="27">
        <v>10</v>
      </c>
      <c r="AD1192" s="27">
        <v>4</v>
      </c>
      <c r="AE1192" s="27">
        <v>2</v>
      </c>
      <c r="AF1192" s="27">
        <v>9</v>
      </c>
      <c r="AG1192" s="27">
        <v>5</v>
      </c>
      <c r="AH1192" s="27">
        <v>1</v>
      </c>
      <c r="AI1192" s="28">
        <v>6</v>
      </c>
      <c r="AK1192" s="36">
        <v>1159</v>
      </c>
      <c r="AL1192" s="33">
        <v>19</v>
      </c>
      <c r="AM1192" s="33">
        <v>2</v>
      </c>
      <c r="AN1192" s="33">
        <v>3</v>
      </c>
      <c r="AO1192" s="33">
        <v>3</v>
      </c>
      <c r="AP1192" s="33">
        <v>0</v>
      </c>
      <c r="AQ1192" s="33">
        <v>3</v>
      </c>
      <c r="AR1192" s="33">
        <v>2</v>
      </c>
      <c r="AS1192" s="33">
        <v>4</v>
      </c>
      <c r="AT1192" s="33">
        <v>0</v>
      </c>
      <c r="AU1192" s="43">
        <v>3.5538164627488537E-2</v>
      </c>
      <c r="AV1192" s="33">
        <v>0</v>
      </c>
      <c r="AW1192" s="33">
        <v>0</v>
      </c>
      <c r="AY1192" s="36">
        <v>1164</v>
      </c>
      <c r="AZ1192" s="33">
        <v>1</v>
      </c>
      <c r="BA1192" s="33">
        <v>2</v>
      </c>
      <c r="BB1192" s="33">
        <v>0</v>
      </c>
      <c r="BC1192" s="33">
        <v>1</v>
      </c>
      <c r="BD1192" s="43">
        <v>0.15461023487664</v>
      </c>
      <c r="BE1192" s="33">
        <v>0</v>
      </c>
      <c r="BF1192" s="33">
        <v>0</v>
      </c>
      <c r="CE1192" s="36">
        <v>1158</v>
      </c>
      <c r="CF1192" s="33">
        <v>8</v>
      </c>
      <c r="CG1192" s="33">
        <v>2</v>
      </c>
      <c r="CH1192" s="33">
        <v>3</v>
      </c>
      <c r="CI1192" s="33">
        <v>2</v>
      </c>
      <c r="CJ1192" s="33">
        <v>1</v>
      </c>
      <c r="CK1192" s="33">
        <v>0</v>
      </c>
      <c r="CL1192" s="33">
        <v>1</v>
      </c>
      <c r="CM1192" s="33">
        <v>3</v>
      </c>
      <c r="CN1192" s="33">
        <v>14</v>
      </c>
      <c r="CO1192" s="33">
        <v>2</v>
      </c>
      <c r="CP1192" s="43">
        <v>3.0126317630471529E-2</v>
      </c>
      <c r="CQ1192" s="33">
        <v>0</v>
      </c>
      <c r="CR1192" s="33">
        <v>0</v>
      </c>
    </row>
    <row r="1193" spans="1:96" ht="15" customHeight="1" x14ac:dyDescent="0.25">
      <c r="A1193" s="26">
        <v>1191</v>
      </c>
      <c r="B1193" s="27">
        <v>31</v>
      </c>
      <c r="C1193" s="27">
        <v>0</v>
      </c>
      <c r="D1193" s="27">
        <v>1</v>
      </c>
      <c r="E1193" s="27">
        <v>1112</v>
      </c>
      <c r="F1193" s="27">
        <v>1</v>
      </c>
      <c r="G1193" s="27">
        <v>5</v>
      </c>
      <c r="H1193" s="27">
        <v>4</v>
      </c>
      <c r="I1193" s="27">
        <v>1</v>
      </c>
      <c r="J1193" s="27">
        <v>1</v>
      </c>
      <c r="K1193" s="27">
        <v>1673</v>
      </c>
      <c r="L1193" s="27">
        <v>1</v>
      </c>
      <c r="M1193" s="27">
        <v>0</v>
      </c>
      <c r="N1193" s="27">
        <v>67</v>
      </c>
      <c r="O1193" s="27">
        <v>3</v>
      </c>
      <c r="P1193" s="27">
        <v>2</v>
      </c>
      <c r="Q1193" s="27">
        <v>1</v>
      </c>
      <c r="R1193" s="27">
        <v>4</v>
      </c>
      <c r="S1193" s="27">
        <v>2</v>
      </c>
      <c r="T1193" s="27">
        <v>5476</v>
      </c>
      <c r="U1193" s="27">
        <v>22589</v>
      </c>
      <c r="V1193" s="27">
        <v>1</v>
      </c>
      <c r="W1193" s="27">
        <v>0</v>
      </c>
      <c r="X1193" s="27">
        <v>11</v>
      </c>
      <c r="Y1193" s="27">
        <v>3</v>
      </c>
      <c r="Z1193" s="27">
        <v>1</v>
      </c>
      <c r="AA1193" s="27">
        <v>80</v>
      </c>
      <c r="AB1193" s="27">
        <v>2</v>
      </c>
      <c r="AC1193" s="27">
        <v>10</v>
      </c>
      <c r="AD1193" s="27">
        <v>2</v>
      </c>
      <c r="AE1193" s="27">
        <v>3</v>
      </c>
      <c r="AF1193" s="27">
        <v>10</v>
      </c>
      <c r="AG1193" s="27">
        <v>0</v>
      </c>
      <c r="AH1193" s="27">
        <v>0</v>
      </c>
      <c r="AI1193" s="28">
        <v>2</v>
      </c>
      <c r="AK1193" s="36">
        <v>1160</v>
      </c>
      <c r="AL1193" s="33">
        <v>4</v>
      </c>
      <c r="AM1193" s="33">
        <v>2</v>
      </c>
      <c r="AN1193" s="33">
        <v>3</v>
      </c>
      <c r="AO1193" s="33">
        <v>0</v>
      </c>
      <c r="AP1193" s="33">
        <v>0</v>
      </c>
      <c r="AQ1193" s="33">
        <v>0</v>
      </c>
      <c r="AR1193" s="33">
        <v>1</v>
      </c>
      <c r="AS1193" s="33">
        <v>9</v>
      </c>
      <c r="AT1193" s="33">
        <v>3</v>
      </c>
      <c r="AU1193" s="43">
        <v>0.10488954444200677</v>
      </c>
      <c r="AV1193" s="33">
        <v>0</v>
      </c>
      <c r="AW1193" s="33">
        <v>0</v>
      </c>
      <c r="AY1193" s="36">
        <v>1165</v>
      </c>
      <c r="AZ1193" s="33">
        <v>3</v>
      </c>
      <c r="BA1193" s="33">
        <v>4</v>
      </c>
      <c r="BB1193" s="33">
        <v>1</v>
      </c>
      <c r="BC1193" s="33">
        <v>0</v>
      </c>
      <c r="BD1193" s="43">
        <v>0.19464428068138595</v>
      </c>
      <c r="BE1193" s="33">
        <v>0</v>
      </c>
      <c r="BF1193" s="33">
        <v>0</v>
      </c>
      <c r="CE1193" s="36">
        <v>1159</v>
      </c>
      <c r="CF1193" s="33">
        <v>19</v>
      </c>
      <c r="CG1193" s="33">
        <v>2</v>
      </c>
      <c r="CH1193" s="33">
        <v>3</v>
      </c>
      <c r="CI1193" s="33">
        <v>2</v>
      </c>
      <c r="CJ1193" s="33">
        <v>3</v>
      </c>
      <c r="CK1193" s="33">
        <v>0</v>
      </c>
      <c r="CL1193" s="33">
        <v>3</v>
      </c>
      <c r="CM1193" s="33">
        <v>2</v>
      </c>
      <c r="CN1193" s="33">
        <v>4</v>
      </c>
      <c r="CO1193" s="33">
        <v>0</v>
      </c>
      <c r="CP1193" s="43">
        <v>6.6720100973263585E-2</v>
      </c>
      <c r="CQ1193" s="33">
        <v>0</v>
      </c>
      <c r="CR1193" s="33">
        <v>0</v>
      </c>
    </row>
    <row r="1194" spans="1:96" ht="15" customHeight="1" x14ac:dyDescent="0.25">
      <c r="A1194" s="26">
        <v>1192</v>
      </c>
      <c r="B1194" s="27">
        <v>49</v>
      </c>
      <c r="C1194" s="27">
        <v>0</v>
      </c>
      <c r="D1194" s="27">
        <v>1</v>
      </c>
      <c r="E1194" s="27">
        <v>464</v>
      </c>
      <c r="F1194" s="27">
        <v>2</v>
      </c>
      <c r="G1194" s="27">
        <v>16</v>
      </c>
      <c r="H1194" s="27">
        <v>3</v>
      </c>
      <c r="I1194" s="27">
        <v>3</v>
      </c>
      <c r="J1194" s="27">
        <v>1</v>
      </c>
      <c r="K1194" s="27">
        <v>1674</v>
      </c>
      <c r="L1194" s="27">
        <v>4</v>
      </c>
      <c r="M1194" s="27">
        <v>0</v>
      </c>
      <c r="N1194" s="27">
        <v>74</v>
      </c>
      <c r="O1194" s="27">
        <v>3</v>
      </c>
      <c r="P1194" s="27">
        <v>1</v>
      </c>
      <c r="Q1194" s="27">
        <v>3</v>
      </c>
      <c r="R1194" s="27">
        <v>1</v>
      </c>
      <c r="S1194" s="27">
        <v>3</v>
      </c>
      <c r="T1194" s="27">
        <v>2587</v>
      </c>
      <c r="U1194" s="27">
        <v>24941</v>
      </c>
      <c r="V1194" s="27">
        <v>4</v>
      </c>
      <c r="W1194" s="27">
        <v>1</v>
      </c>
      <c r="X1194" s="27">
        <v>16</v>
      </c>
      <c r="Y1194" s="27">
        <v>3</v>
      </c>
      <c r="Z1194" s="27">
        <v>2</v>
      </c>
      <c r="AA1194" s="27">
        <v>80</v>
      </c>
      <c r="AB1194" s="27">
        <v>1</v>
      </c>
      <c r="AC1194" s="27">
        <v>17</v>
      </c>
      <c r="AD1194" s="27">
        <v>2</v>
      </c>
      <c r="AE1194" s="27">
        <v>2</v>
      </c>
      <c r="AF1194" s="27">
        <v>2</v>
      </c>
      <c r="AG1194" s="27">
        <v>2</v>
      </c>
      <c r="AH1194" s="27">
        <v>2</v>
      </c>
      <c r="AI1194" s="28">
        <v>2</v>
      </c>
      <c r="AK1194" s="36">
        <v>1161</v>
      </c>
      <c r="AL1194" s="33">
        <v>2</v>
      </c>
      <c r="AM1194" s="33">
        <v>2</v>
      </c>
      <c r="AN1194" s="33">
        <v>4</v>
      </c>
      <c r="AO1194" s="33">
        <v>1</v>
      </c>
      <c r="AP1194" s="33">
        <v>0</v>
      </c>
      <c r="AQ1194" s="33">
        <v>2</v>
      </c>
      <c r="AR1194" s="33">
        <v>3</v>
      </c>
      <c r="AS1194" s="33">
        <v>10</v>
      </c>
      <c r="AT1194" s="33">
        <v>3</v>
      </c>
      <c r="AU1194" s="43">
        <v>1.6451080896123061E-2</v>
      </c>
      <c r="AV1194" s="33">
        <v>0</v>
      </c>
      <c r="AW1194" s="33">
        <v>0</v>
      </c>
      <c r="AY1194" s="36">
        <v>1166</v>
      </c>
      <c r="AZ1194" s="33">
        <v>2</v>
      </c>
      <c r="BA1194" s="33">
        <v>4</v>
      </c>
      <c r="BB1194" s="33">
        <v>1</v>
      </c>
      <c r="BC1194" s="33">
        <v>0</v>
      </c>
      <c r="BD1194" s="43">
        <v>0.29698480921718856</v>
      </c>
      <c r="BE1194" s="33">
        <v>0</v>
      </c>
      <c r="BF1194" s="33">
        <v>0</v>
      </c>
      <c r="CE1194" s="36">
        <v>1160</v>
      </c>
      <c r="CF1194" s="33">
        <v>4</v>
      </c>
      <c r="CG1194" s="33">
        <v>2</v>
      </c>
      <c r="CH1194" s="33">
        <v>3</v>
      </c>
      <c r="CI1194" s="33">
        <v>1</v>
      </c>
      <c r="CJ1194" s="33">
        <v>0</v>
      </c>
      <c r="CK1194" s="33">
        <v>0</v>
      </c>
      <c r="CL1194" s="33">
        <v>0</v>
      </c>
      <c r="CM1194" s="33">
        <v>1</v>
      </c>
      <c r="CN1194" s="33">
        <v>9</v>
      </c>
      <c r="CO1194" s="33">
        <v>3</v>
      </c>
      <c r="CP1194" s="43">
        <v>0.12607722408938493</v>
      </c>
      <c r="CQ1194" s="33">
        <v>0</v>
      </c>
      <c r="CR1194" s="33">
        <v>0</v>
      </c>
    </row>
    <row r="1195" spans="1:96" ht="15" customHeight="1" x14ac:dyDescent="0.25">
      <c r="A1195" s="26">
        <v>1193</v>
      </c>
      <c r="B1195" s="27">
        <v>38</v>
      </c>
      <c r="C1195" s="27">
        <v>0</v>
      </c>
      <c r="D1195" s="27">
        <v>2</v>
      </c>
      <c r="E1195" s="27">
        <v>148</v>
      </c>
      <c r="F1195" s="27">
        <v>2</v>
      </c>
      <c r="G1195" s="27">
        <v>2</v>
      </c>
      <c r="H1195" s="27">
        <v>3</v>
      </c>
      <c r="I1195" s="27">
        <v>3</v>
      </c>
      <c r="J1195" s="27">
        <v>1</v>
      </c>
      <c r="K1195" s="27">
        <v>1675</v>
      </c>
      <c r="L1195" s="27">
        <v>4</v>
      </c>
      <c r="M1195" s="27">
        <v>0</v>
      </c>
      <c r="N1195" s="27">
        <v>42</v>
      </c>
      <c r="O1195" s="27">
        <v>2</v>
      </c>
      <c r="P1195" s="27">
        <v>1</v>
      </c>
      <c r="Q1195" s="27">
        <v>3</v>
      </c>
      <c r="R1195" s="27">
        <v>2</v>
      </c>
      <c r="S1195" s="27">
        <v>1</v>
      </c>
      <c r="T1195" s="27">
        <v>2440</v>
      </c>
      <c r="U1195" s="27">
        <v>23826</v>
      </c>
      <c r="V1195" s="27">
        <v>1</v>
      </c>
      <c r="W1195" s="27">
        <v>0</v>
      </c>
      <c r="X1195" s="27">
        <v>22</v>
      </c>
      <c r="Y1195" s="27">
        <v>4</v>
      </c>
      <c r="Z1195" s="27">
        <v>2</v>
      </c>
      <c r="AA1195" s="27">
        <v>80</v>
      </c>
      <c r="AB1195" s="27">
        <v>0</v>
      </c>
      <c r="AC1195" s="27">
        <v>4</v>
      </c>
      <c r="AD1195" s="27">
        <v>3</v>
      </c>
      <c r="AE1195" s="27">
        <v>3</v>
      </c>
      <c r="AF1195" s="27">
        <v>4</v>
      </c>
      <c r="AG1195" s="27">
        <v>3</v>
      </c>
      <c r="AH1195" s="27">
        <v>3</v>
      </c>
      <c r="AI1195" s="28">
        <v>3</v>
      </c>
      <c r="AK1195" s="36">
        <v>1162</v>
      </c>
      <c r="AL1195" s="33">
        <v>2</v>
      </c>
      <c r="AM1195" s="33">
        <v>3</v>
      </c>
      <c r="AN1195" s="33">
        <v>3</v>
      </c>
      <c r="AO1195" s="33">
        <v>3</v>
      </c>
      <c r="AP1195" s="33">
        <v>1</v>
      </c>
      <c r="AQ1195" s="33">
        <v>1</v>
      </c>
      <c r="AR1195" s="33">
        <v>4</v>
      </c>
      <c r="AS1195" s="33">
        <v>5</v>
      </c>
      <c r="AT1195" s="33">
        <v>0</v>
      </c>
      <c r="AU1195" s="43">
        <v>8.6906234788843281E-2</v>
      </c>
      <c r="AV1195" s="33">
        <v>0</v>
      </c>
      <c r="AW1195" s="33">
        <v>0</v>
      </c>
      <c r="AY1195" s="36">
        <v>1167</v>
      </c>
      <c r="AZ1195" s="33">
        <v>4</v>
      </c>
      <c r="BA1195" s="33">
        <v>4</v>
      </c>
      <c r="BB1195" s="33">
        <v>0</v>
      </c>
      <c r="BC1195" s="33">
        <v>1</v>
      </c>
      <c r="BD1195" s="43">
        <v>1.872698143618769E-2</v>
      </c>
      <c r="BE1195" s="33">
        <v>0</v>
      </c>
      <c r="BF1195" s="33">
        <v>0</v>
      </c>
      <c r="CE1195" s="36">
        <v>1161</v>
      </c>
      <c r="CF1195" s="33">
        <v>2</v>
      </c>
      <c r="CG1195" s="33">
        <v>2</v>
      </c>
      <c r="CH1195" s="33">
        <v>4</v>
      </c>
      <c r="CI1195" s="33">
        <v>3</v>
      </c>
      <c r="CJ1195" s="33">
        <v>1</v>
      </c>
      <c r="CK1195" s="33">
        <v>0</v>
      </c>
      <c r="CL1195" s="33">
        <v>2</v>
      </c>
      <c r="CM1195" s="33">
        <v>3</v>
      </c>
      <c r="CN1195" s="33">
        <v>10</v>
      </c>
      <c r="CO1195" s="33">
        <v>3</v>
      </c>
      <c r="CP1195" s="43">
        <v>1.2710596874469553E-2</v>
      </c>
      <c r="CQ1195" s="33">
        <v>0</v>
      </c>
      <c r="CR1195" s="33">
        <v>0</v>
      </c>
    </row>
    <row r="1196" spans="1:96" ht="15" customHeight="1" x14ac:dyDescent="0.25">
      <c r="A1196" s="26">
        <v>1194</v>
      </c>
      <c r="B1196" s="27">
        <v>47</v>
      </c>
      <c r="C1196" s="27">
        <v>0</v>
      </c>
      <c r="D1196" s="27">
        <v>1</v>
      </c>
      <c r="E1196" s="27">
        <v>1225</v>
      </c>
      <c r="F1196" s="27">
        <v>1</v>
      </c>
      <c r="G1196" s="27">
        <v>2</v>
      </c>
      <c r="H1196" s="27">
        <v>4</v>
      </c>
      <c r="I1196" s="27">
        <v>1</v>
      </c>
      <c r="J1196" s="27">
        <v>1</v>
      </c>
      <c r="K1196" s="27">
        <v>1676</v>
      </c>
      <c r="L1196" s="27">
        <v>2</v>
      </c>
      <c r="M1196" s="27">
        <v>0</v>
      </c>
      <c r="N1196" s="27">
        <v>47</v>
      </c>
      <c r="O1196" s="27">
        <v>4</v>
      </c>
      <c r="P1196" s="27">
        <v>4</v>
      </c>
      <c r="Q1196" s="27">
        <v>6</v>
      </c>
      <c r="R1196" s="27">
        <v>2</v>
      </c>
      <c r="S1196" s="27">
        <v>3</v>
      </c>
      <c r="T1196" s="27">
        <v>15972</v>
      </c>
      <c r="U1196" s="27">
        <v>21086</v>
      </c>
      <c r="V1196" s="27">
        <v>6</v>
      </c>
      <c r="W1196" s="27">
        <v>0</v>
      </c>
      <c r="X1196" s="27">
        <v>14</v>
      </c>
      <c r="Y1196" s="27">
        <v>3</v>
      </c>
      <c r="Z1196" s="27">
        <v>3</v>
      </c>
      <c r="AA1196" s="27">
        <v>80</v>
      </c>
      <c r="AB1196" s="27">
        <v>3</v>
      </c>
      <c r="AC1196" s="27">
        <v>29</v>
      </c>
      <c r="AD1196" s="27">
        <v>2</v>
      </c>
      <c r="AE1196" s="27">
        <v>3</v>
      </c>
      <c r="AF1196" s="27">
        <v>3</v>
      </c>
      <c r="AG1196" s="27">
        <v>2</v>
      </c>
      <c r="AH1196" s="27">
        <v>1</v>
      </c>
      <c r="AI1196" s="28">
        <v>2</v>
      </c>
      <c r="AK1196" s="36">
        <v>1163</v>
      </c>
      <c r="AL1196" s="33">
        <v>10</v>
      </c>
      <c r="AM1196" s="33">
        <v>3</v>
      </c>
      <c r="AN1196" s="33">
        <v>1</v>
      </c>
      <c r="AO1196" s="33">
        <v>9</v>
      </c>
      <c r="AP1196" s="33">
        <v>0</v>
      </c>
      <c r="AQ1196" s="33">
        <v>0</v>
      </c>
      <c r="AR1196" s="33">
        <v>3</v>
      </c>
      <c r="AS1196" s="33">
        <v>13</v>
      </c>
      <c r="AT1196" s="33">
        <v>6</v>
      </c>
      <c r="AU1196" s="43">
        <v>0.17259921369298534</v>
      </c>
      <c r="AV1196" s="33">
        <v>0</v>
      </c>
      <c r="AW1196" s="33">
        <v>1</v>
      </c>
      <c r="AY1196" s="36">
        <v>1168</v>
      </c>
      <c r="AZ1196" s="33">
        <v>2</v>
      </c>
      <c r="BA1196" s="33">
        <v>4</v>
      </c>
      <c r="BB1196" s="33">
        <v>1</v>
      </c>
      <c r="BC1196" s="33">
        <v>2</v>
      </c>
      <c r="BD1196" s="43">
        <v>0.12819971414072456</v>
      </c>
      <c r="BE1196" s="33">
        <v>0</v>
      </c>
      <c r="BF1196" s="33">
        <v>1</v>
      </c>
      <c r="CE1196" s="36">
        <v>1162</v>
      </c>
      <c r="CF1196" s="33">
        <v>2</v>
      </c>
      <c r="CG1196" s="33">
        <v>3</v>
      </c>
      <c r="CH1196" s="33">
        <v>3</v>
      </c>
      <c r="CI1196" s="33">
        <v>2</v>
      </c>
      <c r="CJ1196" s="33">
        <v>3</v>
      </c>
      <c r="CK1196" s="33">
        <v>1</v>
      </c>
      <c r="CL1196" s="33">
        <v>1</v>
      </c>
      <c r="CM1196" s="33">
        <v>4</v>
      </c>
      <c r="CN1196" s="33">
        <v>5</v>
      </c>
      <c r="CO1196" s="33">
        <v>0</v>
      </c>
      <c r="CP1196" s="43">
        <v>8.6810016044567909E-2</v>
      </c>
      <c r="CQ1196" s="33">
        <v>0</v>
      </c>
      <c r="CR1196" s="33">
        <v>0</v>
      </c>
    </row>
    <row r="1197" spans="1:96" ht="15" customHeight="1" x14ac:dyDescent="0.25">
      <c r="A1197" s="26">
        <v>1195</v>
      </c>
      <c r="B1197" s="27">
        <v>49</v>
      </c>
      <c r="C1197" s="27">
        <v>0</v>
      </c>
      <c r="D1197" s="27">
        <v>1</v>
      </c>
      <c r="E1197" s="27">
        <v>809</v>
      </c>
      <c r="F1197" s="27">
        <v>2</v>
      </c>
      <c r="G1197" s="27">
        <v>1</v>
      </c>
      <c r="H1197" s="27">
        <v>3</v>
      </c>
      <c r="I1197" s="27">
        <v>1</v>
      </c>
      <c r="J1197" s="27">
        <v>1</v>
      </c>
      <c r="K1197" s="27">
        <v>1677</v>
      </c>
      <c r="L1197" s="27">
        <v>3</v>
      </c>
      <c r="M1197" s="27">
        <v>1</v>
      </c>
      <c r="N1197" s="27">
        <v>36</v>
      </c>
      <c r="O1197" s="27">
        <v>3</v>
      </c>
      <c r="P1197" s="27">
        <v>4</v>
      </c>
      <c r="Q1197" s="27">
        <v>6</v>
      </c>
      <c r="R1197" s="27">
        <v>3</v>
      </c>
      <c r="S1197" s="27">
        <v>1</v>
      </c>
      <c r="T1197" s="27">
        <v>15379</v>
      </c>
      <c r="U1197" s="27">
        <v>22384</v>
      </c>
      <c r="V1197" s="27">
        <v>4</v>
      </c>
      <c r="W1197" s="27">
        <v>0</v>
      </c>
      <c r="X1197" s="27">
        <v>14</v>
      </c>
      <c r="Y1197" s="27">
        <v>3</v>
      </c>
      <c r="Z1197" s="27">
        <v>1</v>
      </c>
      <c r="AA1197" s="27">
        <v>80</v>
      </c>
      <c r="AB1197" s="27">
        <v>0</v>
      </c>
      <c r="AC1197" s="27">
        <v>23</v>
      </c>
      <c r="AD1197" s="27">
        <v>2</v>
      </c>
      <c r="AE1197" s="27">
        <v>3</v>
      </c>
      <c r="AF1197" s="27">
        <v>8</v>
      </c>
      <c r="AG1197" s="27">
        <v>7</v>
      </c>
      <c r="AH1197" s="27">
        <v>0</v>
      </c>
      <c r="AI1197" s="28">
        <v>0</v>
      </c>
      <c r="AK1197" s="36">
        <v>1164</v>
      </c>
      <c r="AL1197" s="33">
        <v>10</v>
      </c>
      <c r="AM1197" s="33">
        <v>1</v>
      </c>
      <c r="AN1197" s="33">
        <v>2</v>
      </c>
      <c r="AO1197" s="33">
        <v>1</v>
      </c>
      <c r="AP1197" s="33">
        <v>0</v>
      </c>
      <c r="AQ1197" s="33">
        <v>1</v>
      </c>
      <c r="AR1197" s="33">
        <v>1</v>
      </c>
      <c r="AS1197" s="33">
        <v>8</v>
      </c>
      <c r="AT1197" s="33">
        <v>7</v>
      </c>
      <c r="AU1197" s="43">
        <v>0.25802737940751835</v>
      </c>
      <c r="AV1197" s="33">
        <v>0</v>
      </c>
      <c r="AW1197" s="33">
        <v>0</v>
      </c>
      <c r="AY1197" s="36">
        <v>1169</v>
      </c>
      <c r="AZ1197" s="33">
        <v>1</v>
      </c>
      <c r="BA1197" s="33">
        <v>4</v>
      </c>
      <c r="BB1197" s="33">
        <v>1</v>
      </c>
      <c r="BC1197" s="33">
        <v>0</v>
      </c>
      <c r="BD1197" s="43">
        <v>0.42475472169672474</v>
      </c>
      <c r="BE1197" s="33">
        <v>0</v>
      </c>
      <c r="BF1197" s="33">
        <v>0</v>
      </c>
      <c r="CE1197" s="36">
        <v>1163</v>
      </c>
      <c r="CF1197" s="33">
        <v>10</v>
      </c>
      <c r="CG1197" s="33">
        <v>3</v>
      </c>
      <c r="CH1197" s="33">
        <v>1</v>
      </c>
      <c r="CI1197" s="33">
        <v>2</v>
      </c>
      <c r="CJ1197" s="33">
        <v>9</v>
      </c>
      <c r="CK1197" s="33">
        <v>0</v>
      </c>
      <c r="CL1197" s="33">
        <v>0</v>
      </c>
      <c r="CM1197" s="33">
        <v>3</v>
      </c>
      <c r="CN1197" s="33">
        <v>13</v>
      </c>
      <c r="CO1197" s="33">
        <v>6</v>
      </c>
      <c r="CP1197" s="43">
        <v>0.13246478263417008</v>
      </c>
      <c r="CQ1197" s="33">
        <v>0</v>
      </c>
      <c r="CR1197" s="33">
        <v>1</v>
      </c>
    </row>
    <row r="1198" spans="1:96" ht="15" customHeight="1" x14ac:dyDescent="0.25">
      <c r="A1198" s="26">
        <v>1196</v>
      </c>
      <c r="B1198" s="27">
        <v>41</v>
      </c>
      <c r="C1198" s="27">
        <v>0</v>
      </c>
      <c r="D1198" s="27">
        <v>1</v>
      </c>
      <c r="E1198" s="27">
        <v>1206</v>
      </c>
      <c r="F1198" s="27">
        <v>1</v>
      </c>
      <c r="G1198" s="27">
        <v>23</v>
      </c>
      <c r="H1198" s="27">
        <v>2</v>
      </c>
      <c r="I1198" s="27">
        <v>1</v>
      </c>
      <c r="J1198" s="27">
        <v>1</v>
      </c>
      <c r="K1198" s="27">
        <v>1678</v>
      </c>
      <c r="L1198" s="27">
        <v>4</v>
      </c>
      <c r="M1198" s="27">
        <v>1</v>
      </c>
      <c r="N1198" s="27">
        <v>80</v>
      </c>
      <c r="O1198" s="27">
        <v>3</v>
      </c>
      <c r="P1198" s="27">
        <v>3</v>
      </c>
      <c r="Q1198" s="27">
        <v>1</v>
      </c>
      <c r="R1198" s="27">
        <v>3</v>
      </c>
      <c r="S1198" s="27">
        <v>1</v>
      </c>
      <c r="T1198" s="27">
        <v>7082</v>
      </c>
      <c r="U1198" s="27">
        <v>11591</v>
      </c>
      <c r="V1198" s="27">
        <v>3</v>
      </c>
      <c r="W1198" s="27">
        <v>1</v>
      </c>
      <c r="X1198" s="27">
        <v>16</v>
      </c>
      <c r="Y1198" s="27">
        <v>3</v>
      </c>
      <c r="Z1198" s="27">
        <v>4</v>
      </c>
      <c r="AA1198" s="27">
        <v>80</v>
      </c>
      <c r="AB1198" s="27">
        <v>0</v>
      </c>
      <c r="AC1198" s="27">
        <v>21</v>
      </c>
      <c r="AD1198" s="27">
        <v>2</v>
      </c>
      <c r="AE1198" s="27">
        <v>3</v>
      </c>
      <c r="AF1198" s="27">
        <v>2</v>
      </c>
      <c r="AG1198" s="27">
        <v>0</v>
      </c>
      <c r="AH1198" s="27">
        <v>0</v>
      </c>
      <c r="AI1198" s="28">
        <v>2</v>
      </c>
      <c r="AK1198" s="36">
        <v>1165</v>
      </c>
      <c r="AL1198" s="33">
        <v>16</v>
      </c>
      <c r="AM1198" s="33">
        <v>3</v>
      </c>
      <c r="AN1198" s="33">
        <v>4</v>
      </c>
      <c r="AO1198" s="33">
        <v>6</v>
      </c>
      <c r="AP1198" s="33">
        <v>1</v>
      </c>
      <c r="AQ1198" s="33">
        <v>0</v>
      </c>
      <c r="AR1198" s="33">
        <v>2</v>
      </c>
      <c r="AS1198" s="33">
        <v>4</v>
      </c>
      <c r="AT1198" s="33">
        <v>3</v>
      </c>
      <c r="AU1198" s="43">
        <v>0.38300403373726943</v>
      </c>
      <c r="AV1198" s="33">
        <v>0</v>
      </c>
      <c r="AW1198" s="33">
        <v>0</v>
      </c>
      <c r="AY1198" s="36">
        <v>1170</v>
      </c>
      <c r="AZ1198" s="33">
        <v>1</v>
      </c>
      <c r="BA1198" s="33">
        <v>3</v>
      </c>
      <c r="BB1198" s="33">
        <v>0</v>
      </c>
      <c r="BC1198" s="33">
        <v>0</v>
      </c>
      <c r="BD1198" s="43">
        <v>0.18791247240909698</v>
      </c>
      <c r="BE1198" s="33">
        <v>0</v>
      </c>
      <c r="BF1198" s="33">
        <v>0</v>
      </c>
      <c r="CE1198" s="36">
        <v>1164</v>
      </c>
      <c r="CF1198" s="33">
        <v>10</v>
      </c>
      <c r="CG1198" s="33">
        <v>1</v>
      </c>
      <c r="CH1198" s="33">
        <v>2</v>
      </c>
      <c r="CI1198" s="33">
        <v>2</v>
      </c>
      <c r="CJ1198" s="33">
        <v>1</v>
      </c>
      <c r="CK1198" s="33">
        <v>0</v>
      </c>
      <c r="CL1198" s="33">
        <v>1</v>
      </c>
      <c r="CM1198" s="33">
        <v>1</v>
      </c>
      <c r="CN1198" s="33">
        <v>8</v>
      </c>
      <c r="CO1198" s="33">
        <v>7</v>
      </c>
      <c r="CP1198" s="43">
        <v>0.26127293186804124</v>
      </c>
      <c r="CQ1198" s="33">
        <v>0</v>
      </c>
      <c r="CR1198" s="33">
        <v>0</v>
      </c>
    </row>
    <row r="1199" spans="1:96" ht="15" customHeight="1" x14ac:dyDescent="0.25">
      <c r="A1199" s="26">
        <v>1197</v>
      </c>
      <c r="B1199" s="27">
        <v>20</v>
      </c>
      <c r="C1199" s="27">
        <v>0</v>
      </c>
      <c r="D1199" s="27">
        <v>1</v>
      </c>
      <c r="E1199" s="27">
        <v>727</v>
      </c>
      <c r="F1199" s="27">
        <v>1</v>
      </c>
      <c r="G1199" s="27">
        <v>9</v>
      </c>
      <c r="H1199" s="27">
        <v>1</v>
      </c>
      <c r="I1199" s="27">
        <v>1</v>
      </c>
      <c r="J1199" s="27">
        <v>1</v>
      </c>
      <c r="K1199" s="27">
        <v>1680</v>
      </c>
      <c r="L1199" s="27">
        <v>4</v>
      </c>
      <c r="M1199" s="27">
        <v>1</v>
      </c>
      <c r="N1199" s="27">
        <v>54</v>
      </c>
      <c r="O1199" s="27">
        <v>3</v>
      </c>
      <c r="P1199" s="27">
        <v>1</v>
      </c>
      <c r="Q1199" s="27">
        <v>7</v>
      </c>
      <c r="R1199" s="27">
        <v>1</v>
      </c>
      <c r="S1199" s="27">
        <v>1</v>
      </c>
      <c r="T1199" s="27">
        <v>2728</v>
      </c>
      <c r="U1199" s="27">
        <v>21082</v>
      </c>
      <c r="V1199" s="27">
        <v>1</v>
      </c>
      <c r="W1199" s="27">
        <v>0</v>
      </c>
      <c r="X1199" s="27">
        <v>11</v>
      </c>
      <c r="Y1199" s="27">
        <v>3</v>
      </c>
      <c r="Z1199" s="27">
        <v>1</v>
      </c>
      <c r="AA1199" s="27">
        <v>80</v>
      </c>
      <c r="AB1199" s="27">
        <v>0</v>
      </c>
      <c r="AC1199" s="27">
        <v>2</v>
      </c>
      <c r="AD1199" s="27">
        <v>3</v>
      </c>
      <c r="AE1199" s="27">
        <v>3</v>
      </c>
      <c r="AF1199" s="27">
        <v>2</v>
      </c>
      <c r="AG1199" s="27">
        <v>2</v>
      </c>
      <c r="AH1199" s="27">
        <v>0</v>
      </c>
      <c r="AI1199" s="28">
        <v>2</v>
      </c>
      <c r="AK1199" s="36">
        <v>1166</v>
      </c>
      <c r="AL1199" s="33">
        <v>1</v>
      </c>
      <c r="AM1199" s="33">
        <v>2</v>
      </c>
      <c r="AN1199" s="33">
        <v>4</v>
      </c>
      <c r="AO1199" s="33">
        <v>4</v>
      </c>
      <c r="AP1199" s="33">
        <v>1</v>
      </c>
      <c r="AQ1199" s="33">
        <v>0</v>
      </c>
      <c r="AR1199" s="33">
        <v>3</v>
      </c>
      <c r="AS1199" s="33">
        <v>10</v>
      </c>
      <c r="AT1199" s="33">
        <v>0</v>
      </c>
      <c r="AU1199" s="43">
        <v>0.16756690589049833</v>
      </c>
      <c r="AV1199" s="33">
        <v>0</v>
      </c>
      <c r="AW1199" s="33">
        <v>0</v>
      </c>
      <c r="AY1199" s="36">
        <v>1171</v>
      </c>
      <c r="AZ1199" s="33">
        <v>1</v>
      </c>
      <c r="BA1199" s="33">
        <v>4</v>
      </c>
      <c r="BB1199" s="33">
        <v>0</v>
      </c>
      <c r="BC1199" s="33">
        <v>0</v>
      </c>
      <c r="BD1199" s="43">
        <v>0.1472907617042678</v>
      </c>
      <c r="BE1199" s="33">
        <v>0</v>
      </c>
      <c r="BF1199" s="33">
        <v>0</v>
      </c>
      <c r="CE1199" s="36">
        <v>1165</v>
      </c>
      <c r="CF1199" s="33">
        <v>16</v>
      </c>
      <c r="CG1199" s="33">
        <v>3</v>
      </c>
      <c r="CH1199" s="33">
        <v>4</v>
      </c>
      <c r="CI1199" s="33">
        <v>1</v>
      </c>
      <c r="CJ1199" s="33">
        <v>6</v>
      </c>
      <c r="CK1199" s="33">
        <v>1</v>
      </c>
      <c r="CL1199" s="33">
        <v>0</v>
      </c>
      <c r="CM1199" s="33">
        <v>2</v>
      </c>
      <c r="CN1199" s="33">
        <v>4</v>
      </c>
      <c r="CO1199" s="33">
        <v>3</v>
      </c>
      <c r="CP1199" s="43">
        <v>0.43933589798569139</v>
      </c>
      <c r="CQ1199" s="33">
        <v>0</v>
      </c>
      <c r="CR1199" s="33">
        <v>0</v>
      </c>
    </row>
    <row r="1200" spans="1:96" ht="15" customHeight="1" x14ac:dyDescent="0.25">
      <c r="A1200" s="26">
        <v>1198</v>
      </c>
      <c r="B1200" s="27">
        <v>33</v>
      </c>
      <c r="C1200" s="27">
        <v>0</v>
      </c>
      <c r="D1200" s="27">
        <v>3</v>
      </c>
      <c r="E1200" s="27">
        <v>530</v>
      </c>
      <c r="F1200" s="27">
        <v>1</v>
      </c>
      <c r="G1200" s="27">
        <v>16</v>
      </c>
      <c r="H1200" s="27">
        <v>3</v>
      </c>
      <c r="I1200" s="27">
        <v>1</v>
      </c>
      <c r="J1200" s="27">
        <v>1</v>
      </c>
      <c r="K1200" s="27">
        <v>1681</v>
      </c>
      <c r="L1200" s="27">
        <v>3</v>
      </c>
      <c r="M1200" s="27">
        <v>0</v>
      </c>
      <c r="N1200" s="27">
        <v>36</v>
      </c>
      <c r="O1200" s="27">
        <v>3</v>
      </c>
      <c r="P1200" s="27">
        <v>2</v>
      </c>
      <c r="Q1200" s="27">
        <v>1</v>
      </c>
      <c r="R1200" s="27">
        <v>4</v>
      </c>
      <c r="S1200" s="27">
        <v>3</v>
      </c>
      <c r="T1200" s="27">
        <v>5368</v>
      </c>
      <c r="U1200" s="27">
        <v>16130</v>
      </c>
      <c r="V1200" s="27">
        <v>1</v>
      </c>
      <c r="W1200" s="27">
        <v>1</v>
      </c>
      <c r="X1200" s="27">
        <v>25</v>
      </c>
      <c r="Y1200" s="27">
        <v>4</v>
      </c>
      <c r="Z1200" s="27">
        <v>3</v>
      </c>
      <c r="AA1200" s="27">
        <v>80</v>
      </c>
      <c r="AB1200" s="27">
        <v>1</v>
      </c>
      <c r="AC1200" s="27">
        <v>7</v>
      </c>
      <c r="AD1200" s="27">
        <v>2</v>
      </c>
      <c r="AE1200" s="27">
        <v>3</v>
      </c>
      <c r="AF1200" s="27">
        <v>6</v>
      </c>
      <c r="AG1200" s="27">
        <v>5</v>
      </c>
      <c r="AH1200" s="27">
        <v>1</v>
      </c>
      <c r="AI1200" s="28">
        <v>2</v>
      </c>
      <c r="AK1200" s="36">
        <v>1167</v>
      </c>
      <c r="AL1200" s="33">
        <v>4</v>
      </c>
      <c r="AM1200" s="33">
        <v>4</v>
      </c>
      <c r="AN1200" s="33">
        <v>4</v>
      </c>
      <c r="AO1200" s="33">
        <v>2</v>
      </c>
      <c r="AP1200" s="33">
        <v>0</v>
      </c>
      <c r="AQ1200" s="33">
        <v>1</v>
      </c>
      <c r="AR1200" s="33">
        <v>3</v>
      </c>
      <c r="AS1200" s="33">
        <v>2</v>
      </c>
      <c r="AT1200" s="33">
        <v>2</v>
      </c>
      <c r="AU1200" s="43">
        <v>1.7774371282438382E-2</v>
      </c>
      <c r="AV1200" s="33">
        <v>0</v>
      </c>
      <c r="AW1200" s="33">
        <v>0</v>
      </c>
      <c r="AY1200" s="36">
        <v>1172</v>
      </c>
      <c r="AZ1200" s="33">
        <v>1</v>
      </c>
      <c r="BA1200" s="33">
        <v>1</v>
      </c>
      <c r="BB1200" s="33">
        <v>1</v>
      </c>
      <c r="BC1200" s="33">
        <v>0</v>
      </c>
      <c r="BD1200" s="43">
        <v>0.63965103699986936</v>
      </c>
      <c r="BE1200" s="33">
        <v>1</v>
      </c>
      <c r="BF1200" s="33">
        <v>1</v>
      </c>
      <c r="CE1200" s="36">
        <v>1166</v>
      </c>
      <c r="CF1200" s="33">
        <v>1</v>
      </c>
      <c r="CG1200" s="33">
        <v>2</v>
      </c>
      <c r="CH1200" s="33">
        <v>4</v>
      </c>
      <c r="CI1200" s="33">
        <v>2</v>
      </c>
      <c r="CJ1200" s="33">
        <v>4</v>
      </c>
      <c r="CK1200" s="33">
        <v>1</v>
      </c>
      <c r="CL1200" s="33">
        <v>0</v>
      </c>
      <c r="CM1200" s="33">
        <v>3</v>
      </c>
      <c r="CN1200" s="33">
        <v>10</v>
      </c>
      <c r="CO1200" s="33">
        <v>0</v>
      </c>
      <c r="CP1200" s="43">
        <v>0.12321591963914917</v>
      </c>
      <c r="CQ1200" s="33">
        <v>0</v>
      </c>
      <c r="CR1200" s="33">
        <v>0</v>
      </c>
    </row>
    <row r="1201" spans="1:96" ht="15" customHeight="1" x14ac:dyDescent="0.25">
      <c r="A1201" s="26">
        <v>1199</v>
      </c>
      <c r="B1201" s="27">
        <v>36</v>
      </c>
      <c r="C1201" s="27">
        <v>0</v>
      </c>
      <c r="D1201" s="27">
        <v>1</v>
      </c>
      <c r="E1201" s="27">
        <v>1351</v>
      </c>
      <c r="F1201" s="27">
        <v>2</v>
      </c>
      <c r="G1201" s="27">
        <v>26</v>
      </c>
      <c r="H1201" s="27">
        <v>4</v>
      </c>
      <c r="I1201" s="27">
        <v>1</v>
      </c>
      <c r="J1201" s="27">
        <v>1</v>
      </c>
      <c r="K1201" s="27">
        <v>1682</v>
      </c>
      <c r="L1201" s="27">
        <v>1</v>
      </c>
      <c r="M1201" s="27">
        <v>1</v>
      </c>
      <c r="N1201" s="27">
        <v>80</v>
      </c>
      <c r="O1201" s="27">
        <v>3</v>
      </c>
      <c r="P1201" s="27">
        <v>2</v>
      </c>
      <c r="Q1201" s="27">
        <v>5</v>
      </c>
      <c r="R1201" s="27">
        <v>3</v>
      </c>
      <c r="S1201" s="27">
        <v>2</v>
      </c>
      <c r="T1201" s="27">
        <v>5347</v>
      </c>
      <c r="U1201" s="27">
        <v>7419</v>
      </c>
      <c r="V1201" s="27">
        <v>6</v>
      </c>
      <c r="W1201" s="27">
        <v>0</v>
      </c>
      <c r="X1201" s="27">
        <v>14</v>
      </c>
      <c r="Y1201" s="27">
        <v>3</v>
      </c>
      <c r="Z1201" s="27">
        <v>2</v>
      </c>
      <c r="AA1201" s="27">
        <v>80</v>
      </c>
      <c r="AB1201" s="27">
        <v>2</v>
      </c>
      <c r="AC1201" s="27">
        <v>10</v>
      </c>
      <c r="AD1201" s="27">
        <v>2</v>
      </c>
      <c r="AE1201" s="27">
        <v>2</v>
      </c>
      <c r="AF1201" s="27">
        <v>3</v>
      </c>
      <c r="AG1201" s="27">
        <v>2</v>
      </c>
      <c r="AH1201" s="27">
        <v>0</v>
      </c>
      <c r="AI1201" s="28">
        <v>2</v>
      </c>
      <c r="AK1201" s="36">
        <v>1168</v>
      </c>
      <c r="AL1201" s="33">
        <v>15</v>
      </c>
      <c r="AM1201" s="33">
        <v>2</v>
      </c>
      <c r="AN1201" s="33">
        <v>4</v>
      </c>
      <c r="AO1201" s="33">
        <v>6</v>
      </c>
      <c r="AP1201" s="33">
        <v>1</v>
      </c>
      <c r="AQ1201" s="33">
        <v>2</v>
      </c>
      <c r="AR1201" s="33">
        <v>2</v>
      </c>
      <c r="AS1201" s="33">
        <v>2</v>
      </c>
      <c r="AT1201" s="33">
        <v>2</v>
      </c>
      <c r="AU1201" s="43">
        <v>0.25687852976590714</v>
      </c>
      <c r="AV1201" s="33">
        <v>0</v>
      </c>
      <c r="AW1201" s="33">
        <v>1</v>
      </c>
      <c r="AY1201" s="36">
        <v>1173</v>
      </c>
      <c r="AZ1201" s="33">
        <v>2</v>
      </c>
      <c r="BA1201" s="33">
        <v>3</v>
      </c>
      <c r="BB1201" s="33">
        <v>0</v>
      </c>
      <c r="BC1201" s="33">
        <v>0</v>
      </c>
      <c r="BD1201" s="43">
        <v>0.11690772887050198</v>
      </c>
      <c r="BE1201" s="33">
        <v>0</v>
      </c>
      <c r="BF1201" s="33">
        <v>0</v>
      </c>
      <c r="CE1201" s="36">
        <v>1167</v>
      </c>
      <c r="CF1201" s="33">
        <v>4</v>
      </c>
      <c r="CG1201" s="33">
        <v>4</v>
      </c>
      <c r="CH1201" s="33">
        <v>4</v>
      </c>
      <c r="CI1201" s="33">
        <v>2</v>
      </c>
      <c r="CJ1201" s="33">
        <v>2</v>
      </c>
      <c r="CK1201" s="33">
        <v>0</v>
      </c>
      <c r="CL1201" s="33">
        <v>1</v>
      </c>
      <c r="CM1201" s="33">
        <v>3</v>
      </c>
      <c r="CN1201" s="33">
        <v>2</v>
      </c>
      <c r="CO1201" s="33">
        <v>2</v>
      </c>
      <c r="CP1201" s="43">
        <v>1.7313330765766535E-2</v>
      </c>
      <c r="CQ1201" s="33">
        <v>0</v>
      </c>
      <c r="CR1201" s="33">
        <v>0</v>
      </c>
    </row>
    <row r="1202" spans="1:96" ht="15" customHeight="1" x14ac:dyDescent="0.25">
      <c r="A1202" s="26">
        <v>1200</v>
      </c>
      <c r="B1202" s="27">
        <v>44</v>
      </c>
      <c r="C1202" s="27">
        <v>0</v>
      </c>
      <c r="D1202" s="27">
        <v>1</v>
      </c>
      <c r="E1202" s="27">
        <v>528</v>
      </c>
      <c r="F1202" s="27">
        <v>3</v>
      </c>
      <c r="G1202" s="27">
        <v>1</v>
      </c>
      <c r="H1202" s="27">
        <v>3</v>
      </c>
      <c r="I1202" s="27">
        <v>1</v>
      </c>
      <c r="J1202" s="27">
        <v>1</v>
      </c>
      <c r="K1202" s="27">
        <v>1683</v>
      </c>
      <c r="L1202" s="27">
        <v>3</v>
      </c>
      <c r="M1202" s="27">
        <v>0</v>
      </c>
      <c r="N1202" s="27">
        <v>44</v>
      </c>
      <c r="O1202" s="27">
        <v>3</v>
      </c>
      <c r="P1202" s="27">
        <v>1</v>
      </c>
      <c r="Q1202" s="27">
        <v>9</v>
      </c>
      <c r="R1202" s="27">
        <v>4</v>
      </c>
      <c r="S1202" s="27">
        <v>3</v>
      </c>
      <c r="T1202" s="27">
        <v>3195</v>
      </c>
      <c r="U1202" s="27">
        <v>4167</v>
      </c>
      <c r="V1202" s="27">
        <v>4</v>
      </c>
      <c r="W1202" s="27">
        <v>1</v>
      </c>
      <c r="X1202" s="27">
        <v>18</v>
      </c>
      <c r="Y1202" s="27">
        <v>3</v>
      </c>
      <c r="Z1202" s="27">
        <v>1</v>
      </c>
      <c r="AA1202" s="27">
        <v>80</v>
      </c>
      <c r="AB1202" s="27">
        <v>3</v>
      </c>
      <c r="AC1202" s="27">
        <v>8</v>
      </c>
      <c r="AD1202" s="27">
        <v>2</v>
      </c>
      <c r="AE1202" s="27">
        <v>3</v>
      </c>
      <c r="AF1202" s="27">
        <v>2</v>
      </c>
      <c r="AG1202" s="27">
        <v>2</v>
      </c>
      <c r="AH1202" s="27">
        <v>2</v>
      </c>
      <c r="AI1202" s="28">
        <v>2</v>
      </c>
      <c r="AK1202" s="36">
        <v>1169</v>
      </c>
      <c r="AL1202" s="33">
        <v>2</v>
      </c>
      <c r="AM1202" s="33">
        <v>1</v>
      </c>
      <c r="AN1202" s="33">
        <v>4</v>
      </c>
      <c r="AO1202" s="33">
        <v>1</v>
      </c>
      <c r="AP1202" s="33">
        <v>1</v>
      </c>
      <c r="AQ1202" s="33">
        <v>0</v>
      </c>
      <c r="AR1202" s="33">
        <v>3</v>
      </c>
      <c r="AS1202" s="33">
        <v>6</v>
      </c>
      <c r="AT1202" s="33">
        <v>1</v>
      </c>
      <c r="AU1202" s="43">
        <v>0.295682867000918</v>
      </c>
      <c r="AV1202" s="33">
        <v>0</v>
      </c>
      <c r="AW1202" s="33">
        <v>0</v>
      </c>
      <c r="AY1202" s="36">
        <v>1174</v>
      </c>
      <c r="AZ1202" s="33">
        <v>3</v>
      </c>
      <c r="BA1202" s="33">
        <v>1</v>
      </c>
      <c r="BB1202" s="33">
        <v>0</v>
      </c>
      <c r="BC1202" s="33">
        <v>2</v>
      </c>
      <c r="BD1202" s="43">
        <v>4.5175408192170002E-2</v>
      </c>
      <c r="BE1202" s="33">
        <v>0</v>
      </c>
      <c r="BF1202" s="33">
        <v>0</v>
      </c>
      <c r="CE1202" s="36">
        <v>1168</v>
      </c>
      <c r="CF1202" s="33">
        <v>15</v>
      </c>
      <c r="CG1202" s="33">
        <v>2</v>
      </c>
      <c r="CH1202" s="33">
        <v>4</v>
      </c>
      <c r="CI1202" s="33">
        <v>3</v>
      </c>
      <c r="CJ1202" s="33">
        <v>6</v>
      </c>
      <c r="CK1202" s="33">
        <v>1</v>
      </c>
      <c r="CL1202" s="33">
        <v>2</v>
      </c>
      <c r="CM1202" s="33">
        <v>2</v>
      </c>
      <c r="CN1202" s="33">
        <v>2</v>
      </c>
      <c r="CO1202" s="33">
        <v>2</v>
      </c>
      <c r="CP1202" s="43">
        <v>0.2204967215948169</v>
      </c>
      <c r="CQ1202" s="33">
        <v>0</v>
      </c>
      <c r="CR1202" s="33">
        <v>1</v>
      </c>
    </row>
    <row r="1203" spans="1:96" ht="15" customHeight="1" x14ac:dyDescent="0.25">
      <c r="A1203" s="26">
        <v>1201</v>
      </c>
      <c r="B1203" s="27">
        <v>23</v>
      </c>
      <c r="C1203" s="27">
        <v>1</v>
      </c>
      <c r="D1203" s="27">
        <v>1</v>
      </c>
      <c r="E1203" s="27">
        <v>1320</v>
      </c>
      <c r="F1203" s="27">
        <v>2</v>
      </c>
      <c r="G1203" s="27">
        <v>8</v>
      </c>
      <c r="H1203" s="27">
        <v>1</v>
      </c>
      <c r="I1203" s="27">
        <v>3</v>
      </c>
      <c r="J1203" s="27">
        <v>1</v>
      </c>
      <c r="K1203" s="27">
        <v>1684</v>
      </c>
      <c r="L1203" s="27">
        <v>4</v>
      </c>
      <c r="M1203" s="27">
        <v>1</v>
      </c>
      <c r="N1203" s="27">
        <v>93</v>
      </c>
      <c r="O1203" s="27">
        <v>2</v>
      </c>
      <c r="P1203" s="27">
        <v>1</v>
      </c>
      <c r="Q1203" s="27">
        <v>3</v>
      </c>
      <c r="R1203" s="27">
        <v>3</v>
      </c>
      <c r="S1203" s="27">
        <v>1</v>
      </c>
      <c r="T1203" s="27">
        <v>3989</v>
      </c>
      <c r="U1203" s="27">
        <v>20586</v>
      </c>
      <c r="V1203" s="27">
        <v>1</v>
      </c>
      <c r="W1203" s="27">
        <v>1</v>
      </c>
      <c r="X1203" s="27">
        <v>11</v>
      </c>
      <c r="Y1203" s="27">
        <v>3</v>
      </c>
      <c r="Z1203" s="27">
        <v>1</v>
      </c>
      <c r="AA1203" s="27">
        <v>80</v>
      </c>
      <c r="AB1203" s="27">
        <v>0</v>
      </c>
      <c r="AC1203" s="27">
        <v>5</v>
      </c>
      <c r="AD1203" s="27">
        <v>2</v>
      </c>
      <c r="AE1203" s="27">
        <v>3</v>
      </c>
      <c r="AF1203" s="27">
        <v>5</v>
      </c>
      <c r="AG1203" s="27">
        <v>4</v>
      </c>
      <c r="AH1203" s="27">
        <v>1</v>
      </c>
      <c r="AI1203" s="28">
        <v>2</v>
      </c>
      <c r="AK1203" s="36">
        <v>1170</v>
      </c>
      <c r="AL1203" s="33">
        <v>8</v>
      </c>
      <c r="AM1203" s="33">
        <v>1</v>
      </c>
      <c r="AN1203" s="33">
        <v>3</v>
      </c>
      <c r="AO1203" s="33">
        <v>7</v>
      </c>
      <c r="AP1203" s="33">
        <v>0</v>
      </c>
      <c r="AQ1203" s="33">
        <v>0</v>
      </c>
      <c r="AR1203" s="33">
        <v>3</v>
      </c>
      <c r="AS1203" s="33">
        <v>3</v>
      </c>
      <c r="AT1203" s="33">
        <v>0</v>
      </c>
      <c r="AU1203" s="43">
        <v>0.22400198982962663</v>
      </c>
      <c r="AV1203" s="33">
        <v>0</v>
      </c>
      <c r="AW1203" s="33">
        <v>0</v>
      </c>
      <c r="AY1203" s="36">
        <v>1175</v>
      </c>
      <c r="AZ1203" s="33">
        <v>2</v>
      </c>
      <c r="BA1203" s="33">
        <v>3</v>
      </c>
      <c r="BB1203" s="33">
        <v>0</v>
      </c>
      <c r="BC1203" s="33">
        <v>2</v>
      </c>
      <c r="BD1203" s="43">
        <v>4.4052611042036123E-2</v>
      </c>
      <c r="BE1203" s="33">
        <v>0</v>
      </c>
      <c r="BF1203" s="33">
        <v>0</v>
      </c>
      <c r="CE1203" s="36">
        <v>1169</v>
      </c>
      <c r="CF1203" s="33">
        <v>2</v>
      </c>
      <c r="CG1203" s="33">
        <v>1</v>
      </c>
      <c r="CH1203" s="33">
        <v>4</v>
      </c>
      <c r="CI1203" s="33">
        <v>1</v>
      </c>
      <c r="CJ1203" s="33">
        <v>1</v>
      </c>
      <c r="CK1203" s="33">
        <v>1</v>
      </c>
      <c r="CL1203" s="33">
        <v>0</v>
      </c>
      <c r="CM1203" s="33">
        <v>3</v>
      </c>
      <c r="CN1203" s="33">
        <v>6</v>
      </c>
      <c r="CO1203" s="33">
        <v>1</v>
      </c>
      <c r="CP1203" s="43">
        <v>0.33531395096941291</v>
      </c>
      <c r="CQ1203" s="33">
        <v>0</v>
      </c>
      <c r="CR1203" s="33">
        <v>0</v>
      </c>
    </row>
    <row r="1204" spans="1:96" ht="15" customHeight="1" x14ac:dyDescent="0.25">
      <c r="A1204" s="26">
        <v>1202</v>
      </c>
      <c r="B1204" s="27">
        <v>38</v>
      </c>
      <c r="C1204" s="27">
        <v>0</v>
      </c>
      <c r="D1204" s="27">
        <v>1</v>
      </c>
      <c r="E1204" s="27">
        <v>1495</v>
      </c>
      <c r="F1204" s="27">
        <v>2</v>
      </c>
      <c r="G1204" s="27">
        <v>4</v>
      </c>
      <c r="H1204" s="27">
        <v>2</v>
      </c>
      <c r="I1204" s="27">
        <v>3</v>
      </c>
      <c r="J1204" s="27">
        <v>1</v>
      </c>
      <c r="K1204" s="27">
        <v>1687</v>
      </c>
      <c r="L1204" s="27">
        <v>4</v>
      </c>
      <c r="M1204" s="27">
        <v>0</v>
      </c>
      <c r="N1204" s="27">
        <v>87</v>
      </c>
      <c r="O1204" s="27">
        <v>3</v>
      </c>
      <c r="P1204" s="27">
        <v>1</v>
      </c>
      <c r="Q1204" s="27">
        <v>3</v>
      </c>
      <c r="R1204" s="27">
        <v>3</v>
      </c>
      <c r="S1204" s="27">
        <v>2</v>
      </c>
      <c r="T1204" s="27">
        <v>3306</v>
      </c>
      <c r="U1204" s="27">
        <v>26176</v>
      </c>
      <c r="V1204" s="27">
        <v>7</v>
      </c>
      <c r="W1204" s="27">
        <v>0</v>
      </c>
      <c r="X1204" s="27">
        <v>19</v>
      </c>
      <c r="Y1204" s="27">
        <v>3</v>
      </c>
      <c r="Z1204" s="27">
        <v>4</v>
      </c>
      <c r="AA1204" s="27">
        <v>80</v>
      </c>
      <c r="AB1204" s="27">
        <v>1</v>
      </c>
      <c r="AC1204" s="27">
        <v>7</v>
      </c>
      <c r="AD1204" s="27">
        <v>5</v>
      </c>
      <c r="AE1204" s="27">
        <v>2</v>
      </c>
      <c r="AF1204" s="27">
        <v>0</v>
      </c>
      <c r="AG1204" s="27">
        <v>0</v>
      </c>
      <c r="AH1204" s="27">
        <v>0</v>
      </c>
      <c r="AI1204" s="28">
        <v>0</v>
      </c>
      <c r="AK1204" s="36">
        <v>1171</v>
      </c>
      <c r="AL1204" s="33">
        <v>2</v>
      </c>
      <c r="AM1204" s="33">
        <v>1</v>
      </c>
      <c r="AN1204" s="33">
        <v>4</v>
      </c>
      <c r="AO1204" s="33">
        <v>2</v>
      </c>
      <c r="AP1204" s="33">
        <v>0</v>
      </c>
      <c r="AQ1204" s="33">
        <v>0</v>
      </c>
      <c r="AR1204" s="33">
        <v>2</v>
      </c>
      <c r="AS1204" s="33">
        <v>4</v>
      </c>
      <c r="AT1204" s="33">
        <v>1</v>
      </c>
      <c r="AU1204" s="43">
        <v>0.13210296341504604</v>
      </c>
      <c r="AV1204" s="33">
        <v>0</v>
      </c>
      <c r="AW1204" s="33">
        <v>0</v>
      </c>
      <c r="AY1204" s="36">
        <v>1176</v>
      </c>
      <c r="AZ1204" s="33">
        <v>2</v>
      </c>
      <c r="BA1204" s="33">
        <v>2</v>
      </c>
      <c r="BB1204" s="33">
        <v>0</v>
      </c>
      <c r="BC1204" s="33">
        <v>0</v>
      </c>
      <c r="BD1204" s="43">
        <v>0.15063023792355215</v>
      </c>
      <c r="BE1204" s="33">
        <v>0</v>
      </c>
      <c r="BF1204" s="33">
        <v>0</v>
      </c>
      <c r="CE1204" s="36">
        <v>1170</v>
      </c>
      <c r="CF1204" s="33">
        <v>8</v>
      </c>
      <c r="CG1204" s="33">
        <v>1</v>
      </c>
      <c r="CH1204" s="33">
        <v>3</v>
      </c>
      <c r="CI1204" s="33">
        <v>2</v>
      </c>
      <c r="CJ1204" s="33">
        <v>7</v>
      </c>
      <c r="CK1204" s="33">
        <v>0</v>
      </c>
      <c r="CL1204" s="33">
        <v>0</v>
      </c>
      <c r="CM1204" s="33">
        <v>3</v>
      </c>
      <c r="CN1204" s="33">
        <v>3</v>
      </c>
      <c r="CO1204" s="33">
        <v>0</v>
      </c>
      <c r="CP1204" s="43">
        <v>0.16394472843667487</v>
      </c>
      <c r="CQ1204" s="33">
        <v>0</v>
      </c>
      <c r="CR1204" s="33">
        <v>0</v>
      </c>
    </row>
    <row r="1205" spans="1:96" ht="15" customHeight="1" x14ac:dyDescent="0.25">
      <c r="A1205" s="26">
        <v>1203</v>
      </c>
      <c r="B1205" s="27">
        <v>53</v>
      </c>
      <c r="C1205" s="27">
        <v>0</v>
      </c>
      <c r="D1205" s="27">
        <v>1</v>
      </c>
      <c r="E1205" s="27">
        <v>1395</v>
      </c>
      <c r="F1205" s="27">
        <v>2</v>
      </c>
      <c r="G1205" s="27">
        <v>24</v>
      </c>
      <c r="H1205" s="27">
        <v>4</v>
      </c>
      <c r="I1205" s="27">
        <v>3</v>
      </c>
      <c r="J1205" s="27">
        <v>1</v>
      </c>
      <c r="K1205" s="27">
        <v>1689</v>
      </c>
      <c r="L1205" s="27">
        <v>2</v>
      </c>
      <c r="M1205" s="27">
        <v>1</v>
      </c>
      <c r="N1205" s="27">
        <v>48</v>
      </c>
      <c r="O1205" s="27">
        <v>4</v>
      </c>
      <c r="P1205" s="27">
        <v>3</v>
      </c>
      <c r="Q1205" s="27">
        <v>5</v>
      </c>
      <c r="R1205" s="27">
        <v>4</v>
      </c>
      <c r="S1205" s="27">
        <v>2</v>
      </c>
      <c r="T1205" s="27">
        <v>7005</v>
      </c>
      <c r="U1205" s="27">
        <v>3458</v>
      </c>
      <c r="V1205" s="27">
        <v>3</v>
      </c>
      <c r="W1205" s="27">
        <v>0</v>
      </c>
      <c r="X1205" s="27">
        <v>15</v>
      </c>
      <c r="Y1205" s="27">
        <v>3</v>
      </c>
      <c r="Z1205" s="27">
        <v>3</v>
      </c>
      <c r="AA1205" s="27">
        <v>80</v>
      </c>
      <c r="AB1205" s="27">
        <v>0</v>
      </c>
      <c r="AC1205" s="27">
        <v>11</v>
      </c>
      <c r="AD1205" s="27">
        <v>2</v>
      </c>
      <c r="AE1205" s="27">
        <v>3</v>
      </c>
      <c r="AF1205" s="27">
        <v>4</v>
      </c>
      <c r="AG1205" s="27">
        <v>3</v>
      </c>
      <c r="AH1205" s="27">
        <v>1</v>
      </c>
      <c r="AI1205" s="28">
        <v>2</v>
      </c>
      <c r="AK1205" s="36">
        <v>1172</v>
      </c>
      <c r="AL1205" s="33">
        <v>7</v>
      </c>
      <c r="AM1205" s="33">
        <v>1</v>
      </c>
      <c r="AN1205" s="33">
        <v>1</v>
      </c>
      <c r="AO1205" s="33">
        <v>3</v>
      </c>
      <c r="AP1205" s="33">
        <v>1</v>
      </c>
      <c r="AQ1205" s="33">
        <v>0</v>
      </c>
      <c r="AR1205" s="33">
        <v>1</v>
      </c>
      <c r="AS1205" s="33">
        <v>4</v>
      </c>
      <c r="AT1205" s="33">
        <v>0</v>
      </c>
      <c r="AU1205" s="43">
        <v>0.69851300196466637</v>
      </c>
      <c r="AV1205" s="33">
        <v>1</v>
      </c>
      <c r="AW1205" s="33">
        <v>1</v>
      </c>
      <c r="AY1205" s="36">
        <v>1177</v>
      </c>
      <c r="AZ1205" s="33">
        <v>4</v>
      </c>
      <c r="BA1205" s="33">
        <v>2</v>
      </c>
      <c r="BB1205" s="33">
        <v>0</v>
      </c>
      <c r="BC1205" s="33">
        <v>2</v>
      </c>
      <c r="BD1205" s="43">
        <v>1.9805995614216993E-2</v>
      </c>
      <c r="BE1205" s="33">
        <v>0</v>
      </c>
      <c r="BF1205" s="33">
        <v>0</v>
      </c>
      <c r="CE1205" s="36">
        <v>1171</v>
      </c>
      <c r="CF1205" s="33">
        <v>2</v>
      </c>
      <c r="CG1205" s="33">
        <v>1</v>
      </c>
      <c r="CH1205" s="33">
        <v>4</v>
      </c>
      <c r="CI1205" s="33">
        <v>1</v>
      </c>
      <c r="CJ1205" s="33">
        <v>2</v>
      </c>
      <c r="CK1205" s="33">
        <v>0</v>
      </c>
      <c r="CL1205" s="33">
        <v>0</v>
      </c>
      <c r="CM1205" s="33">
        <v>2</v>
      </c>
      <c r="CN1205" s="33">
        <v>4</v>
      </c>
      <c r="CO1205" s="33">
        <v>1</v>
      </c>
      <c r="CP1205" s="43">
        <v>0.15183856637940571</v>
      </c>
      <c r="CQ1205" s="33">
        <v>0</v>
      </c>
      <c r="CR1205" s="33">
        <v>0</v>
      </c>
    </row>
    <row r="1206" spans="1:96" ht="15" customHeight="1" x14ac:dyDescent="0.25">
      <c r="A1206" s="26">
        <v>1204</v>
      </c>
      <c r="B1206" s="27">
        <v>48</v>
      </c>
      <c r="C1206" s="27">
        <v>1</v>
      </c>
      <c r="D1206" s="27">
        <v>2</v>
      </c>
      <c r="E1206" s="27">
        <v>708</v>
      </c>
      <c r="F1206" s="27">
        <v>1</v>
      </c>
      <c r="G1206" s="27">
        <v>7</v>
      </c>
      <c r="H1206" s="27">
        <v>2</v>
      </c>
      <c r="I1206" s="27">
        <v>3</v>
      </c>
      <c r="J1206" s="27">
        <v>1</v>
      </c>
      <c r="K1206" s="27">
        <v>1691</v>
      </c>
      <c r="L1206" s="27">
        <v>4</v>
      </c>
      <c r="M1206" s="27">
        <v>0</v>
      </c>
      <c r="N1206" s="27">
        <v>95</v>
      </c>
      <c r="O1206" s="27">
        <v>3</v>
      </c>
      <c r="P1206" s="27">
        <v>1</v>
      </c>
      <c r="Q1206" s="27">
        <v>7</v>
      </c>
      <c r="R1206" s="27">
        <v>3</v>
      </c>
      <c r="S1206" s="27">
        <v>2</v>
      </c>
      <c r="T1206" s="27">
        <v>2655</v>
      </c>
      <c r="U1206" s="27">
        <v>11740</v>
      </c>
      <c r="V1206" s="27">
        <v>2</v>
      </c>
      <c r="W1206" s="27">
        <v>1</v>
      </c>
      <c r="X1206" s="27">
        <v>11</v>
      </c>
      <c r="Y1206" s="27">
        <v>3</v>
      </c>
      <c r="Z1206" s="27">
        <v>3</v>
      </c>
      <c r="AA1206" s="27">
        <v>80</v>
      </c>
      <c r="AB1206" s="27">
        <v>2</v>
      </c>
      <c r="AC1206" s="27">
        <v>19</v>
      </c>
      <c r="AD1206" s="27">
        <v>3</v>
      </c>
      <c r="AE1206" s="27">
        <v>3</v>
      </c>
      <c r="AF1206" s="27">
        <v>9</v>
      </c>
      <c r="AG1206" s="27">
        <v>7</v>
      </c>
      <c r="AH1206" s="27">
        <v>7</v>
      </c>
      <c r="AI1206" s="28">
        <v>7</v>
      </c>
      <c r="AK1206" s="36">
        <v>1173</v>
      </c>
      <c r="AL1206" s="33">
        <v>10</v>
      </c>
      <c r="AM1206" s="33">
        <v>2</v>
      </c>
      <c r="AN1206" s="33">
        <v>3</v>
      </c>
      <c r="AO1206" s="33">
        <v>9</v>
      </c>
      <c r="AP1206" s="33">
        <v>0</v>
      </c>
      <c r="AQ1206" s="33">
        <v>0</v>
      </c>
      <c r="AR1206" s="33">
        <v>3</v>
      </c>
      <c r="AS1206" s="33">
        <v>5</v>
      </c>
      <c r="AT1206" s="33">
        <v>1</v>
      </c>
      <c r="AU1206" s="43">
        <v>0.16942722828930992</v>
      </c>
      <c r="AV1206" s="33">
        <v>0</v>
      </c>
      <c r="AW1206" s="33">
        <v>0</v>
      </c>
      <c r="AY1206" s="36">
        <v>1178</v>
      </c>
      <c r="AZ1206" s="33">
        <v>3</v>
      </c>
      <c r="BA1206" s="33">
        <v>1</v>
      </c>
      <c r="BB1206" s="33">
        <v>0</v>
      </c>
      <c r="BC1206" s="33">
        <v>3</v>
      </c>
      <c r="BD1206" s="43">
        <v>2.7156374475928804E-2</v>
      </c>
      <c r="BE1206" s="33">
        <v>0</v>
      </c>
      <c r="BF1206" s="33">
        <v>0</v>
      </c>
      <c r="CE1206" s="36">
        <v>1172</v>
      </c>
      <c r="CF1206" s="33">
        <v>7</v>
      </c>
      <c r="CG1206" s="33">
        <v>1</v>
      </c>
      <c r="CH1206" s="33">
        <v>1</v>
      </c>
      <c r="CI1206" s="33">
        <v>1</v>
      </c>
      <c r="CJ1206" s="33">
        <v>3</v>
      </c>
      <c r="CK1206" s="33">
        <v>1</v>
      </c>
      <c r="CL1206" s="33">
        <v>0</v>
      </c>
      <c r="CM1206" s="33">
        <v>1</v>
      </c>
      <c r="CN1206" s="33">
        <v>4</v>
      </c>
      <c r="CO1206" s="33">
        <v>0</v>
      </c>
      <c r="CP1206" s="43">
        <v>0.75230132105214054</v>
      </c>
      <c r="CQ1206" s="33">
        <v>1</v>
      </c>
      <c r="CR1206" s="33">
        <v>1</v>
      </c>
    </row>
    <row r="1207" spans="1:96" ht="15" customHeight="1" x14ac:dyDescent="0.25">
      <c r="A1207" s="26">
        <v>1205</v>
      </c>
      <c r="B1207" s="27">
        <v>32</v>
      </c>
      <c r="C1207" s="27">
        <v>1</v>
      </c>
      <c r="D1207" s="27">
        <v>1</v>
      </c>
      <c r="E1207" s="27">
        <v>1259</v>
      </c>
      <c r="F1207" s="27">
        <v>2</v>
      </c>
      <c r="G1207" s="27">
        <v>2</v>
      </c>
      <c r="H1207" s="27">
        <v>4</v>
      </c>
      <c r="I1207" s="27">
        <v>1</v>
      </c>
      <c r="J1207" s="27">
        <v>1</v>
      </c>
      <c r="K1207" s="27">
        <v>1692</v>
      </c>
      <c r="L1207" s="27">
        <v>4</v>
      </c>
      <c r="M1207" s="27">
        <v>1</v>
      </c>
      <c r="N1207" s="27">
        <v>95</v>
      </c>
      <c r="O1207" s="27">
        <v>3</v>
      </c>
      <c r="P1207" s="27">
        <v>1</v>
      </c>
      <c r="Q1207" s="27">
        <v>3</v>
      </c>
      <c r="R1207" s="27">
        <v>2</v>
      </c>
      <c r="S1207" s="27">
        <v>1</v>
      </c>
      <c r="T1207" s="27">
        <v>1393</v>
      </c>
      <c r="U1207" s="27">
        <v>24852</v>
      </c>
      <c r="V1207" s="27">
        <v>1</v>
      </c>
      <c r="W1207" s="27">
        <v>0</v>
      </c>
      <c r="X1207" s="27">
        <v>12</v>
      </c>
      <c r="Y1207" s="27">
        <v>3</v>
      </c>
      <c r="Z1207" s="27">
        <v>1</v>
      </c>
      <c r="AA1207" s="27">
        <v>80</v>
      </c>
      <c r="AB1207" s="27">
        <v>0</v>
      </c>
      <c r="AC1207" s="27">
        <v>1</v>
      </c>
      <c r="AD1207" s="27">
        <v>2</v>
      </c>
      <c r="AE1207" s="27">
        <v>3</v>
      </c>
      <c r="AF1207" s="27">
        <v>1</v>
      </c>
      <c r="AG1207" s="27">
        <v>0</v>
      </c>
      <c r="AH1207" s="27">
        <v>0</v>
      </c>
      <c r="AI1207" s="28">
        <v>0</v>
      </c>
      <c r="AK1207" s="36">
        <v>1174</v>
      </c>
      <c r="AL1207" s="33">
        <v>5</v>
      </c>
      <c r="AM1207" s="33">
        <v>3</v>
      </c>
      <c r="AN1207" s="33">
        <v>1</v>
      </c>
      <c r="AO1207" s="33">
        <v>4</v>
      </c>
      <c r="AP1207" s="33">
        <v>0</v>
      </c>
      <c r="AQ1207" s="33">
        <v>2</v>
      </c>
      <c r="AR1207" s="33">
        <v>3</v>
      </c>
      <c r="AS1207" s="33">
        <v>3</v>
      </c>
      <c r="AT1207" s="33">
        <v>0</v>
      </c>
      <c r="AU1207" s="43">
        <v>3.7372875742657095E-2</v>
      </c>
      <c r="AV1207" s="33">
        <v>0</v>
      </c>
      <c r="AW1207" s="33">
        <v>0</v>
      </c>
      <c r="AY1207" s="36">
        <v>1179</v>
      </c>
      <c r="AZ1207" s="33">
        <v>1</v>
      </c>
      <c r="BA1207" s="33">
        <v>3</v>
      </c>
      <c r="BB1207" s="33">
        <v>0</v>
      </c>
      <c r="BC1207" s="33">
        <v>0</v>
      </c>
      <c r="BD1207" s="43">
        <v>0.18791247240909698</v>
      </c>
      <c r="BE1207" s="33">
        <v>0</v>
      </c>
      <c r="BF1207" s="33">
        <v>0</v>
      </c>
      <c r="CE1207" s="36">
        <v>1173</v>
      </c>
      <c r="CF1207" s="33">
        <v>10</v>
      </c>
      <c r="CG1207" s="33">
        <v>2</v>
      </c>
      <c r="CH1207" s="33">
        <v>3</v>
      </c>
      <c r="CI1207" s="33">
        <v>1</v>
      </c>
      <c r="CJ1207" s="33">
        <v>9</v>
      </c>
      <c r="CK1207" s="33">
        <v>0</v>
      </c>
      <c r="CL1207" s="33">
        <v>0</v>
      </c>
      <c r="CM1207" s="33">
        <v>3</v>
      </c>
      <c r="CN1207" s="33">
        <v>5</v>
      </c>
      <c r="CO1207" s="33">
        <v>1</v>
      </c>
      <c r="CP1207" s="43">
        <v>0.19679741186349148</v>
      </c>
      <c r="CQ1207" s="33">
        <v>0</v>
      </c>
      <c r="CR1207" s="33">
        <v>0</v>
      </c>
    </row>
    <row r="1208" spans="1:96" ht="15" customHeight="1" x14ac:dyDescent="0.25">
      <c r="A1208" s="26">
        <v>1206</v>
      </c>
      <c r="B1208" s="27">
        <v>26</v>
      </c>
      <c r="C1208" s="27">
        <v>0</v>
      </c>
      <c r="D1208" s="27">
        <v>3</v>
      </c>
      <c r="E1208" s="27">
        <v>786</v>
      </c>
      <c r="F1208" s="27">
        <v>2</v>
      </c>
      <c r="G1208" s="27">
        <v>7</v>
      </c>
      <c r="H1208" s="27">
        <v>3</v>
      </c>
      <c r="I1208" s="27">
        <v>3</v>
      </c>
      <c r="J1208" s="27">
        <v>1</v>
      </c>
      <c r="K1208" s="27">
        <v>1693</v>
      </c>
      <c r="L1208" s="27">
        <v>4</v>
      </c>
      <c r="M1208" s="27">
        <v>1</v>
      </c>
      <c r="N1208" s="27">
        <v>76</v>
      </c>
      <c r="O1208" s="27">
        <v>3</v>
      </c>
      <c r="P1208" s="27">
        <v>1</v>
      </c>
      <c r="Q1208" s="27">
        <v>3</v>
      </c>
      <c r="R1208" s="27">
        <v>4</v>
      </c>
      <c r="S1208" s="27">
        <v>1</v>
      </c>
      <c r="T1208" s="27">
        <v>2570</v>
      </c>
      <c r="U1208" s="27">
        <v>11925</v>
      </c>
      <c r="V1208" s="27">
        <v>1</v>
      </c>
      <c r="W1208" s="27">
        <v>0</v>
      </c>
      <c r="X1208" s="27">
        <v>20</v>
      </c>
      <c r="Y1208" s="27">
        <v>4</v>
      </c>
      <c r="Z1208" s="27">
        <v>3</v>
      </c>
      <c r="AA1208" s="27">
        <v>80</v>
      </c>
      <c r="AB1208" s="27">
        <v>0</v>
      </c>
      <c r="AC1208" s="27">
        <v>7</v>
      </c>
      <c r="AD1208" s="27">
        <v>5</v>
      </c>
      <c r="AE1208" s="27">
        <v>3</v>
      </c>
      <c r="AF1208" s="27">
        <v>7</v>
      </c>
      <c r="AG1208" s="27">
        <v>7</v>
      </c>
      <c r="AH1208" s="27">
        <v>5</v>
      </c>
      <c r="AI1208" s="28">
        <v>7</v>
      </c>
      <c r="AK1208" s="36">
        <v>1175</v>
      </c>
      <c r="AL1208" s="33">
        <v>2</v>
      </c>
      <c r="AM1208" s="33">
        <v>2</v>
      </c>
      <c r="AN1208" s="33">
        <v>3</v>
      </c>
      <c r="AO1208" s="33">
        <v>1</v>
      </c>
      <c r="AP1208" s="33">
        <v>0</v>
      </c>
      <c r="AQ1208" s="33">
        <v>2</v>
      </c>
      <c r="AR1208" s="33">
        <v>3</v>
      </c>
      <c r="AS1208" s="33">
        <v>7</v>
      </c>
      <c r="AT1208" s="33">
        <v>0</v>
      </c>
      <c r="AU1208" s="43">
        <v>1.9407785870259445E-2</v>
      </c>
      <c r="AV1208" s="33">
        <v>0</v>
      </c>
      <c r="AW1208" s="33">
        <v>0</v>
      </c>
      <c r="AY1208" s="36">
        <v>1180</v>
      </c>
      <c r="AZ1208" s="33">
        <v>2</v>
      </c>
      <c r="BA1208" s="33">
        <v>2</v>
      </c>
      <c r="BB1208" s="33">
        <v>0</v>
      </c>
      <c r="BC1208" s="33">
        <v>1</v>
      </c>
      <c r="BD1208" s="43">
        <v>9.4721355311452843E-2</v>
      </c>
      <c r="BE1208" s="33">
        <v>0</v>
      </c>
      <c r="BF1208" s="33">
        <v>0</v>
      </c>
      <c r="CE1208" s="36">
        <v>1174</v>
      </c>
      <c r="CF1208" s="33">
        <v>5</v>
      </c>
      <c r="CG1208" s="33">
        <v>3</v>
      </c>
      <c r="CH1208" s="33">
        <v>1</v>
      </c>
      <c r="CI1208" s="33">
        <v>2</v>
      </c>
      <c r="CJ1208" s="33">
        <v>4</v>
      </c>
      <c r="CK1208" s="33">
        <v>0</v>
      </c>
      <c r="CL1208" s="33">
        <v>2</v>
      </c>
      <c r="CM1208" s="33">
        <v>3</v>
      </c>
      <c r="CN1208" s="33">
        <v>3</v>
      </c>
      <c r="CO1208" s="33">
        <v>0</v>
      </c>
      <c r="CP1208" s="43">
        <v>5.2563679004948627E-2</v>
      </c>
      <c r="CQ1208" s="33">
        <v>0</v>
      </c>
      <c r="CR1208" s="33">
        <v>0</v>
      </c>
    </row>
    <row r="1209" spans="1:96" ht="15" customHeight="1" x14ac:dyDescent="0.25">
      <c r="A1209" s="26">
        <v>1207</v>
      </c>
      <c r="B1209" s="27">
        <v>55</v>
      </c>
      <c r="C1209" s="27">
        <v>0</v>
      </c>
      <c r="D1209" s="27">
        <v>1</v>
      </c>
      <c r="E1209" s="27">
        <v>1441</v>
      </c>
      <c r="F1209" s="27">
        <v>2</v>
      </c>
      <c r="G1209" s="27">
        <v>22</v>
      </c>
      <c r="H1209" s="27">
        <v>3</v>
      </c>
      <c r="I1209" s="27">
        <v>5</v>
      </c>
      <c r="J1209" s="27">
        <v>1</v>
      </c>
      <c r="K1209" s="27">
        <v>1694</v>
      </c>
      <c r="L1209" s="27">
        <v>1</v>
      </c>
      <c r="M1209" s="27">
        <v>1</v>
      </c>
      <c r="N1209" s="27">
        <v>94</v>
      </c>
      <c r="O1209" s="27">
        <v>2</v>
      </c>
      <c r="P1209" s="27">
        <v>1</v>
      </c>
      <c r="Q1209" s="27">
        <v>2</v>
      </c>
      <c r="R1209" s="27">
        <v>2</v>
      </c>
      <c r="S1209" s="27">
        <v>3</v>
      </c>
      <c r="T1209" s="27">
        <v>3537</v>
      </c>
      <c r="U1209" s="27">
        <v>23737</v>
      </c>
      <c r="V1209" s="27">
        <v>5</v>
      </c>
      <c r="W1209" s="27">
        <v>0</v>
      </c>
      <c r="X1209" s="27">
        <v>12</v>
      </c>
      <c r="Y1209" s="27">
        <v>3</v>
      </c>
      <c r="Z1209" s="27">
        <v>4</v>
      </c>
      <c r="AA1209" s="27">
        <v>80</v>
      </c>
      <c r="AB1209" s="27">
        <v>1</v>
      </c>
      <c r="AC1209" s="27">
        <v>8</v>
      </c>
      <c r="AD1209" s="27">
        <v>1</v>
      </c>
      <c r="AE1209" s="27">
        <v>3</v>
      </c>
      <c r="AF1209" s="27">
        <v>4</v>
      </c>
      <c r="AG1209" s="27">
        <v>2</v>
      </c>
      <c r="AH1209" s="27">
        <v>1</v>
      </c>
      <c r="AI1209" s="28">
        <v>2</v>
      </c>
      <c r="AK1209" s="36">
        <v>1176</v>
      </c>
      <c r="AL1209" s="33">
        <v>12</v>
      </c>
      <c r="AM1209" s="33">
        <v>2</v>
      </c>
      <c r="AN1209" s="33">
        <v>2</v>
      </c>
      <c r="AO1209" s="33">
        <v>4</v>
      </c>
      <c r="AP1209" s="33">
        <v>0</v>
      </c>
      <c r="AQ1209" s="33">
        <v>0</v>
      </c>
      <c r="AR1209" s="33">
        <v>3</v>
      </c>
      <c r="AS1209" s="33">
        <v>5</v>
      </c>
      <c r="AT1209" s="33">
        <v>1</v>
      </c>
      <c r="AU1209" s="43">
        <v>0.16106472397938648</v>
      </c>
      <c r="AV1209" s="33">
        <v>0</v>
      </c>
      <c r="AW1209" s="33">
        <v>0</v>
      </c>
      <c r="AY1209" s="36">
        <v>1181</v>
      </c>
      <c r="AZ1209" s="33">
        <v>1</v>
      </c>
      <c r="BA1209" s="33">
        <v>2</v>
      </c>
      <c r="BB1209" s="33">
        <v>0</v>
      </c>
      <c r="BC1209" s="33">
        <v>0</v>
      </c>
      <c r="BD1209" s="43">
        <v>0.23662845161334917</v>
      </c>
      <c r="BE1209" s="33">
        <v>0</v>
      </c>
      <c r="BF1209" s="33">
        <v>0</v>
      </c>
      <c r="CE1209" s="36">
        <v>1175</v>
      </c>
      <c r="CF1209" s="33">
        <v>2</v>
      </c>
      <c r="CG1209" s="33">
        <v>2</v>
      </c>
      <c r="CH1209" s="33">
        <v>3</v>
      </c>
      <c r="CI1209" s="33">
        <v>3</v>
      </c>
      <c r="CJ1209" s="33">
        <v>1</v>
      </c>
      <c r="CK1209" s="33">
        <v>0</v>
      </c>
      <c r="CL1209" s="33">
        <v>2</v>
      </c>
      <c r="CM1209" s="33">
        <v>3</v>
      </c>
      <c r="CN1209" s="33">
        <v>7</v>
      </c>
      <c r="CO1209" s="33">
        <v>0</v>
      </c>
      <c r="CP1209" s="43">
        <v>1.5166410909488908E-2</v>
      </c>
      <c r="CQ1209" s="33">
        <v>0</v>
      </c>
      <c r="CR1209" s="33">
        <v>0</v>
      </c>
    </row>
    <row r="1210" spans="1:96" ht="15" customHeight="1" x14ac:dyDescent="0.25">
      <c r="A1210" s="26">
        <v>1208</v>
      </c>
      <c r="B1210" s="27">
        <v>34</v>
      </c>
      <c r="C1210" s="27">
        <v>0</v>
      </c>
      <c r="D1210" s="27">
        <v>1</v>
      </c>
      <c r="E1210" s="27">
        <v>1157</v>
      </c>
      <c r="F1210" s="27">
        <v>2</v>
      </c>
      <c r="G1210" s="27">
        <v>5</v>
      </c>
      <c r="H1210" s="27">
        <v>2</v>
      </c>
      <c r="I1210" s="27">
        <v>3</v>
      </c>
      <c r="J1210" s="27">
        <v>1</v>
      </c>
      <c r="K1210" s="27">
        <v>1696</v>
      </c>
      <c r="L1210" s="27">
        <v>2</v>
      </c>
      <c r="M1210" s="27">
        <v>1</v>
      </c>
      <c r="N1210" s="27">
        <v>57</v>
      </c>
      <c r="O1210" s="27">
        <v>2</v>
      </c>
      <c r="P1210" s="27">
        <v>2</v>
      </c>
      <c r="Q1210" s="27">
        <v>3</v>
      </c>
      <c r="R1210" s="27">
        <v>4</v>
      </c>
      <c r="S1210" s="27">
        <v>2</v>
      </c>
      <c r="T1210" s="27">
        <v>3986</v>
      </c>
      <c r="U1210" s="27">
        <v>11912</v>
      </c>
      <c r="V1210" s="27">
        <v>1</v>
      </c>
      <c r="W1210" s="27">
        <v>0</v>
      </c>
      <c r="X1210" s="27">
        <v>14</v>
      </c>
      <c r="Y1210" s="27">
        <v>3</v>
      </c>
      <c r="Z1210" s="27">
        <v>3</v>
      </c>
      <c r="AA1210" s="27">
        <v>80</v>
      </c>
      <c r="AB1210" s="27">
        <v>1</v>
      </c>
      <c r="AC1210" s="27">
        <v>15</v>
      </c>
      <c r="AD1210" s="27">
        <v>3</v>
      </c>
      <c r="AE1210" s="27">
        <v>4</v>
      </c>
      <c r="AF1210" s="27">
        <v>15</v>
      </c>
      <c r="AG1210" s="27">
        <v>10</v>
      </c>
      <c r="AH1210" s="27">
        <v>4</v>
      </c>
      <c r="AI1210" s="28">
        <v>13</v>
      </c>
      <c r="AK1210" s="36">
        <v>1177</v>
      </c>
      <c r="AL1210" s="33">
        <v>22</v>
      </c>
      <c r="AM1210" s="33">
        <v>4</v>
      </c>
      <c r="AN1210" s="33">
        <v>2</v>
      </c>
      <c r="AO1210" s="33">
        <v>3</v>
      </c>
      <c r="AP1210" s="33">
        <v>0</v>
      </c>
      <c r="AQ1210" s="33">
        <v>2</v>
      </c>
      <c r="AR1210" s="33">
        <v>3</v>
      </c>
      <c r="AS1210" s="33">
        <v>4</v>
      </c>
      <c r="AT1210" s="33">
        <v>1</v>
      </c>
      <c r="AU1210" s="43">
        <v>2.7565014616061811E-2</v>
      </c>
      <c r="AV1210" s="33">
        <v>0</v>
      </c>
      <c r="AW1210" s="33">
        <v>0</v>
      </c>
      <c r="AY1210" s="36">
        <v>1182</v>
      </c>
      <c r="AZ1210" s="33">
        <v>4</v>
      </c>
      <c r="BA1210" s="33">
        <v>3</v>
      </c>
      <c r="BB1210" s="33">
        <v>1</v>
      </c>
      <c r="BC1210" s="33">
        <v>1</v>
      </c>
      <c r="BD1210" s="43">
        <v>9.8519683934659791E-2</v>
      </c>
      <c r="BE1210" s="33">
        <v>0</v>
      </c>
      <c r="BF1210" s="33">
        <v>0</v>
      </c>
      <c r="CE1210" s="36">
        <v>1176</v>
      </c>
      <c r="CF1210" s="33">
        <v>12</v>
      </c>
      <c r="CG1210" s="33">
        <v>2</v>
      </c>
      <c r="CH1210" s="33">
        <v>2</v>
      </c>
      <c r="CI1210" s="33">
        <v>2</v>
      </c>
      <c r="CJ1210" s="33">
        <v>4</v>
      </c>
      <c r="CK1210" s="33">
        <v>0</v>
      </c>
      <c r="CL1210" s="33">
        <v>0</v>
      </c>
      <c r="CM1210" s="33">
        <v>3</v>
      </c>
      <c r="CN1210" s="33">
        <v>5</v>
      </c>
      <c r="CO1210" s="33">
        <v>1</v>
      </c>
      <c r="CP1210" s="43">
        <v>0.11803575430610538</v>
      </c>
      <c r="CQ1210" s="33">
        <v>0</v>
      </c>
      <c r="CR1210" s="33">
        <v>0</v>
      </c>
    </row>
    <row r="1211" spans="1:96" ht="15" customHeight="1" x14ac:dyDescent="0.25">
      <c r="A1211" s="26">
        <v>1209</v>
      </c>
      <c r="B1211" s="27">
        <v>60</v>
      </c>
      <c r="C1211" s="27">
        <v>0</v>
      </c>
      <c r="D1211" s="27">
        <v>1</v>
      </c>
      <c r="E1211" s="27">
        <v>370</v>
      </c>
      <c r="F1211" s="27">
        <v>2</v>
      </c>
      <c r="G1211" s="27">
        <v>1</v>
      </c>
      <c r="H1211" s="27">
        <v>4</v>
      </c>
      <c r="I1211" s="27">
        <v>3</v>
      </c>
      <c r="J1211" s="27">
        <v>1</v>
      </c>
      <c r="K1211" s="27">
        <v>1697</v>
      </c>
      <c r="L1211" s="27">
        <v>3</v>
      </c>
      <c r="M1211" s="27">
        <v>1</v>
      </c>
      <c r="N1211" s="27">
        <v>92</v>
      </c>
      <c r="O1211" s="27">
        <v>1</v>
      </c>
      <c r="P1211" s="27">
        <v>3</v>
      </c>
      <c r="Q1211" s="27">
        <v>5</v>
      </c>
      <c r="R1211" s="27">
        <v>4</v>
      </c>
      <c r="S1211" s="27">
        <v>3</v>
      </c>
      <c r="T1211" s="27">
        <v>10883</v>
      </c>
      <c r="U1211" s="27">
        <v>20467</v>
      </c>
      <c r="V1211" s="27">
        <v>3</v>
      </c>
      <c r="W1211" s="27">
        <v>0</v>
      </c>
      <c r="X1211" s="27">
        <v>20</v>
      </c>
      <c r="Y1211" s="27">
        <v>4</v>
      </c>
      <c r="Z1211" s="27">
        <v>3</v>
      </c>
      <c r="AA1211" s="27">
        <v>80</v>
      </c>
      <c r="AB1211" s="27">
        <v>1</v>
      </c>
      <c r="AC1211" s="27">
        <v>19</v>
      </c>
      <c r="AD1211" s="27">
        <v>2</v>
      </c>
      <c r="AE1211" s="27">
        <v>4</v>
      </c>
      <c r="AF1211" s="27">
        <v>1</v>
      </c>
      <c r="AG1211" s="27">
        <v>0</v>
      </c>
      <c r="AH1211" s="27">
        <v>0</v>
      </c>
      <c r="AI1211" s="28">
        <v>0</v>
      </c>
      <c r="AK1211" s="36">
        <v>1178</v>
      </c>
      <c r="AL1211" s="33">
        <v>17</v>
      </c>
      <c r="AM1211" s="33">
        <v>3</v>
      </c>
      <c r="AN1211" s="33">
        <v>1</v>
      </c>
      <c r="AO1211" s="33">
        <v>5</v>
      </c>
      <c r="AP1211" s="33">
        <v>0</v>
      </c>
      <c r="AQ1211" s="33">
        <v>3</v>
      </c>
      <c r="AR1211" s="33">
        <v>3</v>
      </c>
      <c r="AS1211" s="33">
        <v>14</v>
      </c>
      <c r="AT1211" s="33">
        <v>1</v>
      </c>
      <c r="AU1211" s="43">
        <v>1.7844876353881104E-2</v>
      </c>
      <c r="AV1211" s="33">
        <v>0</v>
      </c>
      <c r="AW1211" s="33">
        <v>0</v>
      </c>
      <c r="AY1211" s="36">
        <v>1183</v>
      </c>
      <c r="AZ1211" s="33">
        <v>2</v>
      </c>
      <c r="BA1211" s="33">
        <v>3</v>
      </c>
      <c r="BB1211" s="33">
        <v>0</v>
      </c>
      <c r="BC1211" s="33">
        <v>0</v>
      </c>
      <c r="BD1211" s="43">
        <v>0.11690772887050198</v>
      </c>
      <c r="BE1211" s="33">
        <v>0</v>
      </c>
      <c r="BF1211" s="33">
        <v>0</v>
      </c>
      <c r="CE1211" s="36">
        <v>1177</v>
      </c>
      <c r="CF1211" s="33">
        <v>22</v>
      </c>
      <c r="CG1211" s="33">
        <v>4</v>
      </c>
      <c r="CH1211" s="33">
        <v>2</v>
      </c>
      <c r="CI1211" s="33">
        <v>2</v>
      </c>
      <c r="CJ1211" s="33">
        <v>3</v>
      </c>
      <c r="CK1211" s="33">
        <v>0</v>
      </c>
      <c r="CL1211" s="33">
        <v>2</v>
      </c>
      <c r="CM1211" s="33">
        <v>3</v>
      </c>
      <c r="CN1211" s="33">
        <v>4</v>
      </c>
      <c r="CO1211" s="33">
        <v>1</v>
      </c>
      <c r="CP1211" s="43">
        <v>3.8508643390229913E-2</v>
      </c>
      <c r="CQ1211" s="33">
        <v>0</v>
      </c>
      <c r="CR1211" s="33">
        <v>0</v>
      </c>
    </row>
    <row r="1212" spans="1:96" ht="15" customHeight="1" x14ac:dyDescent="0.25">
      <c r="A1212" s="26">
        <v>1210</v>
      </c>
      <c r="B1212" s="27">
        <v>33</v>
      </c>
      <c r="C1212" s="27">
        <v>0</v>
      </c>
      <c r="D1212" s="27">
        <v>1</v>
      </c>
      <c r="E1212" s="27">
        <v>267</v>
      </c>
      <c r="F1212" s="27">
        <v>2</v>
      </c>
      <c r="G1212" s="27">
        <v>21</v>
      </c>
      <c r="H1212" s="27">
        <v>3</v>
      </c>
      <c r="I1212" s="27">
        <v>3</v>
      </c>
      <c r="J1212" s="27">
        <v>1</v>
      </c>
      <c r="K1212" s="27">
        <v>1698</v>
      </c>
      <c r="L1212" s="27">
        <v>2</v>
      </c>
      <c r="M1212" s="27">
        <v>1</v>
      </c>
      <c r="N1212" s="27">
        <v>79</v>
      </c>
      <c r="O1212" s="27">
        <v>4</v>
      </c>
      <c r="P1212" s="27">
        <v>1</v>
      </c>
      <c r="Q1212" s="27">
        <v>3</v>
      </c>
      <c r="R1212" s="27">
        <v>2</v>
      </c>
      <c r="S1212" s="27">
        <v>2</v>
      </c>
      <c r="T1212" s="27">
        <v>2028</v>
      </c>
      <c r="U1212" s="27">
        <v>13637</v>
      </c>
      <c r="V1212" s="27">
        <v>1</v>
      </c>
      <c r="W1212" s="27">
        <v>0</v>
      </c>
      <c r="X1212" s="27">
        <v>18</v>
      </c>
      <c r="Y1212" s="27">
        <v>3</v>
      </c>
      <c r="Z1212" s="27">
        <v>4</v>
      </c>
      <c r="AA1212" s="27">
        <v>80</v>
      </c>
      <c r="AB1212" s="27">
        <v>3</v>
      </c>
      <c r="AC1212" s="27">
        <v>14</v>
      </c>
      <c r="AD1212" s="27">
        <v>6</v>
      </c>
      <c r="AE1212" s="27">
        <v>3</v>
      </c>
      <c r="AF1212" s="27">
        <v>14</v>
      </c>
      <c r="AG1212" s="27">
        <v>11</v>
      </c>
      <c r="AH1212" s="27">
        <v>2</v>
      </c>
      <c r="AI1212" s="28">
        <v>13</v>
      </c>
      <c r="AK1212" s="36">
        <v>1179</v>
      </c>
      <c r="AL1212" s="33">
        <v>2</v>
      </c>
      <c r="AM1212" s="33">
        <v>1</v>
      </c>
      <c r="AN1212" s="33">
        <v>3</v>
      </c>
      <c r="AO1212" s="33">
        <v>1</v>
      </c>
      <c r="AP1212" s="33">
        <v>0</v>
      </c>
      <c r="AQ1212" s="33">
        <v>0</v>
      </c>
      <c r="AR1212" s="33">
        <v>3</v>
      </c>
      <c r="AS1212" s="33">
        <v>2</v>
      </c>
      <c r="AT1212" s="33">
        <v>2</v>
      </c>
      <c r="AU1212" s="43">
        <v>0.16118622254397957</v>
      </c>
      <c r="AV1212" s="33">
        <v>0</v>
      </c>
      <c r="AW1212" s="33">
        <v>0</v>
      </c>
      <c r="AY1212" s="36">
        <v>1184</v>
      </c>
      <c r="AZ1212" s="33">
        <v>2</v>
      </c>
      <c r="BA1212" s="33">
        <v>1</v>
      </c>
      <c r="BB1212" s="33">
        <v>0</v>
      </c>
      <c r="BC1212" s="33">
        <v>1</v>
      </c>
      <c r="BD1212" s="43">
        <v>0.12293502213131684</v>
      </c>
      <c r="BE1212" s="33">
        <v>0</v>
      </c>
      <c r="BF1212" s="33">
        <v>0</v>
      </c>
      <c r="CE1212" s="36">
        <v>1178</v>
      </c>
      <c r="CF1212" s="33">
        <v>17</v>
      </c>
      <c r="CG1212" s="33">
        <v>3</v>
      </c>
      <c r="CH1212" s="33">
        <v>1</v>
      </c>
      <c r="CI1212" s="33">
        <v>3</v>
      </c>
      <c r="CJ1212" s="33">
        <v>5</v>
      </c>
      <c r="CK1212" s="33">
        <v>0</v>
      </c>
      <c r="CL1212" s="33">
        <v>3</v>
      </c>
      <c r="CM1212" s="33">
        <v>3</v>
      </c>
      <c r="CN1212" s="33">
        <v>14</v>
      </c>
      <c r="CO1212" s="33">
        <v>1</v>
      </c>
      <c r="CP1212" s="43">
        <v>2.0507401307717492E-2</v>
      </c>
      <c r="CQ1212" s="33">
        <v>0</v>
      </c>
      <c r="CR1212" s="33">
        <v>0</v>
      </c>
    </row>
    <row r="1213" spans="1:96" ht="15" customHeight="1" x14ac:dyDescent="0.25">
      <c r="A1213" s="26">
        <v>1211</v>
      </c>
      <c r="B1213" s="27">
        <v>37</v>
      </c>
      <c r="C1213" s="27">
        <v>0</v>
      </c>
      <c r="D1213" s="27">
        <v>2</v>
      </c>
      <c r="E1213" s="27">
        <v>1278</v>
      </c>
      <c r="F1213" s="27">
        <v>1</v>
      </c>
      <c r="G1213" s="27">
        <v>1</v>
      </c>
      <c r="H1213" s="27">
        <v>4</v>
      </c>
      <c r="I1213" s="27">
        <v>3</v>
      </c>
      <c r="J1213" s="27">
        <v>1</v>
      </c>
      <c r="K1213" s="27">
        <v>1700</v>
      </c>
      <c r="L1213" s="27">
        <v>3</v>
      </c>
      <c r="M1213" s="27">
        <v>1</v>
      </c>
      <c r="N1213" s="27">
        <v>31</v>
      </c>
      <c r="O1213" s="27">
        <v>1</v>
      </c>
      <c r="P1213" s="27">
        <v>2</v>
      </c>
      <c r="Q1213" s="27">
        <v>1</v>
      </c>
      <c r="R1213" s="27">
        <v>4</v>
      </c>
      <c r="S1213" s="27">
        <v>3</v>
      </c>
      <c r="T1213" s="27">
        <v>9525</v>
      </c>
      <c r="U1213" s="27">
        <v>7677</v>
      </c>
      <c r="V1213" s="27">
        <v>1</v>
      </c>
      <c r="W1213" s="27">
        <v>0</v>
      </c>
      <c r="X1213" s="27">
        <v>14</v>
      </c>
      <c r="Y1213" s="27">
        <v>3</v>
      </c>
      <c r="Z1213" s="27">
        <v>3</v>
      </c>
      <c r="AA1213" s="27">
        <v>80</v>
      </c>
      <c r="AB1213" s="27">
        <v>2</v>
      </c>
      <c r="AC1213" s="27">
        <v>6</v>
      </c>
      <c r="AD1213" s="27">
        <v>2</v>
      </c>
      <c r="AE1213" s="27">
        <v>2</v>
      </c>
      <c r="AF1213" s="27">
        <v>6</v>
      </c>
      <c r="AG1213" s="27">
        <v>3</v>
      </c>
      <c r="AH1213" s="27">
        <v>1</v>
      </c>
      <c r="AI1213" s="28">
        <v>3</v>
      </c>
      <c r="AK1213" s="36">
        <v>1180</v>
      </c>
      <c r="AL1213" s="33">
        <v>3</v>
      </c>
      <c r="AM1213" s="33">
        <v>2</v>
      </c>
      <c r="AN1213" s="33">
        <v>2</v>
      </c>
      <c r="AO1213" s="33">
        <v>1</v>
      </c>
      <c r="AP1213" s="33">
        <v>0</v>
      </c>
      <c r="AQ1213" s="33">
        <v>1</v>
      </c>
      <c r="AR1213" s="33">
        <v>3</v>
      </c>
      <c r="AS1213" s="33">
        <v>11</v>
      </c>
      <c r="AT1213" s="33">
        <v>7</v>
      </c>
      <c r="AU1213" s="43">
        <v>7.4146597047373156E-2</v>
      </c>
      <c r="AV1213" s="33">
        <v>0</v>
      </c>
      <c r="AW1213" s="33">
        <v>0</v>
      </c>
      <c r="AY1213" s="36">
        <v>1185</v>
      </c>
      <c r="AZ1213" s="33">
        <v>4</v>
      </c>
      <c r="BA1213" s="33">
        <v>3</v>
      </c>
      <c r="BB1213" s="33">
        <v>0</v>
      </c>
      <c r="BC1213" s="33">
        <v>1</v>
      </c>
      <c r="BD1213" s="43">
        <v>2.4928302134756671E-2</v>
      </c>
      <c r="BE1213" s="33">
        <v>0</v>
      </c>
      <c r="BF1213" s="33">
        <v>0</v>
      </c>
      <c r="CE1213" s="36">
        <v>1179</v>
      </c>
      <c r="CF1213" s="33">
        <v>2</v>
      </c>
      <c r="CG1213" s="33">
        <v>1</v>
      </c>
      <c r="CH1213" s="33">
        <v>3</v>
      </c>
      <c r="CI1213" s="33">
        <v>1</v>
      </c>
      <c r="CJ1213" s="33">
        <v>1</v>
      </c>
      <c r="CK1213" s="33">
        <v>0</v>
      </c>
      <c r="CL1213" s="33">
        <v>0</v>
      </c>
      <c r="CM1213" s="33">
        <v>3</v>
      </c>
      <c r="CN1213" s="33">
        <v>2</v>
      </c>
      <c r="CO1213" s="33">
        <v>2</v>
      </c>
      <c r="CP1213" s="43">
        <v>0.18503454477450973</v>
      </c>
      <c r="CQ1213" s="33">
        <v>0</v>
      </c>
      <c r="CR1213" s="33">
        <v>0</v>
      </c>
    </row>
    <row r="1214" spans="1:96" ht="15" customHeight="1" x14ac:dyDescent="0.25">
      <c r="A1214" s="26">
        <v>1212</v>
      </c>
      <c r="B1214" s="27">
        <v>34</v>
      </c>
      <c r="C1214" s="27">
        <v>0</v>
      </c>
      <c r="D1214" s="27">
        <v>1</v>
      </c>
      <c r="E1214" s="27">
        <v>678</v>
      </c>
      <c r="F1214" s="27">
        <v>2</v>
      </c>
      <c r="G1214" s="27">
        <v>19</v>
      </c>
      <c r="H1214" s="27">
        <v>3</v>
      </c>
      <c r="I1214" s="27">
        <v>1</v>
      </c>
      <c r="J1214" s="27">
        <v>1</v>
      </c>
      <c r="K1214" s="27">
        <v>1701</v>
      </c>
      <c r="L1214" s="27">
        <v>2</v>
      </c>
      <c r="M1214" s="27">
        <v>0</v>
      </c>
      <c r="N1214" s="27">
        <v>35</v>
      </c>
      <c r="O1214" s="27">
        <v>2</v>
      </c>
      <c r="P1214" s="27">
        <v>1</v>
      </c>
      <c r="Q1214" s="27">
        <v>2</v>
      </c>
      <c r="R1214" s="27">
        <v>4</v>
      </c>
      <c r="S1214" s="27">
        <v>2</v>
      </c>
      <c r="T1214" s="27">
        <v>2929</v>
      </c>
      <c r="U1214" s="27">
        <v>20338</v>
      </c>
      <c r="V1214" s="27">
        <v>1</v>
      </c>
      <c r="W1214" s="27">
        <v>0</v>
      </c>
      <c r="X1214" s="27">
        <v>12</v>
      </c>
      <c r="Y1214" s="27">
        <v>3</v>
      </c>
      <c r="Z1214" s="27">
        <v>2</v>
      </c>
      <c r="AA1214" s="27">
        <v>80</v>
      </c>
      <c r="AB1214" s="27">
        <v>0</v>
      </c>
      <c r="AC1214" s="27">
        <v>10</v>
      </c>
      <c r="AD1214" s="27">
        <v>3</v>
      </c>
      <c r="AE1214" s="27">
        <v>3</v>
      </c>
      <c r="AF1214" s="27">
        <v>10</v>
      </c>
      <c r="AG1214" s="27">
        <v>9</v>
      </c>
      <c r="AH1214" s="27">
        <v>8</v>
      </c>
      <c r="AI1214" s="28">
        <v>7</v>
      </c>
      <c r="AK1214" s="36">
        <v>1181</v>
      </c>
      <c r="AL1214" s="33">
        <v>7</v>
      </c>
      <c r="AM1214" s="33">
        <v>1</v>
      </c>
      <c r="AN1214" s="33">
        <v>2</v>
      </c>
      <c r="AO1214" s="33">
        <v>2</v>
      </c>
      <c r="AP1214" s="33">
        <v>0</v>
      </c>
      <c r="AQ1214" s="33">
        <v>0</v>
      </c>
      <c r="AR1214" s="33">
        <v>3</v>
      </c>
      <c r="AS1214" s="33">
        <v>4</v>
      </c>
      <c r="AT1214" s="33">
        <v>1</v>
      </c>
      <c r="AU1214" s="43">
        <v>0.20378645734050138</v>
      </c>
      <c r="AV1214" s="33">
        <v>0</v>
      </c>
      <c r="AW1214" s="33">
        <v>0</v>
      </c>
      <c r="AY1214" s="36">
        <v>1186</v>
      </c>
      <c r="AZ1214" s="33">
        <v>4</v>
      </c>
      <c r="BA1214" s="33">
        <v>3</v>
      </c>
      <c r="BB1214" s="33">
        <v>0</v>
      </c>
      <c r="BC1214" s="33">
        <v>1</v>
      </c>
      <c r="BD1214" s="43">
        <v>2.4928302134756671E-2</v>
      </c>
      <c r="BE1214" s="33">
        <v>0</v>
      </c>
      <c r="BF1214" s="33">
        <v>0</v>
      </c>
      <c r="CE1214" s="36">
        <v>1180</v>
      </c>
      <c r="CF1214" s="33">
        <v>3</v>
      </c>
      <c r="CG1214" s="33">
        <v>2</v>
      </c>
      <c r="CH1214" s="33">
        <v>2</v>
      </c>
      <c r="CI1214" s="33">
        <v>3</v>
      </c>
      <c r="CJ1214" s="33">
        <v>1</v>
      </c>
      <c r="CK1214" s="33">
        <v>0</v>
      </c>
      <c r="CL1214" s="33">
        <v>1</v>
      </c>
      <c r="CM1214" s="33">
        <v>3</v>
      </c>
      <c r="CN1214" s="33">
        <v>11</v>
      </c>
      <c r="CO1214" s="33">
        <v>7</v>
      </c>
      <c r="CP1214" s="43">
        <v>4.38342615606825E-2</v>
      </c>
      <c r="CQ1214" s="33">
        <v>0</v>
      </c>
      <c r="CR1214" s="33">
        <v>0</v>
      </c>
    </row>
    <row r="1215" spans="1:96" ht="15" customHeight="1" x14ac:dyDescent="0.25">
      <c r="A1215" s="26">
        <v>1213</v>
      </c>
      <c r="B1215" s="27">
        <v>23</v>
      </c>
      <c r="C1215" s="27">
        <v>1</v>
      </c>
      <c r="D1215" s="27">
        <v>1</v>
      </c>
      <c r="E1215" s="27">
        <v>427</v>
      </c>
      <c r="F1215" s="27">
        <v>1</v>
      </c>
      <c r="G1215" s="27">
        <v>7</v>
      </c>
      <c r="H1215" s="27">
        <v>3</v>
      </c>
      <c r="I1215" s="27">
        <v>1</v>
      </c>
      <c r="J1215" s="27">
        <v>1</v>
      </c>
      <c r="K1215" s="27">
        <v>1702</v>
      </c>
      <c r="L1215" s="27">
        <v>3</v>
      </c>
      <c r="M1215" s="27">
        <v>1</v>
      </c>
      <c r="N1215" s="27">
        <v>99</v>
      </c>
      <c r="O1215" s="27">
        <v>3</v>
      </c>
      <c r="P1215" s="27">
        <v>1</v>
      </c>
      <c r="Q1215" s="27">
        <v>7</v>
      </c>
      <c r="R1215" s="27">
        <v>4</v>
      </c>
      <c r="S1215" s="27">
        <v>3</v>
      </c>
      <c r="T1215" s="27">
        <v>2275</v>
      </c>
      <c r="U1215" s="27">
        <v>25103</v>
      </c>
      <c r="V1215" s="27">
        <v>1</v>
      </c>
      <c r="W1215" s="27">
        <v>1</v>
      </c>
      <c r="X1215" s="27">
        <v>21</v>
      </c>
      <c r="Y1215" s="27">
        <v>4</v>
      </c>
      <c r="Z1215" s="27">
        <v>2</v>
      </c>
      <c r="AA1215" s="27">
        <v>80</v>
      </c>
      <c r="AB1215" s="27">
        <v>1</v>
      </c>
      <c r="AC1215" s="27">
        <v>3</v>
      </c>
      <c r="AD1215" s="27">
        <v>2</v>
      </c>
      <c r="AE1215" s="27">
        <v>3</v>
      </c>
      <c r="AF1215" s="27">
        <v>3</v>
      </c>
      <c r="AG1215" s="27">
        <v>2</v>
      </c>
      <c r="AH1215" s="27">
        <v>0</v>
      </c>
      <c r="AI1215" s="28">
        <v>2</v>
      </c>
      <c r="AK1215" s="36">
        <v>1182</v>
      </c>
      <c r="AL1215" s="33">
        <v>6</v>
      </c>
      <c r="AM1215" s="33">
        <v>4</v>
      </c>
      <c r="AN1215" s="33">
        <v>3</v>
      </c>
      <c r="AO1215" s="33">
        <v>2</v>
      </c>
      <c r="AP1215" s="33">
        <v>1</v>
      </c>
      <c r="AQ1215" s="33">
        <v>1</v>
      </c>
      <c r="AR1215" s="33">
        <v>3</v>
      </c>
      <c r="AS1215" s="33">
        <v>15</v>
      </c>
      <c r="AT1215" s="33">
        <v>2</v>
      </c>
      <c r="AU1215" s="43">
        <v>4.2498812244833824E-2</v>
      </c>
      <c r="AV1215" s="33">
        <v>0</v>
      </c>
      <c r="AW1215" s="33">
        <v>0</v>
      </c>
      <c r="AY1215" s="36">
        <v>1187</v>
      </c>
      <c r="AZ1215" s="33">
        <v>2</v>
      </c>
      <c r="BA1215" s="33">
        <v>4</v>
      </c>
      <c r="BB1215" s="33">
        <v>1</v>
      </c>
      <c r="BC1215" s="33">
        <v>0</v>
      </c>
      <c r="BD1215" s="43">
        <v>0.29698480921718856</v>
      </c>
      <c r="BE1215" s="33">
        <v>0</v>
      </c>
      <c r="BF1215" s="33">
        <v>1</v>
      </c>
      <c r="CE1215" s="36">
        <v>1181</v>
      </c>
      <c r="CF1215" s="33">
        <v>7</v>
      </c>
      <c r="CG1215" s="33">
        <v>1</v>
      </c>
      <c r="CH1215" s="33">
        <v>2</v>
      </c>
      <c r="CI1215" s="33">
        <v>1</v>
      </c>
      <c r="CJ1215" s="33">
        <v>2</v>
      </c>
      <c r="CK1215" s="33">
        <v>0</v>
      </c>
      <c r="CL1215" s="33">
        <v>0</v>
      </c>
      <c r="CM1215" s="33">
        <v>3</v>
      </c>
      <c r="CN1215" s="33">
        <v>4</v>
      </c>
      <c r="CO1215" s="33">
        <v>1</v>
      </c>
      <c r="CP1215" s="43">
        <v>0.23473662204231116</v>
      </c>
      <c r="CQ1215" s="33">
        <v>0</v>
      </c>
      <c r="CR1215" s="33">
        <v>0</v>
      </c>
    </row>
    <row r="1216" spans="1:96" ht="15" customHeight="1" x14ac:dyDescent="0.25">
      <c r="A1216" s="26">
        <v>1214</v>
      </c>
      <c r="B1216" s="27">
        <v>44</v>
      </c>
      <c r="C1216" s="27">
        <v>0</v>
      </c>
      <c r="D1216" s="27">
        <v>1</v>
      </c>
      <c r="E1216" s="27">
        <v>921</v>
      </c>
      <c r="F1216" s="27">
        <v>2</v>
      </c>
      <c r="G1216" s="27">
        <v>2</v>
      </c>
      <c r="H1216" s="27">
        <v>3</v>
      </c>
      <c r="I1216" s="27">
        <v>1</v>
      </c>
      <c r="J1216" s="27">
        <v>1</v>
      </c>
      <c r="K1216" s="27">
        <v>1703</v>
      </c>
      <c r="L1216" s="27">
        <v>3</v>
      </c>
      <c r="M1216" s="27">
        <v>0</v>
      </c>
      <c r="N1216" s="27">
        <v>96</v>
      </c>
      <c r="O1216" s="27">
        <v>4</v>
      </c>
      <c r="P1216" s="27">
        <v>3</v>
      </c>
      <c r="Q1216" s="27">
        <v>5</v>
      </c>
      <c r="R1216" s="27">
        <v>4</v>
      </c>
      <c r="S1216" s="27">
        <v>2</v>
      </c>
      <c r="T1216" s="27">
        <v>7879</v>
      </c>
      <c r="U1216" s="27">
        <v>14810</v>
      </c>
      <c r="V1216" s="27">
        <v>1</v>
      </c>
      <c r="W1216" s="27">
        <v>1</v>
      </c>
      <c r="X1216" s="27">
        <v>19</v>
      </c>
      <c r="Y1216" s="27">
        <v>3</v>
      </c>
      <c r="Z1216" s="27">
        <v>2</v>
      </c>
      <c r="AA1216" s="27">
        <v>80</v>
      </c>
      <c r="AB1216" s="27">
        <v>1</v>
      </c>
      <c r="AC1216" s="27">
        <v>9</v>
      </c>
      <c r="AD1216" s="27">
        <v>2</v>
      </c>
      <c r="AE1216" s="27">
        <v>3</v>
      </c>
      <c r="AF1216" s="27">
        <v>8</v>
      </c>
      <c r="AG1216" s="27">
        <v>7</v>
      </c>
      <c r="AH1216" s="27">
        <v>6</v>
      </c>
      <c r="AI1216" s="28">
        <v>7</v>
      </c>
      <c r="AK1216" s="36">
        <v>1183</v>
      </c>
      <c r="AL1216" s="33">
        <v>1</v>
      </c>
      <c r="AM1216" s="33">
        <v>2</v>
      </c>
      <c r="AN1216" s="33">
        <v>3</v>
      </c>
      <c r="AO1216" s="33">
        <v>0</v>
      </c>
      <c r="AP1216" s="33">
        <v>0</v>
      </c>
      <c r="AQ1216" s="33">
        <v>0</v>
      </c>
      <c r="AR1216" s="33">
        <v>3</v>
      </c>
      <c r="AS1216" s="33">
        <v>3</v>
      </c>
      <c r="AT1216" s="33">
        <v>1</v>
      </c>
      <c r="AU1216" s="43">
        <v>7.5572089728872971E-2</v>
      </c>
      <c r="AV1216" s="33">
        <v>0</v>
      </c>
      <c r="AW1216" s="33">
        <v>0</v>
      </c>
      <c r="AY1216" s="36">
        <v>1188</v>
      </c>
      <c r="AZ1216" s="33">
        <v>2</v>
      </c>
      <c r="BA1216" s="33">
        <v>4</v>
      </c>
      <c r="BB1216" s="33">
        <v>0</v>
      </c>
      <c r="BC1216" s="33">
        <v>2</v>
      </c>
      <c r="BD1216" s="43">
        <v>3.3256067423154199E-2</v>
      </c>
      <c r="BE1216" s="33">
        <v>0</v>
      </c>
      <c r="BF1216" s="33">
        <v>0</v>
      </c>
      <c r="CE1216" s="36">
        <v>1182</v>
      </c>
      <c r="CF1216" s="33">
        <v>6</v>
      </c>
      <c r="CG1216" s="33">
        <v>4</v>
      </c>
      <c r="CH1216" s="33">
        <v>3</v>
      </c>
      <c r="CI1216" s="33">
        <v>2</v>
      </c>
      <c r="CJ1216" s="33">
        <v>2</v>
      </c>
      <c r="CK1216" s="33">
        <v>1</v>
      </c>
      <c r="CL1216" s="33">
        <v>1</v>
      </c>
      <c r="CM1216" s="33">
        <v>3</v>
      </c>
      <c r="CN1216" s="33">
        <v>15</v>
      </c>
      <c r="CO1216" s="33">
        <v>2</v>
      </c>
      <c r="CP1216" s="43">
        <v>4.3505129995000877E-2</v>
      </c>
      <c r="CQ1216" s="33">
        <v>0</v>
      </c>
      <c r="CR1216" s="33">
        <v>0</v>
      </c>
    </row>
    <row r="1217" spans="1:96" ht="15" customHeight="1" x14ac:dyDescent="0.25">
      <c r="A1217" s="26">
        <v>1215</v>
      </c>
      <c r="B1217" s="27">
        <v>35</v>
      </c>
      <c r="C1217" s="27">
        <v>0</v>
      </c>
      <c r="D1217" s="27">
        <v>2</v>
      </c>
      <c r="E1217" s="27">
        <v>146</v>
      </c>
      <c r="F1217" s="27">
        <v>2</v>
      </c>
      <c r="G1217" s="27">
        <v>2</v>
      </c>
      <c r="H1217" s="27">
        <v>4</v>
      </c>
      <c r="I1217" s="27">
        <v>3</v>
      </c>
      <c r="J1217" s="27">
        <v>1</v>
      </c>
      <c r="K1217" s="27">
        <v>1704</v>
      </c>
      <c r="L1217" s="27">
        <v>1</v>
      </c>
      <c r="M1217" s="27">
        <v>1</v>
      </c>
      <c r="N1217" s="27">
        <v>79</v>
      </c>
      <c r="O1217" s="27">
        <v>2</v>
      </c>
      <c r="P1217" s="27">
        <v>1</v>
      </c>
      <c r="Q1217" s="27">
        <v>2</v>
      </c>
      <c r="R1217" s="27">
        <v>4</v>
      </c>
      <c r="S1217" s="27">
        <v>1</v>
      </c>
      <c r="T1217" s="27">
        <v>4930</v>
      </c>
      <c r="U1217" s="27">
        <v>13970</v>
      </c>
      <c r="V1217" s="27">
        <v>0</v>
      </c>
      <c r="W1217" s="27">
        <v>1</v>
      </c>
      <c r="X1217" s="27">
        <v>14</v>
      </c>
      <c r="Y1217" s="27">
        <v>3</v>
      </c>
      <c r="Z1217" s="27">
        <v>3</v>
      </c>
      <c r="AA1217" s="27">
        <v>80</v>
      </c>
      <c r="AB1217" s="27">
        <v>0</v>
      </c>
      <c r="AC1217" s="27">
        <v>6</v>
      </c>
      <c r="AD1217" s="27">
        <v>2</v>
      </c>
      <c r="AE1217" s="27">
        <v>4</v>
      </c>
      <c r="AF1217" s="27">
        <v>5</v>
      </c>
      <c r="AG1217" s="27">
        <v>4</v>
      </c>
      <c r="AH1217" s="27">
        <v>1</v>
      </c>
      <c r="AI1217" s="28">
        <v>4</v>
      </c>
      <c r="AK1217" s="36">
        <v>1184</v>
      </c>
      <c r="AL1217" s="33">
        <v>3</v>
      </c>
      <c r="AM1217" s="33">
        <v>2</v>
      </c>
      <c r="AN1217" s="33">
        <v>1</v>
      </c>
      <c r="AO1217" s="33">
        <v>6</v>
      </c>
      <c r="AP1217" s="33">
        <v>0</v>
      </c>
      <c r="AQ1217" s="33">
        <v>1</v>
      </c>
      <c r="AR1217" s="33">
        <v>3</v>
      </c>
      <c r="AS1217" s="33">
        <v>5</v>
      </c>
      <c r="AT1217" s="33">
        <v>0</v>
      </c>
      <c r="AU1217" s="43">
        <v>0.10215318135095355</v>
      </c>
      <c r="AV1217" s="33">
        <v>0</v>
      </c>
      <c r="AW1217" s="33">
        <v>0</v>
      </c>
      <c r="AY1217" s="36">
        <v>1189</v>
      </c>
      <c r="AZ1217" s="33">
        <v>2</v>
      </c>
      <c r="BA1217" s="33">
        <v>2</v>
      </c>
      <c r="BB1217" s="33">
        <v>1</v>
      </c>
      <c r="BC1217" s="33">
        <v>1</v>
      </c>
      <c r="BD1217" s="43">
        <v>0.30904710588370227</v>
      </c>
      <c r="BE1217" s="33">
        <v>0</v>
      </c>
      <c r="BF1217" s="33">
        <v>0</v>
      </c>
      <c r="CE1217" s="36">
        <v>1183</v>
      </c>
      <c r="CF1217" s="33">
        <v>1</v>
      </c>
      <c r="CG1217" s="33">
        <v>2</v>
      </c>
      <c r="CH1217" s="33">
        <v>3</v>
      </c>
      <c r="CI1217" s="33">
        <v>2</v>
      </c>
      <c r="CJ1217" s="33">
        <v>0</v>
      </c>
      <c r="CK1217" s="33">
        <v>0</v>
      </c>
      <c r="CL1217" s="33">
        <v>0</v>
      </c>
      <c r="CM1217" s="33">
        <v>3</v>
      </c>
      <c r="CN1217" s="33">
        <v>3</v>
      </c>
      <c r="CO1217" s="33">
        <v>1</v>
      </c>
      <c r="CP1217" s="43">
        <v>5.290867314072692E-2</v>
      </c>
      <c r="CQ1217" s="33">
        <v>0</v>
      </c>
      <c r="CR1217" s="33">
        <v>0</v>
      </c>
    </row>
    <row r="1218" spans="1:96" ht="15" customHeight="1" x14ac:dyDescent="0.25">
      <c r="A1218" s="26">
        <v>1216</v>
      </c>
      <c r="B1218" s="27">
        <v>43</v>
      </c>
      <c r="C1218" s="27">
        <v>0</v>
      </c>
      <c r="D1218" s="27">
        <v>1</v>
      </c>
      <c r="E1218" s="27">
        <v>1179</v>
      </c>
      <c r="F1218" s="27">
        <v>1</v>
      </c>
      <c r="G1218" s="27">
        <v>2</v>
      </c>
      <c r="H1218" s="27">
        <v>3</v>
      </c>
      <c r="I1218" s="27">
        <v>3</v>
      </c>
      <c r="J1218" s="27">
        <v>1</v>
      </c>
      <c r="K1218" s="27">
        <v>1706</v>
      </c>
      <c r="L1218" s="27">
        <v>4</v>
      </c>
      <c r="M1218" s="27">
        <v>1</v>
      </c>
      <c r="N1218" s="27">
        <v>73</v>
      </c>
      <c r="O1218" s="27">
        <v>3</v>
      </c>
      <c r="P1218" s="27">
        <v>2</v>
      </c>
      <c r="Q1218" s="27">
        <v>1</v>
      </c>
      <c r="R1218" s="27">
        <v>4</v>
      </c>
      <c r="S1218" s="27">
        <v>2</v>
      </c>
      <c r="T1218" s="27">
        <v>7847</v>
      </c>
      <c r="U1218" s="27">
        <v>6069</v>
      </c>
      <c r="V1218" s="27">
        <v>1</v>
      </c>
      <c r="W1218" s="27">
        <v>1</v>
      </c>
      <c r="X1218" s="27">
        <v>17</v>
      </c>
      <c r="Y1218" s="27">
        <v>3</v>
      </c>
      <c r="Z1218" s="27">
        <v>1</v>
      </c>
      <c r="AA1218" s="27">
        <v>80</v>
      </c>
      <c r="AB1218" s="27">
        <v>1</v>
      </c>
      <c r="AC1218" s="27">
        <v>10</v>
      </c>
      <c r="AD1218" s="27">
        <v>3</v>
      </c>
      <c r="AE1218" s="27">
        <v>3</v>
      </c>
      <c r="AF1218" s="27">
        <v>10</v>
      </c>
      <c r="AG1218" s="27">
        <v>9</v>
      </c>
      <c r="AH1218" s="27">
        <v>8</v>
      </c>
      <c r="AI1218" s="28">
        <v>8</v>
      </c>
      <c r="AK1218" s="36">
        <v>1185</v>
      </c>
      <c r="AL1218" s="33">
        <v>22</v>
      </c>
      <c r="AM1218" s="33">
        <v>4</v>
      </c>
      <c r="AN1218" s="33">
        <v>3</v>
      </c>
      <c r="AO1218" s="33">
        <v>3</v>
      </c>
      <c r="AP1218" s="33">
        <v>0</v>
      </c>
      <c r="AQ1218" s="33">
        <v>1</v>
      </c>
      <c r="AR1218" s="33">
        <v>3</v>
      </c>
      <c r="AS1218" s="33">
        <v>10</v>
      </c>
      <c r="AT1218" s="33">
        <v>4</v>
      </c>
      <c r="AU1218" s="43">
        <v>3.2902745307708994E-2</v>
      </c>
      <c r="AV1218" s="33">
        <v>0</v>
      </c>
      <c r="AW1218" s="33">
        <v>0</v>
      </c>
      <c r="AY1218" s="36">
        <v>1190</v>
      </c>
      <c r="AZ1218" s="33">
        <v>2</v>
      </c>
      <c r="BA1218" s="33">
        <v>4</v>
      </c>
      <c r="BB1218" s="33">
        <v>0</v>
      </c>
      <c r="BC1218" s="33">
        <v>2</v>
      </c>
      <c r="BD1218" s="43">
        <v>3.3256067423154199E-2</v>
      </c>
      <c r="BE1218" s="33">
        <v>0</v>
      </c>
      <c r="BF1218" s="33">
        <v>0</v>
      </c>
      <c r="CE1218" s="36">
        <v>1184</v>
      </c>
      <c r="CF1218" s="33">
        <v>3</v>
      </c>
      <c r="CG1218" s="33">
        <v>2</v>
      </c>
      <c r="CH1218" s="33">
        <v>1</v>
      </c>
      <c r="CI1218" s="33">
        <v>3</v>
      </c>
      <c r="CJ1218" s="33">
        <v>6</v>
      </c>
      <c r="CK1218" s="33">
        <v>0</v>
      </c>
      <c r="CL1218" s="33">
        <v>1</v>
      </c>
      <c r="CM1218" s="33">
        <v>3</v>
      </c>
      <c r="CN1218" s="33">
        <v>5</v>
      </c>
      <c r="CO1218" s="33">
        <v>0</v>
      </c>
      <c r="CP1218" s="43">
        <v>6.1605849478162243E-2</v>
      </c>
      <c r="CQ1218" s="33">
        <v>0</v>
      </c>
      <c r="CR1218" s="33">
        <v>0</v>
      </c>
    </row>
    <row r="1219" spans="1:96" ht="15" customHeight="1" x14ac:dyDescent="0.25">
      <c r="A1219" s="26">
        <v>1217</v>
      </c>
      <c r="B1219" s="27">
        <v>24</v>
      </c>
      <c r="C1219" s="27">
        <v>0</v>
      </c>
      <c r="D1219" s="27">
        <v>1</v>
      </c>
      <c r="E1219" s="27">
        <v>581</v>
      </c>
      <c r="F1219" s="27">
        <v>2</v>
      </c>
      <c r="G1219" s="27">
        <v>9</v>
      </c>
      <c r="H1219" s="27">
        <v>3</v>
      </c>
      <c r="I1219" s="27">
        <v>3</v>
      </c>
      <c r="J1219" s="27">
        <v>1</v>
      </c>
      <c r="K1219" s="27">
        <v>1707</v>
      </c>
      <c r="L1219" s="27">
        <v>3</v>
      </c>
      <c r="M1219" s="27">
        <v>1</v>
      </c>
      <c r="N1219" s="27">
        <v>62</v>
      </c>
      <c r="O1219" s="27">
        <v>4</v>
      </c>
      <c r="P1219" s="27">
        <v>1</v>
      </c>
      <c r="Q1219" s="27">
        <v>2</v>
      </c>
      <c r="R1219" s="27">
        <v>3</v>
      </c>
      <c r="S1219" s="27">
        <v>2</v>
      </c>
      <c r="T1219" s="27">
        <v>4401</v>
      </c>
      <c r="U1219" s="27">
        <v>17616</v>
      </c>
      <c r="V1219" s="27">
        <v>1</v>
      </c>
      <c r="W1219" s="27">
        <v>0</v>
      </c>
      <c r="X1219" s="27">
        <v>16</v>
      </c>
      <c r="Y1219" s="27">
        <v>3</v>
      </c>
      <c r="Z1219" s="27">
        <v>4</v>
      </c>
      <c r="AA1219" s="27">
        <v>80</v>
      </c>
      <c r="AB1219" s="27">
        <v>1</v>
      </c>
      <c r="AC1219" s="27">
        <v>5</v>
      </c>
      <c r="AD1219" s="27">
        <v>1</v>
      </c>
      <c r="AE1219" s="27">
        <v>3</v>
      </c>
      <c r="AF1219" s="27">
        <v>5</v>
      </c>
      <c r="AG1219" s="27">
        <v>3</v>
      </c>
      <c r="AH1219" s="27">
        <v>0</v>
      </c>
      <c r="AI1219" s="28">
        <v>4</v>
      </c>
      <c r="AK1219" s="36">
        <v>1186</v>
      </c>
      <c r="AL1219" s="33">
        <v>15</v>
      </c>
      <c r="AM1219" s="33">
        <v>4</v>
      </c>
      <c r="AN1219" s="33">
        <v>3</v>
      </c>
      <c r="AO1219" s="33">
        <v>1</v>
      </c>
      <c r="AP1219" s="33">
        <v>0</v>
      </c>
      <c r="AQ1219" s="33">
        <v>1</v>
      </c>
      <c r="AR1219" s="33">
        <v>3</v>
      </c>
      <c r="AS1219" s="33">
        <v>14</v>
      </c>
      <c r="AT1219" s="33">
        <v>6</v>
      </c>
      <c r="AU1219" s="43">
        <v>2.0920309166607625E-2</v>
      </c>
      <c r="AV1219" s="33">
        <v>0</v>
      </c>
      <c r="AW1219" s="33">
        <v>0</v>
      </c>
      <c r="AY1219" s="36">
        <v>1191</v>
      </c>
      <c r="AZ1219" s="33">
        <v>2</v>
      </c>
      <c r="BA1219" s="33">
        <v>2</v>
      </c>
      <c r="BB1219" s="33">
        <v>0</v>
      </c>
      <c r="BC1219" s="33">
        <v>2</v>
      </c>
      <c r="BD1219" s="43">
        <v>5.8143431646637607E-2</v>
      </c>
      <c r="BE1219" s="33">
        <v>0</v>
      </c>
      <c r="BF1219" s="33">
        <v>0</v>
      </c>
      <c r="CE1219" s="36">
        <v>1185</v>
      </c>
      <c r="CF1219" s="33">
        <v>22</v>
      </c>
      <c r="CG1219" s="33">
        <v>4</v>
      </c>
      <c r="CH1219" s="33">
        <v>3</v>
      </c>
      <c r="CI1219" s="33">
        <v>2</v>
      </c>
      <c r="CJ1219" s="33">
        <v>3</v>
      </c>
      <c r="CK1219" s="33">
        <v>0</v>
      </c>
      <c r="CL1219" s="33">
        <v>1</v>
      </c>
      <c r="CM1219" s="33">
        <v>3</v>
      </c>
      <c r="CN1219" s="33">
        <v>10</v>
      </c>
      <c r="CO1219" s="33">
        <v>4</v>
      </c>
      <c r="CP1219" s="43">
        <v>3.2563641713530246E-2</v>
      </c>
      <c r="CQ1219" s="33">
        <v>0</v>
      </c>
      <c r="CR1219" s="33">
        <v>0</v>
      </c>
    </row>
    <row r="1220" spans="1:96" ht="15" customHeight="1" x14ac:dyDescent="0.25">
      <c r="A1220" s="26">
        <v>1218</v>
      </c>
      <c r="B1220" s="27">
        <v>41</v>
      </c>
      <c r="C1220" s="27">
        <v>0</v>
      </c>
      <c r="D1220" s="27">
        <v>1</v>
      </c>
      <c r="E1220" s="27">
        <v>918</v>
      </c>
      <c r="F1220" s="27">
        <v>1</v>
      </c>
      <c r="G1220" s="27">
        <v>6</v>
      </c>
      <c r="H1220" s="27">
        <v>3</v>
      </c>
      <c r="I1220" s="27">
        <v>4</v>
      </c>
      <c r="J1220" s="27">
        <v>1</v>
      </c>
      <c r="K1220" s="27">
        <v>1708</v>
      </c>
      <c r="L1220" s="27">
        <v>4</v>
      </c>
      <c r="M1220" s="27">
        <v>1</v>
      </c>
      <c r="N1220" s="27">
        <v>35</v>
      </c>
      <c r="O1220" s="27">
        <v>3</v>
      </c>
      <c r="P1220" s="27">
        <v>3</v>
      </c>
      <c r="Q1220" s="27">
        <v>1</v>
      </c>
      <c r="R1220" s="27">
        <v>3</v>
      </c>
      <c r="S1220" s="27">
        <v>1</v>
      </c>
      <c r="T1220" s="27">
        <v>9241</v>
      </c>
      <c r="U1220" s="27">
        <v>15869</v>
      </c>
      <c r="V1220" s="27">
        <v>1</v>
      </c>
      <c r="W1220" s="27">
        <v>0</v>
      </c>
      <c r="X1220" s="27">
        <v>12</v>
      </c>
      <c r="Y1220" s="27">
        <v>3</v>
      </c>
      <c r="Z1220" s="27">
        <v>2</v>
      </c>
      <c r="AA1220" s="27">
        <v>80</v>
      </c>
      <c r="AB1220" s="27">
        <v>0</v>
      </c>
      <c r="AC1220" s="27">
        <v>10</v>
      </c>
      <c r="AD1220" s="27">
        <v>3</v>
      </c>
      <c r="AE1220" s="27">
        <v>3</v>
      </c>
      <c r="AF1220" s="27">
        <v>10</v>
      </c>
      <c r="AG1220" s="27">
        <v>8</v>
      </c>
      <c r="AH1220" s="27">
        <v>8</v>
      </c>
      <c r="AI1220" s="28">
        <v>7</v>
      </c>
      <c r="AK1220" s="36">
        <v>1187</v>
      </c>
      <c r="AL1220" s="33">
        <v>12</v>
      </c>
      <c r="AM1220" s="33">
        <v>2</v>
      </c>
      <c r="AN1220" s="33">
        <v>4</v>
      </c>
      <c r="AO1220" s="33">
        <v>3</v>
      </c>
      <c r="AP1220" s="33">
        <v>1</v>
      </c>
      <c r="AQ1220" s="33">
        <v>0</v>
      </c>
      <c r="AR1220" s="33">
        <v>4</v>
      </c>
      <c r="AS1220" s="33">
        <v>11</v>
      </c>
      <c r="AT1220" s="33">
        <v>6</v>
      </c>
      <c r="AU1220" s="43">
        <v>0.28059676225463837</v>
      </c>
      <c r="AV1220" s="33">
        <v>0</v>
      </c>
      <c r="AW1220" s="33">
        <v>1</v>
      </c>
      <c r="AY1220" s="36">
        <v>1192</v>
      </c>
      <c r="AZ1220" s="33">
        <v>2</v>
      </c>
      <c r="BA1220" s="33">
        <v>4</v>
      </c>
      <c r="BB1220" s="33">
        <v>0</v>
      </c>
      <c r="BC1220" s="33">
        <v>2</v>
      </c>
      <c r="BD1220" s="43">
        <v>3.3256067423154199E-2</v>
      </c>
      <c r="BE1220" s="33">
        <v>0</v>
      </c>
      <c r="BF1220" s="33">
        <v>0</v>
      </c>
      <c r="CE1220" s="36">
        <v>1186</v>
      </c>
      <c r="CF1220" s="33">
        <v>15</v>
      </c>
      <c r="CG1220" s="33">
        <v>4</v>
      </c>
      <c r="CH1220" s="33">
        <v>3</v>
      </c>
      <c r="CI1220" s="33">
        <v>2</v>
      </c>
      <c r="CJ1220" s="33">
        <v>1</v>
      </c>
      <c r="CK1220" s="33">
        <v>0</v>
      </c>
      <c r="CL1220" s="33">
        <v>1</v>
      </c>
      <c r="CM1220" s="33">
        <v>3</v>
      </c>
      <c r="CN1220" s="33">
        <v>14</v>
      </c>
      <c r="CO1220" s="33">
        <v>6</v>
      </c>
      <c r="CP1220" s="43">
        <v>2.0765030326846998E-2</v>
      </c>
      <c r="CQ1220" s="33">
        <v>0</v>
      </c>
      <c r="CR1220" s="33">
        <v>0</v>
      </c>
    </row>
    <row r="1221" spans="1:96" ht="15" customHeight="1" x14ac:dyDescent="0.25">
      <c r="A1221" s="26">
        <v>1219</v>
      </c>
      <c r="B1221" s="27">
        <v>29</v>
      </c>
      <c r="C1221" s="27">
        <v>0</v>
      </c>
      <c r="D1221" s="27">
        <v>1</v>
      </c>
      <c r="E1221" s="27">
        <v>1082</v>
      </c>
      <c r="F1221" s="27">
        <v>2</v>
      </c>
      <c r="G1221" s="27">
        <v>9</v>
      </c>
      <c r="H1221" s="27">
        <v>4</v>
      </c>
      <c r="I1221" s="27">
        <v>3</v>
      </c>
      <c r="J1221" s="27">
        <v>1</v>
      </c>
      <c r="K1221" s="27">
        <v>1709</v>
      </c>
      <c r="L1221" s="27">
        <v>4</v>
      </c>
      <c r="M1221" s="27">
        <v>0</v>
      </c>
      <c r="N1221" s="27">
        <v>43</v>
      </c>
      <c r="O1221" s="27">
        <v>3</v>
      </c>
      <c r="P1221" s="27">
        <v>1</v>
      </c>
      <c r="Q1221" s="27">
        <v>3</v>
      </c>
      <c r="R1221" s="27">
        <v>3</v>
      </c>
      <c r="S1221" s="27">
        <v>2</v>
      </c>
      <c r="T1221" s="27">
        <v>2974</v>
      </c>
      <c r="U1221" s="27">
        <v>25412</v>
      </c>
      <c r="V1221" s="27">
        <v>9</v>
      </c>
      <c r="W1221" s="27">
        <v>0</v>
      </c>
      <c r="X1221" s="27">
        <v>17</v>
      </c>
      <c r="Y1221" s="27">
        <v>3</v>
      </c>
      <c r="Z1221" s="27">
        <v>3</v>
      </c>
      <c r="AA1221" s="27">
        <v>80</v>
      </c>
      <c r="AB1221" s="27">
        <v>1</v>
      </c>
      <c r="AC1221" s="27">
        <v>9</v>
      </c>
      <c r="AD1221" s="27">
        <v>2</v>
      </c>
      <c r="AE1221" s="27">
        <v>3</v>
      </c>
      <c r="AF1221" s="27">
        <v>5</v>
      </c>
      <c r="AG1221" s="27">
        <v>3</v>
      </c>
      <c r="AH1221" s="27">
        <v>1</v>
      </c>
      <c r="AI1221" s="28">
        <v>2</v>
      </c>
      <c r="AK1221" s="36">
        <v>1188</v>
      </c>
      <c r="AL1221" s="33">
        <v>1</v>
      </c>
      <c r="AM1221" s="33">
        <v>2</v>
      </c>
      <c r="AN1221" s="33">
        <v>4</v>
      </c>
      <c r="AO1221" s="33">
        <v>7</v>
      </c>
      <c r="AP1221" s="33">
        <v>0</v>
      </c>
      <c r="AQ1221" s="33">
        <v>2</v>
      </c>
      <c r="AR1221" s="33">
        <v>4</v>
      </c>
      <c r="AS1221" s="33">
        <v>13</v>
      </c>
      <c r="AT1221" s="33">
        <v>2</v>
      </c>
      <c r="AU1221" s="43">
        <v>1.5028053763559791E-2</v>
      </c>
      <c r="AV1221" s="33">
        <v>0</v>
      </c>
      <c r="AW1221" s="33">
        <v>0</v>
      </c>
      <c r="AY1221" s="36">
        <v>1193</v>
      </c>
      <c r="AZ1221" s="33">
        <v>1</v>
      </c>
      <c r="BA1221" s="33">
        <v>1</v>
      </c>
      <c r="BB1221" s="33">
        <v>1</v>
      </c>
      <c r="BC1221" s="33">
        <v>1</v>
      </c>
      <c r="BD1221" s="43">
        <v>0.51155121875600029</v>
      </c>
      <c r="BE1221" s="33">
        <v>1</v>
      </c>
      <c r="BF1221" s="33">
        <v>0</v>
      </c>
      <c r="CE1221" s="36">
        <v>1187</v>
      </c>
      <c r="CF1221" s="33">
        <v>12</v>
      </c>
      <c r="CG1221" s="33">
        <v>2</v>
      </c>
      <c r="CH1221" s="33">
        <v>4</v>
      </c>
      <c r="CI1221" s="33">
        <v>1</v>
      </c>
      <c r="CJ1221" s="33">
        <v>3</v>
      </c>
      <c r="CK1221" s="33">
        <v>1</v>
      </c>
      <c r="CL1221" s="33">
        <v>0</v>
      </c>
      <c r="CM1221" s="33">
        <v>4</v>
      </c>
      <c r="CN1221" s="33">
        <v>11</v>
      </c>
      <c r="CO1221" s="33">
        <v>6</v>
      </c>
      <c r="CP1221" s="43">
        <v>0.32074316339535064</v>
      </c>
      <c r="CQ1221" s="33">
        <v>0</v>
      </c>
      <c r="CR1221" s="33">
        <v>1</v>
      </c>
    </row>
    <row r="1222" spans="1:96" ht="15" customHeight="1" x14ac:dyDescent="0.25">
      <c r="A1222" s="26">
        <v>1220</v>
      </c>
      <c r="B1222" s="27">
        <v>36</v>
      </c>
      <c r="C1222" s="27">
        <v>0</v>
      </c>
      <c r="D1222" s="27">
        <v>1</v>
      </c>
      <c r="E1222" s="27">
        <v>530</v>
      </c>
      <c r="F1222" s="27">
        <v>1</v>
      </c>
      <c r="G1222" s="27">
        <v>2</v>
      </c>
      <c r="H1222" s="27">
        <v>4</v>
      </c>
      <c r="I1222" s="27">
        <v>1</v>
      </c>
      <c r="J1222" s="27">
        <v>1</v>
      </c>
      <c r="K1222" s="27">
        <v>1710</v>
      </c>
      <c r="L1222" s="27">
        <v>3</v>
      </c>
      <c r="M1222" s="27">
        <v>0</v>
      </c>
      <c r="N1222" s="27">
        <v>51</v>
      </c>
      <c r="O1222" s="27">
        <v>3</v>
      </c>
      <c r="P1222" s="27">
        <v>2</v>
      </c>
      <c r="Q1222" s="27">
        <v>7</v>
      </c>
      <c r="R1222" s="27">
        <v>4</v>
      </c>
      <c r="S1222" s="27">
        <v>1</v>
      </c>
      <c r="T1222" s="27">
        <v>4502</v>
      </c>
      <c r="U1222" s="27">
        <v>7439</v>
      </c>
      <c r="V1222" s="27">
        <v>3</v>
      </c>
      <c r="W1222" s="27">
        <v>0</v>
      </c>
      <c r="X1222" s="27">
        <v>15</v>
      </c>
      <c r="Y1222" s="27">
        <v>3</v>
      </c>
      <c r="Z1222" s="27">
        <v>3</v>
      </c>
      <c r="AA1222" s="27">
        <v>80</v>
      </c>
      <c r="AB1222" s="27">
        <v>0</v>
      </c>
      <c r="AC1222" s="27">
        <v>17</v>
      </c>
      <c r="AD1222" s="27">
        <v>2</v>
      </c>
      <c r="AE1222" s="27">
        <v>2</v>
      </c>
      <c r="AF1222" s="27">
        <v>13</v>
      </c>
      <c r="AG1222" s="27">
        <v>7</v>
      </c>
      <c r="AH1222" s="27">
        <v>6</v>
      </c>
      <c r="AI1222" s="28">
        <v>7</v>
      </c>
      <c r="AK1222" s="36">
        <v>1189</v>
      </c>
      <c r="AL1222" s="33">
        <v>5</v>
      </c>
      <c r="AM1222" s="33">
        <v>2</v>
      </c>
      <c r="AN1222" s="33">
        <v>2</v>
      </c>
      <c r="AO1222" s="33">
        <v>1</v>
      </c>
      <c r="AP1222" s="33">
        <v>1</v>
      </c>
      <c r="AQ1222" s="33">
        <v>1</v>
      </c>
      <c r="AR1222" s="33">
        <v>2</v>
      </c>
      <c r="AS1222" s="33">
        <v>10</v>
      </c>
      <c r="AT1222" s="33">
        <v>0</v>
      </c>
      <c r="AU1222" s="43">
        <v>0.18680291237189944</v>
      </c>
      <c r="AV1222" s="33">
        <v>0</v>
      </c>
      <c r="AW1222" s="33">
        <v>0</v>
      </c>
      <c r="AY1222" s="36">
        <v>1194</v>
      </c>
      <c r="AZ1222" s="33">
        <v>1</v>
      </c>
      <c r="BA1222" s="33">
        <v>2</v>
      </c>
      <c r="BB1222" s="33">
        <v>0</v>
      </c>
      <c r="BC1222" s="33">
        <v>0</v>
      </c>
      <c r="BD1222" s="43">
        <v>0.23662845161334917</v>
      </c>
      <c r="BE1222" s="33">
        <v>0</v>
      </c>
      <c r="BF1222" s="33">
        <v>0</v>
      </c>
      <c r="CE1222" s="36">
        <v>1188</v>
      </c>
      <c r="CF1222" s="33">
        <v>1</v>
      </c>
      <c r="CG1222" s="33">
        <v>2</v>
      </c>
      <c r="CH1222" s="33">
        <v>4</v>
      </c>
      <c r="CI1222" s="33">
        <v>2</v>
      </c>
      <c r="CJ1222" s="33">
        <v>7</v>
      </c>
      <c r="CK1222" s="33">
        <v>0</v>
      </c>
      <c r="CL1222" s="33">
        <v>2</v>
      </c>
      <c r="CM1222" s="33">
        <v>4</v>
      </c>
      <c r="CN1222" s="33">
        <v>13</v>
      </c>
      <c r="CO1222" s="33">
        <v>2</v>
      </c>
      <c r="CP1222" s="43">
        <v>1.9807871571271379E-2</v>
      </c>
      <c r="CQ1222" s="33">
        <v>0</v>
      </c>
      <c r="CR1222" s="33">
        <v>0</v>
      </c>
    </row>
    <row r="1223" spans="1:96" ht="15" customHeight="1" x14ac:dyDescent="0.25">
      <c r="A1223" s="26">
        <v>1221</v>
      </c>
      <c r="B1223" s="27">
        <v>45</v>
      </c>
      <c r="C1223" s="27">
        <v>0</v>
      </c>
      <c r="D1223" s="27">
        <v>3</v>
      </c>
      <c r="E1223" s="27">
        <v>1238</v>
      </c>
      <c r="F1223" s="27">
        <v>2</v>
      </c>
      <c r="G1223" s="27">
        <v>1</v>
      </c>
      <c r="H1223" s="27">
        <v>1</v>
      </c>
      <c r="I1223" s="27">
        <v>1</v>
      </c>
      <c r="J1223" s="27">
        <v>1</v>
      </c>
      <c r="K1223" s="27">
        <v>1712</v>
      </c>
      <c r="L1223" s="27">
        <v>3</v>
      </c>
      <c r="M1223" s="27">
        <v>1</v>
      </c>
      <c r="N1223" s="27">
        <v>74</v>
      </c>
      <c r="O1223" s="27">
        <v>2</v>
      </c>
      <c r="P1223" s="27">
        <v>3</v>
      </c>
      <c r="Q1223" s="27">
        <v>5</v>
      </c>
      <c r="R1223" s="27">
        <v>3</v>
      </c>
      <c r="S1223" s="27">
        <v>2</v>
      </c>
      <c r="T1223" s="27">
        <v>10748</v>
      </c>
      <c r="U1223" s="27">
        <v>3395</v>
      </c>
      <c r="V1223" s="27">
        <v>3</v>
      </c>
      <c r="W1223" s="27">
        <v>0</v>
      </c>
      <c r="X1223" s="27">
        <v>23</v>
      </c>
      <c r="Y1223" s="27">
        <v>4</v>
      </c>
      <c r="Z1223" s="27">
        <v>4</v>
      </c>
      <c r="AA1223" s="27">
        <v>80</v>
      </c>
      <c r="AB1223" s="27">
        <v>1</v>
      </c>
      <c r="AC1223" s="27">
        <v>25</v>
      </c>
      <c r="AD1223" s="27">
        <v>3</v>
      </c>
      <c r="AE1223" s="27">
        <v>2</v>
      </c>
      <c r="AF1223" s="27">
        <v>23</v>
      </c>
      <c r="AG1223" s="27">
        <v>15</v>
      </c>
      <c r="AH1223" s="27">
        <v>14</v>
      </c>
      <c r="AI1223" s="28">
        <v>4</v>
      </c>
      <c r="AK1223" s="36">
        <v>1190</v>
      </c>
      <c r="AL1223" s="33">
        <v>2</v>
      </c>
      <c r="AM1223" s="33">
        <v>2</v>
      </c>
      <c r="AN1223" s="33">
        <v>4</v>
      </c>
      <c r="AO1223" s="33">
        <v>1</v>
      </c>
      <c r="AP1223" s="33">
        <v>0</v>
      </c>
      <c r="AQ1223" s="33">
        <v>2</v>
      </c>
      <c r="AR1223" s="33">
        <v>3</v>
      </c>
      <c r="AS1223" s="33">
        <v>6</v>
      </c>
      <c r="AT1223" s="33">
        <v>0</v>
      </c>
      <c r="AU1223" s="43">
        <v>1.5636256368595211E-2</v>
      </c>
      <c r="AV1223" s="33">
        <v>0</v>
      </c>
      <c r="AW1223" s="33">
        <v>0</v>
      </c>
      <c r="AY1223" s="36">
        <v>1195</v>
      </c>
      <c r="AZ1223" s="33">
        <v>4</v>
      </c>
      <c r="BA1223" s="33">
        <v>2</v>
      </c>
      <c r="BB1223" s="33">
        <v>0</v>
      </c>
      <c r="BC1223" s="33">
        <v>3</v>
      </c>
      <c r="BD1223" s="43">
        <v>1.1781159292920678E-2</v>
      </c>
      <c r="BE1223" s="33">
        <v>0</v>
      </c>
      <c r="BF1223" s="33">
        <v>0</v>
      </c>
      <c r="CE1223" s="36">
        <v>1189</v>
      </c>
      <c r="CF1223" s="33">
        <v>5</v>
      </c>
      <c r="CG1223" s="33">
        <v>2</v>
      </c>
      <c r="CH1223" s="33">
        <v>2</v>
      </c>
      <c r="CI1223" s="33">
        <v>3</v>
      </c>
      <c r="CJ1223" s="33">
        <v>1</v>
      </c>
      <c r="CK1223" s="33">
        <v>1</v>
      </c>
      <c r="CL1223" s="33">
        <v>1</v>
      </c>
      <c r="CM1223" s="33">
        <v>2</v>
      </c>
      <c r="CN1223" s="33">
        <v>10</v>
      </c>
      <c r="CO1223" s="33">
        <v>0</v>
      </c>
      <c r="CP1223" s="43">
        <v>0.11989674825983147</v>
      </c>
      <c r="CQ1223" s="33">
        <v>0</v>
      </c>
      <c r="CR1223" s="33">
        <v>0</v>
      </c>
    </row>
    <row r="1224" spans="1:96" ht="15" customHeight="1" x14ac:dyDescent="0.25">
      <c r="A1224" s="26">
        <v>1222</v>
      </c>
      <c r="B1224" s="27">
        <v>24</v>
      </c>
      <c r="C1224" s="27">
        <v>1</v>
      </c>
      <c r="D1224" s="27">
        <v>1</v>
      </c>
      <c r="E1224" s="27">
        <v>240</v>
      </c>
      <c r="F1224" s="27">
        <v>3</v>
      </c>
      <c r="G1224" s="27">
        <v>22</v>
      </c>
      <c r="H1224" s="27">
        <v>1</v>
      </c>
      <c r="I1224" s="27">
        <v>2</v>
      </c>
      <c r="J1224" s="27">
        <v>1</v>
      </c>
      <c r="K1224" s="27">
        <v>1714</v>
      </c>
      <c r="L1224" s="27">
        <v>4</v>
      </c>
      <c r="M1224" s="27">
        <v>1</v>
      </c>
      <c r="N1224" s="27">
        <v>58</v>
      </c>
      <c r="O1224" s="27">
        <v>1</v>
      </c>
      <c r="P1224" s="27">
        <v>1</v>
      </c>
      <c r="Q1224" s="27">
        <v>9</v>
      </c>
      <c r="R1224" s="27">
        <v>3</v>
      </c>
      <c r="S1224" s="27">
        <v>2</v>
      </c>
      <c r="T1224" s="27">
        <v>1555</v>
      </c>
      <c r="U1224" s="27">
        <v>11585</v>
      </c>
      <c r="V1224" s="27">
        <v>1</v>
      </c>
      <c r="W1224" s="27">
        <v>0</v>
      </c>
      <c r="X1224" s="27">
        <v>11</v>
      </c>
      <c r="Y1224" s="27">
        <v>3</v>
      </c>
      <c r="Z1224" s="27">
        <v>3</v>
      </c>
      <c r="AA1224" s="27">
        <v>80</v>
      </c>
      <c r="AB1224" s="27">
        <v>1</v>
      </c>
      <c r="AC1224" s="27">
        <v>1</v>
      </c>
      <c r="AD1224" s="27">
        <v>2</v>
      </c>
      <c r="AE1224" s="27">
        <v>3</v>
      </c>
      <c r="AF1224" s="27">
        <v>1</v>
      </c>
      <c r="AG1224" s="27">
        <v>0</v>
      </c>
      <c r="AH1224" s="27">
        <v>0</v>
      </c>
      <c r="AI1224" s="28">
        <v>0</v>
      </c>
      <c r="AK1224" s="36">
        <v>1191</v>
      </c>
      <c r="AL1224" s="33">
        <v>2</v>
      </c>
      <c r="AM1224" s="33">
        <v>2</v>
      </c>
      <c r="AN1224" s="33">
        <v>2</v>
      </c>
      <c r="AO1224" s="33">
        <v>0</v>
      </c>
      <c r="AP1224" s="33">
        <v>0</v>
      </c>
      <c r="AQ1224" s="33">
        <v>2</v>
      </c>
      <c r="AR1224" s="33">
        <v>2</v>
      </c>
      <c r="AS1224" s="33">
        <v>9</v>
      </c>
      <c r="AT1224" s="33">
        <v>1</v>
      </c>
      <c r="AU1224" s="43">
        <v>2.8951133368443599E-2</v>
      </c>
      <c r="AV1224" s="33">
        <v>0</v>
      </c>
      <c r="AW1224" s="33">
        <v>0</v>
      </c>
      <c r="AY1224" s="36">
        <v>1196</v>
      </c>
      <c r="AZ1224" s="33">
        <v>4</v>
      </c>
      <c r="BA1224" s="33">
        <v>3</v>
      </c>
      <c r="BB1224" s="33">
        <v>0</v>
      </c>
      <c r="BC1224" s="33">
        <v>0</v>
      </c>
      <c r="BD1224" s="43">
        <v>4.1532060460370328E-2</v>
      </c>
      <c r="BE1224" s="33">
        <v>0</v>
      </c>
      <c r="BF1224" s="33">
        <v>0</v>
      </c>
      <c r="CE1224" s="36">
        <v>1190</v>
      </c>
      <c r="CF1224" s="33">
        <v>2</v>
      </c>
      <c r="CG1224" s="33">
        <v>2</v>
      </c>
      <c r="CH1224" s="33">
        <v>4</v>
      </c>
      <c r="CI1224" s="33">
        <v>3</v>
      </c>
      <c r="CJ1224" s="33">
        <v>1</v>
      </c>
      <c r="CK1224" s="33">
        <v>0</v>
      </c>
      <c r="CL1224" s="33">
        <v>2</v>
      </c>
      <c r="CM1224" s="33">
        <v>3</v>
      </c>
      <c r="CN1224" s="33">
        <v>6</v>
      </c>
      <c r="CO1224" s="33">
        <v>0</v>
      </c>
      <c r="CP1224" s="43">
        <v>1.199603679240323E-2</v>
      </c>
      <c r="CQ1224" s="33">
        <v>0</v>
      </c>
      <c r="CR1224" s="33">
        <v>0</v>
      </c>
    </row>
    <row r="1225" spans="1:96" ht="15" customHeight="1" x14ac:dyDescent="0.25">
      <c r="A1225" s="26">
        <v>1223</v>
      </c>
      <c r="B1225" s="27">
        <v>47</v>
      </c>
      <c r="C1225" s="27">
        <v>1</v>
      </c>
      <c r="D1225" s="27">
        <v>2</v>
      </c>
      <c r="E1225" s="27">
        <v>1093</v>
      </c>
      <c r="F1225" s="27">
        <v>1</v>
      </c>
      <c r="G1225" s="27">
        <v>9</v>
      </c>
      <c r="H1225" s="27">
        <v>3</v>
      </c>
      <c r="I1225" s="27">
        <v>1</v>
      </c>
      <c r="J1225" s="27">
        <v>1</v>
      </c>
      <c r="K1225" s="27">
        <v>1716</v>
      </c>
      <c r="L1225" s="27">
        <v>3</v>
      </c>
      <c r="M1225" s="27">
        <v>1</v>
      </c>
      <c r="N1225" s="27">
        <v>82</v>
      </c>
      <c r="O1225" s="27">
        <v>1</v>
      </c>
      <c r="P1225" s="27">
        <v>4</v>
      </c>
      <c r="Q1225" s="27">
        <v>1</v>
      </c>
      <c r="R1225" s="27">
        <v>3</v>
      </c>
      <c r="S1225" s="27">
        <v>2</v>
      </c>
      <c r="T1225" s="27">
        <v>12936</v>
      </c>
      <c r="U1225" s="27">
        <v>24164</v>
      </c>
      <c r="V1225" s="27">
        <v>7</v>
      </c>
      <c r="W1225" s="27">
        <v>0</v>
      </c>
      <c r="X1225" s="27">
        <v>11</v>
      </c>
      <c r="Y1225" s="27">
        <v>3</v>
      </c>
      <c r="Z1225" s="27">
        <v>3</v>
      </c>
      <c r="AA1225" s="27">
        <v>80</v>
      </c>
      <c r="AB1225" s="27">
        <v>0</v>
      </c>
      <c r="AC1225" s="27">
        <v>25</v>
      </c>
      <c r="AD1225" s="27">
        <v>3</v>
      </c>
      <c r="AE1225" s="27">
        <v>1</v>
      </c>
      <c r="AF1225" s="27">
        <v>23</v>
      </c>
      <c r="AG1225" s="27">
        <v>5</v>
      </c>
      <c r="AH1225" s="27">
        <v>14</v>
      </c>
      <c r="AI1225" s="28">
        <v>10</v>
      </c>
      <c r="AK1225" s="36">
        <v>1192</v>
      </c>
      <c r="AL1225" s="33">
        <v>5</v>
      </c>
      <c r="AM1225" s="33">
        <v>2</v>
      </c>
      <c r="AN1225" s="33">
        <v>4</v>
      </c>
      <c r="AO1225" s="33">
        <v>1</v>
      </c>
      <c r="AP1225" s="33">
        <v>0</v>
      </c>
      <c r="AQ1225" s="33">
        <v>2</v>
      </c>
      <c r="AR1225" s="33">
        <v>3</v>
      </c>
      <c r="AS1225" s="33">
        <v>10</v>
      </c>
      <c r="AT1225" s="33">
        <v>0</v>
      </c>
      <c r="AU1225" s="43">
        <v>1.299749097433524E-2</v>
      </c>
      <c r="AV1225" s="33">
        <v>0</v>
      </c>
      <c r="AW1225" s="33">
        <v>0</v>
      </c>
      <c r="AY1225" s="36">
        <v>1197</v>
      </c>
      <c r="AZ1225" s="33">
        <v>3</v>
      </c>
      <c r="BA1225" s="33">
        <v>3</v>
      </c>
      <c r="BB1225" s="33">
        <v>1</v>
      </c>
      <c r="BC1225" s="33">
        <v>0</v>
      </c>
      <c r="BD1225" s="43">
        <v>0.24457985721149755</v>
      </c>
      <c r="BE1225" s="33">
        <v>0</v>
      </c>
      <c r="BF1225" s="33">
        <v>0</v>
      </c>
      <c r="CE1225" s="36">
        <v>1191</v>
      </c>
      <c r="CF1225" s="33">
        <v>2</v>
      </c>
      <c r="CG1225" s="33">
        <v>2</v>
      </c>
      <c r="CH1225" s="33">
        <v>2</v>
      </c>
      <c r="CI1225" s="33">
        <v>3</v>
      </c>
      <c r="CJ1225" s="33">
        <v>0</v>
      </c>
      <c r="CK1225" s="33">
        <v>0</v>
      </c>
      <c r="CL1225" s="33">
        <v>2</v>
      </c>
      <c r="CM1225" s="33">
        <v>2</v>
      </c>
      <c r="CN1225" s="33">
        <v>9</v>
      </c>
      <c r="CO1225" s="33">
        <v>1</v>
      </c>
      <c r="CP1225" s="43">
        <v>2.3461979565300359E-2</v>
      </c>
      <c r="CQ1225" s="33">
        <v>0</v>
      </c>
      <c r="CR1225" s="33">
        <v>0</v>
      </c>
    </row>
    <row r="1226" spans="1:96" ht="15" customHeight="1" x14ac:dyDescent="0.25">
      <c r="A1226" s="26">
        <v>1224</v>
      </c>
      <c r="B1226" s="27">
        <v>26</v>
      </c>
      <c r="C1226" s="27">
        <v>0</v>
      </c>
      <c r="D1226" s="27">
        <v>1</v>
      </c>
      <c r="E1226" s="27">
        <v>390</v>
      </c>
      <c r="F1226" s="27">
        <v>2</v>
      </c>
      <c r="G1226" s="27">
        <v>17</v>
      </c>
      <c r="H1226" s="27">
        <v>4</v>
      </c>
      <c r="I1226" s="27">
        <v>3</v>
      </c>
      <c r="J1226" s="27">
        <v>1</v>
      </c>
      <c r="K1226" s="27">
        <v>1718</v>
      </c>
      <c r="L1226" s="27">
        <v>4</v>
      </c>
      <c r="M1226" s="27">
        <v>1</v>
      </c>
      <c r="N1226" s="27">
        <v>62</v>
      </c>
      <c r="O1226" s="27">
        <v>1</v>
      </c>
      <c r="P1226" s="27">
        <v>1</v>
      </c>
      <c r="Q1226" s="27">
        <v>3</v>
      </c>
      <c r="R1226" s="27">
        <v>3</v>
      </c>
      <c r="S1226" s="27">
        <v>2</v>
      </c>
      <c r="T1226" s="27">
        <v>2305</v>
      </c>
      <c r="U1226" s="27">
        <v>6217</v>
      </c>
      <c r="V1226" s="27">
        <v>1</v>
      </c>
      <c r="W1226" s="27">
        <v>0</v>
      </c>
      <c r="X1226" s="27">
        <v>15</v>
      </c>
      <c r="Y1226" s="27">
        <v>3</v>
      </c>
      <c r="Z1226" s="27">
        <v>3</v>
      </c>
      <c r="AA1226" s="27">
        <v>80</v>
      </c>
      <c r="AB1226" s="27">
        <v>3</v>
      </c>
      <c r="AC1226" s="27">
        <v>3</v>
      </c>
      <c r="AD1226" s="27">
        <v>3</v>
      </c>
      <c r="AE1226" s="27">
        <v>4</v>
      </c>
      <c r="AF1226" s="27">
        <v>3</v>
      </c>
      <c r="AG1226" s="27">
        <v>2</v>
      </c>
      <c r="AH1226" s="27">
        <v>0</v>
      </c>
      <c r="AI1226" s="28">
        <v>2</v>
      </c>
      <c r="AK1226" s="36">
        <v>1193</v>
      </c>
      <c r="AL1226" s="33">
        <v>16</v>
      </c>
      <c r="AM1226" s="33">
        <v>1</v>
      </c>
      <c r="AN1226" s="33">
        <v>1</v>
      </c>
      <c r="AO1226" s="33">
        <v>4</v>
      </c>
      <c r="AP1226" s="33">
        <v>1</v>
      </c>
      <c r="AQ1226" s="33">
        <v>1</v>
      </c>
      <c r="AR1226" s="33">
        <v>2</v>
      </c>
      <c r="AS1226" s="33">
        <v>2</v>
      </c>
      <c r="AT1226" s="33">
        <v>2</v>
      </c>
      <c r="AU1226" s="43">
        <v>0.6895871285847236</v>
      </c>
      <c r="AV1226" s="33">
        <v>1</v>
      </c>
      <c r="AW1226" s="33">
        <v>0</v>
      </c>
      <c r="AY1226" s="36">
        <v>1198</v>
      </c>
      <c r="AZ1226" s="33">
        <v>1</v>
      </c>
      <c r="BA1226" s="33">
        <v>1</v>
      </c>
      <c r="BB1226" s="33">
        <v>0</v>
      </c>
      <c r="BC1226" s="33">
        <v>0</v>
      </c>
      <c r="BD1226" s="43">
        <v>0.29341085656570393</v>
      </c>
      <c r="BE1226" s="33">
        <v>0</v>
      </c>
      <c r="BF1226" s="33">
        <v>0</v>
      </c>
      <c r="CE1226" s="36">
        <v>1192</v>
      </c>
      <c r="CF1226" s="33">
        <v>5</v>
      </c>
      <c r="CG1226" s="33">
        <v>2</v>
      </c>
      <c r="CH1226" s="33">
        <v>4</v>
      </c>
      <c r="CI1226" s="33">
        <v>2</v>
      </c>
      <c r="CJ1226" s="33">
        <v>1</v>
      </c>
      <c r="CK1226" s="33">
        <v>0</v>
      </c>
      <c r="CL1226" s="33">
        <v>2</v>
      </c>
      <c r="CM1226" s="33">
        <v>3</v>
      </c>
      <c r="CN1226" s="33">
        <v>10</v>
      </c>
      <c r="CO1226" s="33">
        <v>0</v>
      </c>
      <c r="CP1226" s="43">
        <v>1.7166716229896007E-2</v>
      </c>
      <c r="CQ1226" s="33">
        <v>0</v>
      </c>
      <c r="CR1226" s="33">
        <v>0</v>
      </c>
    </row>
    <row r="1227" spans="1:96" ht="15" customHeight="1" x14ac:dyDescent="0.25">
      <c r="A1227" s="26">
        <v>1225</v>
      </c>
      <c r="B1227" s="27">
        <v>45</v>
      </c>
      <c r="C1227" s="27">
        <v>0</v>
      </c>
      <c r="D1227" s="27">
        <v>1</v>
      </c>
      <c r="E1227" s="27">
        <v>1005</v>
      </c>
      <c r="F1227" s="27">
        <v>2</v>
      </c>
      <c r="G1227" s="27">
        <v>28</v>
      </c>
      <c r="H1227" s="27">
        <v>2</v>
      </c>
      <c r="I1227" s="27">
        <v>5</v>
      </c>
      <c r="J1227" s="27">
        <v>1</v>
      </c>
      <c r="K1227" s="27">
        <v>1719</v>
      </c>
      <c r="L1227" s="27">
        <v>4</v>
      </c>
      <c r="M1227" s="27">
        <v>0</v>
      </c>
      <c r="N1227" s="27">
        <v>48</v>
      </c>
      <c r="O1227" s="27">
        <v>2</v>
      </c>
      <c r="P1227" s="27">
        <v>4</v>
      </c>
      <c r="Q1227" s="27">
        <v>8</v>
      </c>
      <c r="R1227" s="27">
        <v>2</v>
      </c>
      <c r="S1227" s="27">
        <v>1</v>
      </c>
      <c r="T1227" s="27">
        <v>16704</v>
      </c>
      <c r="U1227" s="27">
        <v>17119</v>
      </c>
      <c r="V1227" s="27">
        <v>1</v>
      </c>
      <c r="W1227" s="27">
        <v>0</v>
      </c>
      <c r="X1227" s="27">
        <v>11</v>
      </c>
      <c r="Y1227" s="27">
        <v>3</v>
      </c>
      <c r="Z1227" s="27">
        <v>3</v>
      </c>
      <c r="AA1227" s="27">
        <v>80</v>
      </c>
      <c r="AB1227" s="27">
        <v>0</v>
      </c>
      <c r="AC1227" s="27">
        <v>21</v>
      </c>
      <c r="AD1227" s="27">
        <v>2</v>
      </c>
      <c r="AE1227" s="27">
        <v>3</v>
      </c>
      <c r="AF1227" s="27">
        <v>21</v>
      </c>
      <c r="AG1227" s="27">
        <v>6</v>
      </c>
      <c r="AH1227" s="27">
        <v>8</v>
      </c>
      <c r="AI1227" s="28">
        <v>6</v>
      </c>
      <c r="AK1227" s="36">
        <v>1194</v>
      </c>
      <c r="AL1227" s="33">
        <v>2</v>
      </c>
      <c r="AM1227" s="33">
        <v>1</v>
      </c>
      <c r="AN1227" s="33">
        <v>2</v>
      </c>
      <c r="AO1227" s="33">
        <v>1</v>
      </c>
      <c r="AP1227" s="33">
        <v>0</v>
      </c>
      <c r="AQ1227" s="33">
        <v>0</v>
      </c>
      <c r="AR1227" s="33">
        <v>3</v>
      </c>
      <c r="AS1227" s="33">
        <v>4</v>
      </c>
      <c r="AT1227" s="33">
        <v>3</v>
      </c>
      <c r="AU1227" s="43">
        <v>0.19968512959341891</v>
      </c>
      <c r="AV1227" s="33">
        <v>0</v>
      </c>
      <c r="AW1227" s="33">
        <v>0</v>
      </c>
      <c r="AY1227" s="36">
        <v>1199</v>
      </c>
      <c r="AZ1227" s="33">
        <v>2</v>
      </c>
      <c r="BA1227" s="33">
        <v>4</v>
      </c>
      <c r="BB1227" s="33">
        <v>1</v>
      </c>
      <c r="BC1227" s="33">
        <v>1</v>
      </c>
      <c r="BD1227" s="43">
        <v>0.19951405628110813</v>
      </c>
      <c r="BE1227" s="33">
        <v>0</v>
      </c>
      <c r="BF1227" s="33">
        <v>0</v>
      </c>
      <c r="CE1227" s="36">
        <v>1193</v>
      </c>
      <c r="CF1227" s="33">
        <v>16</v>
      </c>
      <c r="CG1227" s="33">
        <v>1</v>
      </c>
      <c r="CH1227" s="33">
        <v>1</v>
      </c>
      <c r="CI1227" s="33">
        <v>3</v>
      </c>
      <c r="CJ1227" s="33">
        <v>4</v>
      </c>
      <c r="CK1227" s="33">
        <v>1</v>
      </c>
      <c r="CL1227" s="33">
        <v>1</v>
      </c>
      <c r="CM1227" s="33">
        <v>2</v>
      </c>
      <c r="CN1227" s="33">
        <v>2</v>
      </c>
      <c r="CO1227" s="33">
        <v>2</v>
      </c>
      <c r="CP1227" s="43">
        <v>0.57296617972436947</v>
      </c>
      <c r="CQ1227" s="33">
        <v>1</v>
      </c>
      <c r="CR1227" s="33">
        <v>0</v>
      </c>
    </row>
    <row r="1228" spans="1:96" ht="15" customHeight="1" x14ac:dyDescent="0.25">
      <c r="A1228" s="26">
        <v>1226</v>
      </c>
      <c r="B1228" s="27">
        <v>32</v>
      </c>
      <c r="C1228" s="27">
        <v>0</v>
      </c>
      <c r="D1228" s="27">
        <v>2</v>
      </c>
      <c r="E1228" s="27">
        <v>585</v>
      </c>
      <c r="F1228" s="27">
        <v>2</v>
      </c>
      <c r="G1228" s="27">
        <v>10</v>
      </c>
      <c r="H1228" s="27">
        <v>3</v>
      </c>
      <c r="I1228" s="27">
        <v>1</v>
      </c>
      <c r="J1228" s="27">
        <v>1</v>
      </c>
      <c r="K1228" s="27">
        <v>1720</v>
      </c>
      <c r="L1228" s="27">
        <v>1</v>
      </c>
      <c r="M1228" s="27">
        <v>1</v>
      </c>
      <c r="N1228" s="27">
        <v>56</v>
      </c>
      <c r="O1228" s="27">
        <v>3</v>
      </c>
      <c r="P1228" s="27">
        <v>1</v>
      </c>
      <c r="Q1228" s="27">
        <v>2</v>
      </c>
      <c r="R1228" s="27">
        <v>3</v>
      </c>
      <c r="S1228" s="27">
        <v>2</v>
      </c>
      <c r="T1228" s="27">
        <v>3433</v>
      </c>
      <c r="U1228" s="27">
        <v>17360</v>
      </c>
      <c r="V1228" s="27">
        <v>6</v>
      </c>
      <c r="W1228" s="27">
        <v>0</v>
      </c>
      <c r="X1228" s="27">
        <v>13</v>
      </c>
      <c r="Y1228" s="27">
        <v>3</v>
      </c>
      <c r="Z1228" s="27">
        <v>1</v>
      </c>
      <c r="AA1228" s="27">
        <v>80</v>
      </c>
      <c r="AB1228" s="27">
        <v>1</v>
      </c>
      <c r="AC1228" s="27">
        <v>10</v>
      </c>
      <c r="AD1228" s="27">
        <v>3</v>
      </c>
      <c r="AE1228" s="27">
        <v>2</v>
      </c>
      <c r="AF1228" s="27">
        <v>5</v>
      </c>
      <c r="AG1228" s="27">
        <v>2</v>
      </c>
      <c r="AH1228" s="27">
        <v>1</v>
      </c>
      <c r="AI1228" s="28">
        <v>3</v>
      </c>
      <c r="AK1228" s="36">
        <v>1195</v>
      </c>
      <c r="AL1228" s="33">
        <v>2</v>
      </c>
      <c r="AM1228" s="33">
        <v>4</v>
      </c>
      <c r="AN1228" s="33">
        <v>2</v>
      </c>
      <c r="AO1228" s="33">
        <v>6</v>
      </c>
      <c r="AP1228" s="33">
        <v>0</v>
      </c>
      <c r="AQ1228" s="33">
        <v>3</v>
      </c>
      <c r="AR1228" s="33">
        <v>3</v>
      </c>
      <c r="AS1228" s="33">
        <v>3</v>
      </c>
      <c r="AT1228" s="33">
        <v>1</v>
      </c>
      <c r="AU1228" s="43">
        <v>1.1217077991979369E-2</v>
      </c>
      <c r="AV1228" s="33">
        <v>0</v>
      </c>
      <c r="AW1228" s="33">
        <v>0</v>
      </c>
      <c r="AY1228" s="36">
        <v>1200</v>
      </c>
      <c r="AZ1228" s="33">
        <v>2</v>
      </c>
      <c r="BA1228" s="33">
        <v>3</v>
      </c>
      <c r="BB1228" s="33">
        <v>0</v>
      </c>
      <c r="BC1228" s="33">
        <v>2</v>
      </c>
      <c r="BD1228" s="43">
        <v>4.4052611042036123E-2</v>
      </c>
      <c r="BE1228" s="33">
        <v>0</v>
      </c>
      <c r="BF1228" s="33">
        <v>0</v>
      </c>
      <c r="CE1228" s="36">
        <v>1194</v>
      </c>
      <c r="CF1228" s="33">
        <v>2</v>
      </c>
      <c r="CG1228" s="33">
        <v>1</v>
      </c>
      <c r="CH1228" s="33">
        <v>2</v>
      </c>
      <c r="CI1228" s="33">
        <v>1</v>
      </c>
      <c r="CJ1228" s="33">
        <v>1</v>
      </c>
      <c r="CK1228" s="33">
        <v>0</v>
      </c>
      <c r="CL1228" s="33">
        <v>0</v>
      </c>
      <c r="CM1228" s="33">
        <v>3</v>
      </c>
      <c r="CN1228" s="33">
        <v>4</v>
      </c>
      <c r="CO1228" s="33">
        <v>3</v>
      </c>
      <c r="CP1228" s="43">
        <v>0.2312714737952786</v>
      </c>
      <c r="CQ1228" s="33">
        <v>0</v>
      </c>
      <c r="CR1228" s="33">
        <v>0</v>
      </c>
    </row>
    <row r="1229" spans="1:96" ht="15" customHeight="1" x14ac:dyDescent="0.25">
      <c r="A1229" s="26">
        <v>1227</v>
      </c>
      <c r="B1229" s="27">
        <v>31</v>
      </c>
      <c r="C1229" s="27">
        <v>0</v>
      </c>
      <c r="D1229" s="27">
        <v>1</v>
      </c>
      <c r="E1229" s="27">
        <v>741</v>
      </c>
      <c r="F1229" s="27">
        <v>2</v>
      </c>
      <c r="G1229" s="27">
        <v>2</v>
      </c>
      <c r="H1229" s="27">
        <v>4</v>
      </c>
      <c r="I1229" s="27">
        <v>1</v>
      </c>
      <c r="J1229" s="27">
        <v>1</v>
      </c>
      <c r="K1229" s="27">
        <v>1721</v>
      </c>
      <c r="L1229" s="27">
        <v>2</v>
      </c>
      <c r="M1229" s="27">
        <v>1</v>
      </c>
      <c r="N1229" s="27">
        <v>69</v>
      </c>
      <c r="O1229" s="27">
        <v>3</v>
      </c>
      <c r="P1229" s="27">
        <v>1</v>
      </c>
      <c r="Q1229" s="27">
        <v>3</v>
      </c>
      <c r="R1229" s="27">
        <v>3</v>
      </c>
      <c r="S1229" s="27">
        <v>2</v>
      </c>
      <c r="T1229" s="27">
        <v>3477</v>
      </c>
      <c r="U1229" s="27">
        <v>18103</v>
      </c>
      <c r="V1229" s="27">
        <v>1</v>
      </c>
      <c r="W1229" s="27">
        <v>0</v>
      </c>
      <c r="X1229" s="27">
        <v>14</v>
      </c>
      <c r="Y1229" s="27">
        <v>3</v>
      </c>
      <c r="Z1229" s="27">
        <v>4</v>
      </c>
      <c r="AA1229" s="27">
        <v>80</v>
      </c>
      <c r="AB1229" s="27">
        <v>1</v>
      </c>
      <c r="AC1229" s="27">
        <v>6</v>
      </c>
      <c r="AD1229" s="27">
        <v>2</v>
      </c>
      <c r="AE1229" s="27">
        <v>4</v>
      </c>
      <c r="AF1229" s="27">
        <v>5</v>
      </c>
      <c r="AG1229" s="27">
        <v>2</v>
      </c>
      <c r="AH1229" s="27">
        <v>0</v>
      </c>
      <c r="AI1229" s="28">
        <v>3</v>
      </c>
      <c r="AK1229" s="36">
        <v>1196</v>
      </c>
      <c r="AL1229" s="33">
        <v>1</v>
      </c>
      <c r="AM1229" s="33">
        <v>4</v>
      </c>
      <c r="AN1229" s="33">
        <v>3</v>
      </c>
      <c r="AO1229" s="33">
        <v>4</v>
      </c>
      <c r="AP1229" s="33">
        <v>0</v>
      </c>
      <c r="AQ1229" s="33">
        <v>0</v>
      </c>
      <c r="AR1229" s="33">
        <v>3</v>
      </c>
      <c r="AS1229" s="33">
        <v>8</v>
      </c>
      <c r="AT1229" s="33">
        <v>0</v>
      </c>
      <c r="AU1229" s="43">
        <v>2.3085800944514207E-2</v>
      </c>
      <c r="AV1229" s="33">
        <v>0</v>
      </c>
      <c r="AW1229" s="33">
        <v>0</v>
      </c>
      <c r="AY1229" s="36">
        <v>1201</v>
      </c>
      <c r="AZ1229" s="33">
        <v>1</v>
      </c>
      <c r="BA1229" s="33">
        <v>4</v>
      </c>
      <c r="BB1229" s="33">
        <v>1</v>
      </c>
      <c r="BC1229" s="33">
        <v>3</v>
      </c>
      <c r="BD1229" s="43">
        <v>0.1316789269181548</v>
      </c>
      <c r="BE1229" s="33">
        <v>0</v>
      </c>
      <c r="BF1229" s="33">
        <v>0</v>
      </c>
      <c r="CE1229" s="36">
        <v>1195</v>
      </c>
      <c r="CF1229" s="33">
        <v>2</v>
      </c>
      <c r="CG1229" s="33">
        <v>4</v>
      </c>
      <c r="CH1229" s="33">
        <v>2</v>
      </c>
      <c r="CI1229" s="33">
        <v>3</v>
      </c>
      <c r="CJ1229" s="33">
        <v>6</v>
      </c>
      <c r="CK1229" s="33">
        <v>0</v>
      </c>
      <c r="CL1229" s="33">
        <v>3</v>
      </c>
      <c r="CM1229" s="33">
        <v>3</v>
      </c>
      <c r="CN1229" s="33">
        <v>3</v>
      </c>
      <c r="CO1229" s="33">
        <v>1</v>
      </c>
      <c r="CP1229" s="43">
        <v>1.2967691829955896E-2</v>
      </c>
      <c r="CQ1229" s="33">
        <v>0</v>
      </c>
      <c r="CR1229" s="33">
        <v>0</v>
      </c>
    </row>
    <row r="1230" spans="1:96" ht="15" customHeight="1" x14ac:dyDescent="0.25">
      <c r="A1230" s="26">
        <v>1228</v>
      </c>
      <c r="B1230" s="27">
        <v>41</v>
      </c>
      <c r="C1230" s="27">
        <v>0</v>
      </c>
      <c r="D1230" s="27">
        <v>3</v>
      </c>
      <c r="E1230" s="27">
        <v>552</v>
      </c>
      <c r="F1230" s="27">
        <v>3</v>
      </c>
      <c r="G1230" s="27">
        <v>4</v>
      </c>
      <c r="H1230" s="27">
        <v>3</v>
      </c>
      <c r="I1230" s="27">
        <v>2</v>
      </c>
      <c r="J1230" s="27">
        <v>1</v>
      </c>
      <c r="K1230" s="27">
        <v>1722</v>
      </c>
      <c r="L1230" s="27">
        <v>3</v>
      </c>
      <c r="M1230" s="27">
        <v>1</v>
      </c>
      <c r="N1230" s="27">
        <v>60</v>
      </c>
      <c r="O1230" s="27">
        <v>1</v>
      </c>
      <c r="P1230" s="27">
        <v>2</v>
      </c>
      <c r="Q1230" s="27">
        <v>9</v>
      </c>
      <c r="R1230" s="27">
        <v>2</v>
      </c>
      <c r="S1230" s="27">
        <v>2</v>
      </c>
      <c r="T1230" s="27">
        <v>6430</v>
      </c>
      <c r="U1230" s="27">
        <v>20794</v>
      </c>
      <c r="V1230" s="27">
        <v>6</v>
      </c>
      <c r="W1230" s="27">
        <v>0</v>
      </c>
      <c r="X1230" s="27">
        <v>19</v>
      </c>
      <c r="Y1230" s="27">
        <v>3</v>
      </c>
      <c r="Z1230" s="27">
        <v>2</v>
      </c>
      <c r="AA1230" s="27">
        <v>80</v>
      </c>
      <c r="AB1230" s="27">
        <v>1</v>
      </c>
      <c r="AC1230" s="27">
        <v>10</v>
      </c>
      <c r="AD1230" s="27">
        <v>4</v>
      </c>
      <c r="AE1230" s="27">
        <v>3</v>
      </c>
      <c r="AF1230" s="27">
        <v>3</v>
      </c>
      <c r="AG1230" s="27">
        <v>2</v>
      </c>
      <c r="AH1230" s="27">
        <v>1</v>
      </c>
      <c r="AI1230" s="28">
        <v>2</v>
      </c>
      <c r="AK1230" s="36">
        <v>1197</v>
      </c>
      <c r="AL1230" s="33">
        <v>23</v>
      </c>
      <c r="AM1230" s="33">
        <v>3</v>
      </c>
      <c r="AN1230" s="33">
        <v>3</v>
      </c>
      <c r="AO1230" s="33">
        <v>3</v>
      </c>
      <c r="AP1230" s="33">
        <v>1</v>
      </c>
      <c r="AQ1230" s="33">
        <v>0</v>
      </c>
      <c r="AR1230" s="33">
        <v>3</v>
      </c>
      <c r="AS1230" s="33">
        <v>2</v>
      </c>
      <c r="AT1230" s="33">
        <v>0</v>
      </c>
      <c r="AU1230" s="43">
        <v>0.34758487150551759</v>
      </c>
      <c r="AV1230" s="33">
        <v>0</v>
      </c>
      <c r="AW1230" s="33">
        <v>0</v>
      </c>
      <c r="AY1230" s="36">
        <v>1202</v>
      </c>
      <c r="AZ1230" s="33">
        <v>1</v>
      </c>
      <c r="BA1230" s="33">
        <v>3</v>
      </c>
      <c r="BB1230" s="33">
        <v>1</v>
      </c>
      <c r="BC1230" s="33">
        <v>0</v>
      </c>
      <c r="BD1230" s="43">
        <v>0.49727340882350407</v>
      </c>
      <c r="BE1230" s="33">
        <v>0</v>
      </c>
      <c r="BF1230" s="33">
        <v>1</v>
      </c>
      <c r="CE1230" s="36">
        <v>1196</v>
      </c>
      <c r="CF1230" s="33">
        <v>1</v>
      </c>
      <c r="CG1230" s="33">
        <v>4</v>
      </c>
      <c r="CH1230" s="33">
        <v>3</v>
      </c>
      <c r="CI1230" s="33">
        <v>1</v>
      </c>
      <c r="CJ1230" s="33">
        <v>4</v>
      </c>
      <c r="CK1230" s="33">
        <v>0</v>
      </c>
      <c r="CL1230" s="33">
        <v>0</v>
      </c>
      <c r="CM1230" s="33">
        <v>3</v>
      </c>
      <c r="CN1230" s="33">
        <v>8</v>
      </c>
      <c r="CO1230" s="33">
        <v>0</v>
      </c>
      <c r="CP1230" s="43">
        <v>2.7961929919207783E-2</v>
      </c>
      <c r="CQ1230" s="33">
        <v>0</v>
      </c>
      <c r="CR1230" s="33">
        <v>0</v>
      </c>
    </row>
    <row r="1231" spans="1:96" ht="15" customHeight="1" x14ac:dyDescent="0.25">
      <c r="A1231" s="26">
        <v>1229</v>
      </c>
      <c r="B1231" s="27">
        <v>40</v>
      </c>
      <c r="C1231" s="27">
        <v>0</v>
      </c>
      <c r="D1231" s="27">
        <v>1</v>
      </c>
      <c r="E1231" s="27">
        <v>369</v>
      </c>
      <c r="F1231" s="27">
        <v>2</v>
      </c>
      <c r="G1231" s="27">
        <v>8</v>
      </c>
      <c r="H1231" s="27">
        <v>2</v>
      </c>
      <c r="I1231" s="27">
        <v>1</v>
      </c>
      <c r="J1231" s="27">
        <v>1</v>
      </c>
      <c r="K1231" s="27">
        <v>1724</v>
      </c>
      <c r="L1231" s="27">
        <v>2</v>
      </c>
      <c r="M1231" s="27">
        <v>0</v>
      </c>
      <c r="N1231" s="27">
        <v>92</v>
      </c>
      <c r="O1231" s="27">
        <v>3</v>
      </c>
      <c r="P1231" s="27">
        <v>2</v>
      </c>
      <c r="Q1231" s="27">
        <v>4</v>
      </c>
      <c r="R1231" s="27">
        <v>1</v>
      </c>
      <c r="S1231" s="27">
        <v>2</v>
      </c>
      <c r="T1231" s="27">
        <v>6516</v>
      </c>
      <c r="U1231" s="27">
        <v>5041</v>
      </c>
      <c r="V1231" s="27">
        <v>2</v>
      </c>
      <c r="W1231" s="27">
        <v>1</v>
      </c>
      <c r="X1231" s="27">
        <v>16</v>
      </c>
      <c r="Y1231" s="27">
        <v>3</v>
      </c>
      <c r="Z1231" s="27">
        <v>2</v>
      </c>
      <c r="AA1231" s="27">
        <v>80</v>
      </c>
      <c r="AB1231" s="27">
        <v>1</v>
      </c>
      <c r="AC1231" s="27">
        <v>18</v>
      </c>
      <c r="AD1231" s="27">
        <v>3</v>
      </c>
      <c r="AE1231" s="27">
        <v>3</v>
      </c>
      <c r="AF1231" s="27">
        <v>1</v>
      </c>
      <c r="AG1231" s="27">
        <v>0</v>
      </c>
      <c r="AH1231" s="27">
        <v>0</v>
      </c>
      <c r="AI1231" s="28">
        <v>0</v>
      </c>
      <c r="AK1231" s="36">
        <v>1198</v>
      </c>
      <c r="AL1231" s="33">
        <v>9</v>
      </c>
      <c r="AM1231" s="33">
        <v>1</v>
      </c>
      <c r="AN1231" s="33">
        <v>1</v>
      </c>
      <c r="AO1231" s="33">
        <v>1</v>
      </c>
      <c r="AP1231" s="33">
        <v>0</v>
      </c>
      <c r="AQ1231" s="33">
        <v>0</v>
      </c>
      <c r="AR1231" s="33">
        <v>3</v>
      </c>
      <c r="AS1231" s="33">
        <v>2</v>
      </c>
      <c r="AT1231" s="33">
        <v>0</v>
      </c>
      <c r="AU1231" s="43">
        <v>0.25795560477064389</v>
      </c>
      <c r="AV1231" s="33">
        <v>0</v>
      </c>
      <c r="AW1231" s="33">
        <v>0</v>
      </c>
      <c r="AY1231" s="36">
        <v>1203</v>
      </c>
      <c r="AZ1231" s="33">
        <v>1</v>
      </c>
      <c r="BA1231" s="33">
        <v>3</v>
      </c>
      <c r="BB1231" s="33">
        <v>0</v>
      </c>
      <c r="BC1231" s="33">
        <v>1</v>
      </c>
      <c r="BD1231" s="43">
        <v>0.12012271365792118</v>
      </c>
      <c r="BE1231" s="33">
        <v>0</v>
      </c>
      <c r="BF1231" s="33">
        <v>0</v>
      </c>
      <c r="CE1231" s="36">
        <v>1197</v>
      </c>
      <c r="CF1231" s="33">
        <v>23</v>
      </c>
      <c r="CG1231" s="33">
        <v>3</v>
      </c>
      <c r="CH1231" s="33">
        <v>3</v>
      </c>
      <c r="CI1231" s="33">
        <v>1</v>
      </c>
      <c r="CJ1231" s="33">
        <v>3</v>
      </c>
      <c r="CK1231" s="33">
        <v>1</v>
      </c>
      <c r="CL1231" s="33">
        <v>0</v>
      </c>
      <c r="CM1231" s="33">
        <v>3</v>
      </c>
      <c r="CN1231" s="33">
        <v>2</v>
      </c>
      <c r="CO1231" s="33">
        <v>0</v>
      </c>
      <c r="CP1231" s="43">
        <v>0.39905019541773629</v>
      </c>
      <c r="CQ1231" s="33">
        <v>0</v>
      </c>
      <c r="CR1231" s="33">
        <v>0</v>
      </c>
    </row>
    <row r="1232" spans="1:96" ht="15" customHeight="1" x14ac:dyDescent="0.25">
      <c r="A1232" s="26">
        <v>1230</v>
      </c>
      <c r="B1232" s="27">
        <v>24</v>
      </c>
      <c r="C1232" s="27">
        <v>0</v>
      </c>
      <c r="D1232" s="27">
        <v>1</v>
      </c>
      <c r="E1232" s="27">
        <v>506</v>
      </c>
      <c r="F1232" s="27">
        <v>2</v>
      </c>
      <c r="G1232" s="27">
        <v>29</v>
      </c>
      <c r="H1232" s="27">
        <v>1</v>
      </c>
      <c r="I1232" s="27">
        <v>3</v>
      </c>
      <c r="J1232" s="27">
        <v>1</v>
      </c>
      <c r="K1232" s="27">
        <v>1725</v>
      </c>
      <c r="L1232" s="27">
        <v>2</v>
      </c>
      <c r="M1232" s="27">
        <v>1</v>
      </c>
      <c r="N1232" s="27">
        <v>91</v>
      </c>
      <c r="O1232" s="27">
        <v>3</v>
      </c>
      <c r="P1232" s="27">
        <v>1</v>
      </c>
      <c r="Q1232" s="27">
        <v>3</v>
      </c>
      <c r="R1232" s="27">
        <v>1</v>
      </c>
      <c r="S1232" s="27">
        <v>3</v>
      </c>
      <c r="T1232" s="27">
        <v>3907</v>
      </c>
      <c r="U1232" s="27">
        <v>3622</v>
      </c>
      <c r="V1232" s="27">
        <v>1</v>
      </c>
      <c r="W1232" s="27">
        <v>0</v>
      </c>
      <c r="X1232" s="27">
        <v>13</v>
      </c>
      <c r="Y1232" s="27">
        <v>3</v>
      </c>
      <c r="Z1232" s="27">
        <v>2</v>
      </c>
      <c r="AA1232" s="27">
        <v>80</v>
      </c>
      <c r="AB1232" s="27">
        <v>3</v>
      </c>
      <c r="AC1232" s="27">
        <v>6</v>
      </c>
      <c r="AD1232" s="27">
        <v>2</v>
      </c>
      <c r="AE1232" s="27">
        <v>4</v>
      </c>
      <c r="AF1232" s="27">
        <v>6</v>
      </c>
      <c r="AG1232" s="27">
        <v>2</v>
      </c>
      <c r="AH1232" s="27">
        <v>1</v>
      </c>
      <c r="AI1232" s="28">
        <v>2</v>
      </c>
      <c r="AK1232" s="36">
        <v>1199</v>
      </c>
      <c r="AL1232" s="33">
        <v>16</v>
      </c>
      <c r="AM1232" s="33">
        <v>2</v>
      </c>
      <c r="AN1232" s="33">
        <v>4</v>
      </c>
      <c r="AO1232" s="33">
        <v>1</v>
      </c>
      <c r="AP1232" s="33">
        <v>1</v>
      </c>
      <c r="AQ1232" s="33">
        <v>1</v>
      </c>
      <c r="AR1232" s="33">
        <v>3</v>
      </c>
      <c r="AS1232" s="33">
        <v>6</v>
      </c>
      <c r="AT1232" s="33">
        <v>1</v>
      </c>
      <c r="AU1232" s="43">
        <v>0.18008984008819903</v>
      </c>
      <c r="AV1232" s="33">
        <v>0</v>
      </c>
      <c r="AW1232" s="33">
        <v>0</v>
      </c>
      <c r="AY1232" s="36">
        <v>1204</v>
      </c>
      <c r="AZ1232" s="33">
        <v>3</v>
      </c>
      <c r="BA1232" s="33">
        <v>4</v>
      </c>
      <c r="BB1232" s="33">
        <v>0</v>
      </c>
      <c r="BC1232" s="33">
        <v>0</v>
      </c>
      <c r="BD1232" s="43">
        <v>5.3512841598087578E-2</v>
      </c>
      <c r="BE1232" s="33">
        <v>0</v>
      </c>
      <c r="BF1232" s="33">
        <v>0</v>
      </c>
      <c r="CE1232" s="36">
        <v>1198</v>
      </c>
      <c r="CF1232" s="33">
        <v>9</v>
      </c>
      <c r="CG1232" s="33">
        <v>1</v>
      </c>
      <c r="CH1232" s="33">
        <v>1</v>
      </c>
      <c r="CI1232" s="33">
        <v>1</v>
      </c>
      <c r="CJ1232" s="33">
        <v>1</v>
      </c>
      <c r="CK1232" s="33">
        <v>0</v>
      </c>
      <c r="CL1232" s="33">
        <v>0</v>
      </c>
      <c r="CM1232" s="33">
        <v>3</v>
      </c>
      <c r="CN1232" s="33">
        <v>2</v>
      </c>
      <c r="CO1232" s="33">
        <v>0</v>
      </c>
      <c r="CP1232" s="43">
        <v>0.297050647643119</v>
      </c>
      <c r="CQ1232" s="33">
        <v>0</v>
      </c>
      <c r="CR1232" s="33">
        <v>0</v>
      </c>
    </row>
    <row r="1233" spans="1:96" ht="15" customHeight="1" x14ac:dyDescent="0.25">
      <c r="A1233" s="26">
        <v>1231</v>
      </c>
      <c r="B1233" s="27">
        <v>46</v>
      </c>
      <c r="C1233" s="27">
        <v>0</v>
      </c>
      <c r="D1233" s="27">
        <v>1</v>
      </c>
      <c r="E1233" s="27">
        <v>717</v>
      </c>
      <c r="F1233" s="27">
        <v>2</v>
      </c>
      <c r="G1233" s="27">
        <v>13</v>
      </c>
      <c r="H1233" s="27">
        <v>4</v>
      </c>
      <c r="I1233" s="27">
        <v>1</v>
      </c>
      <c r="J1233" s="27">
        <v>1</v>
      </c>
      <c r="K1233" s="27">
        <v>1727</v>
      </c>
      <c r="L1233" s="27">
        <v>3</v>
      </c>
      <c r="M1233" s="27">
        <v>1</v>
      </c>
      <c r="N1233" s="27">
        <v>34</v>
      </c>
      <c r="O1233" s="27">
        <v>3</v>
      </c>
      <c r="P1233" s="27">
        <v>2</v>
      </c>
      <c r="Q1233" s="27">
        <v>5</v>
      </c>
      <c r="R1233" s="27">
        <v>2</v>
      </c>
      <c r="S1233" s="27">
        <v>1</v>
      </c>
      <c r="T1233" s="27">
        <v>5562</v>
      </c>
      <c r="U1233" s="27">
        <v>9697</v>
      </c>
      <c r="V1233" s="27">
        <v>6</v>
      </c>
      <c r="W1233" s="27">
        <v>0</v>
      </c>
      <c r="X1233" s="27">
        <v>14</v>
      </c>
      <c r="Y1233" s="27">
        <v>3</v>
      </c>
      <c r="Z1233" s="27">
        <v>4</v>
      </c>
      <c r="AA1233" s="27">
        <v>80</v>
      </c>
      <c r="AB1233" s="27">
        <v>0</v>
      </c>
      <c r="AC1233" s="27">
        <v>19</v>
      </c>
      <c r="AD1233" s="27">
        <v>3</v>
      </c>
      <c r="AE1233" s="27">
        <v>3</v>
      </c>
      <c r="AF1233" s="27">
        <v>10</v>
      </c>
      <c r="AG1233" s="27">
        <v>7</v>
      </c>
      <c r="AH1233" s="27">
        <v>0</v>
      </c>
      <c r="AI1233" s="28">
        <v>9</v>
      </c>
      <c r="AK1233" s="36">
        <v>1200</v>
      </c>
      <c r="AL1233" s="33">
        <v>26</v>
      </c>
      <c r="AM1233" s="33">
        <v>2</v>
      </c>
      <c r="AN1233" s="33">
        <v>3</v>
      </c>
      <c r="AO1233" s="33">
        <v>6</v>
      </c>
      <c r="AP1233" s="33">
        <v>0</v>
      </c>
      <c r="AQ1233" s="33">
        <v>2</v>
      </c>
      <c r="AR1233" s="33">
        <v>2</v>
      </c>
      <c r="AS1233" s="33">
        <v>3</v>
      </c>
      <c r="AT1233" s="33">
        <v>0</v>
      </c>
      <c r="AU1233" s="43">
        <v>0.10208030487556004</v>
      </c>
      <c r="AV1233" s="33">
        <v>0</v>
      </c>
      <c r="AW1233" s="33">
        <v>0</v>
      </c>
      <c r="AY1233" s="36">
        <v>1205</v>
      </c>
      <c r="AZ1233" s="33">
        <v>1</v>
      </c>
      <c r="BA1233" s="33">
        <v>3</v>
      </c>
      <c r="BB1233" s="33">
        <v>1</v>
      </c>
      <c r="BC1233" s="33">
        <v>2</v>
      </c>
      <c r="BD1233" s="43">
        <v>0.25613021805548125</v>
      </c>
      <c r="BE1233" s="33">
        <v>0</v>
      </c>
      <c r="BF1233" s="33">
        <v>1</v>
      </c>
      <c r="CE1233" s="36">
        <v>1199</v>
      </c>
      <c r="CF1233" s="33">
        <v>16</v>
      </c>
      <c r="CG1233" s="33">
        <v>2</v>
      </c>
      <c r="CH1233" s="33">
        <v>4</v>
      </c>
      <c r="CI1233" s="33">
        <v>3</v>
      </c>
      <c r="CJ1233" s="33">
        <v>1</v>
      </c>
      <c r="CK1233" s="33">
        <v>1</v>
      </c>
      <c r="CL1233" s="33">
        <v>1</v>
      </c>
      <c r="CM1233" s="33">
        <v>3</v>
      </c>
      <c r="CN1233" s="33">
        <v>6</v>
      </c>
      <c r="CO1233" s="33">
        <v>1</v>
      </c>
      <c r="CP1233" s="43">
        <v>0.1101215229014082</v>
      </c>
      <c r="CQ1233" s="33">
        <v>0</v>
      </c>
      <c r="CR1233" s="33">
        <v>0</v>
      </c>
    </row>
    <row r="1234" spans="1:96" ht="15" customHeight="1" x14ac:dyDescent="0.25">
      <c r="A1234" s="26">
        <v>1232</v>
      </c>
      <c r="B1234" s="27">
        <v>35</v>
      </c>
      <c r="C1234" s="27">
        <v>0</v>
      </c>
      <c r="D1234" s="27">
        <v>1</v>
      </c>
      <c r="E1234" s="27">
        <v>1370</v>
      </c>
      <c r="F1234" s="27">
        <v>2</v>
      </c>
      <c r="G1234" s="27">
        <v>27</v>
      </c>
      <c r="H1234" s="27">
        <v>4</v>
      </c>
      <c r="I1234" s="27">
        <v>1</v>
      </c>
      <c r="J1234" s="27">
        <v>1</v>
      </c>
      <c r="K1234" s="27">
        <v>1728</v>
      </c>
      <c r="L1234" s="27">
        <v>4</v>
      </c>
      <c r="M1234" s="27">
        <v>1</v>
      </c>
      <c r="N1234" s="27">
        <v>49</v>
      </c>
      <c r="O1234" s="27">
        <v>3</v>
      </c>
      <c r="P1234" s="27">
        <v>2</v>
      </c>
      <c r="Q1234" s="27">
        <v>4</v>
      </c>
      <c r="R1234" s="27">
        <v>3</v>
      </c>
      <c r="S1234" s="27">
        <v>2</v>
      </c>
      <c r="T1234" s="27">
        <v>6883</v>
      </c>
      <c r="U1234" s="27">
        <v>5151</v>
      </c>
      <c r="V1234" s="27">
        <v>2</v>
      </c>
      <c r="W1234" s="27">
        <v>0</v>
      </c>
      <c r="X1234" s="27">
        <v>16</v>
      </c>
      <c r="Y1234" s="27">
        <v>3</v>
      </c>
      <c r="Z1234" s="27">
        <v>2</v>
      </c>
      <c r="AA1234" s="27">
        <v>80</v>
      </c>
      <c r="AB1234" s="27">
        <v>1</v>
      </c>
      <c r="AC1234" s="27">
        <v>17</v>
      </c>
      <c r="AD1234" s="27">
        <v>3</v>
      </c>
      <c r="AE1234" s="27">
        <v>3</v>
      </c>
      <c r="AF1234" s="27">
        <v>7</v>
      </c>
      <c r="AG1234" s="27">
        <v>7</v>
      </c>
      <c r="AH1234" s="27">
        <v>0</v>
      </c>
      <c r="AI1234" s="28">
        <v>7</v>
      </c>
      <c r="AK1234" s="36">
        <v>1201</v>
      </c>
      <c r="AL1234" s="33">
        <v>1</v>
      </c>
      <c r="AM1234" s="33">
        <v>1</v>
      </c>
      <c r="AN1234" s="33">
        <v>4</v>
      </c>
      <c r="AO1234" s="33">
        <v>4</v>
      </c>
      <c r="AP1234" s="33">
        <v>1</v>
      </c>
      <c r="AQ1234" s="33">
        <v>3</v>
      </c>
      <c r="AR1234" s="33">
        <v>3</v>
      </c>
      <c r="AS1234" s="33">
        <v>2</v>
      </c>
      <c r="AT1234" s="33">
        <v>2</v>
      </c>
      <c r="AU1234" s="43">
        <v>0.12463899641452947</v>
      </c>
      <c r="AV1234" s="33">
        <v>0</v>
      </c>
      <c r="AW1234" s="33">
        <v>0</v>
      </c>
      <c r="AY1234" s="36">
        <v>1206</v>
      </c>
      <c r="AZ1234" s="33">
        <v>1</v>
      </c>
      <c r="BA1234" s="33">
        <v>2</v>
      </c>
      <c r="BB1234" s="33">
        <v>0</v>
      </c>
      <c r="BC1234" s="33">
        <v>0</v>
      </c>
      <c r="BD1234" s="43">
        <v>0.23662845161334917</v>
      </c>
      <c r="BE1234" s="33">
        <v>0</v>
      </c>
      <c r="BF1234" s="33">
        <v>1</v>
      </c>
      <c r="CE1234" s="36">
        <v>1200</v>
      </c>
      <c r="CF1234" s="33">
        <v>26</v>
      </c>
      <c r="CG1234" s="33">
        <v>2</v>
      </c>
      <c r="CH1234" s="33">
        <v>3</v>
      </c>
      <c r="CI1234" s="33">
        <v>2</v>
      </c>
      <c r="CJ1234" s="33">
        <v>6</v>
      </c>
      <c r="CK1234" s="33">
        <v>0</v>
      </c>
      <c r="CL1234" s="33">
        <v>2</v>
      </c>
      <c r="CM1234" s="33">
        <v>2</v>
      </c>
      <c r="CN1234" s="33">
        <v>3</v>
      </c>
      <c r="CO1234" s="33">
        <v>0</v>
      </c>
      <c r="CP1234" s="43">
        <v>0.13556450336508322</v>
      </c>
      <c r="CQ1234" s="33">
        <v>0</v>
      </c>
      <c r="CR1234" s="33">
        <v>0</v>
      </c>
    </row>
    <row r="1235" spans="1:96" ht="15" customHeight="1" x14ac:dyDescent="0.25">
      <c r="A1235" s="26">
        <v>1233</v>
      </c>
      <c r="B1235" s="27">
        <v>30</v>
      </c>
      <c r="C1235" s="27">
        <v>0</v>
      </c>
      <c r="D1235" s="27">
        <v>1</v>
      </c>
      <c r="E1235" s="27">
        <v>793</v>
      </c>
      <c r="F1235" s="27">
        <v>2</v>
      </c>
      <c r="G1235" s="27">
        <v>16</v>
      </c>
      <c r="H1235" s="27">
        <v>1</v>
      </c>
      <c r="I1235" s="27">
        <v>1</v>
      </c>
      <c r="J1235" s="27">
        <v>1</v>
      </c>
      <c r="K1235" s="27">
        <v>1729</v>
      </c>
      <c r="L1235" s="27">
        <v>2</v>
      </c>
      <c r="M1235" s="27">
        <v>1</v>
      </c>
      <c r="N1235" s="27">
        <v>33</v>
      </c>
      <c r="O1235" s="27">
        <v>3</v>
      </c>
      <c r="P1235" s="27">
        <v>1</v>
      </c>
      <c r="Q1235" s="27">
        <v>2</v>
      </c>
      <c r="R1235" s="27">
        <v>4</v>
      </c>
      <c r="S1235" s="27">
        <v>2</v>
      </c>
      <c r="T1235" s="27">
        <v>2862</v>
      </c>
      <c r="U1235" s="27">
        <v>3811</v>
      </c>
      <c r="V1235" s="27">
        <v>1</v>
      </c>
      <c r="W1235" s="27">
        <v>0</v>
      </c>
      <c r="X1235" s="27">
        <v>12</v>
      </c>
      <c r="Y1235" s="27">
        <v>3</v>
      </c>
      <c r="Z1235" s="27">
        <v>2</v>
      </c>
      <c r="AA1235" s="27">
        <v>80</v>
      </c>
      <c r="AB1235" s="27">
        <v>1</v>
      </c>
      <c r="AC1235" s="27">
        <v>10</v>
      </c>
      <c r="AD1235" s="27">
        <v>2</v>
      </c>
      <c r="AE1235" s="27">
        <v>2</v>
      </c>
      <c r="AF1235" s="27">
        <v>10</v>
      </c>
      <c r="AG1235" s="27">
        <v>0</v>
      </c>
      <c r="AH1235" s="27">
        <v>0</v>
      </c>
      <c r="AI1235" s="28">
        <v>8</v>
      </c>
      <c r="AK1235" s="36">
        <v>1202</v>
      </c>
      <c r="AL1235" s="33">
        <v>8</v>
      </c>
      <c r="AM1235" s="33">
        <v>1</v>
      </c>
      <c r="AN1235" s="33">
        <v>3</v>
      </c>
      <c r="AO1235" s="33">
        <v>1</v>
      </c>
      <c r="AP1235" s="33">
        <v>1</v>
      </c>
      <c r="AQ1235" s="33">
        <v>0</v>
      </c>
      <c r="AR1235" s="33">
        <v>3</v>
      </c>
      <c r="AS1235" s="33">
        <v>5</v>
      </c>
      <c r="AT1235" s="33">
        <v>1</v>
      </c>
      <c r="AU1235" s="43">
        <v>0.42507051817256825</v>
      </c>
      <c r="AV1235" s="33">
        <v>0</v>
      </c>
      <c r="AW1235" s="33">
        <v>1</v>
      </c>
      <c r="AY1235" s="36">
        <v>1207</v>
      </c>
      <c r="AZ1235" s="33">
        <v>1</v>
      </c>
      <c r="BA1235" s="33">
        <v>4</v>
      </c>
      <c r="BB1235" s="33">
        <v>0</v>
      </c>
      <c r="BC1235" s="33">
        <v>0</v>
      </c>
      <c r="BD1235" s="43">
        <v>0.1472907617042678</v>
      </c>
      <c r="BE1235" s="33">
        <v>0</v>
      </c>
      <c r="BF1235" s="33">
        <v>0</v>
      </c>
      <c r="CE1235" s="36">
        <v>1201</v>
      </c>
      <c r="CF1235" s="33">
        <v>1</v>
      </c>
      <c r="CG1235" s="33">
        <v>1</v>
      </c>
      <c r="CH1235" s="33">
        <v>4</v>
      </c>
      <c r="CI1235" s="33">
        <v>3</v>
      </c>
      <c r="CJ1235" s="33">
        <v>4</v>
      </c>
      <c r="CK1235" s="33">
        <v>1</v>
      </c>
      <c r="CL1235" s="33">
        <v>3</v>
      </c>
      <c r="CM1235" s="33">
        <v>3</v>
      </c>
      <c r="CN1235" s="33">
        <v>2</v>
      </c>
      <c r="CO1235" s="33">
        <v>2</v>
      </c>
      <c r="CP1235" s="43">
        <v>0.13799439690491497</v>
      </c>
      <c r="CQ1235" s="33">
        <v>0</v>
      </c>
      <c r="CR1235" s="33">
        <v>0</v>
      </c>
    </row>
    <row r="1236" spans="1:96" ht="15" customHeight="1" x14ac:dyDescent="0.25">
      <c r="A1236" s="26">
        <v>1234</v>
      </c>
      <c r="B1236" s="27">
        <v>47</v>
      </c>
      <c r="C1236" s="27">
        <v>0</v>
      </c>
      <c r="D1236" s="27">
        <v>3</v>
      </c>
      <c r="E1236" s="27">
        <v>543</v>
      </c>
      <c r="F1236" s="27">
        <v>1</v>
      </c>
      <c r="G1236" s="27">
        <v>2</v>
      </c>
      <c r="H1236" s="27">
        <v>4</v>
      </c>
      <c r="I1236" s="27">
        <v>4</v>
      </c>
      <c r="J1236" s="27">
        <v>1</v>
      </c>
      <c r="K1236" s="27">
        <v>1731</v>
      </c>
      <c r="L1236" s="27">
        <v>3</v>
      </c>
      <c r="M1236" s="27">
        <v>1</v>
      </c>
      <c r="N1236" s="27">
        <v>87</v>
      </c>
      <c r="O1236" s="27">
        <v>3</v>
      </c>
      <c r="P1236" s="27">
        <v>2</v>
      </c>
      <c r="Q1236" s="27">
        <v>1</v>
      </c>
      <c r="R1236" s="27">
        <v>2</v>
      </c>
      <c r="S1236" s="27">
        <v>2</v>
      </c>
      <c r="T1236" s="27">
        <v>4978</v>
      </c>
      <c r="U1236" s="27">
        <v>3536</v>
      </c>
      <c r="V1236" s="27">
        <v>7</v>
      </c>
      <c r="W1236" s="27">
        <v>0</v>
      </c>
      <c r="X1236" s="27">
        <v>11</v>
      </c>
      <c r="Y1236" s="27">
        <v>3</v>
      </c>
      <c r="Z1236" s="27">
        <v>4</v>
      </c>
      <c r="AA1236" s="27">
        <v>80</v>
      </c>
      <c r="AB1236" s="27">
        <v>1</v>
      </c>
      <c r="AC1236" s="27">
        <v>4</v>
      </c>
      <c r="AD1236" s="27">
        <v>3</v>
      </c>
      <c r="AE1236" s="27">
        <v>1</v>
      </c>
      <c r="AF1236" s="27">
        <v>1</v>
      </c>
      <c r="AG1236" s="27">
        <v>0</v>
      </c>
      <c r="AH1236" s="27">
        <v>0</v>
      </c>
      <c r="AI1236" s="28">
        <v>0</v>
      </c>
      <c r="AK1236" s="36">
        <v>1203</v>
      </c>
      <c r="AL1236" s="33">
        <v>4</v>
      </c>
      <c r="AM1236" s="33">
        <v>1</v>
      </c>
      <c r="AN1236" s="33">
        <v>3</v>
      </c>
      <c r="AO1236" s="33">
        <v>7</v>
      </c>
      <c r="AP1236" s="33">
        <v>0</v>
      </c>
      <c r="AQ1236" s="33">
        <v>1</v>
      </c>
      <c r="AR1236" s="33">
        <v>2</v>
      </c>
      <c r="AS1236" s="33">
        <v>0</v>
      </c>
      <c r="AT1236" s="33">
        <v>0</v>
      </c>
      <c r="AU1236" s="43">
        <v>0.18312609653637607</v>
      </c>
      <c r="AV1236" s="33">
        <v>0</v>
      </c>
      <c r="AW1236" s="33">
        <v>0</v>
      </c>
      <c r="AY1236" s="36">
        <v>1208</v>
      </c>
      <c r="AZ1236" s="33">
        <v>1</v>
      </c>
      <c r="BA1236" s="33">
        <v>2</v>
      </c>
      <c r="BB1236" s="33">
        <v>0</v>
      </c>
      <c r="BC1236" s="33">
        <v>1</v>
      </c>
      <c r="BD1236" s="43">
        <v>0.15461023487664</v>
      </c>
      <c r="BE1236" s="33">
        <v>0</v>
      </c>
      <c r="BF1236" s="33">
        <v>0</v>
      </c>
      <c r="CE1236" s="36">
        <v>1202</v>
      </c>
      <c r="CF1236" s="33">
        <v>8</v>
      </c>
      <c r="CG1236" s="33">
        <v>1</v>
      </c>
      <c r="CH1236" s="33">
        <v>3</v>
      </c>
      <c r="CI1236" s="33">
        <v>1</v>
      </c>
      <c r="CJ1236" s="33">
        <v>1</v>
      </c>
      <c r="CK1236" s="33">
        <v>1</v>
      </c>
      <c r="CL1236" s="33">
        <v>0</v>
      </c>
      <c r="CM1236" s="33">
        <v>3</v>
      </c>
      <c r="CN1236" s="33">
        <v>5</v>
      </c>
      <c r="CO1236" s="33">
        <v>1</v>
      </c>
      <c r="CP1236" s="43">
        <v>0.47468607187401951</v>
      </c>
      <c r="CQ1236" s="33">
        <v>0</v>
      </c>
      <c r="CR1236" s="33">
        <v>1</v>
      </c>
    </row>
    <row r="1237" spans="1:96" ht="15" customHeight="1" x14ac:dyDescent="0.25">
      <c r="A1237" s="26">
        <v>1235</v>
      </c>
      <c r="B1237" s="27">
        <v>46</v>
      </c>
      <c r="C1237" s="27">
        <v>0</v>
      </c>
      <c r="D1237" s="27">
        <v>1</v>
      </c>
      <c r="E1237" s="27">
        <v>1277</v>
      </c>
      <c r="F1237" s="27">
        <v>1</v>
      </c>
      <c r="G1237" s="27">
        <v>2</v>
      </c>
      <c r="H1237" s="27">
        <v>3</v>
      </c>
      <c r="I1237" s="27">
        <v>1</v>
      </c>
      <c r="J1237" s="27">
        <v>1</v>
      </c>
      <c r="K1237" s="27">
        <v>1732</v>
      </c>
      <c r="L1237" s="27">
        <v>3</v>
      </c>
      <c r="M1237" s="27">
        <v>1</v>
      </c>
      <c r="N1237" s="27">
        <v>74</v>
      </c>
      <c r="O1237" s="27">
        <v>3</v>
      </c>
      <c r="P1237" s="27">
        <v>3</v>
      </c>
      <c r="Q1237" s="27">
        <v>1</v>
      </c>
      <c r="R1237" s="27">
        <v>4</v>
      </c>
      <c r="S1237" s="27">
        <v>3</v>
      </c>
      <c r="T1237" s="27">
        <v>10368</v>
      </c>
      <c r="U1237" s="27">
        <v>5596</v>
      </c>
      <c r="V1237" s="27">
        <v>4</v>
      </c>
      <c r="W1237" s="27">
        <v>1</v>
      </c>
      <c r="X1237" s="27">
        <v>12</v>
      </c>
      <c r="Y1237" s="27">
        <v>3</v>
      </c>
      <c r="Z1237" s="27">
        <v>2</v>
      </c>
      <c r="AA1237" s="27">
        <v>80</v>
      </c>
      <c r="AB1237" s="27">
        <v>1</v>
      </c>
      <c r="AC1237" s="27">
        <v>13</v>
      </c>
      <c r="AD1237" s="27">
        <v>5</v>
      </c>
      <c r="AE1237" s="27">
        <v>2</v>
      </c>
      <c r="AF1237" s="27">
        <v>10</v>
      </c>
      <c r="AG1237" s="27">
        <v>6</v>
      </c>
      <c r="AH1237" s="27">
        <v>0</v>
      </c>
      <c r="AI1237" s="28">
        <v>3</v>
      </c>
      <c r="AK1237" s="36">
        <v>1204</v>
      </c>
      <c r="AL1237" s="33">
        <v>24</v>
      </c>
      <c r="AM1237" s="33">
        <v>3</v>
      </c>
      <c r="AN1237" s="33">
        <v>4</v>
      </c>
      <c r="AO1237" s="33">
        <v>3</v>
      </c>
      <c r="AP1237" s="33">
        <v>0</v>
      </c>
      <c r="AQ1237" s="33">
        <v>0</v>
      </c>
      <c r="AR1237" s="33">
        <v>3</v>
      </c>
      <c r="AS1237" s="33">
        <v>4</v>
      </c>
      <c r="AT1237" s="33">
        <v>1</v>
      </c>
      <c r="AU1237" s="43">
        <v>8.3615422944555151E-2</v>
      </c>
      <c r="AV1237" s="33">
        <v>0</v>
      </c>
      <c r="AW1237" s="33">
        <v>0</v>
      </c>
      <c r="AY1237" s="36">
        <v>1209</v>
      </c>
      <c r="AZ1237" s="33">
        <v>2</v>
      </c>
      <c r="BA1237" s="33">
        <v>4</v>
      </c>
      <c r="BB1237" s="33">
        <v>0</v>
      </c>
      <c r="BC1237" s="33">
        <v>1</v>
      </c>
      <c r="BD1237" s="43">
        <v>5.5093218126976727E-2</v>
      </c>
      <c r="BE1237" s="33">
        <v>0</v>
      </c>
      <c r="BF1237" s="33">
        <v>0</v>
      </c>
      <c r="CE1237" s="36">
        <v>1203</v>
      </c>
      <c r="CF1237" s="33">
        <v>4</v>
      </c>
      <c r="CG1237" s="33">
        <v>1</v>
      </c>
      <c r="CH1237" s="33">
        <v>3</v>
      </c>
      <c r="CI1237" s="33">
        <v>2</v>
      </c>
      <c r="CJ1237" s="33">
        <v>7</v>
      </c>
      <c r="CK1237" s="33">
        <v>0</v>
      </c>
      <c r="CL1237" s="33">
        <v>1</v>
      </c>
      <c r="CM1237" s="33">
        <v>2</v>
      </c>
      <c r="CN1237" s="33">
        <v>0</v>
      </c>
      <c r="CO1237" s="33">
        <v>0</v>
      </c>
      <c r="CP1237" s="43">
        <v>0.1796187386372575</v>
      </c>
      <c r="CQ1237" s="33">
        <v>0</v>
      </c>
      <c r="CR1237" s="33">
        <v>0</v>
      </c>
    </row>
    <row r="1238" spans="1:96" ht="15" customHeight="1" x14ac:dyDescent="0.25">
      <c r="A1238" s="26">
        <v>1236</v>
      </c>
      <c r="B1238" s="27">
        <v>36</v>
      </c>
      <c r="C1238" s="27">
        <v>1</v>
      </c>
      <c r="D1238" s="27">
        <v>1</v>
      </c>
      <c r="E1238" s="27">
        <v>1456</v>
      </c>
      <c r="F1238" s="27">
        <v>1</v>
      </c>
      <c r="G1238" s="27">
        <v>13</v>
      </c>
      <c r="H1238" s="27">
        <v>5</v>
      </c>
      <c r="I1238" s="27">
        <v>4</v>
      </c>
      <c r="J1238" s="27">
        <v>1</v>
      </c>
      <c r="K1238" s="27">
        <v>1733</v>
      </c>
      <c r="L1238" s="27">
        <v>2</v>
      </c>
      <c r="M1238" s="27">
        <v>1</v>
      </c>
      <c r="N1238" s="27">
        <v>96</v>
      </c>
      <c r="O1238" s="27">
        <v>2</v>
      </c>
      <c r="P1238" s="27">
        <v>2</v>
      </c>
      <c r="Q1238" s="27">
        <v>1</v>
      </c>
      <c r="R1238" s="27">
        <v>1</v>
      </c>
      <c r="S1238" s="27">
        <v>3</v>
      </c>
      <c r="T1238" s="27">
        <v>6134</v>
      </c>
      <c r="U1238" s="27">
        <v>8658</v>
      </c>
      <c r="V1238" s="27">
        <v>5</v>
      </c>
      <c r="W1238" s="27">
        <v>1</v>
      </c>
      <c r="X1238" s="27">
        <v>13</v>
      </c>
      <c r="Y1238" s="27">
        <v>3</v>
      </c>
      <c r="Z1238" s="27">
        <v>2</v>
      </c>
      <c r="AA1238" s="27">
        <v>80</v>
      </c>
      <c r="AB1238" s="27">
        <v>3</v>
      </c>
      <c r="AC1238" s="27">
        <v>16</v>
      </c>
      <c r="AD1238" s="27">
        <v>3</v>
      </c>
      <c r="AE1238" s="27">
        <v>3</v>
      </c>
      <c r="AF1238" s="27">
        <v>2</v>
      </c>
      <c r="AG1238" s="27">
        <v>2</v>
      </c>
      <c r="AH1238" s="27">
        <v>2</v>
      </c>
      <c r="AI1238" s="28">
        <v>2</v>
      </c>
      <c r="AK1238" s="36">
        <v>1205</v>
      </c>
      <c r="AL1238" s="33">
        <v>7</v>
      </c>
      <c r="AM1238" s="33">
        <v>1</v>
      </c>
      <c r="AN1238" s="33">
        <v>3</v>
      </c>
      <c r="AO1238" s="33">
        <v>2</v>
      </c>
      <c r="AP1238" s="33">
        <v>1</v>
      </c>
      <c r="AQ1238" s="33">
        <v>2</v>
      </c>
      <c r="AR1238" s="33">
        <v>3</v>
      </c>
      <c r="AS1238" s="33">
        <v>9</v>
      </c>
      <c r="AT1238" s="33">
        <v>7</v>
      </c>
      <c r="AU1238" s="43">
        <v>0.27008090842760824</v>
      </c>
      <c r="AV1238" s="33">
        <v>0</v>
      </c>
      <c r="AW1238" s="33">
        <v>1</v>
      </c>
      <c r="AY1238" s="36">
        <v>1210</v>
      </c>
      <c r="AZ1238" s="33">
        <v>3</v>
      </c>
      <c r="BA1238" s="33">
        <v>4</v>
      </c>
      <c r="BB1238" s="33">
        <v>0</v>
      </c>
      <c r="BC1238" s="33">
        <v>1</v>
      </c>
      <c r="BD1238" s="43">
        <v>3.2280700557178299E-2</v>
      </c>
      <c r="BE1238" s="33">
        <v>0</v>
      </c>
      <c r="BF1238" s="33">
        <v>0</v>
      </c>
      <c r="CE1238" s="36">
        <v>1204</v>
      </c>
      <c r="CF1238" s="33">
        <v>24</v>
      </c>
      <c r="CG1238" s="33">
        <v>3</v>
      </c>
      <c r="CH1238" s="33">
        <v>4</v>
      </c>
      <c r="CI1238" s="33">
        <v>2</v>
      </c>
      <c r="CJ1238" s="33">
        <v>3</v>
      </c>
      <c r="CK1238" s="33">
        <v>0</v>
      </c>
      <c r="CL1238" s="33">
        <v>0</v>
      </c>
      <c r="CM1238" s="33">
        <v>3</v>
      </c>
      <c r="CN1238" s="33">
        <v>4</v>
      </c>
      <c r="CO1238" s="33">
        <v>1</v>
      </c>
      <c r="CP1238" s="43">
        <v>5.8134731986759725E-2</v>
      </c>
      <c r="CQ1238" s="33">
        <v>0</v>
      </c>
      <c r="CR1238" s="33">
        <v>0</v>
      </c>
    </row>
    <row r="1239" spans="1:96" ht="15" customHeight="1" x14ac:dyDescent="0.25">
      <c r="A1239" s="26">
        <v>1237</v>
      </c>
      <c r="B1239" s="27">
        <v>32</v>
      </c>
      <c r="C1239" s="27">
        <v>1</v>
      </c>
      <c r="D1239" s="27">
        <v>1</v>
      </c>
      <c r="E1239" s="27">
        <v>964</v>
      </c>
      <c r="F1239" s="27">
        <v>1</v>
      </c>
      <c r="G1239" s="27">
        <v>1</v>
      </c>
      <c r="H1239" s="27">
        <v>2</v>
      </c>
      <c r="I1239" s="27">
        <v>1</v>
      </c>
      <c r="J1239" s="27">
        <v>1</v>
      </c>
      <c r="K1239" s="27">
        <v>1734</v>
      </c>
      <c r="L1239" s="27">
        <v>1</v>
      </c>
      <c r="M1239" s="27">
        <v>1</v>
      </c>
      <c r="N1239" s="27">
        <v>34</v>
      </c>
      <c r="O1239" s="27">
        <v>1</v>
      </c>
      <c r="P1239" s="27">
        <v>2</v>
      </c>
      <c r="Q1239" s="27">
        <v>1</v>
      </c>
      <c r="R1239" s="27">
        <v>2</v>
      </c>
      <c r="S1239" s="27">
        <v>1</v>
      </c>
      <c r="T1239" s="27">
        <v>6735</v>
      </c>
      <c r="U1239" s="27">
        <v>12147</v>
      </c>
      <c r="V1239" s="27">
        <v>6</v>
      </c>
      <c r="W1239" s="27">
        <v>0</v>
      </c>
      <c r="X1239" s="27">
        <v>15</v>
      </c>
      <c r="Y1239" s="27">
        <v>3</v>
      </c>
      <c r="Z1239" s="27">
        <v>2</v>
      </c>
      <c r="AA1239" s="27">
        <v>80</v>
      </c>
      <c r="AB1239" s="27">
        <v>0</v>
      </c>
      <c r="AC1239" s="27">
        <v>10</v>
      </c>
      <c r="AD1239" s="27">
        <v>2</v>
      </c>
      <c r="AE1239" s="27">
        <v>3</v>
      </c>
      <c r="AF1239" s="27">
        <v>0</v>
      </c>
      <c r="AG1239" s="27">
        <v>0</v>
      </c>
      <c r="AH1239" s="27">
        <v>0</v>
      </c>
      <c r="AI1239" s="28">
        <v>0</v>
      </c>
      <c r="AK1239" s="36">
        <v>1206</v>
      </c>
      <c r="AL1239" s="33">
        <v>2</v>
      </c>
      <c r="AM1239" s="33">
        <v>1</v>
      </c>
      <c r="AN1239" s="33">
        <v>2</v>
      </c>
      <c r="AO1239" s="33">
        <v>1</v>
      </c>
      <c r="AP1239" s="33">
        <v>0</v>
      </c>
      <c r="AQ1239" s="33">
        <v>0</v>
      </c>
      <c r="AR1239" s="33">
        <v>3</v>
      </c>
      <c r="AS1239" s="33">
        <v>1</v>
      </c>
      <c r="AT1239" s="33">
        <v>0</v>
      </c>
      <c r="AU1239" s="43">
        <v>0.18064319661283043</v>
      </c>
      <c r="AV1239" s="33">
        <v>0</v>
      </c>
      <c r="AW1239" s="33">
        <v>1</v>
      </c>
      <c r="AY1239" s="36">
        <v>1211</v>
      </c>
      <c r="AZ1239" s="33">
        <v>1</v>
      </c>
      <c r="BA1239" s="33">
        <v>2</v>
      </c>
      <c r="BB1239" s="33">
        <v>0</v>
      </c>
      <c r="BC1239" s="33">
        <v>3</v>
      </c>
      <c r="BD1239" s="43">
        <v>5.9851914082878141E-2</v>
      </c>
      <c r="BE1239" s="33">
        <v>0</v>
      </c>
      <c r="BF1239" s="33">
        <v>0</v>
      </c>
      <c r="CE1239" s="36">
        <v>1205</v>
      </c>
      <c r="CF1239" s="33">
        <v>7</v>
      </c>
      <c r="CG1239" s="33">
        <v>1</v>
      </c>
      <c r="CH1239" s="33">
        <v>3</v>
      </c>
      <c r="CI1239" s="33">
        <v>2</v>
      </c>
      <c r="CJ1239" s="33">
        <v>2</v>
      </c>
      <c r="CK1239" s="33">
        <v>1</v>
      </c>
      <c r="CL1239" s="33">
        <v>2</v>
      </c>
      <c r="CM1239" s="33">
        <v>3</v>
      </c>
      <c r="CN1239" s="33">
        <v>9</v>
      </c>
      <c r="CO1239" s="33">
        <v>7</v>
      </c>
      <c r="CP1239" s="43">
        <v>0.34479386442414317</v>
      </c>
      <c r="CQ1239" s="33">
        <v>0</v>
      </c>
      <c r="CR1239" s="33">
        <v>1</v>
      </c>
    </row>
    <row r="1240" spans="1:96" ht="15" customHeight="1" x14ac:dyDescent="0.25">
      <c r="A1240" s="26">
        <v>1238</v>
      </c>
      <c r="B1240" s="27">
        <v>23</v>
      </c>
      <c r="C1240" s="27">
        <v>0</v>
      </c>
      <c r="D1240" s="27">
        <v>1</v>
      </c>
      <c r="E1240" s="27">
        <v>160</v>
      </c>
      <c r="F1240" s="27">
        <v>2</v>
      </c>
      <c r="G1240" s="27">
        <v>4</v>
      </c>
      <c r="H1240" s="27">
        <v>1</v>
      </c>
      <c r="I1240" s="27">
        <v>3</v>
      </c>
      <c r="J1240" s="27">
        <v>1</v>
      </c>
      <c r="K1240" s="27">
        <v>1735</v>
      </c>
      <c r="L1240" s="27">
        <v>3</v>
      </c>
      <c r="M1240" s="27">
        <v>0</v>
      </c>
      <c r="N1240" s="27">
        <v>51</v>
      </c>
      <c r="O1240" s="27">
        <v>3</v>
      </c>
      <c r="P1240" s="27">
        <v>1</v>
      </c>
      <c r="Q1240" s="27">
        <v>3</v>
      </c>
      <c r="R1240" s="27">
        <v>2</v>
      </c>
      <c r="S1240" s="27">
        <v>1</v>
      </c>
      <c r="T1240" s="27">
        <v>3295</v>
      </c>
      <c r="U1240" s="27">
        <v>12862</v>
      </c>
      <c r="V1240" s="27">
        <v>1</v>
      </c>
      <c r="W1240" s="27">
        <v>0</v>
      </c>
      <c r="X1240" s="27">
        <v>13</v>
      </c>
      <c r="Y1240" s="27">
        <v>3</v>
      </c>
      <c r="Z1240" s="27">
        <v>3</v>
      </c>
      <c r="AA1240" s="27">
        <v>80</v>
      </c>
      <c r="AB1240" s="27">
        <v>0</v>
      </c>
      <c r="AC1240" s="27">
        <v>3</v>
      </c>
      <c r="AD1240" s="27">
        <v>3</v>
      </c>
      <c r="AE1240" s="27">
        <v>1</v>
      </c>
      <c r="AF1240" s="27">
        <v>3</v>
      </c>
      <c r="AG1240" s="27">
        <v>2</v>
      </c>
      <c r="AH1240" s="27">
        <v>1</v>
      </c>
      <c r="AI1240" s="28">
        <v>2</v>
      </c>
      <c r="AK1240" s="36">
        <v>1207</v>
      </c>
      <c r="AL1240" s="33">
        <v>7</v>
      </c>
      <c r="AM1240" s="33">
        <v>1</v>
      </c>
      <c r="AN1240" s="33">
        <v>4</v>
      </c>
      <c r="AO1240" s="33">
        <v>1</v>
      </c>
      <c r="AP1240" s="33">
        <v>0</v>
      </c>
      <c r="AQ1240" s="33">
        <v>0</v>
      </c>
      <c r="AR1240" s="33">
        <v>3</v>
      </c>
      <c r="AS1240" s="33">
        <v>7</v>
      </c>
      <c r="AT1240" s="33">
        <v>5</v>
      </c>
      <c r="AU1240" s="43">
        <v>0.1426133343077641</v>
      </c>
      <c r="AV1240" s="33">
        <v>0</v>
      </c>
      <c r="AW1240" s="33">
        <v>0</v>
      </c>
      <c r="AY1240" s="36">
        <v>1212</v>
      </c>
      <c r="AZ1240" s="33">
        <v>2</v>
      </c>
      <c r="BA1240" s="33">
        <v>4</v>
      </c>
      <c r="BB1240" s="33">
        <v>0</v>
      </c>
      <c r="BC1240" s="33">
        <v>2</v>
      </c>
      <c r="BD1240" s="43">
        <v>3.3256067423154199E-2</v>
      </c>
      <c r="BE1240" s="33">
        <v>0</v>
      </c>
      <c r="BF1240" s="33">
        <v>0</v>
      </c>
      <c r="CE1240" s="36">
        <v>1206</v>
      </c>
      <c r="CF1240" s="33">
        <v>2</v>
      </c>
      <c r="CG1240" s="33">
        <v>1</v>
      </c>
      <c r="CH1240" s="33">
        <v>2</v>
      </c>
      <c r="CI1240" s="33">
        <v>1</v>
      </c>
      <c r="CJ1240" s="33">
        <v>1</v>
      </c>
      <c r="CK1240" s="33">
        <v>0</v>
      </c>
      <c r="CL1240" s="33">
        <v>0</v>
      </c>
      <c r="CM1240" s="33">
        <v>3</v>
      </c>
      <c r="CN1240" s="33">
        <v>1</v>
      </c>
      <c r="CO1240" s="33">
        <v>0</v>
      </c>
      <c r="CP1240" s="43">
        <v>0.20876998126548302</v>
      </c>
      <c r="CQ1240" s="33">
        <v>0</v>
      </c>
      <c r="CR1240" s="33">
        <v>1</v>
      </c>
    </row>
    <row r="1241" spans="1:96" ht="15" customHeight="1" x14ac:dyDescent="0.25">
      <c r="A1241" s="26">
        <v>1239</v>
      </c>
      <c r="B1241" s="27">
        <v>31</v>
      </c>
      <c r="C1241" s="27">
        <v>0</v>
      </c>
      <c r="D1241" s="27">
        <v>2</v>
      </c>
      <c r="E1241" s="27">
        <v>163</v>
      </c>
      <c r="F1241" s="27">
        <v>2</v>
      </c>
      <c r="G1241" s="27">
        <v>24</v>
      </c>
      <c r="H1241" s="27">
        <v>1</v>
      </c>
      <c r="I1241" s="27">
        <v>5</v>
      </c>
      <c r="J1241" s="27">
        <v>1</v>
      </c>
      <c r="K1241" s="27">
        <v>1736</v>
      </c>
      <c r="L1241" s="27">
        <v>4</v>
      </c>
      <c r="M1241" s="27">
        <v>0</v>
      </c>
      <c r="N1241" s="27">
        <v>30</v>
      </c>
      <c r="O1241" s="27">
        <v>3</v>
      </c>
      <c r="P1241" s="27">
        <v>2</v>
      </c>
      <c r="Q1241" s="27">
        <v>4</v>
      </c>
      <c r="R1241" s="27">
        <v>4</v>
      </c>
      <c r="S1241" s="27">
        <v>1</v>
      </c>
      <c r="T1241" s="27">
        <v>5238</v>
      </c>
      <c r="U1241" s="27">
        <v>6670</v>
      </c>
      <c r="V1241" s="27">
        <v>2</v>
      </c>
      <c r="W1241" s="27">
        <v>0</v>
      </c>
      <c r="X1241" s="27">
        <v>20</v>
      </c>
      <c r="Y1241" s="27">
        <v>4</v>
      </c>
      <c r="Z1241" s="27">
        <v>4</v>
      </c>
      <c r="AA1241" s="27">
        <v>80</v>
      </c>
      <c r="AB1241" s="27">
        <v>0</v>
      </c>
      <c r="AC1241" s="27">
        <v>9</v>
      </c>
      <c r="AD1241" s="27">
        <v>3</v>
      </c>
      <c r="AE1241" s="27">
        <v>2</v>
      </c>
      <c r="AF1241" s="27">
        <v>5</v>
      </c>
      <c r="AG1241" s="27">
        <v>4</v>
      </c>
      <c r="AH1241" s="27">
        <v>1</v>
      </c>
      <c r="AI1241" s="28">
        <v>4</v>
      </c>
      <c r="AK1241" s="36">
        <v>1208</v>
      </c>
      <c r="AL1241" s="33">
        <v>22</v>
      </c>
      <c r="AM1241" s="33">
        <v>1</v>
      </c>
      <c r="AN1241" s="33">
        <v>2</v>
      </c>
      <c r="AO1241" s="33">
        <v>5</v>
      </c>
      <c r="AP1241" s="33">
        <v>0</v>
      </c>
      <c r="AQ1241" s="33">
        <v>1</v>
      </c>
      <c r="AR1241" s="33">
        <v>3</v>
      </c>
      <c r="AS1241" s="33">
        <v>4</v>
      </c>
      <c r="AT1241" s="33">
        <v>1</v>
      </c>
      <c r="AU1241" s="43">
        <v>0.23623840080713057</v>
      </c>
      <c r="AV1241" s="33">
        <v>0</v>
      </c>
      <c r="AW1241" s="33">
        <v>0</v>
      </c>
      <c r="AY1241" s="36">
        <v>1213</v>
      </c>
      <c r="AZ1241" s="33">
        <v>1</v>
      </c>
      <c r="BA1241" s="33">
        <v>4</v>
      </c>
      <c r="BB1241" s="33">
        <v>0</v>
      </c>
      <c r="BC1241" s="33">
        <v>0</v>
      </c>
      <c r="BD1241" s="43">
        <v>0.1472907617042678</v>
      </c>
      <c r="BE1241" s="33">
        <v>0</v>
      </c>
      <c r="BF1241" s="33">
        <v>0</v>
      </c>
      <c r="CE1241" s="36">
        <v>1207</v>
      </c>
      <c r="CF1241" s="33">
        <v>7</v>
      </c>
      <c r="CG1241" s="33">
        <v>1</v>
      </c>
      <c r="CH1241" s="33">
        <v>4</v>
      </c>
      <c r="CI1241" s="33">
        <v>1</v>
      </c>
      <c r="CJ1241" s="33">
        <v>1</v>
      </c>
      <c r="CK1241" s="33">
        <v>0</v>
      </c>
      <c r="CL1241" s="33">
        <v>0</v>
      </c>
      <c r="CM1241" s="33">
        <v>3</v>
      </c>
      <c r="CN1241" s="33">
        <v>7</v>
      </c>
      <c r="CO1241" s="33">
        <v>5</v>
      </c>
      <c r="CP1241" s="43">
        <v>0.16241262648250479</v>
      </c>
      <c r="CQ1241" s="33">
        <v>0</v>
      </c>
      <c r="CR1241" s="33">
        <v>0</v>
      </c>
    </row>
    <row r="1242" spans="1:96" ht="15" customHeight="1" x14ac:dyDescent="0.25">
      <c r="A1242" s="26">
        <v>1240</v>
      </c>
      <c r="B1242" s="27">
        <v>39</v>
      </c>
      <c r="C1242" s="27">
        <v>0</v>
      </c>
      <c r="D1242" s="27">
        <v>3</v>
      </c>
      <c r="E1242" s="27">
        <v>792</v>
      </c>
      <c r="F1242" s="27">
        <v>2</v>
      </c>
      <c r="G1242" s="27">
        <v>1</v>
      </c>
      <c r="H1242" s="27">
        <v>3</v>
      </c>
      <c r="I1242" s="27">
        <v>1</v>
      </c>
      <c r="J1242" s="27">
        <v>1</v>
      </c>
      <c r="K1242" s="27">
        <v>1737</v>
      </c>
      <c r="L1242" s="27">
        <v>4</v>
      </c>
      <c r="M1242" s="27">
        <v>1</v>
      </c>
      <c r="N1242" s="27">
        <v>77</v>
      </c>
      <c r="O1242" s="27">
        <v>3</v>
      </c>
      <c r="P1242" s="27">
        <v>2</v>
      </c>
      <c r="Q1242" s="27">
        <v>3</v>
      </c>
      <c r="R1242" s="27">
        <v>4</v>
      </c>
      <c r="S1242" s="27">
        <v>2</v>
      </c>
      <c r="T1242" s="27">
        <v>6472</v>
      </c>
      <c r="U1242" s="27">
        <v>8989</v>
      </c>
      <c r="V1242" s="27">
        <v>1</v>
      </c>
      <c r="W1242" s="27">
        <v>1</v>
      </c>
      <c r="X1242" s="27">
        <v>15</v>
      </c>
      <c r="Y1242" s="27">
        <v>3</v>
      </c>
      <c r="Z1242" s="27">
        <v>4</v>
      </c>
      <c r="AA1242" s="27">
        <v>80</v>
      </c>
      <c r="AB1242" s="27">
        <v>1</v>
      </c>
      <c r="AC1242" s="27">
        <v>9</v>
      </c>
      <c r="AD1242" s="27">
        <v>2</v>
      </c>
      <c r="AE1242" s="27">
        <v>3</v>
      </c>
      <c r="AF1242" s="27">
        <v>9</v>
      </c>
      <c r="AG1242" s="27">
        <v>8</v>
      </c>
      <c r="AH1242" s="27">
        <v>5</v>
      </c>
      <c r="AI1242" s="28">
        <v>8</v>
      </c>
      <c r="AK1242" s="36">
        <v>1209</v>
      </c>
      <c r="AL1242" s="33">
        <v>5</v>
      </c>
      <c r="AM1242" s="33">
        <v>2</v>
      </c>
      <c r="AN1242" s="33">
        <v>4</v>
      </c>
      <c r="AO1242" s="33">
        <v>1</v>
      </c>
      <c r="AP1242" s="33">
        <v>0</v>
      </c>
      <c r="AQ1242" s="33">
        <v>1</v>
      </c>
      <c r="AR1242" s="33">
        <v>4</v>
      </c>
      <c r="AS1242" s="33">
        <v>15</v>
      </c>
      <c r="AT1242" s="33">
        <v>4</v>
      </c>
      <c r="AU1242" s="43">
        <v>1.9792543538698276E-2</v>
      </c>
      <c r="AV1242" s="33">
        <v>0</v>
      </c>
      <c r="AW1242" s="33">
        <v>0</v>
      </c>
      <c r="AY1242" s="36">
        <v>1214</v>
      </c>
      <c r="AZ1242" s="33">
        <v>1</v>
      </c>
      <c r="BA1242" s="33">
        <v>4</v>
      </c>
      <c r="BB1242" s="33">
        <v>1</v>
      </c>
      <c r="BC1242" s="33">
        <v>1</v>
      </c>
      <c r="BD1242" s="43">
        <v>0.30345027699196836</v>
      </c>
      <c r="BE1242" s="33">
        <v>0</v>
      </c>
      <c r="BF1242" s="33">
        <v>1</v>
      </c>
      <c r="CE1242" s="36">
        <v>1208</v>
      </c>
      <c r="CF1242" s="33">
        <v>22</v>
      </c>
      <c r="CG1242" s="33">
        <v>1</v>
      </c>
      <c r="CH1242" s="33">
        <v>2</v>
      </c>
      <c r="CI1242" s="33">
        <v>3</v>
      </c>
      <c r="CJ1242" s="33">
        <v>5</v>
      </c>
      <c r="CK1242" s="33">
        <v>0</v>
      </c>
      <c r="CL1242" s="33">
        <v>1</v>
      </c>
      <c r="CM1242" s="33">
        <v>3</v>
      </c>
      <c r="CN1242" s="33">
        <v>4</v>
      </c>
      <c r="CO1242" s="33">
        <v>1</v>
      </c>
      <c r="CP1242" s="43">
        <v>0.14717353472973912</v>
      </c>
      <c r="CQ1242" s="33">
        <v>0</v>
      </c>
      <c r="CR1242" s="33">
        <v>0</v>
      </c>
    </row>
    <row r="1243" spans="1:96" ht="15" customHeight="1" x14ac:dyDescent="0.25">
      <c r="A1243" s="26">
        <v>1241</v>
      </c>
      <c r="B1243" s="27">
        <v>32</v>
      </c>
      <c r="C1243" s="27">
        <v>0</v>
      </c>
      <c r="D1243" s="27">
        <v>1</v>
      </c>
      <c r="E1243" s="27">
        <v>371</v>
      </c>
      <c r="F1243" s="27">
        <v>1</v>
      </c>
      <c r="G1243" s="27">
        <v>19</v>
      </c>
      <c r="H1243" s="27">
        <v>3</v>
      </c>
      <c r="I1243" s="27">
        <v>1</v>
      </c>
      <c r="J1243" s="27">
        <v>1</v>
      </c>
      <c r="K1243" s="27">
        <v>1739</v>
      </c>
      <c r="L1243" s="27">
        <v>4</v>
      </c>
      <c r="M1243" s="27">
        <v>1</v>
      </c>
      <c r="N1243" s="27">
        <v>80</v>
      </c>
      <c r="O1243" s="27">
        <v>1</v>
      </c>
      <c r="P1243" s="27">
        <v>3</v>
      </c>
      <c r="Q1243" s="27">
        <v>1</v>
      </c>
      <c r="R1243" s="27">
        <v>3</v>
      </c>
      <c r="S1243" s="27">
        <v>2</v>
      </c>
      <c r="T1243" s="27">
        <v>9610</v>
      </c>
      <c r="U1243" s="27">
        <v>3840</v>
      </c>
      <c r="V1243" s="27">
        <v>3</v>
      </c>
      <c r="W1243" s="27">
        <v>0</v>
      </c>
      <c r="X1243" s="27">
        <v>13</v>
      </c>
      <c r="Y1243" s="27">
        <v>3</v>
      </c>
      <c r="Z1243" s="27">
        <v>3</v>
      </c>
      <c r="AA1243" s="27">
        <v>80</v>
      </c>
      <c r="AB1243" s="27">
        <v>1</v>
      </c>
      <c r="AC1243" s="27">
        <v>10</v>
      </c>
      <c r="AD1243" s="27">
        <v>2</v>
      </c>
      <c r="AE1243" s="27">
        <v>1</v>
      </c>
      <c r="AF1243" s="27">
        <v>4</v>
      </c>
      <c r="AG1243" s="27">
        <v>3</v>
      </c>
      <c r="AH1243" s="27">
        <v>0</v>
      </c>
      <c r="AI1243" s="28">
        <v>2</v>
      </c>
      <c r="AK1243" s="36">
        <v>1210</v>
      </c>
      <c r="AL1243" s="33">
        <v>1</v>
      </c>
      <c r="AM1243" s="33">
        <v>3</v>
      </c>
      <c r="AN1243" s="33">
        <v>4</v>
      </c>
      <c r="AO1243" s="33">
        <v>3</v>
      </c>
      <c r="AP1243" s="33">
        <v>0</v>
      </c>
      <c r="AQ1243" s="33">
        <v>1</v>
      </c>
      <c r="AR1243" s="33">
        <v>4</v>
      </c>
      <c r="AS1243" s="33">
        <v>1</v>
      </c>
      <c r="AT1243" s="33">
        <v>0</v>
      </c>
      <c r="AU1243" s="43">
        <v>2.0541872604899907E-2</v>
      </c>
      <c r="AV1243" s="33">
        <v>0</v>
      </c>
      <c r="AW1243" s="33">
        <v>0</v>
      </c>
      <c r="AY1243" s="36">
        <v>1215</v>
      </c>
      <c r="AZ1243" s="33">
        <v>3</v>
      </c>
      <c r="BA1243" s="33">
        <v>4</v>
      </c>
      <c r="BB1243" s="33">
        <v>1</v>
      </c>
      <c r="BC1243" s="33">
        <v>1</v>
      </c>
      <c r="BD1243" s="43">
        <v>0.12479921665315721</v>
      </c>
      <c r="BE1243" s="33">
        <v>0</v>
      </c>
      <c r="BF1243" s="33">
        <v>0</v>
      </c>
      <c r="CE1243" s="36">
        <v>1209</v>
      </c>
      <c r="CF1243" s="33">
        <v>5</v>
      </c>
      <c r="CG1243" s="33">
        <v>2</v>
      </c>
      <c r="CH1243" s="33">
        <v>4</v>
      </c>
      <c r="CI1243" s="33">
        <v>2</v>
      </c>
      <c r="CJ1243" s="33">
        <v>1</v>
      </c>
      <c r="CK1243" s="33">
        <v>0</v>
      </c>
      <c r="CL1243" s="33">
        <v>1</v>
      </c>
      <c r="CM1243" s="33">
        <v>4</v>
      </c>
      <c r="CN1243" s="33">
        <v>15</v>
      </c>
      <c r="CO1243" s="33">
        <v>4</v>
      </c>
      <c r="CP1243" s="43">
        <v>1.8509526442156581E-2</v>
      </c>
      <c r="CQ1243" s="33">
        <v>0</v>
      </c>
      <c r="CR1243" s="33">
        <v>0</v>
      </c>
    </row>
    <row r="1244" spans="1:96" ht="15" customHeight="1" x14ac:dyDescent="0.25">
      <c r="A1244" s="26">
        <v>1242</v>
      </c>
      <c r="B1244" s="27">
        <v>40</v>
      </c>
      <c r="C1244" s="27">
        <v>0</v>
      </c>
      <c r="D1244" s="27">
        <v>1</v>
      </c>
      <c r="E1244" s="27">
        <v>611</v>
      </c>
      <c r="F1244" s="27">
        <v>1</v>
      </c>
      <c r="G1244" s="27">
        <v>7</v>
      </c>
      <c r="H1244" s="27">
        <v>4</v>
      </c>
      <c r="I1244" s="27">
        <v>3</v>
      </c>
      <c r="J1244" s="27">
        <v>1</v>
      </c>
      <c r="K1244" s="27">
        <v>1740</v>
      </c>
      <c r="L1244" s="27">
        <v>2</v>
      </c>
      <c r="M1244" s="27">
        <v>1</v>
      </c>
      <c r="N1244" s="27">
        <v>88</v>
      </c>
      <c r="O1244" s="27">
        <v>3</v>
      </c>
      <c r="P1244" s="27">
        <v>5</v>
      </c>
      <c r="Q1244" s="27">
        <v>6</v>
      </c>
      <c r="R1244" s="27">
        <v>2</v>
      </c>
      <c r="S1244" s="27">
        <v>1</v>
      </c>
      <c r="T1244" s="27">
        <v>19833</v>
      </c>
      <c r="U1244" s="27">
        <v>4349</v>
      </c>
      <c r="V1244" s="27">
        <v>1</v>
      </c>
      <c r="W1244" s="27">
        <v>0</v>
      </c>
      <c r="X1244" s="27">
        <v>14</v>
      </c>
      <c r="Y1244" s="27">
        <v>3</v>
      </c>
      <c r="Z1244" s="27">
        <v>2</v>
      </c>
      <c r="AA1244" s="27">
        <v>80</v>
      </c>
      <c r="AB1244" s="27">
        <v>0</v>
      </c>
      <c r="AC1244" s="27">
        <v>21</v>
      </c>
      <c r="AD1244" s="27">
        <v>3</v>
      </c>
      <c r="AE1244" s="27">
        <v>2</v>
      </c>
      <c r="AF1244" s="27">
        <v>21</v>
      </c>
      <c r="AG1244" s="27">
        <v>8</v>
      </c>
      <c r="AH1244" s="27">
        <v>12</v>
      </c>
      <c r="AI1244" s="28">
        <v>8</v>
      </c>
      <c r="AK1244" s="36">
        <v>1211</v>
      </c>
      <c r="AL1244" s="33">
        <v>21</v>
      </c>
      <c r="AM1244" s="33">
        <v>1</v>
      </c>
      <c r="AN1244" s="33">
        <v>2</v>
      </c>
      <c r="AO1244" s="33">
        <v>1</v>
      </c>
      <c r="AP1244" s="33">
        <v>0</v>
      </c>
      <c r="AQ1244" s="33">
        <v>3</v>
      </c>
      <c r="AR1244" s="33">
        <v>3</v>
      </c>
      <c r="AS1244" s="33">
        <v>14</v>
      </c>
      <c r="AT1244" s="33">
        <v>2</v>
      </c>
      <c r="AU1244" s="43">
        <v>3.60911751633054E-2</v>
      </c>
      <c r="AV1244" s="33">
        <v>0</v>
      </c>
      <c r="AW1244" s="33">
        <v>0</v>
      </c>
      <c r="AY1244" s="36">
        <v>1216</v>
      </c>
      <c r="AZ1244" s="33">
        <v>1</v>
      </c>
      <c r="BA1244" s="33">
        <v>4</v>
      </c>
      <c r="BB1244" s="33">
        <v>1</v>
      </c>
      <c r="BC1244" s="33">
        <v>0</v>
      </c>
      <c r="BD1244" s="43">
        <v>0.42475472169672474</v>
      </c>
      <c r="BE1244" s="33">
        <v>0</v>
      </c>
      <c r="BF1244" s="33">
        <v>0</v>
      </c>
      <c r="CE1244" s="36">
        <v>1210</v>
      </c>
      <c r="CF1244" s="33">
        <v>1</v>
      </c>
      <c r="CG1244" s="33">
        <v>3</v>
      </c>
      <c r="CH1244" s="33">
        <v>4</v>
      </c>
      <c r="CI1244" s="33">
        <v>3</v>
      </c>
      <c r="CJ1244" s="33">
        <v>3</v>
      </c>
      <c r="CK1244" s="33">
        <v>0</v>
      </c>
      <c r="CL1244" s="33">
        <v>1</v>
      </c>
      <c r="CM1244" s="33">
        <v>4</v>
      </c>
      <c r="CN1244" s="33">
        <v>1</v>
      </c>
      <c r="CO1244" s="33">
        <v>0</v>
      </c>
      <c r="CP1244" s="43">
        <v>1.1249224818661573E-2</v>
      </c>
      <c r="CQ1244" s="33">
        <v>0</v>
      </c>
      <c r="CR1244" s="33">
        <v>0</v>
      </c>
    </row>
    <row r="1245" spans="1:96" ht="15" customHeight="1" x14ac:dyDescent="0.25">
      <c r="A1245" s="26">
        <v>1243</v>
      </c>
      <c r="B1245" s="27">
        <v>45</v>
      </c>
      <c r="C1245" s="27">
        <v>0</v>
      </c>
      <c r="D1245" s="27">
        <v>1</v>
      </c>
      <c r="E1245" s="27">
        <v>176</v>
      </c>
      <c r="F1245" s="27">
        <v>3</v>
      </c>
      <c r="G1245" s="27">
        <v>4</v>
      </c>
      <c r="H1245" s="27">
        <v>3</v>
      </c>
      <c r="I1245" s="27">
        <v>1</v>
      </c>
      <c r="J1245" s="27">
        <v>1</v>
      </c>
      <c r="K1245" s="27">
        <v>1744</v>
      </c>
      <c r="L1245" s="27">
        <v>3</v>
      </c>
      <c r="M1245" s="27">
        <v>0</v>
      </c>
      <c r="N1245" s="27">
        <v>56</v>
      </c>
      <c r="O1245" s="27">
        <v>1</v>
      </c>
      <c r="P1245" s="27">
        <v>3</v>
      </c>
      <c r="Q1245" s="27">
        <v>9</v>
      </c>
      <c r="R1245" s="27">
        <v>3</v>
      </c>
      <c r="S1245" s="27">
        <v>2</v>
      </c>
      <c r="T1245" s="27">
        <v>9756</v>
      </c>
      <c r="U1245" s="27">
        <v>6595</v>
      </c>
      <c r="V1245" s="27">
        <v>4</v>
      </c>
      <c r="W1245" s="27">
        <v>0</v>
      </c>
      <c r="X1245" s="27">
        <v>21</v>
      </c>
      <c r="Y1245" s="27">
        <v>4</v>
      </c>
      <c r="Z1245" s="27">
        <v>3</v>
      </c>
      <c r="AA1245" s="27">
        <v>80</v>
      </c>
      <c r="AB1245" s="27">
        <v>2</v>
      </c>
      <c r="AC1245" s="27">
        <v>9</v>
      </c>
      <c r="AD1245" s="27">
        <v>2</v>
      </c>
      <c r="AE1245" s="27">
        <v>4</v>
      </c>
      <c r="AF1245" s="27">
        <v>5</v>
      </c>
      <c r="AG1245" s="27">
        <v>0</v>
      </c>
      <c r="AH1245" s="27">
        <v>0</v>
      </c>
      <c r="AI1245" s="28">
        <v>3</v>
      </c>
      <c r="AK1245" s="36">
        <v>1212</v>
      </c>
      <c r="AL1245" s="33">
        <v>1</v>
      </c>
      <c r="AM1245" s="33">
        <v>2</v>
      </c>
      <c r="AN1245" s="33">
        <v>4</v>
      </c>
      <c r="AO1245" s="33">
        <v>1</v>
      </c>
      <c r="AP1245" s="33">
        <v>0</v>
      </c>
      <c r="AQ1245" s="33">
        <v>2</v>
      </c>
      <c r="AR1245" s="33">
        <v>2</v>
      </c>
      <c r="AS1245" s="33">
        <v>6</v>
      </c>
      <c r="AT1245" s="33">
        <v>1</v>
      </c>
      <c r="AU1245" s="43">
        <v>2.124514115838803E-2</v>
      </c>
      <c r="AV1245" s="33">
        <v>0</v>
      </c>
      <c r="AW1245" s="33">
        <v>0</v>
      </c>
      <c r="AY1245" s="36">
        <v>1217</v>
      </c>
      <c r="AZ1245" s="33">
        <v>2</v>
      </c>
      <c r="BA1245" s="33">
        <v>4</v>
      </c>
      <c r="BB1245" s="33">
        <v>1</v>
      </c>
      <c r="BC1245" s="33">
        <v>1</v>
      </c>
      <c r="BD1245" s="43">
        <v>0.19951405628110813</v>
      </c>
      <c r="BE1245" s="33">
        <v>0</v>
      </c>
      <c r="BF1245" s="33">
        <v>0</v>
      </c>
      <c r="CE1245" s="36">
        <v>1211</v>
      </c>
      <c r="CF1245" s="33">
        <v>21</v>
      </c>
      <c r="CG1245" s="33">
        <v>1</v>
      </c>
      <c r="CH1245" s="33">
        <v>2</v>
      </c>
      <c r="CI1245" s="33">
        <v>2</v>
      </c>
      <c r="CJ1245" s="33">
        <v>1</v>
      </c>
      <c r="CK1245" s="33">
        <v>0</v>
      </c>
      <c r="CL1245" s="33">
        <v>3</v>
      </c>
      <c r="CM1245" s="33">
        <v>3</v>
      </c>
      <c r="CN1245" s="33">
        <v>14</v>
      </c>
      <c r="CO1245" s="33">
        <v>2</v>
      </c>
      <c r="CP1245" s="43">
        <v>6.6960140658642642E-2</v>
      </c>
      <c r="CQ1245" s="33">
        <v>0</v>
      </c>
      <c r="CR1245" s="33">
        <v>0</v>
      </c>
    </row>
    <row r="1246" spans="1:96" ht="15" customHeight="1" x14ac:dyDescent="0.25">
      <c r="A1246" s="26">
        <v>1244</v>
      </c>
      <c r="B1246" s="27">
        <v>30</v>
      </c>
      <c r="C1246" s="27">
        <v>0</v>
      </c>
      <c r="D1246" s="27">
        <v>2</v>
      </c>
      <c r="E1246" s="27">
        <v>1312</v>
      </c>
      <c r="F1246" s="27">
        <v>2</v>
      </c>
      <c r="G1246" s="27">
        <v>2</v>
      </c>
      <c r="H1246" s="27">
        <v>4</v>
      </c>
      <c r="I1246" s="27">
        <v>5</v>
      </c>
      <c r="J1246" s="27">
        <v>1</v>
      </c>
      <c r="K1246" s="27">
        <v>1745</v>
      </c>
      <c r="L1246" s="27">
        <v>4</v>
      </c>
      <c r="M1246" s="27">
        <v>0</v>
      </c>
      <c r="N1246" s="27">
        <v>78</v>
      </c>
      <c r="O1246" s="27">
        <v>2</v>
      </c>
      <c r="P1246" s="27">
        <v>1</v>
      </c>
      <c r="Q1246" s="27">
        <v>2</v>
      </c>
      <c r="R1246" s="27">
        <v>1</v>
      </c>
      <c r="S1246" s="27">
        <v>1</v>
      </c>
      <c r="T1246" s="27">
        <v>4968</v>
      </c>
      <c r="U1246" s="27">
        <v>26427</v>
      </c>
      <c r="V1246" s="27">
        <v>0</v>
      </c>
      <c r="W1246" s="27">
        <v>0</v>
      </c>
      <c r="X1246" s="27">
        <v>16</v>
      </c>
      <c r="Y1246" s="27">
        <v>3</v>
      </c>
      <c r="Z1246" s="27">
        <v>4</v>
      </c>
      <c r="AA1246" s="27">
        <v>80</v>
      </c>
      <c r="AB1246" s="27">
        <v>0</v>
      </c>
      <c r="AC1246" s="27">
        <v>10</v>
      </c>
      <c r="AD1246" s="27">
        <v>2</v>
      </c>
      <c r="AE1246" s="27">
        <v>3</v>
      </c>
      <c r="AF1246" s="27">
        <v>9</v>
      </c>
      <c r="AG1246" s="27">
        <v>7</v>
      </c>
      <c r="AH1246" s="27">
        <v>0</v>
      </c>
      <c r="AI1246" s="28">
        <v>7</v>
      </c>
      <c r="AK1246" s="36">
        <v>1213</v>
      </c>
      <c r="AL1246" s="33">
        <v>19</v>
      </c>
      <c r="AM1246" s="33">
        <v>1</v>
      </c>
      <c r="AN1246" s="33">
        <v>4</v>
      </c>
      <c r="AO1246" s="33">
        <v>1</v>
      </c>
      <c r="AP1246" s="33">
        <v>0</v>
      </c>
      <c r="AQ1246" s="33">
        <v>0</v>
      </c>
      <c r="AR1246" s="33">
        <v>3</v>
      </c>
      <c r="AS1246" s="33">
        <v>10</v>
      </c>
      <c r="AT1246" s="33">
        <v>8</v>
      </c>
      <c r="AU1246" s="43">
        <v>0.2198767027308795</v>
      </c>
      <c r="AV1246" s="33">
        <v>0</v>
      </c>
      <c r="AW1246" s="33">
        <v>0</v>
      </c>
      <c r="AY1246" s="36">
        <v>1218</v>
      </c>
      <c r="AZ1246" s="33">
        <v>1</v>
      </c>
      <c r="BA1246" s="33">
        <v>3</v>
      </c>
      <c r="BB1246" s="33">
        <v>0</v>
      </c>
      <c r="BC1246" s="33">
        <v>1</v>
      </c>
      <c r="BD1246" s="43">
        <v>0.12012271365792118</v>
      </c>
      <c r="BE1246" s="33">
        <v>0</v>
      </c>
      <c r="BF1246" s="33">
        <v>0</v>
      </c>
      <c r="CE1246" s="36">
        <v>1212</v>
      </c>
      <c r="CF1246" s="33">
        <v>1</v>
      </c>
      <c r="CG1246" s="33">
        <v>2</v>
      </c>
      <c r="CH1246" s="33">
        <v>4</v>
      </c>
      <c r="CI1246" s="33">
        <v>3</v>
      </c>
      <c r="CJ1246" s="33">
        <v>1</v>
      </c>
      <c r="CK1246" s="33">
        <v>0</v>
      </c>
      <c r="CL1246" s="33">
        <v>2</v>
      </c>
      <c r="CM1246" s="33">
        <v>2</v>
      </c>
      <c r="CN1246" s="33">
        <v>6</v>
      </c>
      <c r="CO1246" s="33">
        <v>1</v>
      </c>
      <c r="CP1246" s="43">
        <v>1.6638432809867883E-2</v>
      </c>
      <c r="CQ1246" s="33">
        <v>0</v>
      </c>
      <c r="CR1246" s="33">
        <v>0</v>
      </c>
    </row>
    <row r="1247" spans="1:96" ht="15" customHeight="1" x14ac:dyDescent="0.25">
      <c r="A1247" s="26">
        <v>1245</v>
      </c>
      <c r="B1247" s="27">
        <v>24</v>
      </c>
      <c r="C1247" s="27">
        <v>0</v>
      </c>
      <c r="D1247" s="27">
        <v>2</v>
      </c>
      <c r="E1247" s="27">
        <v>897</v>
      </c>
      <c r="F1247" s="27">
        <v>3</v>
      </c>
      <c r="G1247" s="27">
        <v>10</v>
      </c>
      <c r="H1247" s="27">
        <v>3</v>
      </c>
      <c r="I1247" s="27">
        <v>3</v>
      </c>
      <c r="J1247" s="27">
        <v>1</v>
      </c>
      <c r="K1247" s="27">
        <v>1746</v>
      </c>
      <c r="L1247" s="27">
        <v>1</v>
      </c>
      <c r="M1247" s="27">
        <v>1</v>
      </c>
      <c r="N1247" s="27">
        <v>59</v>
      </c>
      <c r="O1247" s="27">
        <v>3</v>
      </c>
      <c r="P1247" s="27">
        <v>1</v>
      </c>
      <c r="Q1247" s="27">
        <v>9</v>
      </c>
      <c r="R1247" s="27">
        <v>4</v>
      </c>
      <c r="S1247" s="27">
        <v>2</v>
      </c>
      <c r="T1247" s="27">
        <v>2145</v>
      </c>
      <c r="U1247" s="27">
        <v>2097</v>
      </c>
      <c r="V1247" s="27">
        <v>0</v>
      </c>
      <c r="W1247" s="27">
        <v>0</v>
      </c>
      <c r="X1247" s="27">
        <v>14</v>
      </c>
      <c r="Y1247" s="27">
        <v>3</v>
      </c>
      <c r="Z1247" s="27">
        <v>4</v>
      </c>
      <c r="AA1247" s="27">
        <v>80</v>
      </c>
      <c r="AB1247" s="27">
        <v>1</v>
      </c>
      <c r="AC1247" s="27">
        <v>3</v>
      </c>
      <c r="AD1247" s="27">
        <v>2</v>
      </c>
      <c r="AE1247" s="27">
        <v>3</v>
      </c>
      <c r="AF1247" s="27">
        <v>2</v>
      </c>
      <c r="AG1247" s="27">
        <v>2</v>
      </c>
      <c r="AH1247" s="27">
        <v>2</v>
      </c>
      <c r="AI1247" s="28">
        <v>1</v>
      </c>
      <c r="AK1247" s="36">
        <v>1214</v>
      </c>
      <c r="AL1247" s="33">
        <v>7</v>
      </c>
      <c r="AM1247" s="33">
        <v>1</v>
      </c>
      <c r="AN1247" s="33">
        <v>4</v>
      </c>
      <c r="AO1247" s="33">
        <v>1</v>
      </c>
      <c r="AP1247" s="33">
        <v>1</v>
      </c>
      <c r="AQ1247" s="33">
        <v>1</v>
      </c>
      <c r="AR1247" s="33">
        <v>3</v>
      </c>
      <c r="AS1247" s="33">
        <v>3</v>
      </c>
      <c r="AT1247" s="33">
        <v>0</v>
      </c>
      <c r="AU1247" s="43">
        <v>0.23795637758337651</v>
      </c>
      <c r="AV1247" s="33">
        <v>0</v>
      </c>
      <c r="AW1247" s="33">
        <v>1</v>
      </c>
      <c r="AY1247" s="36">
        <v>1219</v>
      </c>
      <c r="AZ1247" s="33">
        <v>3</v>
      </c>
      <c r="BA1247" s="33">
        <v>3</v>
      </c>
      <c r="BB1247" s="33">
        <v>0</v>
      </c>
      <c r="BC1247" s="33">
        <v>0</v>
      </c>
      <c r="BD1247" s="43">
        <v>7.0406776741937793E-2</v>
      </c>
      <c r="BE1247" s="33">
        <v>0</v>
      </c>
      <c r="BF1247" s="33">
        <v>0</v>
      </c>
      <c r="CE1247" s="36">
        <v>1213</v>
      </c>
      <c r="CF1247" s="33">
        <v>19</v>
      </c>
      <c r="CG1247" s="33">
        <v>1</v>
      </c>
      <c r="CH1247" s="33">
        <v>4</v>
      </c>
      <c r="CI1247" s="33">
        <v>2</v>
      </c>
      <c r="CJ1247" s="33">
        <v>1</v>
      </c>
      <c r="CK1247" s="33">
        <v>0</v>
      </c>
      <c r="CL1247" s="33">
        <v>0</v>
      </c>
      <c r="CM1247" s="33">
        <v>3</v>
      </c>
      <c r="CN1247" s="33">
        <v>10</v>
      </c>
      <c r="CO1247" s="33">
        <v>8</v>
      </c>
      <c r="CP1247" s="43">
        <v>0.1592928779771432</v>
      </c>
      <c r="CQ1247" s="33">
        <v>0</v>
      </c>
      <c r="CR1247" s="33">
        <v>0</v>
      </c>
    </row>
    <row r="1248" spans="1:96" ht="15" customHeight="1" x14ac:dyDescent="0.25">
      <c r="A1248" s="26">
        <v>1246</v>
      </c>
      <c r="B1248" s="27">
        <v>30</v>
      </c>
      <c r="C1248" s="27">
        <v>1</v>
      </c>
      <c r="D1248" s="27">
        <v>2</v>
      </c>
      <c r="E1248" s="27">
        <v>600</v>
      </c>
      <c r="F1248" s="27">
        <v>3</v>
      </c>
      <c r="G1248" s="27">
        <v>8</v>
      </c>
      <c r="H1248" s="27">
        <v>3</v>
      </c>
      <c r="I1248" s="27">
        <v>2</v>
      </c>
      <c r="J1248" s="27">
        <v>1</v>
      </c>
      <c r="K1248" s="27">
        <v>1747</v>
      </c>
      <c r="L1248" s="27">
        <v>3</v>
      </c>
      <c r="M1248" s="27">
        <v>0</v>
      </c>
      <c r="N1248" s="27">
        <v>66</v>
      </c>
      <c r="O1248" s="27">
        <v>2</v>
      </c>
      <c r="P1248" s="27">
        <v>1</v>
      </c>
      <c r="Q1248" s="27">
        <v>9</v>
      </c>
      <c r="R1248" s="27">
        <v>4</v>
      </c>
      <c r="S1248" s="27">
        <v>3</v>
      </c>
      <c r="T1248" s="27">
        <v>2180</v>
      </c>
      <c r="U1248" s="27">
        <v>9732</v>
      </c>
      <c r="V1248" s="27">
        <v>6</v>
      </c>
      <c r="W1248" s="27">
        <v>0</v>
      </c>
      <c r="X1248" s="27">
        <v>11</v>
      </c>
      <c r="Y1248" s="27">
        <v>3</v>
      </c>
      <c r="Z1248" s="27">
        <v>3</v>
      </c>
      <c r="AA1248" s="27">
        <v>80</v>
      </c>
      <c r="AB1248" s="27">
        <v>1</v>
      </c>
      <c r="AC1248" s="27">
        <v>6</v>
      </c>
      <c r="AD1248" s="27">
        <v>0</v>
      </c>
      <c r="AE1248" s="27">
        <v>2</v>
      </c>
      <c r="AF1248" s="27">
        <v>4</v>
      </c>
      <c r="AG1248" s="27">
        <v>2</v>
      </c>
      <c r="AH1248" s="27">
        <v>1</v>
      </c>
      <c r="AI1248" s="28">
        <v>2</v>
      </c>
      <c r="AK1248" s="36">
        <v>1215</v>
      </c>
      <c r="AL1248" s="33">
        <v>2</v>
      </c>
      <c r="AM1248" s="33">
        <v>3</v>
      </c>
      <c r="AN1248" s="33">
        <v>4</v>
      </c>
      <c r="AO1248" s="33">
        <v>1</v>
      </c>
      <c r="AP1248" s="33">
        <v>1</v>
      </c>
      <c r="AQ1248" s="33">
        <v>1</v>
      </c>
      <c r="AR1248" s="33">
        <v>3</v>
      </c>
      <c r="AS1248" s="33">
        <v>8</v>
      </c>
      <c r="AT1248" s="33">
        <v>6</v>
      </c>
      <c r="AU1248" s="43">
        <v>0.10758109888990201</v>
      </c>
      <c r="AV1248" s="33">
        <v>0</v>
      </c>
      <c r="AW1248" s="33">
        <v>0</v>
      </c>
      <c r="AY1248" s="36">
        <v>1220</v>
      </c>
      <c r="AZ1248" s="33">
        <v>1</v>
      </c>
      <c r="BA1248" s="33">
        <v>3</v>
      </c>
      <c r="BB1248" s="33">
        <v>0</v>
      </c>
      <c r="BC1248" s="33">
        <v>1</v>
      </c>
      <c r="BD1248" s="43">
        <v>0.12012271365792118</v>
      </c>
      <c r="BE1248" s="33">
        <v>0</v>
      </c>
      <c r="BF1248" s="33">
        <v>0</v>
      </c>
      <c r="CE1248" s="36">
        <v>1214</v>
      </c>
      <c r="CF1248" s="33">
        <v>7</v>
      </c>
      <c r="CG1248" s="33">
        <v>1</v>
      </c>
      <c r="CH1248" s="33">
        <v>4</v>
      </c>
      <c r="CI1248" s="33">
        <v>3</v>
      </c>
      <c r="CJ1248" s="33">
        <v>1</v>
      </c>
      <c r="CK1248" s="33">
        <v>1</v>
      </c>
      <c r="CL1248" s="33">
        <v>1</v>
      </c>
      <c r="CM1248" s="33">
        <v>3</v>
      </c>
      <c r="CN1248" s="33">
        <v>3</v>
      </c>
      <c r="CO1248" s="33">
        <v>0</v>
      </c>
      <c r="CP1248" s="43">
        <v>0.14834267986678565</v>
      </c>
      <c r="CQ1248" s="33">
        <v>0</v>
      </c>
      <c r="CR1248" s="33">
        <v>1</v>
      </c>
    </row>
    <row r="1249" spans="1:96" ht="15" customHeight="1" x14ac:dyDescent="0.25">
      <c r="A1249" s="26">
        <v>1247</v>
      </c>
      <c r="B1249" s="27">
        <v>31</v>
      </c>
      <c r="C1249" s="27">
        <v>0</v>
      </c>
      <c r="D1249" s="27">
        <v>1</v>
      </c>
      <c r="E1249" s="27">
        <v>1003</v>
      </c>
      <c r="F1249" s="27">
        <v>1</v>
      </c>
      <c r="G1249" s="27">
        <v>5</v>
      </c>
      <c r="H1249" s="27">
        <v>3</v>
      </c>
      <c r="I1249" s="27">
        <v>5</v>
      </c>
      <c r="J1249" s="27">
        <v>1</v>
      </c>
      <c r="K1249" s="27">
        <v>1749</v>
      </c>
      <c r="L1249" s="27">
        <v>1</v>
      </c>
      <c r="M1249" s="27">
        <v>1</v>
      </c>
      <c r="N1249" s="27">
        <v>51</v>
      </c>
      <c r="O1249" s="27">
        <v>3</v>
      </c>
      <c r="P1249" s="27">
        <v>2</v>
      </c>
      <c r="Q1249" s="27">
        <v>1</v>
      </c>
      <c r="R1249" s="27">
        <v>3</v>
      </c>
      <c r="S1249" s="27">
        <v>2</v>
      </c>
      <c r="T1249" s="27">
        <v>8346</v>
      </c>
      <c r="U1249" s="27">
        <v>20943</v>
      </c>
      <c r="V1249" s="27">
        <v>1</v>
      </c>
      <c r="W1249" s="27">
        <v>0</v>
      </c>
      <c r="X1249" s="27">
        <v>19</v>
      </c>
      <c r="Y1249" s="27">
        <v>3</v>
      </c>
      <c r="Z1249" s="27">
        <v>3</v>
      </c>
      <c r="AA1249" s="27">
        <v>80</v>
      </c>
      <c r="AB1249" s="27">
        <v>1</v>
      </c>
      <c r="AC1249" s="27">
        <v>6</v>
      </c>
      <c r="AD1249" s="27">
        <v>3</v>
      </c>
      <c r="AE1249" s="27">
        <v>3</v>
      </c>
      <c r="AF1249" s="27">
        <v>5</v>
      </c>
      <c r="AG1249" s="27">
        <v>2</v>
      </c>
      <c r="AH1249" s="27">
        <v>0</v>
      </c>
      <c r="AI1249" s="28">
        <v>2</v>
      </c>
      <c r="AK1249" s="36">
        <v>1216</v>
      </c>
      <c r="AL1249" s="33">
        <v>2</v>
      </c>
      <c r="AM1249" s="33">
        <v>1</v>
      </c>
      <c r="AN1249" s="33">
        <v>4</v>
      </c>
      <c r="AO1249" s="33">
        <v>0</v>
      </c>
      <c r="AP1249" s="33">
        <v>1</v>
      </c>
      <c r="AQ1249" s="33">
        <v>0</v>
      </c>
      <c r="AR1249" s="33">
        <v>4</v>
      </c>
      <c r="AS1249" s="33">
        <v>5</v>
      </c>
      <c r="AT1249" s="33">
        <v>1</v>
      </c>
      <c r="AU1249" s="43">
        <v>0.24743128953082438</v>
      </c>
      <c r="AV1249" s="33">
        <v>0</v>
      </c>
      <c r="AW1249" s="33">
        <v>0</v>
      </c>
      <c r="AY1249" s="36">
        <v>1221</v>
      </c>
      <c r="AZ1249" s="33">
        <v>2</v>
      </c>
      <c r="BA1249" s="33">
        <v>4</v>
      </c>
      <c r="BB1249" s="33">
        <v>0</v>
      </c>
      <c r="BC1249" s="33">
        <v>0</v>
      </c>
      <c r="BD1249" s="43">
        <v>8.9935487507215722E-2</v>
      </c>
      <c r="BE1249" s="33">
        <v>0</v>
      </c>
      <c r="BF1249" s="33">
        <v>0</v>
      </c>
      <c r="CE1249" s="36">
        <v>1215</v>
      </c>
      <c r="CF1249" s="33">
        <v>2</v>
      </c>
      <c r="CG1249" s="33">
        <v>3</v>
      </c>
      <c r="CH1249" s="33">
        <v>4</v>
      </c>
      <c r="CI1249" s="33">
        <v>2</v>
      </c>
      <c r="CJ1249" s="33">
        <v>1</v>
      </c>
      <c r="CK1249" s="33">
        <v>1</v>
      </c>
      <c r="CL1249" s="33">
        <v>1</v>
      </c>
      <c r="CM1249" s="33">
        <v>3</v>
      </c>
      <c r="CN1249" s="33">
        <v>8</v>
      </c>
      <c r="CO1249" s="33">
        <v>6</v>
      </c>
      <c r="CP1249" s="43">
        <v>0.10856558657644703</v>
      </c>
      <c r="CQ1249" s="33">
        <v>0</v>
      </c>
      <c r="CR1249" s="33">
        <v>0</v>
      </c>
    </row>
    <row r="1250" spans="1:96" ht="15" customHeight="1" x14ac:dyDescent="0.25">
      <c r="A1250" s="26">
        <v>1248</v>
      </c>
      <c r="B1250" s="27">
        <v>27</v>
      </c>
      <c r="C1250" s="27">
        <v>0</v>
      </c>
      <c r="D1250" s="27">
        <v>1</v>
      </c>
      <c r="E1250" s="27">
        <v>1054</v>
      </c>
      <c r="F1250" s="27">
        <v>2</v>
      </c>
      <c r="G1250" s="27">
        <v>8</v>
      </c>
      <c r="H1250" s="27">
        <v>3</v>
      </c>
      <c r="I1250" s="27">
        <v>3</v>
      </c>
      <c r="J1250" s="27">
        <v>1</v>
      </c>
      <c r="K1250" s="27">
        <v>1751</v>
      </c>
      <c r="L1250" s="27">
        <v>3</v>
      </c>
      <c r="M1250" s="27">
        <v>0</v>
      </c>
      <c r="N1250" s="27">
        <v>67</v>
      </c>
      <c r="O1250" s="27">
        <v>3</v>
      </c>
      <c r="P1250" s="27">
        <v>1</v>
      </c>
      <c r="Q1250" s="27">
        <v>2</v>
      </c>
      <c r="R1250" s="27">
        <v>4</v>
      </c>
      <c r="S1250" s="27">
        <v>1</v>
      </c>
      <c r="T1250" s="27">
        <v>3445</v>
      </c>
      <c r="U1250" s="27">
        <v>6152</v>
      </c>
      <c r="V1250" s="27">
        <v>1</v>
      </c>
      <c r="W1250" s="27">
        <v>0</v>
      </c>
      <c r="X1250" s="27">
        <v>11</v>
      </c>
      <c r="Y1250" s="27">
        <v>3</v>
      </c>
      <c r="Z1250" s="27">
        <v>3</v>
      </c>
      <c r="AA1250" s="27">
        <v>80</v>
      </c>
      <c r="AB1250" s="27">
        <v>0</v>
      </c>
      <c r="AC1250" s="27">
        <v>6</v>
      </c>
      <c r="AD1250" s="27">
        <v>5</v>
      </c>
      <c r="AE1250" s="27">
        <v>2</v>
      </c>
      <c r="AF1250" s="27">
        <v>6</v>
      </c>
      <c r="AG1250" s="27">
        <v>2</v>
      </c>
      <c r="AH1250" s="27">
        <v>1</v>
      </c>
      <c r="AI1250" s="28">
        <v>4</v>
      </c>
      <c r="AK1250" s="36">
        <v>1217</v>
      </c>
      <c r="AL1250" s="33">
        <v>2</v>
      </c>
      <c r="AM1250" s="33">
        <v>2</v>
      </c>
      <c r="AN1250" s="33">
        <v>4</v>
      </c>
      <c r="AO1250" s="33">
        <v>1</v>
      </c>
      <c r="AP1250" s="33">
        <v>1</v>
      </c>
      <c r="AQ1250" s="33">
        <v>1</v>
      </c>
      <c r="AR1250" s="33">
        <v>3</v>
      </c>
      <c r="AS1250" s="33">
        <v>10</v>
      </c>
      <c r="AT1250" s="33">
        <v>8</v>
      </c>
      <c r="AU1250" s="43">
        <v>0.18518274299472279</v>
      </c>
      <c r="AV1250" s="33">
        <v>0</v>
      </c>
      <c r="AW1250" s="33">
        <v>0</v>
      </c>
      <c r="AY1250" s="36">
        <v>1222</v>
      </c>
      <c r="AZ1250" s="33">
        <v>3</v>
      </c>
      <c r="BA1250" s="33">
        <v>3</v>
      </c>
      <c r="BB1250" s="33">
        <v>0</v>
      </c>
      <c r="BC1250" s="33">
        <v>1</v>
      </c>
      <c r="BD1250" s="43">
        <v>4.2774603045834733E-2</v>
      </c>
      <c r="BE1250" s="33">
        <v>0</v>
      </c>
      <c r="BF1250" s="33">
        <v>0</v>
      </c>
      <c r="CE1250" s="36">
        <v>1216</v>
      </c>
      <c r="CF1250" s="33">
        <v>2</v>
      </c>
      <c r="CG1250" s="33">
        <v>1</v>
      </c>
      <c r="CH1250" s="33">
        <v>4</v>
      </c>
      <c r="CI1250" s="33">
        <v>1</v>
      </c>
      <c r="CJ1250" s="33">
        <v>0</v>
      </c>
      <c r="CK1250" s="33">
        <v>1</v>
      </c>
      <c r="CL1250" s="33">
        <v>0</v>
      </c>
      <c r="CM1250" s="33">
        <v>4</v>
      </c>
      <c r="CN1250" s="33">
        <v>5</v>
      </c>
      <c r="CO1250" s="33">
        <v>1</v>
      </c>
      <c r="CP1250" s="43">
        <v>0.27970295655937816</v>
      </c>
      <c r="CQ1250" s="33">
        <v>0</v>
      </c>
      <c r="CR1250" s="33">
        <v>0</v>
      </c>
    </row>
    <row r="1251" spans="1:96" ht="15" customHeight="1" x14ac:dyDescent="0.25">
      <c r="A1251" s="26">
        <v>1249</v>
      </c>
      <c r="B1251" s="27">
        <v>29</v>
      </c>
      <c r="C1251" s="27">
        <v>1</v>
      </c>
      <c r="D1251" s="27">
        <v>1</v>
      </c>
      <c r="E1251" s="27">
        <v>428</v>
      </c>
      <c r="F1251" s="27">
        <v>1</v>
      </c>
      <c r="G1251" s="27">
        <v>9</v>
      </c>
      <c r="H1251" s="27">
        <v>3</v>
      </c>
      <c r="I1251" s="27">
        <v>4</v>
      </c>
      <c r="J1251" s="27">
        <v>1</v>
      </c>
      <c r="K1251" s="27">
        <v>1752</v>
      </c>
      <c r="L1251" s="27">
        <v>2</v>
      </c>
      <c r="M1251" s="27">
        <v>0</v>
      </c>
      <c r="N1251" s="27">
        <v>52</v>
      </c>
      <c r="O1251" s="27">
        <v>1</v>
      </c>
      <c r="P1251" s="27">
        <v>1</v>
      </c>
      <c r="Q1251" s="27">
        <v>7</v>
      </c>
      <c r="R1251" s="27">
        <v>2</v>
      </c>
      <c r="S1251" s="27">
        <v>1</v>
      </c>
      <c r="T1251" s="27">
        <v>2760</v>
      </c>
      <c r="U1251" s="27">
        <v>14630</v>
      </c>
      <c r="V1251" s="27">
        <v>1</v>
      </c>
      <c r="W1251" s="27">
        <v>0</v>
      </c>
      <c r="X1251" s="27">
        <v>13</v>
      </c>
      <c r="Y1251" s="27">
        <v>3</v>
      </c>
      <c r="Z1251" s="27">
        <v>3</v>
      </c>
      <c r="AA1251" s="27">
        <v>80</v>
      </c>
      <c r="AB1251" s="27">
        <v>0</v>
      </c>
      <c r="AC1251" s="27">
        <v>2</v>
      </c>
      <c r="AD1251" s="27">
        <v>3</v>
      </c>
      <c r="AE1251" s="27">
        <v>3</v>
      </c>
      <c r="AF1251" s="27">
        <v>2</v>
      </c>
      <c r="AG1251" s="27">
        <v>2</v>
      </c>
      <c r="AH1251" s="27">
        <v>2</v>
      </c>
      <c r="AI1251" s="28">
        <v>2</v>
      </c>
      <c r="AK1251" s="36">
        <v>1218</v>
      </c>
      <c r="AL1251" s="33">
        <v>9</v>
      </c>
      <c r="AM1251" s="33">
        <v>1</v>
      </c>
      <c r="AN1251" s="33">
        <v>3</v>
      </c>
      <c r="AO1251" s="33">
        <v>1</v>
      </c>
      <c r="AP1251" s="33">
        <v>0</v>
      </c>
      <c r="AQ1251" s="33">
        <v>1</v>
      </c>
      <c r="AR1251" s="33">
        <v>3</v>
      </c>
      <c r="AS1251" s="33">
        <v>5</v>
      </c>
      <c r="AT1251" s="33">
        <v>0</v>
      </c>
      <c r="AU1251" s="43">
        <v>8.1352321225996685E-2</v>
      </c>
      <c r="AV1251" s="33">
        <v>0</v>
      </c>
      <c r="AW1251" s="33">
        <v>0</v>
      </c>
      <c r="AY1251" s="36">
        <v>1223</v>
      </c>
      <c r="AZ1251" s="33">
        <v>1</v>
      </c>
      <c r="BA1251" s="33">
        <v>3</v>
      </c>
      <c r="BB1251" s="33">
        <v>0</v>
      </c>
      <c r="BC1251" s="33">
        <v>1</v>
      </c>
      <c r="BD1251" s="43">
        <v>0.12012271365792118</v>
      </c>
      <c r="BE1251" s="33">
        <v>0</v>
      </c>
      <c r="BF1251" s="33">
        <v>1</v>
      </c>
      <c r="CE1251" s="36">
        <v>1217</v>
      </c>
      <c r="CF1251" s="33">
        <v>2</v>
      </c>
      <c r="CG1251" s="33">
        <v>2</v>
      </c>
      <c r="CH1251" s="33">
        <v>4</v>
      </c>
      <c r="CI1251" s="33">
        <v>2</v>
      </c>
      <c r="CJ1251" s="33">
        <v>1</v>
      </c>
      <c r="CK1251" s="33">
        <v>1</v>
      </c>
      <c r="CL1251" s="33">
        <v>1</v>
      </c>
      <c r="CM1251" s="33">
        <v>3</v>
      </c>
      <c r="CN1251" s="33">
        <v>10</v>
      </c>
      <c r="CO1251" s="33">
        <v>8</v>
      </c>
      <c r="CP1251" s="43">
        <v>0.18576242500497678</v>
      </c>
      <c r="CQ1251" s="33">
        <v>0</v>
      </c>
      <c r="CR1251" s="33">
        <v>0</v>
      </c>
    </row>
    <row r="1252" spans="1:96" ht="15" customHeight="1" x14ac:dyDescent="0.25">
      <c r="A1252" s="26">
        <v>1250</v>
      </c>
      <c r="B1252" s="27">
        <v>29</v>
      </c>
      <c r="C1252" s="27">
        <v>0</v>
      </c>
      <c r="D1252" s="27">
        <v>2</v>
      </c>
      <c r="E1252" s="27">
        <v>461</v>
      </c>
      <c r="F1252" s="27">
        <v>2</v>
      </c>
      <c r="G1252" s="27">
        <v>1</v>
      </c>
      <c r="H1252" s="27">
        <v>3</v>
      </c>
      <c r="I1252" s="27">
        <v>1</v>
      </c>
      <c r="J1252" s="27">
        <v>1</v>
      </c>
      <c r="K1252" s="27">
        <v>1753</v>
      </c>
      <c r="L1252" s="27">
        <v>4</v>
      </c>
      <c r="M1252" s="27">
        <v>1</v>
      </c>
      <c r="N1252" s="27">
        <v>70</v>
      </c>
      <c r="O1252" s="27">
        <v>4</v>
      </c>
      <c r="P1252" s="27">
        <v>2</v>
      </c>
      <c r="Q1252" s="27">
        <v>5</v>
      </c>
      <c r="R1252" s="27">
        <v>3</v>
      </c>
      <c r="S1252" s="27">
        <v>1</v>
      </c>
      <c r="T1252" s="27">
        <v>6294</v>
      </c>
      <c r="U1252" s="27">
        <v>23060</v>
      </c>
      <c r="V1252" s="27">
        <v>8</v>
      </c>
      <c r="W1252" s="27">
        <v>1</v>
      </c>
      <c r="X1252" s="27">
        <v>12</v>
      </c>
      <c r="Y1252" s="27">
        <v>3</v>
      </c>
      <c r="Z1252" s="27">
        <v>4</v>
      </c>
      <c r="AA1252" s="27">
        <v>80</v>
      </c>
      <c r="AB1252" s="27">
        <v>0</v>
      </c>
      <c r="AC1252" s="27">
        <v>10</v>
      </c>
      <c r="AD1252" s="27">
        <v>5</v>
      </c>
      <c r="AE1252" s="27">
        <v>4</v>
      </c>
      <c r="AF1252" s="27">
        <v>3</v>
      </c>
      <c r="AG1252" s="27">
        <v>2</v>
      </c>
      <c r="AH1252" s="27">
        <v>0</v>
      </c>
      <c r="AI1252" s="28">
        <v>2</v>
      </c>
      <c r="AK1252" s="36">
        <v>1219</v>
      </c>
      <c r="AL1252" s="33">
        <v>6</v>
      </c>
      <c r="AM1252" s="33">
        <v>3</v>
      </c>
      <c r="AN1252" s="33">
        <v>3</v>
      </c>
      <c r="AO1252" s="33">
        <v>1</v>
      </c>
      <c r="AP1252" s="33">
        <v>0</v>
      </c>
      <c r="AQ1252" s="33">
        <v>0</v>
      </c>
      <c r="AR1252" s="33">
        <v>3</v>
      </c>
      <c r="AS1252" s="33">
        <v>10</v>
      </c>
      <c r="AT1252" s="33">
        <v>8</v>
      </c>
      <c r="AU1252" s="43">
        <v>7.4827621642307204E-2</v>
      </c>
      <c r="AV1252" s="33">
        <v>0</v>
      </c>
      <c r="AW1252" s="33">
        <v>0</v>
      </c>
      <c r="AY1252" s="36">
        <v>1224</v>
      </c>
      <c r="AZ1252" s="33">
        <v>4</v>
      </c>
      <c r="BA1252" s="33">
        <v>3</v>
      </c>
      <c r="BB1252" s="33">
        <v>0</v>
      </c>
      <c r="BC1252" s="33">
        <v>0</v>
      </c>
      <c r="BD1252" s="43">
        <v>4.1532060460370328E-2</v>
      </c>
      <c r="BE1252" s="33">
        <v>0</v>
      </c>
      <c r="BF1252" s="33">
        <v>1</v>
      </c>
      <c r="CE1252" s="36">
        <v>1218</v>
      </c>
      <c r="CF1252" s="33">
        <v>9</v>
      </c>
      <c r="CG1252" s="33">
        <v>1</v>
      </c>
      <c r="CH1252" s="33">
        <v>3</v>
      </c>
      <c r="CI1252" s="33">
        <v>2</v>
      </c>
      <c r="CJ1252" s="33">
        <v>1</v>
      </c>
      <c r="CK1252" s="33">
        <v>0</v>
      </c>
      <c r="CL1252" s="33">
        <v>1</v>
      </c>
      <c r="CM1252" s="33">
        <v>3</v>
      </c>
      <c r="CN1252" s="33">
        <v>5</v>
      </c>
      <c r="CO1252" s="33">
        <v>0</v>
      </c>
      <c r="CP1252" s="43">
        <v>7.7464194425959657E-2</v>
      </c>
      <c r="CQ1252" s="33">
        <v>0</v>
      </c>
      <c r="CR1252" s="33">
        <v>0</v>
      </c>
    </row>
    <row r="1253" spans="1:96" ht="15" customHeight="1" x14ac:dyDescent="0.25">
      <c r="A1253" s="26">
        <v>1251</v>
      </c>
      <c r="B1253" s="27">
        <v>30</v>
      </c>
      <c r="C1253" s="27">
        <v>0</v>
      </c>
      <c r="D1253" s="27">
        <v>1</v>
      </c>
      <c r="E1253" s="27">
        <v>979</v>
      </c>
      <c r="F1253" s="27">
        <v>1</v>
      </c>
      <c r="G1253" s="27">
        <v>15</v>
      </c>
      <c r="H1253" s="27">
        <v>2</v>
      </c>
      <c r="I1253" s="27">
        <v>4</v>
      </c>
      <c r="J1253" s="27">
        <v>1</v>
      </c>
      <c r="K1253" s="27">
        <v>1754</v>
      </c>
      <c r="L1253" s="27">
        <v>3</v>
      </c>
      <c r="M1253" s="27">
        <v>1</v>
      </c>
      <c r="N1253" s="27">
        <v>94</v>
      </c>
      <c r="O1253" s="27">
        <v>2</v>
      </c>
      <c r="P1253" s="27">
        <v>3</v>
      </c>
      <c r="Q1253" s="27">
        <v>1</v>
      </c>
      <c r="R1253" s="27">
        <v>1</v>
      </c>
      <c r="S1253" s="27">
        <v>3</v>
      </c>
      <c r="T1253" s="27">
        <v>7140</v>
      </c>
      <c r="U1253" s="27">
        <v>3088</v>
      </c>
      <c r="V1253" s="27">
        <v>2</v>
      </c>
      <c r="W1253" s="27">
        <v>0</v>
      </c>
      <c r="X1253" s="27">
        <v>11</v>
      </c>
      <c r="Y1253" s="27">
        <v>3</v>
      </c>
      <c r="Z1253" s="27">
        <v>1</v>
      </c>
      <c r="AA1253" s="27">
        <v>80</v>
      </c>
      <c r="AB1253" s="27">
        <v>1</v>
      </c>
      <c r="AC1253" s="27">
        <v>12</v>
      </c>
      <c r="AD1253" s="27">
        <v>2</v>
      </c>
      <c r="AE1253" s="27">
        <v>3</v>
      </c>
      <c r="AF1253" s="27">
        <v>7</v>
      </c>
      <c r="AG1253" s="27">
        <v>7</v>
      </c>
      <c r="AH1253" s="27">
        <v>1</v>
      </c>
      <c r="AI1253" s="28">
        <v>7</v>
      </c>
      <c r="AK1253" s="36">
        <v>1220</v>
      </c>
      <c r="AL1253" s="33">
        <v>9</v>
      </c>
      <c r="AM1253" s="33">
        <v>1</v>
      </c>
      <c r="AN1253" s="33">
        <v>3</v>
      </c>
      <c r="AO1253" s="33">
        <v>9</v>
      </c>
      <c r="AP1253" s="33">
        <v>0</v>
      </c>
      <c r="AQ1253" s="33">
        <v>1</v>
      </c>
      <c r="AR1253" s="33">
        <v>3</v>
      </c>
      <c r="AS1253" s="33">
        <v>5</v>
      </c>
      <c r="AT1253" s="33">
        <v>1</v>
      </c>
      <c r="AU1253" s="43">
        <v>0.16261893823334939</v>
      </c>
      <c r="AV1253" s="33">
        <v>0</v>
      </c>
      <c r="AW1253" s="33">
        <v>0</v>
      </c>
      <c r="AY1253" s="36">
        <v>1225</v>
      </c>
      <c r="AZ1253" s="33">
        <v>1</v>
      </c>
      <c r="BA1253" s="33">
        <v>3</v>
      </c>
      <c r="BB1253" s="33">
        <v>0</v>
      </c>
      <c r="BC1253" s="33">
        <v>3</v>
      </c>
      <c r="BD1253" s="43">
        <v>4.5366993313288043E-2</v>
      </c>
      <c r="BE1253" s="33">
        <v>0</v>
      </c>
      <c r="BF1253" s="33">
        <v>0</v>
      </c>
      <c r="CE1253" s="36">
        <v>1219</v>
      </c>
      <c r="CF1253" s="33">
        <v>6</v>
      </c>
      <c r="CG1253" s="33">
        <v>3</v>
      </c>
      <c r="CH1253" s="33">
        <v>3</v>
      </c>
      <c r="CI1253" s="33">
        <v>1</v>
      </c>
      <c r="CJ1253" s="33">
        <v>1</v>
      </c>
      <c r="CK1253" s="33">
        <v>0</v>
      </c>
      <c r="CL1253" s="33">
        <v>0</v>
      </c>
      <c r="CM1253" s="33">
        <v>3</v>
      </c>
      <c r="CN1253" s="33">
        <v>10</v>
      </c>
      <c r="CO1253" s="33">
        <v>8</v>
      </c>
      <c r="CP1253" s="43">
        <v>9.0085577276196996E-2</v>
      </c>
      <c r="CQ1253" s="33">
        <v>0</v>
      </c>
      <c r="CR1253" s="33">
        <v>0</v>
      </c>
    </row>
    <row r="1254" spans="1:96" ht="15" customHeight="1" x14ac:dyDescent="0.25">
      <c r="A1254" s="26">
        <v>1252</v>
      </c>
      <c r="B1254" s="27">
        <v>34</v>
      </c>
      <c r="C1254" s="27">
        <v>0</v>
      </c>
      <c r="D1254" s="27">
        <v>1</v>
      </c>
      <c r="E1254" s="27">
        <v>181</v>
      </c>
      <c r="F1254" s="27">
        <v>2</v>
      </c>
      <c r="G1254" s="27">
        <v>2</v>
      </c>
      <c r="H1254" s="27">
        <v>4</v>
      </c>
      <c r="I1254" s="27">
        <v>3</v>
      </c>
      <c r="J1254" s="27">
        <v>1</v>
      </c>
      <c r="K1254" s="27">
        <v>1755</v>
      </c>
      <c r="L1254" s="27">
        <v>4</v>
      </c>
      <c r="M1254" s="27">
        <v>1</v>
      </c>
      <c r="N1254" s="27">
        <v>97</v>
      </c>
      <c r="O1254" s="27">
        <v>4</v>
      </c>
      <c r="P1254" s="27">
        <v>1</v>
      </c>
      <c r="Q1254" s="27">
        <v>2</v>
      </c>
      <c r="R1254" s="27">
        <v>4</v>
      </c>
      <c r="S1254" s="27">
        <v>2</v>
      </c>
      <c r="T1254" s="27">
        <v>2932</v>
      </c>
      <c r="U1254" s="27">
        <v>5586</v>
      </c>
      <c r="V1254" s="27">
        <v>0</v>
      </c>
      <c r="W1254" s="27">
        <v>1</v>
      </c>
      <c r="X1254" s="27">
        <v>14</v>
      </c>
      <c r="Y1254" s="27">
        <v>3</v>
      </c>
      <c r="Z1254" s="27">
        <v>1</v>
      </c>
      <c r="AA1254" s="27">
        <v>80</v>
      </c>
      <c r="AB1254" s="27">
        <v>3</v>
      </c>
      <c r="AC1254" s="27">
        <v>6</v>
      </c>
      <c r="AD1254" s="27">
        <v>3</v>
      </c>
      <c r="AE1254" s="27">
        <v>3</v>
      </c>
      <c r="AF1254" s="27">
        <v>5</v>
      </c>
      <c r="AG1254" s="27">
        <v>0</v>
      </c>
      <c r="AH1254" s="27">
        <v>1</v>
      </c>
      <c r="AI1254" s="28">
        <v>2</v>
      </c>
      <c r="AK1254" s="36">
        <v>1221</v>
      </c>
      <c r="AL1254" s="33">
        <v>2</v>
      </c>
      <c r="AM1254" s="33">
        <v>2</v>
      </c>
      <c r="AN1254" s="33">
        <v>4</v>
      </c>
      <c r="AO1254" s="33">
        <v>3</v>
      </c>
      <c r="AP1254" s="33">
        <v>0</v>
      </c>
      <c r="AQ1254" s="33">
        <v>0</v>
      </c>
      <c r="AR1254" s="33">
        <v>2</v>
      </c>
      <c r="AS1254" s="33">
        <v>13</v>
      </c>
      <c r="AT1254" s="33">
        <v>6</v>
      </c>
      <c r="AU1254" s="43">
        <v>8.0743519858118784E-2</v>
      </c>
      <c r="AV1254" s="33">
        <v>0</v>
      </c>
      <c r="AW1254" s="33">
        <v>0</v>
      </c>
      <c r="AY1254" s="36">
        <v>1226</v>
      </c>
      <c r="AZ1254" s="33">
        <v>4</v>
      </c>
      <c r="BA1254" s="33">
        <v>2</v>
      </c>
      <c r="BB1254" s="33">
        <v>0</v>
      </c>
      <c r="BC1254" s="33">
        <v>0</v>
      </c>
      <c r="BD1254" s="43">
        <v>5.4862919617085948E-2</v>
      </c>
      <c r="BE1254" s="33">
        <v>0</v>
      </c>
      <c r="BF1254" s="33">
        <v>0</v>
      </c>
      <c r="CE1254" s="36">
        <v>1220</v>
      </c>
      <c r="CF1254" s="33">
        <v>9</v>
      </c>
      <c r="CG1254" s="33">
        <v>1</v>
      </c>
      <c r="CH1254" s="33">
        <v>3</v>
      </c>
      <c r="CI1254" s="33">
        <v>2</v>
      </c>
      <c r="CJ1254" s="33">
        <v>9</v>
      </c>
      <c r="CK1254" s="33">
        <v>0</v>
      </c>
      <c r="CL1254" s="33">
        <v>1</v>
      </c>
      <c r="CM1254" s="33">
        <v>3</v>
      </c>
      <c r="CN1254" s="33">
        <v>5</v>
      </c>
      <c r="CO1254" s="33">
        <v>1</v>
      </c>
      <c r="CP1254" s="43">
        <v>0.15750824860714693</v>
      </c>
      <c r="CQ1254" s="33">
        <v>0</v>
      </c>
      <c r="CR1254" s="33">
        <v>0</v>
      </c>
    </row>
    <row r="1255" spans="1:96" ht="15" customHeight="1" x14ac:dyDescent="0.25">
      <c r="A1255" s="26">
        <v>1253</v>
      </c>
      <c r="B1255" s="27">
        <v>33</v>
      </c>
      <c r="C1255" s="27">
        <v>0</v>
      </c>
      <c r="D1255" s="27">
        <v>3</v>
      </c>
      <c r="E1255" s="27">
        <v>1283</v>
      </c>
      <c r="F1255" s="27">
        <v>1</v>
      </c>
      <c r="G1255" s="27">
        <v>2</v>
      </c>
      <c r="H1255" s="27">
        <v>3</v>
      </c>
      <c r="I1255" s="27">
        <v>4</v>
      </c>
      <c r="J1255" s="27">
        <v>1</v>
      </c>
      <c r="K1255" s="27">
        <v>1756</v>
      </c>
      <c r="L1255" s="27">
        <v>4</v>
      </c>
      <c r="M1255" s="27">
        <v>0</v>
      </c>
      <c r="N1255" s="27">
        <v>62</v>
      </c>
      <c r="O1255" s="27">
        <v>3</v>
      </c>
      <c r="P1255" s="27">
        <v>2</v>
      </c>
      <c r="Q1255" s="27">
        <v>1</v>
      </c>
      <c r="R1255" s="27">
        <v>2</v>
      </c>
      <c r="S1255" s="27">
        <v>1</v>
      </c>
      <c r="T1255" s="27">
        <v>5147</v>
      </c>
      <c r="U1255" s="27">
        <v>10697</v>
      </c>
      <c r="V1255" s="27">
        <v>8</v>
      </c>
      <c r="W1255" s="27">
        <v>0</v>
      </c>
      <c r="X1255" s="27">
        <v>15</v>
      </c>
      <c r="Y1255" s="27">
        <v>3</v>
      </c>
      <c r="Z1255" s="27">
        <v>4</v>
      </c>
      <c r="AA1255" s="27">
        <v>80</v>
      </c>
      <c r="AB1255" s="27">
        <v>0</v>
      </c>
      <c r="AC1255" s="27">
        <v>13</v>
      </c>
      <c r="AD1255" s="27">
        <v>2</v>
      </c>
      <c r="AE1255" s="27">
        <v>2</v>
      </c>
      <c r="AF1255" s="27">
        <v>11</v>
      </c>
      <c r="AG1255" s="27">
        <v>7</v>
      </c>
      <c r="AH1255" s="27">
        <v>1</v>
      </c>
      <c r="AI1255" s="28">
        <v>7</v>
      </c>
      <c r="AK1255" s="36">
        <v>1222</v>
      </c>
      <c r="AL1255" s="33">
        <v>1</v>
      </c>
      <c r="AM1255" s="33">
        <v>3</v>
      </c>
      <c r="AN1255" s="33">
        <v>3</v>
      </c>
      <c r="AO1255" s="33">
        <v>3</v>
      </c>
      <c r="AP1255" s="33">
        <v>0</v>
      </c>
      <c r="AQ1255" s="33">
        <v>1</v>
      </c>
      <c r="AR1255" s="33">
        <v>2</v>
      </c>
      <c r="AS1255" s="33">
        <v>23</v>
      </c>
      <c r="AT1255" s="33">
        <v>14</v>
      </c>
      <c r="AU1255" s="43">
        <v>4.2825171895330076E-2</v>
      </c>
      <c r="AV1255" s="33">
        <v>0</v>
      </c>
      <c r="AW1255" s="33">
        <v>0</v>
      </c>
      <c r="AY1255" s="36">
        <v>1227</v>
      </c>
      <c r="AZ1255" s="33">
        <v>1</v>
      </c>
      <c r="BA1255" s="33">
        <v>3</v>
      </c>
      <c r="BB1255" s="33">
        <v>0</v>
      </c>
      <c r="BC1255" s="33">
        <v>1</v>
      </c>
      <c r="BD1255" s="43">
        <v>0.12012271365792118</v>
      </c>
      <c r="BE1255" s="33">
        <v>0</v>
      </c>
      <c r="BF1255" s="33">
        <v>0</v>
      </c>
      <c r="CE1255" s="36">
        <v>1221</v>
      </c>
      <c r="CF1255" s="33">
        <v>2</v>
      </c>
      <c r="CG1255" s="33">
        <v>2</v>
      </c>
      <c r="CH1255" s="33">
        <v>4</v>
      </c>
      <c r="CI1255" s="33">
        <v>1</v>
      </c>
      <c r="CJ1255" s="33">
        <v>3</v>
      </c>
      <c r="CK1255" s="33">
        <v>0</v>
      </c>
      <c r="CL1255" s="33">
        <v>0</v>
      </c>
      <c r="CM1255" s="33">
        <v>2</v>
      </c>
      <c r="CN1255" s="33">
        <v>13</v>
      </c>
      <c r="CO1255" s="33">
        <v>6</v>
      </c>
      <c r="CP1255" s="43">
        <v>9.5626737215576713E-2</v>
      </c>
      <c r="CQ1255" s="33">
        <v>0</v>
      </c>
      <c r="CR1255" s="33">
        <v>0</v>
      </c>
    </row>
    <row r="1256" spans="1:96" ht="15" customHeight="1" x14ac:dyDescent="0.25">
      <c r="A1256" s="26">
        <v>1254</v>
      </c>
      <c r="B1256" s="27">
        <v>49</v>
      </c>
      <c r="C1256" s="27">
        <v>0</v>
      </c>
      <c r="D1256" s="27">
        <v>1</v>
      </c>
      <c r="E1256" s="27">
        <v>1313</v>
      </c>
      <c r="F1256" s="27">
        <v>1</v>
      </c>
      <c r="G1256" s="27">
        <v>11</v>
      </c>
      <c r="H1256" s="27">
        <v>4</v>
      </c>
      <c r="I1256" s="27">
        <v>4</v>
      </c>
      <c r="J1256" s="27">
        <v>1</v>
      </c>
      <c r="K1256" s="27">
        <v>1757</v>
      </c>
      <c r="L1256" s="27">
        <v>4</v>
      </c>
      <c r="M1256" s="27">
        <v>0</v>
      </c>
      <c r="N1256" s="27">
        <v>80</v>
      </c>
      <c r="O1256" s="27">
        <v>3</v>
      </c>
      <c r="P1256" s="27">
        <v>2</v>
      </c>
      <c r="Q1256" s="27">
        <v>1</v>
      </c>
      <c r="R1256" s="27">
        <v>4</v>
      </c>
      <c r="S1256" s="27">
        <v>1</v>
      </c>
      <c r="T1256" s="27">
        <v>4507</v>
      </c>
      <c r="U1256" s="27">
        <v>8191</v>
      </c>
      <c r="V1256" s="27">
        <v>3</v>
      </c>
      <c r="W1256" s="27">
        <v>0</v>
      </c>
      <c r="X1256" s="27">
        <v>12</v>
      </c>
      <c r="Y1256" s="27">
        <v>3</v>
      </c>
      <c r="Z1256" s="27">
        <v>3</v>
      </c>
      <c r="AA1256" s="27">
        <v>80</v>
      </c>
      <c r="AB1256" s="27">
        <v>0</v>
      </c>
      <c r="AC1256" s="27">
        <v>8</v>
      </c>
      <c r="AD1256" s="27">
        <v>1</v>
      </c>
      <c r="AE1256" s="27">
        <v>4</v>
      </c>
      <c r="AF1256" s="27">
        <v>5</v>
      </c>
      <c r="AG1256" s="27">
        <v>1</v>
      </c>
      <c r="AH1256" s="27">
        <v>0</v>
      </c>
      <c r="AI1256" s="28">
        <v>4</v>
      </c>
      <c r="AK1256" s="36">
        <v>1223</v>
      </c>
      <c r="AL1256" s="33">
        <v>22</v>
      </c>
      <c r="AM1256" s="33">
        <v>1</v>
      </c>
      <c r="AN1256" s="33">
        <v>3</v>
      </c>
      <c r="AO1256" s="33">
        <v>1</v>
      </c>
      <c r="AP1256" s="33">
        <v>0</v>
      </c>
      <c r="AQ1256" s="33">
        <v>1</v>
      </c>
      <c r="AR1256" s="33">
        <v>3</v>
      </c>
      <c r="AS1256" s="33">
        <v>1</v>
      </c>
      <c r="AT1256" s="33">
        <v>0</v>
      </c>
      <c r="AU1256" s="43">
        <v>0.1546716331142062</v>
      </c>
      <c r="AV1256" s="33">
        <v>0</v>
      </c>
      <c r="AW1256" s="33">
        <v>1</v>
      </c>
      <c r="AY1256" s="36">
        <v>1228</v>
      </c>
      <c r="AZ1256" s="33">
        <v>1</v>
      </c>
      <c r="BA1256" s="33">
        <v>3</v>
      </c>
      <c r="BB1256" s="33">
        <v>0</v>
      </c>
      <c r="BC1256" s="33">
        <v>1</v>
      </c>
      <c r="BD1256" s="43">
        <v>0.12012271365792118</v>
      </c>
      <c r="BE1256" s="33">
        <v>0</v>
      </c>
      <c r="BF1256" s="33">
        <v>0</v>
      </c>
      <c r="CE1256" s="36">
        <v>1222</v>
      </c>
      <c r="CF1256" s="33">
        <v>1</v>
      </c>
      <c r="CG1256" s="33">
        <v>3</v>
      </c>
      <c r="CH1256" s="33">
        <v>3</v>
      </c>
      <c r="CI1256" s="33">
        <v>2</v>
      </c>
      <c r="CJ1256" s="33">
        <v>3</v>
      </c>
      <c r="CK1256" s="33">
        <v>0</v>
      </c>
      <c r="CL1256" s="33">
        <v>1</v>
      </c>
      <c r="CM1256" s="33">
        <v>2</v>
      </c>
      <c r="CN1256" s="33">
        <v>23</v>
      </c>
      <c r="CO1256" s="33">
        <v>14</v>
      </c>
      <c r="CP1256" s="43">
        <v>4.3826650870012286E-2</v>
      </c>
      <c r="CQ1256" s="33">
        <v>0</v>
      </c>
      <c r="CR1256" s="33">
        <v>0</v>
      </c>
    </row>
    <row r="1257" spans="1:96" ht="15" customHeight="1" x14ac:dyDescent="0.25">
      <c r="A1257" s="26">
        <v>1255</v>
      </c>
      <c r="B1257" s="27">
        <v>33</v>
      </c>
      <c r="C1257" s="27">
        <v>1</v>
      </c>
      <c r="D1257" s="27">
        <v>1</v>
      </c>
      <c r="E1257" s="27">
        <v>211</v>
      </c>
      <c r="F1257" s="27">
        <v>1</v>
      </c>
      <c r="G1257" s="27">
        <v>16</v>
      </c>
      <c r="H1257" s="27">
        <v>3</v>
      </c>
      <c r="I1257" s="27">
        <v>1</v>
      </c>
      <c r="J1257" s="27">
        <v>1</v>
      </c>
      <c r="K1257" s="27">
        <v>1758</v>
      </c>
      <c r="L1257" s="27">
        <v>1</v>
      </c>
      <c r="M1257" s="27">
        <v>0</v>
      </c>
      <c r="N1257" s="27">
        <v>74</v>
      </c>
      <c r="O1257" s="27">
        <v>3</v>
      </c>
      <c r="P1257" s="27">
        <v>3</v>
      </c>
      <c r="Q1257" s="27">
        <v>1</v>
      </c>
      <c r="R1257" s="27">
        <v>1</v>
      </c>
      <c r="S1257" s="27">
        <v>1</v>
      </c>
      <c r="T1257" s="27">
        <v>8564</v>
      </c>
      <c r="U1257" s="27">
        <v>10092</v>
      </c>
      <c r="V1257" s="27">
        <v>2</v>
      </c>
      <c r="W1257" s="27">
        <v>1</v>
      </c>
      <c r="X1257" s="27">
        <v>20</v>
      </c>
      <c r="Y1257" s="27">
        <v>4</v>
      </c>
      <c r="Z1257" s="27">
        <v>3</v>
      </c>
      <c r="AA1257" s="27">
        <v>80</v>
      </c>
      <c r="AB1257" s="27">
        <v>0</v>
      </c>
      <c r="AC1257" s="27">
        <v>11</v>
      </c>
      <c r="AD1257" s="27">
        <v>2</v>
      </c>
      <c r="AE1257" s="27">
        <v>2</v>
      </c>
      <c r="AF1257" s="27">
        <v>0</v>
      </c>
      <c r="AG1257" s="27">
        <v>0</v>
      </c>
      <c r="AH1257" s="27">
        <v>0</v>
      </c>
      <c r="AI1257" s="28">
        <v>0</v>
      </c>
      <c r="AK1257" s="36">
        <v>1224</v>
      </c>
      <c r="AL1257" s="33">
        <v>9</v>
      </c>
      <c r="AM1257" s="33">
        <v>4</v>
      </c>
      <c r="AN1257" s="33">
        <v>3</v>
      </c>
      <c r="AO1257" s="33">
        <v>7</v>
      </c>
      <c r="AP1257" s="33">
        <v>0</v>
      </c>
      <c r="AQ1257" s="33">
        <v>0</v>
      </c>
      <c r="AR1257" s="33">
        <v>1</v>
      </c>
      <c r="AS1257" s="33">
        <v>23</v>
      </c>
      <c r="AT1257" s="33">
        <v>14</v>
      </c>
      <c r="AU1257" s="43">
        <v>9.5026910453570382E-2</v>
      </c>
      <c r="AV1257" s="33">
        <v>0</v>
      </c>
      <c r="AW1257" s="33">
        <v>1</v>
      </c>
      <c r="AY1257" s="36">
        <v>1229</v>
      </c>
      <c r="AZ1257" s="33">
        <v>2</v>
      </c>
      <c r="BA1257" s="33">
        <v>2</v>
      </c>
      <c r="BB1257" s="33">
        <v>0</v>
      </c>
      <c r="BC1257" s="33">
        <v>1</v>
      </c>
      <c r="BD1257" s="43">
        <v>9.4721355311452843E-2</v>
      </c>
      <c r="BE1257" s="33">
        <v>0</v>
      </c>
      <c r="BF1257" s="33">
        <v>0</v>
      </c>
      <c r="CE1257" s="36">
        <v>1223</v>
      </c>
      <c r="CF1257" s="33">
        <v>22</v>
      </c>
      <c r="CG1257" s="33">
        <v>1</v>
      </c>
      <c r="CH1257" s="33">
        <v>3</v>
      </c>
      <c r="CI1257" s="33">
        <v>2</v>
      </c>
      <c r="CJ1257" s="33">
        <v>1</v>
      </c>
      <c r="CK1257" s="33">
        <v>0</v>
      </c>
      <c r="CL1257" s="33">
        <v>1</v>
      </c>
      <c r="CM1257" s="33">
        <v>3</v>
      </c>
      <c r="CN1257" s="33">
        <v>1</v>
      </c>
      <c r="CO1257" s="33">
        <v>0</v>
      </c>
      <c r="CP1257" s="43">
        <v>0.14759120337754386</v>
      </c>
      <c r="CQ1257" s="33">
        <v>0</v>
      </c>
      <c r="CR1257" s="33">
        <v>1</v>
      </c>
    </row>
    <row r="1258" spans="1:96" ht="15" customHeight="1" x14ac:dyDescent="0.25">
      <c r="A1258" s="26">
        <v>1256</v>
      </c>
      <c r="B1258" s="27">
        <v>38</v>
      </c>
      <c r="C1258" s="27">
        <v>0</v>
      </c>
      <c r="D1258" s="27">
        <v>2</v>
      </c>
      <c r="E1258" s="27">
        <v>594</v>
      </c>
      <c r="F1258" s="27">
        <v>2</v>
      </c>
      <c r="G1258" s="27">
        <v>2</v>
      </c>
      <c r="H1258" s="27">
        <v>2</v>
      </c>
      <c r="I1258" s="27">
        <v>3</v>
      </c>
      <c r="J1258" s="27">
        <v>1</v>
      </c>
      <c r="K1258" s="27">
        <v>1760</v>
      </c>
      <c r="L1258" s="27">
        <v>3</v>
      </c>
      <c r="M1258" s="27">
        <v>0</v>
      </c>
      <c r="N1258" s="27">
        <v>75</v>
      </c>
      <c r="O1258" s="27">
        <v>2</v>
      </c>
      <c r="P1258" s="27">
        <v>1</v>
      </c>
      <c r="Q1258" s="27">
        <v>3</v>
      </c>
      <c r="R1258" s="27">
        <v>2</v>
      </c>
      <c r="S1258" s="27">
        <v>2</v>
      </c>
      <c r="T1258" s="27">
        <v>2468</v>
      </c>
      <c r="U1258" s="27">
        <v>15963</v>
      </c>
      <c r="V1258" s="27">
        <v>4</v>
      </c>
      <c r="W1258" s="27">
        <v>0</v>
      </c>
      <c r="X1258" s="27">
        <v>14</v>
      </c>
      <c r="Y1258" s="27">
        <v>3</v>
      </c>
      <c r="Z1258" s="27">
        <v>2</v>
      </c>
      <c r="AA1258" s="27">
        <v>80</v>
      </c>
      <c r="AB1258" s="27">
        <v>1</v>
      </c>
      <c r="AC1258" s="27">
        <v>9</v>
      </c>
      <c r="AD1258" s="27">
        <v>4</v>
      </c>
      <c r="AE1258" s="27">
        <v>2</v>
      </c>
      <c r="AF1258" s="27">
        <v>6</v>
      </c>
      <c r="AG1258" s="27">
        <v>1</v>
      </c>
      <c r="AH1258" s="27">
        <v>0</v>
      </c>
      <c r="AI1258" s="28">
        <v>5</v>
      </c>
      <c r="AK1258" s="36">
        <v>1225</v>
      </c>
      <c r="AL1258" s="33">
        <v>17</v>
      </c>
      <c r="AM1258" s="33">
        <v>1</v>
      </c>
      <c r="AN1258" s="33">
        <v>3</v>
      </c>
      <c r="AO1258" s="33">
        <v>1</v>
      </c>
      <c r="AP1258" s="33">
        <v>0</v>
      </c>
      <c r="AQ1258" s="33">
        <v>3</v>
      </c>
      <c r="AR1258" s="33">
        <v>4</v>
      </c>
      <c r="AS1258" s="33">
        <v>3</v>
      </c>
      <c r="AT1258" s="33">
        <v>0</v>
      </c>
      <c r="AU1258" s="43">
        <v>3.3003044660454346E-2</v>
      </c>
      <c r="AV1258" s="33">
        <v>0</v>
      </c>
      <c r="AW1258" s="33">
        <v>0</v>
      </c>
      <c r="AY1258" s="36">
        <v>1230</v>
      </c>
      <c r="AZ1258" s="33">
        <v>2</v>
      </c>
      <c r="BA1258" s="33">
        <v>1</v>
      </c>
      <c r="BB1258" s="33">
        <v>1</v>
      </c>
      <c r="BC1258" s="33">
        <v>1</v>
      </c>
      <c r="BD1258" s="43">
        <v>0.37467799024663817</v>
      </c>
      <c r="BE1258" s="33">
        <v>0</v>
      </c>
      <c r="BF1258" s="33">
        <v>0</v>
      </c>
      <c r="CE1258" s="36">
        <v>1224</v>
      </c>
      <c r="CF1258" s="33">
        <v>9</v>
      </c>
      <c r="CG1258" s="33">
        <v>4</v>
      </c>
      <c r="CH1258" s="33">
        <v>3</v>
      </c>
      <c r="CI1258" s="33">
        <v>2</v>
      </c>
      <c r="CJ1258" s="33">
        <v>7</v>
      </c>
      <c r="CK1258" s="33">
        <v>0</v>
      </c>
      <c r="CL1258" s="33">
        <v>0</v>
      </c>
      <c r="CM1258" s="33">
        <v>1</v>
      </c>
      <c r="CN1258" s="33">
        <v>23</v>
      </c>
      <c r="CO1258" s="33">
        <v>14</v>
      </c>
      <c r="CP1258" s="43">
        <v>7.2942910300459296E-2</v>
      </c>
      <c r="CQ1258" s="33">
        <v>0</v>
      </c>
      <c r="CR1258" s="33">
        <v>1</v>
      </c>
    </row>
    <row r="1259" spans="1:96" ht="15" customHeight="1" x14ac:dyDescent="0.25">
      <c r="A1259" s="26">
        <v>1257</v>
      </c>
      <c r="B1259" s="27">
        <v>31</v>
      </c>
      <c r="C1259" s="27">
        <v>1</v>
      </c>
      <c r="D1259" s="27">
        <v>1</v>
      </c>
      <c r="E1259" s="27">
        <v>1079</v>
      </c>
      <c r="F1259" s="27">
        <v>1</v>
      </c>
      <c r="G1259" s="27">
        <v>16</v>
      </c>
      <c r="H1259" s="27">
        <v>4</v>
      </c>
      <c r="I1259" s="27">
        <v>4</v>
      </c>
      <c r="J1259" s="27">
        <v>1</v>
      </c>
      <c r="K1259" s="27">
        <v>1761</v>
      </c>
      <c r="L1259" s="27">
        <v>1</v>
      </c>
      <c r="M1259" s="27">
        <v>1</v>
      </c>
      <c r="N1259" s="27">
        <v>70</v>
      </c>
      <c r="O1259" s="27">
        <v>3</v>
      </c>
      <c r="P1259" s="27">
        <v>3</v>
      </c>
      <c r="Q1259" s="27">
        <v>1</v>
      </c>
      <c r="R1259" s="27">
        <v>3</v>
      </c>
      <c r="S1259" s="27">
        <v>2</v>
      </c>
      <c r="T1259" s="27">
        <v>8161</v>
      </c>
      <c r="U1259" s="27">
        <v>19002</v>
      </c>
      <c r="V1259" s="27">
        <v>2</v>
      </c>
      <c r="W1259" s="27">
        <v>0</v>
      </c>
      <c r="X1259" s="27">
        <v>13</v>
      </c>
      <c r="Y1259" s="27">
        <v>3</v>
      </c>
      <c r="Z1259" s="27">
        <v>1</v>
      </c>
      <c r="AA1259" s="27">
        <v>80</v>
      </c>
      <c r="AB1259" s="27">
        <v>3</v>
      </c>
      <c r="AC1259" s="27">
        <v>10</v>
      </c>
      <c r="AD1259" s="27">
        <v>2</v>
      </c>
      <c r="AE1259" s="27">
        <v>3</v>
      </c>
      <c r="AF1259" s="27">
        <v>1</v>
      </c>
      <c r="AG1259" s="27">
        <v>0</v>
      </c>
      <c r="AH1259" s="27">
        <v>0</v>
      </c>
      <c r="AI1259" s="28">
        <v>0</v>
      </c>
      <c r="AK1259" s="36">
        <v>1226</v>
      </c>
      <c r="AL1259" s="33">
        <v>28</v>
      </c>
      <c r="AM1259" s="33">
        <v>4</v>
      </c>
      <c r="AN1259" s="33">
        <v>2</v>
      </c>
      <c r="AO1259" s="33">
        <v>1</v>
      </c>
      <c r="AP1259" s="33">
        <v>0</v>
      </c>
      <c r="AQ1259" s="33">
        <v>0</v>
      </c>
      <c r="AR1259" s="33">
        <v>3</v>
      </c>
      <c r="AS1259" s="33">
        <v>21</v>
      </c>
      <c r="AT1259" s="33">
        <v>8</v>
      </c>
      <c r="AU1259" s="43">
        <v>5.5855483130201916E-2</v>
      </c>
      <c r="AV1259" s="33">
        <v>0</v>
      </c>
      <c r="AW1259" s="33">
        <v>0</v>
      </c>
      <c r="AY1259" s="36">
        <v>1231</v>
      </c>
      <c r="AZ1259" s="33">
        <v>1</v>
      </c>
      <c r="BA1259" s="33">
        <v>1</v>
      </c>
      <c r="BB1259" s="33">
        <v>0</v>
      </c>
      <c r="BC1259" s="33">
        <v>3</v>
      </c>
      <c r="BD1259" s="43">
        <v>7.8580935992741602E-2</v>
      </c>
      <c r="BE1259" s="33">
        <v>0</v>
      </c>
      <c r="BF1259" s="33">
        <v>0</v>
      </c>
      <c r="CE1259" s="36">
        <v>1225</v>
      </c>
      <c r="CF1259" s="33">
        <v>17</v>
      </c>
      <c r="CG1259" s="33">
        <v>1</v>
      </c>
      <c r="CH1259" s="33">
        <v>3</v>
      </c>
      <c r="CI1259" s="33">
        <v>2</v>
      </c>
      <c r="CJ1259" s="33">
        <v>1</v>
      </c>
      <c r="CK1259" s="33">
        <v>0</v>
      </c>
      <c r="CL1259" s="33">
        <v>3</v>
      </c>
      <c r="CM1259" s="33">
        <v>4</v>
      </c>
      <c r="CN1259" s="33">
        <v>3</v>
      </c>
      <c r="CO1259" s="33">
        <v>0</v>
      </c>
      <c r="CP1259" s="43">
        <v>5.9489403711622708E-2</v>
      </c>
      <c r="CQ1259" s="33">
        <v>0</v>
      </c>
      <c r="CR1259" s="33">
        <v>0</v>
      </c>
    </row>
    <row r="1260" spans="1:96" ht="15" customHeight="1" x14ac:dyDescent="0.25">
      <c r="A1260" s="26">
        <v>1258</v>
      </c>
      <c r="B1260" s="27">
        <v>29</v>
      </c>
      <c r="C1260" s="27">
        <v>0</v>
      </c>
      <c r="D1260" s="27">
        <v>1</v>
      </c>
      <c r="E1260" s="27">
        <v>590</v>
      </c>
      <c r="F1260" s="27">
        <v>2</v>
      </c>
      <c r="G1260" s="27">
        <v>4</v>
      </c>
      <c r="H1260" s="27">
        <v>3</v>
      </c>
      <c r="I1260" s="27">
        <v>5</v>
      </c>
      <c r="J1260" s="27">
        <v>1</v>
      </c>
      <c r="K1260" s="27">
        <v>1762</v>
      </c>
      <c r="L1260" s="27">
        <v>4</v>
      </c>
      <c r="M1260" s="27">
        <v>0</v>
      </c>
      <c r="N1260" s="27">
        <v>91</v>
      </c>
      <c r="O1260" s="27">
        <v>2</v>
      </c>
      <c r="P1260" s="27">
        <v>1</v>
      </c>
      <c r="Q1260" s="27">
        <v>2</v>
      </c>
      <c r="R1260" s="27">
        <v>1</v>
      </c>
      <c r="S1260" s="27">
        <v>3</v>
      </c>
      <c r="T1260" s="27">
        <v>2109</v>
      </c>
      <c r="U1260" s="27">
        <v>10007</v>
      </c>
      <c r="V1260" s="27">
        <v>1</v>
      </c>
      <c r="W1260" s="27">
        <v>0</v>
      </c>
      <c r="X1260" s="27">
        <v>13</v>
      </c>
      <c r="Y1260" s="27">
        <v>3</v>
      </c>
      <c r="Z1260" s="27">
        <v>3</v>
      </c>
      <c r="AA1260" s="27">
        <v>80</v>
      </c>
      <c r="AB1260" s="27">
        <v>1</v>
      </c>
      <c r="AC1260" s="27">
        <v>1</v>
      </c>
      <c r="AD1260" s="27">
        <v>2</v>
      </c>
      <c r="AE1260" s="27">
        <v>3</v>
      </c>
      <c r="AF1260" s="27">
        <v>1</v>
      </c>
      <c r="AG1260" s="27">
        <v>0</v>
      </c>
      <c r="AH1260" s="27">
        <v>0</v>
      </c>
      <c r="AI1260" s="28">
        <v>0</v>
      </c>
      <c r="AK1260" s="36">
        <v>1227</v>
      </c>
      <c r="AL1260" s="33">
        <v>10</v>
      </c>
      <c r="AM1260" s="33">
        <v>1</v>
      </c>
      <c r="AN1260" s="33">
        <v>3</v>
      </c>
      <c r="AO1260" s="33">
        <v>6</v>
      </c>
      <c r="AP1260" s="33">
        <v>0</v>
      </c>
      <c r="AQ1260" s="33">
        <v>1</v>
      </c>
      <c r="AR1260" s="33">
        <v>2</v>
      </c>
      <c r="AS1260" s="33">
        <v>5</v>
      </c>
      <c r="AT1260" s="33">
        <v>1</v>
      </c>
      <c r="AU1260" s="43">
        <v>0.16456363106449229</v>
      </c>
      <c r="AV1260" s="33">
        <v>0</v>
      </c>
      <c r="AW1260" s="33">
        <v>0</v>
      </c>
      <c r="AY1260" s="36">
        <v>1232</v>
      </c>
      <c r="AZ1260" s="33">
        <v>2</v>
      </c>
      <c r="BA1260" s="33">
        <v>2</v>
      </c>
      <c r="BB1260" s="33">
        <v>0</v>
      </c>
      <c r="BC1260" s="33">
        <v>0</v>
      </c>
      <c r="BD1260" s="43">
        <v>0.15063023792355215</v>
      </c>
      <c r="BE1260" s="33">
        <v>0</v>
      </c>
      <c r="BF1260" s="33">
        <v>0</v>
      </c>
      <c r="CE1260" s="36">
        <v>1226</v>
      </c>
      <c r="CF1260" s="33">
        <v>28</v>
      </c>
      <c r="CG1260" s="33">
        <v>4</v>
      </c>
      <c r="CH1260" s="33">
        <v>2</v>
      </c>
      <c r="CI1260" s="33">
        <v>1</v>
      </c>
      <c r="CJ1260" s="33">
        <v>1</v>
      </c>
      <c r="CK1260" s="33">
        <v>0</v>
      </c>
      <c r="CL1260" s="33">
        <v>0</v>
      </c>
      <c r="CM1260" s="33">
        <v>3</v>
      </c>
      <c r="CN1260" s="33">
        <v>21</v>
      </c>
      <c r="CO1260" s="33">
        <v>8</v>
      </c>
      <c r="CP1260" s="43">
        <v>6.8607542181383041E-2</v>
      </c>
      <c r="CQ1260" s="33">
        <v>0</v>
      </c>
      <c r="CR1260" s="33">
        <v>0</v>
      </c>
    </row>
    <row r="1261" spans="1:96" ht="15" customHeight="1" x14ac:dyDescent="0.25">
      <c r="A1261" s="26">
        <v>1259</v>
      </c>
      <c r="B1261" s="27">
        <v>30</v>
      </c>
      <c r="C1261" s="27">
        <v>0</v>
      </c>
      <c r="D1261" s="27">
        <v>1</v>
      </c>
      <c r="E1261" s="27">
        <v>305</v>
      </c>
      <c r="F1261" s="27">
        <v>2</v>
      </c>
      <c r="G1261" s="27">
        <v>16</v>
      </c>
      <c r="H1261" s="27">
        <v>3</v>
      </c>
      <c r="I1261" s="27">
        <v>1</v>
      </c>
      <c r="J1261" s="27">
        <v>1</v>
      </c>
      <c r="K1261" s="27">
        <v>1763</v>
      </c>
      <c r="L1261" s="27">
        <v>3</v>
      </c>
      <c r="M1261" s="27">
        <v>1</v>
      </c>
      <c r="N1261" s="27">
        <v>58</v>
      </c>
      <c r="O1261" s="27">
        <v>4</v>
      </c>
      <c r="P1261" s="27">
        <v>2</v>
      </c>
      <c r="Q1261" s="27">
        <v>5</v>
      </c>
      <c r="R1261" s="27">
        <v>3</v>
      </c>
      <c r="S1261" s="27">
        <v>2</v>
      </c>
      <c r="T1261" s="27">
        <v>5294</v>
      </c>
      <c r="U1261" s="27">
        <v>9128</v>
      </c>
      <c r="V1261" s="27">
        <v>3</v>
      </c>
      <c r="W1261" s="27">
        <v>0</v>
      </c>
      <c r="X1261" s="27">
        <v>16</v>
      </c>
      <c r="Y1261" s="27">
        <v>3</v>
      </c>
      <c r="Z1261" s="27">
        <v>3</v>
      </c>
      <c r="AA1261" s="27">
        <v>80</v>
      </c>
      <c r="AB1261" s="27">
        <v>1</v>
      </c>
      <c r="AC1261" s="27">
        <v>10</v>
      </c>
      <c r="AD1261" s="27">
        <v>3</v>
      </c>
      <c r="AE1261" s="27">
        <v>3</v>
      </c>
      <c r="AF1261" s="27">
        <v>7</v>
      </c>
      <c r="AG1261" s="27">
        <v>0</v>
      </c>
      <c r="AH1261" s="27">
        <v>1</v>
      </c>
      <c r="AI1261" s="28">
        <v>7</v>
      </c>
      <c r="AK1261" s="36">
        <v>1228</v>
      </c>
      <c r="AL1261" s="33">
        <v>2</v>
      </c>
      <c r="AM1261" s="33">
        <v>1</v>
      </c>
      <c r="AN1261" s="33">
        <v>3</v>
      </c>
      <c r="AO1261" s="33">
        <v>1</v>
      </c>
      <c r="AP1261" s="33">
        <v>0</v>
      </c>
      <c r="AQ1261" s="33">
        <v>1</v>
      </c>
      <c r="AR1261" s="33">
        <v>4</v>
      </c>
      <c r="AS1261" s="33">
        <v>5</v>
      </c>
      <c r="AT1261" s="33">
        <v>0</v>
      </c>
      <c r="AU1261" s="43">
        <v>5.2545293301232733E-2</v>
      </c>
      <c r="AV1261" s="33">
        <v>0</v>
      </c>
      <c r="AW1261" s="33">
        <v>0</v>
      </c>
      <c r="AY1261" s="36">
        <v>1233</v>
      </c>
      <c r="AZ1261" s="33">
        <v>2</v>
      </c>
      <c r="BA1261" s="33">
        <v>3</v>
      </c>
      <c r="BB1261" s="33">
        <v>0</v>
      </c>
      <c r="BC1261" s="33">
        <v>1</v>
      </c>
      <c r="BD1261" s="43">
        <v>7.244788656931947E-2</v>
      </c>
      <c r="BE1261" s="33">
        <v>0</v>
      </c>
      <c r="BF1261" s="33">
        <v>0</v>
      </c>
      <c r="CE1261" s="36">
        <v>1227</v>
      </c>
      <c r="CF1261" s="33">
        <v>10</v>
      </c>
      <c r="CG1261" s="33">
        <v>1</v>
      </c>
      <c r="CH1261" s="33">
        <v>3</v>
      </c>
      <c r="CI1261" s="33">
        <v>2</v>
      </c>
      <c r="CJ1261" s="33">
        <v>6</v>
      </c>
      <c r="CK1261" s="33">
        <v>0</v>
      </c>
      <c r="CL1261" s="33">
        <v>1</v>
      </c>
      <c r="CM1261" s="33">
        <v>2</v>
      </c>
      <c r="CN1261" s="33">
        <v>5</v>
      </c>
      <c r="CO1261" s="33">
        <v>1</v>
      </c>
      <c r="CP1261" s="43">
        <v>0.16093603427703257</v>
      </c>
      <c r="CQ1261" s="33">
        <v>0</v>
      </c>
      <c r="CR1261" s="33">
        <v>0</v>
      </c>
    </row>
    <row r="1262" spans="1:96" ht="15" customHeight="1" x14ac:dyDescent="0.25">
      <c r="A1262" s="26">
        <v>1260</v>
      </c>
      <c r="B1262" s="27">
        <v>32</v>
      </c>
      <c r="C1262" s="27">
        <v>0</v>
      </c>
      <c r="D1262" s="27">
        <v>3</v>
      </c>
      <c r="E1262" s="27">
        <v>953</v>
      </c>
      <c r="F1262" s="27">
        <v>2</v>
      </c>
      <c r="G1262" s="27">
        <v>5</v>
      </c>
      <c r="H1262" s="27">
        <v>4</v>
      </c>
      <c r="I1262" s="27">
        <v>5</v>
      </c>
      <c r="J1262" s="27">
        <v>1</v>
      </c>
      <c r="K1262" s="27">
        <v>1764</v>
      </c>
      <c r="L1262" s="27">
        <v>2</v>
      </c>
      <c r="M1262" s="27">
        <v>1</v>
      </c>
      <c r="N1262" s="27">
        <v>65</v>
      </c>
      <c r="O1262" s="27">
        <v>3</v>
      </c>
      <c r="P1262" s="27">
        <v>1</v>
      </c>
      <c r="Q1262" s="27">
        <v>2</v>
      </c>
      <c r="R1262" s="27">
        <v>2</v>
      </c>
      <c r="S1262" s="27">
        <v>1</v>
      </c>
      <c r="T1262" s="27">
        <v>2718</v>
      </c>
      <c r="U1262" s="27">
        <v>17674</v>
      </c>
      <c r="V1262" s="27">
        <v>2</v>
      </c>
      <c r="W1262" s="27">
        <v>0</v>
      </c>
      <c r="X1262" s="27">
        <v>14</v>
      </c>
      <c r="Y1262" s="27">
        <v>3</v>
      </c>
      <c r="Z1262" s="27">
        <v>2</v>
      </c>
      <c r="AA1262" s="27">
        <v>80</v>
      </c>
      <c r="AB1262" s="27">
        <v>0</v>
      </c>
      <c r="AC1262" s="27">
        <v>12</v>
      </c>
      <c r="AD1262" s="27">
        <v>3</v>
      </c>
      <c r="AE1262" s="27">
        <v>3</v>
      </c>
      <c r="AF1262" s="27">
        <v>7</v>
      </c>
      <c r="AG1262" s="27">
        <v>7</v>
      </c>
      <c r="AH1262" s="27">
        <v>0</v>
      </c>
      <c r="AI1262" s="28">
        <v>7</v>
      </c>
      <c r="AK1262" s="36">
        <v>1229</v>
      </c>
      <c r="AL1262" s="33">
        <v>4</v>
      </c>
      <c r="AM1262" s="33">
        <v>2</v>
      </c>
      <c r="AN1262" s="33">
        <v>2</v>
      </c>
      <c r="AO1262" s="33">
        <v>6</v>
      </c>
      <c r="AP1262" s="33">
        <v>0</v>
      </c>
      <c r="AQ1262" s="33">
        <v>1</v>
      </c>
      <c r="AR1262" s="33">
        <v>3</v>
      </c>
      <c r="AS1262" s="33">
        <v>3</v>
      </c>
      <c r="AT1262" s="33">
        <v>1</v>
      </c>
      <c r="AU1262" s="43">
        <v>0.10207712113979132</v>
      </c>
      <c r="AV1262" s="33">
        <v>0</v>
      </c>
      <c r="AW1262" s="33">
        <v>0</v>
      </c>
      <c r="AY1262" s="36">
        <v>1234</v>
      </c>
      <c r="AZ1262" s="33">
        <v>1</v>
      </c>
      <c r="BA1262" s="33">
        <v>4</v>
      </c>
      <c r="BB1262" s="33">
        <v>0</v>
      </c>
      <c r="BC1262" s="33">
        <v>1</v>
      </c>
      <c r="BD1262" s="43">
        <v>9.2486413274924434E-2</v>
      </c>
      <c r="BE1262" s="33">
        <v>0</v>
      </c>
      <c r="BF1262" s="33">
        <v>0</v>
      </c>
      <c r="CE1262" s="36">
        <v>1228</v>
      </c>
      <c r="CF1262" s="33">
        <v>2</v>
      </c>
      <c r="CG1262" s="33">
        <v>1</v>
      </c>
      <c r="CH1262" s="33">
        <v>3</v>
      </c>
      <c r="CI1262" s="33">
        <v>2</v>
      </c>
      <c r="CJ1262" s="33">
        <v>1</v>
      </c>
      <c r="CK1262" s="33">
        <v>0</v>
      </c>
      <c r="CL1262" s="33">
        <v>1</v>
      </c>
      <c r="CM1262" s="33">
        <v>4</v>
      </c>
      <c r="CN1262" s="33">
        <v>5</v>
      </c>
      <c r="CO1262" s="33">
        <v>0</v>
      </c>
      <c r="CP1262" s="43">
        <v>4.9295519947923909E-2</v>
      </c>
      <c r="CQ1262" s="33">
        <v>0</v>
      </c>
      <c r="CR1262" s="33">
        <v>0</v>
      </c>
    </row>
    <row r="1263" spans="1:96" ht="15" customHeight="1" x14ac:dyDescent="0.25">
      <c r="A1263" s="26">
        <v>1261</v>
      </c>
      <c r="B1263" s="27">
        <v>38</v>
      </c>
      <c r="C1263" s="27">
        <v>0</v>
      </c>
      <c r="D1263" s="27">
        <v>1</v>
      </c>
      <c r="E1263" s="27">
        <v>833</v>
      </c>
      <c r="F1263" s="27">
        <v>2</v>
      </c>
      <c r="G1263" s="27">
        <v>18</v>
      </c>
      <c r="H1263" s="27">
        <v>3</v>
      </c>
      <c r="I1263" s="27">
        <v>3</v>
      </c>
      <c r="J1263" s="27">
        <v>1</v>
      </c>
      <c r="K1263" s="27">
        <v>1766</v>
      </c>
      <c r="L1263" s="27">
        <v>2</v>
      </c>
      <c r="M1263" s="27">
        <v>1</v>
      </c>
      <c r="N1263" s="27">
        <v>60</v>
      </c>
      <c r="O1263" s="27">
        <v>1</v>
      </c>
      <c r="P1263" s="27">
        <v>2</v>
      </c>
      <c r="Q1263" s="27">
        <v>5</v>
      </c>
      <c r="R1263" s="27">
        <v>4</v>
      </c>
      <c r="S1263" s="27">
        <v>2</v>
      </c>
      <c r="T1263" s="27">
        <v>5811</v>
      </c>
      <c r="U1263" s="27">
        <v>24539</v>
      </c>
      <c r="V1263" s="27">
        <v>3</v>
      </c>
      <c r="W1263" s="27">
        <v>1</v>
      </c>
      <c r="X1263" s="27">
        <v>16</v>
      </c>
      <c r="Y1263" s="27">
        <v>3</v>
      </c>
      <c r="Z1263" s="27">
        <v>3</v>
      </c>
      <c r="AA1263" s="27">
        <v>80</v>
      </c>
      <c r="AB1263" s="27">
        <v>1</v>
      </c>
      <c r="AC1263" s="27">
        <v>15</v>
      </c>
      <c r="AD1263" s="27">
        <v>2</v>
      </c>
      <c r="AE1263" s="27">
        <v>3</v>
      </c>
      <c r="AF1263" s="27">
        <v>1</v>
      </c>
      <c r="AG1263" s="27">
        <v>0</v>
      </c>
      <c r="AH1263" s="27">
        <v>1</v>
      </c>
      <c r="AI1263" s="28">
        <v>0</v>
      </c>
      <c r="AK1263" s="36">
        <v>1230</v>
      </c>
      <c r="AL1263" s="33">
        <v>8</v>
      </c>
      <c r="AM1263" s="33">
        <v>2</v>
      </c>
      <c r="AN1263" s="33">
        <v>1</v>
      </c>
      <c r="AO1263" s="33">
        <v>2</v>
      </c>
      <c r="AP1263" s="33">
        <v>1</v>
      </c>
      <c r="AQ1263" s="33">
        <v>1</v>
      </c>
      <c r="AR1263" s="33">
        <v>3</v>
      </c>
      <c r="AS1263" s="33">
        <v>1</v>
      </c>
      <c r="AT1263" s="33">
        <v>0</v>
      </c>
      <c r="AU1263" s="43">
        <v>0.35948832785126555</v>
      </c>
      <c r="AV1263" s="33">
        <v>0</v>
      </c>
      <c r="AW1263" s="33">
        <v>0</v>
      </c>
      <c r="AY1263" s="36">
        <v>1235</v>
      </c>
      <c r="AZ1263" s="33">
        <v>2</v>
      </c>
      <c r="BA1263" s="33">
        <v>2</v>
      </c>
      <c r="BB1263" s="33">
        <v>0</v>
      </c>
      <c r="BC1263" s="33">
        <v>1</v>
      </c>
      <c r="BD1263" s="43">
        <v>9.4721355311452843E-2</v>
      </c>
      <c r="BE1263" s="33">
        <v>0</v>
      </c>
      <c r="BF1263" s="33">
        <v>0</v>
      </c>
      <c r="CE1263" s="36">
        <v>1229</v>
      </c>
      <c r="CF1263" s="33">
        <v>4</v>
      </c>
      <c r="CG1263" s="33">
        <v>2</v>
      </c>
      <c r="CH1263" s="33">
        <v>2</v>
      </c>
      <c r="CI1263" s="33">
        <v>2</v>
      </c>
      <c r="CJ1263" s="33">
        <v>6</v>
      </c>
      <c r="CK1263" s="33">
        <v>0</v>
      </c>
      <c r="CL1263" s="33">
        <v>1</v>
      </c>
      <c r="CM1263" s="33">
        <v>3</v>
      </c>
      <c r="CN1263" s="33">
        <v>3</v>
      </c>
      <c r="CO1263" s="33">
        <v>1</v>
      </c>
      <c r="CP1263" s="43">
        <v>0.10113858908715591</v>
      </c>
      <c r="CQ1263" s="33">
        <v>0</v>
      </c>
      <c r="CR1263" s="33">
        <v>0</v>
      </c>
    </row>
    <row r="1264" spans="1:96" ht="15" customHeight="1" x14ac:dyDescent="0.25">
      <c r="A1264" s="26">
        <v>1262</v>
      </c>
      <c r="B1264" s="27">
        <v>43</v>
      </c>
      <c r="C1264" s="27">
        <v>1</v>
      </c>
      <c r="D1264" s="27">
        <v>2</v>
      </c>
      <c r="E1264" s="27">
        <v>807</v>
      </c>
      <c r="F1264" s="27">
        <v>2</v>
      </c>
      <c r="G1264" s="27">
        <v>17</v>
      </c>
      <c r="H1264" s="27">
        <v>3</v>
      </c>
      <c r="I1264" s="27">
        <v>5</v>
      </c>
      <c r="J1264" s="27">
        <v>1</v>
      </c>
      <c r="K1264" s="27">
        <v>1767</v>
      </c>
      <c r="L1264" s="27">
        <v>3</v>
      </c>
      <c r="M1264" s="27">
        <v>1</v>
      </c>
      <c r="N1264" s="27">
        <v>38</v>
      </c>
      <c r="O1264" s="27">
        <v>2</v>
      </c>
      <c r="P1264" s="27">
        <v>1</v>
      </c>
      <c r="Q1264" s="27">
        <v>2</v>
      </c>
      <c r="R1264" s="27">
        <v>3</v>
      </c>
      <c r="S1264" s="27">
        <v>2</v>
      </c>
      <c r="T1264" s="27">
        <v>2437</v>
      </c>
      <c r="U1264" s="27">
        <v>15587</v>
      </c>
      <c r="V1264" s="27">
        <v>9</v>
      </c>
      <c r="W1264" s="27">
        <v>1</v>
      </c>
      <c r="X1264" s="27">
        <v>16</v>
      </c>
      <c r="Y1264" s="27">
        <v>3</v>
      </c>
      <c r="Z1264" s="27">
        <v>4</v>
      </c>
      <c r="AA1264" s="27">
        <v>80</v>
      </c>
      <c r="AB1264" s="27">
        <v>1</v>
      </c>
      <c r="AC1264" s="27">
        <v>6</v>
      </c>
      <c r="AD1264" s="27">
        <v>4</v>
      </c>
      <c r="AE1264" s="27">
        <v>3</v>
      </c>
      <c r="AF1264" s="27">
        <v>1</v>
      </c>
      <c r="AG1264" s="27">
        <v>0</v>
      </c>
      <c r="AH1264" s="27">
        <v>0</v>
      </c>
      <c r="AI1264" s="28">
        <v>0</v>
      </c>
      <c r="AK1264" s="36">
        <v>1231</v>
      </c>
      <c r="AL1264" s="33">
        <v>29</v>
      </c>
      <c r="AM1264" s="33">
        <v>1</v>
      </c>
      <c r="AN1264" s="33">
        <v>1</v>
      </c>
      <c r="AO1264" s="33">
        <v>1</v>
      </c>
      <c r="AP1264" s="33">
        <v>0</v>
      </c>
      <c r="AQ1264" s="33">
        <v>3</v>
      </c>
      <c r="AR1264" s="33">
        <v>4</v>
      </c>
      <c r="AS1264" s="33">
        <v>6</v>
      </c>
      <c r="AT1264" s="33">
        <v>1</v>
      </c>
      <c r="AU1264" s="43">
        <v>7.6359161005587234E-2</v>
      </c>
      <c r="AV1264" s="33">
        <v>0</v>
      </c>
      <c r="AW1264" s="33">
        <v>0</v>
      </c>
      <c r="AY1264" s="36">
        <v>1236</v>
      </c>
      <c r="AZ1264" s="33">
        <v>3</v>
      </c>
      <c r="BA1264" s="33">
        <v>4</v>
      </c>
      <c r="BB1264" s="33">
        <v>1</v>
      </c>
      <c r="BC1264" s="33">
        <v>1</v>
      </c>
      <c r="BD1264" s="43">
        <v>0.12479921665315721</v>
      </c>
      <c r="BE1264" s="33">
        <v>0</v>
      </c>
      <c r="BF1264" s="33">
        <v>0</v>
      </c>
      <c r="CE1264" s="36">
        <v>1230</v>
      </c>
      <c r="CF1264" s="33">
        <v>8</v>
      </c>
      <c r="CG1264" s="33">
        <v>2</v>
      </c>
      <c r="CH1264" s="33">
        <v>1</v>
      </c>
      <c r="CI1264" s="33">
        <v>2</v>
      </c>
      <c r="CJ1264" s="33">
        <v>2</v>
      </c>
      <c r="CK1264" s="33">
        <v>1</v>
      </c>
      <c r="CL1264" s="33">
        <v>1</v>
      </c>
      <c r="CM1264" s="33">
        <v>3</v>
      </c>
      <c r="CN1264" s="33">
        <v>1</v>
      </c>
      <c r="CO1264" s="33">
        <v>0</v>
      </c>
      <c r="CP1264" s="43">
        <v>0.36852057724394949</v>
      </c>
      <c r="CQ1264" s="33">
        <v>0</v>
      </c>
      <c r="CR1264" s="33">
        <v>0</v>
      </c>
    </row>
    <row r="1265" spans="1:96" ht="15" customHeight="1" x14ac:dyDescent="0.25">
      <c r="A1265" s="26">
        <v>1263</v>
      </c>
      <c r="B1265" s="27">
        <v>42</v>
      </c>
      <c r="C1265" s="27">
        <v>0</v>
      </c>
      <c r="D1265" s="27">
        <v>1</v>
      </c>
      <c r="E1265" s="27">
        <v>855</v>
      </c>
      <c r="F1265" s="27">
        <v>2</v>
      </c>
      <c r="G1265" s="27">
        <v>12</v>
      </c>
      <c r="H1265" s="27">
        <v>3</v>
      </c>
      <c r="I1265" s="27">
        <v>3</v>
      </c>
      <c r="J1265" s="27">
        <v>1</v>
      </c>
      <c r="K1265" s="27">
        <v>1768</v>
      </c>
      <c r="L1265" s="27">
        <v>2</v>
      </c>
      <c r="M1265" s="27">
        <v>1</v>
      </c>
      <c r="N1265" s="27">
        <v>57</v>
      </c>
      <c r="O1265" s="27">
        <v>3</v>
      </c>
      <c r="P1265" s="27">
        <v>1</v>
      </c>
      <c r="Q1265" s="27">
        <v>3</v>
      </c>
      <c r="R1265" s="27">
        <v>2</v>
      </c>
      <c r="S1265" s="27">
        <v>3</v>
      </c>
      <c r="T1265" s="27">
        <v>2766</v>
      </c>
      <c r="U1265" s="27">
        <v>8952</v>
      </c>
      <c r="V1265" s="27">
        <v>8</v>
      </c>
      <c r="W1265" s="27">
        <v>0</v>
      </c>
      <c r="X1265" s="27">
        <v>22</v>
      </c>
      <c r="Y1265" s="27">
        <v>4</v>
      </c>
      <c r="Z1265" s="27">
        <v>2</v>
      </c>
      <c r="AA1265" s="27">
        <v>80</v>
      </c>
      <c r="AB1265" s="27">
        <v>3</v>
      </c>
      <c r="AC1265" s="27">
        <v>7</v>
      </c>
      <c r="AD1265" s="27">
        <v>6</v>
      </c>
      <c r="AE1265" s="27">
        <v>2</v>
      </c>
      <c r="AF1265" s="27">
        <v>5</v>
      </c>
      <c r="AG1265" s="27">
        <v>3</v>
      </c>
      <c r="AH1265" s="27">
        <v>0</v>
      </c>
      <c r="AI1265" s="28">
        <v>4</v>
      </c>
      <c r="AK1265" s="36">
        <v>1232</v>
      </c>
      <c r="AL1265" s="33">
        <v>13</v>
      </c>
      <c r="AM1265" s="33">
        <v>2</v>
      </c>
      <c r="AN1265" s="33">
        <v>2</v>
      </c>
      <c r="AO1265" s="33">
        <v>6</v>
      </c>
      <c r="AP1265" s="33">
        <v>0</v>
      </c>
      <c r="AQ1265" s="33">
        <v>0</v>
      </c>
      <c r="AR1265" s="33">
        <v>3</v>
      </c>
      <c r="AS1265" s="33">
        <v>10</v>
      </c>
      <c r="AT1265" s="33">
        <v>0</v>
      </c>
      <c r="AU1265" s="43">
        <v>0.12757255271980447</v>
      </c>
      <c r="AV1265" s="33">
        <v>0</v>
      </c>
      <c r="AW1265" s="33">
        <v>0</v>
      </c>
      <c r="AY1265" s="36">
        <v>1237</v>
      </c>
      <c r="AZ1265" s="33">
        <v>2</v>
      </c>
      <c r="BA1265" s="33">
        <v>1</v>
      </c>
      <c r="BB1265" s="33">
        <v>1</v>
      </c>
      <c r="BC1265" s="33">
        <v>3</v>
      </c>
      <c r="BD1265" s="43">
        <v>0.1725768895660891</v>
      </c>
      <c r="BE1265" s="33">
        <v>0</v>
      </c>
      <c r="BF1265" s="33">
        <v>1</v>
      </c>
      <c r="CE1265" s="36">
        <v>1231</v>
      </c>
      <c r="CF1265" s="33">
        <v>29</v>
      </c>
      <c r="CG1265" s="33">
        <v>1</v>
      </c>
      <c r="CH1265" s="33">
        <v>1</v>
      </c>
      <c r="CI1265" s="33">
        <v>3</v>
      </c>
      <c r="CJ1265" s="33">
        <v>1</v>
      </c>
      <c r="CK1265" s="33">
        <v>0</v>
      </c>
      <c r="CL1265" s="33">
        <v>3</v>
      </c>
      <c r="CM1265" s="33">
        <v>4</v>
      </c>
      <c r="CN1265" s="33">
        <v>6</v>
      </c>
      <c r="CO1265" s="33">
        <v>1</v>
      </c>
      <c r="CP1265" s="43">
        <v>8.3495845980595271E-2</v>
      </c>
      <c r="CQ1265" s="33">
        <v>0</v>
      </c>
      <c r="CR1265" s="33">
        <v>0</v>
      </c>
    </row>
    <row r="1266" spans="1:96" ht="15" customHeight="1" x14ac:dyDescent="0.25">
      <c r="A1266" s="26">
        <v>1264</v>
      </c>
      <c r="B1266" s="27">
        <v>55</v>
      </c>
      <c r="C1266" s="27">
        <v>0</v>
      </c>
      <c r="D1266" s="27">
        <v>1</v>
      </c>
      <c r="E1266" s="27">
        <v>478</v>
      </c>
      <c r="F1266" s="27">
        <v>2</v>
      </c>
      <c r="G1266" s="27">
        <v>2</v>
      </c>
      <c r="H1266" s="27">
        <v>3</v>
      </c>
      <c r="I1266" s="27">
        <v>3</v>
      </c>
      <c r="J1266" s="27">
        <v>1</v>
      </c>
      <c r="K1266" s="27">
        <v>1770</v>
      </c>
      <c r="L1266" s="27">
        <v>3</v>
      </c>
      <c r="M1266" s="27">
        <v>1</v>
      </c>
      <c r="N1266" s="27">
        <v>60</v>
      </c>
      <c r="O1266" s="27">
        <v>2</v>
      </c>
      <c r="P1266" s="27">
        <v>5</v>
      </c>
      <c r="Q1266" s="27">
        <v>8</v>
      </c>
      <c r="R1266" s="27">
        <v>1</v>
      </c>
      <c r="S1266" s="27">
        <v>2</v>
      </c>
      <c r="T1266" s="27">
        <v>19038</v>
      </c>
      <c r="U1266" s="27">
        <v>19805</v>
      </c>
      <c r="V1266" s="27">
        <v>8</v>
      </c>
      <c r="W1266" s="27">
        <v>0</v>
      </c>
      <c r="X1266" s="27">
        <v>12</v>
      </c>
      <c r="Y1266" s="27">
        <v>3</v>
      </c>
      <c r="Z1266" s="27">
        <v>2</v>
      </c>
      <c r="AA1266" s="27">
        <v>80</v>
      </c>
      <c r="AB1266" s="27">
        <v>3</v>
      </c>
      <c r="AC1266" s="27">
        <v>34</v>
      </c>
      <c r="AD1266" s="27">
        <v>2</v>
      </c>
      <c r="AE1266" s="27">
        <v>3</v>
      </c>
      <c r="AF1266" s="27">
        <v>1</v>
      </c>
      <c r="AG1266" s="27">
        <v>0</v>
      </c>
      <c r="AH1266" s="27">
        <v>0</v>
      </c>
      <c r="AI1266" s="28">
        <v>0</v>
      </c>
      <c r="AK1266" s="36">
        <v>1233</v>
      </c>
      <c r="AL1266" s="33">
        <v>27</v>
      </c>
      <c r="AM1266" s="33">
        <v>2</v>
      </c>
      <c r="AN1266" s="33">
        <v>3</v>
      </c>
      <c r="AO1266" s="33">
        <v>2</v>
      </c>
      <c r="AP1266" s="33">
        <v>0</v>
      </c>
      <c r="AQ1266" s="33">
        <v>1</v>
      </c>
      <c r="AR1266" s="33">
        <v>3</v>
      </c>
      <c r="AS1266" s="33">
        <v>7</v>
      </c>
      <c r="AT1266" s="33">
        <v>0</v>
      </c>
      <c r="AU1266" s="43">
        <v>8.0878727005815235E-2</v>
      </c>
      <c r="AV1266" s="33">
        <v>0</v>
      </c>
      <c r="AW1266" s="33">
        <v>0</v>
      </c>
      <c r="AY1266" s="36">
        <v>1238</v>
      </c>
      <c r="AZ1266" s="33">
        <v>2</v>
      </c>
      <c r="BA1266" s="33">
        <v>2</v>
      </c>
      <c r="BB1266" s="33">
        <v>0</v>
      </c>
      <c r="BC1266" s="33">
        <v>0</v>
      </c>
      <c r="BD1266" s="43">
        <v>0.15063023792355215</v>
      </c>
      <c r="BE1266" s="33">
        <v>0</v>
      </c>
      <c r="BF1266" s="33">
        <v>1</v>
      </c>
      <c r="CE1266" s="36">
        <v>1232</v>
      </c>
      <c r="CF1266" s="33">
        <v>13</v>
      </c>
      <c r="CG1266" s="33">
        <v>2</v>
      </c>
      <c r="CH1266" s="33">
        <v>2</v>
      </c>
      <c r="CI1266" s="33">
        <v>1</v>
      </c>
      <c r="CJ1266" s="33">
        <v>6</v>
      </c>
      <c r="CK1266" s="33">
        <v>0</v>
      </c>
      <c r="CL1266" s="33">
        <v>0</v>
      </c>
      <c r="CM1266" s="33">
        <v>3</v>
      </c>
      <c r="CN1266" s="33">
        <v>10</v>
      </c>
      <c r="CO1266" s="33">
        <v>0</v>
      </c>
      <c r="CP1266" s="43">
        <v>0.15031415211676374</v>
      </c>
      <c r="CQ1266" s="33">
        <v>0</v>
      </c>
      <c r="CR1266" s="33">
        <v>0</v>
      </c>
    </row>
    <row r="1267" spans="1:96" ht="15" customHeight="1" x14ac:dyDescent="0.25">
      <c r="A1267" s="26">
        <v>1265</v>
      </c>
      <c r="B1267" s="27">
        <v>33</v>
      </c>
      <c r="C1267" s="27">
        <v>0</v>
      </c>
      <c r="D1267" s="27">
        <v>3</v>
      </c>
      <c r="E1267" s="27">
        <v>775</v>
      </c>
      <c r="F1267" s="27">
        <v>2</v>
      </c>
      <c r="G1267" s="27">
        <v>4</v>
      </c>
      <c r="H1267" s="27">
        <v>3</v>
      </c>
      <c r="I1267" s="27">
        <v>5</v>
      </c>
      <c r="J1267" s="27">
        <v>1</v>
      </c>
      <c r="K1267" s="27">
        <v>1771</v>
      </c>
      <c r="L1267" s="27">
        <v>4</v>
      </c>
      <c r="M1267" s="27">
        <v>1</v>
      </c>
      <c r="N1267" s="27">
        <v>90</v>
      </c>
      <c r="O1267" s="27">
        <v>3</v>
      </c>
      <c r="P1267" s="27">
        <v>2</v>
      </c>
      <c r="Q1267" s="27">
        <v>2</v>
      </c>
      <c r="R1267" s="27">
        <v>2</v>
      </c>
      <c r="S1267" s="27">
        <v>3</v>
      </c>
      <c r="T1267" s="27">
        <v>3055</v>
      </c>
      <c r="U1267" s="27">
        <v>6194</v>
      </c>
      <c r="V1267" s="27">
        <v>5</v>
      </c>
      <c r="W1267" s="27">
        <v>0</v>
      </c>
      <c r="X1267" s="27">
        <v>15</v>
      </c>
      <c r="Y1267" s="27">
        <v>3</v>
      </c>
      <c r="Z1267" s="27">
        <v>4</v>
      </c>
      <c r="AA1267" s="27">
        <v>80</v>
      </c>
      <c r="AB1267" s="27">
        <v>2</v>
      </c>
      <c r="AC1267" s="27">
        <v>11</v>
      </c>
      <c r="AD1267" s="27">
        <v>2</v>
      </c>
      <c r="AE1267" s="27">
        <v>2</v>
      </c>
      <c r="AF1267" s="27">
        <v>9</v>
      </c>
      <c r="AG1267" s="27">
        <v>8</v>
      </c>
      <c r="AH1267" s="27">
        <v>1</v>
      </c>
      <c r="AI1267" s="28">
        <v>7</v>
      </c>
      <c r="AK1267" s="36">
        <v>1234</v>
      </c>
      <c r="AL1267" s="33">
        <v>16</v>
      </c>
      <c r="AM1267" s="33">
        <v>1</v>
      </c>
      <c r="AN1267" s="33">
        <v>4</v>
      </c>
      <c r="AO1267" s="33">
        <v>1</v>
      </c>
      <c r="AP1267" s="33">
        <v>0</v>
      </c>
      <c r="AQ1267" s="33">
        <v>1</v>
      </c>
      <c r="AR1267" s="33">
        <v>2</v>
      </c>
      <c r="AS1267" s="33">
        <v>10</v>
      </c>
      <c r="AT1267" s="33">
        <v>0</v>
      </c>
      <c r="AU1267" s="43">
        <v>6.8582105302209456E-2</v>
      </c>
      <c r="AV1267" s="33">
        <v>0</v>
      </c>
      <c r="AW1267" s="33">
        <v>0</v>
      </c>
      <c r="AY1267" s="36">
        <v>1239</v>
      </c>
      <c r="AZ1267" s="33">
        <v>1</v>
      </c>
      <c r="BA1267" s="33">
        <v>2</v>
      </c>
      <c r="BB1267" s="33">
        <v>0</v>
      </c>
      <c r="BC1267" s="33">
        <v>0</v>
      </c>
      <c r="BD1267" s="43">
        <v>0.23662845161334917</v>
      </c>
      <c r="BE1267" s="33">
        <v>0</v>
      </c>
      <c r="BF1267" s="33">
        <v>0</v>
      </c>
      <c r="CE1267" s="36">
        <v>1233</v>
      </c>
      <c r="CF1267" s="33">
        <v>27</v>
      </c>
      <c r="CG1267" s="33">
        <v>2</v>
      </c>
      <c r="CH1267" s="33">
        <v>3</v>
      </c>
      <c r="CI1267" s="33">
        <v>2</v>
      </c>
      <c r="CJ1267" s="33">
        <v>2</v>
      </c>
      <c r="CK1267" s="33">
        <v>0</v>
      </c>
      <c r="CL1267" s="33">
        <v>1</v>
      </c>
      <c r="CM1267" s="33">
        <v>3</v>
      </c>
      <c r="CN1267" s="33">
        <v>7</v>
      </c>
      <c r="CO1267" s="33">
        <v>0</v>
      </c>
      <c r="CP1267" s="43">
        <v>7.7451757742473287E-2</v>
      </c>
      <c r="CQ1267" s="33">
        <v>0</v>
      </c>
      <c r="CR1267" s="33">
        <v>0</v>
      </c>
    </row>
    <row r="1268" spans="1:96" ht="15" customHeight="1" x14ac:dyDescent="0.25">
      <c r="A1268" s="26">
        <v>1266</v>
      </c>
      <c r="B1268" s="27">
        <v>41</v>
      </c>
      <c r="C1268" s="27">
        <v>0</v>
      </c>
      <c r="D1268" s="27">
        <v>1</v>
      </c>
      <c r="E1268" s="27">
        <v>548</v>
      </c>
      <c r="F1268" s="27">
        <v>2</v>
      </c>
      <c r="G1268" s="27">
        <v>9</v>
      </c>
      <c r="H1268" s="27">
        <v>4</v>
      </c>
      <c r="I1268" s="27">
        <v>1</v>
      </c>
      <c r="J1268" s="27">
        <v>1</v>
      </c>
      <c r="K1268" s="27">
        <v>1772</v>
      </c>
      <c r="L1268" s="27">
        <v>3</v>
      </c>
      <c r="M1268" s="27">
        <v>1</v>
      </c>
      <c r="N1268" s="27">
        <v>94</v>
      </c>
      <c r="O1268" s="27">
        <v>3</v>
      </c>
      <c r="P1268" s="27">
        <v>1</v>
      </c>
      <c r="Q1268" s="27">
        <v>3</v>
      </c>
      <c r="R1268" s="27">
        <v>1</v>
      </c>
      <c r="S1268" s="27">
        <v>3</v>
      </c>
      <c r="T1268" s="27">
        <v>2289</v>
      </c>
      <c r="U1268" s="27">
        <v>20520</v>
      </c>
      <c r="V1268" s="27">
        <v>1</v>
      </c>
      <c r="W1268" s="27">
        <v>0</v>
      </c>
      <c r="X1268" s="27">
        <v>20</v>
      </c>
      <c r="Y1268" s="27">
        <v>4</v>
      </c>
      <c r="Z1268" s="27">
        <v>2</v>
      </c>
      <c r="AA1268" s="27">
        <v>80</v>
      </c>
      <c r="AB1268" s="27">
        <v>2</v>
      </c>
      <c r="AC1268" s="27">
        <v>5</v>
      </c>
      <c r="AD1268" s="27">
        <v>2</v>
      </c>
      <c r="AE1268" s="27">
        <v>3</v>
      </c>
      <c r="AF1268" s="27">
        <v>5</v>
      </c>
      <c r="AG1268" s="27">
        <v>3</v>
      </c>
      <c r="AH1268" s="27">
        <v>0</v>
      </c>
      <c r="AI1268" s="28">
        <v>4</v>
      </c>
      <c r="AK1268" s="36">
        <v>1235</v>
      </c>
      <c r="AL1268" s="33">
        <v>2</v>
      </c>
      <c r="AM1268" s="33">
        <v>2</v>
      </c>
      <c r="AN1268" s="33">
        <v>2</v>
      </c>
      <c r="AO1268" s="33">
        <v>7</v>
      </c>
      <c r="AP1268" s="33">
        <v>0</v>
      </c>
      <c r="AQ1268" s="33">
        <v>1</v>
      </c>
      <c r="AR1268" s="33">
        <v>1</v>
      </c>
      <c r="AS1268" s="33">
        <v>1</v>
      </c>
      <c r="AT1268" s="33">
        <v>0</v>
      </c>
      <c r="AU1268" s="43">
        <v>0.15953307689849167</v>
      </c>
      <c r="AV1268" s="33">
        <v>0</v>
      </c>
      <c r="AW1268" s="33">
        <v>0</v>
      </c>
      <c r="AY1268" s="36">
        <v>1240</v>
      </c>
      <c r="AZ1268" s="33">
        <v>2</v>
      </c>
      <c r="BA1268" s="33">
        <v>4</v>
      </c>
      <c r="BB1268" s="33">
        <v>0</v>
      </c>
      <c r="BC1268" s="33">
        <v>0</v>
      </c>
      <c r="BD1268" s="43">
        <v>8.9935487507215722E-2</v>
      </c>
      <c r="BE1268" s="33">
        <v>0</v>
      </c>
      <c r="BF1268" s="33">
        <v>0</v>
      </c>
      <c r="CE1268" s="36">
        <v>1234</v>
      </c>
      <c r="CF1268" s="33">
        <v>16</v>
      </c>
      <c r="CG1268" s="33">
        <v>1</v>
      </c>
      <c r="CH1268" s="33">
        <v>4</v>
      </c>
      <c r="CI1268" s="33">
        <v>2</v>
      </c>
      <c r="CJ1268" s="33">
        <v>1</v>
      </c>
      <c r="CK1268" s="33">
        <v>0</v>
      </c>
      <c r="CL1268" s="33">
        <v>1</v>
      </c>
      <c r="CM1268" s="33">
        <v>2</v>
      </c>
      <c r="CN1268" s="33">
        <v>10</v>
      </c>
      <c r="CO1268" s="33">
        <v>0</v>
      </c>
      <c r="CP1268" s="43">
        <v>6.4843805228306073E-2</v>
      </c>
      <c r="CQ1268" s="33">
        <v>0</v>
      </c>
      <c r="CR1268" s="33">
        <v>0</v>
      </c>
    </row>
    <row r="1269" spans="1:96" ht="15" customHeight="1" x14ac:dyDescent="0.25">
      <c r="A1269" s="26">
        <v>1267</v>
      </c>
      <c r="B1269" s="27">
        <v>34</v>
      </c>
      <c r="C1269" s="27">
        <v>0</v>
      </c>
      <c r="D1269" s="27">
        <v>3</v>
      </c>
      <c r="E1269" s="27">
        <v>1375</v>
      </c>
      <c r="F1269" s="27">
        <v>1</v>
      </c>
      <c r="G1269" s="27">
        <v>10</v>
      </c>
      <c r="H1269" s="27">
        <v>3</v>
      </c>
      <c r="I1269" s="27">
        <v>1</v>
      </c>
      <c r="J1269" s="27">
        <v>1</v>
      </c>
      <c r="K1269" s="27">
        <v>1774</v>
      </c>
      <c r="L1269" s="27">
        <v>4</v>
      </c>
      <c r="M1269" s="27">
        <v>1</v>
      </c>
      <c r="N1269" s="27">
        <v>87</v>
      </c>
      <c r="O1269" s="27">
        <v>3</v>
      </c>
      <c r="P1269" s="27">
        <v>2</v>
      </c>
      <c r="Q1269" s="27">
        <v>1</v>
      </c>
      <c r="R1269" s="27">
        <v>3</v>
      </c>
      <c r="S1269" s="27">
        <v>3</v>
      </c>
      <c r="T1269" s="27">
        <v>4001</v>
      </c>
      <c r="U1269" s="27">
        <v>12313</v>
      </c>
      <c r="V1269" s="27">
        <v>1</v>
      </c>
      <c r="W1269" s="27">
        <v>1</v>
      </c>
      <c r="X1269" s="27">
        <v>14</v>
      </c>
      <c r="Y1269" s="27">
        <v>3</v>
      </c>
      <c r="Z1269" s="27">
        <v>3</v>
      </c>
      <c r="AA1269" s="27">
        <v>80</v>
      </c>
      <c r="AB1269" s="27">
        <v>1</v>
      </c>
      <c r="AC1269" s="27">
        <v>15</v>
      </c>
      <c r="AD1269" s="27">
        <v>3</v>
      </c>
      <c r="AE1269" s="27">
        <v>3</v>
      </c>
      <c r="AF1269" s="27">
        <v>15</v>
      </c>
      <c r="AG1269" s="27">
        <v>14</v>
      </c>
      <c r="AH1269" s="27">
        <v>0</v>
      </c>
      <c r="AI1269" s="28">
        <v>7</v>
      </c>
      <c r="AK1269" s="36">
        <v>1236</v>
      </c>
      <c r="AL1269" s="33">
        <v>2</v>
      </c>
      <c r="AM1269" s="33">
        <v>3</v>
      </c>
      <c r="AN1269" s="33">
        <v>4</v>
      </c>
      <c r="AO1269" s="33">
        <v>4</v>
      </c>
      <c r="AP1269" s="33">
        <v>1</v>
      </c>
      <c r="AQ1269" s="33">
        <v>1</v>
      </c>
      <c r="AR1269" s="33">
        <v>2</v>
      </c>
      <c r="AS1269" s="33">
        <v>10</v>
      </c>
      <c r="AT1269" s="33">
        <v>0</v>
      </c>
      <c r="AU1269" s="43">
        <v>7.9037141557920326E-2</v>
      </c>
      <c r="AV1269" s="33">
        <v>0</v>
      </c>
      <c r="AW1269" s="33">
        <v>0</v>
      </c>
      <c r="AY1269" s="36">
        <v>1241</v>
      </c>
      <c r="AZ1269" s="33">
        <v>2</v>
      </c>
      <c r="BA1269" s="33">
        <v>4</v>
      </c>
      <c r="BB1269" s="33">
        <v>1</v>
      </c>
      <c r="BC1269" s="33">
        <v>1</v>
      </c>
      <c r="BD1269" s="43">
        <v>0.19951405628110813</v>
      </c>
      <c r="BE1269" s="33">
        <v>0</v>
      </c>
      <c r="BF1269" s="33">
        <v>0</v>
      </c>
      <c r="CE1269" s="36">
        <v>1235</v>
      </c>
      <c r="CF1269" s="33">
        <v>2</v>
      </c>
      <c r="CG1269" s="33">
        <v>2</v>
      </c>
      <c r="CH1269" s="33">
        <v>2</v>
      </c>
      <c r="CI1269" s="33">
        <v>2</v>
      </c>
      <c r="CJ1269" s="33">
        <v>7</v>
      </c>
      <c r="CK1269" s="33">
        <v>0</v>
      </c>
      <c r="CL1269" s="33">
        <v>1</v>
      </c>
      <c r="CM1269" s="33">
        <v>1</v>
      </c>
      <c r="CN1269" s="33">
        <v>1</v>
      </c>
      <c r="CO1269" s="33">
        <v>0</v>
      </c>
      <c r="CP1269" s="43">
        <v>0.1625645877100792</v>
      </c>
      <c r="CQ1269" s="33">
        <v>0</v>
      </c>
      <c r="CR1269" s="33">
        <v>0</v>
      </c>
    </row>
    <row r="1270" spans="1:96" ht="15" customHeight="1" x14ac:dyDescent="0.25">
      <c r="A1270" s="26">
        <v>1268</v>
      </c>
      <c r="B1270" s="27">
        <v>53</v>
      </c>
      <c r="C1270" s="27">
        <v>0</v>
      </c>
      <c r="D1270" s="27">
        <v>3</v>
      </c>
      <c r="E1270" s="27">
        <v>661</v>
      </c>
      <c r="F1270" s="27">
        <v>2</v>
      </c>
      <c r="G1270" s="27">
        <v>1</v>
      </c>
      <c r="H1270" s="27">
        <v>4</v>
      </c>
      <c r="I1270" s="27">
        <v>3</v>
      </c>
      <c r="J1270" s="27">
        <v>1</v>
      </c>
      <c r="K1270" s="27">
        <v>1775</v>
      </c>
      <c r="L1270" s="27">
        <v>1</v>
      </c>
      <c r="M1270" s="27">
        <v>0</v>
      </c>
      <c r="N1270" s="27">
        <v>60</v>
      </c>
      <c r="O1270" s="27">
        <v>2</v>
      </c>
      <c r="P1270" s="27">
        <v>4</v>
      </c>
      <c r="Q1270" s="27">
        <v>4</v>
      </c>
      <c r="R1270" s="27">
        <v>3</v>
      </c>
      <c r="S1270" s="27">
        <v>2</v>
      </c>
      <c r="T1270" s="27">
        <v>12965</v>
      </c>
      <c r="U1270" s="27">
        <v>22308</v>
      </c>
      <c r="V1270" s="27">
        <v>4</v>
      </c>
      <c r="W1270" s="27">
        <v>1</v>
      </c>
      <c r="X1270" s="27">
        <v>20</v>
      </c>
      <c r="Y1270" s="27">
        <v>4</v>
      </c>
      <c r="Z1270" s="27">
        <v>4</v>
      </c>
      <c r="AA1270" s="27">
        <v>80</v>
      </c>
      <c r="AB1270" s="27">
        <v>3</v>
      </c>
      <c r="AC1270" s="27">
        <v>27</v>
      </c>
      <c r="AD1270" s="27">
        <v>2</v>
      </c>
      <c r="AE1270" s="27">
        <v>2</v>
      </c>
      <c r="AF1270" s="27">
        <v>3</v>
      </c>
      <c r="AG1270" s="27">
        <v>2</v>
      </c>
      <c r="AH1270" s="27">
        <v>0</v>
      </c>
      <c r="AI1270" s="28">
        <v>2</v>
      </c>
      <c r="AK1270" s="36">
        <v>1237</v>
      </c>
      <c r="AL1270" s="33">
        <v>13</v>
      </c>
      <c r="AM1270" s="33">
        <v>2</v>
      </c>
      <c r="AN1270" s="33">
        <v>1</v>
      </c>
      <c r="AO1270" s="33">
        <v>5</v>
      </c>
      <c r="AP1270" s="33">
        <v>1</v>
      </c>
      <c r="AQ1270" s="33">
        <v>3</v>
      </c>
      <c r="AR1270" s="33">
        <v>3</v>
      </c>
      <c r="AS1270" s="33">
        <v>2</v>
      </c>
      <c r="AT1270" s="33">
        <v>2</v>
      </c>
      <c r="AU1270" s="43">
        <v>0.24285383370181673</v>
      </c>
      <c r="AV1270" s="33">
        <v>0</v>
      </c>
      <c r="AW1270" s="33">
        <v>1</v>
      </c>
      <c r="AY1270" s="36">
        <v>1242</v>
      </c>
      <c r="AZ1270" s="33">
        <v>3</v>
      </c>
      <c r="BA1270" s="33">
        <v>3</v>
      </c>
      <c r="BB1270" s="33">
        <v>0</v>
      </c>
      <c r="BC1270" s="33">
        <v>1</v>
      </c>
      <c r="BD1270" s="43">
        <v>4.2774603045834733E-2</v>
      </c>
      <c r="BE1270" s="33">
        <v>0</v>
      </c>
      <c r="BF1270" s="33">
        <v>0</v>
      </c>
      <c r="CE1270" s="36">
        <v>1236</v>
      </c>
      <c r="CF1270" s="33">
        <v>2</v>
      </c>
      <c r="CG1270" s="33">
        <v>3</v>
      </c>
      <c r="CH1270" s="33">
        <v>4</v>
      </c>
      <c r="CI1270" s="33">
        <v>3</v>
      </c>
      <c r="CJ1270" s="33">
        <v>4</v>
      </c>
      <c r="CK1270" s="33">
        <v>1</v>
      </c>
      <c r="CL1270" s="33">
        <v>1</v>
      </c>
      <c r="CM1270" s="33">
        <v>2</v>
      </c>
      <c r="CN1270" s="33">
        <v>10</v>
      </c>
      <c r="CO1270" s="33">
        <v>0</v>
      </c>
      <c r="CP1270" s="43">
        <v>4.7526872898287408E-2</v>
      </c>
      <c r="CQ1270" s="33">
        <v>0</v>
      </c>
      <c r="CR1270" s="33">
        <v>0</v>
      </c>
    </row>
    <row r="1271" spans="1:96" ht="15" customHeight="1" x14ac:dyDescent="0.25">
      <c r="A1271" s="26">
        <v>1269</v>
      </c>
      <c r="B1271" s="27">
        <v>43</v>
      </c>
      <c r="C1271" s="27">
        <v>0</v>
      </c>
      <c r="D1271" s="27">
        <v>1</v>
      </c>
      <c r="E1271" s="27">
        <v>244</v>
      </c>
      <c r="F1271" s="27">
        <v>3</v>
      </c>
      <c r="G1271" s="27">
        <v>2</v>
      </c>
      <c r="H1271" s="27">
        <v>3</v>
      </c>
      <c r="I1271" s="27">
        <v>1</v>
      </c>
      <c r="J1271" s="27">
        <v>1</v>
      </c>
      <c r="K1271" s="27">
        <v>1778</v>
      </c>
      <c r="L1271" s="27">
        <v>2</v>
      </c>
      <c r="M1271" s="27">
        <v>1</v>
      </c>
      <c r="N1271" s="27">
        <v>97</v>
      </c>
      <c r="O1271" s="27">
        <v>3</v>
      </c>
      <c r="P1271" s="27">
        <v>1</v>
      </c>
      <c r="Q1271" s="27">
        <v>9</v>
      </c>
      <c r="R1271" s="27">
        <v>4</v>
      </c>
      <c r="S1271" s="27">
        <v>1</v>
      </c>
      <c r="T1271" s="27">
        <v>3539</v>
      </c>
      <c r="U1271" s="27">
        <v>5033</v>
      </c>
      <c r="V1271" s="27">
        <v>0</v>
      </c>
      <c r="W1271" s="27">
        <v>0</v>
      </c>
      <c r="X1271" s="27">
        <v>13</v>
      </c>
      <c r="Y1271" s="27">
        <v>3</v>
      </c>
      <c r="Z1271" s="27">
        <v>2</v>
      </c>
      <c r="AA1271" s="27">
        <v>80</v>
      </c>
      <c r="AB1271" s="27">
        <v>0</v>
      </c>
      <c r="AC1271" s="27">
        <v>10</v>
      </c>
      <c r="AD1271" s="27">
        <v>5</v>
      </c>
      <c r="AE1271" s="27">
        <v>3</v>
      </c>
      <c r="AF1271" s="27">
        <v>9</v>
      </c>
      <c r="AG1271" s="27">
        <v>7</v>
      </c>
      <c r="AH1271" s="27">
        <v>1</v>
      </c>
      <c r="AI1271" s="28">
        <v>8</v>
      </c>
      <c r="AK1271" s="36">
        <v>1238</v>
      </c>
      <c r="AL1271" s="33">
        <v>1</v>
      </c>
      <c r="AM1271" s="33">
        <v>2</v>
      </c>
      <c r="AN1271" s="33">
        <v>2</v>
      </c>
      <c r="AO1271" s="33">
        <v>6</v>
      </c>
      <c r="AP1271" s="33">
        <v>0</v>
      </c>
      <c r="AQ1271" s="33">
        <v>0</v>
      </c>
      <c r="AR1271" s="33">
        <v>3</v>
      </c>
      <c r="AS1271" s="33">
        <v>0</v>
      </c>
      <c r="AT1271" s="33">
        <v>0</v>
      </c>
      <c r="AU1271" s="43">
        <v>0.16725965438589843</v>
      </c>
      <c r="AV1271" s="33">
        <v>0</v>
      </c>
      <c r="AW1271" s="33">
        <v>1</v>
      </c>
      <c r="AY1271" s="36">
        <v>1243</v>
      </c>
      <c r="AZ1271" s="33">
        <v>5</v>
      </c>
      <c r="BA1271" s="33">
        <v>2</v>
      </c>
      <c r="BB1271" s="33">
        <v>0</v>
      </c>
      <c r="BC1271" s="33">
        <v>0</v>
      </c>
      <c r="BD1271" s="43">
        <v>3.2142518215720908E-2</v>
      </c>
      <c r="BE1271" s="33">
        <v>0</v>
      </c>
      <c r="BF1271" s="33">
        <v>0</v>
      </c>
      <c r="CE1271" s="36">
        <v>1237</v>
      </c>
      <c r="CF1271" s="33">
        <v>13</v>
      </c>
      <c r="CG1271" s="33">
        <v>2</v>
      </c>
      <c r="CH1271" s="33">
        <v>1</v>
      </c>
      <c r="CI1271" s="33">
        <v>3</v>
      </c>
      <c r="CJ1271" s="33">
        <v>5</v>
      </c>
      <c r="CK1271" s="33">
        <v>1</v>
      </c>
      <c r="CL1271" s="33">
        <v>3</v>
      </c>
      <c r="CM1271" s="33">
        <v>3</v>
      </c>
      <c r="CN1271" s="33">
        <v>2</v>
      </c>
      <c r="CO1271" s="33">
        <v>2</v>
      </c>
      <c r="CP1271" s="43">
        <v>0.27770845434493685</v>
      </c>
      <c r="CQ1271" s="33">
        <v>0</v>
      </c>
      <c r="CR1271" s="33">
        <v>1</v>
      </c>
    </row>
    <row r="1272" spans="1:96" ht="15" customHeight="1" x14ac:dyDescent="0.25">
      <c r="A1272" s="26">
        <v>1270</v>
      </c>
      <c r="B1272" s="27">
        <v>34</v>
      </c>
      <c r="C1272" s="27">
        <v>0</v>
      </c>
      <c r="D1272" s="27">
        <v>1</v>
      </c>
      <c r="E1272" s="27">
        <v>511</v>
      </c>
      <c r="F1272" s="27">
        <v>1</v>
      </c>
      <c r="G1272" s="27">
        <v>3</v>
      </c>
      <c r="H1272" s="27">
        <v>2</v>
      </c>
      <c r="I1272" s="27">
        <v>1</v>
      </c>
      <c r="J1272" s="27">
        <v>1</v>
      </c>
      <c r="K1272" s="27">
        <v>1779</v>
      </c>
      <c r="L1272" s="27">
        <v>4</v>
      </c>
      <c r="M1272" s="27">
        <v>0</v>
      </c>
      <c r="N1272" s="27">
        <v>32</v>
      </c>
      <c r="O1272" s="27">
        <v>1</v>
      </c>
      <c r="P1272" s="27">
        <v>2</v>
      </c>
      <c r="Q1272" s="27">
        <v>1</v>
      </c>
      <c r="R1272" s="27">
        <v>4</v>
      </c>
      <c r="S1272" s="27">
        <v>1</v>
      </c>
      <c r="T1272" s="27">
        <v>6029</v>
      </c>
      <c r="U1272" s="27">
        <v>25353</v>
      </c>
      <c r="V1272" s="27">
        <v>5</v>
      </c>
      <c r="W1272" s="27">
        <v>0</v>
      </c>
      <c r="X1272" s="27">
        <v>12</v>
      </c>
      <c r="Y1272" s="27">
        <v>3</v>
      </c>
      <c r="Z1272" s="27">
        <v>1</v>
      </c>
      <c r="AA1272" s="27">
        <v>80</v>
      </c>
      <c r="AB1272" s="27">
        <v>0</v>
      </c>
      <c r="AC1272" s="27">
        <v>6</v>
      </c>
      <c r="AD1272" s="27">
        <v>3</v>
      </c>
      <c r="AE1272" s="27">
        <v>3</v>
      </c>
      <c r="AF1272" s="27">
        <v>2</v>
      </c>
      <c r="AG1272" s="27">
        <v>2</v>
      </c>
      <c r="AH1272" s="27">
        <v>2</v>
      </c>
      <c r="AI1272" s="28">
        <v>2</v>
      </c>
      <c r="AK1272" s="36">
        <v>1239</v>
      </c>
      <c r="AL1272" s="33">
        <v>4</v>
      </c>
      <c r="AM1272" s="33">
        <v>1</v>
      </c>
      <c r="AN1272" s="33">
        <v>2</v>
      </c>
      <c r="AO1272" s="33">
        <v>1</v>
      </c>
      <c r="AP1272" s="33">
        <v>0</v>
      </c>
      <c r="AQ1272" s="33">
        <v>0</v>
      </c>
      <c r="AR1272" s="33">
        <v>1</v>
      </c>
      <c r="AS1272" s="33">
        <v>3</v>
      </c>
      <c r="AT1272" s="33">
        <v>1</v>
      </c>
      <c r="AU1272" s="43">
        <v>0.26687983344657307</v>
      </c>
      <c r="AV1272" s="33">
        <v>0</v>
      </c>
      <c r="AW1272" s="33">
        <v>0</v>
      </c>
      <c r="AY1272" s="36">
        <v>1244</v>
      </c>
      <c r="AZ1272" s="33">
        <v>3</v>
      </c>
      <c r="BA1272" s="33">
        <v>3</v>
      </c>
      <c r="BB1272" s="33">
        <v>0</v>
      </c>
      <c r="BC1272" s="33">
        <v>2</v>
      </c>
      <c r="BD1272" s="43">
        <v>2.5687411947183297E-2</v>
      </c>
      <c r="BE1272" s="33">
        <v>0</v>
      </c>
      <c r="BF1272" s="33">
        <v>0</v>
      </c>
      <c r="CE1272" s="36">
        <v>1238</v>
      </c>
      <c r="CF1272" s="33">
        <v>1</v>
      </c>
      <c r="CG1272" s="33">
        <v>2</v>
      </c>
      <c r="CH1272" s="33">
        <v>2</v>
      </c>
      <c r="CI1272" s="33">
        <v>1</v>
      </c>
      <c r="CJ1272" s="33">
        <v>6</v>
      </c>
      <c r="CK1272" s="33">
        <v>0</v>
      </c>
      <c r="CL1272" s="33">
        <v>0</v>
      </c>
      <c r="CM1272" s="33">
        <v>3</v>
      </c>
      <c r="CN1272" s="33">
        <v>0</v>
      </c>
      <c r="CO1272" s="33">
        <v>0</v>
      </c>
      <c r="CP1272" s="43">
        <v>0.19690793662195596</v>
      </c>
      <c r="CQ1272" s="33">
        <v>0</v>
      </c>
      <c r="CR1272" s="33">
        <v>1</v>
      </c>
    </row>
    <row r="1273" spans="1:96" ht="15" customHeight="1" x14ac:dyDescent="0.25">
      <c r="A1273" s="26">
        <v>1271</v>
      </c>
      <c r="B1273" s="27">
        <v>21</v>
      </c>
      <c r="C1273" s="27">
        <v>1</v>
      </c>
      <c r="D1273" s="27">
        <v>1</v>
      </c>
      <c r="E1273" s="27">
        <v>337</v>
      </c>
      <c r="F1273" s="27">
        <v>1</v>
      </c>
      <c r="G1273" s="27">
        <v>7</v>
      </c>
      <c r="H1273" s="27">
        <v>1</v>
      </c>
      <c r="I1273" s="27">
        <v>4</v>
      </c>
      <c r="J1273" s="27">
        <v>1</v>
      </c>
      <c r="K1273" s="27">
        <v>1780</v>
      </c>
      <c r="L1273" s="27">
        <v>2</v>
      </c>
      <c r="M1273" s="27">
        <v>1</v>
      </c>
      <c r="N1273" s="27">
        <v>31</v>
      </c>
      <c r="O1273" s="27">
        <v>3</v>
      </c>
      <c r="P1273" s="27">
        <v>1</v>
      </c>
      <c r="Q1273" s="27">
        <v>7</v>
      </c>
      <c r="R1273" s="27">
        <v>2</v>
      </c>
      <c r="S1273" s="27">
        <v>1</v>
      </c>
      <c r="T1273" s="27">
        <v>2679</v>
      </c>
      <c r="U1273" s="27">
        <v>4567</v>
      </c>
      <c r="V1273" s="27">
        <v>1</v>
      </c>
      <c r="W1273" s="27">
        <v>0</v>
      </c>
      <c r="X1273" s="27">
        <v>13</v>
      </c>
      <c r="Y1273" s="27">
        <v>3</v>
      </c>
      <c r="Z1273" s="27">
        <v>2</v>
      </c>
      <c r="AA1273" s="27">
        <v>80</v>
      </c>
      <c r="AB1273" s="27">
        <v>0</v>
      </c>
      <c r="AC1273" s="27">
        <v>1</v>
      </c>
      <c r="AD1273" s="27">
        <v>3</v>
      </c>
      <c r="AE1273" s="27">
        <v>3</v>
      </c>
      <c r="AF1273" s="27">
        <v>1</v>
      </c>
      <c r="AG1273" s="27">
        <v>0</v>
      </c>
      <c r="AH1273" s="27">
        <v>1</v>
      </c>
      <c r="AI1273" s="28">
        <v>0</v>
      </c>
      <c r="AK1273" s="36">
        <v>1240</v>
      </c>
      <c r="AL1273" s="33">
        <v>24</v>
      </c>
      <c r="AM1273" s="33">
        <v>2</v>
      </c>
      <c r="AN1273" s="33">
        <v>4</v>
      </c>
      <c r="AO1273" s="33">
        <v>2</v>
      </c>
      <c r="AP1273" s="33">
        <v>0</v>
      </c>
      <c r="AQ1273" s="33">
        <v>0</v>
      </c>
      <c r="AR1273" s="33">
        <v>2</v>
      </c>
      <c r="AS1273" s="33">
        <v>5</v>
      </c>
      <c r="AT1273" s="33">
        <v>1</v>
      </c>
      <c r="AU1273" s="43">
        <v>0.14601779572512005</v>
      </c>
      <c r="AV1273" s="33">
        <v>0</v>
      </c>
      <c r="AW1273" s="33">
        <v>0</v>
      </c>
      <c r="AY1273" s="36">
        <v>1245</v>
      </c>
      <c r="AZ1273" s="33">
        <v>1</v>
      </c>
      <c r="BA1273" s="33">
        <v>1</v>
      </c>
      <c r="BB1273" s="33">
        <v>0</v>
      </c>
      <c r="BC1273" s="33">
        <v>0</v>
      </c>
      <c r="BD1273" s="43">
        <v>0.29341085656570393</v>
      </c>
      <c r="BE1273" s="33">
        <v>0</v>
      </c>
      <c r="BF1273" s="33">
        <v>0</v>
      </c>
      <c r="CE1273" s="36">
        <v>1239</v>
      </c>
      <c r="CF1273" s="33">
        <v>4</v>
      </c>
      <c r="CG1273" s="33">
        <v>1</v>
      </c>
      <c r="CH1273" s="33">
        <v>2</v>
      </c>
      <c r="CI1273" s="33">
        <v>1</v>
      </c>
      <c r="CJ1273" s="33">
        <v>1</v>
      </c>
      <c r="CK1273" s="33">
        <v>0</v>
      </c>
      <c r="CL1273" s="33">
        <v>0</v>
      </c>
      <c r="CM1273" s="33">
        <v>1</v>
      </c>
      <c r="CN1273" s="33">
        <v>3</v>
      </c>
      <c r="CO1273" s="33">
        <v>1</v>
      </c>
      <c r="CP1273" s="43">
        <v>0.31067019943801244</v>
      </c>
      <c r="CQ1273" s="33">
        <v>0</v>
      </c>
      <c r="CR1273" s="33">
        <v>0</v>
      </c>
    </row>
    <row r="1274" spans="1:96" ht="15" customHeight="1" x14ac:dyDescent="0.25">
      <c r="A1274" s="26">
        <v>1272</v>
      </c>
      <c r="B1274" s="27">
        <v>38</v>
      </c>
      <c r="C1274" s="27">
        <v>0</v>
      </c>
      <c r="D1274" s="27">
        <v>1</v>
      </c>
      <c r="E1274" s="27">
        <v>1153</v>
      </c>
      <c r="F1274" s="27">
        <v>2</v>
      </c>
      <c r="G1274" s="27">
        <v>6</v>
      </c>
      <c r="H1274" s="27">
        <v>2</v>
      </c>
      <c r="I1274" s="27">
        <v>6</v>
      </c>
      <c r="J1274" s="27">
        <v>1</v>
      </c>
      <c r="K1274" s="27">
        <v>1782</v>
      </c>
      <c r="L1274" s="27">
        <v>4</v>
      </c>
      <c r="M1274" s="27">
        <v>0</v>
      </c>
      <c r="N1274" s="27">
        <v>40</v>
      </c>
      <c r="O1274" s="27">
        <v>2</v>
      </c>
      <c r="P1274" s="27">
        <v>1</v>
      </c>
      <c r="Q1274" s="27">
        <v>3</v>
      </c>
      <c r="R1274" s="27">
        <v>3</v>
      </c>
      <c r="S1274" s="27">
        <v>2</v>
      </c>
      <c r="T1274" s="27">
        <v>3702</v>
      </c>
      <c r="U1274" s="27">
        <v>16376</v>
      </c>
      <c r="V1274" s="27">
        <v>1</v>
      </c>
      <c r="W1274" s="27">
        <v>0</v>
      </c>
      <c r="X1274" s="27">
        <v>11</v>
      </c>
      <c r="Y1274" s="27">
        <v>3</v>
      </c>
      <c r="Z1274" s="27">
        <v>2</v>
      </c>
      <c r="AA1274" s="27">
        <v>80</v>
      </c>
      <c r="AB1274" s="27">
        <v>1</v>
      </c>
      <c r="AC1274" s="27">
        <v>5</v>
      </c>
      <c r="AD1274" s="27">
        <v>3</v>
      </c>
      <c r="AE1274" s="27">
        <v>3</v>
      </c>
      <c r="AF1274" s="27">
        <v>5</v>
      </c>
      <c r="AG1274" s="27">
        <v>4</v>
      </c>
      <c r="AH1274" s="27">
        <v>0</v>
      </c>
      <c r="AI1274" s="28">
        <v>4</v>
      </c>
      <c r="AK1274" s="36">
        <v>1241</v>
      </c>
      <c r="AL1274" s="33">
        <v>1</v>
      </c>
      <c r="AM1274" s="33">
        <v>2</v>
      </c>
      <c r="AN1274" s="33">
        <v>4</v>
      </c>
      <c r="AO1274" s="33">
        <v>1</v>
      </c>
      <c r="AP1274" s="33">
        <v>1</v>
      </c>
      <c r="AQ1274" s="33">
        <v>1</v>
      </c>
      <c r="AR1274" s="33">
        <v>3</v>
      </c>
      <c r="AS1274" s="33">
        <v>9</v>
      </c>
      <c r="AT1274" s="33">
        <v>5</v>
      </c>
      <c r="AU1274" s="43">
        <v>0.14390842408973437</v>
      </c>
      <c r="AV1274" s="33">
        <v>0</v>
      </c>
      <c r="AW1274" s="33">
        <v>0</v>
      </c>
      <c r="AY1274" s="36">
        <v>1246</v>
      </c>
      <c r="AZ1274" s="33">
        <v>1</v>
      </c>
      <c r="BA1274" s="33">
        <v>4</v>
      </c>
      <c r="BB1274" s="33">
        <v>0</v>
      </c>
      <c r="BC1274" s="33">
        <v>1</v>
      </c>
      <c r="BD1274" s="43">
        <v>9.2486413274924434E-2</v>
      </c>
      <c r="BE1274" s="33">
        <v>0</v>
      </c>
      <c r="BF1274" s="33">
        <v>0</v>
      </c>
      <c r="CE1274" s="36">
        <v>1240</v>
      </c>
      <c r="CF1274" s="33">
        <v>24</v>
      </c>
      <c r="CG1274" s="33">
        <v>2</v>
      </c>
      <c r="CH1274" s="33">
        <v>4</v>
      </c>
      <c r="CI1274" s="33">
        <v>1</v>
      </c>
      <c r="CJ1274" s="33">
        <v>2</v>
      </c>
      <c r="CK1274" s="33">
        <v>0</v>
      </c>
      <c r="CL1274" s="33">
        <v>0</v>
      </c>
      <c r="CM1274" s="33">
        <v>2</v>
      </c>
      <c r="CN1274" s="33">
        <v>5</v>
      </c>
      <c r="CO1274" s="33">
        <v>1</v>
      </c>
      <c r="CP1274" s="43">
        <v>0.16797871006038523</v>
      </c>
      <c r="CQ1274" s="33">
        <v>0</v>
      </c>
      <c r="CR1274" s="33">
        <v>0</v>
      </c>
    </row>
    <row r="1275" spans="1:96" ht="15" customHeight="1" x14ac:dyDescent="0.25">
      <c r="A1275" s="26">
        <v>1273</v>
      </c>
      <c r="B1275" s="27">
        <v>22</v>
      </c>
      <c r="C1275" s="27">
        <v>1</v>
      </c>
      <c r="D1275" s="27">
        <v>1</v>
      </c>
      <c r="E1275" s="27">
        <v>1294</v>
      </c>
      <c r="F1275" s="27">
        <v>2</v>
      </c>
      <c r="G1275" s="27">
        <v>8</v>
      </c>
      <c r="H1275" s="27">
        <v>1</v>
      </c>
      <c r="I1275" s="27">
        <v>3</v>
      </c>
      <c r="J1275" s="27">
        <v>1</v>
      </c>
      <c r="K1275" s="27">
        <v>1783</v>
      </c>
      <c r="L1275" s="27">
        <v>3</v>
      </c>
      <c r="M1275" s="27">
        <v>0</v>
      </c>
      <c r="N1275" s="27">
        <v>79</v>
      </c>
      <c r="O1275" s="27">
        <v>3</v>
      </c>
      <c r="P1275" s="27">
        <v>1</v>
      </c>
      <c r="Q1275" s="27">
        <v>3</v>
      </c>
      <c r="R1275" s="27">
        <v>1</v>
      </c>
      <c r="S1275" s="27">
        <v>2</v>
      </c>
      <c r="T1275" s="27">
        <v>2398</v>
      </c>
      <c r="U1275" s="27">
        <v>15999</v>
      </c>
      <c r="V1275" s="27">
        <v>1</v>
      </c>
      <c r="W1275" s="27">
        <v>1</v>
      </c>
      <c r="X1275" s="27">
        <v>17</v>
      </c>
      <c r="Y1275" s="27">
        <v>3</v>
      </c>
      <c r="Z1275" s="27">
        <v>3</v>
      </c>
      <c r="AA1275" s="27">
        <v>80</v>
      </c>
      <c r="AB1275" s="27">
        <v>0</v>
      </c>
      <c r="AC1275" s="27">
        <v>1</v>
      </c>
      <c r="AD1275" s="27">
        <v>6</v>
      </c>
      <c r="AE1275" s="27">
        <v>3</v>
      </c>
      <c r="AF1275" s="27">
        <v>1</v>
      </c>
      <c r="AG1275" s="27">
        <v>0</v>
      </c>
      <c r="AH1275" s="27">
        <v>0</v>
      </c>
      <c r="AI1275" s="28">
        <v>0</v>
      </c>
      <c r="AK1275" s="36">
        <v>1242</v>
      </c>
      <c r="AL1275" s="33">
        <v>19</v>
      </c>
      <c r="AM1275" s="33">
        <v>3</v>
      </c>
      <c r="AN1275" s="33">
        <v>3</v>
      </c>
      <c r="AO1275" s="33">
        <v>3</v>
      </c>
      <c r="AP1275" s="33">
        <v>0</v>
      </c>
      <c r="AQ1275" s="33">
        <v>1</v>
      </c>
      <c r="AR1275" s="33">
        <v>1</v>
      </c>
      <c r="AS1275" s="33">
        <v>4</v>
      </c>
      <c r="AT1275" s="33">
        <v>0</v>
      </c>
      <c r="AU1275" s="43">
        <v>7.68623664480374E-2</v>
      </c>
      <c r="AV1275" s="33">
        <v>0</v>
      </c>
      <c r="AW1275" s="33">
        <v>0</v>
      </c>
      <c r="AY1275" s="36">
        <v>1247</v>
      </c>
      <c r="AZ1275" s="33">
        <v>1</v>
      </c>
      <c r="BA1275" s="33">
        <v>4</v>
      </c>
      <c r="BB1275" s="33">
        <v>0</v>
      </c>
      <c r="BC1275" s="33">
        <v>1</v>
      </c>
      <c r="BD1275" s="43">
        <v>9.2486413274924434E-2</v>
      </c>
      <c r="BE1275" s="33">
        <v>0</v>
      </c>
      <c r="BF1275" s="33">
        <v>1</v>
      </c>
      <c r="CE1275" s="36">
        <v>1241</v>
      </c>
      <c r="CF1275" s="33">
        <v>1</v>
      </c>
      <c r="CG1275" s="33">
        <v>2</v>
      </c>
      <c r="CH1275" s="33">
        <v>4</v>
      </c>
      <c r="CI1275" s="33">
        <v>2</v>
      </c>
      <c r="CJ1275" s="33">
        <v>1</v>
      </c>
      <c r="CK1275" s="33">
        <v>1</v>
      </c>
      <c r="CL1275" s="33">
        <v>1</v>
      </c>
      <c r="CM1275" s="33">
        <v>3</v>
      </c>
      <c r="CN1275" s="33">
        <v>9</v>
      </c>
      <c r="CO1275" s="33">
        <v>5</v>
      </c>
      <c r="CP1275" s="43">
        <v>0.14337103643749882</v>
      </c>
      <c r="CQ1275" s="33">
        <v>0</v>
      </c>
      <c r="CR1275" s="33">
        <v>0</v>
      </c>
    </row>
    <row r="1276" spans="1:96" ht="15" customHeight="1" x14ac:dyDescent="0.25">
      <c r="A1276" s="26">
        <v>1274</v>
      </c>
      <c r="B1276" s="27">
        <v>31</v>
      </c>
      <c r="C1276" s="27">
        <v>0</v>
      </c>
      <c r="D1276" s="27">
        <v>1</v>
      </c>
      <c r="E1276" s="27">
        <v>196</v>
      </c>
      <c r="F1276" s="27">
        <v>1</v>
      </c>
      <c r="G1276" s="27">
        <v>29</v>
      </c>
      <c r="H1276" s="27">
        <v>4</v>
      </c>
      <c r="I1276" s="27">
        <v>4</v>
      </c>
      <c r="J1276" s="27">
        <v>1</v>
      </c>
      <c r="K1276" s="27">
        <v>1784</v>
      </c>
      <c r="L1276" s="27">
        <v>1</v>
      </c>
      <c r="M1276" s="27">
        <v>0</v>
      </c>
      <c r="N1276" s="27">
        <v>91</v>
      </c>
      <c r="O1276" s="27">
        <v>2</v>
      </c>
      <c r="P1276" s="27">
        <v>2</v>
      </c>
      <c r="Q1276" s="27">
        <v>1</v>
      </c>
      <c r="R1276" s="27">
        <v>4</v>
      </c>
      <c r="S1276" s="27">
        <v>2</v>
      </c>
      <c r="T1276" s="27">
        <v>5468</v>
      </c>
      <c r="U1276" s="27">
        <v>13402</v>
      </c>
      <c r="V1276" s="27">
        <v>1</v>
      </c>
      <c r="W1276" s="27">
        <v>0</v>
      </c>
      <c r="X1276" s="27">
        <v>14</v>
      </c>
      <c r="Y1276" s="27">
        <v>3</v>
      </c>
      <c r="Z1276" s="27">
        <v>1</v>
      </c>
      <c r="AA1276" s="27">
        <v>80</v>
      </c>
      <c r="AB1276" s="27">
        <v>2</v>
      </c>
      <c r="AC1276" s="27">
        <v>13</v>
      </c>
      <c r="AD1276" s="27">
        <v>3</v>
      </c>
      <c r="AE1276" s="27">
        <v>3</v>
      </c>
      <c r="AF1276" s="27">
        <v>12</v>
      </c>
      <c r="AG1276" s="27">
        <v>7</v>
      </c>
      <c r="AH1276" s="27">
        <v>5</v>
      </c>
      <c r="AI1276" s="28">
        <v>7</v>
      </c>
      <c r="AK1276" s="36">
        <v>1243</v>
      </c>
      <c r="AL1276" s="33">
        <v>7</v>
      </c>
      <c r="AM1276" s="33">
        <v>5</v>
      </c>
      <c r="AN1276" s="33">
        <v>2</v>
      </c>
      <c r="AO1276" s="33">
        <v>1</v>
      </c>
      <c r="AP1276" s="33">
        <v>0</v>
      </c>
      <c r="AQ1276" s="33">
        <v>0</v>
      </c>
      <c r="AR1276" s="33">
        <v>2</v>
      </c>
      <c r="AS1276" s="33">
        <v>21</v>
      </c>
      <c r="AT1276" s="33">
        <v>12</v>
      </c>
      <c r="AU1276" s="43">
        <v>3.2310510627832814E-2</v>
      </c>
      <c r="AV1276" s="33">
        <v>0</v>
      </c>
      <c r="AW1276" s="33">
        <v>0</v>
      </c>
      <c r="AY1276" s="36">
        <v>1248</v>
      </c>
      <c r="AZ1276" s="33">
        <v>2</v>
      </c>
      <c r="BA1276" s="33">
        <v>3</v>
      </c>
      <c r="BB1276" s="33">
        <v>0</v>
      </c>
      <c r="BC1276" s="33">
        <v>1</v>
      </c>
      <c r="BD1276" s="43">
        <v>7.244788656931947E-2</v>
      </c>
      <c r="BE1276" s="33">
        <v>0</v>
      </c>
      <c r="BF1276" s="33">
        <v>0</v>
      </c>
      <c r="CE1276" s="36">
        <v>1242</v>
      </c>
      <c r="CF1276" s="33">
        <v>19</v>
      </c>
      <c r="CG1276" s="33">
        <v>3</v>
      </c>
      <c r="CH1276" s="33">
        <v>3</v>
      </c>
      <c r="CI1276" s="33">
        <v>2</v>
      </c>
      <c r="CJ1276" s="33">
        <v>3</v>
      </c>
      <c r="CK1276" s="33">
        <v>0</v>
      </c>
      <c r="CL1276" s="33">
        <v>1</v>
      </c>
      <c r="CM1276" s="33">
        <v>1</v>
      </c>
      <c r="CN1276" s="33">
        <v>4</v>
      </c>
      <c r="CO1276" s="33">
        <v>0</v>
      </c>
      <c r="CP1276" s="43">
        <v>7.7038866550959886E-2</v>
      </c>
      <c r="CQ1276" s="33">
        <v>0</v>
      </c>
      <c r="CR1276" s="33">
        <v>0</v>
      </c>
    </row>
    <row r="1277" spans="1:96" ht="15" customHeight="1" x14ac:dyDescent="0.25">
      <c r="A1277" s="26">
        <v>1275</v>
      </c>
      <c r="B1277" s="27">
        <v>51</v>
      </c>
      <c r="C1277" s="27">
        <v>0</v>
      </c>
      <c r="D1277" s="27">
        <v>1</v>
      </c>
      <c r="E1277" s="27">
        <v>942</v>
      </c>
      <c r="F1277" s="27">
        <v>2</v>
      </c>
      <c r="G1277" s="27">
        <v>3</v>
      </c>
      <c r="H1277" s="27">
        <v>3</v>
      </c>
      <c r="I1277" s="27">
        <v>5</v>
      </c>
      <c r="J1277" s="27">
        <v>1</v>
      </c>
      <c r="K1277" s="27">
        <v>1786</v>
      </c>
      <c r="L1277" s="27">
        <v>1</v>
      </c>
      <c r="M1277" s="27">
        <v>0</v>
      </c>
      <c r="N1277" s="27">
        <v>53</v>
      </c>
      <c r="O1277" s="27">
        <v>3</v>
      </c>
      <c r="P1277" s="27">
        <v>3</v>
      </c>
      <c r="Q1277" s="27">
        <v>6</v>
      </c>
      <c r="R1277" s="27">
        <v>3</v>
      </c>
      <c r="S1277" s="27">
        <v>2</v>
      </c>
      <c r="T1277" s="27">
        <v>13116</v>
      </c>
      <c r="U1277" s="27">
        <v>22984</v>
      </c>
      <c r="V1277" s="27">
        <v>2</v>
      </c>
      <c r="W1277" s="27">
        <v>0</v>
      </c>
      <c r="X1277" s="27">
        <v>11</v>
      </c>
      <c r="Y1277" s="27">
        <v>3</v>
      </c>
      <c r="Z1277" s="27">
        <v>4</v>
      </c>
      <c r="AA1277" s="27">
        <v>80</v>
      </c>
      <c r="AB1277" s="27">
        <v>0</v>
      </c>
      <c r="AC1277" s="27">
        <v>15</v>
      </c>
      <c r="AD1277" s="27">
        <v>2</v>
      </c>
      <c r="AE1277" s="27">
        <v>3</v>
      </c>
      <c r="AF1277" s="27">
        <v>2</v>
      </c>
      <c r="AG1277" s="27">
        <v>2</v>
      </c>
      <c r="AH1277" s="27">
        <v>2</v>
      </c>
      <c r="AI1277" s="28">
        <v>2</v>
      </c>
      <c r="AK1277" s="36">
        <v>1244</v>
      </c>
      <c r="AL1277" s="33">
        <v>4</v>
      </c>
      <c r="AM1277" s="33">
        <v>3</v>
      </c>
      <c r="AN1277" s="33">
        <v>3</v>
      </c>
      <c r="AO1277" s="33">
        <v>4</v>
      </c>
      <c r="AP1277" s="33">
        <v>0</v>
      </c>
      <c r="AQ1277" s="33">
        <v>2</v>
      </c>
      <c r="AR1277" s="33">
        <v>4</v>
      </c>
      <c r="AS1277" s="33">
        <v>5</v>
      </c>
      <c r="AT1277" s="33">
        <v>0</v>
      </c>
      <c r="AU1277" s="43">
        <v>1.4158823786096999E-2</v>
      </c>
      <c r="AV1277" s="33">
        <v>0</v>
      </c>
      <c r="AW1277" s="33">
        <v>0</v>
      </c>
      <c r="AY1277" s="36">
        <v>1249</v>
      </c>
      <c r="AZ1277" s="33">
        <v>1</v>
      </c>
      <c r="BA1277" s="33">
        <v>4</v>
      </c>
      <c r="BB1277" s="33">
        <v>0</v>
      </c>
      <c r="BC1277" s="33">
        <v>0</v>
      </c>
      <c r="BD1277" s="43">
        <v>0.1472907617042678</v>
      </c>
      <c r="BE1277" s="33">
        <v>0</v>
      </c>
      <c r="BF1277" s="33">
        <v>0</v>
      </c>
      <c r="CE1277" s="36">
        <v>1243</v>
      </c>
      <c r="CF1277" s="33">
        <v>7</v>
      </c>
      <c r="CG1277" s="33">
        <v>5</v>
      </c>
      <c r="CH1277" s="33">
        <v>2</v>
      </c>
      <c r="CI1277" s="33">
        <v>1</v>
      </c>
      <c r="CJ1277" s="33">
        <v>1</v>
      </c>
      <c r="CK1277" s="33">
        <v>0</v>
      </c>
      <c r="CL1277" s="33">
        <v>0</v>
      </c>
      <c r="CM1277" s="33">
        <v>2</v>
      </c>
      <c r="CN1277" s="33">
        <v>21</v>
      </c>
      <c r="CO1277" s="33">
        <v>12</v>
      </c>
      <c r="CP1277" s="43">
        <v>4.1726548876413631E-2</v>
      </c>
      <c r="CQ1277" s="33">
        <v>0</v>
      </c>
      <c r="CR1277" s="33">
        <v>0</v>
      </c>
    </row>
    <row r="1278" spans="1:96" ht="15" customHeight="1" x14ac:dyDescent="0.25">
      <c r="A1278" s="26">
        <v>1276</v>
      </c>
      <c r="B1278" s="27">
        <v>37</v>
      </c>
      <c r="C1278" s="27">
        <v>0</v>
      </c>
      <c r="D1278" s="27">
        <v>1</v>
      </c>
      <c r="E1278" s="27">
        <v>589</v>
      </c>
      <c r="F1278" s="27">
        <v>1</v>
      </c>
      <c r="G1278" s="27">
        <v>9</v>
      </c>
      <c r="H1278" s="27">
        <v>2</v>
      </c>
      <c r="I1278" s="27">
        <v>4</v>
      </c>
      <c r="J1278" s="27">
        <v>1</v>
      </c>
      <c r="K1278" s="27">
        <v>1787</v>
      </c>
      <c r="L1278" s="27">
        <v>2</v>
      </c>
      <c r="M1278" s="27">
        <v>1</v>
      </c>
      <c r="N1278" s="27">
        <v>46</v>
      </c>
      <c r="O1278" s="27">
        <v>2</v>
      </c>
      <c r="P1278" s="27">
        <v>2</v>
      </c>
      <c r="Q1278" s="27">
        <v>1</v>
      </c>
      <c r="R1278" s="27">
        <v>2</v>
      </c>
      <c r="S1278" s="27">
        <v>2</v>
      </c>
      <c r="T1278" s="27">
        <v>4189</v>
      </c>
      <c r="U1278" s="27">
        <v>8800</v>
      </c>
      <c r="V1278" s="27">
        <v>1</v>
      </c>
      <c r="W1278" s="27">
        <v>0</v>
      </c>
      <c r="X1278" s="27">
        <v>14</v>
      </c>
      <c r="Y1278" s="27">
        <v>3</v>
      </c>
      <c r="Z1278" s="27">
        <v>1</v>
      </c>
      <c r="AA1278" s="27">
        <v>80</v>
      </c>
      <c r="AB1278" s="27">
        <v>2</v>
      </c>
      <c r="AC1278" s="27">
        <v>5</v>
      </c>
      <c r="AD1278" s="27">
        <v>2</v>
      </c>
      <c r="AE1278" s="27">
        <v>3</v>
      </c>
      <c r="AF1278" s="27">
        <v>5</v>
      </c>
      <c r="AG1278" s="27">
        <v>2</v>
      </c>
      <c r="AH1278" s="27">
        <v>0</v>
      </c>
      <c r="AI1278" s="28">
        <v>3</v>
      </c>
      <c r="AK1278" s="36">
        <v>1245</v>
      </c>
      <c r="AL1278" s="33">
        <v>2</v>
      </c>
      <c r="AM1278" s="33">
        <v>1</v>
      </c>
      <c r="AN1278" s="33">
        <v>1</v>
      </c>
      <c r="AO1278" s="33">
        <v>0</v>
      </c>
      <c r="AP1278" s="33">
        <v>0</v>
      </c>
      <c r="AQ1278" s="33">
        <v>0</v>
      </c>
      <c r="AR1278" s="33">
        <v>3</v>
      </c>
      <c r="AS1278" s="33">
        <v>9</v>
      </c>
      <c r="AT1278" s="33">
        <v>0</v>
      </c>
      <c r="AU1278" s="43">
        <v>0.1322970223430372</v>
      </c>
      <c r="AV1278" s="33">
        <v>0</v>
      </c>
      <c r="AW1278" s="33">
        <v>0</v>
      </c>
      <c r="AY1278" s="36">
        <v>1250</v>
      </c>
      <c r="AZ1278" s="33">
        <v>1</v>
      </c>
      <c r="BA1278" s="33">
        <v>2</v>
      </c>
      <c r="BB1278" s="33">
        <v>0</v>
      </c>
      <c r="BC1278" s="33">
        <v>0</v>
      </c>
      <c r="BD1278" s="43">
        <v>0.23662845161334917</v>
      </c>
      <c r="BE1278" s="33">
        <v>0</v>
      </c>
      <c r="BF1278" s="33">
        <v>1</v>
      </c>
      <c r="CE1278" s="36">
        <v>1244</v>
      </c>
      <c r="CF1278" s="33">
        <v>4</v>
      </c>
      <c r="CG1278" s="33">
        <v>3</v>
      </c>
      <c r="CH1278" s="33">
        <v>3</v>
      </c>
      <c r="CI1278" s="33">
        <v>2</v>
      </c>
      <c r="CJ1278" s="33">
        <v>4</v>
      </c>
      <c r="CK1278" s="33">
        <v>0</v>
      </c>
      <c r="CL1278" s="33">
        <v>2</v>
      </c>
      <c r="CM1278" s="33">
        <v>4</v>
      </c>
      <c r="CN1278" s="33">
        <v>5</v>
      </c>
      <c r="CO1278" s="33">
        <v>0</v>
      </c>
      <c r="CP1278" s="43">
        <v>1.9080713537132751E-2</v>
      </c>
      <c r="CQ1278" s="33">
        <v>0</v>
      </c>
      <c r="CR1278" s="33">
        <v>0</v>
      </c>
    </row>
    <row r="1279" spans="1:96" ht="15" customHeight="1" x14ac:dyDescent="0.25">
      <c r="A1279" s="26">
        <v>1277</v>
      </c>
      <c r="B1279" s="27">
        <v>46</v>
      </c>
      <c r="C1279" s="27">
        <v>0</v>
      </c>
      <c r="D1279" s="27">
        <v>1</v>
      </c>
      <c r="E1279" s="27">
        <v>734</v>
      </c>
      <c r="F1279" s="27">
        <v>2</v>
      </c>
      <c r="G1279" s="27">
        <v>2</v>
      </c>
      <c r="H1279" s="27">
        <v>4</v>
      </c>
      <c r="I1279" s="27">
        <v>3</v>
      </c>
      <c r="J1279" s="27">
        <v>1</v>
      </c>
      <c r="K1279" s="27">
        <v>1789</v>
      </c>
      <c r="L1279" s="27">
        <v>3</v>
      </c>
      <c r="M1279" s="27">
        <v>1</v>
      </c>
      <c r="N1279" s="27">
        <v>46</v>
      </c>
      <c r="O1279" s="27">
        <v>3</v>
      </c>
      <c r="P1279" s="27">
        <v>5</v>
      </c>
      <c r="Q1279" s="27">
        <v>8</v>
      </c>
      <c r="R1279" s="27">
        <v>4</v>
      </c>
      <c r="S1279" s="27">
        <v>3</v>
      </c>
      <c r="T1279" s="27">
        <v>19328</v>
      </c>
      <c r="U1279" s="27">
        <v>14218</v>
      </c>
      <c r="V1279" s="27">
        <v>7</v>
      </c>
      <c r="W1279" s="27">
        <v>1</v>
      </c>
      <c r="X1279" s="27">
        <v>17</v>
      </c>
      <c r="Y1279" s="27">
        <v>3</v>
      </c>
      <c r="Z1279" s="27">
        <v>3</v>
      </c>
      <c r="AA1279" s="27">
        <v>80</v>
      </c>
      <c r="AB1279" s="27">
        <v>1</v>
      </c>
      <c r="AC1279" s="27">
        <v>24</v>
      </c>
      <c r="AD1279" s="27">
        <v>3</v>
      </c>
      <c r="AE1279" s="27">
        <v>3</v>
      </c>
      <c r="AF1279" s="27">
        <v>2</v>
      </c>
      <c r="AG1279" s="27">
        <v>1</v>
      </c>
      <c r="AH1279" s="27">
        <v>2</v>
      </c>
      <c r="AI1279" s="28">
        <v>2</v>
      </c>
      <c r="AK1279" s="36">
        <v>1246</v>
      </c>
      <c r="AL1279" s="33">
        <v>10</v>
      </c>
      <c r="AM1279" s="33">
        <v>1</v>
      </c>
      <c r="AN1279" s="33">
        <v>4</v>
      </c>
      <c r="AO1279" s="33">
        <v>0</v>
      </c>
      <c r="AP1279" s="33">
        <v>0</v>
      </c>
      <c r="AQ1279" s="33">
        <v>1</v>
      </c>
      <c r="AR1279" s="33">
        <v>3</v>
      </c>
      <c r="AS1279" s="33">
        <v>2</v>
      </c>
      <c r="AT1279" s="33">
        <v>2</v>
      </c>
      <c r="AU1279" s="43">
        <v>8.9197372574338046E-2</v>
      </c>
      <c r="AV1279" s="33">
        <v>0</v>
      </c>
      <c r="AW1279" s="33">
        <v>0</v>
      </c>
      <c r="AY1279" s="36">
        <v>1251</v>
      </c>
      <c r="AZ1279" s="33">
        <v>2</v>
      </c>
      <c r="BA1279" s="33">
        <v>3</v>
      </c>
      <c r="BB1279" s="33">
        <v>1</v>
      </c>
      <c r="BC1279" s="33">
        <v>0</v>
      </c>
      <c r="BD1279" s="43">
        <v>0.36139389867144694</v>
      </c>
      <c r="BE1279" s="33">
        <v>0</v>
      </c>
      <c r="BF1279" s="33">
        <v>0</v>
      </c>
      <c r="CE1279" s="36">
        <v>1245</v>
      </c>
      <c r="CF1279" s="33">
        <v>2</v>
      </c>
      <c r="CG1279" s="33">
        <v>1</v>
      </c>
      <c r="CH1279" s="33">
        <v>1</v>
      </c>
      <c r="CI1279" s="33">
        <v>1</v>
      </c>
      <c r="CJ1279" s="33">
        <v>0</v>
      </c>
      <c r="CK1279" s="33">
        <v>0</v>
      </c>
      <c r="CL1279" s="33">
        <v>0</v>
      </c>
      <c r="CM1279" s="33">
        <v>3</v>
      </c>
      <c r="CN1279" s="33">
        <v>9</v>
      </c>
      <c r="CO1279" s="33">
        <v>0</v>
      </c>
      <c r="CP1279" s="43">
        <v>0.15596928376506827</v>
      </c>
      <c r="CQ1279" s="33">
        <v>0</v>
      </c>
      <c r="CR1279" s="33">
        <v>0</v>
      </c>
    </row>
    <row r="1280" spans="1:96" ht="15" customHeight="1" x14ac:dyDescent="0.25">
      <c r="A1280" s="26">
        <v>1278</v>
      </c>
      <c r="B1280" s="27">
        <v>36</v>
      </c>
      <c r="C1280" s="27">
        <v>0</v>
      </c>
      <c r="D1280" s="27">
        <v>1</v>
      </c>
      <c r="E1280" s="27">
        <v>1383</v>
      </c>
      <c r="F1280" s="27">
        <v>2</v>
      </c>
      <c r="G1280" s="27">
        <v>10</v>
      </c>
      <c r="H1280" s="27">
        <v>3</v>
      </c>
      <c r="I1280" s="27">
        <v>1</v>
      </c>
      <c r="J1280" s="27">
        <v>1</v>
      </c>
      <c r="K1280" s="27">
        <v>1790</v>
      </c>
      <c r="L1280" s="27">
        <v>4</v>
      </c>
      <c r="M1280" s="27">
        <v>1</v>
      </c>
      <c r="N1280" s="27">
        <v>90</v>
      </c>
      <c r="O1280" s="27">
        <v>3</v>
      </c>
      <c r="P1280" s="27">
        <v>3</v>
      </c>
      <c r="Q1280" s="27">
        <v>5</v>
      </c>
      <c r="R1280" s="27">
        <v>1</v>
      </c>
      <c r="S1280" s="27">
        <v>2</v>
      </c>
      <c r="T1280" s="27">
        <v>8321</v>
      </c>
      <c r="U1280" s="27">
        <v>25949</v>
      </c>
      <c r="V1280" s="27">
        <v>7</v>
      </c>
      <c r="W1280" s="27">
        <v>1</v>
      </c>
      <c r="X1280" s="27">
        <v>13</v>
      </c>
      <c r="Y1280" s="27">
        <v>3</v>
      </c>
      <c r="Z1280" s="27">
        <v>4</v>
      </c>
      <c r="AA1280" s="27">
        <v>80</v>
      </c>
      <c r="AB1280" s="27">
        <v>1</v>
      </c>
      <c r="AC1280" s="27">
        <v>15</v>
      </c>
      <c r="AD1280" s="27">
        <v>1</v>
      </c>
      <c r="AE1280" s="27">
        <v>3</v>
      </c>
      <c r="AF1280" s="27">
        <v>12</v>
      </c>
      <c r="AG1280" s="27">
        <v>8</v>
      </c>
      <c r="AH1280" s="27">
        <v>5</v>
      </c>
      <c r="AI1280" s="28">
        <v>7</v>
      </c>
      <c r="AK1280" s="36">
        <v>1247</v>
      </c>
      <c r="AL1280" s="33">
        <v>8</v>
      </c>
      <c r="AM1280" s="33">
        <v>1</v>
      </c>
      <c r="AN1280" s="33">
        <v>4</v>
      </c>
      <c r="AO1280" s="33">
        <v>6</v>
      </c>
      <c r="AP1280" s="33">
        <v>0</v>
      </c>
      <c r="AQ1280" s="33">
        <v>1</v>
      </c>
      <c r="AR1280" s="33">
        <v>2</v>
      </c>
      <c r="AS1280" s="33">
        <v>4</v>
      </c>
      <c r="AT1280" s="33">
        <v>1</v>
      </c>
      <c r="AU1280" s="43">
        <v>0.12877314828488781</v>
      </c>
      <c r="AV1280" s="33">
        <v>0</v>
      </c>
      <c r="AW1280" s="33">
        <v>1</v>
      </c>
      <c r="AY1280" s="36">
        <v>1252</v>
      </c>
      <c r="AZ1280" s="33">
        <v>3</v>
      </c>
      <c r="BA1280" s="33">
        <v>1</v>
      </c>
      <c r="BB1280" s="33">
        <v>0</v>
      </c>
      <c r="BC1280" s="33">
        <v>1</v>
      </c>
      <c r="BD1280" s="43">
        <v>7.4238208059117641E-2</v>
      </c>
      <c r="BE1280" s="33">
        <v>0</v>
      </c>
      <c r="BF1280" s="33">
        <v>0</v>
      </c>
      <c r="CE1280" s="36">
        <v>1246</v>
      </c>
      <c r="CF1280" s="33">
        <v>10</v>
      </c>
      <c r="CG1280" s="33">
        <v>1</v>
      </c>
      <c r="CH1280" s="33">
        <v>4</v>
      </c>
      <c r="CI1280" s="33">
        <v>2</v>
      </c>
      <c r="CJ1280" s="33">
        <v>0</v>
      </c>
      <c r="CK1280" s="33">
        <v>0</v>
      </c>
      <c r="CL1280" s="33">
        <v>1</v>
      </c>
      <c r="CM1280" s="33">
        <v>3</v>
      </c>
      <c r="CN1280" s="33">
        <v>2</v>
      </c>
      <c r="CO1280" s="33">
        <v>2</v>
      </c>
      <c r="CP1280" s="43">
        <v>8.3997148072498098E-2</v>
      </c>
      <c r="CQ1280" s="33">
        <v>0</v>
      </c>
      <c r="CR1280" s="33">
        <v>0</v>
      </c>
    </row>
    <row r="1281" spans="1:96" ht="15" customHeight="1" x14ac:dyDescent="0.25">
      <c r="A1281" s="26">
        <v>1279</v>
      </c>
      <c r="B1281" s="27">
        <v>44</v>
      </c>
      <c r="C1281" s="27">
        <v>1</v>
      </c>
      <c r="D1281" s="27">
        <v>2</v>
      </c>
      <c r="E1281" s="27">
        <v>429</v>
      </c>
      <c r="F1281" s="27">
        <v>2</v>
      </c>
      <c r="G1281" s="27">
        <v>1</v>
      </c>
      <c r="H1281" s="27">
        <v>2</v>
      </c>
      <c r="I1281" s="27">
        <v>3</v>
      </c>
      <c r="J1281" s="27">
        <v>1</v>
      </c>
      <c r="K1281" s="27">
        <v>1792</v>
      </c>
      <c r="L1281" s="27">
        <v>3</v>
      </c>
      <c r="M1281" s="27">
        <v>1</v>
      </c>
      <c r="N1281" s="27">
        <v>99</v>
      </c>
      <c r="O1281" s="27">
        <v>3</v>
      </c>
      <c r="P1281" s="27">
        <v>1</v>
      </c>
      <c r="Q1281" s="27">
        <v>2</v>
      </c>
      <c r="R1281" s="27">
        <v>2</v>
      </c>
      <c r="S1281" s="27">
        <v>3</v>
      </c>
      <c r="T1281" s="27">
        <v>2342</v>
      </c>
      <c r="U1281" s="27">
        <v>11092</v>
      </c>
      <c r="V1281" s="27">
        <v>1</v>
      </c>
      <c r="W1281" s="27">
        <v>1</v>
      </c>
      <c r="X1281" s="27">
        <v>12</v>
      </c>
      <c r="Y1281" s="27">
        <v>3</v>
      </c>
      <c r="Z1281" s="27">
        <v>3</v>
      </c>
      <c r="AA1281" s="27">
        <v>80</v>
      </c>
      <c r="AB1281" s="27">
        <v>3</v>
      </c>
      <c r="AC1281" s="27">
        <v>6</v>
      </c>
      <c r="AD1281" s="27">
        <v>2</v>
      </c>
      <c r="AE1281" s="27">
        <v>2</v>
      </c>
      <c r="AF1281" s="27">
        <v>5</v>
      </c>
      <c r="AG1281" s="27">
        <v>3</v>
      </c>
      <c r="AH1281" s="27">
        <v>2</v>
      </c>
      <c r="AI1281" s="28">
        <v>3</v>
      </c>
      <c r="AK1281" s="36">
        <v>1248</v>
      </c>
      <c r="AL1281" s="33">
        <v>5</v>
      </c>
      <c r="AM1281" s="33">
        <v>2</v>
      </c>
      <c r="AN1281" s="33">
        <v>3</v>
      </c>
      <c r="AO1281" s="33">
        <v>1</v>
      </c>
      <c r="AP1281" s="33">
        <v>0</v>
      </c>
      <c r="AQ1281" s="33">
        <v>1</v>
      </c>
      <c r="AR1281" s="33">
        <v>3</v>
      </c>
      <c r="AS1281" s="33">
        <v>5</v>
      </c>
      <c r="AT1281" s="33">
        <v>0</v>
      </c>
      <c r="AU1281" s="43">
        <v>4.2686841674386682E-2</v>
      </c>
      <c r="AV1281" s="33">
        <v>0</v>
      </c>
      <c r="AW1281" s="33">
        <v>0</v>
      </c>
      <c r="AY1281" s="36">
        <v>1253</v>
      </c>
      <c r="AZ1281" s="33">
        <v>1</v>
      </c>
      <c r="BA1281" s="33">
        <v>4</v>
      </c>
      <c r="BB1281" s="33">
        <v>1</v>
      </c>
      <c r="BC1281" s="33">
        <v>3</v>
      </c>
      <c r="BD1281" s="43">
        <v>0.1316789269181548</v>
      </c>
      <c r="BE1281" s="33">
        <v>0</v>
      </c>
      <c r="BF1281" s="33">
        <v>0</v>
      </c>
      <c r="CE1281" s="36">
        <v>1247</v>
      </c>
      <c r="CF1281" s="33">
        <v>8</v>
      </c>
      <c r="CG1281" s="33">
        <v>1</v>
      </c>
      <c r="CH1281" s="33">
        <v>4</v>
      </c>
      <c r="CI1281" s="33">
        <v>3</v>
      </c>
      <c r="CJ1281" s="33">
        <v>6</v>
      </c>
      <c r="CK1281" s="33">
        <v>0</v>
      </c>
      <c r="CL1281" s="33">
        <v>1</v>
      </c>
      <c r="CM1281" s="33">
        <v>2</v>
      </c>
      <c r="CN1281" s="33">
        <v>4</v>
      </c>
      <c r="CO1281" s="33">
        <v>1</v>
      </c>
      <c r="CP1281" s="43">
        <v>7.5171967948661128E-2</v>
      </c>
      <c r="CQ1281" s="33">
        <v>0</v>
      </c>
      <c r="CR1281" s="33">
        <v>1</v>
      </c>
    </row>
    <row r="1282" spans="1:96" ht="15" customHeight="1" x14ac:dyDescent="0.25">
      <c r="A1282" s="26">
        <v>1280</v>
      </c>
      <c r="B1282" s="27">
        <v>37</v>
      </c>
      <c r="C1282" s="27">
        <v>0</v>
      </c>
      <c r="D1282" s="27">
        <v>1</v>
      </c>
      <c r="E1282" s="27">
        <v>1239</v>
      </c>
      <c r="F1282" s="27">
        <v>3</v>
      </c>
      <c r="G1282" s="27">
        <v>8</v>
      </c>
      <c r="H1282" s="27">
        <v>2</v>
      </c>
      <c r="I1282" s="27">
        <v>6</v>
      </c>
      <c r="J1282" s="27">
        <v>1</v>
      </c>
      <c r="K1282" s="27">
        <v>1794</v>
      </c>
      <c r="L1282" s="27">
        <v>3</v>
      </c>
      <c r="M1282" s="27">
        <v>1</v>
      </c>
      <c r="N1282" s="27">
        <v>89</v>
      </c>
      <c r="O1282" s="27">
        <v>3</v>
      </c>
      <c r="P1282" s="27">
        <v>2</v>
      </c>
      <c r="Q1282" s="27">
        <v>9</v>
      </c>
      <c r="R1282" s="27">
        <v>2</v>
      </c>
      <c r="S1282" s="27">
        <v>3</v>
      </c>
      <c r="T1282" s="27">
        <v>4071</v>
      </c>
      <c r="U1282" s="27">
        <v>12832</v>
      </c>
      <c r="V1282" s="27">
        <v>2</v>
      </c>
      <c r="W1282" s="27">
        <v>0</v>
      </c>
      <c r="X1282" s="27">
        <v>13</v>
      </c>
      <c r="Y1282" s="27">
        <v>3</v>
      </c>
      <c r="Z1282" s="27">
        <v>3</v>
      </c>
      <c r="AA1282" s="27">
        <v>80</v>
      </c>
      <c r="AB1282" s="27">
        <v>0</v>
      </c>
      <c r="AC1282" s="27">
        <v>19</v>
      </c>
      <c r="AD1282" s="27">
        <v>4</v>
      </c>
      <c r="AE1282" s="27">
        <v>2</v>
      </c>
      <c r="AF1282" s="27">
        <v>10</v>
      </c>
      <c r="AG1282" s="27">
        <v>0</v>
      </c>
      <c r="AH1282" s="27">
        <v>4</v>
      </c>
      <c r="AI1282" s="28">
        <v>7</v>
      </c>
      <c r="AK1282" s="36">
        <v>1249</v>
      </c>
      <c r="AL1282" s="33">
        <v>8</v>
      </c>
      <c r="AM1282" s="33">
        <v>1</v>
      </c>
      <c r="AN1282" s="33">
        <v>4</v>
      </c>
      <c r="AO1282" s="33">
        <v>1</v>
      </c>
      <c r="AP1282" s="33">
        <v>0</v>
      </c>
      <c r="AQ1282" s="33">
        <v>0</v>
      </c>
      <c r="AR1282" s="33">
        <v>2</v>
      </c>
      <c r="AS1282" s="33">
        <v>6</v>
      </c>
      <c r="AT1282" s="33">
        <v>1</v>
      </c>
      <c r="AU1282" s="43">
        <v>0.12910765267554983</v>
      </c>
      <c r="AV1282" s="33">
        <v>0</v>
      </c>
      <c r="AW1282" s="33">
        <v>0</v>
      </c>
      <c r="AY1282" s="36">
        <v>1254</v>
      </c>
      <c r="AZ1282" s="33">
        <v>2</v>
      </c>
      <c r="BA1282" s="33">
        <v>2</v>
      </c>
      <c r="BB1282" s="33">
        <v>0</v>
      </c>
      <c r="BC1282" s="33">
        <v>0</v>
      </c>
      <c r="BD1282" s="43">
        <v>0.15063023792355215</v>
      </c>
      <c r="BE1282" s="33">
        <v>0</v>
      </c>
      <c r="BF1282" s="33">
        <v>0</v>
      </c>
      <c r="CE1282" s="36">
        <v>1248</v>
      </c>
      <c r="CF1282" s="33">
        <v>5</v>
      </c>
      <c r="CG1282" s="33">
        <v>2</v>
      </c>
      <c r="CH1282" s="33">
        <v>3</v>
      </c>
      <c r="CI1282" s="33">
        <v>2</v>
      </c>
      <c r="CJ1282" s="33">
        <v>1</v>
      </c>
      <c r="CK1282" s="33">
        <v>0</v>
      </c>
      <c r="CL1282" s="33">
        <v>1</v>
      </c>
      <c r="CM1282" s="33">
        <v>3</v>
      </c>
      <c r="CN1282" s="33">
        <v>5</v>
      </c>
      <c r="CO1282" s="33">
        <v>0</v>
      </c>
      <c r="CP1282" s="43">
        <v>4.1059058508854947E-2</v>
      </c>
      <c r="CQ1282" s="33">
        <v>0</v>
      </c>
      <c r="CR1282" s="33">
        <v>0</v>
      </c>
    </row>
    <row r="1283" spans="1:96" ht="15" customHeight="1" x14ac:dyDescent="0.25">
      <c r="A1283" s="26">
        <v>1281</v>
      </c>
      <c r="B1283" s="27">
        <v>35</v>
      </c>
      <c r="C1283" s="27">
        <v>1</v>
      </c>
      <c r="D1283" s="27">
        <v>1</v>
      </c>
      <c r="E1283" s="27">
        <v>303</v>
      </c>
      <c r="F1283" s="27">
        <v>1</v>
      </c>
      <c r="G1283" s="27">
        <v>27</v>
      </c>
      <c r="H1283" s="27">
        <v>3</v>
      </c>
      <c r="I1283" s="27">
        <v>1</v>
      </c>
      <c r="J1283" s="27">
        <v>1</v>
      </c>
      <c r="K1283" s="27">
        <v>1797</v>
      </c>
      <c r="L1283" s="27">
        <v>3</v>
      </c>
      <c r="M1283" s="27">
        <v>1</v>
      </c>
      <c r="N1283" s="27">
        <v>84</v>
      </c>
      <c r="O1283" s="27">
        <v>3</v>
      </c>
      <c r="P1283" s="27">
        <v>2</v>
      </c>
      <c r="Q1283" s="27">
        <v>1</v>
      </c>
      <c r="R1283" s="27">
        <v>4</v>
      </c>
      <c r="S1283" s="27">
        <v>1</v>
      </c>
      <c r="T1283" s="27">
        <v>5813</v>
      </c>
      <c r="U1283" s="27">
        <v>13492</v>
      </c>
      <c r="V1283" s="27">
        <v>1</v>
      </c>
      <c r="W1283" s="27">
        <v>1</v>
      </c>
      <c r="X1283" s="27">
        <v>18</v>
      </c>
      <c r="Y1283" s="27">
        <v>3</v>
      </c>
      <c r="Z1283" s="27">
        <v>4</v>
      </c>
      <c r="AA1283" s="27">
        <v>80</v>
      </c>
      <c r="AB1283" s="27">
        <v>0</v>
      </c>
      <c r="AC1283" s="27">
        <v>10</v>
      </c>
      <c r="AD1283" s="27">
        <v>2</v>
      </c>
      <c r="AE1283" s="27">
        <v>3</v>
      </c>
      <c r="AF1283" s="27">
        <v>10</v>
      </c>
      <c r="AG1283" s="27">
        <v>7</v>
      </c>
      <c r="AH1283" s="27">
        <v>7</v>
      </c>
      <c r="AI1283" s="28">
        <v>7</v>
      </c>
      <c r="AK1283" s="36">
        <v>1250</v>
      </c>
      <c r="AL1283" s="33">
        <v>9</v>
      </c>
      <c r="AM1283" s="33">
        <v>1</v>
      </c>
      <c r="AN1283" s="33">
        <v>2</v>
      </c>
      <c r="AO1283" s="33">
        <v>1</v>
      </c>
      <c r="AP1283" s="33">
        <v>0</v>
      </c>
      <c r="AQ1283" s="33">
        <v>0</v>
      </c>
      <c r="AR1283" s="33">
        <v>3</v>
      </c>
      <c r="AS1283" s="33">
        <v>2</v>
      </c>
      <c r="AT1283" s="33">
        <v>2</v>
      </c>
      <c r="AU1283" s="43">
        <v>0.2456500065600794</v>
      </c>
      <c r="AV1283" s="33">
        <v>0</v>
      </c>
      <c r="AW1283" s="33">
        <v>1</v>
      </c>
      <c r="AY1283" s="36">
        <v>1255</v>
      </c>
      <c r="AZ1283" s="33">
        <v>2</v>
      </c>
      <c r="BA1283" s="33">
        <v>4</v>
      </c>
      <c r="BB1283" s="33">
        <v>0</v>
      </c>
      <c r="BC1283" s="33">
        <v>0</v>
      </c>
      <c r="BD1283" s="43">
        <v>8.9935487507215722E-2</v>
      </c>
      <c r="BE1283" s="33">
        <v>0</v>
      </c>
      <c r="BF1283" s="33">
        <v>0</v>
      </c>
      <c r="CE1283" s="36">
        <v>1249</v>
      </c>
      <c r="CF1283" s="33">
        <v>8</v>
      </c>
      <c r="CG1283" s="33">
        <v>1</v>
      </c>
      <c r="CH1283" s="33">
        <v>4</v>
      </c>
      <c r="CI1283" s="33">
        <v>1</v>
      </c>
      <c r="CJ1283" s="33">
        <v>1</v>
      </c>
      <c r="CK1283" s="33">
        <v>0</v>
      </c>
      <c r="CL1283" s="33">
        <v>0</v>
      </c>
      <c r="CM1283" s="33">
        <v>2</v>
      </c>
      <c r="CN1283" s="33">
        <v>6</v>
      </c>
      <c r="CO1283" s="33">
        <v>1</v>
      </c>
      <c r="CP1283" s="43">
        <v>0.14791059284347344</v>
      </c>
      <c r="CQ1283" s="33">
        <v>0</v>
      </c>
      <c r="CR1283" s="33">
        <v>0</v>
      </c>
    </row>
    <row r="1284" spans="1:96" ht="15" customHeight="1" x14ac:dyDescent="0.25">
      <c r="A1284" s="26">
        <v>1282</v>
      </c>
      <c r="B1284" s="27">
        <v>33</v>
      </c>
      <c r="C1284" s="27">
        <v>0</v>
      </c>
      <c r="D1284" s="27">
        <v>1</v>
      </c>
      <c r="E1284" s="27">
        <v>867</v>
      </c>
      <c r="F1284" s="27">
        <v>2</v>
      </c>
      <c r="G1284" s="27">
        <v>8</v>
      </c>
      <c r="H1284" s="27">
        <v>4</v>
      </c>
      <c r="I1284" s="27">
        <v>1</v>
      </c>
      <c r="J1284" s="27">
        <v>1</v>
      </c>
      <c r="K1284" s="27">
        <v>1798</v>
      </c>
      <c r="L1284" s="27">
        <v>4</v>
      </c>
      <c r="M1284" s="27">
        <v>1</v>
      </c>
      <c r="N1284" s="27">
        <v>90</v>
      </c>
      <c r="O1284" s="27">
        <v>4</v>
      </c>
      <c r="P1284" s="27">
        <v>1</v>
      </c>
      <c r="Q1284" s="27">
        <v>2</v>
      </c>
      <c r="R1284" s="27">
        <v>1</v>
      </c>
      <c r="S1284" s="27">
        <v>2</v>
      </c>
      <c r="T1284" s="27">
        <v>3143</v>
      </c>
      <c r="U1284" s="27">
        <v>6076</v>
      </c>
      <c r="V1284" s="27">
        <v>6</v>
      </c>
      <c r="W1284" s="27">
        <v>0</v>
      </c>
      <c r="X1284" s="27">
        <v>19</v>
      </c>
      <c r="Y1284" s="27">
        <v>3</v>
      </c>
      <c r="Z1284" s="27">
        <v>2</v>
      </c>
      <c r="AA1284" s="27">
        <v>80</v>
      </c>
      <c r="AB1284" s="27">
        <v>1</v>
      </c>
      <c r="AC1284" s="27">
        <v>14</v>
      </c>
      <c r="AD1284" s="27">
        <v>1</v>
      </c>
      <c r="AE1284" s="27">
        <v>3</v>
      </c>
      <c r="AF1284" s="27">
        <v>10</v>
      </c>
      <c r="AG1284" s="27">
        <v>8</v>
      </c>
      <c r="AH1284" s="27">
        <v>7</v>
      </c>
      <c r="AI1284" s="28">
        <v>6</v>
      </c>
      <c r="AK1284" s="36">
        <v>1251</v>
      </c>
      <c r="AL1284" s="33">
        <v>1</v>
      </c>
      <c r="AM1284" s="33">
        <v>2</v>
      </c>
      <c r="AN1284" s="33">
        <v>3</v>
      </c>
      <c r="AO1284" s="33">
        <v>8</v>
      </c>
      <c r="AP1284" s="33">
        <v>1</v>
      </c>
      <c r="AQ1284" s="33">
        <v>0</v>
      </c>
      <c r="AR1284" s="33">
        <v>4</v>
      </c>
      <c r="AS1284" s="33">
        <v>3</v>
      </c>
      <c r="AT1284" s="33">
        <v>0</v>
      </c>
      <c r="AU1284" s="43">
        <v>0.33119269994039169</v>
      </c>
      <c r="AV1284" s="33">
        <v>0</v>
      </c>
      <c r="AW1284" s="33">
        <v>0</v>
      </c>
      <c r="AY1284" s="36">
        <v>1256</v>
      </c>
      <c r="AZ1284" s="33">
        <v>3</v>
      </c>
      <c r="BA1284" s="33">
        <v>1</v>
      </c>
      <c r="BB1284" s="33">
        <v>1</v>
      </c>
      <c r="BC1284" s="33">
        <v>0</v>
      </c>
      <c r="BD1284" s="43">
        <v>0.36749559266393544</v>
      </c>
      <c r="BE1284" s="33">
        <v>0</v>
      </c>
      <c r="BF1284" s="33">
        <v>1</v>
      </c>
      <c r="CE1284" s="36">
        <v>1250</v>
      </c>
      <c r="CF1284" s="33">
        <v>9</v>
      </c>
      <c r="CG1284" s="33">
        <v>1</v>
      </c>
      <c r="CH1284" s="33">
        <v>2</v>
      </c>
      <c r="CI1284" s="33">
        <v>1</v>
      </c>
      <c r="CJ1284" s="33">
        <v>1</v>
      </c>
      <c r="CK1284" s="33">
        <v>0</v>
      </c>
      <c r="CL1284" s="33">
        <v>0</v>
      </c>
      <c r="CM1284" s="33">
        <v>3</v>
      </c>
      <c r="CN1284" s="33">
        <v>2</v>
      </c>
      <c r="CO1284" s="33">
        <v>2</v>
      </c>
      <c r="CP1284" s="43">
        <v>0.28110178350842585</v>
      </c>
      <c r="CQ1284" s="33">
        <v>0</v>
      </c>
      <c r="CR1284" s="33">
        <v>1</v>
      </c>
    </row>
    <row r="1285" spans="1:96" ht="15" customHeight="1" x14ac:dyDescent="0.25">
      <c r="A1285" s="26">
        <v>1283</v>
      </c>
      <c r="B1285" s="27">
        <v>28</v>
      </c>
      <c r="C1285" s="27">
        <v>0</v>
      </c>
      <c r="D1285" s="27">
        <v>1</v>
      </c>
      <c r="E1285" s="27">
        <v>1181</v>
      </c>
      <c r="F1285" s="27">
        <v>2</v>
      </c>
      <c r="G1285" s="27">
        <v>1</v>
      </c>
      <c r="H1285" s="27">
        <v>3</v>
      </c>
      <c r="I1285" s="27">
        <v>1</v>
      </c>
      <c r="J1285" s="27">
        <v>1</v>
      </c>
      <c r="K1285" s="27">
        <v>1799</v>
      </c>
      <c r="L1285" s="27">
        <v>3</v>
      </c>
      <c r="M1285" s="27">
        <v>1</v>
      </c>
      <c r="N1285" s="27">
        <v>82</v>
      </c>
      <c r="O1285" s="27">
        <v>3</v>
      </c>
      <c r="P1285" s="27">
        <v>1</v>
      </c>
      <c r="Q1285" s="27">
        <v>2</v>
      </c>
      <c r="R1285" s="27">
        <v>4</v>
      </c>
      <c r="S1285" s="27">
        <v>2</v>
      </c>
      <c r="T1285" s="27">
        <v>2044</v>
      </c>
      <c r="U1285" s="27">
        <v>5531</v>
      </c>
      <c r="V1285" s="27">
        <v>1</v>
      </c>
      <c r="W1285" s="27">
        <v>0</v>
      </c>
      <c r="X1285" s="27">
        <v>11</v>
      </c>
      <c r="Y1285" s="27">
        <v>3</v>
      </c>
      <c r="Z1285" s="27">
        <v>3</v>
      </c>
      <c r="AA1285" s="27">
        <v>80</v>
      </c>
      <c r="AB1285" s="27">
        <v>1</v>
      </c>
      <c r="AC1285" s="27">
        <v>5</v>
      </c>
      <c r="AD1285" s="27">
        <v>6</v>
      </c>
      <c r="AE1285" s="27">
        <v>4</v>
      </c>
      <c r="AF1285" s="27">
        <v>5</v>
      </c>
      <c r="AG1285" s="27">
        <v>3</v>
      </c>
      <c r="AH1285" s="27">
        <v>0</v>
      </c>
      <c r="AI1285" s="28">
        <v>3</v>
      </c>
      <c r="AK1285" s="36">
        <v>1252</v>
      </c>
      <c r="AL1285" s="33">
        <v>15</v>
      </c>
      <c r="AM1285" s="33">
        <v>3</v>
      </c>
      <c r="AN1285" s="33">
        <v>1</v>
      </c>
      <c r="AO1285" s="33">
        <v>2</v>
      </c>
      <c r="AP1285" s="33">
        <v>0</v>
      </c>
      <c r="AQ1285" s="33">
        <v>1</v>
      </c>
      <c r="AR1285" s="33">
        <v>3</v>
      </c>
      <c r="AS1285" s="33">
        <v>7</v>
      </c>
      <c r="AT1285" s="33">
        <v>1</v>
      </c>
      <c r="AU1285" s="43">
        <v>6.3668388486580463E-2</v>
      </c>
      <c r="AV1285" s="33">
        <v>0</v>
      </c>
      <c r="AW1285" s="33">
        <v>0</v>
      </c>
      <c r="AY1285" s="36">
        <v>1257</v>
      </c>
      <c r="AZ1285" s="33">
        <v>1</v>
      </c>
      <c r="BA1285" s="33">
        <v>2</v>
      </c>
      <c r="BB1285" s="33">
        <v>0</v>
      </c>
      <c r="BC1285" s="33">
        <v>1</v>
      </c>
      <c r="BD1285" s="43">
        <v>0.15461023487664</v>
      </c>
      <c r="BE1285" s="33">
        <v>0</v>
      </c>
      <c r="BF1285" s="33">
        <v>0</v>
      </c>
      <c r="CE1285" s="36">
        <v>1251</v>
      </c>
      <c r="CF1285" s="33">
        <v>1</v>
      </c>
      <c r="CG1285" s="33">
        <v>2</v>
      </c>
      <c r="CH1285" s="33">
        <v>3</v>
      </c>
      <c r="CI1285" s="33">
        <v>1</v>
      </c>
      <c r="CJ1285" s="33">
        <v>8</v>
      </c>
      <c r="CK1285" s="33">
        <v>1</v>
      </c>
      <c r="CL1285" s="33">
        <v>0</v>
      </c>
      <c r="CM1285" s="33">
        <v>4</v>
      </c>
      <c r="CN1285" s="33">
        <v>3</v>
      </c>
      <c r="CO1285" s="33">
        <v>0</v>
      </c>
      <c r="CP1285" s="43">
        <v>0.37843900880222747</v>
      </c>
      <c r="CQ1285" s="33">
        <v>0</v>
      </c>
      <c r="CR1285" s="33">
        <v>0</v>
      </c>
    </row>
    <row r="1286" spans="1:96" ht="15" customHeight="1" x14ac:dyDescent="0.25">
      <c r="A1286" s="26">
        <v>1284</v>
      </c>
      <c r="B1286" s="27">
        <v>39</v>
      </c>
      <c r="C1286" s="27">
        <v>0</v>
      </c>
      <c r="D1286" s="27">
        <v>1</v>
      </c>
      <c r="E1286" s="27">
        <v>1253</v>
      </c>
      <c r="F1286" s="27">
        <v>2</v>
      </c>
      <c r="G1286" s="27">
        <v>10</v>
      </c>
      <c r="H1286" s="27">
        <v>1</v>
      </c>
      <c r="I1286" s="27">
        <v>3</v>
      </c>
      <c r="J1286" s="27">
        <v>1</v>
      </c>
      <c r="K1286" s="27">
        <v>1800</v>
      </c>
      <c r="L1286" s="27">
        <v>3</v>
      </c>
      <c r="M1286" s="27">
        <v>1</v>
      </c>
      <c r="N1286" s="27">
        <v>65</v>
      </c>
      <c r="O1286" s="27">
        <v>3</v>
      </c>
      <c r="P1286" s="27">
        <v>3</v>
      </c>
      <c r="Q1286" s="27">
        <v>8</v>
      </c>
      <c r="R1286" s="27">
        <v>3</v>
      </c>
      <c r="S1286" s="27">
        <v>1</v>
      </c>
      <c r="T1286" s="27">
        <v>13464</v>
      </c>
      <c r="U1286" s="27">
        <v>7914</v>
      </c>
      <c r="V1286" s="27">
        <v>7</v>
      </c>
      <c r="W1286" s="27">
        <v>0</v>
      </c>
      <c r="X1286" s="27">
        <v>21</v>
      </c>
      <c r="Y1286" s="27">
        <v>4</v>
      </c>
      <c r="Z1286" s="27">
        <v>3</v>
      </c>
      <c r="AA1286" s="27">
        <v>80</v>
      </c>
      <c r="AB1286" s="27">
        <v>0</v>
      </c>
      <c r="AC1286" s="27">
        <v>9</v>
      </c>
      <c r="AD1286" s="27">
        <v>3</v>
      </c>
      <c r="AE1286" s="27">
        <v>3</v>
      </c>
      <c r="AF1286" s="27">
        <v>4</v>
      </c>
      <c r="AG1286" s="27">
        <v>3</v>
      </c>
      <c r="AH1286" s="27">
        <v>2</v>
      </c>
      <c r="AI1286" s="28">
        <v>2</v>
      </c>
      <c r="AK1286" s="36">
        <v>1253</v>
      </c>
      <c r="AL1286" s="33">
        <v>2</v>
      </c>
      <c r="AM1286" s="33">
        <v>1</v>
      </c>
      <c r="AN1286" s="33">
        <v>4</v>
      </c>
      <c r="AO1286" s="33">
        <v>0</v>
      </c>
      <c r="AP1286" s="33">
        <v>1</v>
      </c>
      <c r="AQ1286" s="33">
        <v>3</v>
      </c>
      <c r="AR1286" s="33">
        <v>3</v>
      </c>
      <c r="AS1286" s="33">
        <v>5</v>
      </c>
      <c r="AT1286" s="33">
        <v>1</v>
      </c>
      <c r="AU1286" s="43">
        <v>7.0358751093650723E-2</v>
      </c>
      <c r="AV1286" s="33">
        <v>0</v>
      </c>
      <c r="AW1286" s="33">
        <v>0</v>
      </c>
      <c r="AY1286" s="36">
        <v>1258</v>
      </c>
      <c r="AZ1286" s="33">
        <v>3</v>
      </c>
      <c r="BA1286" s="33">
        <v>3</v>
      </c>
      <c r="BB1286" s="33">
        <v>0</v>
      </c>
      <c r="BC1286" s="33">
        <v>3</v>
      </c>
      <c r="BD1286" s="43">
        <v>1.5316827273494371E-2</v>
      </c>
      <c r="BE1286" s="33">
        <v>0</v>
      </c>
      <c r="BF1286" s="33">
        <v>1</v>
      </c>
      <c r="CE1286" s="36">
        <v>1252</v>
      </c>
      <c r="CF1286" s="33">
        <v>15</v>
      </c>
      <c r="CG1286" s="33">
        <v>3</v>
      </c>
      <c r="CH1286" s="33">
        <v>1</v>
      </c>
      <c r="CI1286" s="33">
        <v>3</v>
      </c>
      <c r="CJ1286" s="33">
        <v>2</v>
      </c>
      <c r="CK1286" s="33">
        <v>0</v>
      </c>
      <c r="CL1286" s="33">
        <v>1</v>
      </c>
      <c r="CM1286" s="33">
        <v>3</v>
      </c>
      <c r="CN1286" s="33">
        <v>7</v>
      </c>
      <c r="CO1286" s="33">
        <v>1</v>
      </c>
      <c r="CP1286" s="43">
        <v>3.7880846791193835E-2</v>
      </c>
      <c r="CQ1286" s="33">
        <v>0</v>
      </c>
      <c r="CR1286" s="33">
        <v>0</v>
      </c>
    </row>
    <row r="1287" spans="1:96" ht="15" customHeight="1" x14ac:dyDescent="0.25">
      <c r="A1287" s="26">
        <v>1285</v>
      </c>
      <c r="B1287" s="27">
        <v>46</v>
      </c>
      <c r="C1287" s="27">
        <v>0</v>
      </c>
      <c r="D1287" s="27">
        <v>3</v>
      </c>
      <c r="E1287" s="27">
        <v>849</v>
      </c>
      <c r="F1287" s="27">
        <v>1</v>
      </c>
      <c r="G1287" s="27">
        <v>26</v>
      </c>
      <c r="H1287" s="27">
        <v>2</v>
      </c>
      <c r="I1287" s="27">
        <v>1</v>
      </c>
      <c r="J1287" s="27">
        <v>1</v>
      </c>
      <c r="K1287" s="27">
        <v>1801</v>
      </c>
      <c r="L1287" s="27">
        <v>2</v>
      </c>
      <c r="M1287" s="27">
        <v>1</v>
      </c>
      <c r="N1287" s="27">
        <v>98</v>
      </c>
      <c r="O1287" s="27">
        <v>2</v>
      </c>
      <c r="P1287" s="27">
        <v>2</v>
      </c>
      <c r="Q1287" s="27">
        <v>1</v>
      </c>
      <c r="R1287" s="27">
        <v>2</v>
      </c>
      <c r="S1287" s="27">
        <v>1</v>
      </c>
      <c r="T1287" s="27">
        <v>7991</v>
      </c>
      <c r="U1287" s="27">
        <v>25166</v>
      </c>
      <c r="V1287" s="27">
        <v>8</v>
      </c>
      <c r="W1287" s="27">
        <v>0</v>
      </c>
      <c r="X1287" s="27">
        <v>15</v>
      </c>
      <c r="Y1287" s="27">
        <v>3</v>
      </c>
      <c r="Z1287" s="27">
        <v>3</v>
      </c>
      <c r="AA1287" s="27">
        <v>80</v>
      </c>
      <c r="AB1287" s="27">
        <v>0</v>
      </c>
      <c r="AC1287" s="27">
        <v>6</v>
      </c>
      <c r="AD1287" s="27">
        <v>3</v>
      </c>
      <c r="AE1287" s="27">
        <v>3</v>
      </c>
      <c r="AF1287" s="27">
        <v>2</v>
      </c>
      <c r="AG1287" s="27">
        <v>2</v>
      </c>
      <c r="AH1287" s="27">
        <v>2</v>
      </c>
      <c r="AI1287" s="28">
        <v>2</v>
      </c>
      <c r="AK1287" s="36">
        <v>1254</v>
      </c>
      <c r="AL1287" s="33">
        <v>2</v>
      </c>
      <c r="AM1287" s="33">
        <v>2</v>
      </c>
      <c r="AN1287" s="33">
        <v>2</v>
      </c>
      <c r="AO1287" s="33">
        <v>8</v>
      </c>
      <c r="AP1287" s="33">
        <v>0</v>
      </c>
      <c r="AQ1287" s="33">
        <v>0</v>
      </c>
      <c r="AR1287" s="33">
        <v>2</v>
      </c>
      <c r="AS1287" s="33">
        <v>11</v>
      </c>
      <c r="AT1287" s="33">
        <v>1</v>
      </c>
      <c r="AU1287" s="43">
        <v>0.13577451987851866</v>
      </c>
      <c r="AV1287" s="33">
        <v>0</v>
      </c>
      <c r="AW1287" s="33">
        <v>0</v>
      </c>
      <c r="AY1287" s="36">
        <v>1259</v>
      </c>
      <c r="AZ1287" s="33">
        <v>1</v>
      </c>
      <c r="BA1287" s="33">
        <v>1</v>
      </c>
      <c r="BB1287" s="33">
        <v>0</v>
      </c>
      <c r="BC1287" s="33">
        <v>1</v>
      </c>
      <c r="BD1287" s="43">
        <v>0.19678474515944386</v>
      </c>
      <c r="BE1287" s="33">
        <v>0</v>
      </c>
      <c r="BF1287" s="33">
        <v>0</v>
      </c>
      <c r="CE1287" s="36">
        <v>1253</v>
      </c>
      <c r="CF1287" s="33">
        <v>2</v>
      </c>
      <c r="CG1287" s="33">
        <v>1</v>
      </c>
      <c r="CH1287" s="33">
        <v>4</v>
      </c>
      <c r="CI1287" s="33">
        <v>2</v>
      </c>
      <c r="CJ1287" s="33">
        <v>0</v>
      </c>
      <c r="CK1287" s="33">
        <v>1</v>
      </c>
      <c r="CL1287" s="33">
        <v>3</v>
      </c>
      <c r="CM1287" s="33">
        <v>3</v>
      </c>
      <c r="CN1287" s="33">
        <v>5</v>
      </c>
      <c r="CO1287" s="33">
        <v>1</v>
      </c>
      <c r="CP1287" s="43">
        <v>0.12777058727481652</v>
      </c>
      <c r="CQ1287" s="33">
        <v>0</v>
      </c>
      <c r="CR1287" s="33">
        <v>0</v>
      </c>
    </row>
    <row r="1288" spans="1:96" ht="15" customHeight="1" x14ac:dyDescent="0.25">
      <c r="A1288" s="26">
        <v>1286</v>
      </c>
      <c r="B1288" s="27">
        <v>40</v>
      </c>
      <c r="C1288" s="27">
        <v>0</v>
      </c>
      <c r="D1288" s="27">
        <v>1</v>
      </c>
      <c r="E1288" s="27">
        <v>616</v>
      </c>
      <c r="F1288" s="27">
        <v>2</v>
      </c>
      <c r="G1288" s="27">
        <v>2</v>
      </c>
      <c r="H1288" s="27">
        <v>2</v>
      </c>
      <c r="I1288" s="27">
        <v>1</v>
      </c>
      <c r="J1288" s="27">
        <v>1</v>
      </c>
      <c r="K1288" s="27">
        <v>1802</v>
      </c>
      <c r="L1288" s="27">
        <v>3</v>
      </c>
      <c r="M1288" s="27">
        <v>0</v>
      </c>
      <c r="N1288" s="27">
        <v>99</v>
      </c>
      <c r="O1288" s="27">
        <v>3</v>
      </c>
      <c r="P1288" s="27">
        <v>1</v>
      </c>
      <c r="Q1288" s="27">
        <v>3</v>
      </c>
      <c r="R1288" s="27">
        <v>1</v>
      </c>
      <c r="S1288" s="27">
        <v>2</v>
      </c>
      <c r="T1288" s="27">
        <v>3377</v>
      </c>
      <c r="U1288" s="27">
        <v>25605</v>
      </c>
      <c r="V1288" s="27">
        <v>4</v>
      </c>
      <c r="W1288" s="27">
        <v>0</v>
      </c>
      <c r="X1288" s="27">
        <v>17</v>
      </c>
      <c r="Y1288" s="27">
        <v>3</v>
      </c>
      <c r="Z1288" s="27">
        <v>4</v>
      </c>
      <c r="AA1288" s="27">
        <v>80</v>
      </c>
      <c r="AB1288" s="27">
        <v>1</v>
      </c>
      <c r="AC1288" s="27">
        <v>7</v>
      </c>
      <c r="AD1288" s="27">
        <v>5</v>
      </c>
      <c r="AE1288" s="27">
        <v>2</v>
      </c>
      <c r="AF1288" s="27">
        <v>4</v>
      </c>
      <c r="AG1288" s="27">
        <v>3</v>
      </c>
      <c r="AH1288" s="27">
        <v>0</v>
      </c>
      <c r="AI1288" s="28">
        <v>2</v>
      </c>
      <c r="AK1288" s="36">
        <v>1255</v>
      </c>
      <c r="AL1288" s="33">
        <v>11</v>
      </c>
      <c r="AM1288" s="33">
        <v>2</v>
      </c>
      <c r="AN1288" s="33">
        <v>4</v>
      </c>
      <c r="AO1288" s="33">
        <v>3</v>
      </c>
      <c r="AP1288" s="33">
        <v>0</v>
      </c>
      <c r="AQ1288" s="33">
        <v>0</v>
      </c>
      <c r="AR1288" s="33">
        <v>4</v>
      </c>
      <c r="AS1288" s="33">
        <v>5</v>
      </c>
      <c r="AT1288" s="33">
        <v>0</v>
      </c>
      <c r="AU1288" s="43">
        <v>6.3098034591918956E-2</v>
      </c>
      <c r="AV1288" s="33">
        <v>0</v>
      </c>
      <c r="AW1288" s="33">
        <v>0</v>
      </c>
      <c r="AY1288" s="36">
        <v>1260</v>
      </c>
      <c r="AZ1288" s="33">
        <v>2</v>
      </c>
      <c r="BA1288" s="33">
        <v>3</v>
      </c>
      <c r="BB1288" s="33">
        <v>0</v>
      </c>
      <c r="BC1288" s="33">
        <v>1</v>
      </c>
      <c r="BD1288" s="43">
        <v>7.244788656931947E-2</v>
      </c>
      <c r="BE1288" s="33">
        <v>0</v>
      </c>
      <c r="BF1288" s="33">
        <v>0</v>
      </c>
      <c r="CE1288" s="36">
        <v>1254</v>
      </c>
      <c r="CF1288" s="33">
        <v>2</v>
      </c>
      <c r="CG1288" s="33">
        <v>2</v>
      </c>
      <c r="CH1288" s="33">
        <v>2</v>
      </c>
      <c r="CI1288" s="33">
        <v>1</v>
      </c>
      <c r="CJ1288" s="33">
        <v>8</v>
      </c>
      <c r="CK1288" s="33">
        <v>0</v>
      </c>
      <c r="CL1288" s="33">
        <v>0</v>
      </c>
      <c r="CM1288" s="33">
        <v>2</v>
      </c>
      <c r="CN1288" s="33">
        <v>11</v>
      </c>
      <c r="CO1288" s="33">
        <v>1</v>
      </c>
      <c r="CP1288" s="43">
        <v>0.16313017848502165</v>
      </c>
      <c r="CQ1288" s="33">
        <v>0</v>
      </c>
      <c r="CR1288" s="33">
        <v>0</v>
      </c>
    </row>
    <row r="1289" spans="1:96" ht="15" customHeight="1" x14ac:dyDescent="0.25">
      <c r="A1289" s="26">
        <v>1287</v>
      </c>
      <c r="B1289" s="27">
        <v>42</v>
      </c>
      <c r="C1289" s="27">
        <v>0</v>
      </c>
      <c r="D1289" s="27">
        <v>1</v>
      </c>
      <c r="E1289" s="27">
        <v>1128</v>
      </c>
      <c r="F1289" s="27">
        <v>2</v>
      </c>
      <c r="G1289" s="27">
        <v>13</v>
      </c>
      <c r="H1289" s="27">
        <v>3</v>
      </c>
      <c r="I1289" s="27">
        <v>3</v>
      </c>
      <c r="J1289" s="27">
        <v>1</v>
      </c>
      <c r="K1289" s="27">
        <v>1803</v>
      </c>
      <c r="L1289" s="27">
        <v>2</v>
      </c>
      <c r="M1289" s="27">
        <v>1</v>
      </c>
      <c r="N1289" s="27">
        <v>95</v>
      </c>
      <c r="O1289" s="27">
        <v>4</v>
      </c>
      <c r="P1289" s="27">
        <v>2</v>
      </c>
      <c r="Q1289" s="27">
        <v>5</v>
      </c>
      <c r="R1289" s="27">
        <v>1</v>
      </c>
      <c r="S1289" s="27">
        <v>2</v>
      </c>
      <c r="T1289" s="27">
        <v>5538</v>
      </c>
      <c r="U1289" s="27">
        <v>5696</v>
      </c>
      <c r="V1289" s="27">
        <v>5</v>
      </c>
      <c r="W1289" s="27">
        <v>0</v>
      </c>
      <c r="X1289" s="27">
        <v>18</v>
      </c>
      <c r="Y1289" s="27">
        <v>3</v>
      </c>
      <c r="Z1289" s="27">
        <v>3</v>
      </c>
      <c r="AA1289" s="27">
        <v>80</v>
      </c>
      <c r="AB1289" s="27">
        <v>2</v>
      </c>
      <c r="AC1289" s="27">
        <v>10</v>
      </c>
      <c r="AD1289" s="27">
        <v>2</v>
      </c>
      <c r="AE1289" s="27">
        <v>2</v>
      </c>
      <c r="AF1289" s="27">
        <v>0</v>
      </c>
      <c r="AG1289" s="27">
        <v>0</v>
      </c>
      <c r="AH1289" s="27">
        <v>0</v>
      </c>
      <c r="AI1289" s="28">
        <v>0</v>
      </c>
      <c r="AK1289" s="36">
        <v>1256</v>
      </c>
      <c r="AL1289" s="33">
        <v>16</v>
      </c>
      <c r="AM1289" s="33">
        <v>3</v>
      </c>
      <c r="AN1289" s="33">
        <v>1</v>
      </c>
      <c r="AO1289" s="33">
        <v>2</v>
      </c>
      <c r="AP1289" s="33">
        <v>1</v>
      </c>
      <c r="AQ1289" s="33">
        <v>0</v>
      </c>
      <c r="AR1289" s="33">
        <v>2</v>
      </c>
      <c r="AS1289" s="33">
        <v>0</v>
      </c>
      <c r="AT1289" s="33">
        <v>0</v>
      </c>
      <c r="AU1289" s="43">
        <v>0.50292187392441334</v>
      </c>
      <c r="AV1289" s="33">
        <v>1</v>
      </c>
      <c r="AW1289" s="33">
        <v>1</v>
      </c>
      <c r="AY1289" s="36">
        <v>1261</v>
      </c>
      <c r="AZ1289" s="33">
        <v>1</v>
      </c>
      <c r="BA1289" s="33">
        <v>2</v>
      </c>
      <c r="BB1289" s="33">
        <v>0</v>
      </c>
      <c r="BC1289" s="33">
        <v>0</v>
      </c>
      <c r="BD1289" s="43">
        <v>0.23662845161334917</v>
      </c>
      <c r="BE1289" s="33">
        <v>0</v>
      </c>
      <c r="BF1289" s="33">
        <v>0</v>
      </c>
      <c r="CE1289" s="36">
        <v>1255</v>
      </c>
      <c r="CF1289" s="33">
        <v>11</v>
      </c>
      <c r="CG1289" s="33">
        <v>2</v>
      </c>
      <c r="CH1289" s="33">
        <v>4</v>
      </c>
      <c r="CI1289" s="33">
        <v>1</v>
      </c>
      <c r="CJ1289" s="33">
        <v>3</v>
      </c>
      <c r="CK1289" s="33">
        <v>0</v>
      </c>
      <c r="CL1289" s="33">
        <v>0</v>
      </c>
      <c r="CM1289" s="33">
        <v>4</v>
      </c>
      <c r="CN1289" s="33">
        <v>5</v>
      </c>
      <c r="CO1289" s="33">
        <v>0</v>
      </c>
      <c r="CP1289" s="43">
        <v>7.1646105885935854E-2</v>
      </c>
      <c r="CQ1289" s="33">
        <v>0</v>
      </c>
      <c r="CR1289" s="33">
        <v>0</v>
      </c>
    </row>
    <row r="1290" spans="1:96" ht="15" customHeight="1" x14ac:dyDescent="0.25">
      <c r="A1290" s="26">
        <v>1288</v>
      </c>
      <c r="B1290" s="27">
        <v>35</v>
      </c>
      <c r="C1290" s="27">
        <v>0</v>
      </c>
      <c r="D1290" s="27">
        <v>3</v>
      </c>
      <c r="E1290" s="27">
        <v>1180</v>
      </c>
      <c r="F1290" s="27">
        <v>2</v>
      </c>
      <c r="G1290" s="27">
        <v>2</v>
      </c>
      <c r="H1290" s="27">
        <v>2</v>
      </c>
      <c r="I1290" s="27">
        <v>3</v>
      </c>
      <c r="J1290" s="27">
        <v>1</v>
      </c>
      <c r="K1290" s="27">
        <v>1804</v>
      </c>
      <c r="L1290" s="27">
        <v>2</v>
      </c>
      <c r="M1290" s="27">
        <v>1</v>
      </c>
      <c r="N1290" s="27">
        <v>90</v>
      </c>
      <c r="O1290" s="27">
        <v>3</v>
      </c>
      <c r="P1290" s="27">
        <v>2</v>
      </c>
      <c r="Q1290" s="27">
        <v>4</v>
      </c>
      <c r="R1290" s="27">
        <v>4</v>
      </c>
      <c r="S1290" s="27">
        <v>3</v>
      </c>
      <c r="T1290" s="27">
        <v>5762</v>
      </c>
      <c r="U1290" s="27">
        <v>24442</v>
      </c>
      <c r="V1290" s="27">
        <v>2</v>
      </c>
      <c r="W1290" s="27">
        <v>0</v>
      </c>
      <c r="X1290" s="27">
        <v>14</v>
      </c>
      <c r="Y1290" s="27">
        <v>3</v>
      </c>
      <c r="Z1290" s="27">
        <v>3</v>
      </c>
      <c r="AA1290" s="27">
        <v>80</v>
      </c>
      <c r="AB1290" s="27">
        <v>1</v>
      </c>
      <c r="AC1290" s="27">
        <v>15</v>
      </c>
      <c r="AD1290" s="27">
        <v>6</v>
      </c>
      <c r="AE1290" s="27">
        <v>3</v>
      </c>
      <c r="AF1290" s="27">
        <v>7</v>
      </c>
      <c r="AG1290" s="27">
        <v>7</v>
      </c>
      <c r="AH1290" s="27">
        <v>1</v>
      </c>
      <c r="AI1290" s="28">
        <v>7</v>
      </c>
      <c r="AK1290" s="36">
        <v>1257</v>
      </c>
      <c r="AL1290" s="33">
        <v>2</v>
      </c>
      <c r="AM1290" s="33">
        <v>1</v>
      </c>
      <c r="AN1290" s="33">
        <v>2</v>
      </c>
      <c r="AO1290" s="33">
        <v>4</v>
      </c>
      <c r="AP1290" s="33">
        <v>0</v>
      </c>
      <c r="AQ1290" s="33">
        <v>1</v>
      </c>
      <c r="AR1290" s="33">
        <v>2</v>
      </c>
      <c r="AS1290" s="33">
        <v>6</v>
      </c>
      <c r="AT1290" s="33">
        <v>0</v>
      </c>
      <c r="AU1290" s="43">
        <v>0.12399300507448194</v>
      </c>
      <c r="AV1290" s="33">
        <v>0</v>
      </c>
      <c r="AW1290" s="33">
        <v>0</v>
      </c>
      <c r="AY1290" s="36">
        <v>1262</v>
      </c>
      <c r="AZ1290" s="33">
        <v>2</v>
      </c>
      <c r="BA1290" s="33">
        <v>4</v>
      </c>
      <c r="BB1290" s="33">
        <v>1</v>
      </c>
      <c r="BC1290" s="33">
        <v>1</v>
      </c>
      <c r="BD1290" s="43">
        <v>0.19951405628110813</v>
      </c>
      <c r="BE1290" s="33">
        <v>0</v>
      </c>
      <c r="BF1290" s="33">
        <v>0</v>
      </c>
      <c r="CE1290" s="36">
        <v>1256</v>
      </c>
      <c r="CF1290" s="33">
        <v>16</v>
      </c>
      <c r="CG1290" s="33">
        <v>3</v>
      </c>
      <c r="CH1290" s="33">
        <v>1</v>
      </c>
      <c r="CI1290" s="33">
        <v>1</v>
      </c>
      <c r="CJ1290" s="33">
        <v>2</v>
      </c>
      <c r="CK1290" s="33">
        <v>1</v>
      </c>
      <c r="CL1290" s="33">
        <v>0</v>
      </c>
      <c r="CM1290" s="33">
        <v>2</v>
      </c>
      <c r="CN1290" s="33">
        <v>0</v>
      </c>
      <c r="CO1290" s="33">
        <v>0</v>
      </c>
      <c r="CP1290" s="43">
        <v>0.57115659019500609</v>
      </c>
      <c r="CQ1290" s="33">
        <v>1</v>
      </c>
      <c r="CR1290" s="33">
        <v>1</v>
      </c>
    </row>
    <row r="1291" spans="1:96" ht="15" customHeight="1" x14ac:dyDescent="0.25">
      <c r="A1291" s="26">
        <v>1289</v>
      </c>
      <c r="B1291" s="27">
        <v>38</v>
      </c>
      <c r="C1291" s="27">
        <v>0</v>
      </c>
      <c r="D1291" s="27">
        <v>3</v>
      </c>
      <c r="E1291" s="27">
        <v>1336</v>
      </c>
      <c r="F1291" s="27">
        <v>3</v>
      </c>
      <c r="G1291" s="27">
        <v>2</v>
      </c>
      <c r="H1291" s="27">
        <v>3</v>
      </c>
      <c r="I1291" s="27">
        <v>2</v>
      </c>
      <c r="J1291" s="27">
        <v>1</v>
      </c>
      <c r="K1291" s="27">
        <v>1805</v>
      </c>
      <c r="L1291" s="27">
        <v>1</v>
      </c>
      <c r="M1291" s="27">
        <v>1</v>
      </c>
      <c r="N1291" s="27">
        <v>100</v>
      </c>
      <c r="O1291" s="27">
        <v>3</v>
      </c>
      <c r="P1291" s="27">
        <v>1</v>
      </c>
      <c r="Q1291" s="27">
        <v>9</v>
      </c>
      <c r="R1291" s="27">
        <v>2</v>
      </c>
      <c r="S1291" s="27">
        <v>3</v>
      </c>
      <c r="T1291" s="27">
        <v>2592</v>
      </c>
      <c r="U1291" s="27">
        <v>7129</v>
      </c>
      <c r="V1291" s="27">
        <v>5</v>
      </c>
      <c r="W1291" s="27">
        <v>0</v>
      </c>
      <c r="X1291" s="27">
        <v>13</v>
      </c>
      <c r="Y1291" s="27">
        <v>3</v>
      </c>
      <c r="Z1291" s="27">
        <v>4</v>
      </c>
      <c r="AA1291" s="27">
        <v>80</v>
      </c>
      <c r="AB1291" s="27">
        <v>3</v>
      </c>
      <c r="AC1291" s="27">
        <v>13</v>
      </c>
      <c r="AD1291" s="27">
        <v>3</v>
      </c>
      <c r="AE1291" s="27">
        <v>3</v>
      </c>
      <c r="AF1291" s="27">
        <v>11</v>
      </c>
      <c r="AG1291" s="27">
        <v>10</v>
      </c>
      <c r="AH1291" s="27">
        <v>3</v>
      </c>
      <c r="AI1291" s="28">
        <v>8</v>
      </c>
      <c r="AK1291" s="36">
        <v>1258</v>
      </c>
      <c r="AL1291" s="33">
        <v>16</v>
      </c>
      <c r="AM1291" s="33">
        <v>3</v>
      </c>
      <c r="AN1291" s="33">
        <v>3</v>
      </c>
      <c r="AO1291" s="33">
        <v>2</v>
      </c>
      <c r="AP1291" s="33">
        <v>0</v>
      </c>
      <c r="AQ1291" s="33">
        <v>3</v>
      </c>
      <c r="AR1291" s="33">
        <v>3</v>
      </c>
      <c r="AS1291" s="33">
        <v>1</v>
      </c>
      <c r="AT1291" s="33">
        <v>0</v>
      </c>
      <c r="AU1291" s="43">
        <v>1.7062530005872715E-2</v>
      </c>
      <c r="AV1291" s="33">
        <v>0</v>
      </c>
      <c r="AW1291" s="33">
        <v>1</v>
      </c>
      <c r="AY1291" s="36">
        <v>1263</v>
      </c>
      <c r="AZ1291" s="33">
        <v>1</v>
      </c>
      <c r="BA1291" s="33">
        <v>3</v>
      </c>
      <c r="BB1291" s="33">
        <v>1</v>
      </c>
      <c r="BC1291" s="33">
        <v>1</v>
      </c>
      <c r="BD1291" s="43">
        <v>0.36852652578740397</v>
      </c>
      <c r="BE1291" s="33">
        <v>0</v>
      </c>
      <c r="BF1291" s="33">
        <v>1</v>
      </c>
      <c r="CE1291" s="36">
        <v>1257</v>
      </c>
      <c r="CF1291" s="33">
        <v>2</v>
      </c>
      <c r="CG1291" s="33">
        <v>1</v>
      </c>
      <c r="CH1291" s="33">
        <v>2</v>
      </c>
      <c r="CI1291" s="33">
        <v>2</v>
      </c>
      <c r="CJ1291" s="33">
        <v>4</v>
      </c>
      <c r="CK1291" s="33">
        <v>0</v>
      </c>
      <c r="CL1291" s="33">
        <v>1</v>
      </c>
      <c r="CM1291" s="33">
        <v>2</v>
      </c>
      <c r="CN1291" s="33">
        <v>6</v>
      </c>
      <c r="CO1291" s="33">
        <v>0</v>
      </c>
      <c r="CP1291" s="43">
        <v>0.12265636042730109</v>
      </c>
      <c r="CQ1291" s="33">
        <v>0</v>
      </c>
      <c r="CR1291" s="33">
        <v>0</v>
      </c>
    </row>
    <row r="1292" spans="1:96" ht="15" customHeight="1" x14ac:dyDescent="0.25">
      <c r="A1292" s="26">
        <v>1290</v>
      </c>
      <c r="B1292" s="27">
        <v>34</v>
      </c>
      <c r="C1292" s="27">
        <v>1</v>
      </c>
      <c r="D1292" s="27">
        <v>2</v>
      </c>
      <c r="E1292" s="27">
        <v>234</v>
      </c>
      <c r="F1292" s="27">
        <v>2</v>
      </c>
      <c r="G1292" s="27">
        <v>9</v>
      </c>
      <c r="H1292" s="27">
        <v>4</v>
      </c>
      <c r="I1292" s="27">
        <v>1</v>
      </c>
      <c r="J1292" s="27">
        <v>1</v>
      </c>
      <c r="K1292" s="27">
        <v>1807</v>
      </c>
      <c r="L1292" s="27">
        <v>4</v>
      </c>
      <c r="M1292" s="27">
        <v>1</v>
      </c>
      <c r="N1292" s="27">
        <v>93</v>
      </c>
      <c r="O1292" s="27">
        <v>3</v>
      </c>
      <c r="P1292" s="27">
        <v>2</v>
      </c>
      <c r="Q1292" s="27">
        <v>3</v>
      </c>
      <c r="R1292" s="27">
        <v>1</v>
      </c>
      <c r="S1292" s="27">
        <v>2</v>
      </c>
      <c r="T1292" s="27">
        <v>5346</v>
      </c>
      <c r="U1292" s="27">
        <v>6208</v>
      </c>
      <c r="V1292" s="27">
        <v>4</v>
      </c>
      <c r="W1292" s="27">
        <v>0</v>
      </c>
      <c r="X1292" s="27">
        <v>17</v>
      </c>
      <c r="Y1292" s="27">
        <v>3</v>
      </c>
      <c r="Z1292" s="27">
        <v>3</v>
      </c>
      <c r="AA1292" s="27">
        <v>80</v>
      </c>
      <c r="AB1292" s="27">
        <v>1</v>
      </c>
      <c r="AC1292" s="27">
        <v>11</v>
      </c>
      <c r="AD1292" s="27">
        <v>3</v>
      </c>
      <c r="AE1292" s="27">
        <v>2</v>
      </c>
      <c r="AF1292" s="27">
        <v>7</v>
      </c>
      <c r="AG1292" s="27">
        <v>1</v>
      </c>
      <c r="AH1292" s="27">
        <v>0</v>
      </c>
      <c r="AI1292" s="28">
        <v>7</v>
      </c>
      <c r="AK1292" s="36">
        <v>1259</v>
      </c>
      <c r="AL1292" s="33">
        <v>4</v>
      </c>
      <c r="AM1292" s="33">
        <v>1</v>
      </c>
      <c r="AN1292" s="33">
        <v>1</v>
      </c>
      <c r="AO1292" s="33">
        <v>1</v>
      </c>
      <c r="AP1292" s="33">
        <v>0</v>
      </c>
      <c r="AQ1292" s="33">
        <v>1</v>
      </c>
      <c r="AR1292" s="33">
        <v>3</v>
      </c>
      <c r="AS1292" s="33">
        <v>1</v>
      </c>
      <c r="AT1292" s="33">
        <v>0</v>
      </c>
      <c r="AU1292" s="43">
        <v>0.15189432238982176</v>
      </c>
      <c r="AV1292" s="33">
        <v>0</v>
      </c>
      <c r="AW1292" s="33">
        <v>0</v>
      </c>
      <c r="AY1292" s="36">
        <v>1264</v>
      </c>
      <c r="AZ1292" s="33">
        <v>1</v>
      </c>
      <c r="BA1292" s="33">
        <v>2</v>
      </c>
      <c r="BB1292" s="33">
        <v>0</v>
      </c>
      <c r="BC1292" s="33">
        <v>3</v>
      </c>
      <c r="BD1292" s="43">
        <v>5.9851914082878141E-2</v>
      </c>
      <c r="BE1292" s="33">
        <v>0</v>
      </c>
      <c r="BF1292" s="33">
        <v>0</v>
      </c>
      <c r="CE1292" s="36">
        <v>1258</v>
      </c>
      <c r="CF1292" s="33">
        <v>16</v>
      </c>
      <c r="CG1292" s="33">
        <v>3</v>
      </c>
      <c r="CH1292" s="33">
        <v>3</v>
      </c>
      <c r="CI1292" s="33">
        <v>2</v>
      </c>
      <c r="CJ1292" s="33">
        <v>2</v>
      </c>
      <c r="CK1292" s="33">
        <v>0</v>
      </c>
      <c r="CL1292" s="33">
        <v>3</v>
      </c>
      <c r="CM1292" s="33">
        <v>3</v>
      </c>
      <c r="CN1292" s="33">
        <v>1</v>
      </c>
      <c r="CO1292" s="33">
        <v>0</v>
      </c>
      <c r="CP1292" s="43">
        <v>3.2457772486814404E-2</v>
      </c>
      <c r="CQ1292" s="33">
        <v>0</v>
      </c>
      <c r="CR1292" s="33">
        <v>1</v>
      </c>
    </row>
    <row r="1293" spans="1:96" ht="15" customHeight="1" x14ac:dyDescent="0.25">
      <c r="A1293" s="26">
        <v>1291</v>
      </c>
      <c r="B1293" s="27">
        <v>37</v>
      </c>
      <c r="C1293" s="27">
        <v>1</v>
      </c>
      <c r="D1293" s="27">
        <v>1</v>
      </c>
      <c r="E1293" s="27">
        <v>370</v>
      </c>
      <c r="F1293" s="27">
        <v>2</v>
      </c>
      <c r="G1293" s="27">
        <v>10</v>
      </c>
      <c r="H1293" s="27">
        <v>4</v>
      </c>
      <c r="I1293" s="27">
        <v>3</v>
      </c>
      <c r="J1293" s="27">
        <v>1</v>
      </c>
      <c r="K1293" s="27">
        <v>1809</v>
      </c>
      <c r="L1293" s="27">
        <v>4</v>
      </c>
      <c r="M1293" s="27">
        <v>1</v>
      </c>
      <c r="N1293" s="27">
        <v>58</v>
      </c>
      <c r="O1293" s="27">
        <v>3</v>
      </c>
      <c r="P1293" s="27">
        <v>2</v>
      </c>
      <c r="Q1293" s="27">
        <v>4</v>
      </c>
      <c r="R1293" s="27">
        <v>1</v>
      </c>
      <c r="S1293" s="27">
        <v>1</v>
      </c>
      <c r="T1293" s="27">
        <v>4213</v>
      </c>
      <c r="U1293" s="27">
        <v>4992</v>
      </c>
      <c r="V1293" s="27">
        <v>1</v>
      </c>
      <c r="W1293" s="27">
        <v>0</v>
      </c>
      <c r="X1293" s="27">
        <v>15</v>
      </c>
      <c r="Y1293" s="27">
        <v>3</v>
      </c>
      <c r="Z1293" s="27">
        <v>2</v>
      </c>
      <c r="AA1293" s="27">
        <v>80</v>
      </c>
      <c r="AB1293" s="27">
        <v>0</v>
      </c>
      <c r="AC1293" s="27">
        <v>10</v>
      </c>
      <c r="AD1293" s="27">
        <v>4</v>
      </c>
      <c r="AE1293" s="27">
        <v>1</v>
      </c>
      <c r="AF1293" s="27">
        <v>10</v>
      </c>
      <c r="AG1293" s="27">
        <v>3</v>
      </c>
      <c r="AH1293" s="27">
        <v>0</v>
      </c>
      <c r="AI1293" s="28">
        <v>8</v>
      </c>
      <c r="AK1293" s="36">
        <v>1260</v>
      </c>
      <c r="AL1293" s="33">
        <v>16</v>
      </c>
      <c r="AM1293" s="33">
        <v>2</v>
      </c>
      <c r="AN1293" s="33">
        <v>3</v>
      </c>
      <c r="AO1293" s="33">
        <v>3</v>
      </c>
      <c r="AP1293" s="33">
        <v>0</v>
      </c>
      <c r="AQ1293" s="33">
        <v>1</v>
      </c>
      <c r="AR1293" s="33">
        <v>3</v>
      </c>
      <c r="AS1293" s="33">
        <v>7</v>
      </c>
      <c r="AT1293" s="33">
        <v>1</v>
      </c>
      <c r="AU1293" s="43">
        <v>6.8937297742542827E-2</v>
      </c>
      <c r="AV1293" s="33">
        <v>0</v>
      </c>
      <c r="AW1293" s="33">
        <v>0</v>
      </c>
      <c r="AY1293" s="36">
        <v>1265</v>
      </c>
      <c r="AZ1293" s="33">
        <v>5</v>
      </c>
      <c r="BA1293" s="33">
        <v>1</v>
      </c>
      <c r="BB1293" s="33">
        <v>0</v>
      </c>
      <c r="BC1293" s="33">
        <v>3</v>
      </c>
      <c r="BD1293" s="43">
        <v>9.054144556832136E-3</v>
      </c>
      <c r="BE1293" s="33">
        <v>0</v>
      </c>
      <c r="BF1293" s="33">
        <v>0</v>
      </c>
      <c r="CE1293" s="36">
        <v>1259</v>
      </c>
      <c r="CF1293" s="33">
        <v>4</v>
      </c>
      <c r="CG1293" s="33">
        <v>1</v>
      </c>
      <c r="CH1293" s="33">
        <v>1</v>
      </c>
      <c r="CI1293" s="33">
        <v>3</v>
      </c>
      <c r="CJ1293" s="33">
        <v>1</v>
      </c>
      <c r="CK1293" s="33">
        <v>0</v>
      </c>
      <c r="CL1293" s="33">
        <v>1</v>
      </c>
      <c r="CM1293" s="33">
        <v>3</v>
      </c>
      <c r="CN1293" s="33">
        <v>1</v>
      </c>
      <c r="CO1293" s="33">
        <v>0</v>
      </c>
      <c r="CP1293" s="43">
        <v>9.2213561205128677E-2</v>
      </c>
      <c r="CQ1293" s="33">
        <v>0</v>
      </c>
      <c r="CR1293" s="33">
        <v>0</v>
      </c>
    </row>
    <row r="1294" spans="1:96" ht="15" customHeight="1" x14ac:dyDescent="0.25">
      <c r="A1294" s="26">
        <v>1292</v>
      </c>
      <c r="B1294" s="27">
        <v>39</v>
      </c>
      <c r="C1294" s="27">
        <v>0</v>
      </c>
      <c r="D1294" s="27">
        <v>2</v>
      </c>
      <c r="E1294" s="27">
        <v>766</v>
      </c>
      <c r="F1294" s="27">
        <v>1</v>
      </c>
      <c r="G1294" s="27">
        <v>20</v>
      </c>
      <c r="H1294" s="27">
        <v>3</v>
      </c>
      <c r="I1294" s="27">
        <v>1</v>
      </c>
      <c r="J1294" s="27">
        <v>1</v>
      </c>
      <c r="K1294" s="27">
        <v>1812</v>
      </c>
      <c r="L1294" s="27">
        <v>3</v>
      </c>
      <c r="M1294" s="27">
        <v>1</v>
      </c>
      <c r="N1294" s="27">
        <v>83</v>
      </c>
      <c r="O1294" s="27">
        <v>3</v>
      </c>
      <c r="P1294" s="27">
        <v>2</v>
      </c>
      <c r="Q1294" s="27">
        <v>1</v>
      </c>
      <c r="R1294" s="27">
        <v>4</v>
      </c>
      <c r="S1294" s="27">
        <v>3</v>
      </c>
      <c r="T1294" s="27">
        <v>4127</v>
      </c>
      <c r="U1294" s="27">
        <v>19188</v>
      </c>
      <c r="V1294" s="27">
        <v>2</v>
      </c>
      <c r="W1294" s="27">
        <v>0</v>
      </c>
      <c r="X1294" s="27">
        <v>18</v>
      </c>
      <c r="Y1294" s="27">
        <v>3</v>
      </c>
      <c r="Z1294" s="27">
        <v>4</v>
      </c>
      <c r="AA1294" s="27">
        <v>80</v>
      </c>
      <c r="AB1294" s="27">
        <v>1</v>
      </c>
      <c r="AC1294" s="27">
        <v>7</v>
      </c>
      <c r="AD1294" s="27">
        <v>6</v>
      </c>
      <c r="AE1294" s="27">
        <v>3</v>
      </c>
      <c r="AF1294" s="27">
        <v>2</v>
      </c>
      <c r="AG1294" s="27">
        <v>1</v>
      </c>
      <c r="AH1294" s="27">
        <v>2</v>
      </c>
      <c r="AI1294" s="28">
        <v>2</v>
      </c>
      <c r="AK1294" s="36">
        <v>1261</v>
      </c>
      <c r="AL1294" s="33">
        <v>5</v>
      </c>
      <c r="AM1294" s="33">
        <v>1</v>
      </c>
      <c r="AN1294" s="33">
        <v>2</v>
      </c>
      <c r="AO1294" s="33">
        <v>2</v>
      </c>
      <c r="AP1294" s="33">
        <v>0</v>
      </c>
      <c r="AQ1294" s="33">
        <v>0</v>
      </c>
      <c r="AR1294" s="33">
        <v>3</v>
      </c>
      <c r="AS1294" s="33">
        <v>7</v>
      </c>
      <c r="AT1294" s="33">
        <v>0</v>
      </c>
      <c r="AU1294" s="43">
        <v>0.14682377618303644</v>
      </c>
      <c r="AV1294" s="33">
        <v>0</v>
      </c>
      <c r="AW1294" s="33">
        <v>0</v>
      </c>
      <c r="AY1294" s="36">
        <v>1266</v>
      </c>
      <c r="AZ1294" s="33">
        <v>2</v>
      </c>
      <c r="BA1294" s="33">
        <v>2</v>
      </c>
      <c r="BB1294" s="33">
        <v>0</v>
      </c>
      <c r="BC1294" s="33">
        <v>2</v>
      </c>
      <c r="BD1294" s="43">
        <v>5.8143431646637607E-2</v>
      </c>
      <c r="BE1294" s="33">
        <v>0</v>
      </c>
      <c r="BF1294" s="33">
        <v>0</v>
      </c>
      <c r="CE1294" s="36">
        <v>1260</v>
      </c>
      <c r="CF1294" s="33">
        <v>16</v>
      </c>
      <c r="CG1294" s="33">
        <v>2</v>
      </c>
      <c r="CH1294" s="33">
        <v>3</v>
      </c>
      <c r="CI1294" s="33">
        <v>2</v>
      </c>
      <c r="CJ1294" s="33">
        <v>3</v>
      </c>
      <c r="CK1294" s="33">
        <v>0</v>
      </c>
      <c r="CL1294" s="33">
        <v>1</v>
      </c>
      <c r="CM1294" s="33">
        <v>3</v>
      </c>
      <c r="CN1294" s="33">
        <v>7</v>
      </c>
      <c r="CO1294" s="33">
        <v>1</v>
      </c>
      <c r="CP1294" s="43">
        <v>6.6474297395051118E-2</v>
      </c>
      <c r="CQ1294" s="33">
        <v>0</v>
      </c>
      <c r="CR1294" s="33">
        <v>0</v>
      </c>
    </row>
    <row r="1295" spans="1:96" ht="15" customHeight="1" x14ac:dyDescent="0.25">
      <c r="A1295" s="26">
        <v>1293</v>
      </c>
      <c r="B1295" s="27">
        <v>43</v>
      </c>
      <c r="C1295" s="27">
        <v>0</v>
      </c>
      <c r="D1295" s="27">
        <v>3</v>
      </c>
      <c r="E1295" s="27">
        <v>343</v>
      </c>
      <c r="F1295" s="27">
        <v>2</v>
      </c>
      <c r="G1295" s="27">
        <v>9</v>
      </c>
      <c r="H1295" s="27">
        <v>3</v>
      </c>
      <c r="I1295" s="27">
        <v>1</v>
      </c>
      <c r="J1295" s="27">
        <v>1</v>
      </c>
      <c r="K1295" s="27">
        <v>1813</v>
      </c>
      <c r="L1295" s="27">
        <v>1</v>
      </c>
      <c r="M1295" s="27">
        <v>1</v>
      </c>
      <c r="N1295" s="27">
        <v>52</v>
      </c>
      <c r="O1295" s="27">
        <v>3</v>
      </c>
      <c r="P1295" s="27">
        <v>1</v>
      </c>
      <c r="Q1295" s="27">
        <v>2</v>
      </c>
      <c r="R1295" s="27">
        <v>3</v>
      </c>
      <c r="S1295" s="27">
        <v>1</v>
      </c>
      <c r="T1295" s="27">
        <v>2438</v>
      </c>
      <c r="U1295" s="27">
        <v>24978</v>
      </c>
      <c r="V1295" s="27">
        <v>4</v>
      </c>
      <c r="W1295" s="27">
        <v>0</v>
      </c>
      <c r="X1295" s="27">
        <v>13</v>
      </c>
      <c r="Y1295" s="27">
        <v>3</v>
      </c>
      <c r="Z1295" s="27">
        <v>3</v>
      </c>
      <c r="AA1295" s="27">
        <v>80</v>
      </c>
      <c r="AB1295" s="27">
        <v>0</v>
      </c>
      <c r="AC1295" s="27">
        <v>7</v>
      </c>
      <c r="AD1295" s="27">
        <v>2</v>
      </c>
      <c r="AE1295" s="27">
        <v>2</v>
      </c>
      <c r="AF1295" s="27">
        <v>3</v>
      </c>
      <c r="AG1295" s="27">
        <v>2</v>
      </c>
      <c r="AH1295" s="27">
        <v>1</v>
      </c>
      <c r="AI1295" s="28">
        <v>2</v>
      </c>
      <c r="AK1295" s="36">
        <v>1262</v>
      </c>
      <c r="AL1295" s="33">
        <v>18</v>
      </c>
      <c r="AM1295" s="33">
        <v>2</v>
      </c>
      <c r="AN1295" s="33">
        <v>4</v>
      </c>
      <c r="AO1295" s="33">
        <v>3</v>
      </c>
      <c r="AP1295" s="33">
        <v>1</v>
      </c>
      <c r="AQ1295" s="33">
        <v>1</v>
      </c>
      <c r="AR1295" s="33">
        <v>3</v>
      </c>
      <c r="AS1295" s="33">
        <v>1</v>
      </c>
      <c r="AT1295" s="33">
        <v>1</v>
      </c>
      <c r="AU1295" s="43">
        <v>0.28496486592536424</v>
      </c>
      <c r="AV1295" s="33">
        <v>0</v>
      </c>
      <c r="AW1295" s="33">
        <v>0</v>
      </c>
      <c r="AY1295" s="36">
        <v>1267</v>
      </c>
      <c r="AZ1295" s="33">
        <v>1</v>
      </c>
      <c r="BA1295" s="33">
        <v>1</v>
      </c>
      <c r="BB1295" s="33">
        <v>0</v>
      </c>
      <c r="BC1295" s="33">
        <v>2</v>
      </c>
      <c r="BD1295" s="43">
        <v>0.12629205428487661</v>
      </c>
      <c r="BE1295" s="33">
        <v>0</v>
      </c>
      <c r="BF1295" s="33">
        <v>0</v>
      </c>
      <c r="CE1295" s="36">
        <v>1261</v>
      </c>
      <c r="CF1295" s="33">
        <v>5</v>
      </c>
      <c r="CG1295" s="33">
        <v>1</v>
      </c>
      <c r="CH1295" s="33">
        <v>2</v>
      </c>
      <c r="CI1295" s="33">
        <v>1</v>
      </c>
      <c r="CJ1295" s="33">
        <v>2</v>
      </c>
      <c r="CK1295" s="33">
        <v>0</v>
      </c>
      <c r="CL1295" s="33">
        <v>0</v>
      </c>
      <c r="CM1295" s="33">
        <v>3</v>
      </c>
      <c r="CN1295" s="33">
        <v>7</v>
      </c>
      <c r="CO1295" s="33">
        <v>0</v>
      </c>
      <c r="CP1295" s="43">
        <v>0.17042145413453416</v>
      </c>
      <c r="CQ1295" s="33">
        <v>0</v>
      </c>
      <c r="CR1295" s="33">
        <v>0</v>
      </c>
    </row>
    <row r="1296" spans="1:96" ht="15" customHeight="1" x14ac:dyDescent="0.25">
      <c r="A1296" s="26">
        <v>1294</v>
      </c>
      <c r="B1296" s="27">
        <v>41</v>
      </c>
      <c r="C1296" s="27">
        <v>0</v>
      </c>
      <c r="D1296" s="27">
        <v>1</v>
      </c>
      <c r="E1296" s="27">
        <v>447</v>
      </c>
      <c r="F1296" s="27">
        <v>2</v>
      </c>
      <c r="G1296" s="27">
        <v>5</v>
      </c>
      <c r="H1296" s="27">
        <v>3</v>
      </c>
      <c r="I1296" s="27">
        <v>1</v>
      </c>
      <c r="J1296" s="27">
        <v>1</v>
      </c>
      <c r="K1296" s="27">
        <v>1814</v>
      </c>
      <c r="L1296" s="27">
        <v>2</v>
      </c>
      <c r="M1296" s="27">
        <v>1</v>
      </c>
      <c r="N1296" s="27">
        <v>85</v>
      </c>
      <c r="O1296" s="27">
        <v>4</v>
      </c>
      <c r="P1296" s="27">
        <v>2</v>
      </c>
      <c r="Q1296" s="27">
        <v>5</v>
      </c>
      <c r="R1296" s="27">
        <v>2</v>
      </c>
      <c r="S1296" s="27">
        <v>1</v>
      </c>
      <c r="T1296" s="27">
        <v>6870</v>
      </c>
      <c r="U1296" s="27">
        <v>15530</v>
      </c>
      <c r="V1296" s="27">
        <v>3</v>
      </c>
      <c r="W1296" s="27">
        <v>0</v>
      </c>
      <c r="X1296" s="27">
        <v>12</v>
      </c>
      <c r="Y1296" s="27">
        <v>3</v>
      </c>
      <c r="Z1296" s="27">
        <v>1</v>
      </c>
      <c r="AA1296" s="27">
        <v>80</v>
      </c>
      <c r="AB1296" s="27">
        <v>0</v>
      </c>
      <c r="AC1296" s="27">
        <v>11</v>
      </c>
      <c r="AD1296" s="27">
        <v>3</v>
      </c>
      <c r="AE1296" s="27">
        <v>1</v>
      </c>
      <c r="AF1296" s="27">
        <v>3</v>
      </c>
      <c r="AG1296" s="27">
        <v>2</v>
      </c>
      <c r="AH1296" s="27">
        <v>1</v>
      </c>
      <c r="AI1296" s="28">
        <v>2</v>
      </c>
      <c r="AK1296" s="36">
        <v>1263</v>
      </c>
      <c r="AL1296" s="33">
        <v>17</v>
      </c>
      <c r="AM1296" s="33">
        <v>1</v>
      </c>
      <c r="AN1296" s="33">
        <v>3</v>
      </c>
      <c r="AO1296" s="33">
        <v>9</v>
      </c>
      <c r="AP1296" s="33">
        <v>1</v>
      </c>
      <c r="AQ1296" s="33">
        <v>1</v>
      </c>
      <c r="AR1296" s="33">
        <v>3</v>
      </c>
      <c r="AS1296" s="33">
        <v>1</v>
      </c>
      <c r="AT1296" s="33">
        <v>0</v>
      </c>
      <c r="AU1296" s="43">
        <v>0.56968766714217767</v>
      </c>
      <c r="AV1296" s="33">
        <v>1</v>
      </c>
      <c r="AW1296" s="33">
        <v>1</v>
      </c>
      <c r="AY1296" s="36">
        <v>1268</v>
      </c>
      <c r="AZ1296" s="33">
        <v>2</v>
      </c>
      <c r="BA1296" s="33">
        <v>3</v>
      </c>
      <c r="BB1296" s="33">
        <v>1</v>
      </c>
      <c r="BC1296" s="33">
        <v>1</v>
      </c>
      <c r="BD1296" s="43">
        <v>0.25031066197755131</v>
      </c>
      <c r="BE1296" s="33">
        <v>0</v>
      </c>
      <c r="BF1296" s="33">
        <v>0</v>
      </c>
      <c r="CE1296" s="36">
        <v>1262</v>
      </c>
      <c r="CF1296" s="33">
        <v>18</v>
      </c>
      <c r="CG1296" s="33">
        <v>2</v>
      </c>
      <c r="CH1296" s="33">
        <v>4</v>
      </c>
      <c r="CI1296" s="33">
        <v>2</v>
      </c>
      <c r="CJ1296" s="33">
        <v>3</v>
      </c>
      <c r="CK1296" s="33">
        <v>1</v>
      </c>
      <c r="CL1296" s="33">
        <v>1</v>
      </c>
      <c r="CM1296" s="33">
        <v>3</v>
      </c>
      <c r="CN1296" s="33">
        <v>1</v>
      </c>
      <c r="CO1296" s="33">
        <v>1</v>
      </c>
      <c r="CP1296" s="43">
        <v>0.28200805239199156</v>
      </c>
      <c r="CQ1296" s="33">
        <v>0</v>
      </c>
      <c r="CR1296" s="33">
        <v>0</v>
      </c>
    </row>
    <row r="1297" spans="1:96" ht="15" customHeight="1" x14ac:dyDescent="0.25">
      <c r="A1297" s="26">
        <v>1295</v>
      </c>
      <c r="B1297" s="27">
        <v>41</v>
      </c>
      <c r="C1297" s="27">
        <v>0</v>
      </c>
      <c r="D1297" s="27">
        <v>1</v>
      </c>
      <c r="E1297" s="27">
        <v>796</v>
      </c>
      <c r="F1297" s="27">
        <v>1</v>
      </c>
      <c r="G1297" s="27">
        <v>4</v>
      </c>
      <c r="H1297" s="27">
        <v>1</v>
      </c>
      <c r="I1297" s="27">
        <v>4</v>
      </c>
      <c r="J1297" s="27">
        <v>1</v>
      </c>
      <c r="K1297" s="27">
        <v>1815</v>
      </c>
      <c r="L1297" s="27">
        <v>3</v>
      </c>
      <c r="M1297" s="27">
        <v>0</v>
      </c>
      <c r="N1297" s="27">
        <v>81</v>
      </c>
      <c r="O1297" s="27">
        <v>3</v>
      </c>
      <c r="P1297" s="27">
        <v>3</v>
      </c>
      <c r="Q1297" s="27">
        <v>1</v>
      </c>
      <c r="R1297" s="27">
        <v>3</v>
      </c>
      <c r="S1297" s="27">
        <v>3</v>
      </c>
      <c r="T1297" s="27">
        <v>10447</v>
      </c>
      <c r="U1297" s="27">
        <v>26458</v>
      </c>
      <c r="V1297" s="27">
        <v>0</v>
      </c>
      <c r="W1297" s="27">
        <v>1</v>
      </c>
      <c r="X1297" s="27">
        <v>13</v>
      </c>
      <c r="Y1297" s="27">
        <v>3</v>
      </c>
      <c r="Z1297" s="27">
        <v>4</v>
      </c>
      <c r="AA1297" s="27">
        <v>80</v>
      </c>
      <c r="AB1297" s="27">
        <v>1</v>
      </c>
      <c r="AC1297" s="27">
        <v>23</v>
      </c>
      <c r="AD1297" s="27">
        <v>3</v>
      </c>
      <c r="AE1297" s="27">
        <v>4</v>
      </c>
      <c r="AF1297" s="27">
        <v>22</v>
      </c>
      <c r="AG1297" s="27">
        <v>14</v>
      </c>
      <c r="AH1297" s="27">
        <v>13</v>
      </c>
      <c r="AI1297" s="28">
        <v>5</v>
      </c>
      <c r="AK1297" s="36">
        <v>1264</v>
      </c>
      <c r="AL1297" s="33">
        <v>12</v>
      </c>
      <c r="AM1297" s="33">
        <v>1</v>
      </c>
      <c r="AN1297" s="33">
        <v>2</v>
      </c>
      <c r="AO1297" s="33">
        <v>8</v>
      </c>
      <c r="AP1297" s="33">
        <v>0</v>
      </c>
      <c r="AQ1297" s="33">
        <v>3</v>
      </c>
      <c r="AR1297" s="33">
        <v>2</v>
      </c>
      <c r="AS1297" s="33">
        <v>5</v>
      </c>
      <c r="AT1297" s="33">
        <v>0</v>
      </c>
      <c r="AU1297" s="43">
        <v>8.7465595365548487E-2</v>
      </c>
      <c r="AV1297" s="33">
        <v>0</v>
      </c>
      <c r="AW1297" s="33">
        <v>0</v>
      </c>
      <c r="AY1297" s="36">
        <v>1269</v>
      </c>
      <c r="AZ1297" s="33">
        <v>4</v>
      </c>
      <c r="BA1297" s="33">
        <v>3</v>
      </c>
      <c r="BB1297" s="33">
        <v>1</v>
      </c>
      <c r="BC1297" s="33">
        <v>3</v>
      </c>
      <c r="BD1297" s="43">
        <v>3.6648163362848506E-2</v>
      </c>
      <c r="BE1297" s="33">
        <v>0</v>
      </c>
      <c r="BF1297" s="33">
        <v>0</v>
      </c>
      <c r="CE1297" s="36">
        <v>1263</v>
      </c>
      <c r="CF1297" s="33">
        <v>17</v>
      </c>
      <c r="CG1297" s="33">
        <v>1</v>
      </c>
      <c r="CH1297" s="33">
        <v>3</v>
      </c>
      <c r="CI1297" s="33">
        <v>2</v>
      </c>
      <c r="CJ1297" s="33">
        <v>9</v>
      </c>
      <c r="CK1297" s="33">
        <v>1</v>
      </c>
      <c r="CL1297" s="33">
        <v>1</v>
      </c>
      <c r="CM1297" s="33">
        <v>3</v>
      </c>
      <c r="CN1297" s="33">
        <v>1</v>
      </c>
      <c r="CO1297" s="33">
        <v>0</v>
      </c>
      <c r="CP1297" s="43">
        <v>0.56940054244118743</v>
      </c>
      <c r="CQ1297" s="33">
        <v>1</v>
      </c>
      <c r="CR1297" s="33">
        <v>1</v>
      </c>
    </row>
    <row r="1298" spans="1:96" ht="15" customHeight="1" x14ac:dyDescent="0.25">
      <c r="A1298" s="26">
        <v>1296</v>
      </c>
      <c r="B1298" s="27">
        <v>30</v>
      </c>
      <c r="C1298" s="27">
        <v>0</v>
      </c>
      <c r="D1298" s="27">
        <v>1</v>
      </c>
      <c r="E1298" s="27">
        <v>1092</v>
      </c>
      <c r="F1298" s="27">
        <v>2</v>
      </c>
      <c r="G1298" s="27">
        <v>10</v>
      </c>
      <c r="H1298" s="27">
        <v>3</v>
      </c>
      <c r="I1298" s="27">
        <v>3</v>
      </c>
      <c r="J1298" s="27">
        <v>1</v>
      </c>
      <c r="K1298" s="27">
        <v>1816</v>
      </c>
      <c r="L1298" s="27">
        <v>1</v>
      </c>
      <c r="M1298" s="27">
        <v>0</v>
      </c>
      <c r="N1298" s="27">
        <v>64</v>
      </c>
      <c r="O1298" s="27">
        <v>3</v>
      </c>
      <c r="P1298" s="27">
        <v>3</v>
      </c>
      <c r="Q1298" s="27">
        <v>4</v>
      </c>
      <c r="R1298" s="27">
        <v>3</v>
      </c>
      <c r="S1298" s="27">
        <v>1</v>
      </c>
      <c r="T1298" s="27">
        <v>9667</v>
      </c>
      <c r="U1298" s="27">
        <v>2739</v>
      </c>
      <c r="V1298" s="27">
        <v>9</v>
      </c>
      <c r="W1298" s="27">
        <v>0</v>
      </c>
      <c r="X1298" s="27">
        <v>14</v>
      </c>
      <c r="Y1298" s="27">
        <v>3</v>
      </c>
      <c r="Z1298" s="27">
        <v>2</v>
      </c>
      <c r="AA1298" s="27">
        <v>80</v>
      </c>
      <c r="AB1298" s="27">
        <v>0</v>
      </c>
      <c r="AC1298" s="27">
        <v>9</v>
      </c>
      <c r="AD1298" s="27">
        <v>3</v>
      </c>
      <c r="AE1298" s="27">
        <v>3</v>
      </c>
      <c r="AF1298" s="27">
        <v>7</v>
      </c>
      <c r="AG1298" s="27">
        <v>7</v>
      </c>
      <c r="AH1298" s="27">
        <v>0</v>
      </c>
      <c r="AI1298" s="28">
        <v>2</v>
      </c>
      <c r="AK1298" s="36">
        <v>1265</v>
      </c>
      <c r="AL1298" s="33">
        <v>2</v>
      </c>
      <c r="AM1298" s="33">
        <v>5</v>
      </c>
      <c r="AN1298" s="33">
        <v>1</v>
      </c>
      <c r="AO1298" s="33">
        <v>8</v>
      </c>
      <c r="AP1298" s="33">
        <v>0</v>
      </c>
      <c r="AQ1298" s="33">
        <v>3</v>
      </c>
      <c r="AR1298" s="33">
        <v>3</v>
      </c>
      <c r="AS1298" s="33">
        <v>1</v>
      </c>
      <c r="AT1298" s="33">
        <v>0</v>
      </c>
      <c r="AU1298" s="43">
        <v>1.0563216957227679E-2</v>
      </c>
      <c r="AV1298" s="33">
        <v>0</v>
      </c>
      <c r="AW1298" s="33">
        <v>0</v>
      </c>
      <c r="AY1298" s="36">
        <v>1270</v>
      </c>
      <c r="AZ1298" s="33">
        <v>1</v>
      </c>
      <c r="BA1298" s="33">
        <v>4</v>
      </c>
      <c r="BB1298" s="33">
        <v>0</v>
      </c>
      <c r="BC1298" s="33">
        <v>0</v>
      </c>
      <c r="BD1298" s="43">
        <v>0.1472907617042678</v>
      </c>
      <c r="BE1298" s="33">
        <v>0</v>
      </c>
      <c r="BF1298" s="33">
        <v>0</v>
      </c>
      <c r="CE1298" s="36">
        <v>1264</v>
      </c>
      <c r="CF1298" s="33">
        <v>12</v>
      </c>
      <c r="CG1298" s="33">
        <v>1</v>
      </c>
      <c r="CH1298" s="33">
        <v>2</v>
      </c>
      <c r="CI1298" s="33">
        <v>3</v>
      </c>
      <c r="CJ1298" s="33">
        <v>8</v>
      </c>
      <c r="CK1298" s="33">
        <v>0</v>
      </c>
      <c r="CL1298" s="33">
        <v>3</v>
      </c>
      <c r="CM1298" s="33">
        <v>2</v>
      </c>
      <c r="CN1298" s="33">
        <v>5</v>
      </c>
      <c r="CO1298" s="33">
        <v>0</v>
      </c>
      <c r="CP1298" s="43">
        <v>9.7954924853393285E-2</v>
      </c>
      <c r="CQ1298" s="33">
        <v>0</v>
      </c>
      <c r="CR1298" s="33">
        <v>0</v>
      </c>
    </row>
    <row r="1299" spans="1:96" ht="15" customHeight="1" x14ac:dyDescent="0.25">
      <c r="A1299" s="26">
        <v>1297</v>
      </c>
      <c r="B1299" s="27">
        <v>26</v>
      </c>
      <c r="C1299" s="27">
        <v>1</v>
      </c>
      <c r="D1299" s="27">
        <v>1</v>
      </c>
      <c r="E1299" s="27">
        <v>920</v>
      </c>
      <c r="F1299" s="27">
        <v>3</v>
      </c>
      <c r="G1299" s="27">
        <v>20</v>
      </c>
      <c r="H1299" s="27">
        <v>2</v>
      </c>
      <c r="I1299" s="27">
        <v>3</v>
      </c>
      <c r="J1299" s="27">
        <v>1</v>
      </c>
      <c r="K1299" s="27">
        <v>1818</v>
      </c>
      <c r="L1299" s="27">
        <v>4</v>
      </c>
      <c r="M1299" s="27">
        <v>0</v>
      </c>
      <c r="N1299" s="27">
        <v>69</v>
      </c>
      <c r="O1299" s="27">
        <v>3</v>
      </c>
      <c r="P1299" s="27">
        <v>1</v>
      </c>
      <c r="Q1299" s="27">
        <v>9</v>
      </c>
      <c r="R1299" s="27">
        <v>2</v>
      </c>
      <c r="S1299" s="27">
        <v>2</v>
      </c>
      <c r="T1299" s="27">
        <v>2148</v>
      </c>
      <c r="U1299" s="27">
        <v>6889</v>
      </c>
      <c r="V1299" s="27">
        <v>0</v>
      </c>
      <c r="W1299" s="27">
        <v>1</v>
      </c>
      <c r="X1299" s="27">
        <v>11</v>
      </c>
      <c r="Y1299" s="27">
        <v>3</v>
      </c>
      <c r="Z1299" s="27">
        <v>3</v>
      </c>
      <c r="AA1299" s="27">
        <v>80</v>
      </c>
      <c r="AB1299" s="27">
        <v>0</v>
      </c>
      <c r="AC1299" s="27">
        <v>6</v>
      </c>
      <c r="AD1299" s="27">
        <v>3</v>
      </c>
      <c r="AE1299" s="27">
        <v>3</v>
      </c>
      <c r="AF1299" s="27">
        <v>5</v>
      </c>
      <c r="AG1299" s="27">
        <v>1</v>
      </c>
      <c r="AH1299" s="27">
        <v>1</v>
      </c>
      <c r="AI1299" s="28">
        <v>4</v>
      </c>
      <c r="AK1299" s="36">
        <v>1266</v>
      </c>
      <c r="AL1299" s="33">
        <v>4</v>
      </c>
      <c r="AM1299" s="33">
        <v>2</v>
      </c>
      <c r="AN1299" s="33">
        <v>2</v>
      </c>
      <c r="AO1299" s="33">
        <v>5</v>
      </c>
      <c r="AP1299" s="33">
        <v>0</v>
      </c>
      <c r="AQ1299" s="33">
        <v>2</v>
      </c>
      <c r="AR1299" s="33">
        <v>2</v>
      </c>
      <c r="AS1299" s="33">
        <v>9</v>
      </c>
      <c r="AT1299" s="33">
        <v>1</v>
      </c>
      <c r="AU1299" s="43">
        <v>4.6284372820326457E-2</v>
      </c>
      <c r="AV1299" s="33">
        <v>0</v>
      </c>
      <c r="AW1299" s="33">
        <v>0</v>
      </c>
      <c r="AY1299" s="36">
        <v>1271</v>
      </c>
      <c r="AZ1299" s="33">
        <v>2</v>
      </c>
      <c r="BA1299" s="33">
        <v>4</v>
      </c>
      <c r="BB1299" s="33">
        <v>0</v>
      </c>
      <c r="BC1299" s="33">
        <v>0</v>
      </c>
      <c r="BD1299" s="43">
        <v>8.9935487507215722E-2</v>
      </c>
      <c r="BE1299" s="33">
        <v>0</v>
      </c>
      <c r="BF1299" s="33">
        <v>0</v>
      </c>
      <c r="CE1299" s="36">
        <v>1265</v>
      </c>
      <c r="CF1299" s="33">
        <v>2</v>
      </c>
      <c r="CG1299" s="33">
        <v>5</v>
      </c>
      <c r="CH1299" s="33">
        <v>1</v>
      </c>
      <c r="CI1299" s="33">
        <v>2</v>
      </c>
      <c r="CJ1299" s="33">
        <v>8</v>
      </c>
      <c r="CK1299" s="33">
        <v>0</v>
      </c>
      <c r="CL1299" s="33">
        <v>3</v>
      </c>
      <c r="CM1299" s="33">
        <v>3</v>
      </c>
      <c r="CN1299" s="33">
        <v>1</v>
      </c>
      <c r="CO1299" s="33">
        <v>0</v>
      </c>
      <c r="CP1299" s="43">
        <v>2.1710189595200081E-2</v>
      </c>
      <c r="CQ1299" s="33">
        <v>0</v>
      </c>
      <c r="CR1299" s="33">
        <v>0</v>
      </c>
    </row>
    <row r="1300" spans="1:96" ht="15" customHeight="1" x14ac:dyDescent="0.25">
      <c r="A1300" s="26">
        <v>1298</v>
      </c>
      <c r="B1300" s="27">
        <v>46</v>
      </c>
      <c r="C1300" s="27">
        <v>1</v>
      </c>
      <c r="D1300" s="27">
        <v>1</v>
      </c>
      <c r="E1300" s="27">
        <v>261</v>
      </c>
      <c r="F1300" s="27">
        <v>2</v>
      </c>
      <c r="G1300" s="27">
        <v>21</v>
      </c>
      <c r="H1300" s="27">
        <v>2</v>
      </c>
      <c r="I1300" s="27">
        <v>3</v>
      </c>
      <c r="J1300" s="27">
        <v>1</v>
      </c>
      <c r="K1300" s="27">
        <v>1821</v>
      </c>
      <c r="L1300" s="27">
        <v>4</v>
      </c>
      <c r="M1300" s="27">
        <v>0</v>
      </c>
      <c r="N1300" s="27">
        <v>66</v>
      </c>
      <c r="O1300" s="27">
        <v>3</v>
      </c>
      <c r="P1300" s="27">
        <v>2</v>
      </c>
      <c r="Q1300" s="27">
        <v>5</v>
      </c>
      <c r="R1300" s="27">
        <v>2</v>
      </c>
      <c r="S1300" s="27">
        <v>2</v>
      </c>
      <c r="T1300" s="27">
        <v>8926</v>
      </c>
      <c r="U1300" s="27">
        <v>10842</v>
      </c>
      <c r="V1300" s="27">
        <v>4</v>
      </c>
      <c r="W1300" s="27">
        <v>0</v>
      </c>
      <c r="X1300" s="27">
        <v>22</v>
      </c>
      <c r="Y1300" s="27">
        <v>4</v>
      </c>
      <c r="Z1300" s="27">
        <v>4</v>
      </c>
      <c r="AA1300" s="27">
        <v>80</v>
      </c>
      <c r="AB1300" s="27">
        <v>1</v>
      </c>
      <c r="AC1300" s="27">
        <v>13</v>
      </c>
      <c r="AD1300" s="27">
        <v>2</v>
      </c>
      <c r="AE1300" s="27">
        <v>4</v>
      </c>
      <c r="AF1300" s="27">
        <v>9</v>
      </c>
      <c r="AG1300" s="27">
        <v>7</v>
      </c>
      <c r="AH1300" s="27">
        <v>3</v>
      </c>
      <c r="AI1300" s="28">
        <v>7</v>
      </c>
      <c r="AK1300" s="36">
        <v>1267</v>
      </c>
      <c r="AL1300" s="33">
        <v>9</v>
      </c>
      <c r="AM1300" s="33">
        <v>1</v>
      </c>
      <c r="AN1300" s="33">
        <v>1</v>
      </c>
      <c r="AO1300" s="33">
        <v>1</v>
      </c>
      <c r="AP1300" s="33">
        <v>0</v>
      </c>
      <c r="AQ1300" s="33">
        <v>2</v>
      </c>
      <c r="AR1300" s="33">
        <v>3</v>
      </c>
      <c r="AS1300" s="33">
        <v>5</v>
      </c>
      <c r="AT1300" s="33">
        <v>0</v>
      </c>
      <c r="AU1300" s="43">
        <v>8.2626526570721254E-2</v>
      </c>
      <c r="AV1300" s="33">
        <v>0</v>
      </c>
      <c r="AW1300" s="33">
        <v>0</v>
      </c>
      <c r="AY1300" s="36">
        <v>1272</v>
      </c>
      <c r="AZ1300" s="33">
        <v>1</v>
      </c>
      <c r="BA1300" s="33">
        <v>2</v>
      </c>
      <c r="BB1300" s="33">
        <v>0</v>
      </c>
      <c r="BC1300" s="33">
        <v>0</v>
      </c>
      <c r="BD1300" s="43">
        <v>0.23662845161334917</v>
      </c>
      <c r="BE1300" s="33">
        <v>0</v>
      </c>
      <c r="BF1300" s="33">
        <v>1</v>
      </c>
      <c r="CE1300" s="36">
        <v>1266</v>
      </c>
      <c r="CF1300" s="33">
        <v>4</v>
      </c>
      <c r="CG1300" s="33">
        <v>2</v>
      </c>
      <c r="CH1300" s="33">
        <v>2</v>
      </c>
      <c r="CI1300" s="33">
        <v>3</v>
      </c>
      <c r="CJ1300" s="33">
        <v>5</v>
      </c>
      <c r="CK1300" s="33">
        <v>0</v>
      </c>
      <c r="CL1300" s="33">
        <v>2</v>
      </c>
      <c r="CM1300" s="33">
        <v>2</v>
      </c>
      <c r="CN1300" s="33">
        <v>9</v>
      </c>
      <c r="CO1300" s="33">
        <v>1</v>
      </c>
      <c r="CP1300" s="43">
        <v>3.7889662726262111E-2</v>
      </c>
      <c r="CQ1300" s="33">
        <v>0</v>
      </c>
      <c r="CR1300" s="33">
        <v>0</v>
      </c>
    </row>
    <row r="1301" spans="1:96" ht="15" customHeight="1" x14ac:dyDescent="0.25">
      <c r="A1301" s="26">
        <v>1299</v>
      </c>
      <c r="B1301" s="27">
        <v>40</v>
      </c>
      <c r="C1301" s="27">
        <v>0</v>
      </c>
      <c r="D1301" s="27">
        <v>1</v>
      </c>
      <c r="E1301" s="27">
        <v>1194</v>
      </c>
      <c r="F1301" s="27">
        <v>2</v>
      </c>
      <c r="G1301" s="27">
        <v>1</v>
      </c>
      <c r="H1301" s="27">
        <v>3</v>
      </c>
      <c r="I1301" s="27">
        <v>1</v>
      </c>
      <c r="J1301" s="27">
        <v>1</v>
      </c>
      <c r="K1301" s="27">
        <v>1822</v>
      </c>
      <c r="L1301" s="27">
        <v>3</v>
      </c>
      <c r="M1301" s="27">
        <v>0</v>
      </c>
      <c r="N1301" s="27">
        <v>52</v>
      </c>
      <c r="O1301" s="27">
        <v>3</v>
      </c>
      <c r="P1301" s="27">
        <v>2</v>
      </c>
      <c r="Q1301" s="27">
        <v>5</v>
      </c>
      <c r="R1301" s="27">
        <v>4</v>
      </c>
      <c r="S1301" s="27">
        <v>3</v>
      </c>
      <c r="T1301" s="27">
        <v>6513</v>
      </c>
      <c r="U1301" s="27">
        <v>9060</v>
      </c>
      <c r="V1301" s="27">
        <v>4</v>
      </c>
      <c r="W1301" s="27">
        <v>0</v>
      </c>
      <c r="X1301" s="27">
        <v>17</v>
      </c>
      <c r="Y1301" s="27">
        <v>3</v>
      </c>
      <c r="Z1301" s="27">
        <v>4</v>
      </c>
      <c r="AA1301" s="27">
        <v>80</v>
      </c>
      <c r="AB1301" s="27">
        <v>1</v>
      </c>
      <c r="AC1301" s="27">
        <v>12</v>
      </c>
      <c r="AD1301" s="27">
        <v>3</v>
      </c>
      <c r="AE1301" s="27">
        <v>3</v>
      </c>
      <c r="AF1301" s="27">
        <v>5</v>
      </c>
      <c r="AG1301" s="27">
        <v>3</v>
      </c>
      <c r="AH1301" s="27">
        <v>0</v>
      </c>
      <c r="AI1301" s="28">
        <v>3</v>
      </c>
      <c r="AK1301" s="36">
        <v>1268</v>
      </c>
      <c r="AL1301" s="33">
        <v>10</v>
      </c>
      <c r="AM1301" s="33">
        <v>2</v>
      </c>
      <c r="AN1301" s="33">
        <v>3</v>
      </c>
      <c r="AO1301" s="33">
        <v>1</v>
      </c>
      <c r="AP1301" s="33">
        <v>1</v>
      </c>
      <c r="AQ1301" s="33">
        <v>1</v>
      </c>
      <c r="AR1301" s="33">
        <v>3</v>
      </c>
      <c r="AS1301" s="33">
        <v>15</v>
      </c>
      <c r="AT1301" s="33">
        <v>0</v>
      </c>
      <c r="AU1301" s="43">
        <v>0.10084883091242089</v>
      </c>
      <c r="AV1301" s="33">
        <v>0</v>
      </c>
      <c r="AW1301" s="33">
        <v>0</v>
      </c>
      <c r="AY1301" s="36">
        <v>1273</v>
      </c>
      <c r="AZ1301" s="33">
        <v>1</v>
      </c>
      <c r="BA1301" s="33">
        <v>3</v>
      </c>
      <c r="BB1301" s="33">
        <v>0</v>
      </c>
      <c r="BC1301" s="33">
        <v>1</v>
      </c>
      <c r="BD1301" s="43">
        <v>0.12012271365792118</v>
      </c>
      <c r="BE1301" s="33">
        <v>0</v>
      </c>
      <c r="BF1301" s="33">
        <v>0</v>
      </c>
      <c r="CE1301" s="36">
        <v>1267</v>
      </c>
      <c r="CF1301" s="33">
        <v>9</v>
      </c>
      <c r="CG1301" s="33">
        <v>1</v>
      </c>
      <c r="CH1301" s="33">
        <v>1</v>
      </c>
      <c r="CI1301" s="33">
        <v>3</v>
      </c>
      <c r="CJ1301" s="33">
        <v>1</v>
      </c>
      <c r="CK1301" s="33">
        <v>0</v>
      </c>
      <c r="CL1301" s="33">
        <v>2</v>
      </c>
      <c r="CM1301" s="33">
        <v>3</v>
      </c>
      <c r="CN1301" s="33">
        <v>5</v>
      </c>
      <c r="CO1301" s="33">
        <v>0</v>
      </c>
      <c r="CP1301" s="43">
        <v>6.6984058297047094E-2</v>
      </c>
      <c r="CQ1301" s="33">
        <v>0</v>
      </c>
      <c r="CR1301" s="33">
        <v>0</v>
      </c>
    </row>
    <row r="1302" spans="1:96" ht="15" customHeight="1" x14ac:dyDescent="0.25">
      <c r="A1302" s="26">
        <v>1300</v>
      </c>
      <c r="B1302" s="27">
        <v>34</v>
      </c>
      <c r="C1302" s="27">
        <v>0</v>
      </c>
      <c r="D1302" s="27">
        <v>1</v>
      </c>
      <c r="E1302" s="27">
        <v>810</v>
      </c>
      <c r="F1302" s="27">
        <v>1</v>
      </c>
      <c r="G1302" s="27">
        <v>8</v>
      </c>
      <c r="H1302" s="27">
        <v>2</v>
      </c>
      <c r="I1302" s="27">
        <v>5</v>
      </c>
      <c r="J1302" s="27">
        <v>1</v>
      </c>
      <c r="K1302" s="27">
        <v>1823</v>
      </c>
      <c r="L1302" s="27">
        <v>2</v>
      </c>
      <c r="M1302" s="27">
        <v>1</v>
      </c>
      <c r="N1302" s="27">
        <v>92</v>
      </c>
      <c r="O1302" s="27">
        <v>4</v>
      </c>
      <c r="P1302" s="27">
        <v>2</v>
      </c>
      <c r="Q1302" s="27">
        <v>1</v>
      </c>
      <c r="R1302" s="27">
        <v>3</v>
      </c>
      <c r="S1302" s="27">
        <v>2</v>
      </c>
      <c r="T1302" s="27">
        <v>6799</v>
      </c>
      <c r="U1302" s="27">
        <v>22128</v>
      </c>
      <c r="V1302" s="27">
        <v>1</v>
      </c>
      <c r="W1302" s="27">
        <v>0</v>
      </c>
      <c r="X1302" s="27">
        <v>21</v>
      </c>
      <c r="Y1302" s="27">
        <v>4</v>
      </c>
      <c r="Z1302" s="27">
        <v>3</v>
      </c>
      <c r="AA1302" s="27">
        <v>80</v>
      </c>
      <c r="AB1302" s="27">
        <v>2</v>
      </c>
      <c r="AC1302" s="27">
        <v>10</v>
      </c>
      <c r="AD1302" s="27">
        <v>5</v>
      </c>
      <c r="AE1302" s="27">
        <v>3</v>
      </c>
      <c r="AF1302" s="27">
        <v>10</v>
      </c>
      <c r="AG1302" s="27">
        <v>8</v>
      </c>
      <c r="AH1302" s="27">
        <v>4</v>
      </c>
      <c r="AI1302" s="28">
        <v>8</v>
      </c>
      <c r="AK1302" s="36">
        <v>1269</v>
      </c>
      <c r="AL1302" s="33">
        <v>1</v>
      </c>
      <c r="AM1302" s="33">
        <v>4</v>
      </c>
      <c r="AN1302" s="33">
        <v>3</v>
      </c>
      <c r="AO1302" s="33">
        <v>4</v>
      </c>
      <c r="AP1302" s="33">
        <v>1</v>
      </c>
      <c r="AQ1302" s="33">
        <v>3</v>
      </c>
      <c r="AR1302" s="33">
        <v>2</v>
      </c>
      <c r="AS1302" s="33">
        <v>3</v>
      </c>
      <c r="AT1302" s="33">
        <v>0</v>
      </c>
      <c r="AU1302" s="43">
        <v>3.2983712250771478E-2</v>
      </c>
      <c r="AV1302" s="33">
        <v>0</v>
      </c>
      <c r="AW1302" s="33">
        <v>0</v>
      </c>
      <c r="AY1302" s="36">
        <v>1274</v>
      </c>
      <c r="AZ1302" s="33">
        <v>1</v>
      </c>
      <c r="BA1302" s="33">
        <v>1</v>
      </c>
      <c r="BB1302" s="33">
        <v>1</v>
      </c>
      <c r="BC1302" s="33">
        <v>0</v>
      </c>
      <c r="BD1302" s="43">
        <v>0.63965103699986936</v>
      </c>
      <c r="BE1302" s="33">
        <v>1</v>
      </c>
      <c r="BF1302" s="33">
        <v>1</v>
      </c>
      <c r="CE1302" s="36">
        <v>1268</v>
      </c>
      <c r="CF1302" s="33">
        <v>10</v>
      </c>
      <c r="CG1302" s="33">
        <v>2</v>
      </c>
      <c r="CH1302" s="33">
        <v>3</v>
      </c>
      <c r="CI1302" s="33">
        <v>3</v>
      </c>
      <c r="CJ1302" s="33">
        <v>1</v>
      </c>
      <c r="CK1302" s="33">
        <v>1</v>
      </c>
      <c r="CL1302" s="33">
        <v>1</v>
      </c>
      <c r="CM1302" s="33">
        <v>3</v>
      </c>
      <c r="CN1302" s="33">
        <v>15</v>
      </c>
      <c r="CO1302" s="33">
        <v>0</v>
      </c>
      <c r="CP1302" s="43">
        <v>6.0138180544984196E-2</v>
      </c>
      <c r="CQ1302" s="33">
        <v>0</v>
      </c>
      <c r="CR1302" s="33">
        <v>0</v>
      </c>
    </row>
    <row r="1303" spans="1:96" ht="15" customHeight="1" x14ac:dyDescent="0.25">
      <c r="A1303" s="26">
        <v>1301</v>
      </c>
      <c r="B1303" s="27">
        <v>58</v>
      </c>
      <c r="C1303" s="27">
        <v>0</v>
      </c>
      <c r="D1303" s="27">
        <v>3</v>
      </c>
      <c r="E1303" s="27">
        <v>350</v>
      </c>
      <c r="F1303" s="27">
        <v>1</v>
      </c>
      <c r="G1303" s="27">
        <v>2</v>
      </c>
      <c r="H1303" s="27">
        <v>3</v>
      </c>
      <c r="I1303" s="27">
        <v>3</v>
      </c>
      <c r="J1303" s="27">
        <v>1</v>
      </c>
      <c r="K1303" s="27">
        <v>1824</v>
      </c>
      <c r="L1303" s="27">
        <v>2</v>
      </c>
      <c r="M1303" s="27">
        <v>1</v>
      </c>
      <c r="N1303" s="27">
        <v>52</v>
      </c>
      <c r="O1303" s="27">
        <v>3</v>
      </c>
      <c r="P1303" s="27">
        <v>4</v>
      </c>
      <c r="Q1303" s="27">
        <v>6</v>
      </c>
      <c r="R1303" s="27">
        <v>2</v>
      </c>
      <c r="S1303" s="27">
        <v>3</v>
      </c>
      <c r="T1303" s="27">
        <v>16291</v>
      </c>
      <c r="U1303" s="27">
        <v>22577</v>
      </c>
      <c r="V1303" s="27">
        <v>4</v>
      </c>
      <c r="W1303" s="27">
        <v>0</v>
      </c>
      <c r="X1303" s="27">
        <v>22</v>
      </c>
      <c r="Y1303" s="27">
        <v>4</v>
      </c>
      <c r="Z1303" s="27">
        <v>4</v>
      </c>
      <c r="AA1303" s="27">
        <v>80</v>
      </c>
      <c r="AB1303" s="27">
        <v>1</v>
      </c>
      <c r="AC1303" s="27">
        <v>37</v>
      </c>
      <c r="AD1303" s="27">
        <v>0</v>
      </c>
      <c r="AE1303" s="27">
        <v>2</v>
      </c>
      <c r="AF1303" s="27">
        <v>16</v>
      </c>
      <c r="AG1303" s="27">
        <v>9</v>
      </c>
      <c r="AH1303" s="27">
        <v>14</v>
      </c>
      <c r="AI1303" s="28">
        <v>14</v>
      </c>
      <c r="AK1303" s="36">
        <v>1270</v>
      </c>
      <c r="AL1303" s="33">
        <v>2</v>
      </c>
      <c r="AM1303" s="33">
        <v>1</v>
      </c>
      <c r="AN1303" s="33">
        <v>4</v>
      </c>
      <c r="AO1303" s="33">
        <v>0</v>
      </c>
      <c r="AP1303" s="33">
        <v>0</v>
      </c>
      <c r="AQ1303" s="33">
        <v>0</v>
      </c>
      <c r="AR1303" s="33">
        <v>3</v>
      </c>
      <c r="AS1303" s="33">
        <v>9</v>
      </c>
      <c r="AT1303" s="33">
        <v>1</v>
      </c>
      <c r="AU1303" s="43">
        <v>6.6388970284732368E-2</v>
      </c>
      <c r="AV1303" s="33">
        <v>0</v>
      </c>
      <c r="AW1303" s="33">
        <v>0</v>
      </c>
      <c r="AY1303" s="36">
        <v>1275</v>
      </c>
      <c r="AZ1303" s="33">
        <v>2</v>
      </c>
      <c r="BA1303" s="33">
        <v>4</v>
      </c>
      <c r="BB1303" s="33">
        <v>0</v>
      </c>
      <c r="BC1303" s="33">
        <v>2</v>
      </c>
      <c r="BD1303" s="43">
        <v>3.3256067423154199E-2</v>
      </c>
      <c r="BE1303" s="33">
        <v>0</v>
      </c>
      <c r="BF1303" s="33">
        <v>0</v>
      </c>
      <c r="CE1303" s="36">
        <v>1269</v>
      </c>
      <c r="CF1303" s="33">
        <v>1</v>
      </c>
      <c r="CG1303" s="33">
        <v>4</v>
      </c>
      <c r="CH1303" s="33">
        <v>3</v>
      </c>
      <c r="CI1303" s="33">
        <v>2</v>
      </c>
      <c r="CJ1303" s="33">
        <v>4</v>
      </c>
      <c r="CK1303" s="33">
        <v>1</v>
      </c>
      <c r="CL1303" s="33">
        <v>3</v>
      </c>
      <c r="CM1303" s="33">
        <v>2</v>
      </c>
      <c r="CN1303" s="33">
        <v>3</v>
      </c>
      <c r="CO1303" s="33">
        <v>0</v>
      </c>
      <c r="CP1303" s="43">
        <v>6.6314941935422575E-2</v>
      </c>
      <c r="CQ1303" s="33">
        <v>0</v>
      </c>
      <c r="CR1303" s="33">
        <v>0</v>
      </c>
    </row>
    <row r="1304" spans="1:96" ht="15" customHeight="1" x14ac:dyDescent="0.25">
      <c r="A1304" s="26">
        <v>1302</v>
      </c>
      <c r="B1304" s="27">
        <v>35</v>
      </c>
      <c r="C1304" s="27">
        <v>0</v>
      </c>
      <c r="D1304" s="27">
        <v>1</v>
      </c>
      <c r="E1304" s="27">
        <v>185</v>
      </c>
      <c r="F1304" s="27">
        <v>2</v>
      </c>
      <c r="G1304" s="27">
        <v>23</v>
      </c>
      <c r="H1304" s="27">
        <v>4</v>
      </c>
      <c r="I1304" s="27">
        <v>3</v>
      </c>
      <c r="J1304" s="27">
        <v>1</v>
      </c>
      <c r="K1304" s="27">
        <v>1826</v>
      </c>
      <c r="L1304" s="27">
        <v>2</v>
      </c>
      <c r="M1304" s="27">
        <v>1</v>
      </c>
      <c r="N1304" s="27">
        <v>91</v>
      </c>
      <c r="O1304" s="27">
        <v>1</v>
      </c>
      <c r="P1304" s="27">
        <v>1</v>
      </c>
      <c r="Q1304" s="27">
        <v>3</v>
      </c>
      <c r="R1304" s="27">
        <v>3</v>
      </c>
      <c r="S1304" s="27">
        <v>2</v>
      </c>
      <c r="T1304" s="27">
        <v>2705</v>
      </c>
      <c r="U1304" s="27">
        <v>9696</v>
      </c>
      <c r="V1304" s="27">
        <v>0</v>
      </c>
      <c r="W1304" s="27">
        <v>0</v>
      </c>
      <c r="X1304" s="27">
        <v>16</v>
      </c>
      <c r="Y1304" s="27">
        <v>3</v>
      </c>
      <c r="Z1304" s="27">
        <v>2</v>
      </c>
      <c r="AA1304" s="27">
        <v>80</v>
      </c>
      <c r="AB1304" s="27">
        <v>1</v>
      </c>
      <c r="AC1304" s="27">
        <v>6</v>
      </c>
      <c r="AD1304" s="27">
        <v>2</v>
      </c>
      <c r="AE1304" s="27">
        <v>4</v>
      </c>
      <c r="AF1304" s="27">
        <v>5</v>
      </c>
      <c r="AG1304" s="27">
        <v>4</v>
      </c>
      <c r="AH1304" s="27">
        <v>0</v>
      </c>
      <c r="AI1304" s="28">
        <v>3</v>
      </c>
      <c r="AK1304" s="36">
        <v>1271</v>
      </c>
      <c r="AL1304" s="33">
        <v>3</v>
      </c>
      <c r="AM1304" s="33">
        <v>2</v>
      </c>
      <c r="AN1304" s="33">
        <v>4</v>
      </c>
      <c r="AO1304" s="33">
        <v>5</v>
      </c>
      <c r="AP1304" s="33">
        <v>0</v>
      </c>
      <c r="AQ1304" s="33">
        <v>0</v>
      </c>
      <c r="AR1304" s="33">
        <v>3</v>
      </c>
      <c r="AS1304" s="33">
        <v>2</v>
      </c>
      <c r="AT1304" s="33">
        <v>2</v>
      </c>
      <c r="AU1304" s="43">
        <v>0.10683812804724788</v>
      </c>
      <c r="AV1304" s="33">
        <v>0</v>
      </c>
      <c r="AW1304" s="33">
        <v>0</v>
      </c>
      <c r="AY1304" s="36">
        <v>1276</v>
      </c>
      <c r="AZ1304" s="33">
        <v>3</v>
      </c>
      <c r="BA1304" s="33">
        <v>3</v>
      </c>
      <c r="BB1304" s="33">
        <v>0</v>
      </c>
      <c r="BC1304" s="33">
        <v>0</v>
      </c>
      <c r="BD1304" s="43">
        <v>7.0406776741937793E-2</v>
      </c>
      <c r="BE1304" s="33">
        <v>0</v>
      </c>
      <c r="BF1304" s="33">
        <v>0</v>
      </c>
      <c r="CE1304" s="36">
        <v>1270</v>
      </c>
      <c r="CF1304" s="33">
        <v>2</v>
      </c>
      <c r="CG1304" s="33">
        <v>1</v>
      </c>
      <c r="CH1304" s="33">
        <v>4</v>
      </c>
      <c r="CI1304" s="33">
        <v>1</v>
      </c>
      <c r="CJ1304" s="33">
        <v>0</v>
      </c>
      <c r="CK1304" s="33">
        <v>0</v>
      </c>
      <c r="CL1304" s="33">
        <v>0</v>
      </c>
      <c r="CM1304" s="33">
        <v>3</v>
      </c>
      <c r="CN1304" s="33">
        <v>9</v>
      </c>
      <c r="CO1304" s="33">
        <v>1</v>
      </c>
      <c r="CP1304" s="43">
        <v>7.5633501912312454E-2</v>
      </c>
      <c r="CQ1304" s="33">
        <v>0</v>
      </c>
      <c r="CR1304" s="33">
        <v>0</v>
      </c>
    </row>
    <row r="1305" spans="1:96" ht="15" customHeight="1" x14ac:dyDescent="0.25">
      <c r="A1305" s="26">
        <v>1303</v>
      </c>
      <c r="B1305" s="27">
        <v>47</v>
      </c>
      <c r="C1305" s="27">
        <v>0</v>
      </c>
      <c r="D1305" s="27">
        <v>1</v>
      </c>
      <c r="E1305" s="27">
        <v>1001</v>
      </c>
      <c r="F1305" s="27">
        <v>2</v>
      </c>
      <c r="G1305" s="27">
        <v>4</v>
      </c>
      <c r="H1305" s="27">
        <v>3</v>
      </c>
      <c r="I1305" s="27">
        <v>1</v>
      </c>
      <c r="J1305" s="27">
        <v>1</v>
      </c>
      <c r="K1305" s="27">
        <v>1827</v>
      </c>
      <c r="L1305" s="27">
        <v>3</v>
      </c>
      <c r="M1305" s="27">
        <v>0</v>
      </c>
      <c r="N1305" s="27">
        <v>92</v>
      </c>
      <c r="O1305" s="27">
        <v>2</v>
      </c>
      <c r="P1305" s="27">
        <v>3</v>
      </c>
      <c r="Q1305" s="27">
        <v>4</v>
      </c>
      <c r="R1305" s="27">
        <v>2</v>
      </c>
      <c r="S1305" s="27">
        <v>3</v>
      </c>
      <c r="T1305" s="27">
        <v>10333</v>
      </c>
      <c r="U1305" s="27">
        <v>19271</v>
      </c>
      <c r="V1305" s="27">
        <v>8</v>
      </c>
      <c r="W1305" s="27">
        <v>1</v>
      </c>
      <c r="X1305" s="27">
        <v>12</v>
      </c>
      <c r="Y1305" s="27">
        <v>3</v>
      </c>
      <c r="Z1305" s="27">
        <v>3</v>
      </c>
      <c r="AA1305" s="27">
        <v>80</v>
      </c>
      <c r="AB1305" s="27">
        <v>1</v>
      </c>
      <c r="AC1305" s="27">
        <v>28</v>
      </c>
      <c r="AD1305" s="27">
        <v>4</v>
      </c>
      <c r="AE1305" s="27">
        <v>3</v>
      </c>
      <c r="AF1305" s="27">
        <v>22</v>
      </c>
      <c r="AG1305" s="27">
        <v>11</v>
      </c>
      <c r="AH1305" s="27">
        <v>14</v>
      </c>
      <c r="AI1305" s="28">
        <v>10</v>
      </c>
      <c r="AK1305" s="36">
        <v>1272</v>
      </c>
      <c r="AL1305" s="33">
        <v>7</v>
      </c>
      <c r="AM1305" s="33">
        <v>1</v>
      </c>
      <c r="AN1305" s="33">
        <v>2</v>
      </c>
      <c r="AO1305" s="33">
        <v>1</v>
      </c>
      <c r="AP1305" s="33">
        <v>0</v>
      </c>
      <c r="AQ1305" s="33">
        <v>0</v>
      </c>
      <c r="AR1305" s="33">
        <v>3</v>
      </c>
      <c r="AS1305" s="33">
        <v>1</v>
      </c>
      <c r="AT1305" s="33">
        <v>1</v>
      </c>
      <c r="AU1305" s="43">
        <v>0.22610001271945115</v>
      </c>
      <c r="AV1305" s="33">
        <v>0</v>
      </c>
      <c r="AW1305" s="33">
        <v>1</v>
      </c>
      <c r="AY1305" s="36">
        <v>1277</v>
      </c>
      <c r="AZ1305" s="33">
        <v>2</v>
      </c>
      <c r="BA1305" s="33">
        <v>2</v>
      </c>
      <c r="BB1305" s="33">
        <v>0</v>
      </c>
      <c r="BC1305" s="33">
        <v>2</v>
      </c>
      <c r="BD1305" s="43">
        <v>5.8143431646637607E-2</v>
      </c>
      <c r="BE1305" s="33">
        <v>0</v>
      </c>
      <c r="BF1305" s="33">
        <v>0</v>
      </c>
      <c r="CE1305" s="36">
        <v>1271</v>
      </c>
      <c r="CF1305" s="33">
        <v>3</v>
      </c>
      <c r="CG1305" s="33">
        <v>2</v>
      </c>
      <c r="CH1305" s="33">
        <v>4</v>
      </c>
      <c r="CI1305" s="33">
        <v>1</v>
      </c>
      <c r="CJ1305" s="33">
        <v>5</v>
      </c>
      <c r="CK1305" s="33">
        <v>0</v>
      </c>
      <c r="CL1305" s="33">
        <v>0</v>
      </c>
      <c r="CM1305" s="33">
        <v>3</v>
      </c>
      <c r="CN1305" s="33">
        <v>2</v>
      </c>
      <c r="CO1305" s="33">
        <v>2</v>
      </c>
      <c r="CP1305" s="43">
        <v>0.12370327032914286</v>
      </c>
      <c r="CQ1305" s="33">
        <v>0</v>
      </c>
      <c r="CR1305" s="33">
        <v>0</v>
      </c>
    </row>
    <row r="1306" spans="1:96" ht="15" customHeight="1" x14ac:dyDescent="0.25">
      <c r="A1306" s="26">
        <v>1304</v>
      </c>
      <c r="B1306" s="27">
        <v>40</v>
      </c>
      <c r="C1306" s="27">
        <v>0</v>
      </c>
      <c r="D1306" s="27">
        <v>1</v>
      </c>
      <c r="E1306" s="27">
        <v>750</v>
      </c>
      <c r="F1306" s="27">
        <v>2</v>
      </c>
      <c r="G1306" s="27">
        <v>12</v>
      </c>
      <c r="H1306" s="27">
        <v>3</v>
      </c>
      <c r="I1306" s="27">
        <v>1</v>
      </c>
      <c r="J1306" s="27">
        <v>1</v>
      </c>
      <c r="K1306" s="27">
        <v>1829</v>
      </c>
      <c r="L1306" s="27">
        <v>2</v>
      </c>
      <c r="M1306" s="27">
        <v>0</v>
      </c>
      <c r="N1306" s="27">
        <v>47</v>
      </c>
      <c r="O1306" s="27">
        <v>3</v>
      </c>
      <c r="P1306" s="27">
        <v>2</v>
      </c>
      <c r="Q1306" s="27">
        <v>5</v>
      </c>
      <c r="R1306" s="27">
        <v>1</v>
      </c>
      <c r="S1306" s="27">
        <v>3</v>
      </c>
      <c r="T1306" s="27">
        <v>4448</v>
      </c>
      <c r="U1306" s="27">
        <v>10748</v>
      </c>
      <c r="V1306" s="27">
        <v>2</v>
      </c>
      <c r="W1306" s="27">
        <v>0</v>
      </c>
      <c r="X1306" s="27">
        <v>12</v>
      </c>
      <c r="Y1306" s="27">
        <v>3</v>
      </c>
      <c r="Z1306" s="27">
        <v>2</v>
      </c>
      <c r="AA1306" s="27">
        <v>80</v>
      </c>
      <c r="AB1306" s="27">
        <v>1</v>
      </c>
      <c r="AC1306" s="27">
        <v>15</v>
      </c>
      <c r="AD1306" s="27">
        <v>3</v>
      </c>
      <c r="AE1306" s="27">
        <v>3</v>
      </c>
      <c r="AF1306" s="27">
        <v>7</v>
      </c>
      <c r="AG1306" s="27">
        <v>4</v>
      </c>
      <c r="AH1306" s="27">
        <v>7</v>
      </c>
      <c r="AI1306" s="28">
        <v>7</v>
      </c>
      <c r="AK1306" s="36">
        <v>1273</v>
      </c>
      <c r="AL1306" s="33">
        <v>6</v>
      </c>
      <c r="AM1306" s="33">
        <v>1</v>
      </c>
      <c r="AN1306" s="33">
        <v>3</v>
      </c>
      <c r="AO1306" s="33">
        <v>1</v>
      </c>
      <c r="AP1306" s="33">
        <v>0</v>
      </c>
      <c r="AQ1306" s="33">
        <v>1</v>
      </c>
      <c r="AR1306" s="33">
        <v>3</v>
      </c>
      <c r="AS1306" s="33">
        <v>5</v>
      </c>
      <c r="AT1306" s="33">
        <v>0</v>
      </c>
      <c r="AU1306" s="43">
        <v>7.4122558791260854E-2</v>
      </c>
      <c r="AV1306" s="33">
        <v>0</v>
      </c>
      <c r="AW1306" s="33">
        <v>0</v>
      </c>
      <c r="AY1306" s="36">
        <v>1278</v>
      </c>
      <c r="AZ1306" s="33">
        <v>5</v>
      </c>
      <c r="BA1306" s="33">
        <v>4</v>
      </c>
      <c r="BB1306" s="33">
        <v>1</v>
      </c>
      <c r="BC1306" s="33">
        <v>1</v>
      </c>
      <c r="BD1306" s="43">
        <v>4.4592473915788571E-2</v>
      </c>
      <c r="BE1306" s="33">
        <v>0</v>
      </c>
      <c r="BF1306" s="33">
        <v>0</v>
      </c>
      <c r="CE1306" s="36">
        <v>1272</v>
      </c>
      <c r="CF1306" s="33">
        <v>7</v>
      </c>
      <c r="CG1306" s="33">
        <v>1</v>
      </c>
      <c r="CH1306" s="33">
        <v>2</v>
      </c>
      <c r="CI1306" s="33">
        <v>1</v>
      </c>
      <c r="CJ1306" s="33">
        <v>1</v>
      </c>
      <c r="CK1306" s="33">
        <v>0</v>
      </c>
      <c r="CL1306" s="33">
        <v>0</v>
      </c>
      <c r="CM1306" s="33">
        <v>3</v>
      </c>
      <c r="CN1306" s="33">
        <v>1</v>
      </c>
      <c r="CO1306" s="33">
        <v>1</v>
      </c>
      <c r="CP1306" s="43">
        <v>0.25934355714293256</v>
      </c>
      <c r="CQ1306" s="33">
        <v>0</v>
      </c>
      <c r="CR1306" s="33">
        <v>1</v>
      </c>
    </row>
    <row r="1307" spans="1:96" ht="15" customHeight="1" x14ac:dyDescent="0.25">
      <c r="A1307" s="26">
        <v>1305</v>
      </c>
      <c r="B1307" s="27">
        <v>54</v>
      </c>
      <c r="C1307" s="27">
        <v>0</v>
      </c>
      <c r="D1307" s="27">
        <v>1</v>
      </c>
      <c r="E1307" s="27">
        <v>431</v>
      </c>
      <c r="F1307" s="27">
        <v>2</v>
      </c>
      <c r="G1307" s="27">
        <v>7</v>
      </c>
      <c r="H1307" s="27">
        <v>4</v>
      </c>
      <c r="I1307" s="27">
        <v>3</v>
      </c>
      <c r="J1307" s="27">
        <v>1</v>
      </c>
      <c r="K1307" s="27">
        <v>1830</v>
      </c>
      <c r="L1307" s="27">
        <v>4</v>
      </c>
      <c r="M1307" s="27">
        <v>0</v>
      </c>
      <c r="N1307" s="27">
        <v>68</v>
      </c>
      <c r="O1307" s="27">
        <v>3</v>
      </c>
      <c r="P1307" s="27">
        <v>2</v>
      </c>
      <c r="Q1307" s="27">
        <v>2</v>
      </c>
      <c r="R1307" s="27">
        <v>4</v>
      </c>
      <c r="S1307" s="27">
        <v>2</v>
      </c>
      <c r="T1307" s="27">
        <v>6854</v>
      </c>
      <c r="U1307" s="27">
        <v>15696</v>
      </c>
      <c r="V1307" s="27">
        <v>4</v>
      </c>
      <c r="W1307" s="27">
        <v>0</v>
      </c>
      <c r="X1307" s="27">
        <v>15</v>
      </c>
      <c r="Y1307" s="27">
        <v>3</v>
      </c>
      <c r="Z1307" s="27">
        <v>2</v>
      </c>
      <c r="AA1307" s="27">
        <v>80</v>
      </c>
      <c r="AB1307" s="27">
        <v>1</v>
      </c>
      <c r="AC1307" s="27">
        <v>14</v>
      </c>
      <c r="AD1307" s="27">
        <v>2</v>
      </c>
      <c r="AE1307" s="27">
        <v>2</v>
      </c>
      <c r="AF1307" s="27">
        <v>7</v>
      </c>
      <c r="AG1307" s="27">
        <v>1</v>
      </c>
      <c r="AH1307" s="27">
        <v>1</v>
      </c>
      <c r="AI1307" s="28">
        <v>7</v>
      </c>
      <c r="AK1307" s="36">
        <v>1274</v>
      </c>
      <c r="AL1307" s="33">
        <v>8</v>
      </c>
      <c r="AM1307" s="33">
        <v>1</v>
      </c>
      <c r="AN1307" s="33">
        <v>1</v>
      </c>
      <c r="AO1307" s="33">
        <v>1</v>
      </c>
      <c r="AP1307" s="33">
        <v>1</v>
      </c>
      <c r="AQ1307" s="33">
        <v>0</v>
      </c>
      <c r="AR1307" s="33">
        <v>3</v>
      </c>
      <c r="AS1307" s="33">
        <v>1</v>
      </c>
      <c r="AT1307" s="33">
        <v>0</v>
      </c>
      <c r="AU1307" s="43">
        <v>0.61233365428385012</v>
      </c>
      <c r="AV1307" s="33">
        <v>1</v>
      </c>
      <c r="AW1307" s="33">
        <v>1</v>
      </c>
      <c r="AY1307" s="36">
        <v>1279</v>
      </c>
      <c r="AZ1307" s="33">
        <v>3</v>
      </c>
      <c r="BA1307" s="33">
        <v>1</v>
      </c>
      <c r="BB1307" s="33">
        <v>1</v>
      </c>
      <c r="BC1307" s="33">
        <v>1</v>
      </c>
      <c r="BD1307" s="43">
        <v>0.25528659551539534</v>
      </c>
      <c r="BE1307" s="33">
        <v>0</v>
      </c>
      <c r="BF1307" s="33">
        <v>0</v>
      </c>
      <c r="CE1307" s="36">
        <v>1273</v>
      </c>
      <c r="CF1307" s="33">
        <v>6</v>
      </c>
      <c r="CG1307" s="33">
        <v>1</v>
      </c>
      <c r="CH1307" s="33">
        <v>3</v>
      </c>
      <c r="CI1307" s="33">
        <v>2</v>
      </c>
      <c r="CJ1307" s="33">
        <v>1</v>
      </c>
      <c r="CK1307" s="33">
        <v>0</v>
      </c>
      <c r="CL1307" s="33">
        <v>1</v>
      </c>
      <c r="CM1307" s="33">
        <v>3</v>
      </c>
      <c r="CN1307" s="33">
        <v>5</v>
      </c>
      <c r="CO1307" s="33">
        <v>0</v>
      </c>
      <c r="CP1307" s="43">
        <v>7.0615310588204097E-2</v>
      </c>
      <c r="CQ1307" s="33">
        <v>0</v>
      </c>
      <c r="CR1307" s="33">
        <v>0</v>
      </c>
    </row>
    <row r="1308" spans="1:96" ht="15" customHeight="1" x14ac:dyDescent="0.25">
      <c r="A1308" s="26">
        <v>1306</v>
      </c>
      <c r="B1308" s="27">
        <v>31</v>
      </c>
      <c r="C1308" s="27">
        <v>0</v>
      </c>
      <c r="D1308" s="27">
        <v>2</v>
      </c>
      <c r="E1308" s="27">
        <v>1125</v>
      </c>
      <c r="F1308" s="27">
        <v>1</v>
      </c>
      <c r="G1308" s="27">
        <v>7</v>
      </c>
      <c r="H1308" s="27">
        <v>4</v>
      </c>
      <c r="I1308" s="27">
        <v>4</v>
      </c>
      <c r="J1308" s="27">
        <v>1</v>
      </c>
      <c r="K1308" s="27">
        <v>1833</v>
      </c>
      <c r="L1308" s="27">
        <v>1</v>
      </c>
      <c r="M1308" s="27">
        <v>0</v>
      </c>
      <c r="N1308" s="27">
        <v>68</v>
      </c>
      <c r="O1308" s="27">
        <v>3</v>
      </c>
      <c r="P1308" s="27">
        <v>3</v>
      </c>
      <c r="Q1308" s="27">
        <v>1</v>
      </c>
      <c r="R1308" s="27">
        <v>1</v>
      </c>
      <c r="S1308" s="27">
        <v>2</v>
      </c>
      <c r="T1308" s="27">
        <v>9637</v>
      </c>
      <c r="U1308" s="27">
        <v>8277</v>
      </c>
      <c r="V1308" s="27">
        <v>2</v>
      </c>
      <c r="W1308" s="27">
        <v>0</v>
      </c>
      <c r="X1308" s="27">
        <v>14</v>
      </c>
      <c r="Y1308" s="27">
        <v>3</v>
      </c>
      <c r="Z1308" s="27">
        <v>4</v>
      </c>
      <c r="AA1308" s="27">
        <v>80</v>
      </c>
      <c r="AB1308" s="27">
        <v>2</v>
      </c>
      <c r="AC1308" s="27">
        <v>9</v>
      </c>
      <c r="AD1308" s="27">
        <v>3</v>
      </c>
      <c r="AE1308" s="27">
        <v>3</v>
      </c>
      <c r="AF1308" s="27">
        <v>3</v>
      </c>
      <c r="AG1308" s="27">
        <v>2</v>
      </c>
      <c r="AH1308" s="27">
        <v>2</v>
      </c>
      <c r="AI1308" s="28">
        <v>2</v>
      </c>
      <c r="AK1308" s="36">
        <v>1275</v>
      </c>
      <c r="AL1308" s="33">
        <v>29</v>
      </c>
      <c r="AM1308" s="33">
        <v>2</v>
      </c>
      <c r="AN1308" s="33">
        <v>4</v>
      </c>
      <c r="AO1308" s="33">
        <v>1</v>
      </c>
      <c r="AP1308" s="33">
        <v>0</v>
      </c>
      <c r="AQ1308" s="33">
        <v>2</v>
      </c>
      <c r="AR1308" s="33">
        <v>3</v>
      </c>
      <c r="AS1308" s="33">
        <v>12</v>
      </c>
      <c r="AT1308" s="33">
        <v>5</v>
      </c>
      <c r="AU1308" s="43">
        <v>4.310271150115158E-2</v>
      </c>
      <c r="AV1308" s="33">
        <v>0</v>
      </c>
      <c r="AW1308" s="33">
        <v>0</v>
      </c>
      <c r="AY1308" s="36">
        <v>1280</v>
      </c>
      <c r="AZ1308" s="33">
        <v>1</v>
      </c>
      <c r="BA1308" s="33">
        <v>2</v>
      </c>
      <c r="BB1308" s="33">
        <v>1</v>
      </c>
      <c r="BC1308" s="33">
        <v>3</v>
      </c>
      <c r="BD1308" s="43">
        <v>0.2139229997628791</v>
      </c>
      <c r="BE1308" s="33">
        <v>0</v>
      </c>
      <c r="BF1308" s="33">
        <v>1</v>
      </c>
      <c r="CE1308" s="36">
        <v>1274</v>
      </c>
      <c r="CF1308" s="33">
        <v>8</v>
      </c>
      <c r="CG1308" s="33">
        <v>1</v>
      </c>
      <c r="CH1308" s="33">
        <v>1</v>
      </c>
      <c r="CI1308" s="33">
        <v>2</v>
      </c>
      <c r="CJ1308" s="33">
        <v>1</v>
      </c>
      <c r="CK1308" s="33">
        <v>1</v>
      </c>
      <c r="CL1308" s="33">
        <v>0</v>
      </c>
      <c r="CM1308" s="33">
        <v>3</v>
      </c>
      <c r="CN1308" s="33">
        <v>1</v>
      </c>
      <c r="CO1308" s="33">
        <v>0</v>
      </c>
      <c r="CP1308" s="43">
        <v>0.53477168415196574</v>
      </c>
      <c r="CQ1308" s="33">
        <v>1</v>
      </c>
      <c r="CR1308" s="33">
        <v>1</v>
      </c>
    </row>
    <row r="1309" spans="1:96" ht="15" customHeight="1" x14ac:dyDescent="0.25">
      <c r="A1309" s="26">
        <v>1307</v>
      </c>
      <c r="B1309" s="27">
        <v>28</v>
      </c>
      <c r="C1309" s="27">
        <v>0</v>
      </c>
      <c r="D1309" s="27">
        <v>1</v>
      </c>
      <c r="E1309" s="27">
        <v>1217</v>
      </c>
      <c r="F1309" s="27">
        <v>2</v>
      </c>
      <c r="G1309" s="27">
        <v>1</v>
      </c>
      <c r="H1309" s="27">
        <v>3</v>
      </c>
      <c r="I1309" s="27">
        <v>3</v>
      </c>
      <c r="J1309" s="27">
        <v>1</v>
      </c>
      <c r="K1309" s="27">
        <v>1834</v>
      </c>
      <c r="L1309" s="27">
        <v>3</v>
      </c>
      <c r="M1309" s="27">
        <v>0</v>
      </c>
      <c r="N1309" s="27">
        <v>67</v>
      </c>
      <c r="O1309" s="27">
        <v>3</v>
      </c>
      <c r="P1309" s="27">
        <v>1</v>
      </c>
      <c r="Q1309" s="27">
        <v>2</v>
      </c>
      <c r="R1309" s="27">
        <v>1</v>
      </c>
      <c r="S1309" s="27">
        <v>2</v>
      </c>
      <c r="T1309" s="27">
        <v>3591</v>
      </c>
      <c r="U1309" s="27">
        <v>12719</v>
      </c>
      <c r="V1309" s="27">
        <v>1</v>
      </c>
      <c r="W1309" s="27">
        <v>0</v>
      </c>
      <c r="X1309" s="27">
        <v>25</v>
      </c>
      <c r="Y1309" s="27">
        <v>4</v>
      </c>
      <c r="Z1309" s="27">
        <v>3</v>
      </c>
      <c r="AA1309" s="27">
        <v>80</v>
      </c>
      <c r="AB1309" s="27">
        <v>1</v>
      </c>
      <c r="AC1309" s="27">
        <v>3</v>
      </c>
      <c r="AD1309" s="27">
        <v>3</v>
      </c>
      <c r="AE1309" s="27">
        <v>3</v>
      </c>
      <c r="AF1309" s="27">
        <v>3</v>
      </c>
      <c r="AG1309" s="27">
        <v>2</v>
      </c>
      <c r="AH1309" s="27">
        <v>1</v>
      </c>
      <c r="AI1309" s="28">
        <v>2</v>
      </c>
      <c r="AK1309" s="36">
        <v>1276</v>
      </c>
      <c r="AL1309" s="33">
        <v>3</v>
      </c>
      <c r="AM1309" s="33">
        <v>3</v>
      </c>
      <c r="AN1309" s="33">
        <v>3</v>
      </c>
      <c r="AO1309" s="33">
        <v>2</v>
      </c>
      <c r="AP1309" s="33">
        <v>0</v>
      </c>
      <c r="AQ1309" s="33">
        <v>0</v>
      </c>
      <c r="AR1309" s="33">
        <v>3</v>
      </c>
      <c r="AS1309" s="33">
        <v>2</v>
      </c>
      <c r="AT1309" s="33">
        <v>2</v>
      </c>
      <c r="AU1309" s="43">
        <v>6.6921517954937892E-2</v>
      </c>
      <c r="AV1309" s="33">
        <v>0</v>
      </c>
      <c r="AW1309" s="33">
        <v>0</v>
      </c>
      <c r="AY1309" s="36">
        <v>1281</v>
      </c>
      <c r="AZ1309" s="33">
        <v>2</v>
      </c>
      <c r="BA1309" s="33">
        <v>2</v>
      </c>
      <c r="BB1309" s="33">
        <v>0</v>
      </c>
      <c r="BC1309" s="33">
        <v>0</v>
      </c>
      <c r="BD1309" s="43">
        <v>0.15063023792355215</v>
      </c>
      <c r="BE1309" s="33">
        <v>0</v>
      </c>
      <c r="BF1309" s="33">
        <v>0</v>
      </c>
      <c r="CE1309" s="36">
        <v>1275</v>
      </c>
      <c r="CF1309" s="33">
        <v>29</v>
      </c>
      <c r="CG1309" s="33">
        <v>2</v>
      </c>
      <c r="CH1309" s="33">
        <v>4</v>
      </c>
      <c r="CI1309" s="33">
        <v>2</v>
      </c>
      <c r="CJ1309" s="33">
        <v>1</v>
      </c>
      <c r="CK1309" s="33">
        <v>0</v>
      </c>
      <c r="CL1309" s="33">
        <v>2</v>
      </c>
      <c r="CM1309" s="33">
        <v>3</v>
      </c>
      <c r="CN1309" s="33">
        <v>12</v>
      </c>
      <c r="CO1309" s="33">
        <v>5</v>
      </c>
      <c r="CP1309" s="43">
        <v>5.6722993539738052E-2</v>
      </c>
      <c r="CQ1309" s="33">
        <v>0</v>
      </c>
      <c r="CR1309" s="33">
        <v>0</v>
      </c>
    </row>
    <row r="1310" spans="1:96" ht="15" customHeight="1" x14ac:dyDescent="0.25">
      <c r="A1310" s="26">
        <v>1308</v>
      </c>
      <c r="B1310" s="27">
        <v>38</v>
      </c>
      <c r="C1310" s="27">
        <v>0</v>
      </c>
      <c r="D1310" s="27">
        <v>1</v>
      </c>
      <c r="E1310" s="27">
        <v>723</v>
      </c>
      <c r="F1310" s="27">
        <v>1</v>
      </c>
      <c r="G1310" s="27">
        <v>2</v>
      </c>
      <c r="H1310" s="27">
        <v>4</v>
      </c>
      <c r="I1310" s="27">
        <v>4</v>
      </c>
      <c r="J1310" s="27">
        <v>1</v>
      </c>
      <c r="K1310" s="27">
        <v>1835</v>
      </c>
      <c r="L1310" s="27">
        <v>2</v>
      </c>
      <c r="M1310" s="27">
        <v>0</v>
      </c>
      <c r="N1310" s="27">
        <v>77</v>
      </c>
      <c r="O1310" s="27">
        <v>1</v>
      </c>
      <c r="P1310" s="27">
        <v>2</v>
      </c>
      <c r="Q1310" s="27">
        <v>7</v>
      </c>
      <c r="R1310" s="27">
        <v>4</v>
      </c>
      <c r="S1310" s="27">
        <v>2</v>
      </c>
      <c r="T1310" s="27">
        <v>5405</v>
      </c>
      <c r="U1310" s="27">
        <v>4244</v>
      </c>
      <c r="V1310" s="27">
        <v>2</v>
      </c>
      <c r="W1310" s="27">
        <v>1</v>
      </c>
      <c r="X1310" s="27">
        <v>20</v>
      </c>
      <c r="Y1310" s="27">
        <v>4</v>
      </c>
      <c r="Z1310" s="27">
        <v>1</v>
      </c>
      <c r="AA1310" s="27">
        <v>80</v>
      </c>
      <c r="AB1310" s="27">
        <v>2</v>
      </c>
      <c r="AC1310" s="27">
        <v>20</v>
      </c>
      <c r="AD1310" s="27">
        <v>4</v>
      </c>
      <c r="AE1310" s="27">
        <v>2</v>
      </c>
      <c r="AF1310" s="27">
        <v>4</v>
      </c>
      <c r="AG1310" s="27">
        <v>2</v>
      </c>
      <c r="AH1310" s="27">
        <v>0</v>
      </c>
      <c r="AI1310" s="28">
        <v>3</v>
      </c>
      <c r="AK1310" s="36">
        <v>1277</v>
      </c>
      <c r="AL1310" s="33">
        <v>9</v>
      </c>
      <c r="AM1310" s="33">
        <v>2</v>
      </c>
      <c r="AN1310" s="33">
        <v>2</v>
      </c>
      <c r="AO1310" s="33">
        <v>1</v>
      </c>
      <c r="AP1310" s="33">
        <v>0</v>
      </c>
      <c r="AQ1310" s="33">
        <v>2</v>
      </c>
      <c r="AR1310" s="33">
        <v>3</v>
      </c>
      <c r="AS1310" s="33">
        <v>5</v>
      </c>
      <c r="AT1310" s="33">
        <v>0</v>
      </c>
      <c r="AU1310" s="43">
        <v>3.7298445921686733E-2</v>
      </c>
      <c r="AV1310" s="33">
        <v>0</v>
      </c>
      <c r="AW1310" s="33">
        <v>0</v>
      </c>
      <c r="AY1310" s="36">
        <v>1282</v>
      </c>
      <c r="AZ1310" s="33">
        <v>2</v>
      </c>
      <c r="BA1310" s="33">
        <v>4</v>
      </c>
      <c r="BB1310" s="33">
        <v>1</v>
      </c>
      <c r="BC1310" s="33">
        <v>0</v>
      </c>
      <c r="BD1310" s="43">
        <v>0.29698480921718856</v>
      </c>
      <c r="BE1310" s="33">
        <v>0</v>
      </c>
      <c r="BF1310" s="33">
        <v>1</v>
      </c>
      <c r="CE1310" s="36">
        <v>1276</v>
      </c>
      <c r="CF1310" s="33">
        <v>3</v>
      </c>
      <c r="CG1310" s="33">
        <v>3</v>
      </c>
      <c r="CH1310" s="33">
        <v>3</v>
      </c>
      <c r="CI1310" s="33">
        <v>2</v>
      </c>
      <c r="CJ1310" s="33">
        <v>2</v>
      </c>
      <c r="CK1310" s="33">
        <v>0</v>
      </c>
      <c r="CL1310" s="33">
        <v>0</v>
      </c>
      <c r="CM1310" s="33">
        <v>3</v>
      </c>
      <c r="CN1310" s="33">
        <v>2</v>
      </c>
      <c r="CO1310" s="33">
        <v>2</v>
      </c>
      <c r="CP1310" s="43">
        <v>4.749822298398293E-2</v>
      </c>
      <c r="CQ1310" s="33">
        <v>0</v>
      </c>
      <c r="CR1310" s="33">
        <v>0</v>
      </c>
    </row>
    <row r="1311" spans="1:96" ht="15" customHeight="1" x14ac:dyDescent="0.25">
      <c r="A1311" s="26">
        <v>1309</v>
      </c>
      <c r="B1311" s="27">
        <v>26</v>
      </c>
      <c r="C1311" s="27">
        <v>0</v>
      </c>
      <c r="D1311" s="27">
        <v>1</v>
      </c>
      <c r="E1311" s="27">
        <v>572</v>
      </c>
      <c r="F1311" s="27">
        <v>1</v>
      </c>
      <c r="G1311" s="27">
        <v>10</v>
      </c>
      <c r="H1311" s="27">
        <v>3</v>
      </c>
      <c r="I1311" s="27">
        <v>3</v>
      </c>
      <c r="J1311" s="27">
        <v>1</v>
      </c>
      <c r="K1311" s="27">
        <v>1836</v>
      </c>
      <c r="L1311" s="27">
        <v>3</v>
      </c>
      <c r="M1311" s="27">
        <v>1</v>
      </c>
      <c r="N1311" s="27">
        <v>46</v>
      </c>
      <c r="O1311" s="27">
        <v>3</v>
      </c>
      <c r="P1311" s="27">
        <v>2</v>
      </c>
      <c r="Q1311" s="27">
        <v>1</v>
      </c>
      <c r="R1311" s="27">
        <v>4</v>
      </c>
      <c r="S1311" s="27">
        <v>1</v>
      </c>
      <c r="T1311" s="27">
        <v>4684</v>
      </c>
      <c r="U1311" s="27">
        <v>9125</v>
      </c>
      <c r="V1311" s="27">
        <v>1</v>
      </c>
      <c r="W1311" s="27">
        <v>0</v>
      </c>
      <c r="X1311" s="27">
        <v>13</v>
      </c>
      <c r="Y1311" s="27">
        <v>3</v>
      </c>
      <c r="Z1311" s="27">
        <v>1</v>
      </c>
      <c r="AA1311" s="27">
        <v>80</v>
      </c>
      <c r="AB1311" s="27">
        <v>0</v>
      </c>
      <c r="AC1311" s="27">
        <v>5</v>
      </c>
      <c r="AD1311" s="27">
        <v>4</v>
      </c>
      <c r="AE1311" s="27">
        <v>3</v>
      </c>
      <c r="AF1311" s="27">
        <v>5</v>
      </c>
      <c r="AG1311" s="27">
        <v>3</v>
      </c>
      <c r="AH1311" s="27">
        <v>1</v>
      </c>
      <c r="AI1311" s="28">
        <v>2</v>
      </c>
      <c r="AK1311" s="36">
        <v>1278</v>
      </c>
      <c r="AL1311" s="33">
        <v>2</v>
      </c>
      <c r="AM1311" s="33">
        <v>5</v>
      </c>
      <c r="AN1311" s="33">
        <v>4</v>
      </c>
      <c r="AO1311" s="33">
        <v>7</v>
      </c>
      <c r="AP1311" s="33">
        <v>1</v>
      </c>
      <c r="AQ1311" s="33">
        <v>1</v>
      </c>
      <c r="AR1311" s="33">
        <v>3</v>
      </c>
      <c r="AS1311" s="33">
        <v>2</v>
      </c>
      <c r="AT1311" s="33">
        <v>2</v>
      </c>
      <c r="AU1311" s="43">
        <v>6.0899412714802377E-2</v>
      </c>
      <c r="AV1311" s="33">
        <v>0</v>
      </c>
      <c r="AW1311" s="33">
        <v>0</v>
      </c>
      <c r="AY1311" s="36">
        <v>1283</v>
      </c>
      <c r="AZ1311" s="33">
        <v>1</v>
      </c>
      <c r="BA1311" s="33">
        <v>1</v>
      </c>
      <c r="BB1311" s="33">
        <v>0</v>
      </c>
      <c r="BC1311" s="33">
        <v>1</v>
      </c>
      <c r="BD1311" s="43">
        <v>0.19678474515944386</v>
      </c>
      <c r="BE1311" s="33">
        <v>0</v>
      </c>
      <c r="BF1311" s="33">
        <v>0</v>
      </c>
      <c r="CE1311" s="36">
        <v>1277</v>
      </c>
      <c r="CF1311" s="33">
        <v>9</v>
      </c>
      <c r="CG1311" s="33">
        <v>2</v>
      </c>
      <c r="CH1311" s="33">
        <v>2</v>
      </c>
      <c r="CI1311" s="33">
        <v>2</v>
      </c>
      <c r="CJ1311" s="33">
        <v>1</v>
      </c>
      <c r="CK1311" s="33">
        <v>0</v>
      </c>
      <c r="CL1311" s="33">
        <v>2</v>
      </c>
      <c r="CM1311" s="33">
        <v>3</v>
      </c>
      <c r="CN1311" s="33">
        <v>5</v>
      </c>
      <c r="CO1311" s="33">
        <v>0</v>
      </c>
      <c r="CP1311" s="43">
        <v>5.0673449395148729E-2</v>
      </c>
      <c r="CQ1311" s="33">
        <v>0</v>
      </c>
      <c r="CR1311" s="33">
        <v>0</v>
      </c>
    </row>
    <row r="1312" spans="1:96" ht="15" customHeight="1" x14ac:dyDescent="0.25">
      <c r="A1312" s="26">
        <v>1310</v>
      </c>
      <c r="B1312" s="27">
        <v>58</v>
      </c>
      <c r="C1312" s="27">
        <v>0</v>
      </c>
      <c r="D1312" s="27">
        <v>2</v>
      </c>
      <c r="E1312" s="27">
        <v>1216</v>
      </c>
      <c r="F1312" s="27">
        <v>2</v>
      </c>
      <c r="G1312" s="27">
        <v>15</v>
      </c>
      <c r="H1312" s="27">
        <v>4</v>
      </c>
      <c r="I1312" s="27">
        <v>1</v>
      </c>
      <c r="J1312" s="27">
        <v>1</v>
      </c>
      <c r="K1312" s="27">
        <v>1837</v>
      </c>
      <c r="L1312" s="27">
        <v>1</v>
      </c>
      <c r="M1312" s="27">
        <v>1</v>
      </c>
      <c r="N1312" s="27">
        <v>87</v>
      </c>
      <c r="O1312" s="27">
        <v>3</v>
      </c>
      <c r="P1312" s="27">
        <v>4</v>
      </c>
      <c r="Q1312" s="27">
        <v>8</v>
      </c>
      <c r="R1312" s="27">
        <v>3</v>
      </c>
      <c r="S1312" s="27">
        <v>2</v>
      </c>
      <c r="T1312" s="27">
        <v>15787</v>
      </c>
      <c r="U1312" s="27">
        <v>21624</v>
      </c>
      <c r="V1312" s="27">
        <v>2</v>
      </c>
      <c r="W1312" s="27">
        <v>1</v>
      </c>
      <c r="X1312" s="27">
        <v>14</v>
      </c>
      <c r="Y1312" s="27">
        <v>3</v>
      </c>
      <c r="Z1312" s="27">
        <v>2</v>
      </c>
      <c r="AA1312" s="27">
        <v>80</v>
      </c>
      <c r="AB1312" s="27">
        <v>0</v>
      </c>
      <c r="AC1312" s="27">
        <v>23</v>
      </c>
      <c r="AD1312" s="27">
        <v>3</v>
      </c>
      <c r="AE1312" s="27">
        <v>3</v>
      </c>
      <c r="AF1312" s="27">
        <v>2</v>
      </c>
      <c r="AG1312" s="27">
        <v>2</v>
      </c>
      <c r="AH1312" s="27">
        <v>2</v>
      </c>
      <c r="AI1312" s="28">
        <v>2</v>
      </c>
      <c r="AK1312" s="36">
        <v>1279</v>
      </c>
      <c r="AL1312" s="33">
        <v>10</v>
      </c>
      <c r="AM1312" s="33">
        <v>3</v>
      </c>
      <c r="AN1312" s="33">
        <v>1</v>
      </c>
      <c r="AO1312" s="33">
        <v>7</v>
      </c>
      <c r="AP1312" s="33">
        <v>1</v>
      </c>
      <c r="AQ1312" s="33">
        <v>1</v>
      </c>
      <c r="AR1312" s="33">
        <v>3</v>
      </c>
      <c r="AS1312" s="33">
        <v>12</v>
      </c>
      <c r="AT1312" s="33">
        <v>5</v>
      </c>
      <c r="AU1312" s="43">
        <v>0.29559295656786683</v>
      </c>
      <c r="AV1312" s="33">
        <v>0</v>
      </c>
      <c r="AW1312" s="33">
        <v>0</v>
      </c>
      <c r="AY1312" s="36">
        <v>1284</v>
      </c>
      <c r="AZ1312" s="33">
        <v>1</v>
      </c>
      <c r="BA1312" s="33">
        <v>4</v>
      </c>
      <c r="BB1312" s="33">
        <v>0</v>
      </c>
      <c r="BC1312" s="33">
        <v>1</v>
      </c>
      <c r="BD1312" s="43">
        <v>9.2486413274924434E-2</v>
      </c>
      <c r="BE1312" s="33">
        <v>0</v>
      </c>
      <c r="BF1312" s="33">
        <v>0</v>
      </c>
      <c r="CE1312" s="36">
        <v>1278</v>
      </c>
      <c r="CF1312" s="33">
        <v>2</v>
      </c>
      <c r="CG1312" s="33">
        <v>5</v>
      </c>
      <c r="CH1312" s="33">
        <v>4</v>
      </c>
      <c r="CI1312" s="33">
        <v>3</v>
      </c>
      <c r="CJ1312" s="33">
        <v>7</v>
      </c>
      <c r="CK1312" s="33">
        <v>1</v>
      </c>
      <c r="CL1312" s="33">
        <v>1</v>
      </c>
      <c r="CM1312" s="33">
        <v>3</v>
      </c>
      <c r="CN1312" s="33">
        <v>2</v>
      </c>
      <c r="CO1312" s="33">
        <v>2</v>
      </c>
      <c r="CP1312" s="43">
        <v>3.7085065928356559E-2</v>
      </c>
      <c r="CQ1312" s="33">
        <v>0</v>
      </c>
      <c r="CR1312" s="33">
        <v>0</v>
      </c>
    </row>
    <row r="1313" spans="1:96" ht="15" customHeight="1" x14ac:dyDescent="0.25">
      <c r="A1313" s="26">
        <v>1311</v>
      </c>
      <c r="B1313" s="27">
        <v>18</v>
      </c>
      <c r="C1313" s="27">
        <v>0</v>
      </c>
      <c r="D1313" s="27">
        <v>3</v>
      </c>
      <c r="E1313" s="27">
        <v>1431</v>
      </c>
      <c r="F1313" s="27">
        <v>2</v>
      </c>
      <c r="G1313" s="27">
        <v>14</v>
      </c>
      <c r="H1313" s="27">
        <v>3</v>
      </c>
      <c r="I1313" s="27">
        <v>3</v>
      </c>
      <c r="J1313" s="27">
        <v>1</v>
      </c>
      <c r="K1313" s="27">
        <v>1839</v>
      </c>
      <c r="L1313" s="27">
        <v>2</v>
      </c>
      <c r="M1313" s="27">
        <v>0</v>
      </c>
      <c r="N1313" s="27">
        <v>33</v>
      </c>
      <c r="O1313" s="27">
        <v>3</v>
      </c>
      <c r="P1313" s="27">
        <v>1</v>
      </c>
      <c r="Q1313" s="27">
        <v>2</v>
      </c>
      <c r="R1313" s="27">
        <v>3</v>
      </c>
      <c r="S1313" s="27">
        <v>1</v>
      </c>
      <c r="T1313" s="27">
        <v>1514</v>
      </c>
      <c r="U1313" s="27">
        <v>8018</v>
      </c>
      <c r="V1313" s="27">
        <v>1</v>
      </c>
      <c r="W1313" s="27">
        <v>0</v>
      </c>
      <c r="X1313" s="27">
        <v>16</v>
      </c>
      <c r="Y1313" s="27">
        <v>3</v>
      </c>
      <c r="Z1313" s="27">
        <v>3</v>
      </c>
      <c r="AA1313" s="27">
        <v>80</v>
      </c>
      <c r="AB1313" s="27">
        <v>0</v>
      </c>
      <c r="AC1313" s="27">
        <v>0</v>
      </c>
      <c r="AD1313" s="27">
        <v>4</v>
      </c>
      <c r="AE1313" s="27">
        <v>1</v>
      </c>
      <c r="AF1313" s="27">
        <v>0</v>
      </c>
      <c r="AG1313" s="27">
        <v>0</v>
      </c>
      <c r="AH1313" s="27">
        <v>0</v>
      </c>
      <c r="AI1313" s="28">
        <v>0</v>
      </c>
      <c r="AK1313" s="36">
        <v>1280</v>
      </c>
      <c r="AL1313" s="33">
        <v>1</v>
      </c>
      <c r="AM1313" s="33">
        <v>1</v>
      </c>
      <c r="AN1313" s="33">
        <v>2</v>
      </c>
      <c r="AO1313" s="33">
        <v>1</v>
      </c>
      <c r="AP1313" s="33">
        <v>1</v>
      </c>
      <c r="AQ1313" s="33">
        <v>3</v>
      </c>
      <c r="AR1313" s="33">
        <v>2</v>
      </c>
      <c r="AS1313" s="33">
        <v>5</v>
      </c>
      <c r="AT1313" s="33">
        <v>2</v>
      </c>
      <c r="AU1313" s="43">
        <v>0.16785555069481567</v>
      </c>
      <c r="AV1313" s="33">
        <v>0</v>
      </c>
      <c r="AW1313" s="33">
        <v>1</v>
      </c>
      <c r="AY1313" s="36">
        <v>1285</v>
      </c>
      <c r="AZ1313" s="33">
        <v>3</v>
      </c>
      <c r="BA1313" s="33">
        <v>3</v>
      </c>
      <c r="BB1313" s="33">
        <v>0</v>
      </c>
      <c r="BC1313" s="33">
        <v>0</v>
      </c>
      <c r="BD1313" s="43">
        <v>7.0406776741937793E-2</v>
      </c>
      <c r="BE1313" s="33">
        <v>0</v>
      </c>
      <c r="BF1313" s="33">
        <v>0</v>
      </c>
      <c r="CE1313" s="36">
        <v>1279</v>
      </c>
      <c r="CF1313" s="33">
        <v>10</v>
      </c>
      <c r="CG1313" s="33">
        <v>3</v>
      </c>
      <c r="CH1313" s="33">
        <v>1</v>
      </c>
      <c r="CI1313" s="33">
        <v>2</v>
      </c>
      <c r="CJ1313" s="33">
        <v>7</v>
      </c>
      <c r="CK1313" s="33">
        <v>1</v>
      </c>
      <c r="CL1313" s="33">
        <v>1</v>
      </c>
      <c r="CM1313" s="33">
        <v>3</v>
      </c>
      <c r="CN1313" s="33">
        <v>12</v>
      </c>
      <c r="CO1313" s="33">
        <v>5</v>
      </c>
      <c r="CP1313" s="43">
        <v>0.30966520939432385</v>
      </c>
      <c r="CQ1313" s="33">
        <v>0</v>
      </c>
      <c r="CR1313" s="33">
        <v>0</v>
      </c>
    </row>
    <row r="1314" spans="1:96" ht="15" customHeight="1" x14ac:dyDescent="0.25">
      <c r="A1314" s="26">
        <v>1312</v>
      </c>
      <c r="B1314" s="27">
        <v>31</v>
      </c>
      <c r="C1314" s="27">
        <v>1</v>
      </c>
      <c r="D1314" s="27">
        <v>1</v>
      </c>
      <c r="E1314" s="27">
        <v>359</v>
      </c>
      <c r="F1314" s="27">
        <v>3</v>
      </c>
      <c r="G1314" s="27">
        <v>18</v>
      </c>
      <c r="H1314" s="27">
        <v>5</v>
      </c>
      <c r="I1314" s="27">
        <v>2</v>
      </c>
      <c r="J1314" s="27">
        <v>1</v>
      </c>
      <c r="K1314" s="27">
        <v>1842</v>
      </c>
      <c r="L1314" s="27">
        <v>4</v>
      </c>
      <c r="M1314" s="27">
        <v>1</v>
      </c>
      <c r="N1314" s="27">
        <v>89</v>
      </c>
      <c r="O1314" s="27">
        <v>4</v>
      </c>
      <c r="P1314" s="27">
        <v>1</v>
      </c>
      <c r="Q1314" s="27">
        <v>9</v>
      </c>
      <c r="R1314" s="27">
        <v>1</v>
      </c>
      <c r="S1314" s="27">
        <v>2</v>
      </c>
      <c r="T1314" s="27">
        <v>2956</v>
      </c>
      <c r="U1314" s="27">
        <v>21495</v>
      </c>
      <c r="V1314" s="27">
        <v>0</v>
      </c>
      <c r="W1314" s="27">
        <v>0</v>
      </c>
      <c r="X1314" s="27">
        <v>17</v>
      </c>
      <c r="Y1314" s="27">
        <v>3</v>
      </c>
      <c r="Z1314" s="27">
        <v>3</v>
      </c>
      <c r="AA1314" s="27">
        <v>80</v>
      </c>
      <c r="AB1314" s="27">
        <v>0</v>
      </c>
      <c r="AC1314" s="27">
        <v>2</v>
      </c>
      <c r="AD1314" s="27">
        <v>4</v>
      </c>
      <c r="AE1314" s="27">
        <v>3</v>
      </c>
      <c r="AF1314" s="27">
        <v>1</v>
      </c>
      <c r="AG1314" s="27">
        <v>0</v>
      </c>
      <c r="AH1314" s="27">
        <v>0</v>
      </c>
      <c r="AI1314" s="28">
        <v>0</v>
      </c>
      <c r="AK1314" s="36">
        <v>1281</v>
      </c>
      <c r="AL1314" s="33">
        <v>8</v>
      </c>
      <c r="AM1314" s="33">
        <v>2</v>
      </c>
      <c r="AN1314" s="33">
        <v>2</v>
      </c>
      <c r="AO1314" s="33">
        <v>2</v>
      </c>
      <c r="AP1314" s="33">
        <v>0</v>
      </c>
      <c r="AQ1314" s="33">
        <v>0</v>
      </c>
      <c r="AR1314" s="33">
        <v>2</v>
      </c>
      <c r="AS1314" s="33">
        <v>10</v>
      </c>
      <c r="AT1314" s="33">
        <v>4</v>
      </c>
      <c r="AU1314" s="43">
        <v>0.14921295421349323</v>
      </c>
      <c r="AV1314" s="33">
        <v>0</v>
      </c>
      <c r="AW1314" s="33">
        <v>0</v>
      </c>
      <c r="AY1314" s="36">
        <v>1286</v>
      </c>
      <c r="AZ1314" s="33">
        <v>2</v>
      </c>
      <c r="BA1314" s="33">
        <v>2</v>
      </c>
      <c r="BB1314" s="33">
        <v>0</v>
      </c>
      <c r="BC1314" s="33">
        <v>0</v>
      </c>
      <c r="BD1314" s="43">
        <v>0.15063023792355215</v>
      </c>
      <c r="BE1314" s="33">
        <v>0</v>
      </c>
      <c r="BF1314" s="33">
        <v>0</v>
      </c>
      <c r="CE1314" s="36">
        <v>1280</v>
      </c>
      <c r="CF1314" s="33">
        <v>1</v>
      </c>
      <c r="CG1314" s="33">
        <v>1</v>
      </c>
      <c r="CH1314" s="33">
        <v>2</v>
      </c>
      <c r="CI1314" s="33">
        <v>3</v>
      </c>
      <c r="CJ1314" s="33">
        <v>1</v>
      </c>
      <c r="CK1314" s="33">
        <v>1</v>
      </c>
      <c r="CL1314" s="33">
        <v>3</v>
      </c>
      <c r="CM1314" s="33">
        <v>2</v>
      </c>
      <c r="CN1314" s="33">
        <v>5</v>
      </c>
      <c r="CO1314" s="33">
        <v>2</v>
      </c>
      <c r="CP1314" s="43">
        <v>0.19201819119072391</v>
      </c>
      <c r="CQ1314" s="33">
        <v>0</v>
      </c>
      <c r="CR1314" s="33">
        <v>1</v>
      </c>
    </row>
    <row r="1315" spans="1:96" ht="15" customHeight="1" x14ac:dyDescent="0.25">
      <c r="A1315" s="26">
        <v>1313</v>
      </c>
      <c r="B1315" s="27">
        <v>29</v>
      </c>
      <c r="C1315" s="27">
        <v>1</v>
      </c>
      <c r="D1315" s="27">
        <v>1</v>
      </c>
      <c r="E1315" s="27">
        <v>350</v>
      </c>
      <c r="F1315" s="27">
        <v>3</v>
      </c>
      <c r="G1315" s="27">
        <v>13</v>
      </c>
      <c r="H1315" s="27">
        <v>3</v>
      </c>
      <c r="I1315" s="27">
        <v>2</v>
      </c>
      <c r="J1315" s="27">
        <v>1</v>
      </c>
      <c r="K1315" s="27">
        <v>1844</v>
      </c>
      <c r="L1315" s="27">
        <v>1</v>
      </c>
      <c r="M1315" s="27">
        <v>1</v>
      </c>
      <c r="N1315" s="27">
        <v>56</v>
      </c>
      <c r="O1315" s="27">
        <v>2</v>
      </c>
      <c r="P1315" s="27">
        <v>1</v>
      </c>
      <c r="Q1315" s="27">
        <v>9</v>
      </c>
      <c r="R1315" s="27">
        <v>1</v>
      </c>
      <c r="S1315" s="27">
        <v>3</v>
      </c>
      <c r="T1315" s="27">
        <v>2335</v>
      </c>
      <c r="U1315" s="27">
        <v>3157</v>
      </c>
      <c r="V1315" s="27">
        <v>4</v>
      </c>
      <c r="W1315" s="27">
        <v>1</v>
      </c>
      <c r="X1315" s="27">
        <v>15</v>
      </c>
      <c r="Y1315" s="27">
        <v>3</v>
      </c>
      <c r="Z1315" s="27">
        <v>4</v>
      </c>
      <c r="AA1315" s="27">
        <v>80</v>
      </c>
      <c r="AB1315" s="27">
        <v>3</v>
      </c>
      <c r="AC1315" s="27">
        <v>4</v>
      </c>
      <c r="AD1315" s="27">
        <v>3</v>
      </c>
      <c r="AE1315" s="27">
        <v>3</v>
      </c>
      <c r="AF1315" s="27">
        <v>2</v>
      </c>
      <c r="AG1315" s="27">
        <v>2</v>
      </c>
      <c r="AH1315" s="27">
        <v>2</v>
      </c>
      <c r="AI1315" s="28">
        <v>0</v>
      </c>
      <c r="AK1315" s="36">
        <v>1282</v>
      </c>
      <c r="AL1315" s="33">
        <v>27</v>
      </c>
      <c r="AM1315" s="33">
        <v>2</v>
      </c>
      <c r="AN1315" s="33">
        <v>4</v>
      </c>
      <c r="AO1315" s="33">
        <v>1</v>
      </c>
      <c r="AP1315" s="33">
        <v>1</v>
      </c>
      <c r="AQ1315" s="33">
        <v>0</v>
      </c>
      <c r="AR1315" s="33">
        <v>3</v>
      </c>
      <c r="AS1315" s="33">
        <v>10</v>
      </c>
      <c r="AT1315" s="33">
        <v>7</v>
      </c>
      <c r="AU1315" s="43">
        <v>0.45340014965113273</v>
      </c>
      <c r="AV1315" s="33">
        <v>0</v>
      </c>
      <c r="AW1315" s="33">
        <v>1</v>
      </c>
      <c r="AY1315" s="36">
        <v>1287</v>
      </c>
      <c r="AZ1315" s="33">
        <v>1</v>
      </c>
      <c r="BA1315" s="33">
        <v>1</v>
      </c>
      <c r="BB1315" s="33">
        <v>0</v>
      </c>
      <c r="BC1315" s="33">
        <v>1</v>
      </c>
      <c r="BD1315" s="43">
        <v>0.19678474515944386</v>
      </c>
      <c r="BE1315" s="33">
        <v>0</v>
      </c>
      <c r="BF1315" s="33">
        <v>0</v>
      </c>
      <c r="CE1315" s="36">
        <v>1281</v>
      </c>
      <c r="CF1315" s="33">
        <v>8</v>
      </c>
      <c r="CG1315" s="33">
        <v>2</v>
      </c>
      <c r="CH1315" s="33">
        <v>2</v>
      </c>
      <c r="CI1315" s="33">
        <v>3</v>
      </c>
      <c r="CJ1315" s="33">
        <v>2</v>
      </c>
      <c r="CK1315" s="33">
        <v>0</v>
      </c>
      <c r="CL1315" s="33">
        <v>0</v>
      </c>
      <c r="CM1315" s="33">
        <v>2</v>
      </c>
      <c r="CN1315" s="33">
        <v>10</v>
      </c>
      <c r="CO1315" s="33">
        <v>4</v>
      </c>
      <c r="CP1315" s="43">
        <v>6.6926574895640273E-2</v>
      </c>
      <c r="CQ1315" s="33">
        <v>0</v>
      </c>
      <c r="CR1315" s="33">
        <v>0</v>
      </c>
    </row>
    <row r="1316" spans="1:96" ht="15" customHeight="1" x14ac:dyDescent="0.25">
      <c r="A1316" s="26">
        <v>1314</v>
      </c>
      <c r="B1316" s="27">
        <v>45</v>
      </c>
      <c r="C1316" s="27">
        <v>0</v>
      </c>
      <c r="D1316" s="27">
        <v>3</v>
      </c>
      <c r="E1316" s="27">
        <v>589</v>
      </c>
      <c r="F1316" s="27">
        <v>1</v>
      </c>
      <c r="G1316" s="27">
        <v>2</v>
      </c>
      <c r="H1316" s="27">
        <v>4</v>
      </c>
      <c r="I1316" s="27">
        <v>1</v>
      </c>
      <c r="J1316" s="27">
        <v>1</v>
      </c>
      <c r="K1316" s="27">
        <v>1845</v>
      </c>
      <c r="L1316" s="27">
        <v>3</v>
      </c>
      <c r="M1316" s="27">
        <v>0</v>
      </c>
      <c r="N1316" s="27">
        <v>67</v>
      </c>
      <c r="O1316" s="27">
        <v>3</v>
      </c>
      <c r="P1316" s="27">
        <v>2</v>
      </c>
      <c r="Q1316" s="27">
        <v>1</v>
      </c>
      <c r="R1316" s="27">
        <v>3</v>
      </c>
      <c r="S1316" s="27">
        <v>2</v>
      </c>
      <c r="T1316" s="27">
        <v>5154</v>
      </c>
      <c r="U1316" s="27">
        <v>19665</v>
      </c>
      <c r="V1316" s="27">
        <v>4</v>
      </c>
      <c r="W1316" s="27">
        <v>0</v>
      </c>
      <c r="X1316" s="27">
        <v>22</v>
      </c>
      <c r="Y1316" s="27">
        <v>4</v>
      </c>
      <c r="Z1316" s="27">
        <v>2</v>
      </c>
      <c r="AA1316" s="27">
        <v>80</v>
      </c>
      <c r="AB1316" s="27">
        <v>2</v>
      </c>
      <c r="AC1316" s="27">
        <v>10</v>
      </c>
      <c r="AD1316" s="27">
        <v>3</v>
      </c>
      <c r="AE1316" s="27">
        <v>4</v>
      </c>
      <c r="AF1316" s="27">
        <v>8</v>
      </c>
      <c r="AG1316" s="27">
        <v>7</v>
      </c>
      <c r="AH1316" s="27">
        <v>5</v>
      </c>
      <c r="AI1316" s="28">
        <v>7</v>
      </c>
      <c r="AK1316" s="36">
        <v>1283</v>
      </c>
      <c r="AL1316" s="33">
        <v>8</v>
      </c>
      <c r="AM1316" s="33">
        <v>1</v>
      </c>
      <c r="AN1316" s="33">
        <v>1</v>
      </c>
      <c r="AO1316" s="33">
        <v>6</v>
      </c>
      <c r="AP1316" s="33">
        <v>0</v>
      </c>
      <c r="AQ1316" s="33">
        <v>1</v>
      </c>
      <c r="AR1316" s="33">
        <v>3</v>
      </c>
      <c r="AS1316" s="33">
        <v>10</v>
      </c>
      <c r="AT1316" s="33">
        <v>7</v>
      </c>
      <c r="AU1316" s="43">
        <v>0.26486313392754907</v>
      </c>
      <c r="AV1316" s="33">
        <v>0</v>
      </c>
      <c r="AW1316" s="33">
        <v>0</v>
      </c>
      <c r="AY1316" s="36">
        <v>1288</v>
      </c>
      <c r="AZ1316" s="33">
        <v>2</v>
      </c>
      <c r="BA1316" s="33">
        <v>1</v>
      </c>
      <c r="BB1316" s="33">
        <v>0</v>
      </c>
      <c r="BC1316" s="33">
        <v>2</v>
      </c>
      <c r="BD1316" s="43">
        <v>7.638126547101505E-2</v>
      </c>
      <c r="BE1316" s="33">
        <v>0</v>
      </c>
      <c r="BF1316" s="33">
        <v>0</v>
      </c>
      <c r="CE1316" s="36">
        <v>1282</v>
      </c>
      <c r="CF1316" s="33">
        <v>27</v>
      </c>
      <c r="CG1316" s="33">
        <v>2</v>
      </c>
      <c r="CH1316" s="33">
        <v>4</v>
      </c>
      <c r="CI1316" s="33">
        <v>1</v>
      </c>
      <c r="CJ1316" s="33">
        <v>1</v>
      </c>
      <c r="CK1316" s="33">
        <v>1</v>
      </c>
      <c r="CL1316" s="33">
        <v>0</v>
      </c>
      <c r="CM1316" s="33">
        <v>3</v>
      </c>
      <c r="CN1316" s="33">
        <v>10</v>
      </c>
      <c r="CO1316" s="33">
        <v>7</v>
      </c>
      <c r="CP1316" s="43">
        <v>0.50406252053095779</v>
      </c>
      <c r="CQ1316" s="33">
        <v>1</v>
      </c>
      <c r="CR1316" s="33">
        <v>1</v>
      </c>
    </row>
    <row r="1317" spans="1:96" ht="15" customHeight="1" x14ac:dyDescent="0.25">
      <c r="A1317" s="26">
        <v>1315</v>
      </c>
      <c r="B1317" s="27">
        <v>36</v>
      </c>
      <c r="C1317" s="27">
        <v>0</v>
      </c>
      <c r="D1317" s="27">
        <v>1</v>
      </c>
      <c r="E1317" s="27">
        <v>430</v>
      </c>
      <c r="F1317" s="27">
        <v>2</v>
      </c>
      <c r="G1317" s="27">
        <v>2</v>
      </c>
      <c r="H1317" s="27">
        <v>4</v>
      </c>
      <c r="I1317" s="27">
        <v>6</v>
      </c>
      <c r="J1317" s="27">
        <v>1</v>
      </c>
      <c r="K1317" s="27">
        <v>1847</v>
      </c>
      <c r="L1317" s="27">
        <v>4</v>
      </c>
      <c r="M1317" s="27">
        <v>0</v>
      </c>
      <c r="N1317" s="27">
        <v>73</v>
      </c>
      <c r="O1317" s="27">
        <v>3</v>
      </c>
      <c r="P1317" s="27">
        <v>2</v>
      </c>
      <c r="Q1317" s="27">
        <v>2</v>
      </c>
      <c r="R1317" s="27">
        <v>2</v>
      </c>
      <c r="S1317" s="27">
        <v>2</v>
      </c>
      <c r="T1317" s="27">
        <v>6962</v>
      </c>
      <c r="U1317" s="27">
        <v>19573</v>
      </c>
      <c r="V1317" s="27">
        <v>4</v>
      </c>
      <c r="W1317" s="27">
        <v>1</v>
      </c>
      <c r="X1317" s="27">
        <v>22</v>
      </c>
      <c r="Y1317" s="27">
        <v>4</v>
      </c>
      <c r="Z1317" s="27">
        <v>4</v>
      </c>
      <c r="AA1317" s="27">
        <v>80</v>
      </c>
      <c r="AB1317" s="27">
        <v>1</v>
      </c>
      <c r="AC1317" s="27">
        <v>15</v>
      </c>
      <c r="AD1317" s="27">
        <v>2</v>
      </c>
      <c r="AE1317" s="27">
        <v>3</v>
      </c>
      <c r="AF1317" s="27">
        <v>1</v>
      </c>
      <c r="AG1317" s="27">
        <v>0</v>
      </c>
      <c r="AH1317" s="27">
        <v>0</v>
      </c>
      <c r="AI1317" s="28">
        <v>0</v>
      </c>
      <c r="AK1317" s="36">
        <v>1284</v>
      </c>
      <c r="AL1317" s="33">
        <v>1</v>
      </c>
      <c r="AM1317" s="33">
        <v>1</v>
      </c>
      <c r="AN1317" s="33">
        <v>4</v>
      </c>
      <c r="AO1317" s="33">
        <v>1</v>
      </c>
      <c r="AP1317" s="33">
        <v>0</v>
      </c>
      <c r="AQ1317" s="33">
        <v>1</v>
      </c>
      <c r="AR1317" s="33">
        <v>4</v>
      </c>
      <c r="AS1317" s="33">
        <v>5</v>
      </c>
      <c r="AT1317" s="33">
        <v>0</v>
      </c>
      <c r="AU1317" s="43">
        <v>3.8502602244945137E-2</v>
      </c>
      <c r="AV1317" s="33">
        <v>0</v>
      </c>
      <c r="AW1317" s="33">
        <v>0</v>
      </c>
      <c r="AY1317" s="36">
        <v>1289</v>
      </c>
      <c r="AZ1317" s="33">
        <v>2</v>
      </c>
      <c r="BA1317" s="33">
        <v>4</v>
      </c>
      <c r="BB1317" s="33">
        <v>0</v>
      </c>
      <c r="BC1317" s="33">
        <v>1</v>
      </c>
      <c r="BD1317" s="43">
        <v>5.5093218126976727E-2</v>
      </c>
      <c r="BE1317" s="33">
        <v>0</v>
      </c>
      <c r="BF1317" s="33">
        <v>0</v>
      </c>
      <c r="CE1317" s="36">
        <v>1283</v>
      </c>
      <c r="CF1317" s="33">
        <v>8</v>
      </c>
      <c r="CG1317" s="33">
        <v>1</v>
      </c>
      <c r="CH1317" s="33">
        <v>1</v>
      </c>
      <c r="CI1317" s="33">
        <v>2</v>
      </c>
      <c r="CJ1317" s="33">
        <v>6</v>
      </c>
      <c r="CK1317" s="33">
        <v>0</v>
      </c>
      <c r="CL1317" s="33">
        <v>1</v>
      </c>
      <c r="CM1317" s="33">
        <v>3</v>
      </c>
      <c r="CN1317" s="33">
        <v>10</v>
      </c>
      <c r="CO1317" s="33">
        <v>7</v>
      </c>
      <c r="CP1317" s="43">
        <v>0.26678641975649769</v>
      </c>
      <c r="CQ1317" s="33">
        <v>0</v>
      </c>
      <c r="CR1317" s="33">
        <v>0</v>
      </c>
    </row>
    <row r="1318" spans="1:96" ht="15" customHeight="1" x14ac:dyDescent="0.25">
      <c r="A1318" s="26">
        <v>1316</v>
      </c>
      <c r="B1318" s="27">
        <v>43</v>
      </c>
      <c r="C1318" s="27">
        <v>0</v>
      </c>
      <c r="D1318" s="27">
        <v>2</v>
      </c>
      <c r="E1318" s="27">
        <v>1422</v>
      </c>
      <c r="F1318" s="27">
        <v>1</v>
      </c>
      <c r="G1318" s="27">
        <v>2</v>
      </c>
      <c r="H1318" s="27">
        <v>4</v>
      </c>
      <c r="I1318" s="27">
        <v>1</v>
      </c>
      <c r="J1318" s="27">
        <v>1</v>
      </c>
      <c r="K1318" s="27">
        <v>1849</v>
      </c>
      <c r="L1318" s="27">
        <v>1</v>
      </c>
      <c r="M1318" s="27">
        <v>1</v>
      </c>
      <c r="N1318" s="27">
        <v>92</v>
      </c>
      <c r="O1318" s="27">
        <v>3</v>
      </c>
      <c r="P1318" s="27">
        <v>2</v>
      </c>
      <c r="Q1318" s="27">
        <v>1</v>
      </c>
      <c r="R1318" s="27">
        <v>4</v>
      </c>
      <c r="S1318" s="27">
        <v>2</v>
      </c>
      <c r="T1318" s="27">
        <v>5675</v>
      </c>
      <c r="U1318" s="27">
        <v>19246</v>
      </c>
      <c r="V1318" s="27">
        <v>1</v>
      </c>
      <c r="W1318" s="27">
        <v>0</v>
      </c>
      <c r="X1318" s="27">
        <v>20</v>
      </c>
      <c r="Y1318" s="27">
        <v>4</v>
      </c>
      <c r="Z1318" s="27">
        <v>3</v>
      </c>
      <c r="AA1318" s="27">
        <v>80</v>
      </c>
      <c r="AB1318" s="27">
        <v>1</v>
      </c>
      <c r="AC1318" s="27">
        <v>7</v>
      </c>
      <c r="AD1318" s="27">
        <v>5</v>
      </c>
      <c r="AE1318" s="27">
        <v>3</v>
      </c>
      <c r="AF1318" s="27">
        <v>7</v>
      </c>
      <c r="AG1318" s="27">
        <v>7</v>
      </c>
      <c r="AH1318" s="27">
        <v>7</v>
      </c>
      <c r="AI1318" s="28">
        <v>7</v>
      </c>
      <c r="AK1318" s="36">
        <v>1285</v>
      </c>
      <c r="AL1318" s="33">
        <v>10</v>
      </c>
      <c r="AM1318" s="33">
        <v>3</v>
      </c>
      <c r="AN1318" s="33">
        <v>3</v>
      </c>
      <c r="AO1318" s="33">
        <v>7</v>
      </c>
      <c r="AP1318" s="33">
        <v>0</v>
      </c>
      <c r="AQ1318" s="33">
        <v>0</v>
      </c>
      <c r="AR1318" s="33">
        <v>3</v>
      </c>
      <c r="AS1318" s="33">
        <v>4</v>
      </c>
      <c r="AT1318" s="33">
        <v>2</v>
      </c>
      <c r="AU1318" s="43">
        <v>0.10680575415492839</v>
      </c>
      <c r="AV1318" s="33">
        <v>0</v>
      </c>
      <c r="AW1318" s="33">
        <v>0</v>
      </c>
      <c r="AY1318" s="36">
        <v>1290</v>
      </c>
      <c r="AZ1318" s="33">
        <v>1</v>
      </c>
      <c r="BA1318" s="33">
        <v>2</v>
      </c>
      <c r="BB1318" s="33">
        <v>0</v>
      </c>
      <c r="BC1318" s="33">
        <v>3</v>
      </c>
      <c r="BD1318" s="43">
        <v>5.9851914082878141E-2</v>
      </c>
      <c r="BE1318" s="33">
        <v>0</v>
      </c>
      <c r="BF1318" s="33">
        <v>0</v>
      </c>
      <c r="CE1318" s="36">
        <v>1284</v>
      </c>
      <c r="CF1318" s="33">
        <v>1</v>
      </c>
      <c r="CG1318" s="33">
        <v>1</v>
      </c>
      <c r="CH1318" s="33">
        <v>4</v>
      </c>
      <c r="CI1318" s="33">
        <v>2</v>
      </c>
      <c r="CJ1318" s="33">
        <v>1</v>
      </c>
      <c r="CK1318" s="33">
        <v>0</v>
      </c>
      <c r="CL1318" s="33">
        <v>1</v>
      </c>
      <c r="CM1318" s="33">
        <v>4</v>
      </c>
      <c r="CN1318" s="33">
        <v>5</v>
      </c>
      <c r="CO1318" s="33">
        <v>0</v>
      </c>
      <c r="CP1318" s="43">
        <v>3.5467063321544215E-2</v>
      </c>
      <c r="CQ1318" s="33">
        <v>0</v>
      </c>
      <c r="CR1318" s="33">
        <v>0</v>
      </c>
    </row>
    <row r="1319" spans="1:96" ht="15" customHeight="1" x14ac:dyDescent="0.25">
      <c r="A1319" s="26">
        <v>1317</v>
      </c>
      <c r="B1319" s="27">
        <v>27</v>
      </c>
      <c r="C1319" s="27">
        <v>0</v>
      </c>
      <c r="D1319" s="27">
        <v>2</v>
      </c>
      <c r="E1319" s="27">
        <v>1297</v>
      </c>
      <c r="F1319" s="27">
        <v>2</v>
      </c>
      <c r="G1319" s="27">
        <v>5</v>
      </c>
      <c r="H1319" s="27">
        <v>2</v>
      </c>
      <c r="I1319" s="27">
        <v>1</v>
      </c>
      <c r="J1319" s="27">
        <v>1</v>
      </c>
      <c r="K1319" s="27">
        <v>1850</v>
      </c>
      <c r="L1319" s="27">
        <v>4</v>
      </c>
      <c r="M1319" s="27">
        <v>0</v>
      </c>
      <c r="N1319" s="27">
        <v>53</v>
      </c>
      <c r="O1319" s="27">
        <v>3</v>
      </c>
      <c r="P1319" s="27">
        <v>1</v>
      </c>
      <c r="Q1319" s="27">
        <v>3</v>
      </c>
      <c r="R1319" s="27">
        <v>4</v>
      </c>
      <c r="S1319" s="27">
        <v>1</v>
      </c>
      <c r="T1319" s="27">
        <v>2379</v>
      </c>
      <c r="U1319" s="27">
        <v>19826</v>
      </c>
      <c r="V1319" s="27">
        <v>0</v>
      </c>
      <c r="W1319" s="27">
        <v>1</v>
      </c>
      <c r="X1319" s="27">
        <v>14</v>
      </c>
      <c r="Y1319" s="27">
        <v>3</v>
      </c>
      <c r="Z1319" s="27">
        <v>3</v>
      </c>
      <c r="AA1319" s="27">
        <v>80</v>
      </c>
      <c r="AB1319" s="27">
        <v>0</v>
      </c>
      <c r="AC1319" s="27">
        <v>6</v>
      </c>
      <c r="AD1319" s="27">
        <v>3</v>
      </c>
      <c r="AE1319" s="27">
        <v>2</v>
      </c>
      <c r="AF1319" s="27">
        <v>5</v>
      </c>
      <c r="AG1319" s="27">
        <v>4</v>
      </c>
      <c r="AH1319" s="27">
        <v>0</v>
      </c>
      <c r="AI1319" s="28">
        <v>2</v>
      </c>
      <c r="AK1319" s="36">
        <v>1286</v>
      </c>
      <c r="AL1319" s="33">
        <v>26</v>
      </c>
      <c r="AM1319" s="33">
        <v>2</v>
      </c>
      <c r="AN1319" s="33">
        <v>2</v>
      </c>
      <c r="AO1319" s="33">
        <v>8</v>
      </c>
      <c r="AP1319" s="33">
        <v>0</v>
      </c>
      <c r="AQ1319" s="33">
        <v>0</v>
      </c>
      <c r="AR1319" s="33">
        <v>3</v>
      </c>
      <c r="AS1319" s="33">
        <v>2</v>
      </c>
      <c r="AT1319" s="33">
        <v>2</v>
      </c>
      <c r="AU1319" s="43">
        <v>0.37430142872454741</v>
      </c>
      <c r="AV1319" s="33">
        <v>0</v>
      </c>
      <c r="AW1319" s="33">
        <v>0</v>
      </c>
      <c r="AY1319" s="36">
        <v>1291</v>
      </c>
      <c r="AZ1319" s="33">
        <v>2</v>
      </c>
      <c r="BA1319" s="33">
        <v>1</v>
      </c>
      <c r="BB1319" s="33">
        <v>0</v>
      </c>
      <c r="BC1319" s="33">
        <v>1</v>
      </c>
      <c r="BD1319" s="43">
        <v>0.12293502213131684</v>
      </c>
      <c r="BE1319" s="33">
        <v>0</v>
      </c>
      <c r="BF1319" s="33">
        <v>1</v>
      </c>
      <c r="CE1319" s="36">
        <v>1285</v>
      </c>
      <c r="CF1319" s="33">
        <v>10</v>
      </c>
      <c r="CG1319" s="33">
        <v>3</v>
      </c>
      <c r="CH1319" s="33">
        <v>3</v>
      </c>
      <c r="CI1319" s="33">
        <v>1</v>
      </c>
      <c r="CJ1319" s="33">
        <v>7</v>
      </c>
      <c r="CK1319" s="33">
        <v>0</v>
      </c>
      <c r="CL1319" s="33">
        <v>0</v>
      </c>
      <c r="CM1319" s="33">
        <v>3</v>
      </c>
      <c r="CN1319" s="33">
        <v>4</v>
      </c>
      <c r="CO1319" s="33">
        <v>2</v>
      </c>
      <c r="CP1319" s="43">
        <v>0.12689702193885033</v>
      </c>
      <c r="CQ1319" s="33">
        <v>0</v>
      </c>
      <c r="CR1319" s="33">
        <v>0</v>
      </c>
    </row>
    <row r="1320" spans="1:96" ht="15" customHeight="1" x14ac:dyDescent="0.25">
      <c r="A1320" s="26">
        <v>1318</v>
      </c>
      <c r="B1320" s="27">
        <v>29</v>
      </c>
      <c r="C1320" s="27">
        <v>0</v>
      </c>
      <c r="D1320" s="27">
        <v>2</v>
      </c>
      <c r="E1320" s="27">
        <v>574</v>
      </c>
      <c r="F1320" s="27">
        <v>2</v>
      </c>
      <c r="G1320" s="27">
        <v>20</v>
      </c>
      <c r="H1320" s="27">
        <v>1</v>
      </c>
      <c r="I1320" s="27">
        <v>3</v>
      </c>
      <c r="J1320" s="27">
        <v>1</v>
      </c>
      <c r="K1320" s="27">
        <v>1852</v>
      </c>
      <c r="L1320" s="27">
        <v>4</v>
      </c>
      <c r="M1320" s="27">
        <v>1</v>
      </c>
      <c r="N1320" s="27">
        <v>40</v>
      </c>
      <c r="O1320" s="27">
        <v>3</v>
      </c>
      <c r="P1320" s="27">
        <v>1</v>
      </c>
      <c r="Q1320" s="27">
        <v>3</v>
      </c>
      <c r="R1320" s="27">
        <v>4</v>
      </c>
      <c r="S1320" s="27">
        <v>2</v>
      </c>
      <c r="T1320" s="27">
        <v>3812</v>
      </c>
      <c r="U1320" s="27">
        <v>7003</v>
      </c>
      <c r="V1320" s="27">
        <v>1</v>
      </c>
      <c r="W1320" s="27">
        <v>0</v>
      </c>
      <c r="X1320" s="27">
        <v>13</v>
      </c>
      <c r="Y1320" s="27">
        <v>3</v>
      </c>
      <c r="Z1320" s="27">
        <v>2</v>
      </c>
      <c r="AA1320" s="27">
        <v>80</v>
      </c>
      <c r="AB1320" s="27">
        <v>0</v>
      </c>
      <c r="AC1320" s="27">
        <v>11</v>
      </c>
      <c r="AD1320" s="27">
        <v>3</v>
      </c>
      <c r="AE1320" s="27">
        <v>4</v>
      </c>
      <c r="AF1320" s="27">
        <v>11</v>
      </c>
      <c r="AG1320" s="27">
        <v>8</v>
      </c>
      <c r="AH1320" s="27">
        <v>3</v>
      </c>
      <c r="AI1320" s="28">
        <v>10</v>
      </c>
      <c r="AK1320" s="36">
        <v>1287</v>
      </c>
      <c r="AL1320" s="33">
        <v>2</v>
      </c>
      <c r="AM1320" s="33">
        <v>1</v>
      </c>
      <c r="AN1320" s="33">
        <v>1</v>
      </c>
      <c r="AO1320" s="33">
        <v>4</v>
      </c>
      <c r="AP1320" s="33">
        <v>0</v>
      </c>
      <c r="AQ1320" s="33">
        <v>1</v>
      </c>
      <c r="AR1320" s="33">
        <v>2</v>
      </c>
      <c r="AS1320" s="33">
        <v>4</v>
      </c>
      <c r="AT1320" s="33">
        <v>0</v>
      </c>
      <c r="AU1320" s="43">
        <v>0.1796218121547315</v>
      </c>
      <c r="AV1320" s="33">
        <v>0</v>
      </c>
      <c r="AW1320" s="33">
        <v>0</v>
      </c>
      <c r="AY1320" s="36">
        <v>1292</v>
      </c>
      <c r="AZ1320" s="33">
        <v>2</v>
      </c>
      <c r="BA1320" s="33">
        <v>1</v>
      </c>
      <c r="BB1320" s="33">
        <v>0</v>
      </c>
      <c r="BC1320" s="33">
        <v>0</v>
      </c>
      <c r="BD1320" s="43">
        <v>0.19196561144667343</v>
      </c>
      <c r="BE1320" s="33">
        <v>0</v>
      </c>
      <c r="BF1320" s="33">
        <v>1</v>
      </c>
      <c r="CE1320" s="36">
        <v>1286</v>
      </c>
      <c r="CF1320" s="33">
        <v>26</v>
      </c>
      <c r="CG1320" s="33">
        <v>2</v>
      </c>
      <c r="CH1320" s="33">
        <v>2</v>
      </c>
      <c r="CI1320" s="33">
        <v>1</v>
      </c>
      <c r="CJ1320" s="33">
        <v>8</v>
      </c>
      <c r="CK1320" s="33">
        <v>0</v>
      </c>
      <c r="CL1320" s="33">
        <v>0</v>
      </c>
      <c r="CM1320" s="33">
        <v>3</v>
      </c>
      <c r="CN1320" s="33">
        <v>2</v>
      </c>
      <c r="CO1320" s="33">
        <v>2</v>
      </c>
      <c r="CP1320" s="43">
        <v>0.42208999957903875</v>
      </c>
      <c r="CQ1320" s="33">
        <v>0</v>
      </c>
      <c r="CR1320" s="33">
        <v>0</v>
      </c>
    </row>
    <row r="1321" spans="1:96" ht="15" customHeight="1" x14ac:dyDescent="0.25">
      <c r="A1321" s="26">
        <v>1319</v>
      </c>
      <c r="B1321" s="27">
        <v>32</v>
      </c>
      <c r="C1321" s="27">
        <v>0</v>
      </c>
      <c r="D1321" s="27">
        <v>2</v>
      </c>
      <c r="E1321" s="27">
        <v>1318</v>
      </c>
      <c r="F1321" s="27">
        <v>1</v>
      </c>
      <c r="G1321" s="27">
        <v>10</v>
      </c>
      <c r="H1321" s="27">
        <v>4</v>
      </c>
      <c r="I1321" s="27">
        <v>4</v>
      </c>
      <c r="J1321" s="27">
        <v>1</v>
      </c>
      <c r="K1321" s="27">
        <v>1853</v>
      </c>
      <c r="L1321" s="27">
        <v>4</v>
      </c>
      <c r="M1321" s="27">
        <v>1</v>
      </c>
      <c r="N1321" s="27">
        <v>79</v>
      </c>
      <c r="O1321" s="27">
        <v>3</v>
      </c>
      <c r="P1321" s="27">
        <v>2</v>
      </c>
      <c r="Q1321" s="27">
        <v>1</v>
      </c>
      <c r="R1321" s="27">
        <v>4</v>
      </c>
      <c r="S1321" s="27">
        <v>1</v>
      </c>
      <c r="T1321" s="27">
        <v>4648</v>
      </c>
      <c r="U1321" s="27">
        <v>26075</v>
      </c>
      <c r="V1321" s="27">
        <v>8</v>
      </c>
      <c r="W1321" s="27">
        <v>0</v>
      </c>
      <c r="X1321" s="27">
        <v>13</v>
      </c>
      <c r="Y1321" s="27">
        <v>3</v>
      </c>
      <c r="Z1321" s="27">
        <v>3</v>
      </c>
      <c r="AA1321" s="27">
        <v>80</v>
      </c>
      <c r="AB1321" s="27">
        <v>0</v>
      </c>
      <c r="AC1321" s="27">
        <v>4</v>
      </c>
      <c r="AD1321" s="27">
        <v>2</v>
      </c>
      <c r="AE1321" s="27">
        <v>4</v>
      </c>
      <c r="AF1321" s="27">
        <v>0</v>
      </c>
      <c r="AG1321" s="27">
        <v>0</v>
      </c>
      <c r="AH1321" s="27">
        <v>0</v>
      </c>
      <c r="AI1321" s="28">
        <v>0</v>
      </c>
      <c r="AK1321" s="36">
        <v>1288</v>
      </c>
      <c r="AL1321" s="33">
        <v>13</v>
      </c>
      <c r="AM1321" s="33">
        <v>2</v>
      </c>
      <c r="AN1321" s="33">
        <v>1</v>
      </c>
      <c r="AO1321" s="33">
        <v>5</v>
      </c>
      <c r="AP1321" s="33">
        <v>0</v>
      </c>
      <c r="AQ1321" s="33">
        <v>2</v>
      </c>
      <c r="AR1321" s="33">
        <v>2</v>
      </c>
      <c r="AS1321" s="33">
        <v>0</v>
      </c>
      <c r="AT1321" s="33">
        <v>0</v>
      </c>
      <c r="AU1321" s="43">
        <v>0.13065160747020474</v>
      </c>
      <c r="AV1321" s="33">
        <v>0</v>
      </c>
      <c r="AW1321" s="33">
        <v>0</v>
      </c>
      <c r="AY1321" s="36">
        <v>1293</v>
      </c>
      <c r="AZ1321" s="33">
        <v>2</v>
      </c>
      <c r="BA1321" s="33">
        <v>4</v>
      </c>
      <c r="BB1321" s="33">
        <v>0</v>
      </c>
      <c r="BC1321" s="33">
        <v>1</v>
      </c>
      <c r="BD1321" s="43">
        <v>5.5093218126976727E-2</v>
      </c>
      <c r="BE1321" s="33">
        <v>0</v>
      </c>
      <c r="BF1321" s="33">
        <v>0</v>
      </c>
      <c r="CE1321" s="36">
        <v>1287</v>
      </c>
      <c r="CF1321" s="33">
        <v>2</v>
      </c>
      <c r="CG1321" s="33">
        <v>1</v>
      </c>
      <c r="CH1321" s="33">
        <v>1</v>
      </c>
      <c r="CI1321" s="33">
        <v>2</v>
      </c>
      <c r="CJ1321" s="33">
        <v>4</v>
      </c>
      <c r="CK1321" s="33">
        <v>0</v>
      </c>
      <c r="CL1321" s="33">
        <v>1</v>
      </c>
      <c r="CM1321" s="33">
        <v>2</v>
      </c>
      <c r="CN1321" s="33">
        <v>4</v>
      </c>
      <c r="CO1321" s="33">
        <v>0</v>
      </c>
      <c r="CP1321" s="43">
        <v>0.18065576643163667</v>
      </c>
      <c r="CQ1321" s="33">
        <v>0</v>
      </c>
      <c r="CR1321" s="33">
        <v>0</v>
      </c>
    </row>
    <row r="1322" spans="1:96" ht="15" customHeight="1" x14ac:dyDescent="0.25">
      <c r="A1322" s="26">
        <v>1320</v>
      </c>
      <c r="B1322" s="27">
        <v>42</v>
      </c>
      <c r="C1322" s="27">
        <v>0</v>
      </c>
      <c r="D1322" s="27">
        <v>3</v>
      </c>
      <c r="E1322" s="27">
        <v>355</v>
      </c>
      <c r="F1322" s="27">
        <v>2</v>
      </c>
      <c r="G1322" s="27">
        <v>10</v>
      </c>
      <c r="H1322" s="27">
        <v>4</v>
      </c>
      <c r="I1322" s="27">
        <v>5</v>
      </c>
      <c r="J1322" s="27">
        <v>1</v>
      </c>
      <c r="K1322" s="27">
        <v>1854</v>
      </c>
      <c r="L1322" s="27">
        <v>3</v>
      </c>
      <c r="M1322" s="27">
        <v>1</v>
      </c>
      <c r="N1322" s="27">
        <v>38</v>
      </c>
      <c r="O1322" s="27">
        <v>3</v>
      </c>
      <c r="P1322" s="27">
        <v>1</v>
      </c>
      <c r="Q1322" s="27">
        <v>2</v>
      </c>
      <c r="R1322" s="27">
        <v>3</v>
      </c>
      <c r="S1322" s="27">
        <v>2</v>
      </c>
      <c r="T1322" s="27">
        <v>2936</v>
      </c>
      <c r="U1322" s="27">
        <v>6161</v>
      </c>
      <c r="V1322" s="27">
        <v>3</v>
      </c>
      <c r="W1322" s="27">
        <v>0</v>
      </c>
      <c r="X1322" s="27">
        <v>22</v>
      </c>
      <c r="Y1322" s="27">
        <v>4</v>
      </c>
      <c r="Z1322" s="27">
        <v>2</v>
      </c>
      <c r="AA1322" s="27">
        <v>80</v>
      </c>
      <c r="AB1322" s="27">
        <v>2</v>
      </c>
      <c r="AC1322" s="27">
        <v>10</v>
      </c>
      <c r="AD1322" s="27">
        <v>1</v>
      </c>
      <c r="AE1322" s="27">
        <v>2</v>
      </c>
      <c r="AF1322" s="27">
        <v>6</v>
      </c>
      <c r="AG1322" s="27">
        <v>3</v>
      </c>
      <c r="AH1322" s="27">
        <v>3</v>
      </c>
      <c r="AI1322" s="28">
        <v>3</v>
      </c>
      <c r="AK1322" s="36">
        <v>1289</v>
      </c>
      <c r="AL1322" s="33">
        <v>2</v>
      </c>
      <c r="AM1322" s="33">
        <v>2</v>
      </c>
      <c r="AN1322" s="33">
        <v>4</v>
      </c>
      <c r="AO1322" s="33">
        <v>2</v>
      </c>
      <c r="AP1322" s="33">
        <v>0</v>
      </c>
      <c r="AQ1322" s="33">
        <v>1</v>
      </c>
      <c r="AR1322" s="33">
        <v>3</v>
      </c>
      <c r="AS1322" s="33">
        <v>7</v>
      </c>
      <c r="AT1322" s="33">
        <v>1</v>
      </c>
      <c r="AU1322" s="43">
        <v>3.076739094471986E-2</v>
      </c>
      <c r="AV1322" s="33">
        <v>0</v>
      </c>
      <c r="AW1322" s="33">
        <v>0</v>
      </c>
      <c r="AY1322" s="36">
        <v>1294</v>
      </c>
      <c r="AZ1322" s="33">
        <v>1</v>
      </c>
      <c r="BA1322" s="33">
        <v>3</v>
      </c>
      <c r="BB1322" s="33">
        <v>0</v>
      </c>
      <c r="BC1322" s="33">
        <v>0</v>
      </c>
      <c r="BD1322" s="43">
        <v>0.18791247240909698</v>
      </c>
      <c r="BE1322" s="33">
        <v>0</v>
      </c>
      <c r="BF1322" s="33">
        <v>0</v>
      </c>
      <c r="CE1322" s="36">
        <v>1288</v>
      </c>
      <c r="CF1322" s="33">
        <v>13</v>
      </c>
      <c r="CG1322" s="33">
        <v>2</v>
      </c>
      <c r="CH1322" s="33">
        <v>1</v>
      </c>
      <c r="CI1322" s="33">
        <v>2</v>
      </c>
      <c r="CJ1322" s="33">
        <v>5</v>
      </c>
      <c r="CK1322" s="33">
        <v>0</v>
      </c>
      <c r="CL1322" s="33">
        <v>2</v>
      </c>
      <c r="CM1322" s="33">
        <v>2</v>
      </c>
      <c r="CN1322" s="33">
        <v>0</v>
      </c>
      <c r="CO1322" s="33">
        <v>0</v>
      </c>
      <c r="CP1322" s="43">
        <v>0.17759249058088286</v>
      </c>
      <c r="CQ1322" s="33">
        <v>0</v>
      </c>
      <c r="CR1322" s="33">
        <v>0</v>
      </c>
    </row>
    <row r="1323" spans="1:96" ht="15" customHeight="1" x14ac:dyDescent="0.25">
      <c r="A1323" s="26">
        <v>1321</v>
      </c>
      <c r="B1323" s="27">
        <v>47</v>
      </c>
      <c r="C1323" s="27">
        <v>0</v>
      </c>
      <c r="D1323" s="27">
        <v>1</v>
      </c>
      <c r="E1323" s="27">
        <v>207</v>
      </c>
      <c r="F1323" s="27">
        <v>2</v>
      </c>
      <c r="G1323" s="27">
        <v>9</v>
      </c>
      <c r="H1323" s="27">
        <v>4</v>
      </c>
      <c r="I1323" s="27">
        <v>1</v>
      </c>
      <c r="J1323" s="27">
        <v>1</v>
      </c>
      <c r="K1323" s="27">
        <v>1856</v>
      </c>
      <c r="L1323" s="27">
        <v>2</v>
      </c>
      <c r="M1323" s="27">
        <v>0</v>
      </c>
      <c r="N1323" s="27">
        <v>64</v>
      </c>
      <c r="O1323" s="27">
        <v>3</v>
      </c>
      <c r="P1323" s="27">
        <v>1</v>
      </c>
      <c r="Q1323" s="27">
        <v>3</v>
      </c>
      <c r="R1323" s="27">
        <v>3</v>
      </c>
      <c r="S1323" s="27">
        <v>1</v>
      </c>
      <c r="T1323" s="27">
        <v>2105</v>
      </c>
      <c r="U1323" s="27">
        <v>5411</v>
      </c>
      <c r="V1323" s="27">
        <v>4</v>
      </c>
      <c r="W1323" s="27">
        <v>0</v>
      </c>
      <c r="X1323" s="27">
        <v>12</v>
      </c>
      <c r="Y1323" s="27">
        <v>3</v>
      </c>
      <c r="Z1323" s="27">
        <v>3</v>
      </c>
      <c r="AA1323" s="27">
        <v>80</v>
      </c>
      <c r="AB1323" s="27">
        <v>0</v>
      </c>
      <c r="AC1323" s="27">
        <v>7</v>
      </c>
      <c r="AD1323" s="27">
        <v>2</v>
      </c>
      <c r="AE1323" s="27">
        <v>3</v>
      </c>
      <c r="AF1323" s="27">
        <v>2</v>
      </c>
      <c r="AG1323" s="27">
        <v>2</v>
      </c>
      <c r="AH1323" s="27">
        <v>2</v>
      </c>
      <c r="AI1323" s="28">
        <v>0</v>
      </c>
      <c r="AK1323" s="36">
        <v>1290</v>
      </c>
      <c r="AL1323" s="33">
        <v>2</v>
      </c>
      <c r="AM1323" s="33">
        <v>1</v>
      </c>
      <c r="AN1323" s="33">
        <v>2</v>
      </c>
      <c r="AO1323" s="33">
        <v>5</v>
      </c>
      <c r="AP1323" s="33">
        <v>0</v>
      </c>
      <c r="AQ1323" s="33">
        <v>3</v>
      </c>
      <c r="AR1323" s="33">
        <v>3</v>
      </c>
      <c r="AS1323" s="33">
        <v>11</v>
      </c>
      <c r="AT1323" s="33">
        <v>3</v>
      </c>
      <c r="AU1323" s="43">
        <v>3.702537959675814E-2</v>
      </c>
      <c r="AV1323" s="33">
        <v>0</v>
      </c>
      <c r="AW1323" s="33">
        <v>0</v>
      </c>
      <c r="AY1323" s="36">
        <v>1295</v>
      </c>
      <c r="AZ1323" s="33">
        <v>2</v>
      </c>
      <c r="BA1323" s="33">
        <v>2</v>
      </c>
      <c r="BB1323" s="33">
        <v>0</v>
      </c>
      <c r="BC1323" s="33">
        <v>0</v>
      </c>
      <c r="BD1323" s="43">
        <v>0.15063023792355215</v>
      </c>
      <c r="BE1323" s="33">
        <v>0</v>
      </c>
      <c r="BF1323" s="33">
        <v>0</v>
      </c>
      <c r="CE1323" s="36">
        <v>1289</v>
      </c>
      <c r="CF1323" s="33">
        <v>2</v>
      </c>
      <c r="CG1323" s="33">
        <v>2</v>
      </c>
      <c r="CH1323" s="33">
        <v>4</v>
      </c>
      <c r="CI1323" s="33">
        <v>3</v>
      </c>
      <c r="CJ1323" s="33">
        <v>2</v>
      </c>
      <c r="CK1323" s="33">
        <v>0</v>
      </c>
      <c r="CL1323" s="33">
        <v>1</v>
      </c>
      <c r="CM1323" s="33">
        <v>3</v>
      </c>
      <c r="CN1323" s="33">
        <v>7</v>
      </c>
      <c r="CO1323" s="33">
        <v>1</v>
      </c>
      <c r="CP1323" s="43">
        <v>1.6978243324737144E-2</v>
      </c>
      <c r="CQ1323" s="33">
        <v>0</v>
      </c>
      <c r="CR1323" s="33">
        <v>0</v>
      </c>
    </row>
    <row r="1324" spans="1:96" ht="15" customHeight="1" x14ac:dyDescent="0.25">
      <c r="A1324" s="26">
        <v>1322</v>
      </c>
      <c r="B1324" s="27">
        <v>46</v>
      </c>
      <c r="C1324" s="27">
        <v>0</v>
      </c>
      <c r="D1324" s="27">
        <v>1</v>
      </c>
      <c r="E1324" s="27">
        <v>706</v>
      </c>
      <c r="F1324" s="27">
        <v>2</v>
      </c>
      <c r="G1324" s="27">
        <v>2</v>
      </c>
      <c r="H1324" s="27">
        <v>2</v>
      </c>
      <c r="I1324" s="27">
        <v>1</v>
      </c>
      <c r="J1324" s="27">
        <v>1</v>
      </c>
      <c r="K1324" s="27">
        <v>1857</v>
      </c>
      <c r="L1324" s="27">
        <v>4</v>
      </c>
      <c r="M1324" s="27">
        <v>1</v>
      </c>
      <c r="N1324" s="27">
        <v>82</v>
      </c>
      <c r="O1324" s="27">
        <v>3</v>
      </c>
      <c r="P1324" s="27">
        <v>3</v>
      </c>
      <c r="Q1324" s="27">
        <v>4</v>
      </c>
      <c r="R1324" s="27">
        <v>4</v>
      </c>
      <c r="S1324" s="27">
        <v>3</v>
      </c>
      <c r="T1324" s="27">
        <v>8578</v>
      </c>
      <c r="U1324" s="27">
        <v>19989</v>
      </c>
      <c r="V1324" s="27">
        <v>3</v>
      </c>
      <c r="W1324" s="27">
        <v>0</v>
      </c>
      <c r="X1324" s="27">
        <v>14</v>
      </c>
      <c r="Y1324" s="27">
        <v>3</v>
      </c>
      <c r="Z1324" s="27">
        <v>3</v>
      </c>
      <c r="AA1324" s="27">
        <v>80</v>
      </c>
      <c r="AB1324" s="27">
        <v>1</v>
      </c>
      <c r="AC1324" s="27">
        <v>12</v>
      </c>
      <c r="AD1324" s="27">
        <v>4</v>
      </c>
      <c r="AE1324" s="27">
        <v>2</v>
      </c>
      <c r="AF1324" s="27">
        <v>9</v>
      </c>
      <c r="AG1324" s="27">
        <v>8</v>
      </c>
      <c r="AH1324" s="27">
        <v>4</v>
      </c>
      <c r="AI1324" s="28">
        <v>7</v>
      </c>
      <c r="AK1324" s="36">
        <v>1291</v>
      </c>
      <c r="AL1324" s="33">
        <v>9</v>
      </c>
      <c r="AM1324" s="33">
        <v>2</v>
      </c>
      <c r="AN1324" s="33">
        <v>1</v>
      </c>
      <c r="AO1324" s="33">
        <v>4</v>
      </c>
      <c r="AP1324" s="33">
        <v>0</v>
      </c>
      <c r="AQ1324" s="33">
        <v>1</v>
      </c>
      <c r="AR1324" s="33">
        <v>2</v>
      </c>
      <c r="AS1324" s="33">
        <v>7</v>
      </c>
      <c r="AT1324" s="33">
        <v>0</v>
      </c>
      <c r="AU1324" s="43">
        <v>0.11391540259884098</v>
      </c>
      <c r="AV1324" s="33">
        <v>0</v>
      </c>
      <c r="AW1324" s="33">
        <v>1</v>
      </c>
      <c r="AY1324" s="36">
        <v>1296</v>
      </c>
      <c r="AZ1324" s="33">
        <v>3</v>
      </c>
      <c r="BA1324" s="33">
        <v>3</v>
      </c>
      <c r="BB1324" s="33">
        <v>1</v>
      </c>
      <c r="BC1324" s="33">
        <v>1</v>
      </c>
      <c r="BD1324" s="43">
        <v>0.16038463669030681</v>
      </c>
      <c r="BE1324" s="33">
        <v>0</v>
      </c>
      <c r="BF1324" s="33">
        <v>0</v>
      </c>
      <c r="CE1324" s="36">
        <v>1290</v>
      </c>
      <c r="CF1324" s="33">
        <v>2</v>
      </c>
      <c r="CG1324" s="33">
        <v>1</v>
      </c>
      <c r="CH1324" s="33">
        <v>2</v>
      </c>
      <c r="CI1324" s="33">
        <v>3</v>
      </c>
      <c r="CJ1324" s="33">
        <v>5</v>
      </c>
      <c r="CK1324" s="33">
        <v>0</v>
      </c>
      <c r="CL1324" s="33">
        <v>3</v>
      </c>
      <c r="CM1324" s="33">
        <v>3</v>
      </c>
      <c r="CN1324" s="33">
        <v>11</v>
      </c>
      <c r="CO1324" s="33">
        <v>3</v>
      </c>
      <c r="CP1324" s="43">
        <v>4.1273890560155027E-2</v>
      </c>
      <c r="CQ1324" s="33">
        <v>0</v>
      </c>
      <c r="CR1324" s="33">
        <v>0</v>
      </c>
    </row>
    <row r="1325" spans="1:96" ht="15" customHeight="1" x14ac:dyDescent="0.25">
      <c r="A1325" s="26">
        <v>1323</v>
      </c>
      <c r="B1325" s="27">
        <v>28</v>
      </c>
      <c r="C1325" s="27">
        <v>0</v>
      </c>
      <c r="D1325" s="27">
        <v>3</v>
      </c>
      <c r="E1325" s="27">
        <v>280</v>
      </c>
      <c r="F1325" s="27">
        <v>3</v>
      </c>
      <c r="G1325" s="27">
        <v>1</v>
      </c>
      <c r="H1325" s="27">
        <v>2</v>
      </c>
      <c r="I1325" s="27">
        <v>1</v>
      </c>
      <c r="J1325" s="27">
        <v>1</v>
      </c>
      <c r="K1325" s="27">
        <v>1858</v>
      </c>
      <c r="L1325" s="27">
        <v>3</v>
      </c>
      <c r="M1325" s="27">
        <v>1</v>
      </c>
      <c r="N1325" s="27">
        <v>43</v>
      </c>
      <c r="O1325" s="27">
        <v>3</v>
      </c>
      <c r="P1325" s="27">
        <v>1</v>
      </c>
      <c r="Q1325" s="27">
        <v>9</v>
      </c>
      <c r="R1325" s="27">
        <v>4</v>
      </c>
      <c r="S1325" s="27">
        <v>3</v>
      </c>
      <c r="T1325" s="27">
        <v>2706</v>
      </c>
      <c r="U1325" s="27">
        <v>10494</v>
      </c>
      <c r="V1325" s="27">
        <v>1</v>
      </c>
      <c r="W1325" s="27">
        <v>0</v>
      </c>
      <c r="X1325" s="27">
        <v>15</v>
      </c>
      <c r="Y1325" s="27">
        <v>3</v>
      </c>
      <c r="Z1325" s="27">
        <v>2</v>
      </c>
      <c r="AA1325" s="27">
        <v>80</v>
      </c>
      <c r="AB1325" s="27">
        <v>1</v>
      </c>
      <c r="AC1325" s="27">
        <v>3</v>
      </c>
      <c r="AD1325" s="27">
        <v>2</v>
      </c>
      <c r="AE1325" s="27">
        <v>3</v>
      </c>
      <c r="AF1325" s="27">
        <v>3</v>
      </c>
      <c r="AG1325" s="27">
        <v>2</v>
      </c>
      <c r="AH1325" s="27">
        <v>2</v>
      </c>
      <c r="AI1325" s="28">
        <v>2</v>
      </c>
      <c r="AK1325" s="36">
        <v>1292</v>
      </c>
      <c r="AL1325" s="33">
        <v>10</v>
      </c>
      <c r="AM1325" s="33">
        <v>2</v>
      </c>
      <c r="AN1325" s="33">
        <v>1</v>
      </c>
      <c r="AO1325" s="33">
        <v>1</v>
      </c>
      <c r="AP1325" s="33">
        <v>0</v>
      </c>
      <c r="AQ1325" s="33">
        <v>0</v>
      </c>
      <c r="AR1325" s="33">
        <v>1</v>
      </c>
      <c r="AS1325" s="33">
        <v>10</v>
      </c>
      <c r="AT1325" s="33">
        <v>0</v>
      </c>
      <c r="AU1325" s="43">
        <v>0.15625817553572779</v>
      </c>
      <c r="AV1325" s="33">
        <v>0</v>
      </c>
      <c r="AW1325" s="33">
        <v>1</v>
      </c>
      <c r="AY1325" s="36">
        <v>1297</v>
      </c>
      <c r="AZ1325" s="33">
        <v>3</v>
      </c>
      <c r="BA1325" s="33">
        <v>3</v>
      </c>
      <c r="BB1325" s="33">
        <v>0</v>
      </c>
      <c r="BC1325" s="33">
        <v>0</v>
      </c>
      <c r="BD1325" s="43">
        <v>7.0406776741937793E-2</v>
      </c>
      <c r="BE1325" s="33">
        <v>0</v>
      </c>
      <c r="BF1325" s="33">
        <v>0</v>
      </c>
      <c r="CE1325" s="36">
        <v>1291</v>
      </c>
      <c r="CF1325" s="33">
        <v>9</v>
      </c>
      <c r="CG1325" s="33">
        <v>2</v>
      </c>
      <c r="CH1325" s="33">
        <v>1</v>
      </c>
      <c r="CI1325" s="33">
        <v>2</v>
      </c>
      <c r="CJ1325" s="33">
        <v>4</v>
      </c>
      <c r="CK1325" s="33">
        <v>0</v>
      </c>
      <c r="CL1325" s="33">
        <v>1</v>
      </c>
      <c r="CM1325" s="33">
        <v>2</v>
      </c>
      <c r="CN1325" s="33">
        <v>7</v>
      </c>
      <c r="CO1325" s="33">
        <v>0</v>
      </c>
      <c r="CP1325" s="43">
        <v>0.1153971507831333</v>
      </c>
      <c r="CQ1325" s="33">
        <v>0</v>
      </c>
      <c r="CR1325" s="33">
        <v>1</v>
      </c>
    </row>
    <row r="1326" spans="1:96" ht="15" customHeight="1" x14ac:dyDescent="0.25">
      <c r="A1326" s="26">
        <v>1324</v>
      </c>
      <c r="B1326" s="27">
        <v>29</v>
      </c>
      <c r="C1326" s="27">
        <v>0</v>
      </c>
      <c r="D1326" s="27">
        <v>1</v>
      </c>
      <c r="E1326" s="27">
        <v>726</v>
      </c>
      <c r="F1326" s="27">
        <v>2</v>
      </c>
      <c r="G1326" s="27">
        <v>29</v>
      </c>
      <c r="H1326" s="27">
        <v>1</v>
      </c>
      <c r="I1326" s="27">
        <v>1</v>
      </c>
      <c r="J1326" s="27">
        <v>1</v>
      </c>
      <c r="K1326" s="27">
        <v>1859</v>
      </c>
      <c r="L1326" s="27">
        <v>4</v>
      </c>
      <c r="M1326" s="27">
        <v>1</v>
      </c>
      <c r="N1326" s="27">
        <v>93</v>
      </c>
      <c r="O1326" s="27">
        <v>1</v>
      </c>
      <c r="P1326" s="27">
        <v>2</v>
      </c>
      <c r="Q1326" s="27">
        <v>5</v>
      </c>
      <c r="R1326" s="27">
        <v>3</v>
      </c>
      <c r="S1326" s="27">
        <v>3</v>
      </c>
      <c r="T1326" s="27">
        <v>6384</v>
      </c>
      <c r="U1326" s="27">
        <v>21143</v>
      </c>
      <c r="V1326" s="27">
        <v>8</v>
      </c>
      <c r="W1326" s="27">
        <v>0</v>
      </c>
      <c r="X1326" s="27">
        <v>17</v>
      </c>
      <c r="Y1326" s="27">
        <v>3</v>
      </c>
      <c r="Z1326" s="27">
        <v>4</v>
      </c>
      <c r="AA1326" s="27">
        <v>80</v>
      </c>
      <c r="AB1326" s="27">
        <v>2</v>
      </c>
      <c r="AC1326" s="27">
        <v>11</v>
      </c>
      <c r="AD1326" s="27">
        <v>3</v>
      </c>
      <c r="AE1326" s="27">
        <v>3</v>
      </c>
      <c r="AF1326" s="27">
        <v>7</v>
      </c>
      <c r="AG1326" s="27">
        <v>0</v>
      </c>
      <c r="AH1326" s="27">
        <v>1</v>
      </c>
      <c r="AI1326" s="28">
        <v>6</v>
      </c>
      <c r="AK1326" s="36">
        <v>1293</v>
      </c>
      <c r="AL1326" s="33">
        <v>20</v>
      </c>
      <c r="AM1326" s="33">
        <v>2</v>
      </c>
      <c r="AN1326" s="33">
        <v>4</v>
      </c>
      <c r="AO1326" s="33">
        <v>2</v>
      </c>
      <c r="AP1326" s="33">
        <v>0</v>
      </c>
      <c r="AQ1326" s="33">
        <v>1</v>
      </c>
      <c r="AR1326" s="33">
        <v>3</v>
      </c>
      <c r="AS1326" s="33">
        <v>2</v>
      </c>
      <c r="AT1326" s="33">
        <v>2</v>
      </c>
      <c r="AU1326" s="43">
        <v>8.5432816155048066E-2</v>
      </c>
      <c r="AV1326" s="33">
        <v>0</v>
      </c>
      <c r="AW1326" s="33">
        <v>0</v>
      </c>
      <c r="AY1326" s="36">
        <v>1298</v>
      </c>
      <c r="AZ1326" s="33">
        <v>1</v>
      </c>
      <c r="BA1326" s="33">
        <v>2</v>
      </c>
      <c r="BB1326" s="33">
        <v>1</v>
      </c>
      <c r="BC1326" s="33">
        <v>0</v>
      </c>
      <c r="BD1326" s="43">
        <v>0.56990699338636852</v>
      </c>
      <c r="BE1326" s="33">
        <v>1</v>
      </c>
      <c r="BF1326" s="33">
        <v>1</v>
      </c>
      <c r="CE1326" s="36">
        <v>1292</v>
      </c>
      <c r="CF1326" s="33">
        <v>10</v>
      </c>
      <c r="CG1326" s="33">
        <v>2</v>
      </c>
      <c r="CH1326" s="33">
        <v>1</v>
      </c>
      <c r="CI1326" s="33">
        <v>1</v>
      </c>
      <c r="CJ1326" s="33">
        <v>1</v>
      </c>
      <c r="CK1326" s="33">
        <v>0</v>
      </c>
      <c r="CL1326" s="33">
        <v>0</v>
      </c>
      <c r="CM1326" s="33">
        <v>1</v>
      </c>
      <c r="CN1326" s="33">
        <v>10</v>
      </c>
      <c r="CO1326" s="33">
        <v>0</v>
      </c>
      <c r="CP1326" s="43">
        <v>0.18974302365369827</v>
      </c>
      <c r="CQ1326" s="33">
        <v>0</v>
      </c>
      <c r="CR1326" s="33">
        <v>1</v>
      </c>
    </row>
    <row r="1327" spans="1:96" ht="15" customHeight="1" x14ac:dyDescent="0.25">
      <c r="A1327" s="26">
        <v>1325</v>
      </c>
      <c r="B1327" s="27">
        <v>42</v>
      </c>
      <c r="C1327" s="27">
        <v>0</v>
      </c>
      <c r="D1327" s="27">
        <v>1</v>
      </c>
      <c r="E1327" s="27">
        <v>1142</v>
      </c>
      <c r="F1327" s="27">
        <v>2</v>
      </c>
      <c r="G1327" s="27">
        <v>8</v>
      </c>
      <c r="H1327" s="27">
        <v>3</v>
      </c>
      <c r="I1327" s="27">
        <v>1</v>
      </c>
      <c r="J1327" s="27">
        <v>1</v>
      </c>
      <c r="K1327" s="27">
        <v>1860</v>
      </c>
      <c r="L1327" s="27">
        <v>4</v>
      </c>
      <c r="M1327" s="27">
        <v>1</v>
      </c>
      <c r="N1327" s="27">
        <v>81</v>
      </c>
      <c r="O1327" s="27">
        <v>3</v>
      </c>
      <c r="P1327" s="27">
        <v>1</v>
      </c>
      <c r="Q1327" s="27">
        <v>3</v>
      </c>
      <c r="R1327" s="27">
        <v>3</v>
      </c>
      <c r="S1327" s="27">
        <v>1</v>
      </c>
      <c r="T1327" s="27">
        <v>3968</v>
      </c>
      <c r="U1327" s="27">
        <v>13624</v>
      </c>
      <c r="V1327" s="27">
        <v>4</v>
      </c>
      <c r="W1327" s="27">
        <v>0</v>
      </c>
      <c r="X1327" s="27">
        <v>13</v>
      </c>
      <c r="Y1327" s="27">
        <v>3</v>
      </c>
      <c r="Z1327" s="27">
        <v>4</v>
      </c>
      <c r="AA1327" s="27">
        <v>80</v>
      </c>
      <c r="AB1327" s="27">
        <v>0</v>
      </c>
      <c r="AC1327" s="27">
        <v>8</v>
      </c>
      <c r="AD1327" s="27">
        <v>3</v>
      </c>
      <c r="AE1327" s="27">
        <v>3</v>
      </c>
      <c r="AF1327" s="27">
        <v>0</v>
      </c>
      <c r="AG1327" s="27">
        <v>0</v>
      </c>
      <c r="AH1327" s="27">
        <v>0</v>
      </c>
      <c r="AI1327" s="28">
        <v>0</v>
      </c>
      <c r="AK1327" s="36">
        <v>1294</v>
      </c>
      <c r="AL1327" s="33">
        <v>9</v>
      </c>
      <c r="AM1327" s="33">
        <v>1</v>
      </c>
      <c r="AN1327" s="33">
        <v>3</v>
      </c>
      <c r="AO1327" s="33">
        <v>4</v>
      </c>
      <c r="AP1327" s="33">
        <v>0</v>
      </c>
      <c r="AQ1327" s="33">
        <v>0</v>
      </c>
      <c r="AR1327" s="33">
        <v>2</v>
      </c>
      <c r="AS1327" s="33">
        <v>3</v>
      </c>
      <c r="AT1327" s="33">
        <v>1</v>
      </c>
      <c r="AU1327" s="43">
        <v>0.2469524145934498</v>
      </c>
      <c r="AV1327" s="33">
        <v>0</v>
      </c>
      <c r="AW1327" s="33">
        <v>0</v>
      </c>
      <c r="AY1327" s="36">
        <v>1299</v>
      </c>
      <c r="AZ1327" s="33">
        <v>2</v>
      </c>
      <c r="BA1327" s="33">
        <v>2</v>
      </c>
      <c r="BB1327" s="33">
        <v>0</v>
      </c>
      <c r="BC1327" s="33">
        <v>1</v>
      </c>
      <c r="BD1327" s="43">
        <v>9.4721355311452843E-2</v>
      </c>
      <c r="BE1327" s="33">
        <v>0</v>
      </c>
      <c r="BF1327" s="33">
        <v>1</v>
      </c>
      <c r="CE1327" s="36">
        <v>1293</v>
      </c>
      <c r="CF1327" s="33">
        <v>20</v>
      </c>
      <c r="CG1327" s="33">
        <v>2</v>
      </c>
      <c r="CH1327" s="33">
        <v>4</v>
      </c>
      <c r="CI1327" s="33">
        <v>3</v>
      </c>
      <c r="CJ1327" s="33">
        <v>2</v>
      </c>
      <c r="CK1327" s="33">
        <v>0</v>
      </c>
      <c r="CL1327" s="33">
        <v>1</v>
      </c>
      <c r="CM1327" s="33">
        <v>3</v>
      </c>
      <c r="CN1327" s="33">
        <v>2</v>
      </c>
      <c r="CO1327" s="33">
        <v>2</v>
      </c>
      <c r="CP1327" s="43">
        <v>4.8364828305400551E-2</v>
      </c>
      <c r="CQ1327" s="33">
        <v>0</v>
      </c>
      <c r="CR1327" s="33">
        <v>0</v>
      </c>
    </row>
    <row r="1328" spans="1:96" ht="15" customHeight="1" x14ac:dyDescent="0.25">
      <c r="A1328" s="26">
        <v>1326</v>
      </c>
      <c r="B1328" s="27">
        <v>32</v>
      </c>
      <c r="C1328" s="27">
        <v>1</v>
      </c>
      <c r="D1328" s="27">
        <v>1</v>
      </c>
      <c r="E1328" s="27">
        <v>414</v>
      </c>
      <c r="F1328" s="27">
        <v>1</v>
      </c>
      <c r="G1328" s="27">
        <v>2</v>
      </c>
      <c r="H1328" s="27">
        <v>4</v>
      </c>
      <c r="I1328" s="27">
        <v>4</v>
      </c>
      <c r="J1328" s="27">
        <v>1</v>
      </c>
      <c r="K1328" s="27">
        <v>1862</v>
      </c>
      <c r="L1328" s="27">
        <v>3</v>
      </c>
      <c r="M1328" s="27">
        <v>1</v>
      </c>
      <c r="N1328" s="27">
        <v>82</v>
      </c>
      <c r="O1328" s="27">
        <v>2</v>
      </c>
      <c r="P1328" s="27">
        <v>2</v>
      </c>
      <c r="Q1328" s="27">
        <v>1</v>
      </c>
      <c r="R1328" s="27">
        <v>2</v>
      </c>
      <c r="S1328" s="27">
        <v>1</v>
      </c>
      <c r="T1328" s="27">
        <v>9907</v>
      </c>
      <c r="U1328" s="27">
        <v>26186</v>
      </c>
      <c r="V1328" s="27">
        <v>7</v>
      </c>
      <c r="W1328" s="27">
        <v>1</v>
      </c>
      <c r="X1328" s="27">
        <v>12</v>
      </c>
      <c r="Y1328" s="27">
        <v>3</v>
      </c>
      <c r="Z1328" s="27">
        <v>3</v>
      </c>
      <c r="AA1328" s="27">
        <v>80</v>
      </c>
      <c r="AB1328" s="27">
        <v>0</v>
      </c>
      <c r="AC1328" s="27">
        <v>7</v>
      </c>
      <c r="AD1328" s="27">
        <v>3</v>
      </c>
      <c r="AE1328" s="27">
        <v>2</v>
      </c>
      <c r="AF1328" s="27">
        <v>2</v>
      </c>
      <c r="AG1328" s="27">
        <v>2</v>
      </c>
      <c r="AH1328" s="27">
        <v>2</v>
      </c>
      <c r="AI1328" s="28">
        <v>2</v>
      </c>
      <c r="AK1328" s="36">
        <v>1295</v>
      </c>
      <c r="AL1328" s="33">
        <v>5</v>
      </c>
      <c r="AM1328" s="33">
        <v>2</v>
      </c>
      <c r="AN1328" s="33">
        <v>2</v>
      </c>
      <c r="AO1328" s="33">
        <v>3</v>
      </c>
      <c r="AP1328" s="33">
        <v>0</v>
      </c>
      <c r="AQ1328" s="33">
        <v>0</v>
      </c>
      <c r="AR1328" s="33">
        <v>1</v>
      </c>
      <c r="AS1328" s="33">
        <v>3</v>
      </c>
      <c r="AT1328" s="33">
        <v>1</v>
      </c>
      <c r="AU1328" s="43">
        <v>0.20416180305768333</v>
      </c>
      <c r="AV1328" s="33">
        <v>0</v>
      </c>
      <c r="AW1328" s="33">
        <v>0</v>
      </c>
      <c r="AY1328" s="36">
        <v>1300</v>
      </c>
      <c r="AZ1328" s="33">
        <v>2</v>
      </c>
      <c r="BA1328" s="33">
        <v>4</v>
      </c>
      <c r="BB1328" s="33">
        <v>0</v>
      </c>
      <c r="BC1328" s="33">
        <v>1</v>
      </c>
      <c r="BD1328" s="43">
        <v>5.5093218126976727E-2</v>
      </c>
      <c r="BE1328" s="33">
        <v>0</v>
      </c>
      <c r="BF1328" s="33">
        <v>0</v>
      </c>
      <c r="CE1328" s="36">
        <v>1294</v>
      </c>
      <c r="CF1328" s="33">
        <v>9</v>
      </c>
      <c r="CG1328" s="33">
        <v>1</v>
      </c>
      <c r="CH1328" s="33">
        <v>3</v>
      </c>
      <c r="CI1328" s="33">
        <v>1</v>
      </c>
      <c r="CJ1328" s="33">
        <v>4</v>
      </c>
      <c r="CK1328" s="33">
        <v>0</v>
      </c>
      <c r="CL1328" s="33">
        <v>0</v>
      </c>
      <c r="CM1328" s="33">
        <v>2</v>
      </c>
      <c r="CN1328" s="33">
        <v>3</v>
      </c>
      <c r="CO1328" s="33">
        <v>1</v>
      </c>
      <c r="CP1328" s="43">
        <v>0.28231427348813476</v>
      </c>
      <c r="CQ1328" s="33">
        <v>0</v>
      </c>
      <c r="CR1328" s="33">
        <v>0</v>
      </c>
    </row>
    <row r="1329" spans="1:96" ht="15" customHeight="1" x14ac:dyDescent="0.25">
      <c r="A1329" s="26">
        <v>1327</v>
      </c>
      <c r="B1329" s="27">
        <v>46</v>
      </c>
      <c r="C1329" s="27">
        <v>0</v>
      </c>
      <c r="D1329" s="27">
        <v>1</v>
      </c>
      <c r="E1329" s="27">
        <v>1319</v>
      </c>
      <c r="F1329" s="27">
        <v>1</v>
      </c>
      <c r="G1329" s="27">
        <v>3</v>
      </c>
      <c r="H1329" s="27">
        <v>3</v>
      </c>
      <c r="I1329" s="27">
        <v>5</v>
      </c>
      <c r="J1329" s="27">
        <v>1</v>
      </c>
      <c r="K1329" s="27">
        <v>1863</v>
      </c>
      <c r="L1329" s="27">
        <v>1</v>
      </c>
      <c r="M1329" s="27">
        <v>0</v>
      </c>
      <c r="N1329" s="27">
        <v>45</v>
      </c>
      <c r="O1329" s="27">
        <v>4</v>
      </c>
      <c r="P1329" s="27">
        <v>4</v>
      </c>
      <c r="Q1329" s="27">
        <v>1</v>
      </c>
      <c r="R1329" s="27">
        <v>1</v>
      </c>
      <c r="S1329" s="27">
        <v>3</v>
      </c>
      <c r="T1329" s="27">
        <v>13225</v>
      </c>
      <c r="U1329" s="27">
        <v>7739</v>
      </c>
      <c r="V1329" s="27">
        <v>2</v>
      </c>
      <c r="W1329" s="27">
        <v>0</v>
      </c>
      <c r="X1329" s="27">
        <v>12</v>
      </c>
      <c r="Y1329" s="27">
        <v>3</v>
      </c>
      <c r="Z1329" s="27">
        <v>4</v>
      </c>
      <c r="AA1329" s="27">
        <v>80</v>
      </c>
      <c r="AB1329" s="27">
        <v>1</v>
      </c>
      <c r="AC1329" s="27">
        <v>25</v>
      </c>
      <c r="AD1329" s="27">
        <v>5</v>
      </c>
      <c r="AE1329" s="27">
        <v>3</v>
      </c>
      <c r="AF1329" s="27">
        <v>19</v>
      </c>
      <c r="AG1329" s="27">
        <v>17</v>
      </c>
      <c r="AH1329" s="27">
        <v>2</v>
      </c>
      <c r="AI1329" s="28">
        <v>8</v>
      </c>
      <c r="AK1329" s="36">
        <v>1296</v>
      </c>
      <c r="AL1329" s="33">
        <v>4</v>
      </c>
      <c r="AM1329" s="33">
        <v>3</v>
      </c>
      <c r="AN1329" s="33">
        <v>3</v>
      </c>
      <c r="AO1329" s="33">
        <v>0</v>
      </c>
      <c r="AP1329" s="33">
        <v>1</v>
      </c>
      <c r="AQ1329" s="33">
        <v>1</v>
      </c>
      <c r="AR1329" s="33">
        <v>4</v>
      </c>
      <c r="AS1329" s="33">
        <v>22</v>
      </c>
      <c r="AT1329" s="33">
        <v>13</v>
      </c>
      <c r="AU1329" s="43">
        <v>9.2042699631756153E-2</v>
      </c>
      <c r="AV1329" s="33">
        <v>0</v>
      </c>
      <c r="AW1329" s="33">
        <v>0</v>
      </c>
      <c r="AY1329" s="36">
        <v>1301</v>
      </c>
      <c r="AZ1329" s="33">
        <v>2</v>
      </c>
      <c r="BA1329" s="33">
        <v>3</v>
      </c>
      <c r="BB1329" s="33">
        <v>0</v>
      </c>
      <c r="BC1329" s="33">
        <v>2</v>
      </c>
      <c r="BD1329" s="43">
        <v>4.4052611042036123E-2</v>
      </c>
      <c r="BE1329" s="33">
        <v>0</v>
      </c>
      <c r="BF1329" s="33">
        <v>0</v>
      </c>
      <c r="CE1329" s="36">
        <v>1295</v>
      </c>
      <c r="CF1329" s="33">
        <v>5</v>
      </c>
      <c r="CG1329" s="33">
        <v>2</v>
      </c>
      <c r="CH1329" s="33">
        <v>2</v>
      </c>
      <c r="CI1329" s="33">
        <v>1</v>
      </c>
      <c r="CJ1329" s="33">
        <v>3</v>
      </c>
      <c r="CK1329" s="33">
        <v>0</v>
      </c>
      <c r="CL1329" s="33">
        <v>0</v>
      </c>
      <c r="CM1329" s="33">
        <v>1</v>
      </c>
      <c r="CN1329" s="33">
        <v>3</v>
      </c>
      <c r="CO1329" s="33">
        <v>1</v>
      </c>
      <c r="CP1329" s="43">
        <v>0.2436315912491073</v>
      </c>
      <c r="CQ1329" s="33">
        <v>0</v>
      </c>
      <c r="CR1329" s="33">
        <v>0</v>
      </c>
    </row>
    <row r="1330" spans="1:96" ht="15" customHeight="1" x14ac:dyDescent="0.25">
      <c r="A1330" s="26">
        <v>1328</v>
      </c>
      <c r="B1330" s="27">
        <v>27</v>
      </c>
      <c r="C1330" s="27">
        <v>0</v>
      </c>
      <c r="D1330" s="27">
        <v>1</v>
      </c>
      <c r="E1330" s="27">
        <v>728</v>
      </c>
      <c r="F1330" s="27">
        <v>1</v>
      </c>
      <c r="G1330" s="27">
        <v>23</v>
      </c>
      <c r="H1330" s="27">
        <v>1</v>
      </c>
      <c r="I1330" s="27">
        <v>3</v>
      </c>
      <c r="J1330" s="27">
        <v>1</v>
      </c>
      <c r="K1330" s="27">
        <v>1864</v>
      </c>
      <c r="L1330" s="27">
        <v>2</v>
      </c>
      <c r="M1330" s="27">
        <v>0</v>
      </c>
      <c r="N1330" s="27">
        <v>36</v>
      </c>
      <c r="O1330" s="27">
        <v>2</v>
      </c>
      <c r="P1330" s="27">
        <v>2</v>
      </c>
      <c r="Q1330" s="27">
        <v>7</v>
      </c>
      <c r="R1330" s="27">
        <v>3</v>
      </c>
      <c r="S1330" s="27">
        <v>2</v>
      </c>
      <c r="T1330" s="27">
        <v>3540</v>
      </c>
      <c r="U1330" s="27">
        <v>7018</v>
      </c>
      <c r="V1330" s="27">
        <v>1</v>
      </c>
      <c r="W1330" s="27">
        <v>0</v>
      </c>
      <c r="X1330" s="27">
        <v>21</v>
      </c>
      <c r="Y1330" s="27">
        <v>4</v>
      </c>
      <c r="Z1330" s="27">
        <v>4</v>
      </c>
      <c r="AA1330" s="27">
        <v>80</v>
      </c>
      <c r="AB1330" s="27">
        <v>1</v>
      </c>
      <c r="AC1330" s="27">
        <v>9</v>
      </c>
      <c r="AD1330" s="27">
        <v>5</v>
      </c>
      <c r="AE1330" s="27">
        <v>3</v>
      </c>
      <c r="AF1330" s="27">
        <v>9</v>
      </c>
      <c r="AG1330" s="27">
        <v>8</v>
      </c>
      <c r="AH1330" s="27">
        <v>5</v>
      </c>
      <c r="AI1330" s="28">
        <v>8</v>
      </c>
      <c r="AK1330" s="36">
        <v>1297</v>
      </c>
      <c r="AL1330" s="33">
        <v>10</v>
      </c>
      <c r="AM1330" s="33">
        <v>3</v>
      </c>
      <c r="AN1330" s="33">
        <v>3</v>
      </c>
      <c r="AO1330" s="33">
        <v>9</v>
      </c>
      <c r="AP1330" s="33">
        <v>0</v>
      </c>
      <c r="AQ1330" s="33">
        <v>0</v>
      </c>
      <c r="AR1330" s="33">
        <v>3</v>
      </c>
      <c r="AS1330" s="33">
        <v>7</v>
      </c>
      <c r="AT1330" s="33">
        <v>0</v>
      </c>
      <c r="AU1330" s="43">
        <v>8.3261640016553895E-2</v>
      </c>
      <c r="AV1330" s="33">
        <v>0</v>
      </c>
      <c r="AW1330" s="33">
        <v>0</v>
      </c>
      <c r="AY1330" s="36">
        <v>1302</v>
      </c>
      <c r="AZ1330" s="33">
        <v>4</v>
      </c>
      <c r="BA1330" s="33">
        <v>2</v>
      </c>
      <c r="BB1330" s="33">
        <v>0</v>
      </c>
      <c r="BC1330" s="33">
        <v>1</v>
      </c>
      <c r="BD1330" s="43">
        <v>3.3113852747679105E-2</v>
      </c>
      <c r="BE1330" s="33">
        <v>0</v>
      </c>
      <c r="BF1330" s="33">
        <v>0</v>
      </c>
      <c r="CE1330" s="36">
        <v>1296</v>
      </c>
      <c r="CF1330" s="33">
        <v>4</v>
      </c>
      <c r="CG1330" s="33">
        <v>3</v>
      </c>
      <c r="CH1330" s="33">
        <v>3</v>
      </c>
      <c r="CI1330" s="33">
        <v>3</v>
      </c>
      <c r="CJ1330" s="33">
        <v>0</v>
      </c>
      <c r="CK1330" s="33">
        <v>1</v>
      </c>
      <c r="CL1330" s="33">
        <v>1</v>
      </c>
      <c r="CM1330" s="33">
        <v>4</v>
      </c>
      <c r="CN1330" s="33">
        <v>22</v>
      </c>
      <c r="CO1330" s="33">
        <v>13</v>
      </c>
      <c r="CP1330" s="43">
        <v>5.6294535421096858E-2</v>
      </c>
      <c r="CQ1330" s="33">
        <v>0</v>
      </c>
      <c r="CR1330" s="33">
        <v>0</v>
      </c>
    </row>
    <row r="1331" spans="1:96" ht="15" customHeight="1" x14ac:dyDescent="0.25">
      <c r="A1331" s="26">
        <v>1329</v>
      </c>
      <c r="B1331" s="27">
        <v>29</v>
      </c>
      <c r="C1331" s="27">
        <v>0</v>
      </c>
      <c r="D1331" s="27">
        <v>1</v>
      </c>
      <c r="E1331" s="27">
        <v>352</v>
      </c>
      <c r="F1331" s="27">
        <v>3</v>
      </c>
      <c r="G1331" s="27">
        <v>6</v>
      </c>
      <c r="H1331" s="27">
        <v>1</v>
      </c>
      <c r="I1331" s="27">
        <v>3</v>
      </c>
      <c r="J1331" s="27">
        <v>1</v>
      </c>
      <c r="K1331" s="27">
        <v>1865</v>
      </c>
      <c r="L1331" s="27">
        <v>4</v>
      </c>
      <c r="M1331" s="27">
        <v>1</v>
      </c>
      <c r="N1331" s="27">
        <v>87</v>
      </c>
      <c r="O1331" s="27">
        <v>2</v>
      </c>
      <c r="P1331" s="27">
        <v>1</v>
      </c>
      <c r="Q1331" s="27">
        <v>9</v>
      </c>
      <c r="R1331" s="27">
        <v>2</v>
      </c>
      <c r="S1331" s="27">
        <v>2</v>
      </c>
      <c r="T1331" s="27">
        <v>2804</v>
      </c>
      <c r="U1331" s="27">
        <v>15434</v>
      </c>
      <c r="V1331" s="27">
        <v>1</v>
      </c>
      <c r="W1331" s="27">
        <v>0</v>
      </c>
      <c r="X1331" s="27">
        <v>11</v>
      </c>
      <c r="Y1331" s="27">
        <v>3</v>
      </c>
      <c r="Z1331" s="27">
        <v>4</v>
      </c>
      <c r="AA1331" s="27">
        <v>80</v>
      </c>
      <c r="AB1331" s="27">
        <v>0</v>
      </c>
      <c r="AC1331" s="27">
        <v>1</v>
      </c>
      <c r="AD1331" s="27">
        <v>3</v>
      </c>
      <c r="AE1331" s="27">
        <v>3</v>
      </c>
      <c r="AF1331" s="27">
        <v>1</v>
      </c>
      <c r="AG1331" s="27">
        <v>0</v>
      </c>
      <c r="AH1331" s="27">
        <v>0</v>
      </c>
      <c r="AI1331" s="28">
        <v>0</v>
      </c>
      <c r="AK1331" s="36">
        <v>1298</v>
      </c>
      <c r="AL1331" s="33">
        <v>20</v>
      </c>
      <c r="AM1331" s="33">
        <v>1</v>
      </c>
      <c r="AN1331" s="33">
        <v>2</v>
      </c>
      <c r="AO1331" s="33">
        <v>0</v>
      </c>
      <c r="AP1331" s="33">
        <v>1</v>
      </c>
      <c r="AQ1331" s="33">
        <v>0</v>
      </c>
      <c r="AR1331" s="33">
        <v>3</v>
      </c>
      <c r="AS1331" s="33">
        <v>5</v>
      </c>
      <c r="AT1331" s="33">
        <v>1</v>
      </c>
      <c r="AU1331" s="43">
        <v>0.57680756486226969</v>
      </c>
      <c r="AV1331" s="33">
        <v>1</v>
      </c>
      <c r="AW1331" s="33">
        <v>1</v>
      </c>
      <c r="AY1331" s="36">
        <v>1303</v>
      </c>
      <c r="AZ1331" s="33">
        <v>1</v>
      </c>
      <c r="BA1331" s="33">
        <v>3</v>
      </c>
      <c r="BB1331" s="33">
        <v>0</v>
      </c>
      <c r="BC1331" s="33">
        <v>1</v>
      </c>
      <c r="BD1331" s="43">
        <v>0.12012271365792118</v>
      </c>
      <c r="BE1331" s="33">
        <v>0</v>
      </c>
      <c r="BF1331" s="33">
        <v>0</v>
      </c>
      <c r="CE1331" s="36">
        <v>1297</v>
      </c>
      <c r="CF1331" s="33">
        <v>10</v>
      </c>
      <c r="CG1331" s="33">
        <v>3</v>
      </c>
      <c r="CH1331" s="33">
        <v>3</v>
      </c>
      <c r="CI1331" s="33">
        <v>1</v>
      </c>
      <c r="CJ1331" s="33">
        <v>9</v>
      </c>
      <c r="CK1331" s="33">
        <v>0</v>
      </c>
      <c r="CL1331" s="33">
        <v>0</v>
      </c>
      <c r="CM1331" s="33">
        <v>3</v>
      </c>
      <c r="CN1331" s="33">
        <v>7</v>
      </c>
      <c r="CO1331" s="33">
        <v>0</v>
      </c>
      <c r="CP1331" s="43">
        <v>9.9010332558401956E-2</v>
      </c>
      <c r="CQ1331" s="33">
        <v>0</v>
      </c>
      <c r="CR1331" s="33">
        <v>0</v>
      </c>
    </row>
    <row r="1332" spans="1:96" ht="15" customHeight="1" x14ac:dyDescent="0.25">
      <c r="A1332" s="26">
        <v>1330</v>
      </c>
      <c r="B1332" s="27">
        <v>43</v>
      </c>
      <c r="C1332" s="27">
        <v>0</v>
      </c>
      <c r="D1332" s="27">
        <v>1</v>
      </c>
      <c r="E1332" s="27">
        <v>823</v>
      </c>
      <c r="F1332" s="27">
        <v>2</v>
      </c>
      <c r="G1332" s="27">
        <v>6</v>
      </c>
      <c r="H1332" s="27">
        <v>3</v>
      </c>
      <c r="I1332" s="27">
        <v>3</v>
      </c>
      <c r="J1332" s="27">
        <v>1</v>
      </c>
      <c r="K1332" s="27">
        <v>1866</v>
      </c>
      <c r="L1332" s="27">
        <v>1</v>
      </c>
      <c r="M1332" s="27">
        <v>0</v>
      </c>
      <c r="N1332" s="27">
        <v>81</v>
      </c>
      <c r="O1332" s="27">
        <v>2</v>
      </c>
      <c r="P1332" s="27">
        <v>5</v>
      </c>
      <c r="Q1332" s="27">
        <v>6</v>
      </c>
      <c r="R1332" s="27">
        <v>3</v>
      </c>
      <c r="S1332" s="27">
        <v>2</v>
      </c>
      <c r="T1332" s="27">
        <v>19392</v>
      </c>
      <c r="U1332" s="27">
        <v>22539</v>
      </c>
      <c r="V1332" s="27">
        <v>7</v>
      </c>
      <c r="W1332" s="27">
        <v>0</v>
      </c>
      <c r="X1332" s="27">
        <v>13</v>
      </c>
      <c r="Y1332" s="27">
        <v>3</v>
      </c>
      <c r="Z1332" s="27">
        <v>4</v>
      </c>
      <c r="AA1332" s="27">
        <v>80</v>
      </c>
      <c r="AB1332" s="27">
        <v>0</v>
      </c>
      <c r="AC1332" s="27">
        <v>21</v>
      </c>
      <c r="AD1332" s="27">
        <v>2</v>
      </c>
      <c r="AE1332" s="27">
        <v>3</v>
      </c>
      <c r="AF1332" s="27">
        <v>16</v>
      </c>
      <c r="AG1332" s="27">
        <v>12</v>
      </c>
      <c r="AH1332" s="27">
        <v>6</v>
      </c>
      <c r="AI1332" s="28">
        <v>14</v>
      </c>
      <c r="AK1332" s="36">
        <v>1299</v>
      </c>
      <c r="AL1332" s="33">
        <v>21</v>
      </c>
      <c r="AM1332" s="33">
        <v>2</v>
      </c>
      <c r="AN1332" s="33">
        <v>2</v>
      </c>
      <c r="AO1332" s="33">
        <v>4</v>
      </c>
      <c r="AP1332" s="33">
        <v>0</v>
      </c>
      <c r="AQ1332" s="33">
        <v>1</v>
      </c>
      <c r="AR1332" s="33">
        <v>4</v>
      </c>
      <c r="AS1332" s="33">
        <v>9</v>
      </c>
      <c r="AT1332" s="33">
        <v>3</v>
      </c>
      <c r="AU1332" s="43">
        <v>9.8946641057030535E-2</v>
      </c>
      <c r="AV1332" s="33">
        <v>0</v>
      </c>
      <c r="AW1332" s="33">
        <v>1</v>
      </c>
      <c r="AY1332" s="36">
        <v>1304</v>
      </c>
      <c r="AZ1332" s="33">
        <v>3</v>
      </c>
      <c r="BA1332" s="33">
        <v>2</v>
      </c>
      <c r="BB1332" s="33">
        <v>1</v>
      </c>
      <c r="BC1332" s="33">
        <v>1</v>
      </c>
      <c r="BD1332" s="43">
        <v>0.20375464798791798</v>
      </c>
      <c r="BE1332" s="33">
        <v>0</v>
      </c>
      <c r="BF1332" s="33">
        <v>0</v>
      </c>
      <c r="CE1332" s="36">
        <v>1298</v>
      </c>
      <c r="CF1332" s="33">
        <v>20</v>
      </c>
      <c r="CG1332" s="33">
        <v>1</v>
      </c>
      <c r="CH1332" s="33">
        <v>2</v>
      </c>
      <c r="CI1332" s="33">
        <v>2</v>
      </c>
      <c r="CJ1332" s="33">
        <v>0</v>
      </c>
      <c r="CK1332" s="33">
        <v>1</v>
      </c>
      <c r="CL1332" s="33">
        <v>0</v>
      </c>
      <c r="CM1332" s="33">
        <v>3</v>
      </c>
      <c r="CN1332" s="33">
        <v>5</v>
      </c>
      <c r="CO1332" s="33">
        <v>1</v>
      </c>
      <c r="CP1332" s="43">
        <v>0.49229417480798693</v>
      </c>
      <c r="CQ1332" s="33">
        <v>0</v>
      </c>
      <c r="CR1332" s="33">
        <v>1</v>
      </c>
    </row>
    <row r="1333" spans="1:96" ht="15" customHeight="1" x14ac:dyDescent="0.25">
      <c r="A1333" s="26">
        <v>1331</v>
      </c>
      <c r="B1333" s="27">
        <v>48</v>
      </c>
      <c r="C1333" s="27">
        <v>0</v>
      </c>
      <c r="D1333" s="27">
        <v>1</v>
      </c>
      <c r="E1333" s="27">
        <v>1224</v>
      </c>
      <c r="F1333" s="27">
        <v>2</v>
      </c>
      <c r="G1333" s="27">
        <v>10</v>
      </c>
      <c r="H1333" s="27">
        <v>3</v>
      </c>
      <c r="I1333" s="27">
        <v>1</v>
      </c>
      <c r="J1333" s="27">
        <v>1</v>
      </c>
      <c r="K1333" s="27">
        <v>1867</v>
      </c>
      <c r="L1333" s="27">
        <v>4</v>
      </c>
      <c r="M1333" s="27">
        <v>1</v>
      </c>
      <c r="N1333" s="27">
        <v>91</v>
      </c>
      <c r="O1333" s="27">
        <v>2</v>
      </c>
      <c r="P1333" s="27">
        <v>5</v>
      </c>
      <c r="Q1333" s="27">
        <v>8</v>
      </c>
      <c r="R1333" s="27">
        <v>2</v>
      </c>
      <c r="S1333" s="27">
        <v>2</v>
      </c>
      <c r="T1333" s="27">
        <v>19665</v>
      </c>
      <c r="U1333" s="27">
        <v>13583</v>
      </c>
      <c r="V1333" s="27">
        <v>4</v>
      </c>
      <c r="W1333" s="27">
        <v>0</v>
      </c>
      <c r="X1333" s="27">
        <v>12</v>
      </c>
      <c r="Y1333" s="27">
        <v>3</v>
      </c>
      <c r="Z1333" s="27">
        <v>4</v>
      </c>
      <c r="AA1333" s="27">
        <v>80</v>
      </c>
      <c r="AB1333" s="27">
        <v>0</v>
      </c>
      <c r="AC1333" s="27">
        <v>29</v>
      </c>
      <c r="AD1333" s="27">
        <v>3</v>
      </c>
      <c r="AE1333" s="27">
        <v>3</v>
      </c>
      <c r="AF1333" s="27">
        <v>22</v>
      </c>
      <c r="AG1333" s="27">
        <v>10</v>
      </c>
      <c r="AH1333" s="27">
        <v>12</v>
      </c>
      <c r="AI1333" s="28">
        <v>9</v>
      </c>
      <c r="AK1333" s="36">
        <v>1300</v>
      </c>
      <c r="AL1333" s="33">
        <v>1</v>
      </c>
      <c r="AM1333" s="33">
        <v>2</v>
      </c>
      <c r="AN1333" s="33">
        <v>4</v>
      </c>
      <c r="AO1333" s="33">
        <v>4</v>
      </c>
      <c r="AP1333" s="33">
        <v>0</v>
      </c>
      <c r="AQ1333" s="33">
        <v>1</v>
      </c>
      <c r="AR1333" s="33">
        <v>3</v>
      </c>
      <c r="AS1333" s="33">
        <v>5</v>
      </c>
      <c r="AT1333" s="33">
        <v>0</v>
      </c>
      <c r="AU1333" s="43">
        <v>3.6094575021539149E-2</v>
      </c>
      <c r="AV1333" s="33">
        <v>0</v>
      </c>
      <c r="AW1333" s="33">
        <v>0</v>
      </c>
      <c r="AY1333" s="36">
        <v>1305</v>
      </c>
      <c r="AZ1333" s="33">
        <v>2</v>
      </c>
      <c r="BA1333" s="33">
        <v>1</v>
      </c>
      <c r="BB1333" s="33">
        <v>0</v>
      </c>
      <c r="BC1333" s="33">
        <v>1</v>
      </c>
      <c r="BD1333" s="43">
        <v>0.12293502213131684</v>
      </c>
      <c r="BE1333" s="33">
        <v>0</v>
      </c>
      <c r="BF1333" s="33">
        <v>0</v>
      </c>
      <c r="CE1333" s="36">
        <v>1299</v>
      </c>
      <c r="CF1333" s="33">
        <v>21</v>
      </c>
      <c r="CG1333" s="33">
        <v>2</v>
      </c>
      <c r="CH1333" s="33">
        <v>2</v>
      </c>
      <c r="CI1333" s="33">
        <v>2</v>
      </c>
      <c r="CJ1333" s="33">
        <v>4</v>
      </c>
      <c r="CK1333" s="33">
        <v>0</v>
      </c>
      <c r="CL1333" s="33">
        <v>1</v>
      </c>
      <c r="CM1333" s="33">
        <v>4</v>
      </c>
      <c r="CN1333" s="33">
        <v>9</v>
      </c>
      <c r="CO1333" s="33">
        <v>3</v>
      </c>
      <c r="CP1333" s="43">
        <v>9.6126648456009225E-2</v>
      </c>
      <c r="CQ1333" s="33">
        <v>0</v>
      </c>
      <c r="CR1333" s="33">
        <v>1</v>
      </c>
    </row>
    <row r="1334" spans="1:96" ht="15" customHeight="1" x14ac:dyDescent="0.25">
      <c r="A1334" s="26">
        <v>1332</v>
      </c>
      <c r="B1334" s="27">
        <v>29</v>
      </c>
      <c r="C1334" s="27">
        <v>1</v>
      </c>
      <c r="D1334" s="27">
        <v>2</v>
      </c>
      <c r="E1334" s="27">
        <v>459</v>
      </c>
      <c r="F1334" s="27">
        <v>2</v>
      </c>
      <c r="G1334" s="27">
        <v>24</v>
      </c>
      <c r="H1334" s="27">
        <v>2</v>
      </c>
      <c r="I1334" s="27">
        <v>1</v>
      </c>
      <c r="J1334" s="27">
        <v>1</v>
      </c>
      <c r="K1334" s="27">
        <v>1868</v>
      </c>
      <c r="L1334" s="27">
        <v>4</v>
      </c>
      <c r="M1334" s="27">
        <v>1</v>
      </c>
      <c r="N1334" s="27">
        <v>73</v>
      </c>
      <c r="O1334" s="27">
        <v>2</v>
      </c>
      <c r="P1334" s="27">
        <v>1</v>
      </c>
      <c r="Q1334" s="27">
        <v>2</v>
      </c>
      <c r="R1334" s="27">
        <v>4</v>
      </c>
      <c r="S1334" s="27">
        <v>1</v>
      </c>
      <c r="T1334" s="27">
        <v>2439</v>
      </c>
      <c r="U1334" s="27">
        <v>14753</v>
      </c>
      <c r="V1334" s="27">
        <v>1</v>
      </c>
      <c r="W1334" s="27">
        <v>1</v>
      </c>
      <c r="X1334" s="27">
        <v>24</v>
      </c>
      <c r="Y1334" s="27">
        <v>4</v>
      </c>
      <c r="Z1334" s="27">
        <v>2</v>
      </c>
      <c r="AA1334" s="27">
        <v>80</v>
      </c>
      <c r="AB1334" s="27">
        <v>0</v>
      </c>
      <c r="AC1334" s="27">
        <v>1</v>
      </c>
      <c r="AD1334" s="27">
        <v>3</v>
      </c>
      <c r="AE1334" s="27">
        <v>2</v>
      </c>
      <c r="AF1334" s="27">
        <v>1</v>
      </c>
      <c r="AG1334" s="27">
        <v>0</v>
      </c>
      <c r="AH1334" s="27">
        <v>1</v>
      </c>
      <c r="AI1334" s="28">
        <v>0</v>
      </c>
      <c r="AK1334" s="36">
        <v>1301</v>
      </c>
      <c r="AL1334" s="33">
        <v>8</v>
      </c>
      <c r="AM1334" s="33">
        <v>2</v>
      </c>
      <c r="AN1334" s="33">
        <v>3</v>
      </c>
      <c r="AO1334" s="33">
        <v>1</v>
      </c>
      <c r="AP1334" s="33">
        <v>0</v>
      </c>
      <c r="AQ1334" s="33">
        <v>2</v>
      </c>
      <c r="AR1334" s="33">
        <v>3</v>
      </c>
      <c r="AS1334" s="33">
        <v>10</v>
      </c>
      <c r="AT1334" s="33">
        <v>4</v>
      </c>
      <c r="AU1334" s="43">
        <v>2.9782967128460309E-2</v>
      </c>
      <c r="AV1334" s="33">
        <v>0</v>
      </c>
      <c r="AW1334" s="33">
        <v>0</v>
      </c>
      <c r="AY1334" s="36">
        <v>1306</v>
      </c>
      <c r="AZ1334" s="33">
        <v>2</v>
      </c>
      <c r="BA1334" s="33">
        <v>4</v>
      </c>
      <c r="BB1334" s="33">
        <v>0</v>
      </c>
      <c r="BC1334" s="33">
        <v>1</v>
      </c>
      <c r="BD1334" s="43">
        <v>5.5093218126976727E-2</v>
      </c>
      <c r="BE1334" s="33">
        <v>0</v>
      </c>
      <c r="BF1334" s="33">
        <v>0</v>
      </c>
      <c r="CE1334" s="36">
        <v>1300</v>
      </c>
      <c r="CF1334" s="33">
        <v>1</v>
      </c>
      <c r="CG1334" s="33">
        <v>2</v>
      </c>
      <c r="CH1334" s="33">
        <v>4</v>
      </c>
      <c r="CI1334" s="33">
        <v>3</v>
      </c>
      <c r="CJ1334" s="33">
        <v>4</v>
      </c>
      <c r="CK1334" s="33">
        <v>0</v>
      </c>
      <c r="CL1334" s="33">
        <v>1</v>
      </c>
      <c r="CM1334" s="33">
        <v>3</v>
      </c>
      <c r="CN1334" s="33">
        <v>5</v>
      </c>
      <c r="CO1334" s="33">
        <v>0</v>
      </c>
      <c r="CP1334" s="43">
        <v>1.9994224715488323E-2</v>
      </c>
      <c r="CQ1334" s="33">
        <v>0</v>
      </c>
      <c r="CR1334" s="33">
        <v>0</v>
      </c>
    </row>
    <row r="1335" spans="1:96" ht="15" customHeight="1" x14ac:dyDescent="0.25">
      <c r="A1335" s="26">
        <v>1333</v>
      </c>
      <c r="B1335" s="27">
        <v>46</v>
      </c>
      <c r="C1335" s="27">
        <v>1</v>
      </c>
      <c r="D1335" s="27">
        <v>1</v>
      </c>
      <c r="E1335" s="27">
        <v>1254</v>
      </c>
      <c r="F1335" s="27">
        <v>1</v>
      </c>
      <c r="G1335" s="27">
        <v>10</v>
      </c>
      <c r="H1335" s="27">
        <v>3</v>
      </c>
      <c r="I1335" s="27">
        <v>1</v>
      </c>
      <c r="J1335" s="27">
        <v>1</v>
      </c>
      <c r="K1335" s="27">
        <v>1869</v>
      </c>
      <c r="L1335" s="27">
        <v>3</v>
      </c>
      <c r="M1335" s="27">
        <v>0</v>
      </c>
      <c r="N1335" s="27">
        <v>64</v>
      </c>
      <c r="O1335" s="27">
        <v>3</v>
      </c>
      <c r="P1335" s="27">
        <v>3</v>
      </c>
      <c r="Q1335" s="27">
        <v>1</v>
      </c>
      <c r="R1335" s="27">
        <v>2</v>
      </c>
      <c r="S1335" s="27">
        <v>2</v>
      </c>
      <c r="T1335" s="27">
        <v>7314</v>
      </c>
      <c r="U1335" s="27">
        <v>14011</v>
      </c>
      <c r="V1335" s="27">
        <v>5</v>
      </c>
      <c r="W1335" s="27">
        <v>0</v>
      </c>
      <c r="X1335" s="27">
        <v>21</v>
      </c>
      <c r="Y1335" s="27">
        <v>4</v>
      </c>
      <c r="Z1335" s="27">
        <v>3</v>
      </c>
      <c r="AA1335" s="27">
        <v>80</v>
      </c>
      <c r="AB1335" s="27">
        <v>3</v>
      </c>
      <c r="AC1335" s="27">
        <v>14</v>
      </c>
      <c r="AD1335" s="27">
        <v>2</v>
      </c>
      <c r="AE1335" s="27">
        <v>3</v>
      </c>
      <c r="AF1335" s="27">
        <v>8</v>
      </c>
      <c r="AG1335" s="27">
        <v>7</v>
      </c>
      <c r="AH1335" s="27">
        <v>0</v>
      </c>
      <c r="AI1335" s="28">
        <v>7</v>
      </c>
      <c r="AK1335" s="36">
        <v>1302</v>
      </c>
      <c r="AL1335" s="33">
        <v>2</v>
      </c>
      <c r="AM1335" s="33">
        <v>4</v>
      </c>
      <c r="AN1335" s="33">
        <v>2</v>
      </c>
      <c r="AO1335" s="33">
        <v>4</v>
      </c>
      <c r="AP1335" s="33">
        <v>0</v>
      </c>
      <c r="AQ1335" s="33">
        <v>1</v>
      </c>
      <c r="AR1335" s="33">
        <v>2</v>
      </c>
      <c r="AS1335" s="33">
        <v>16</v>
      </c>
      <c r="AT1335" s="33">
        <v>14</v>
      </c>
      <c r="AU1335" s="43">
        <v>6.0423312547032967E-2</v>
      </c>
      <c r="AV1335" s="33">
        <v>0</v>
      </c>
      <c r="AW1335" s="33">
        <v>0</v>
      </c>
      <c r="AY1335" s="36">
        <v>1307</v>
      </c>
      <c r="AZ1335" s="33">
        <v>3</v>
      </c>
      <c r="BA1335" s="33">
        <v>1</v>
      </c>
      <c r="BB1335" s="33">
        <v>0</v>
      </c>
      <c r="BC1335" s="33">
        <v>2</v>
      </c>
      <c r="BD1335" s="43">
        <v>4.5175408192170002E-2</v>
      </c>
      <c r="BE1335" s="33">
        <v>0</v>
      </c>
      <c r="BF1335" s="33">
        <v>0</v>
      </c>
      <c r="CE1335" s="36">
        <v>1301</v>
      </c>
      <c r="CF1335" s="33">
        <v>8</v>
      </c>
      <c r="CG1335" s="33">
        <v>2</v>
      </c>
      <c r="CH1335" s="33">
        <v>3</v>
      </c>
      <c r="CI1335" s="33">
        <v>2</v>
      </c>
      <c r="CJ1335" s="33">
        <v>1</v>
      </c>
      <c r="CK1335" s="33">
        <v>0</v>
      </c>
      <c r="CL1335" s="33">
        <v>2</v>
      </c>
      <c r="CM1335" s="33">
        <v>3</v>
      </c>
      <c r="CN1335" s="33">
        <v>10</v>
      </c>
      <c r="CO1335" s="33">
        <v>4</v>
      </c>
      <c r="CP1335" s="43">
        <v>4.0244689377399188E-2</v>
      </c>
      <c r="CQ1335" s="33">
        <v>0</v>
      </c>
      <c r="CR1335" s="33">
        <v>0</v>
      </c>
    </row>
    <row r="1336" spans="1:96" ht="15" customHeight="1" x14ac:dyDescent="0.25">
      <c r="A1336" s="26">
        <v>1334</v>
      </c>
      <c r="B1336" s="27">
        <v>27</v>
      </c>
      <c r="C1336" s="27">
        <v>0</v>
      </c>
      <c r="D1336" s="27">
        <v>2</v>
      </c>
      <c r="E1336" s="27">
        <v>1131</v>
      </c>
      <c r="F1336" s="27">
        <v>2</v>
      </c>
      <c r="G1336" s="27">
        <v>15</v>
      </c>
      <c r="H1336" s="27">
        <v>3</v>
      </c>
      <c r="I1336" s="27">
        <v>1</v>
      </c>
      <c r="J1336" s="27">
        <v>1</v>
      </c>
      <c r="K1336" s="27">
        <v>1870</v>
      </c>
      <c r="L1336" s="27">
        <v>4</v>
      </c>
      <c r="M1336" s="27">
        <v>0</v>
      </c>
      <c r="N1336" s="27">
        <v>77</v>
      </c>
      <c r="O1336" s="27">
        <v>2</v>
      </c>
      <c r="P1336" s="27">
        <v>1</v>
      </c>
      <c r="Q1336" s="27">
        <v>2</v>
      </c>
      <c r="R1336" s="27">
        <v>1</v>
      </c>
      <c r="S1336" s="27">
        <v>2</v>
      </c>
      <c r="T1336" s="27">
        <v>4774</v>
      </c>
      <c r="U1336" s="27">
        <v>23844</v>
      </c>
      <c r="V1336" s="27">
        <v>0</v>
      </c>
      <c r="W1336" s="27">
        <v>0</v>
      </c>
      <c r="X1336" s="27">
        <v>19</v>
      </c>
      <c r="Y1336" s="27">
        <v>3</v>
      </c>
      <c r="Z1336" s="27">
        <v>4</v>
      </c>
      <c r="AA1336" s="27">
        <v>80</v>
      </c>
      <c r="AB1336" s="27">
        <v>1</v>
      </c>
      <c r="AC1336" s="27">
        <v>8</v>
      </c>
      <c r="AD1336" s="27">
        <v>2</v>
      </c>
      <c r="AE1336" s="27">
        <v>2</v>
      </c>
      <c r="AF1336" s="27">
        <v>7</v>
      </c>
      <c r="AG1336" s="27">
        <v>6</v>
      </c>
      <c r="AH1336" s="27">
        <v>7</v>
      </c>
      <c r="AI1336" s="28">
        <v>3</v>
      </c>
      <c r="AK1336" s="36">
        <v>1303</v>
      </c>
      <c r="AL1336" s="33">
        <v>23</v>
      </c>
      <c r="AM1336" s="33">
        <v>1</v>
      </c>
      <c r="AN1336" s="33">
        <v>3</v>
      </c>
      <c r="AO1336" s="33">
        <v>0</v>
      </c>
      <c r="AP1336" s="33">
        <v>0</v>
      </c>
      <c r="AQ1336" s="33">
        <v>1</v>
      </c>
      <c r="AR1336" s="33">
        <v>4</v>
      </c>
      <c r="AS1336" s="33">
        <v>5</v>
      </c>
      <c r="AT1336" s="33">
        <v>0</v>
      </c>
      <c r="AU1336" s="43">
        <v>9.3661140056947201E-2</v>
      </c>
      <c r="AV1336" s="33">
        <v>0</v>
      </c>
      <c r="AW1336" s="33">
        <v>0</v>
      </c>
      <c r="AY1336" s="36">
        <v>1308</v>
      </c>
      <c r="AZ1336" s="33">
        <v>1</v>
      </c>
      <c r="BA1336" s="33">
        <v>1</v>
      </c>
      <c r="BB1336" s="33">
        <v>0</v>
      </c>
      <c r="BC1336" s="33">
        <v>1</v>
      </c>
      <c r="BD1336" s="43">
        <v>0.19678474515944386</v>
      </c>
      <c r="BE1336" s="33">
        <v>0</v>
      </c>
      <c r="BF1336" s="33">
        <v>0</v>
      </c>
      <c r="CE1336" s="36">
        <v>1302</v>
      </c>
      <c r="CF1336" s="33">
        <v>2</v>
      </c>
      <c r="CG1336" s="33">
        <v>4</v>
      </c>
      <c r="CH1336" s="33">
        <v>2</v>
      </c>
      <c r="CI1336" s="33">
        <v>3</v>
      </c>
      <c r="CJ1336" s="33">
        <v>4</v>
      </c>
      <c r="CK1336" s="33">
        <v>0</v>
      </c>
      <c r="CL1336" s="33">
        <v>1</v>
      </c>
      <c r="CM1336" s="33">
        <v>2</v>
      </c>
      <c r="CN1336" s="33">
        <v>16</v>
      </c>
      <c r="CO1336" s="33">
        <v>14</v>
      </c>
      <c r="CP1336" s="43">
        <v>3.7704646451827847E-2</v>
      </c>
      <c r="CQ1336" s="33">
        <v>0</v>
      </c>
      <c r="CR1336" s="33">
        <v>0</v>
      </c>
    </row>
    <row r="1337" spans="1:96" ht="15" customHeight="1" x14ac:dyDescent="0.25">
      <c r="A1337" s="26">
        <v>1335</v>
      </c>
      <c r="B1337" s="27">
        <v>39</v>
      </c>
      <c r="C1337" s="27">
        <v>0</v>
      </c>
      <c r="D1337" s="27">
        <v>1</v>
      </c>
      <c r="E1337" s="27">
        <v>835</v>
      </c>
      <c r="F1337" s="27">
        <v>2</v>
      </c>
      <c r="G1337" s="27">
        <v>19</v>
      </c>
      <c r="H1337" s="27">
        <v>4</v>
      </c>
      <c r="I1337" s="27">
        <v>6</v>
      </c>
      <c r="J1337" s="27">
        <v>1</v>
      </c>
      <c r="K1337" s="27">
        <v>1871</v>
      </c>
      <c r="L1337" s="27">
        <v>4</v>
      </c>
      <c r="M1337" s="27">
        <v>1</v>
      </c>
      <c r="N1337" s="27">
        <v>41</v>
      </c>
      <c r="O1337" s="27">
        <v>3</v>
      </c>
      <c r="P1337" s="27">
        <v>2</v>
      </c>
      <c r="Q1337" s="27">
        <v>2</v>
      </c>
      <c r="R1337" s="27">
        <v>4</v>
      </c>
      <c r="S1337" s="27">
        <v>3</v>
      </c>
      <c r="T1337" s="27">
        <v>3902</v>
      </c>
      <c r="U1337" s="27">
        <v>5141</v>
      </c>
      <c r="V1337" s="27">
        <v>8</v>
      </c>
      <c r="W1337" s="27">
        <v>0</v>
      </c>
      <c r="X1337" s="27">
        <v>14</v>
      </c>
      <c r="Y1337" s="27">
        <v>3</v>
      </c>
      <c r="Z1337" s="27">
        <v>2</v>
      </c>
      <c r="AA1337" s="27">
        <v>80</v>
      </c>
      <c r="AB1337" s="27">
        <v>3</v>
      </c>
      <c r="AC1337" s="27">
        <v>7</v>
      </c>
      <c r="AD1337" s="27">
        <v>2</v>
      </c>
      <c r="AE1337" s="27">
        <v>3</v>
      </c>
      <c r="AF1337" s="27">
        <v>2</v>
      </c>
      <c r="AG1337" s="27">
        <v>2</v>
      </c>
      <c r="AH1337" s="27">
        <v>2</v>
      </c>
      <c r="AI1337" s="28">
        <v>2</v>
      </c>
      <c r="AK1337" s="36">
        <v>1304</v>
      </c>
      <c r="AL1337" s="33">
        <v>4</v>
      </c>
      <c r="AM1337" s="33">
        <v>3</v>
      </c>
      <c r="AN1337" s="33">
        <v>2</v>
      </c>
      <c r="AO1337" s="33">
        <v>8</v>
      </c>
      <c r="AP1337" s="33">
        <v>1</v>
      </c>
      <c r="AQ1337" s="33">
        <v>1</v>
      </c>
      <c r="AR1337" s="33">
        <v>3</v>
      </c>
      <c r="AS1337" s="33">
        <v>22</v>
      </c>
      <c r="AT1337" s="33">
        <v>14</v>
      </c>
      <c r="AU1337" s="43">
        <v>0.27306285343726833</v>
      </c>
      <c r="AV1337" s="33">
        <v>0</v>
      </c>
      <c r="AW1337" s="33">
        <v>0</v>
      </c>
      <c r="AY1337" s="36">
        <v>1309</v>
      </c>
      <c r="AZ1337" s="33">
        <v>2</v>
      </c>
      <c r="BA1337" s="33">
        <v>4</v>
      </c>
      <c r="BB1337" s="33">
        <v>1</v>
      </c>
      <c r="BC1337" s="33">
        <v>2</v>
      </c>
      <c r="BD1337" s="43">
        <v>0.12819971414072456</v>
      </c>
      <c r="BE1337" s="33">
        <v>0</v>
      </c>
      <c r="BF1337" s="33">
        <v>0</v>
      </c>
      <c r="CE1337" s="36">
        <v>1303</v>
      </c>
      <c r="CF1337" s="33">
        <v>23</v>
      </c>
      <c r="CG1337" s="33">
        <v>1</v>
      </c>
      <c r="CH1337" s="33">
        <v>3</v>
      </c>
      <c r="CI1337" s="33">
        <v>2</v>
      </c>
      <c r="CJ1337" s="33">
        <v>0</v>
      </c>
      <c r="CK1337" s="33">
        <v>0</v>
      </c>
      <c r="CL1337" s="33">
        <v>1</v>
      </c>
      <c r="CM1337" s="33">
        <v>4</v>
      </c>
      <c r="CN1337" s="33">
        <v>5</v>
      </c>
      <c r="CO1337" s="33">
        <v>0</v>
      </c>
      <c r="CP1337" s="43">
        <v>8.7454448469112642E-2</v>
      </c>
      <c r="CQ1337" s="33">
        <v>0</v>
      </c>
      <c r="CR1337" s="33">
        <v>0</v>
      </c>
    </row>
    <row r="1338" spans="1:96" ht="15" customHeight="1" x14ac:dyDescent="0.25">
      <c r="A1338" s="26">
        <v>1336</v>
      </c>
      <c r="B1338" s="27">
        <v>55</v>
      </c>
      <c r="C1338" s="27">
        <v>0</v>
      </c>
      <c r="D1338" s="27">
        <v>1</v>
      </c>
      <c r="E1338" s="27">
        <v>836</v>
      </c>
      <c r="F1338" s="27">
        <v>2</v>
      </c>
      <c r="G1338" s="27">
        <v>2</v>
      </c>
      <c r="H1338" s="27">
        <v>4</v>
      </c>
      <c r="I1338" s="27">
        <v>5</v>
      </c>
      <c r="J1338" s="27">
        <v>1</v>
      </c>
      <c r="K1338" s="27">
        <v>1873</v>
      </c>
      <c r="L1338" s="27">
        <v>2</v>
      </c>
      <c r="M1338" s="27">
        <v>1</v>
      </c>
      <c r="N1338" s="27">
        <v>98</v>
      </c>
      <c r="O1338" s="27">
        <v>2</v>
      </c>
      <c r="P1338" s="27">
        <v>1</v>
      </c>
      <c r="Q1338" s="27">
        <v>2</v>
      </c>
      <c r="R1338" s="27">
        <v>4</v>
      </c>
      <c r="S1338" s="27">
        <v>2</v>
      </c>
      <c r="T1338" s="27">
        <v>2662</v>
      </c>
      <c r="U1338" s="27">
        <v>7975</v>
      </c>
      <c r="V1338" s="27">
        <v>8</v>
      </c>
      <c r="W1338" s="27">
        <v>0</v>
      </c>
      <c r="X1338" s="27">
        <v>20</v>
      </c>
      <c r="Y1338" s="27">
        <v>4</v>
      </c>
      <c r="Z1338" s="27">
        <v>2</v>
      </c>
      <c r="AA1338" s="27">
        <v>80</v>
      </c>
      <c r="AB1338" s="27">
        <v>1</v>
      </c>
      <c r="AC1338" s="27">
        <v>19</v>
      </c>
      <c r="AD1338" s="27">
        <v>2</v>
      </c>
      <c r="AE1338" s="27">
        <v>4</v>
      </c>
      <c r="AF1338" s="27">
        <v>5</v>
      </c>
      <c r="AG1338" s="27">
        <v>2</v>
      </c>
      <c r="AH1338" s="27">
        <v>0</v>
      </c>
      <c r="AI1338" s="28">
        <v>4</v>
      </c>
      <c r="AK1338" s="36">
        <v>1305</v>
      </c>
      <c r="AL1338" s="33">
        <v>12</v>
      </c>
      <c r="AM1338" s="33">
        <v>2</v>
      </c>
      <c r="AN1338" s="33">
        <v>1</v>
      </c>
      <c r="AO1338" s="33">
        <v>2</v>
      </c>
      <c r="AP1338" s="33">
        <v>0</v>
      </c>
      <c r="AQ1338" s="33">
        <v>1</v>
      </c>
      <c r="AR1338" s="33">
        <v>3</v>
      </c>
      <c r="AS1338" s="33">
        <v>7</v>
      </c>
      <c r="AT1338" s="33">
        <v>7</v>
      </c>
      <c r="AU1338" s="43">
        <v>0.17400408051124264</v>
      </c>
      <c r="AV1338" s="33">
        <v>0</v>
      </c>
      <c r="AW1338" s="33">
        <v>0</v>
      </c>
      <c r="AY1338" s="36">
        <v>1310</v>
      </c>
      <c r="AZ1338" s="33">
        <v>2</v>
      </c>
      <c r="BA1338" s="33">
        <v>4</v>
      </c>
      <c r="BB1338" s="33">
        <v>0</v>
      </c>
      <c r="BC1338" s="33">
        <v>0</v>
      </c>
      <c r="BD1338" s="43">
        <v>8.9935487507215722E-2</v>
      </c>
      <c r="BE1338" s="33">
        <v>0</v>
      </c>
      <c r="BF1338" s="33">
        <v>0</v>
      </c>
      <c r="CE1338" s="36">
        <v>1304</v>
      </c>
      <c r="CF1338" s="33">
        <v>4</v>
      </c>
      <c r="CG1338" s="33">
        <v>3</v>
      </c>
      <c r="CH1338" s="33">
        <v>2</v>
      </c>
      <c r="CI1338" s="33">
        <v>3</v>
      </c>
      <c r="CJ1338" s="33">
        <v>8</v>
      </c>
      <c r="CK1338" s="33">
        <v>1</v>
      </c>
      <c r="CL1338" s="33">
        <v>1</v>
      </c>
      <c r="CM1338" s="33">
        <v>3</v>
      </c>
      <c r="CN1338" s="33">
        <v>22</v>
      </c>
      <c r="CO1338" s="33">
        <v>14</v>
      </c>
      <c r="CP1338" s="43">
        <v>0.18852276694673559</v>
      </c>
      <c r="CQ1338" s="33">
        <v>0</v>
      </c>
      <c r="CR1338" s="33">
        <v>0</v>
      </c>
    </row>
    <row r="1339" spans="1:96" ht="15" customHeight="1" x14ac:dyDescent="0.25">
      <c r="A1339" s="26">
        <v>1337</v>
      </c>
      <c r="B1339" s="27">
        <v>28</v>
      </c>
      <c r="C1339" s="27">
        <v>0</v>
      </c>
      <c r="D1339" s="27">
        <v>1</v>
      </c>
      <c r="E1339" s="27">
        <v>1172</v>
      </c>
      <c r="F1339" s="27">
        <v>1</v>
      </c>
      <c r="G1339" s="27">
        <v>3</v>
      </c>
      <c r="H1339" s="27">
        <v>3</v>
      </c>
      <c r="I1339" s="27">
        <v>3</v>
      </c>
      <c r="J1339" s="27">
        <v>1</v>
      </c>
      <c r="K1339" s="27">
        <v>1875</v>
      </c>
      <c r="L1339" s="27">
        <v>2</v>
      </c>
      <c r="M1339" s="27">
        <v>0</v>
      </c>
      <c r="N1339" s="27">
        <v>78</v>
      </c>
      <c r="O1339" s="27">
        <v>3</v>
      </c>
      <c r="P1339" s="27">
        <v>1</v>
      </c>
      <c r="Q1339" s="27">
        <v>7</v>
      </c>
      <c r="R1339" s="27">
        <v>2</v>
      </c>
      <c r="S1339" s="27">
        <v>2</v>
      </c>
      <c r="T1339" s="27">
        <v>2856</v>
      </c>
      <c r="U1339" s="27">
        <v>3692</v>
      </c>
      <c r="V1339" s="27">
        <v>1</v>
      </c>
      <c r="W1339" s="27">
        <v>0</v>
      </c>
      <c r="X1339" s="27">
        <v>19</v>
      </c>
      <c r="Y1339" s="27">
        <v>3</v>
      </c>
      <c r="Z1339" s="27">
        <v>4</v>
      </c>
      <c r="AA1339" s="27">
        <v>80</v>
      </c>
      <c r="AB1339" s="27">
        <v>1</v>
      </c>
      <c r="AC1339" s="27">
        <v>1</v>
      </c>
      <c r="AD1339" s="27">
        <v>3</v>
      </c>
      <c r="AE1339" s="27">
        <v>3</v>
      </c>
      <c r="AF1339" s="27">
        <v>1</v>
      </c>
      <c r="AG1339" s="27">
        <v>0</v>
      </c>
      <c r="AH1339" s="27">
        <v>0</v>
      </c>
      <c r="AI1339" s="28">
        <v>0</v>
      </c>
      <c r="AK1339" s="36">
        <v>1306</v>
      </c>
      <c r="AL1339" s="33">
        <v>7</v>
      </c>
      <c r="AM1339" s="33">
        <v>2</v>
      </c>
      <c r="AN1339" s="33">
        <v>4</v>
      </c>
      <c r="AO1339" s="33">
        <v>4</v>
      </c>
      <c r="AP1339" s="33">
        <v>0</v>
      </c>
      <c r="AQ1339" s="33">
        <v>1</v>
      </c>
      <c r="AR1339" s="33">
        <v>2</v>
      </c>
      <c r="AS1339" s="33">
        <v>7</v>
      </c>
      <c r="AT1339" s="33">
        <v>1</v>
      </c>
      <c r="AU1339" s="43">
        <v>5.3082843638401975E-2</v>
      </c>
      <c r="AV1339" s="33">
        <v>0</v>
      </c>
      <c r="AW1339" s="33">
        <v>0</v>
      </c>
      <c r="AY1339" s="36">
        <v>1311</v>
      </c>
      <c r="AZ1339" s="33">
        <v>4</v>
      </c>
      <c r="BA1339" s="33">
        <v>3</v>
      </c>
      <c r="BB1339" s="33">
        <v>1</v>
      </c>
      <c r="BC1339" s="33">
        <v>0</v>
      </c>
      <c r="BD1339" s="43">
        <v>0.15628347374862378</v>
      </c>
      <c r="BE1339" s="33">
        <v>0</v>
      </c>
      <c r="BF1339" s="33">
        <v>0</v>
      </c>
      <c r="CE1339" s="36">
        <v>1305</v>
      </c>
      <c r="CF1339" s="33">
        <v>12</v>
      </c>
      <c r="CG1339" s="33">
        <v>2</v>
      </c>
      <c r="CH1339" s="33">
        <v>1</v>
      </c>
      <c r="CI1339" s="33">
        <v>3</v>
      </c>
      <c r="CJ1339" s="33">
        <v>2</v>
      </c>
      <c r="CK1339" s="33">
        <v>0</v>
      </c>
      <c r="CL1339" s="33">
        <v>1</v>
      </c>
      <c r="CM1339" s="33">
        <v>3</v>
      </c>
      <c r="CN1339" s="33">
        <v>7</v>
      </c>
      <c r="CO1339" s="33">
        <v>7</v>
      </c>
      <c r="CP1339" s="43">
        <v>0.10946115395719049</v>
      </c>
      <c r="CQ1339" s="33">
        <v>0</v>
      </c>
      <c r="CR1339" s="33">
        <v>0</v>
      </c>
    </row>
    <row r="1340" spans="1:96" ht="15" customHeight="1" x14ac:dyDescent="0.25">
      <c r="A1340" s="26">
        <v>1338</v>
      </c>
      <c r="B1340" s="27">
        <v>30</v>
      </c>
      <c r="C1340" s="27">
        <v>1</v>
      </c>
      <c r="D1340" s="27">
        <v>1</v>
      </c>
      <c r="E1340" s="27">
        <v>945</v>
      </c>
      <c r="F1340" s="27">
        <v>1</v>
      </c>
      <c r="G1340" s="27">
        <v>9</v>
      </c>
      <c r="H1340" s="27">
        <v>3</v>
      </c>
      <c r="I1340" s="27">
        <v>3</v>
      </c>
      <c r="J1340" s="27">
        <v>1</v>
      </c>
      <c r="K1340" s="27">
        <v>1876</v>
      </c>
      <c r="L1340" s="27">
        <v>2</v>
      </c>
      <c r="M1340" s="27">
        <v>1</v>
      </c>
      <c r="N1340" s="27">
        <v>89</v>
      </c>
      <c r="O1340" s="27">
        <v>3</v>
      </c>
      <c r="P1340" s="27">
        <v>1</v>
      </c>
      <c r="Q1340" s="27">
        <v>7</v>
      </c>
      <c r="R1340" s="27">
        <v>4</v>
      </c>
      <c r="S1340" s="27">
        <v>1</v>
      </c>
      <c r="T1340" s="27">
        <v>1081</v>
      </c>
      <c r="U1340" s="27">
        <v>16019</v>
      </c>
      <c r="V1340" s="27">
        <v>1</v>
      </c>
      <c r="W1340" s="27">
        <v>0</v>
      </c>
      <c r="X1340" s="27">
        <v>13</v>
      </c>
      <c r="Y1340" s="27">
        <v>3</v>
      </c>
      <c r="Z1340" s="27">
        <v>3</v>
      </c>
      <c r="AA1340" s="27">
        <v>80</v>
      </c>
      <c r="AB1340" s="27">
        <v>0</v>
      </c>
      <c r="AC1340" s="27">
        <v>1</v>
      </c>
      <c r="AD1340" s="27">
        <v>3</v>
      </c>
      <c r="AE1340" s="27">
        <v>2</v>
      </c>
      <c r="AF1340" s="27">
        <v>1</v>
      </c>
      <c r="AG1340" s="27">
        <v>0</v>
      </c>
      <c r="AH1340" s="27">
        <v>0</v>
      </c>
      <c r="AI1340" s="28">
        <v>0</v>
      </c>
      <c r="AK1340" s="36">
        <v>1307</v>
      </c>
      <c r="AL1340" s="33">
        <v>7</v>
      </c>
      <c r="AM1340" s="33">
        <v>3</v>
      </c>
      <c r="AN1340" s="33">
        <v>1</v>
      </c>
      <c r="AO1340" s="33">
        <v>2</v>
      </c>
      <c r="AP1340" s="33">
        <v>0</v>
      </c>
      <c r="AQ1340" s="33">
        <v>2</v>
      </c>
      <c r="AR1340" s="33">
        <v>3</v>
      </c>
      <c r="AS1340" s="33">
        <v>3</v>
      </c>
      <c r="AT1340" s="33">
        <v>2</v>
      </c>
      <c r="AU1340" s="43">
        <v>4.2179627067722936E-2</v>
      </c>
      <c r="AV1340" s="33">
        <v>0</v>
      </c>
      <c r="AW1340" s="33">
        <v>0</v>
      </c>
      <c r="AY1340" s="36">
        <v>1312</v>
      </c>
      <c r="AZ1340" s="33">
        <v>1</v>
      </c>
      <c r="BA1340" s="33">
        <v>3</v>
      </c>
      <c r="BB1340" s="33">
        <v>0</v>
      </c>
      <c r="BC1340" s="33">
        <v>0</v>
      </c>
      <c r="BD1340" s="43">
        <v>0.18791247240909698</v>
      </c>
      <c r="BE1340" s="33">
        <v>0</v>
      </c>
      <c r="BF1340" s="33">
        <v>0</v>
      </c>
      <c r="CE1340" s="36">
        <v>1306</v>
      </c>
      <c r="CF1340" s="33">
        <v>7</v>
      </c>
      <c r="CG1340" s="33">
        <v>2</v>
      </c>
      <c r="CH1340" s="33">
        <v>4</v>
      </c>
      <c r="CI1340" s="33">
        <v>2</v>
      </c>
      <c r="CJ1340" s="33">
        <v>4</v>
      </c>
      <c r="CK1340" s="33">
        <v>0</v>
      </c>
      <c r="CL1340" s="33">
        <v>1</v>
      </c>
      <c r="CM1340" s="33">
        <v>2</v>
      </c>
      <c r="CN1340" s="33">
        <v>7</v>
      </c>
      <c r="CO1340" s="33">
        <v>1</v>
      </c>
      <c r="CP1340" s="43">
        <v>5.1266898726139765E-2</v>
      </c>
      <c r="CQ1340" s="33">
        <v>0</v>
      </c>
      <c r="CR1340" s="33">
        <v>0</v>
      </c>
    </row>
    <row r="1341" spans="1:96" ht="15" customHeight="1" x14ac:dyDescent="0.25">
      <c r="A1341" s="26">
        <v>1339</v>
      </c>
      <c r="B1341" s="27">
        <v>22</v>
      </c>
      <c r="C1341" s="27">
        <v>1</v>
      </c>
      <c r="D1341" s="27">
        <v>1</v>
      </c>
      <c r="E1341" s="27">
        <v>391</v>
      </c>
      <c r="F1341" s="27">
        <v>2</v>
      </c>
      <c r="G1341" s="27">
        <v>7</v>
      </c>
      <c r="H1341" s="27">
        <v>1</v>
      </c>
      <c r="I1341" s="27">
        <v>1</v>
      </c>
      <c r="J1341" s="27">
        <v>1</v>
      </c>
      <c r="K1341" s="27">
        <v>1878</v>
      </c>
      <c r="L1341" s="27">
        <v>4</v>
      </c>
      <c r="M1341" s="27">
        <v>1</v>
      </c>
      <c r="N1341" s="27">
        <v>75</v>
      </c>
      <c r="O1341" s="27">
        <v>3</v>
      </c>
      <c r="P1341" s="27">
        <v>1</v>
      </c>
      <c r="Q1341" s="27">
        <v>2</v>
      </c>
      <c r="R1341" s="27">
        <v>2</v>
      </c>
      <c r="S1341" s="27">
        <v>1</v>
      </c>
      <c r="T1341" s="27">
        <v>2472</v>
      </c>
      <c r="U1341" s="27">
        <v>26092</v>
      </c>
      <c r="V1341" s="27">
        <v>1</v>
      </c>
      <c r="W1341" s="27">
        <v>1</v>
      </c>
      <c r="X1341" s="27">
        <v>23</v>
      </c>
      <c r="Y1341" s="27">
        <v>4</v>
      </c>
      <c r="Z1341" s="27">
        <v>1</v>
      </c>
      <c r="AA1341" s="27">
        <v>80</v>
      </c>
      <c r="AB1341" s="27">
        <v>0</v>
      </c>
      <c r="AC1341" s="27">
        <v>1</v>
      </c>
      <c r="AD1341" s="27">
        <v>2</v>
      </c>
      <c r="AE1341" s="27">
        <v>3</v>
      </c>
      <c r="AF1341" s="27">
        <v>1</v>
      </c>
      <c r="AG1341" s="27">
        <v>0</v>
      </c>
      <c r="AH1341" s="27">
        <v>0</v>
      </c>
      <c r="AI1341" s="28">
        <v>0</v>
      </c>
      <c r="AK1341" s="36">
        <v>1308</v>
      </c>
      <c r="AL1341" s="33">
        <v>1</v>
      </c>
      <c r="AM1341" s="33">
        <v>1</v>
      </c>
      <c r="AN1341" s="33">
        <v>1</v>
      </c>
      <c r="AO1341" s="33">
        <v>1</v>
      </c>
      <c r="AP1341" s="33">
        <v>0</v>
      </c>
      <c r="AQ1341" s="33">
        <v>1</v>
      </c>
      <c r="AR1341" s="33">
        <v>3</v>
      </c>
      <c r="AS1341" s="33">
        <v>3</v>
      </c>
      <c r="AT1341" s="33">
        <v>1</v>
      </c>
      <c r="AU1341" s="43">
        <v>0.13568630134544171</v>
      </c>
      <c r="AV1341" s="33">
        <v>0</v>
      </c>
      <c r="AW1341" s="33">
        <v>0</v>
      </c>
      <c r="AY1341" s="36">
        <v>1313</v>
      </c>
      <c r="AZ1341" s="33">
        <v>1</v>
      </c>
      <c r="BA1341" s="33">
        <v>1</v>
      </c>
      <c r="BB1341" s="33">
        <v>0</v>
      </c>
      <c r="BC1341" s="33">
        <v>0</v>
      </c>
      <c r="BD1341" s="43">
        <v>0.29341085656570393</v>
      </c>
      <c r="BE1341" s="33">
        <v>0</v>
      </c>
      <c r="BF1341" s="33">
        <v>1</v>
      </c>
      <c r="CE1341" s="36">
        <v>1307</v>
      </c>
      <c r="CF1341" s="33">
        <v>7</v>
      </c>
      <c r="CG1341" s="33">
        <v>3</v>
      </c>
      <c r="CH1341" s="33">
        <v>1</v>
      </c>
      <c r="CI1341" s="33">
        <v>2</v>
      </c>
      <c r="CJ1341" s="33">
        <v>2</v>
      </c>
      <c r="CK1341" s="33">
        <v>0</v>
      </c>
      <c r="CL1341" s="33">
        <v>2</v>
      </c>
      <c r="CM1341" s="33">
        <v>3</v>
      </c>
      <c r="CN1341" s="33">
        <v>3</v>
      </c>
      <c r="CO1341" s="33">
        <v>2</v>
      </c>
      <c r="CP1341" s="43">
        <v>5.9335480465272629E-2</v>
      </c>
      <c r="CQ1341" s="33">
        <v>0</v>
      </c>
      <c r="CR1341" s="33">
        <v>0</v>
      </c>
    </row>
    <row r="1342" spans="1:96" ht="15" customHeight="1" x14ac:dyDescent="0.25">
      <c r="A1342" s="26">
        <v>1340</v>
      </c>
      <c r="B1342" s="27">
        <v>36</v>
      </c>
      <c r="C1342" s="27">
        <v>0</v>
      </c>
      <c r="D1342" s="27">
        <v>1</v>
      </c>
      <c r="E1342" s="27">
        <v>1266</v>
      </c>
      <c r="F1342" s="27">
        <v>1</v>
      </c>
      <c r="G1342" s="27">
        <v>10</v>
      </c>
      <c r="H1342" s="27">
        <v>4</v>
      </c>
      <c r="I1342" s="27">
        <v>5</v>
      </c>
      <c r="J1342" s="27">
        <v>1</v>
      </c>
      <c r="K1342" s="27">
        <v>1880</v>
      </c>
      <c r="L1342" s="27">
        <v>2</v>
      </c>
      <c r="M1342" s="27">
        <v>0</v>
      </c>
      <c r="N1342" s="27">
        <v>63</v>
      </c>
      <c r="O1342" s="27">
        <v>2</v>
      </c>
      <c r="P1342" s="27">
        <v>2</v>
      </c>
      <c r="Q1342" s="27">
        <v>1</v>
      </c>
      <c r="R1342" s="27">
        <v>3</v>
      </c>
      <c r="S1342" s="27">
        <v>2</v>
      </c>
      <c r="T1342" s="27">
        <v>5673</v>
      </c>
      <c r="U1342" s="27">
        <v>6060</v>
      </c>
      <c r="V1342" s="27">
        <v>1</v>
      </c>
      <c r="W1342" s="27">
        <v>1</v>
      </c>
      <c r="X1342" s="27">
        <v>13</v>
      </c>
      <c r="Y1342" s="27">
        <v>3</v>
      </c>
      <c r="Z1342" s="27">
        <v>1</v>
      </c>
      <c r="AA1342" s="27">
        <v>80</v>
      </c>
      <c r="AB1342" s="27">
        <v>1</v>
      </c>
      <c r="AC1342" s="27">
        <v>10</v>
      </c>
      <c r="AD1342" s="27">
        <v>4</v>
      </c>
      <c r="AE1342" s="27">
        <v>3</v>
      </c>
      <c r="AF1342" s="27">
        <v>10</v>
      </c>
      <c r="AG1342" s="27">
        <v>9</v>
      </c>
      <c r="AH1342" s="27">
        <v>1</v>
      </c>
      <c r="AI1342" s="28">
        <v>7</v>
      </c>
      <c r="AK1342" s="36">
        <v>1309</v>
      </c>
      <c r="AL1342" s="33">
        <v>2</v>
      </c>
      <c r="AM1342" s="33">
        <v>2</v>
      </c>
      <c r="AN1342" s="33">
        <v>4</v>
      </c>
      <c r="AO1342" s="33">
        <v>2</v>
      </c>
      <c r="AP1342" s="33">
        <v>1</v>
      </c>
      <c r="AQ1342" s="33">
        <v>2</v>
      </c>
      <c r="AR1342" s="33">
        <v>2</v>
      </c>
      <c r="AS1342" s="33">
        <v>4</v>
      </c>
      <c r="AT1342" s="33">
        <v>0</v>
      </c>
      <c r="AU1342" s="43">
        <v>9.9178661452123701E-2</v>
      </c>
      <c r="AV1342" s="33">
        <v>0</v>
      </c>
      <c r="AW1342" s="33">
        <v>0</v>
      </c>
      <c r="AY1342" s="36">
        <v>1314</v>
      </c>
      <c r="AZ1342" s="33">
        <v>1</v>
      </c>
      <c r="BA1342" s="33">
        <v>1</v>
      </c>
      <c r="BB1342" s="33">
        <v>1</v>
      </c>
      <c r="BC1342" s="33">
        <v>3</v>
      </c>
      <c r="BD1342" s="43">
        <v>0.26716376341055892</v>
      </c>
      <c r="BE1342" s="33">
        <v>0</v>
      </c>
      <c r="BF1342" s="33">
        <v>1</v>
      </c>
      <c r="CE1342" s="36">
        <v>1308</v>
      </c>
      <c r="CF1342" s="33">
        <v>1</v>
      </c>
      <c r="CG1342" s="33">
        <v>1</v>
      </c>
      <c r="CH1342" s="33">
        <v>1</v>
      </c>
      <c r="CI1342" s="33">
        <v>2</v>
      </c>
      <c r="CJ1342" s="33">
        <v>1</v>
      </c>
      <c r="CK1342" s="33">
        <v>0</v>
      </c>
      <c r="CL1342" s="33">
        <v>1</v>
      </c>
      <c r="CM1342" s="33">
        <v>3</v>
      </c>
      <c r="CN1342" s="33">
        <v>3</v>
      </c>
      <c r="CO1342" s="33">
        <v>1</v>
      </c>
      <c r="CP1342" s="43">
        <v>0.13451987377235508</v>
      </c>
      <c r="CQ1342" s="33">
        <v>0</v>
      </c>
      <c r="CR1342" s="33">
        <v>0</v>
      </c>
    </row>
    <row r="1343" spans="1:96" ht="15" customHeight="1" x14ac:dyDescent="0.25">
      <c r="A1343" s="26">
        <v>1341</v>
      </c>
      <c r="B1343" s="27">
        <v>31</v>
      </c>
      <c r="C1343" s="27">
        <v>0</v>
      </c>
      <c r="D1343" s="27">
        <v>1</v>
      </c>
      <c r="E1343" s="27">
        <v>311</v>
      </c>
      <c r="F1343" s="27">
        <v>2</v>
      </c>
      <c r="G1343" s="27">
        <v>20</v>
      </c>
      <c r="H1343" s="27">
        <v>3</v>
      </c>
      <c r="I1343" s="27">
        <v>1</v>
      </c>
      <c r="J1343" s="27">
        <v>1</v>
      </c>
      <c r="K1343" s="27">
        <v>1881</v>
      </c>
      <c r="L1343" s="27">
        <v>2</v>
      </c>
      <c r="M1343" s="27">
        <v>1</v>
      </c>
      <c r="N1343" s="27">
        <v>89</v>
      </c>
      <c r="O1343" s="27">
        <v>3</v>
      </c>
      <c r="P1343" s="27">
        <v>2</v>
      </c>
      <c r="Q1343" s="27">
        <v>3</v>
      </c>
      <c r="R1343" s="27">
        <v>3</v>
      </c>
      <c r="S1343" s="27">
        <v>3</v>
      </c>
      <c r="T1343" s="27">
        <v>4197</v>
      </c>
      <c r="U1343" s="27">
        <v>18624</v>
      </c>
      <c r="V1343" s="27">
        <v>1</v>
      </c>
      <c r="W1343" s="27">
        <v>0</v>
      </c>
      <c r="X1343" s="27">
        <v>11</v>
      </c>
      <c r="Y1343" s="27">
        <v>3</v>
      </c>
      <c r="Z1343" s="27">
        <v>1</v>
      </c>
      <c r="AA1343" s="27">
        <v>80</v>
      </c>
      <c r="AB1343" s="27">
        <v>1</v>
      </c>
      <c r="AC1343" s="27">
        <v>10</v>
      </c>
      <c r="AD1343" s="27">
        <v>2</v>
      </c>
      <c r="AE1343" s="27">
        <v>3</v>
      </c>
      <c r="AF1343" s="27">
        <v>10</v>
      </c>
      <c r="AG1343" s="27">
        <v>8</v>
      </c>
      <c r="AH1343" s="27">
        <v>0</v>
      </c>
      <c r="AI1343" s="28">
        <v>2</v>
      </c>
      <c r="AK1343" s="36">
        <v>1310</v>
      </c>
      <c r="AL1343" s="33">
        <v>10</v>
      </c>
      <c r="AM1343" s="33">
        <v>2</v>
      </c>
      <c r="AN1343" s="33">
        <v>4</v>
      </c>
      <c r="AO1343" s="33">
        <v>1</v>
      </c>
      <c r="AP1343" s="33">
        <v>0</v>
      </c>
      <c r="AQ1343" s="33">
        <v>0</v>
      </c>
      <c r="AR1343" s="33">
        <v>3</v>
      </c>
      <c r="AS1343" s="33">
        <v>5</v>
      </c>
      <c r="AT1343" s="33">
        <v>1</v>
      </c>
      <c r="AU1343" s="43">
        <v>7.2184174204001528E-2</v>
      </c>
      <c r="AV1343" s="33">
        <v>0</v>
      </c>
      <c r="AW1343" s="33">
        <v>0</v>
      </c>
      <c r="AY1343" s="36">
        <v>1315</v>
      </c>
      <c r="AZ1343" s="33">
        <v>2</v>
      </c>
      <c r="BA1343" s="33">
        <v>3</v>
      </c>
      <c r="BB1343" s="33">
        <v>0</v>
      </c>
      <c r="BC1343" s="33">
        <v>2</v>
      </c>
      <c r="BD1343" s="43">
        <v>4.4052611042036123E-2</v>
      </c>
      <c r="BE1343" s="33">
        <v>0</v>
      </c>
      <c r="BF1343" s="33">
        <v>0</v>
      </c>
      <c r="CE1343" s="36">
        <v>1309</v>
      </c>
      <c r="CF1343" s="33">
        <v>2</v>
      </c>
      <c r="CG1343" s="33">
        <v>2</v>
      </c>
      <c r="CH1343" s="33">
        <v>4</v>
      </c>
      <c r="CI1343" s="33">
        <v>2</v>
      </c>
      <c r="CJ1343" s="33">
        <v>2</v>
      </c>
      <c r="CK1343" s="33">
        <v>1</v>
      </c>
      <c r="CL1343" s="33">
        <v>2</v>
      </c>
      <c r="CM1343" s="33">
        <v>2</v>
      </c>
      <c r="CN1343" s="33">
        <v>4</v>
      </c>
      <c r="CO1343" s="33">
        <v>0</v>
      </c>
      <c r="CP1343" s="43">
        <v>0.13449532798089076</v>
      </c>
      <c r="CQ1343" s="33">
        <v>0</v>
      </c>
      <c r="CR1343" s="33">
        <v>0</v>
      </c>
    </row>
    <row r="1344" spans="1:96" ht="15" customHeight="1" x14ac:dyDescent="0.25">
      <c r="A1344" s="26">
        <v>1342</v>
      </c>
      <c r="B1344" s="27">
        <v>34</v>
      </c>
      <c r="C1344" s="27">
        <v>0</v>
      </c>
      <c r="D1344" s="27">
        <v>1</v>
      </c>
      <c r="E1344" s="27">
        <v>1480</v>
      </c>
      <c r="F1344" s="27">
        <v>1</v>
      </c>
      <c r="G1344" s="27">
        <v>4</v>
      </c>
      <c r="H1344" s="27">
        <v>3</v>
      </c>
      <c r="I1344" s="27">
        <v>1</v>
      </c>
      <c r="J1344" s="27">
        <v>1</v>
      </c>
      <c r="K1344" s="27">
        <v>1882</v>
      </c>
      <c r="L1344" s="27">
        <v>3</v>
      </c>
      <c r="M1344" s="27">
        <v>1</v>
      </c>
      <c r="N1344" s="27">
        <v>64</v>
      </c>
      <c r="O1344" s="27">
        <v>3</v>
      </c>
      <c r="P1344" s="27">
        <v>3</v>
      </c>
      <c r="Q1344" s="27">
        <v>1</v>
      </c>
      <c r="R1344" s="27">
        <v>4</v>
      </c>
      <c r="S1344" s="27">
        <v>2</v>
      </c>
      <c r="T1344" s="27">
        <v>9713</v>
      </c>
      <c r="U1344" s="27">
        <v>24444</v>
      </c>
      <c r="V1344" s="27">
        <v>2</v>
      </c>
      <c r="W1344" s="27">
        <v>1</v>
      </c>
      <c r="X1344" s="27">
        <v>13</v>
      </c>
      <c r="Y1344" s="27">
        <v>3</v>
      </c>
      <c r="Z1344" s="27">
        <v>4</v>
      </c>
      <c r="AA1344" s="27">
        <v>80</v>
      </c>
      <c r="AB1344" s="27">
        <v>3</v>
      </c>
      <c r="AC1344" s="27">
        <v>9</v>
      </c>
      <c r="AD1344" s="27">
        <v>3</v>
      </c>
      <c r="AE1344" s="27">
        <v>3</v>
      </c>
      <c r="AF1344" s="27">
        <v>5</v>
      </c>
      <c r="AG1344" s="27">
        <v>3</v>
      </c>
      <c r="AH1344" s="27">
        <v>1</v>
      </c>
      <c r="AI1344" s="28">
        <v>0</v>
      </c>
      <c r="AK1344" s="36">
        <v>1311</v>
      </c>
      <c r="AL1344" s="33">
        <v>15</v>
      </c>
      <c r="AM1344" s="33">
        <v>4</v>
      </c>
      <c r="AN1344" s="33">
        <v>3</v>
      </c>
      <c r="AO1344" s="33">
        <v>2</v>
      </c>
      <c r="AP1344" s="33">
        <v>1</v>
      </c>
      <c r="AQ1344" s="33">
        <v>0</v>
      </c>
      <c r="AR1344" s="33">
        <v>3</v>
      </c>
      <c r="AS1344" s="33">
        <v>2</v>
      </c>
      <c r="AT1344" s="33">
        <v>2</v>
      </c>
      <c r="AU1344" s="43">
        <v>0.21288349454399075</v>
      </c>
      <c r="AV1344" s="33">
        <v>0</v>
      </c>
      <c r="AW1344" s="33">
        <v>0</v>
      </c>
      <c r="AY1344" s="36">
        <v>1316</v>
      </c>
      <c r="AZ1344" s="33">
        <v>2</v>
      </c>
      <c r="BA1344" s="33">
        <v>2</v>
      </c>
      <c r="BB1344" s="33">
        <v>1</v>
      </c>
      <c r="BC1344" s="33">
        <v>1</v>
      </c>
      <c r="BD1344" s="43">
        <v>0.30904710588370227</v>
      </c>
      <c r="BE1344" s="33">
        <v>0</v>
      </c>
      <c r="BF1344" s="33">
        <v>0</v>
      </c>
      <c r="CE1344" s="36">
        <v>1310</v>
      </c>
      <c r="CF1344" s="33">
        <v>10</v>
      </c>
      <c r="CG1344" s="33">
        <v>2</v>
      </c>
      <c r="CH1344" s="33">
        <v>4</v>
      </c>
      <c r="CI1344" s="33">
        <v>1</v>
      </c>
      <c r="CJ1344" s="33">
        <v>1</v>
      </c>
      <c r="CK1344" s="33">
        <v>0</v>
      </c>
      <c r="CL1344" s="33">
        <v>0</v>
      </c>
      <c r="CM1344" s="33">
        <v>3</v>
      </c>
      <c r="CN1344" s="33">
        <v>5</v>
      </c>
      <c r="CO1344" s="33">
        <v>1</v>
      </c>
      <c r="CP1344" s="43">
        <v>8.3108613494348699E-2</v>
      </c>
      <c r="CQ1344" s="33">
        <v>0</v>
      </c>
      <c r="CR1344" s="33">
        <v>0</v>
      </c>
    </row>
    <row r="1345" spans="1:96" ht="15" customHeight="1" x14ac:dyDescent="0.25">
      <c r="A1345" s="26">
        <v>1343</v>
      </c>
      <c r="B1345" s="27">
        <v>29</v>
      </c>
      <c r="C1345" s="27">
        <v>0</v>
      </c>
      <c r="D1345" s="27">
        <v>1</v>
      </c>
      <c r="E1345" s="27">
        <v>592</v>
      </c>
      <c r="F1345" s="27">
        <v>2</v>
      </c>
      <c r="G1345" s="27">
        <v>7</v>
      </c>
      <c r="H1345" s="27">
        <v>3</v>
      </c>
      <c r="I1345" s="27">
        <v>1</v>
      </c>
      <c r="J1345" s="27">
        <v>1</v>
      </c>
      <c r="K1345" s="27">
        <v>1883</v>
      </c>
      <c r="L1345" s="27">
        <v>4</v>
      </c>
      <c r="M1345" s="27">
        <v>1</v>
      </c>
      <c r="N1345" s="27">
        <v>59</v>
      </c>
      <c r="O1345" s="27">
        <v>3</v>
      </c>
      <c r="P1345" s="27">
        <v>1</v>
      </c>
      <c r="Q1345" s="27">
        <v>3</v>
      </c>
      <c r="R1345" s="27">
        <v>1</v>
      </c>
      <c r="S1345" s="27">
        <v>1</v>
      </c>
      <c r="T1345" s="27">
        <v>2062</v>
      </c>
      <c r="U1345" s="27">
        <v>19384</v>
      </c>
      <c r="V1345" s="27">
        <v>3</v>
      </c>
      <c r="W1345" s="27">
        <v>0</v>
      </c>
      <c r="X1345" s="27">
        <v>14</v>
      </c>
      <c r="Y1345" s="27">
        <v>3</v>
      </c>
      <c r="Z1345" s="27">
        <v>2</v>
      </c>
      <c r="AA1345" s="27">
        <v>80</v>
      </c>
      <c r="AB1345" s="27">
        <v>0</v>
      </c>
      <c r="AC1345" s="27">
        <v>11</v>
      </c>
      <c r="AD1345" s="27">
        <v>2</v>
      </c>
      <c r="AE1345" s="27">
        <v>3</v>
      </c>
      <c r="AF1345" s="27">
        <v>3</v>
      </c>
      <c r="AG1345" s="27">
        <v>2</v>
      </c>
      <c r="AH1345" s="27">
        <v>1</v>
      </c>
      <c r="AI1345" s="28">
        <v>2</v>
      </c>
      <c r="AK1345" s="36">
        <v>1312</v>
      </c>
      <c r="AL1345" s="33">
        <v>14</v>
      </c>
      <c r="AM1345" s="33">
        <v>1</v>
      </c>
      <c r="AN1345" s="33">
        <v>3</v>
      </c>
      <c r="AO1345" s="33">
        <v>1</v>
      </c>
      <c r="AP1345" s="33">
        <v>0</v>
      </c>
      <c r="AQ1345" s="33">
        <v>0</v>
      </c>
      <c r="AR1345" s="33">
        <v>1</v>
      </c>
      <c r="AS1345" s="33">
        <v>0</v>
      </c>
      <c r="AT1345" s="33">
        <v>0</v>
      </c>
      <c r="AU1345" s="43">
        <v>0.29666944372382265</v>
      </c>
      <c r="AV1345" s="33">
        <v>0</v>
      </c>
      <c r="AW1345" s="33">
        <v>0</v>
      </c>
      <c r="AY1345" s="36">
        <v>1317</v>
      </c>
      <c r="AZ1345" s="33">
        <v>2</v>
      </c>
      <c r="BA1345" s="33">
        <v>4</v>
      </c>
      <c r="BB1345" s="33">
        <v>0</v>
      </c>
      <c r="BC1345" s="33">
        <v>1</v>
      </c>
      <c r="BD1345" s="43">
        <v>5.5093218126976727E-2</v>
      </c>
      <c r="BE1345" s="33">
        <v>0</v>
      </c>
      <c r="BF1345" s="33">
        <v>0</v>
      </c>
      <c r="CE1345" s="36">
        <v>1311</v>
      </c>
      <c r="CF1345" s="33">
        <v>15</v>
      </c>
      <c r="CG1345" s="33">
        <v>4</v>
      </c>
      <c r="CH1345" s="33">
        <v>3</v>
      </c>
      <c r="CI1345" s="33">
        <v>2</v>
      </c>
      <c r="CJ1345" s="33">
        <v>2</v>
      </c>
      <c r="CK1345" s="33">
        <v>1</v>
      </c>
      <c r="CL1345" s="33">
        <v>0</v>
      </c>
      <c r="CM1345" s="33">
        <v>3</v>
      </c>
      <c r="CN1345" s="33">
        <v>2</v>
      </c>
      <c r="CO1345" s="33">
        <v>2</v>
      </c>
      <c r="CP1345" s="43">
        <v>0.16476612219795941</v>
      </c>
      <c r="CQ1345" s="33">
        <v>0</v>
      </c>
      <c r="CR1345" s="33">
        <v>0</v>
      </c>
    </row>
    <row r="1346" spans="1:96" ht="15" customHeight="1" x14ac:dyDescent="0.25">
      <c r="A1346" s="26">
        <v>1344</v>
      </c>
      <c r="B1346" s="27">
        <v>37</v>
      </c>
      <c r="C1346" s="27">
        <v>0</v>
      </c>
      <c r="D1346" s="27">
        <v>1</v>
      </c>
      <c r="E1346" s="27">
        <v>783</v>
      </c>
      <c r="F1346" s="27">
        <v>2</v>
      </c>
      <c r="G1346" s="27">
        <v>7</v>
      </c>
      <c r="H1346" s="27">
        <v>4</v>
      </c>
      <c r="I1346" s="27">
        <v>3</v>
      </c>
      <c r="J1346" s="27">
        <v>1</v>
      </c>
      <c r="K1346" s="27">
        <v>1885</v>
      </c>
      <c r="L1346" s="27">
        <v>4</v>
      </c>
      <c r="M1346" s="27">
        <v>1</v>
      </c>
      <c r="N1346" s="27">
        <v>78</v>
      </c>
      <c r="O1346" s="27">
        <v>3</v>
      </c>
      <c r="P1346" s="27">
        <v>2</v>
      </c>
      <c r="Q1346" s="27">
        <v>2</v>
      </c>
      <c r="R1346" s="27">
        <v>1</v>
      </c>
      <c r="S1346" s="27">
        <v>2</v>
      </c>
      <c r="T1346" s="27">
        <v>4284</v>
      </c>
      <c r="U1346" s="27">
        <v>13588</v>
      </c>
      <c r="V1346" s="27">
        <v>5</v>
      </c>
      <c r="W1346" s="27">
        <v>1</v>
      </c>
      <c r="X1346" s="27">
        <v>22</v>
      </c>
      <c r="Y1346" s="27">
        <v>4</v>
      </c>
      <c r="Z1346" s="27">
        <v>3</v>
      </c>
      <c r="AA1346" s="27">
        <v>80</v>
      </c>
      <c r="AB1346" s="27">
        <v>1</v>
      </c>
      <c r="AC1346" s="27">
        <v>16</v>
      </c>
      <c r="AD1346" s="27">
        <v>2</v>
      </c>
      <c r="AE1346" s="27">
        <v>3</v>
      </c>
      <c r="AF1346" s="27">
        <v>5</v>
      </c>
      <c r="AG1346" s="27">
        <v>3</v>
      </c>
      <c r="AH1346" s="27">
        <v>0</v>
      </c>
      <c r="AI1346" s="28">
        <v>4</v>
      </c>
      <c r="AK1346" s="36">
        <v>1313</v>
      </c>
      <c r="AL1346" s="33">
        <v>18</v>
      </c>
      <c r="AM1346" s="33">
        <v>1</v>
      </c>
      <c r="AN1346" s="33">
        <v>1</v>
      </c>
      <c r="AO1346" s="33">
        <v>0</v>
      </c>
      <c r="AP1346" s="33">
        <v>0</v>
      </c>
      <c r="AQ1346" s="33">
        <v>0</v>
      </c>
      <c r="AR1346" s="33">
        <v>3</v>
      </c>
      <c r="AS1346" s="33">
        <v>1</v>
      </c>
      <c r="AT1346" s="33">
        <v>0</v>
      </c>
      <c r="AU1346" s="43">
        <v>0.31739333653238355</v>
      </c>
      <c r="AV1346" s="33">
        <v>0</v>
      </c>
      <c r="AW1346" s="33">
        <v>1</v>
      </c>
      <c r="AY1346" s="36">
        <v>1318</v>
      </c>
      <c r="AZ1346" s="33">
        <v>1</v>
      </c>
      <c r="BA1346" s="33">
        <v>4</v>
      </c>
      <c r="BB1346" s="33">
        <v>1</v>
      </c>
      <c r="BC1346" s="33">
        <v>0</v>
      </c>
      <c r="BD1346" s="43">
        <v>0.42475472169672474</v>
      </c>
      <c r="BE1346" s="33">
        <v>0</v>
      </c>
      <c r="BF1346" s="33">
        <v>0</v>
      </c>
      <c r="CE1346" s="36">
        <v>1312</v>
      </c>
      <c r="CF1346" s="33">
        <v>14</v>
      </c>
      <c r="CG1346" s="33">
        <v>1</v>
      </c>
      <c r="CH1346" s="33">
        <v>3</v>
      </c>
      <c r="CI1346" s="33">
        <v>1</v>
      </c>
      <c r="CJ1346" s="33">
        <v>1</v>
      </c>
      <c r="CK1346" s="33">
        <v>0</v>
      </c>
      <c r="CL1346" s="33">
        <v>0</v>
      </c>
      <c r="CM1346" s="33">
        <v>1</v>
      </c>
      <c r="CN1346" s="33">
        <v>0</v>
      </c>
      <c r="CO1346" s="33">
        <v>0</v>
      </c>
      <c r="CP1346" s="43">
        <v>0.33791474195978832</v>
      </c>
      <c r="CQ1346" s="33">
        <v>0</v>
      </c>
      <c r="CR1346" s="33">
        <v>0</v>
      </c>
    </row>
    <row r="1347" spans="1:96" ht="15" customHeight="1" x14ac:dyDescent="0.25">
      <c r="A1347" s="26">
        <v>1345</v>
      </c>
      <c r="B1347" s="27">
        <v>35</v>
      </c>
      <c r="C1347" s="27">
        <v>0</v>
      </c>
      <c r="D1347" s="27">
        <v>1</v>
      </c>
      <c r="E1347" s="27">
        <v>219</v>
      </c>
      <c r="F1347" s="27">
        <v>2</v>
      </c>
      <c r="G1347" s="27">
        <v>16</v>
      </c>
      <c r="H1347" s="27">
        <v>2</v>
      </c>
      <c r="I1347" s="27">
        <v>6</v>
      </c>
      <c r="J1347" s="27">
        <v>1</v>
      </c>
      <c r="K1347" s="27">
        <v>1886</v>
      </c>
      <c r="L1347" s="27">
        <v>4</v>
      </c>
      <c r="M1347" s="27">
        <v>0</v>
      </c>
      <c r="N1347" s="27">
        <v>44</v>
      </c>
      <c r="O1347" s="27">
        <v>2</v>
      </c>
      <c r="P1347" s="27">
        <v>2</v>
      </c>
      <c r="Q1347" s="27">
        <v>4</v>
      </c>
      <c r="R1347" s="27">
        <v>2</v>
      </c>
      <c r="S1347" s="27">
        <v>2</v>
      </c>
      <c r="T1347" s="27">
        <v>4788</v>
      </c>
      <c r="U1347" s="27">
        <v>25388</v>
      </c>
      <c r="V1347" s="27">
        <v>0</v>
      </c>
      <c r="W1347" s="27">
        <v>1</v>
      </c>
      <c r="X1347" s="27">
        <v>11</v>
      </c>
      <c r="Y1347" s="27">
        <v>3</v>
      </c>
      <c r="Z1347" s="27">
        <v>4</v>
      </c>
      <c r="AA1347" s="27">
        <v>80</v>
      </c>
      <c r="AB1347" s="27">
        <v>0</v>
      </c>
      <c r="AC1347" s="27">
        <v>4</v>
      </c>
      <c r="AD1347" s="27">
        <v>2</v>
      </c>
      <c r="AE1347" s="27">
        <v>3</v>
      </c>
      <c r="AF1347" s="27">
        <v>3</v>
      </c>
      <c r="AG1347" s="27">
        <v>2</v>
      </c>
      <c r="AH1347" s="27">
        <v>0</v>
      </c>
      <c r="AI1347" s="28">
        <v>2</v>
      </c>
      <c r="AK1347" s="36">
        <v>1314</v>
      </c>
      <c r="AL1347" s="33">
        <v>13</v>
      </c>
      <c r="AM1347" s="33">
        <v>1</v>
      </c>
      <c r="AN1347" s="33">
        <v>1</v>
      </c>
      <c r="AO1347" s="33">
        <v>4</v>
      </c>
      <c r="AP1347" s="33">
        <v>1</v>
      </c>
      <c r="AQ1347" s="33">
        <v>3</v>
      </c>
      <c r="AR1347" s="33">
        <v>3</v>
      </c>
      <c r="AS1347" s="33">
        <v>2</v>
      </c>
      <c r="AT1347" s="33">
        <v>2</v>
      </c>
      <c r="AU1347" s="43">
        <v>0.33860843887407049</v>
      </c>
      <c r="AV1347" s="33">
        <v>0</v>
      </c>
      <c r="AW1347" s="33">
        <v>1</v>
      </c>
      <c r="AY1347" s="36">
        <v>1319</v>
      </c>
      <c r="AZ1347" s="33">
        <v>1</v>
      </c>
      <c r="BA1347" s="33">
        <v>4</v>
      </c>
      <c r="BB1347" s="33">
        <v>0</v>
      </c>
      <c r="BC1347" s="33">
        <v>0</v>
      </c>
      <c r="BD1347" s="43">
        <v>0.1472907617042678</v>
      </c>
      <c r="BE1347" s="33">
        <v>0</v>
      </c>
      <c r="BF1347" s="33">
        <v>0</v>
      </c>
      <c r="CE1347" s="36">
        <v>1313</v>
      </c>
      <c r="CF1347" s="33">
        <v>18</v>
      </c>
      <c r="CG1347" s="33">
        <v>1</v>
      </c>
      <c r="CH1347" s="33">
        <v>1</v>
      </c>
      <c r="CI1347" s="33">
        <v>2</v>
      </c>
      <c r="CJ1347" s="33">
        <v>0</v>
      </c>
      <c r="CK1347" s="33">
        <v>0</v>
      </c>
      <c r="CL1347" s="33">
        <v>0</v>
      </c>
      <c r="CM1347" s="33">
        <v>3</v>
      </c>
      <c r="CN1347" s="33">
        <v>1</v>
      </c>
      <c r="CO1347" s="33">
        <v>0</v>
      </c>
      <c r="CP1347" s="43">
        <v>0.24442845317774542</v>
      </c>
      <c r="CQ1347" s="33">
        <v>0</v>
      </c>
      <c r="CR1347" s="33">
        <v>1</v>
      </c>
    </row>
    <row r="1348" spans="1:96" ht="15" customHeight="1" x14ac:dyDescent="0.25">
      <c r="A1348" s="26">
        <v>1346</v>
      </c>
      <c r="B1348" s="27">
        <v>45</v>
      </c>
      <c r="C1348" s="27">
        <v>0</v>
      </c>
      <c r="D1348" s="27">
        <v>1</v>
      </c>
      <c r="E1348" s="27">
        <v>556</v>
      </c>
      <c r="F1348" s="27">
        <v>2</v>
      </c>
      <c r="G1348" s="27">
        <v>25</v>
      </c>
      <c r="H1348" s="27">
        <v>2</v>
      </c>
      <c r="I1348" s="27">
        <v>1</v>
      </c>
      <c r="J1348" s="27">
        <v>1</v>
      </c>
      <c r="K1348" s="27">
        <v>1888</v>
      </c>
      <c r="L1348" s="27">
        <v>2</v>
      </c>
      <c r="M1348" s="27">
        <v>0</v>
      </c>
      <c r="N1348" s="27">
        <v>93</v>
      </c>
      <c r="O1348" s="27">
        <v>2</v>
      </c>
      <c r="P1348" s="27">
        <v>2</v>
      </c>
      <c r="Q1348" s="27">
        <v>4</v>
      </c>
      <c r="R1348" s="27">
        <v>4</v>
      </c>
      <c r="S1348" s="27">
        <v>2</v>
      </c>
      <c r="T1348" s="27">
        <v>5906</v>
      </c>
      <c r="U1348" s="27">
        <v>23888</v>
      </c>
      <c r="V1348" s="27">
        <v>0</v>
      </c>
      <c r="W1348" s="27">
        <v>0</v>
      </c>
      <c r="X1348" s="27">
        <v>13</v>
      </c>
      <c r="Y1348" s="27">
        <v>3</v>
      </c>
      <c r="Z1348" s="27">
        <v>4</v>
      </c>
      <c r="AA1348" s="27">
        <v>80</v>
      </c>
      <c r="AB1348" s="27">
        <v>2</v>
      </c>
      <c r="AC1348" s="27">
        <v>10</v>
      </c>
      <c r="AD1348" s="27">
        <v>2</v>
      </c>
      <c r="AE1348" s="27">
        <v>2</v>
      </c>
      <c r="AF1348" s="27">
        <v>9</v>
      </c>
      <c r="AG1348" s="27">
        <v>8</v>
      </c>
      <c r="AH1348" s="27">
        <v>3</v>
      </c>
      <c r="AI1348" s="28">
        <v>8</v>
      </c>
      <c r="AK1348" s="36">
        <v>1315</v>
      </c>
      <c r="AL1348" s="33">
        <v>2</v>
      </c>
      <c r="AM1348" s="33">
        <v>2</v>
      </c>
      <c r="AN1348" s="33">
        <v>3</v>
      </c>
      <c r="AO1348" s="33">
        <v>4</v>
      </c>
      <c r="AP1348" s="33">
        <v>0</v>
      </c>
      <c r="AQ1348" s="33">
        <v>2</v>
      </c>
      <c r="AR1348" s="33">
        <v>4</v>
      </c>
      <c r="AS1348" s="33">
        <v>8</v>
      </c>
      <c r="AT1348" s="33">
        <v>5</v>
      </c>
      <c r="AU1348" s="43">
        <v>3.2033462155869372E-2</v>
      </c>
      <c r="AV1348" s="33">
        <v>0</v>
      </c>
      <c r="AW1348" s="33">
        <v>0</v>
      </c>
      <c r="AY1348" s="36">
        <v>1320</v>
      </c>
      <c r="AZ1348" s="33">
        <v>2</v>
      </c>
      <c r="BA1348" s="33">
        <v>4</v>
      </c>
      <c r="BB1348" s="33">
        <v>0</v>
      </c>
      <c r="BC1348" s="33">
        <v>0</v>
      </c>
      <c r="BD1348" s="43">
        <v>8.9935487507215722E-2</v>
      </c>
      <c r="BE1348" s="33">
        <v>0</v>
      </c>
      <c r="BF1348" s="33">
        <v>0</v>
      </c>
      <c r="CE1348" s="36">
        <v>1314</v>
      </c>
      <c r="CF1348" s="33">
        <v>13</v>
      </c>
      <c r="CG1348" s="33">
        <v>1</v>
      </c>
      <c r="CH1348" s="33">
        <v>1</v>
      </c>
      <c r="CI1348" s="33">
        <v>3</v>
      </c>
      <c r="CJ1348" s="33">
        <v>4</v>
      </c>
      <c r="CK1348" s="33">
        <v>1</v>
      </c>
      <c r="CL1348" s="33">
        <v>3</v>
      </c>
      <c r="CM1348" s="33">
        <v>3</v>
      </c>
      <c r="CN1348" s="33">
        <v>2</v>
      </c>
      <c r="CO1348" s="33">
        <v>2</v>
      </c>
      <c r="CP1348" s="43">
        <v>0.37727181985309088</v>
      </c>
      <c r="CQ1348" s="33">
        <v>0</v>
      </c>
      <c r="CR1348" s="33">
        <v>1</v>
      </c>
    </row>
    <row r="1349" spans="1:96" ht="15" customHeight="1" x14ac:dyDescent="0.25">
      <c r="A1349" s="26">
        <v>1347</v>
      </c>
      <c r="B1349" s="27">
        <v>36</v>
      </c>
      <c r="C1349" s="27">
        <v>0</v>
      </c>
      <c r="D1349" s="27">
        <v>2</v>
      </c>
      <c r="E1349" s="27">
        <v>1213</v>
      </c>
      <c r="F1349" s="27">
        <v>3</v>
      </c>
      <c r="G1349" s="27">
        <v>2</v>
      </c>
      <c r="H1349" s="27">
        <v>1</v>
      </c>
      <c r="I1349" s="27">
        <v>2</v>
      </c>
      <c r="J1349" s="27">
        <v>1</v>
      </c>
      <c r="K1349" s="27">
        <v>1890</v>
      </c>
      <c r="L1349" s="27">
        <v>2</v>
      </c>
      <c r="M1349" s="27">
        <v>1</v>
      </c>
      <c r="N1349" s="27">
        <v>94</v>
      </c>
      <c r="O1349" s="27">
        <v>2</v>
      </c>
      <c r="P1349" s="27">
        <v>2</v>
      </c>
      <c r="Q1349" s="27">
        <v>9</v>
      </c>
      <c r="R1349" s="27">
        <v>4</v>
      </c>
      <c r="S1349" s="27">
        <v>1</v>
      </c>
      <c r="T1349" s="27">
        <v>3886</v>
      </c>
      <c r="U1349" s="27">
        <v>4223</v>
      </c>
      <c r="V1349" s="27">
        <v>1</v>
      </c>
      <c r="W1349" s="27">
        <v>0</v>
      </c>
      <c r="X1349" s="27">
        <v>21</v>
      </c>
      <c r="Y1349" s="27">
        <v>4</v>
      </c>
      <c r="Z1349" s="27">
        <v>4</v>
      </c>
      <c r="AA1349" s="27">
        <v>80</v>
      </c>
      <c r="AB1349" s="27">
        <v>0</v>
      </c>
      <c r="AC1349" s="27">
        <v>10</v>
      </c>
      <c r="AD1349" s="27">
        <v>2</v>
      </c>
      <c r="AE1349" s="27">
        <v>2</v>
      </c>
      <c r="AF1349" s="27">
        <v>10</v>
      </c>
      <c r="AG1349" s="27">
        <v>1</v>
      </c>
      <c r="AH1349" s="27">
        <v>0</v>
      </c>
      <c r="AI1349" s="28">
        <v>8</v>
      </c>
      <c r="AK1349" s="36">
        <v>1316</v>
      </c>
      <c r="AL1349" s="33">
        <v>2</v>
      </c>
      <c r="AM1349" s="33">
        <v>2</v>
      </c>
      <c r="AN1349" s="33">
        <v>2</v>
      </c>
      <c r="AO1349" s="33">
        <v>4</v>
      </c>
      <c r="AP1349" s="33">
        <v>1</v>
      </c>
      <c r="AQ1349" s="33">
        <v>1</v>
      </c>
      <c r="AR1349" s="33">
        <v>3</v>
      </c>
      <c r="AS1349" s="33">
        <v>1</v>
      </c>
      <c r="AT1349" s="33">
        <v>0</v>
      </c>
      <c r="AU1349" s="43">
        <v>0.28834089086722653</v>
      </c>
      <c r="AV1349" s="33">
        <v>0</v>
      </c>
      <c r="AW1349" s="33">
        <v>0</v>
      </c>
      <c r="AY1349" s="36">
        <v>1321</v>
      </c>
      <c r="AZ1349" s="33">
        <v>1</v>
      </c>
      <c r="BA1349" s="33">
        <v>3</v>
      </c>
      <c r="BB1349" s="33">
        <v>0</v>
      </c>
      <c r="BC1349" s="33">
        <v>2</v>
      </c>
      <c r="BD1349" s="43">
        <v>7.4543423691031577E-2</v>
      </c>
      <c r="BE1349" s="33">
        <v>0</v>
      </c>
      <c r="BF1349" s="33">
        <v>0</v>
      </c>
      <c r="CE1349" s="36">
        <v>1315</v>
      </c>
      <c r="CF1349" s="33">
        <v>2</v>
      </c>
      <c r="CG1349" s="33">
        <v>2</v>
      </c>
      <c r="CH1349" s="33">
        <v>3</v>
      </c>
      <c r="CI1349" s="33">
        <v>2</v>
      </c>
      <c r="CJ1349" s="33">
        <v>4</v>
      </c>
      <c r="CK1349" s="33">
        <v>0</v>
      </c>
      <c r="CL1349" s="33">
        <v>2</v>
      </c>
      <c r="CM1349" s="33">
        <v>4</v>
      </c>
      <c r="CN1349" s="33">
        <v>8</v>
      </c>
      <c r="CO1349" s="33">
        <v>5</v>
      </c>
      <c r="CP1349" s="43">
        <v>4.3012547877848896E-2</v>
      </c>
      <c r="CQ1349" s="33">
        <v>0</v>
      </c>
      <c r="CR1349" s="33">
        <v>0</v>
      </c>
    </row>
    <row r="1350" spans="1:96" ht="15" customHeight="1" x14ac:dyDescent="0.25">
      <c r="A1350" s="26">
        <v>1348</v>
      </c>
      <c r="B1350" s="27">
        <v>40</v>
      </c>
      <c r="C1350" s="27">
        <v>0</v>
      </c>
      <c r="D1350" s="27">
        <v>1</v>
      </c>
      <c r="E1350" s="27">
        <v>1137</v>
      </c>
      <c r="F1350" s="27">
        <v>2</v>
      </c>
      <c r="G1350" s="27">
        <v>1</v>
      </c>
      <c r="H1350" s="27">
        <v>4</v>
      </c>
      <c r="I1350" s="27">
        <v>1</v>
      </c>
      <c r="J1350" s="27">
        <v>1</v>
      </c>
      <c r="K1350" s="27">
        <v>1892</v>
      </c>
      <c r="L1350" s="27">
        <v>1</v>
      </c>
      <c r="M1350" s="27">
        <v>1</v>
      </c>
      <c r="N1350" s="27">
        <v>98</v>
      </c>
      <c r="O1350" s="27">
        <v>3</v>
      </c>
      <c r="P1350" s="27">
        <v>4</v>
      </c>
      <c r="Q1350" s="27">
        <v>6</v>
      </c>
      <c r="R1350" s="27">
        <v>1</v>
      </c>
      <c r="S1350" s="27">
        <v>3</v>
      </c>
      <c r="T1350" s="27">
        <v>16823</v>
      </c>
      <c r="U1350" s="27">
        <v>18991</v>
      </c>
      <c r="V1350" s="27">
        <v>2</v>
      </c>
      <c r="W1350" s="27">
        <v>0</v>
      </c>
      <c r="X1350" s="27">
        <v>11</v>
      </c>
      <c r="Y1350" s="27">
        <v>3</v>
      </c>
      <c r="Z1350" s="27">
        <v>1</v>
      </c>
      <c r="AA1350" s="27">
        <v>80</v>
      </c>
      <c r="AB1350" s="27">
        <v>1</v>
      </c>
      <c r="AC1350" s="27">
        <v>22</v>
      </c>
      <c r="AD1350" s="27">
        <v>3</v>
      </c>
      <c r="AE1350" s="27">
        <v>3</v>
      </c>
      <c r="AF1350" s="27">
        <v>19</v>
      </c>
      <c r="AG1350" s="27">
        <v>7</v>
      </c>
      <c r="AH1350" s="27">
        <v>11</v>
      </c>
      <c r="AI1350" s="28">
        <v>16</v>
      </c>
      <c r="AK1350" s="36">
        <v>1317</v>
      </c>
      <c r="AL1350" s="33">
        <v>2</v>
      </c>
      <c r="AM1350" s="33">
        <v>2</v>
      </c>
      <c r="AN1350" s="33">
        <v>4</v>
      </c>
      <c r="AO1350" s="33">
        <v>1</v>
      </c>
      <c r="AP1350" s="33">
        <v>0</v>
      </c>
      <c r="AQ1350" s="33">
        <v>1</v>
      </c>
      <c r="AR1350" s="33">
        <v>3</v>
      </c>
      <c r="AS1350" s="33">
        <v>7</v>
      </c>
      <c r="AT1350" s="33">
        <v>7</v>
      </c>
      <c r="AU1350" s="43">
        <v>5.447808151080958E-2</v>
      </c>
      <c r="AV1350" s="33">
        <v>0</v>
      </c>
      <c r="AW1350" s="33">
        <v>0</v>
      </c>
      <c r="AY1350" s="36">
        <v>1322</v>
      </c>
      <c r="AZ1350" s="33">
        <v>1</v>
      </c>
      <c r="BA1350" s="33">
        <v>3</v>
      </c>
      <c r="BB1350" s="33">
        <v>0</v>
      </c>
      <c r="BC1350" s="33">
        <v>0</v>
      </c>
      <c r="BD1350" s="43">
        <v>0.18791247240909698</v>
      </c>
      <c r="BE1350" s="33">
        <v>0</v>
      </c>
      <c r="BF1350" s="33">
        <v>0</v>
      </c>
      <c r="CE1350" s="36">
        <v>1316</v>
      </c>
      <c r="CF1350" s="33">
        <v>2</v>
      </c>
      <c r="CG1350" s="33">
        <v>2</v>
      </c>
      <c r="CH1350" s="33">
        <v>2</v>
      </c>
      <c r="CI1350" s="33">
        <v>2</v>
      </c>
      <c r="CJ1350" s="33">
        <v>4</v>
      </c>
      <c r="CK1350" s="33">
        <v>1</v>
      </c>
      <c r="CL1350" s="33">
        <v>1</v>
      </c>
      <c r="CM1350" s="33">
        <v>3</v>
      </c>
      <c r="CN1350" s="33">
        <v>1</v>
      </c>
      <c r="CO1350" s="33">
        <v>0</v>
      </c>
      <c r="CP1350" s="43">
        <v>0.29362724011787877</v>
      </c>
      <c r="CQ1350" s="33">
        <v>0</v>
      </c>
      <c r="CR1350" s="33">
        <v>0</v>
      </c>
    </row>
    <row r="1351" spans="1:96" ht="15" customHeight="1" x14ac:dyDescent="0.25">
      <c r="A1351" s="26">
        <v>1349</v>
      </c>
      <c r="B1351" s="27">
        <v>26</v>
      </c>
      <c r="C1351" s="27">
        <v>0</v>
      </c>
      <c r="D1351" s="27">
        <v>1</v>
      </c>
      <c r="E1351" s="27">
        <v>482</v>
      </c>
      <c r="F1351" s="27">
        <v>2</v>
      </c>
      <c r="G1351" s="27">
        <v>1</v>
      </c>
      <c r="H1351" s="27">
        <v>2</v>
      </c>
      <c r="I1351" s="27">
        <v>1</v>
      </c>
      <c r="J1351" s="27">
        <v>1</v>
      </c>
      <c r="K1351" s="27">
        <v>1893</v>
      </c>
      <c r="L1351" s="27">
        <v>2</v>
      </c>
      <c r="M1351" s="27">
        <v>0</v>
      </c>
      <c r="N1351" s="27">
        <v>90</v>
      </c>
      <c r="O1351" s="27">
        <v>2</v>
      </c>
      <c r="P1351" s="27">
        <v>1</v>
      </c>
      <c r="Q1351" s="27">
        <v>2</v>
      </c>
      <c r="R1351" s="27">
        <v>3</v>
      </c>
      <c r="S1351" s="27">
        <v>2</v>
      </c>
      <c r="T1351" s="27">
        <v>2933</v>
      </c>
      <c r="U1351" s="27">
        <v>14908</v>
      </c>
      <c r="V1351" s="27">
        <v>1</v>
      </c>
      <c r="W1351" s="27">
        <v>1</v>
      </c>
      <c r="X1351" s="27">
        <v>13</v>
      </c>
      <c r="Y1351" s="27">
        <v>3</v>
      </c>
      <c r="Z1351" s="27">
        <v>3</v>
      </c>
      <c r="AA1351" s="27">
        <v>80</v>
      </c>
      <c r="AB1351" s="27">
        <v>1</v>
      </c>
      <c r="AC1351" s="27">
        <v>1</v>
      </c>
      <c r="AD1351" s="27">
        <v>3</v>
      </c>
      <c r="AE1351" s="27">
        <v>2</v>
      </c>
      <c r="AF1351" s="27">
        <v>1</v>
      </c>
      <c r="AG1351" s="27">
        <v>0</v>
      </c>
      <c r="AH1351" s="27">
        <v>1</v>
      </c>
      <c r="AI1351" s="28">
        <v>0</v>
      </c>
      <c r="AK1351" s="36">
        <v>1318</v>
      </c>
      <c r="AL1351" s="33">
        <v>5</v>
      </c>
      <c r="AM1351" s="33">
        <v>1</v>
      </c>
      <c r="AN1351" s="33">
        <v>4</v>
      </c>
      <c r="AO1351" s="33">
        <v>0</v>
      </c>
      <c r="AP1351" s="33">
        <v>1</v>
      </c>
      <c r="AQ1351" s="33">
        <v>0</v>
      </c>
      <c r="AR1351" s="33">
        <v>2</v>
      </c>
      <c r="AS1351" s="33">
        <v>5</v>
      </c>
      <c r="AT1351" s="33">
        <v>0</v>
      </c>
      <c r="AU1351" s="43">
        <v>0.34080100707942179</v>
      </c>
      <c r="AV1351" s="33">
        <v>0</v>
      </c>
      <c r="AW1351" s="33">
        <v>0</v>
      </c>
      <c r="AY1351" s="36">
        <v>1323</v>
      </c>
      <c r="AZ1351" s="33">
        <v>3</v>
      </c>
      <c r="BA1351" s="33">
        <v>4</v>
      </c>
      <c r="BB1351" s="33">
        <v>0</v>
      </c>
      <c r="BC1351" s="33">
        <v>1</v>
      </c>
      <c r="BD1351" s="43">
        <v>3.2280700557178299E-2</v>
      </c>
      <c r="BE1351" s="33">
        <v>0</v>
      </c>
      <c r="BF1351" s="33">
        <v>0</v>
      </c>
      <c r="CE1351" s="36">
        <v>1317</v>
      </c>
      <c r="CF1351" s="33">
        <v>2</v>
      </c>
      <c r="CG1351" s="33">
        <v>2</v>
      </c>
      <c r="CH1351" s="33">
        <v>4</v>
      </c>
      <c r="CI1351" s="33">
        <v>2</v>
      </c>
      <c r="CJ1351" s="33">
        <v>1</v>
      </c>
      <c r="CK1351" s="33">
        <v>0</v>
      </c>
      <c r="CL1351" s="33">
        <v>1</v>
      </c>
      <c r="CM1351" s="33">
        <v>3</v>
      </c>
      <c r="CN1351" s="33">
        <v>7</v>
      </c>
      <c r="CO1351" s="33">
        <v>7</v>
      </c>
      <c r="CP1351" s="43">
        <v>5.2558391605716549E-2</v>
      </c>
      <c r="CQ1351" s="33">
        <v>0</v>
      </c>
      <c r="CR1351" s="33">
        <v>0</v>
      </c>
    </row>
    <row r="1352" spans="1:96" ht="15" customHeight="1" x14ac:dyDescent="0.25">
      <c r="A1352" s="26">
        <v>1350</v>
      </c>
      <c r="B1352" s="27">
        <v>27</v>
      </c>
      <c r="C1352" s="27">
        <v>0</v>
      </c>
      <c r="D1352" s="27">
        <v>1</v>
      </c>
      <c r="E1352" s="27">
        <v>511</v>
      </c>
      <c r="F1352" s="27">
        <v>1</v>
      </c>
      <c r="G1352" s="27">
        <v>2</v>
      </c>
      <c r="H1352" s="27">
        <v>2</v>
      </c>
      <c r="I1352" s="27">
        <v>3</v>
      </c>
      <c r="J1352" s="27">
        <v>1</v>
      </c>
      <c r="K1352" s="27">
        <v>1898</v>
      </c>
      <c r="L1352" s="27">
        <v>1</v>
      </c>
      <c r="M1352" s="27">
        <v>0</v>
      </c>
      <c r="N1352" s="27">
        <v>89</v>
      </c>
      <c r="O1352" s="27">
        <v>4</v>
      </c>
      <c r="P1352" s="27">
        <v>2</v>
      </c>
      <c r="Q1352" s="27">
        <v>1</v>
      </c>
      <c r="R1352" s="27">
        <v>3</v>
      </c>
      <c r="S1352" s="27">
        <v>1</v>
      </c>
      <c r="T1352" s="27">
        <v>6500</v>
      </c>
      <c r="U1352" s="27">
        <v>26997</v>
      </c>
      <c r="V1352" s="27">
        <v>0</v>
      </c>
      <c r="W1352" s="27">
        <v>0</v>
      </c>
      <c r="X1352" s="27">
        <v>14</v>
      </c>
      <c r="Y1352" s="27">
        <v>3</v>
      </c>
      <c r="Z1352" s="27">
        <v>2</v>
      </c>
      <c r="AA1352" s="27">
        <v>80</v>
      </c>
      <c r="AB1352" s="27">
        <v>0</v>
      </c>
      <c r="AC1352" s="27">
        <v>9</v>
      </c>
      <c r="AD1352" s="27">
        <v>5</v>
      </c>
      <c r="AE1352" s="27">
        <v>2</v>
      </c>
      <c r="AF1352" s="27">
        <v>8</v>
      </c>
      <c r="AG1352" s="27">
        <v>7</v>
      </c>
      <c r="AH1352" s="27">
        <v>0</v>
      </c>
      <c r="AI1352" s="28">
        <v>7</v>
      </c>
      <c r="AK1352" s="36">
        <v>1319</v>
      </c>
      <c r="AL1352" s="33">
        <v>20</v>
      </c>
      <c r="AM1352" s="33">
        <v>1</v>
      </c>
      <c r="AN1352" s="33">
        <v>4</v>
      </c>
      <c r="AO1352" s="33">
        <v>1</v>
      </c>
      <c r="AP1352" s="33">
        <v>0</v>
      </c>
      <c r="AQ1352" s="33">
        <v>0</v>
      </c>
      <c r="AR1352" s="33">
        <v>4</v>
      </c>
      <c r="AS1352" s="33">
        <v>11</v>
      </c>
      <c r="AT1352" s="33">
        <v>3</v>
      </c>
      <c r="AU1352" s="43">
        <v>0.10869519459001512</v>
      </c>
      <c r="AV1352" s="33">
        <v>0</v>
      </c>
      <c r="AW1352" s="33">
        <v>0</v>
      </c>
      <c r="AY1352" s="36">
        <v>1324</v>
      </c>
      <c r="AZ1352" s="33">
        <v>1</v>
      </c>
      <c r="BA1352" s="33">
        <v>4</v>
      </c>
      <c r="BB1352" s="33">
        <v>0</v>
      </c>
      <c r="BC1352" s="33">
        <v>1</v>
      </c>
      <c r="BD1352" s="43">
        <v>9.2486413274924434E-2</v>
      </c>
      <c r="BE1352" s="33">
        <v>0</v>
      </c>
      <c r="BF1352" s="33">
        <v>0</v>
      </c>
      <c r="CE1352" s="36">
        <v>1318</v>
      </c>
      <c r="CF1352" s="33">
        <v>5</v>
      </c>
      <c r="CG1352" s="33">
        <v>1</v>
      </c>
      <c r="CH1352" s="33">
        <v>4</v>
      </c>
      <c r="CI1352" s="33">
        <v>1</v>
      </c>
      <c r="CJ1352" s="33">
        <v>0</v>
      </c>
      <c r="CK1352" s="33">
        <v>1</v>
      </c>
      <c r="CL1352" s="33">
        <v>0</v>
      </c>
      <c r="CM1352" s="33">
        <v>2</v>
      </c>
      <c r="CN1352" s="33">
        <v>5</v>
      </c>
      <c r="CO1352" s="33">
        <v>0</v>
      </c>
      <c r="CP1352" s="43">
        <v>0.3858668670941896</v>
      </c>
      <c r="CQ1352" s="33">
        <v>0</v>
      </c>
      <c r="CR1352" s="33">
        <v>0</v>
      </c>
    </row>
    <row r="1353" spans="1:96" ht="15" customHeight="1" x14ac:dyDescent="0.25">
      <c r="A1353" s="26">
        <v>1351</v>
      </c>
      <c r="B1353" s="27">
        <v>48</v>
      </c>
      <c r="C1353" s="27">
        <v>0</v>
      </c>
      <c r="D1353" s="27">
        <v>2</v>
      </c>
      <c r="E1353" s="27">
        <v>117</v>
      </c>
      <c r="F1353" s="27">
        <v>2</v>
      </c>
      <c r="G1353" s="27">
        <v>22</v>
      </c>
      <c r="H1353" s="27">
        <v>3</v>
      </c>
      <c r="I1353" s="27">
        <v>3</v>
      </c>
      <c r="J1353" s="27">
        <v>1</v>
      </c>
      <c r="K1353" s="27">
        <v>1900</v>
      </c>
      <c r="L1353" s="27">
        <v>4</v>
      </c>
      <c r="M1353" s="27">
        <v>0</v>
      </c>
      <c r="N1353" s="27">
        <v>58</v>
      </c>
      <c r="O1353" s="27">
        <v>3</v>
      </c>
      <c r="P1353" s="27">
        <v>4</v>
      </c>
      <c r="Q1353" s="27">
        <v>6</v>
      </c>
      <c r="R1353" s="27">
        <v>4</v>
      </c>
      <c r="S1353" s="27">
        <v>3</v>
      </c>
      <c r="T1353" s="27">
        <v>17174</v>
      </c>
      <c r="U1353" s="27">
        <v>2437</v>
      </c>
      <c r="V1353" s="27">
        <v>3</v>
      </c>
      <c r="W1353" s="27">
        <v>0</v>
      </c>
      <c r="X1353" s="27">
        <v>11</v>
      </c>
      <c r="Y1353" s="27">
        <v>3</v>
      </c>
      <c r="Z1353" s="27">
        <v>2</v>
      </c>
      <c r="AA1353" s="27">
        <v>80</v>
      </c>
      <c r="AB1353" s="27">
        <v>1</v>
      </c>
      <c r="AC1353" s="27">
        <v>24</v>
      </c>
      <c r="AD1353" s="27">
        <v>3</v>
      </c>
      <c r="AE1353" s="27">
        <v>3</v>
      </c>
      <c r="AF1353" s="27">
        <v>22</v>
      </c>
      <c r="AG1353" s="27">
        <v>17</v>
      </c>
      <c r="AH1353" s="27">
        <v>4</v>
      </c>
      <c r="AI1353" s="28">
        <v>7</v>
      </c>
      <c r="AK1353" s="36">
        <v>1320</v>
      </c>
      <c r="AL1353" s="33">
        <v>10</v>
      </c>
      <c r="AM1353" s="33">
        <v>2</v>
      </c>
      <c r="AN1353" s="33">
        <v>4</v>
      </c>
      <c r="AO1353" s="33">
        <v>8</v>
      </c>
      <c r="AP1353" s="33">
        <v>0</v>
      </c>
      <c r="AQ1353" s="33">
        <v>0</v>
      </c>
      <c r="AR1353" s="33">
        <v>4</v>
      </c>
      <c r="AS1353" s="33">
        <v>0</v>
      </c>
      <c r="AT1353" s="33">
        <v>0</v>
      </c>
      <c r="AU1353" s="43">
        <v>0.12443736337611987</v>
      </c>
      <c r="AV1353" s="33">
        <v>0</v>
      </c>
      <c r="AW1353" s="33">
        <v>0</v>
      </c>
      <c r="AY1353" s="36">
        <v>1325</v>
      </c>
      <c r="AZ1353" s="33">
        <v>2</v>
      </c>
      <c r="BA1353" s="33">
        <v>3</v>
      </c>
      <c r="BB1353" s="33">
        <v>0</v>
      </c>
      <c r="BC1353" s="33">
        <v>2</v>
      </c>
      <c r="BD1353" s="43">
        <v>4.4052611042036123E-2</v>
      </c>
      <c r="BE1353" s="33">
        <v>0</v>
      </c>
      <c r="BF1353" s="33">
        <v>0</v>
      </c>
      <c r="CE1353" s="36">
        <v>1319</v>
      </c>
      <c r="CF1353" s="33">
        <v>20</v>
      </c>
      <c r="CG1353" s="33">
        <v>1</v>
      </c>
      <c r="CH1353" s="33">
        <v>4</v>
      </c>
      <c r="CI1353" s="33">
        <v>2</v>
      </c>
      <c r="CJ1353" s="33">
        <v>1</v>
      </c>
      <c r="CK1353" s="33">
        <v>0</v>
      </c>
      <c r="CL1353" s="33">
        <v>0</v>
      </c>
      <c r="CM1353" s="33">
        <v>4</v>
      </c>
      <c r="CN1353" s="33">
        <v>11</v>
      </c>
      <c r="CO1353" s="33">
        <v>3</v>
      </c>
      <c r="CP1353" s="43">
        <v>7.3547717941594093E-2</v>
      </c>
      <c r="CQ1353" s="33">
        <v>0</v>
      </c>
      <c r="CR1353" s="33">
        <v>0</v>
      </c>
    </row>
    <row r="1354" spans="1:96" ht="15" customHeight="1" x14ac:dyDescent="0.25">
      <c r="A1354" s="26">
        <v>1352</v>
      </c>
      <c r="B1354" s="27">
        <v>44</v>
      </c>
      <c r="C1354" s="27">
        <v>0</v>
      </c>
      <c r="D1354" s="27">
        <v>1</v>
      </c>
      <c r="E1354" s="27">
        <v>170</v>
      </c>
      <c r="F1354" s="27">
        <v>2</v>
      </c>
      <c r="G1354" s="27">
        <v>1</v>
      </c>
      <c r="H1354" s="27">
        <v>4</v>
      </c>
      <c r="I1354" s="27">
        <v>1</v>
      </c>
      <c r="J1354" s="27">
        <v>1</v>
      </c>
      <c r="K1354" s="27">
        <v>1903</v>
      </c>
      <c r="L1354" s="27">
        <v>2</v>
      </c>
      <c r="M1354" s="27">
        <v>1</v>
      </c>
      <c r="N1354" s="27">
        <v>78</v>
      </c>
      <c r="O1354" s="27">
        <v>4</v>
      </c>
      <c r="P1354" s="27">
        <v>2</v>
      </c>
      <c r="Q1354" s="27">
        <v>5</v>
      </c>
      <c r="R1354" s="27">
        <v>1</v>
      </c>
      <c r="S1354" s="27">
        <v>2</v>
      </c>
      <c r="T1354" s="27">
        <v>5033</v>
      </c>
      <c r="U1354" s="27">
        <v>9364</v>
      </c>
      <c r="V1354" s="27">
        <v>2</v>
      </c>
      <c r="W1354" s="27">
        <v>0</v>
      </c>
      <c r="X1354" s="27">
        <v>15</v>
      </c>
      <c r="Y1354" s="27">
        <v>3</v>
      </c>
      <c r="Z1354" s="27">
        <v>4</v>
      </c>
      <c r="AA1354" s="27">
        <v>80</v>
      </c>
      <c r="AB1354" s="27">
        <v>1</v>
      </c>
      <c r="AC1354" s="27">
        <v>10</v>
      </c>
      <c r="AD1354" s="27">
        <v>5</v>
      </c>
      <c r="AE1354" s="27">
        <v>3</v>
      </c>
      <c r="AF1354" s="27">
        <v>2</v>
      </c>
      <c r="AG1354" s="27">
        <v>0</v>
      </c>
      <c r="AH1354" s="27">
        <v>2</v>
      </c>
      <c r="AI1354" s="28">
        <v>2</v>
      </c>
      <c r="AK1354" s="36">
        <v>1321</v>
      </c>
      <c r="AL1354" s="33">
        <v>10</v>
      </c>
      <c r="AM1354" s="33">
        <v>1</v>
      </c>
      <c r="AN1354" s="33">
        <v>3</v>
      </c>
      <c r="AO1354" s="33">
        <v>3</v>
      </c>
      <c r="AP1354" s="33">
        <v>0</v>
      </c>
      <c r="AQ1354" s="33">
        <v>2</v>
      </c>
      <c r="AR1354" s="33">
        <v>2</v>
      </c>
      <c r="AS1354" s="33">
        <v>6</v>
      </c>
      <c r="AT1354" s="33">
        <v>3</v>
      </c>
      <c r="AU1354" s="43">
        <v>9.2025841227247079E-2</v>
      </c>
      <c r="AV1354" s="33">
        <v>0</v>
      </c>
      <c r="AW1354" s="33">
        <v>0</v>
      </c>
      <c r="AY1354" s="36">
        <v>1326</v>
      </c>
      <c r="AZ1354" s="33">
        <v>1</v>
      </c>
      <c r="BA1354" s="33">
        <v>3</v>
      </c>
      <c r="BB1354" s="33">
        <v>0</v>
      </c>
      <c r="BC1354" s="33">
        <v>0</v>
      </c>
      <c r="BD1354" s="43">
        <v>0.18791247240909698</v>
      </c>
      <c r="BE1354" s="33">
        <v>0</v>
      </c>
      <c r="BF1354" s="33">
        <v>0</v>
      </c>
      <c r="CE1354" s="36">
        <v>1320</v>
      </c>
      <c r="CF1354" s="33">
        <v>10</v>
      </c>
      <c r="CG1354" s="33">
        <v>2</v>
      </c>
      <c r="CH1354" s="33">
        <v>4</v>
      </c>
      <c r="CI1354" s="33">
        <v>1</v>
      </c>
      <c r="CJ1354" s="33">
        <v>8</v>
      </c>
      <c r="CK1354" s="33">
        <v>0</v>
      </c>
      <c r="CL1354" s="33">
        <v>0</v>
      </c>
      <c r="CM1354" s="33">
        <v>4</v>
      </c>
      <c r="CN1354" s="33">
        <v>0</v>
      </c>
      <c r="CO1354" s="33">
        <v>0</v>
      </c>
      <c r="CP1354" s="43">
        <v>0.14132551219513689</v>
      </c>
      <c r="CQ1354" s="33">
        <v>0</v>
      </c>
      <c r="CR1354" s="33">
        <v>0</v>
      </c>
    </row>
    <row r="1355" spans="1:96" ht="15" customHeight="1" x14ac:dyDescent="0.25">
      <c r="A1355" s="26">
        <v>1353</v>
      </c>
      <c r="B1355" s="27">
        <v>34</v>
      </c>
      <c r="C1355" s="27">
        <v>1</v>
      </c>
      <c r="D1355" s="27">
        <v>3</v>
      </c>
      <c r="E1355" s="27">
        <v>967</v>
      </c>
      <c r="F1355" s="27">
        <v>2</v>
      </c>
      <c r="G1355" s="27">
        <v>16</v>
      </c>
      <c r="H1355" s="27">
        <v>4</v>
      </c>
      <c r="I1355" s="27">
        <v>5</v>
      </c>
      <c r="J1355" s="27">
        <v>1</v>
      </c>
      <c r="K1355" s="27">
        <v>1905</v>
      </c>
      <c r="L1355" s="27">
        <v>4</v>
      </c>
      <c r="M1355" s="27">
        <v>1</v>
      </c>
      <c r="N1355" s="27">
        <v>85</v>
      </c>
      <c r="O1355" s="27">
        <v>1</v>
      </c>
      <c r="P1355" s="27">
        <v>1</v>
      </c>
      <c r="Q1355" s="27">
        <v>2</v>
      </c>
      <c r="R1355" s="27">
        <v>1</v>
      </c>
      <c r="S1355" s="27">
        <v>2</v>
      </c>
      <c r="T1355" s="27">
        <v>2307</v>
      </c>
      <c r="U1355" s="27">
        <v>14460</v>
      </c>
      <c r="V1355" s="27">
        <v>1</v>
      </c>
      <c r="W1355" s="27">
        <v>1</v>
      </c>
      <c r="X1355" s="27">
        <v>23</v>
      </c>
      <c r="Y1355" s="27">
        <v>4</v>
      </c>
      <c r="Z1355" s="27">
        <v>2</v>
      </c>
      <c r="AA1355" s="27">
        <v>80</v>
      </c>
      <c r="AB1355" s="27">
        <v>1</v>
      </c>
      <c r="AC1355" s="27">
        <v>5</v>
      </c>
      <c r="AD1355" s="27">
        <v>2</v>
      </c>
      <c r="AE1355" s="27">
        <v>3</v>
      </c>
      <c r="AF1355" s="27">
        <v>5</v>
      </c>
      <c r="AG1355" s="27">
        <v>2</v>
      </c>
      <c r="AH1355" s="27">
        <v>3</v>
      </c>
      <c r="AI1355" s="28">
        <v>0</v>
      </c>
      <c r="AK1355" s="36">
        <v>1322</v>
      </c>
      <c r="AL1355" s="33">
        <v>9</v>
      </c>
      <c r="AM1355" s="33">
        <v>1</v>
      </c>
      <c r="AN1355" s="33">
        <v>3</v>
      </c>
      <c r="AO1355" s="33">
        <v>4</v>
      </c>
      <c r="AP1355" s="33">
        <v>0</v>
      </c>
      <c r="AQ1355" s="33">
        <v>0</v>
      </c>
      <c r="AR1355" s="33">
        <v>3</v>
      </c>
      <c r="AS1355" s="33">
        <v>2</v>
      </c>
      <c r="AT1355" s="33">
        <v>2</v>
      </c>
      <c r="AU1355" s="43">
        <v>0.23830142297062173</v>
      </c>
      <c r="AV1355" s="33">
        <v>0</v>
      </c>
      <c r="AW1355" s="33">
        <v>0</v>
      </c>
      <c r="AY1355" s="36">
        <v>1327</v>
      </c>
      <c r="AZ1355" s="33">
        <v>2</v>
      </c>
      <c r="BA1355" s="33">
        <v>2</v>
      </c>
      <c r="BB1355" s="33">
        <v>1</v>
      </c>
      <c r="BC1355" s="33">
        <v>0</v>
      </c>
      <c r="BD1355" s="43">
        <v>0.4312038484945574</v>
      </c>
      <c r="BE1355" s="33">
        <v>0</v>
      </c>
      <c r="BF1355" s="33">
        <v>1</v>
      </c>
      <c r="CE1355" s="36">
        <v>1321</v>
      </c>
      <c r="CF1355" s="33">
        <v>10</v>
      </c>
      <c r="CG1355" s="33">
        <v>1</v>
      </c>
      <c r="CH1355" s="33">
        <v>3</v>
      </c>
      <c r="CI1355" s="33">
        <v>2</v>
      </c>
      <c r="CJ1355" s="33">
        <v>3</v>
      </c>
      <c r="CK1355" s="33">
        <v>0</v>
      </c>
      <c r="CL1355" s="33">
        <v>2</v>
      </c>
      <c r="CM1355" s="33">
        <v>2</v>
      </c>
      <c r="CN1355" s="33">
        <v>6</v>
      </c>
      <c r="CO1355" s="33">
        <v>3</v>
      </c>
      <c r="CP1355" s="43">
        <v>0.12229544223069864</v>
      </c>
      <c r="CQ1355" s="33">
        <v>0</v>
      </c>
      <c r="CR1355" s="33">
        <v>0</v>
      </c>
    </row>
    <row r="1356" spans="1:96" ht="15" customHeight="1" x14ac:dyDescent="0.25">
      <c r="A1356" s="26">
        <v>1354</v>
      </c>
      <c r="B1356" s="27">
        <v>56</v>
      </c>
      <c r="C1356" s="27">
        <v>1</v>
      </c>
      <c r="D1356" s="27">
        <v>1</v>
      </c>
      <c r="E1356" s="27">
        <v>1162</v>
      </c>
      <c r="F1356" s="27">
        <v>2</v>
      </c>
      <c r="G1356" s="27">
        <v>24</v>
      </c>
      <c r="H1356" s="27">
        <v>2</v>
      </c>
      <c r="I1356" s="27">
        <v>1</v>
      </c>
      <c r="J1356" s="27">
        <v>1</v>
      </c>
      <c r="K1356" s="27">
        <v>1907</v>
      </c>
      <c r="L1356" s="27">
        <v>1</v>
      </c>
      <c r="M1356" s="27">
        <v>1</v>
      </c>
      <c r="N1356" s="27">
        <v>97</v>
      </c>
      <c r="O1356" s="27">
        <v>3</v>
      </c>
      <c r="P1356" s="27">
        <v>1</v>
      </c>
      <c r="Q1356" s="27">
        <v>3</v>
      </c>
      <c r="R1356" s="27">
        <v>4</v>
      </c>
      <c r="S1356" s="27">
        <v>1</v>
      </c>
      <c r="T1356" s="27">
        <v>2587</v>
      </c>
      <c r="U1356" s="27">
        <v>10261</v>
      </c>
      <c r="V1356" s="27">
        <v>1</v>
      </c>
      <c r="W1356" s="27">
        <v>0</v>
      </c>
      <c r="X1356" s="27">
        <v>16</v>
      </c>
      <c r="Y1356" s="27">
        <v>3</v>
      </c>
      <c r="Z1356" s="27">
        <v>4</v>
      </c>
      <c r="AA1356" s="27">
        <v>80</v>
      </c>
      <c r="AB1356" s="27">
        <v>0</v>
      </c>
      <c r="AC1356" s="27">
        <v>5</v>
      </c>
      <c r="AD1356" s="27">
        <v>3</v>
      </c>
      <c r="AE1356" s="27">
        <v>3</v>
      </c>
      <c r="AF1356" s="27">
        <v>4</v>
      </c>
      <c r="AG1356" s="27">
        <v>2</v>
      </c>
      <c r="AH1356" s="27">
        <v>1</v>
      </c>
      <c r="AI1356" s="28">
        <v>0</v>
      </c>
      <c r="AK1356" s="36">
        <v>1323</v>
      </c>
      <c r="AL1356" s="33">
        <v>2</v>
      </c>
      <c r="AM1356" s="33">
        <v>3</v>
      </c>
      <c r="AN1356" s="33">
        <v>4</v>
      </c>
      <c r="AO1356" s="33">
        <v>3</v>
      </c>
      <c r="AP1356" s="33">
        <v>0</v>
      </c>
      <c r="AQ1356" s="33">
        <v>1</v>
      </c>
      <c r="AR1356" s="33">
        <v>2</v>
      </c>
      <c r="AS1356" s="33">
        <v>9</v>
      </c>
      <c r="AT1356" s="33">
        <v>4</v>
      </c>
      <c r="AU1356" s="43">
        <v>2.9619091805652999E-2</v>
      </c>
      <c r="AV1356" s="33">
        <v>0</v>
      </c>
      <c r="AW1356" s="33">
        <v>0</v>
      </c>
      <c r="AY1356" s="36">
        <v>1328</v>
      </c>
      <c r="AZ1356" s="33">
        <v>4</v>
      </c>
      <c r="BA1356" s="33">
        <v>1</v>
      </c>
      <c r="BB1356" s="33">
        <v>0</v>
      </c>
      <c r="BC1356" s="33">
        <v>1</v>
      </c>
      <c r="BD1356" s="43">
        <v>4.3866321508597754E-2</v>
      </c>
      <c r="BE1356" s="33">
        <v>0</v>
      </c>
      <c r="BF1356" s="33">
        <v>0</v>
      </c>
      <c r="CE1356" s="36">
        <v>1322</v>
      </c>
      <c r="CF1356" s="33">
        <v>9</v>
      </c>
      <c r="CG1356" s="33">
        <v>1</v>
      </c>
      <c r="CH1356" s="33">
        <v>3</v>
      </c>
      <c r="CI1356" s="33">
        <v>1</v>
      </c>
      <c r="CJ1356" s="33">
        <v>4</v>
      </c>
      <c r="CK1356" s="33">
        <v>0</v>
      </c>
      <c r="CL1356" s="33">
        <v>0</v>
      </c>
      <c r="CM1356" s="33">
        <v>3</v>
      </c>
      <c r="CN1356" s="33">
        <v>2</v>
      </c>
      <c r="CO1356" s="33">
        <v>2</v>
      </c>
      <c r="CP1356" s="43">
        <v>0.27035390065244497</v>
      </c>
      <c r="CQ1356" s="33">
        <v>0</v>
      </c>
      <c r="CR1356" s="33">
        <v>0</v>
      </c>
    </row>
    <row r="1357" spans="1:96" ht="15" customHeight="1" x14ac:dyDescent="0.25">
      <c r="A1357" s="26">
        <v>1355</v>
      </c>
      <c r="B1357" s="27">
        <v>36</v>
      </c>
      <c r="C1357" s="27">
        <v>0</v>
      </c>
      <c r="D1357" s="27">
        <v>1</v>
      </c>
      <c r="E1357" s="27">
        <v>335</v>
      </c>
      <c r="F1357" s="27">
        <v>1</v>
      </c>
      <c r="G1357" s="27">
        <v>17</v>
      </c>
      <c r="H1357" s="27">
        <v>2</v>
      </c>
      <c r="I1357" s="27">
        <v>4</v>
      </c>
      <c r="J1357" s="27">
        <v>1</v>
      </c>
      <c r="K1357" s="27">
        <v>1908</v>
      </c>
      <c r="L1357" s="27">
        <v>3</v>
      </c>
      <c r="M1357" s="27">
        <v>1</v>
      </c>
      <c r="N1357" s="27">
        <v>33</v>
      </c>
      <c r="O1357" s="27">
        <v>2</v>
      </c>
      <c r="P1357" s="27">
        <v>2</v>
      </c>
      <c r="Q1357" s="27">
        <v>1</v>
      </c>
      <c r="R1357" s="27">
        <v>2</v>
      </c>
      <c r="S1357" s="27">
        <v>2</v>
      </c>
      <c r="T1357" s="27">
        <v>5507</v>
      </c>
      <c r="U1357" s="27">
        <v>16822</v>
      </c>
      <c r="V1357" s="27">
        <v>2</v>
      </c>
      <c r="W1357" s="27">
        <v>0</v>
      </c>
      <c r="X1357" s="27">
        <v>16</v>
      </c>
      <c r="Y1357" s="27">
        <v>3</v>
      </c>
      <c r="Z1357" s="27">
        <v>3</v>
      </c>
      <c r="AA1357" s="27">
        <v>80</v>
      </c>
      <c r="AB1357" s="27">
        <v>2</v>
      </c>
      <c r="AC1357" s="27">
        <v>12</v>
      </c>
      <c r="AD1357" s="27">
        <v>1</v>
      </c>
      <c r="AE1357" s="27">
        <v>1</v>
      </c>
      <c r="AF1357" s="27">
        <v>4</v>
      </c>
      <c r="AG1357" s="27">
        <v>2</v>
      </c>
      <c r="AH1357" s="27">
        <v>1</v>
      </c>
      <c r="AI1357" s="28">
        <v>3</v>
      </c>
      <c r="AK1357" s="36">
        <v>1324</v>
      </c>
      <c r="AL1357" s="33">
        <v>1</v>
      </c>
      <c r="AM1357" s="33">
        <v>1</v>
      </c>
      <c r="AN1357" s="33">
        <v>4</v>
      </c>
      <c r="AO1357" s="33">
        <v>1</v>
      </c>
      <c r="AP1357" s="33">
        <v>0</v>
      </c>
      <c r="AQ1357" s="33">
        <v>1</v>
      </c>
      <c r="AR1357" s="33">
        <v>3</v>
      </c>
      <c r="AS1357" s="33">
        <v>3</v>
      </c>
      <c r="AT1357" s="33">
        <v>2</v>
      </c>
      <c r="AU1357" s="43">
        <v>6.8222525510465121E-2</v>
      </c>
      <c r="AV1357" s="33">
        <v>0</v>
      </c>
      <c r="AW1357" s="33">
        <v>0</v>
      </c>
      <c r="AY1357" s="36">
        <v>1329</v>
      </c>
      <c r="AZ1357" s="33">
        <v>2</v>
      </c>
      <c r="BA1357" s="33">
        <v>3</v>
      </c>
      <c r="BB1357" s="33">
        <v>0</v>
      </c>
      <c r="BC1357" s="33">
        <v>1</v>
      </c>
      <c r="BD1357" s="43">
        <v>7.244788656931947E-2</v>
      </c>
      <c r="BE1357" s="33">
        <v>0</v>
      </c>
      <c r="BF1357" s="33">
        <v>0</v>
      </c>
      <c r="CE1357" s="36">
        <v>1323</v>
      </c>
      <c r="CF1357" s="33">
        <v>2</v>
      </c>
      <c r="CG1357" s="33">
        <v>3</v>
      </c>
      <c r="CH1357" s="33">
        <v>4</v>
      </c>
      <c r="CI1357" s="33">
        <v>3</v>
      </c>
      <c r="CJ1357" s="33">
        <v>3</v>
      </c>
      <c r="CK1357" s="33">
        <v>0</v>
      </c>
      <c r="CL1357" s="33">
        <v>1</v>
      </c>
      <c r="CM1357" s="33">
        <v>2</v>
      </c>
      <c r="CN1357" s="33">
        <v>9</v>
      </c>
      <c r="CO1357" s="33">
        <v>4</v>
      </c>
      <c r="CP1357" s="43">
        <v>1.6943746882714657E-2</v>
      </c>
      <c r="CQ1357" s="33">
        <v>0</v>
      </c>
      <c r="CR1357" s="33">
        <v>0</v>
      </c>
    </row>
    <row r="1358" spans="1:96" ht="15" customHeight="1" x14ac:dyDescent="0.25">
      <c r="A1358" s="26">
        <v>1356</v>
      </c>
      <c r="B1358" s="27">
        <v>41</v>
      </c>
      <c r="C1358" s="27">
        <v>0</v>
      </c>
      <c r="D1358" s="27">
        <v>1</v>
      </c>
      <c r="E1358" s="27">
        <v>337</v>
      </c>
      <c r="F1358" s="27">
        <v>1</v>
      </c>
      <c r="G1358" s="27">
        <v>8</v>
      </c>
      <c r="H1358" s="27">
        <v>3</v>
      </c>
      <c r="I1358" s="27">
        <v>4</v>
      </c>
      <c r="J1358" s="27">
        <v>1</v>
      </c>
      <c r="K1358" s="27">
        <v>1909</v>
      </c>
      <c r="L1358" s="27">
        <v>3</v>
      </c>
      <c r="M1358" s="27">
        <v>0</v>
      </c>
      <c r="N1358" s="27">
        <v>54</v>
      </c>
      <c r="O1358" s="27">
        <v>3</v>
      </c>
      <c r="P1358" s="27">
        <v>2</v>
      </c>
      <c r="Q1358" s="27">
        <v>1</v>
      </c>
      <c r="R1358" s="27">
        <v>2</v>
      </c>
      <c r="S1358" s="27">
        <v>2</v>
      </c>
      <c r="T1358" s="27">
        <v>4393</v>
      </c>
      <c r="U1358" s="27">
        <v>26841</v>
      </c>
      <c r="V1358" s="27">
        <v>5</v>
      </c>
      <c r="W1358" s="27">
        <v>0</v>
      </c>
      <c r="X1358" s="27">
        <v>21</v>
      </c>
      <c r="Y1358" s="27">
        <v>4</v>
      </c>
      <c r="Z1358" s="27">
        <v>3</v>
      </c>
      <c r="AA1358" s="27">
        <v>80</v>
      </c>
      <c r="AB1358" s="27">
        <v>1</v>
      </c>
      <c r="AC1358" s="27">
        <v>14</v>
      </c>
      <c r="AD1358" s="27">
        <v>3</v>
      </c>
      <c r="AE1358" s="27">
        <v>3</v>
      </c>
      <c r="AF1358" s="27">
        <v>5</v>
      </c>
      <c r="AG1358" s="27">
        <v>4</v>
      </c>
      <c r="AH1358" s="27">
        <v>1</v>
      </c>
      <c r="AI1358" s="28">
        <v>4</v>
      </c>
      <c r="AK1358" s="36">
        <v>1325</v>
      </c>
      <c r="AL1358" s="33">
        <v>29</v>
      </c>
      <c r="AM1358" s="33">
        <v>2</v>
      </c>
      <c r="AN1358" s="33">
        <v>3</v>
      </c>
      <c r="AO1358" s="33">
        <v>8</v>
      </c>
      <c r="AP1358" s="33">
        <v>0</v>
      </c>
      <c r="AQ1358" s="33">
        <v>2</v>
      </c>
      <c r="AR1358" s="33">
        <v>3</v>
      </c>
      <c r="AS1358" s="33">
        <v>7</v>
      </c>
      <c r="AT1358" s="33">
        <v>1</v>
      </c>
      <c r="AU1358" s="43">
        <v>9.0048111720426122E-2</v>
      </c>
      <c r="AV1358" s="33">
        <v>0</v>
      </c>
      <c r="AW1358" s="33">
        <v>0</v>
      </c>
      <c r="AY1358" s="36">
        <v>1330</v>
      </c>
      <c r="AZ1358" s="33">
        <v>1</v>
      </c>
      <c r="BA1358" s="33">
        <v>2</v>
      </c>
      <c r="BB1358" s="33">
        <v>0</v>
      </c>
      <c r="BC1358" s="33">
        <v>0</v>
      </c>
      <c r="BD1358" s="43">
        <v>0.23662845161334917</v>
      </c>
      <c r="BE1358" s="33">
        <v>0</v>
      </c>
      <c r="BF1358" s="33">
        <v>0</v>
      </c>
      <c r="CE1358" s="36">
        <v>1324</v>
      </c>
      <c r="CF1358" s="33">
        <v>1</v>
      </c>
      <c r="CG1358" s="33">
        <v>1</v>
      </c>
      <c r="CH1358" s="33">
        <v>4</v>
      </c>
      <c r="CI1358" s="33">
        <v>3</v>
      </c>
      <c r="CJ1358" s="33">
        <v>1</v>
      </c>
      <c r="CK1358" s="33">
        <v>0</v>
      </c>
      <c r="CL1358" s="33">
        <v>1</v>
      </c>
      <c r="CM1358" s="33">
        <v>3</v>
      </c>
      <c r="CN1358" s="33">
        <v>3</v>
      </c>
      <c r="CO1358" s="33">
        <v>2</v>
      </c>
      <c r="CP1358" s="43">
        <v>3.8036255886180925E-2</v>
      </c>
      <c r="CQ1358" s="33">
        <v>0</v>
      </c>
      <c r="CR1358" s="33">
        <v>0</v>
      </c>
    </row>
    <row r="1359" spans="1:96" ht="15" customHeight="1" x14ac:dyDescent="0.25">
      <c r="A1359" s="26">
        <v>1357</v>
      </c>
      <c r="B1359" s="27">
        <v>42</v>
      </c>
      <c r="C1359" s="27">
        <v>0</v>
      </c>
      <c r="D1359" s="27">
        <v>1</v>
      </c>
      <c r="E1359" s="27">
        <v>1396</v>
      </c>
      <c r="F1359" s="27">
        <v>2</v>
      </c>
      <c r="G1359" s="27">
        <v>6</v>
      </c>
      <c r="H1359" s="27">
        <v>3</v>
      </c>
      <c r="I1359" s="27">
        <v>3</v>
      </c>
      <c r="J1359" s="27">
        <v>1</v>
      </c>
      <c r="K1359" s="27">
        <v>1911</v>
      </c>
      <c r="L1359" s="27">
        <v>3</v>
      </c>
      <c r="M1359" s="27">
        <v>1</v>
      </c>
      <c r="N1359" s="27">
        <v>83</v>
      </c>
      <c r="O1359" s="27">
        <v>3</v>
      </c>
      <c r="P1359" s="27">
        <v>3</v>
      </c>
      <c r="Q1359" s="27">
        <v>8</v>
      </c>
      <c r="R1359" s="27">
        <v>1</v>
      </c>
      <c r="S1359" s="27">
        <v>2</v>
      </c>
      <c r="T1359" s="27">
        <v>13348</v>
      </c>
      <c r="U1359" s="27">
        <v>14842</v>
      </c>
      <c r="V1359" s="27">
        <v>9</v>
      </c>
      <c r="W1359" s="27">
        <v>0</v>
      </c>
      <c r="X1359" s="27">
        <v>13</v>
      </c>
      <c r="Y1359" s="27">
        <v>3</v>
      </c>
      <c r="Z1359" s="27">
        <v>2</v>
      </c>
      <c r="AA1359" s="27">
        <v>80</v>
      </c>
      <c r="AB1359" s="27">
        <v>1</v>
      </c>
      <c r="AC1359" s="27">
        <v>18</v>
      </c>
      <c r="AD1359" s="27">
        <v>3</v>
      </c>
      <c r="AE1359" s="27">
        <v>4</v>
      </c>
      <c r="AF1359" s="27">
        <v>13</v>
      </c>
      <c r="AG1359" s="27">
        <v>7</v>
      </c>
      <c r="AH1359" s="27">
        <v>5</v>
      </c>
      <c r="AI1359" s="28">
        <v>7</v>
      </c>
      <c r="AK1359" s="36">
        <v>1326</v>
      </c>
      <c r="AL1359" s="33">
        <v>8</v>
      </c>
      <c r="AM1359" s="33">
        <v>1</v>
      </c>
      <c r="AN1359" s="33">
        <v>3</v>
      </c>
      <c r="AO1359" s="33">
        <v>4</v>
      </c>
      <c r="AP1359" s="33">
        <v>0</v>
      </c>
      <c r="AQ1359" s="33">
        <v>0</v>
      </c>
      <c r="AR1359" s="33">
        <v>3</v>
      </c>
      <c r="AS1359" s="33">
        <v>0</v>
      </c>
      <c r="AT1359" s="33">
        <v>0</v>
      </c>
      <c r="AU1359" s="43">
        <v>0.21786716916710805</v>
      </c>
      <c r="AV1359" s="33">
        <v>0</v>
      </c>
      <c r="AW1359" s="33">
        <v>0</v>
      </c>
      <c r="AY1359" s="36">
        <v>1331</v>
      </c>
      <c r="AZ1359" s="33">
        <v>5</v>
      </c>
      <c r="BA1359" s="33">
        <v>3</v>
      </c>
      <c r="BB1359" s="33">
        <v>0</v>
      </c>
      <c r="BC1359" s="33">
        <v>0</v>
      </c>
      <c r="BD1359" s="43">
        <v>2.4191068412310078E-2</v>
      </c>
      <c r="BE1359" s="33">
        <v>0</v>
      </c>
      <c r="BF1359" s="33">
        <v>0</v>
      </c>
      <c r="CE1359" s="36">
        <v>1325</v>
      </c>
      <c r="CF1359" s="33">
        <v>29</v>
      </c>
      <c r="CG1359" s="33">
        <v>2</v>
      </c>
      <c r="CH1359" s="33">
        <v>3</v>
      </c>
      <c r="CI1359" s="33">
        <v>3</v>
      </c>
      <c r="CJ1359" s="33">
        <v>8</v>
      </c>
      <c r="CK1359" s="33">
        <v>0</v>
      </c>
      <c r="CL1359" s="33">
        <v>2</v>
      </c>
      <c r="CM1359" s="33">
        <v>3</v>
      </c>
      <c r="CN1359" s="33">
        <v>7</v>
      </c>
      <c r="CO1359" s="33">
        <v>1</v>
      </c>
      <c r="CP1359" s="43">
        <v>7.1838562157613792E-2</v>
      </c>
      <c r="CQ1359" s="33">
        <v>0</v>
      </c>
      <c r="CR1359" s="33">
        <v>0</v>
      </c>
    </row>
    <row r="1360" spans="1:96" ht="15" customHeight="1" x14ac:dyDescent="0.25">
      <c r="A1360" s="26">
        <v>1358</v>
      </c>
      <c r="B1360" s="27">
        <v>31</v>
      </c>
      <c r="C1360" s="27">
        <v>0</v>
      </c>
      <c r="D1360" s="27">
        <v>1</v>
      </c>
      <c r="E1360" s="27">
        <v>1079</v>
      </c>
      <c r="F1360" s="27">
        <v>1</v>
      </c>
      <c r="G1360" s="27">
        <v>10</v>
      </c>
      <c r="H1360" s="27">
        <v>2</v>
      </c>
      <c r="I1360" s="27">
        <v>3</v>
      </c>
      <c r="J1360" s="27">
        <v>1</v>
      </c>
      <c r="K1360" s="27">
        <v>1912</v>
      </c>
      <c r="L1360" s="27">
        <v>3</v>
      </c>
      <c r="M1360" s="27">
        <v>0</v>
      </c>
      <c r="N1360" s="27">
        <v>86</v>
      </c>
      <c r="O1360" s="27">
        <v>3</v>
      </c>
      <c r="P1360" s="27">
        <v>2</v>
      </c>
      <c r="Q1360" s="27">
        <v>1</v>
      </c>
      <c r="R1360" s="27">
        <v>4</v>
      </c>
      <c r="S1360" s="27">
        <v>3</v>
      </c>
      <c r="T1360" s="27">
        <v>6583</v>
      </c>
      <c r="U1360" s="27">
        <v>20115</v>
      </c>
      <c r="V1360" s="27">
        <v>2</v>
      </c>
      <c r="W1360" s="27">
        <v>1</v>
      </c>
      <c r="X1360" s="27">
        <v>11</v>
      </c>
      <c r="Y1360" s="27">
        <v>3</v>
      </c>
      <c r="Z1360" s="27">
        <v>4</v>
      </c>
      <c r="AA1360" s="27">
        <v>80</v>
      </c>
      <c r="AB1360" s="27">
        <v>1</v>
      </c>
      <c r="AC1360" s="27">
        <v>8</v>
      </c>
      <c r="AD1360" s="27">
        <v>2</v>
      </c>
      <c r="AE1360" s="27">
        <v>3</v>
      </c>
      <c r="AF1360" s="27">
        <v>5</v>
      </c>
      <c r="AG1360" s="27">
        <v>2</v>
      </c>
      <c r="AH1360" s="27">
        <v>1</v>
      </c>
      <c r="AI1360" s="28">
        <v>4</v>
      </c>
      <c r="AK1360" s="36">
        <v>1327</v>
      </c>
      <c r="AL1360" s="33">
        <v>2</v>
      </c>
      <c r="AM1360" s="33">
        <v>2</v>
      </c>
      <c r="AN1360" s="33">
        <v>2</v>
      </c>
      <c r="AO1360" s="33">
        <v>7</v>
      </c>
      <c r="AP1360" s="33">
        <v>1</v>
      </c>
      <c r="AQ1360" s="33">
        <v>0</v>
      </c>
      <c r="AR1360" s="33">
        <v>2</v>
      </c>
      <c r="AS1360" s="33">
        <v>2</v>
      </c>
      <c r="AT1360" s="33">
        <v>2</v>
      </c>
      <c r="AU1360" s="43">
        <v>0.57511664767216686</v>
      </c>
      <c r="AV1360" s="33">
        <v>1</v>
      </c>
      <c r="AW1360" s="33">
        <v>1</v>
      </c>
      <c r="AY1360" s="36">
        <v>1332</v>
      </c>
      <c r="AZ1360" s="33">
        <v>5</v>
      </c>
      <c r="BA1360" s="33">
        <v>2</v>
      </c>
      <c r="BB1360" s="33">
        <v>0</v>
      </c>
      <c r="BC1360" s="33">
        <v>0</v>
      </c>
      <c r="BD1360" s="43">
        <v>3.2142518215720908E-2</v>
      </c>
      <c r="BE1360" s="33">
        <v>0</v>
      </c>
      <c r="BF1360" s="33">
        <v>0</v>
      </c>
      <c r="CE1360" s="36">
        <v>1326</v>
      </c>
      <c r="CF1360" s="33">
        <v>8</v>
      </c>
      <c r="CG1360" s="33">
        <v>1</v>
      </c>
      <c r="CH1360" s="33">
        <v>3</v>
      </c>
      <c r="CI1360" s="33">
        <v>1</v>
      </c>
      <c r="CJ1360" s="33">
        <v>4</v>
      </c>
      <c r="CK1360" s="33">
        <v>0</v>
      </c>
      <c r="CL1360" s="33">
        <v>0</v>
      </c>
      <c r="CM1360" s="33">
        <v>3</v>
      </c>
      <c r="CN1360" s="33">
        <v>0</v>
      </c>
      <c r="CO1360" s="33">
        <v>0</v>
      </c>
      <c r="CP1360" s="43">
        <v>0.24719608506338547</v>
      </c>
      <c r="CQ1360" s="33">
        <v>0</v>
      </c>
      <c r="CR1360" s="33">
        <v>0</v>
      </c>
    </row>
    <row r="1361" spans="1:96" ht="15" customHeight="1" x14ac:dyDescent="0.25">
      <c r="A1361" s="26">
        <v>1359</v>
      </c>
      <c r="B1361" s="27">
        <v>34</v>
      </c>
      <c r="C1361" s="27">
        <v>0</v>
      </c>
      <c r="D1361" s="27">
        <v>1</v>
      </c>
      <c r="E1361" s="27">
        <v>735</v>
      </c>
      <c r="F1361" s="27">
        <v>1</v>
      </c>
      <c r="G1361" s="27">
        <v>3</v>
      </c>
      <c r="H1361" s="27">
        <v>1</v>
      </c>
      <c r="I1361" s="27">
        <v>3</v>
      </c>
      <c r="J1361" s="27">
        <v>1</v>
      </c>
      <c r="K1361" s="27">
        <v>1915</v>
      </c>
      <c r="L1361" s="27">
        <v>4</v>
      </c>
      <c r="M1361" s="27">
        <v>0</v>
      </c>
      <c r="N1361" s="27">
        <v>75</v>
      </c>
      <c r="O1361" s="27">
        <v>2</v>
      </c>
      <c r="P1361" s="27">
        <v>2</v>
      </c>
      <c r="Q1361" s="27">
        <v>1</v>
      </c>
      <c r="R1361" s="27">
        <v>4</v>
      </c>
      <c r="S1361" s="27">
        <v>2</v>
      </c>
      <c r="T1361" s="27">
        <v>8103</v>
      </c>
      <c r="U1361" s="27">
        <v>16495</v>
      </c>
      <c r="V1361" s="27">
        <v>3</v>
      </c>
      <c r="W1361" s="27">
        <v>1</v>
      </c>
      <c r="X1361" s="27">
        <v>12</v>
      </c>
      <c r="Y1361" s="27">
        <v>3</v>
      </c>
      <c r="Z1361" s="27">
        <v>3</v>
      </c>
      <c r="AA1361" s="27">
        <v>80</v>
      </c>
      <c r="AB1361" s="27">
        <v>0</v>
      </c>
      <c r="AC1361" s="27">
        <v>9</v>
      </c>
      <c r="AD1361" s="27">
        <v>3</v>
      </c>
      <c r="AE1361" s="27">
        <v>2</v>
      </c>
      <c r="AF1361" s="27">
        <v>4</v>
      </c>
      <c r="AG1361" s="27">
        <v>2</v>
      </c>
      <c r="AH1361" s="27">
        <v>0</v>
      </c>
      <c r="AI1361" s="28">
        <v>1</v>
      </c>
      <c r="AK1361" s="36">
        <v>1328</v>
      </c>
      <c r="AL1361" s="33">
        <v>3</v>
      </c>
      <c r="AM1361" s="33">
        <v>4</v>
      </c>
      <c r="AN1361" s="33">
        <v>1</v>
      </c>
      <c r="AO1361" s="33">
        <v>2</v>
      </c>
      <c r="AP1361" s="33">
        <v>0</v>
      </c>
      <c r="AQ1361" s="33">
        <v>1</v>
      </c>
      <c r="AR1361" s="33">
        <v>3</v>
      </c>
      <c r="AS1361" s="33">
        <v>19</v>
      </c>
      <c r="AT1361" s="33">
        <v>2</v>
      </c>
      <c r="AU1361" s="43">
        <v>1.218351121223781E-2</v>
      </c>
      <c r="AV1361" s="33">
        <v>0</v>
      </c>
      <c r="AW1361" s="33">
        <v>0</v>
      </c>
      <c r="AY1361" s="36">
        <v>1333</v>
      </c>
      <c r="AZ1361" s="33">
        <v>1</v>
      </c>
      <c r="BA1361" s="33">
        <v>4</v>
      </c>
      <c r="BB1361" s="33">
        <v>1</v>
      </c>
      <c r="BC1361" s="33">
        <v>0</v>
      </c>
      <c r="BD1361" s="43">
        <v>0.42475472169672474</v>
      </c>
      <c r="BE1361" s="33">
        <v>0</v>
      </c>
      <c r="BF1361" s="33">
        <v>1</v>
      </c>
      <c r="CE1361" s="36">
        <v>1327</v>
      </c>
      <c r="CF1361" s="33">
        <v>2</v>
      </c>
      <c r="CG1361" s="33">
        <v>2</v>
      </c>
      <c r="CH1361" s="33">
        <v>2</v>
      </c>
      <c r="CI1361" s="33">
        <v>1</v>
      </c>
      <c r="CJ1361" s="33">
        <v>7</v>
      </c>
      <c r="CK1361" s="33">
        <v>1</v>
      </c>
      <c r="CL1361" s="33">
        <v>0</v>
      </c>
      <c r="CM1361" s="33">
        <v>2</v>
      </c>
      <c r="CN1361" s="33">
        <v>2</v>
      </c>
      <c r="CO1361" s="33">
        <v>2</v>
      </c>
      <c r="CP1361" s="43">
        <v>0.63759723703576021</v>
      </c>
      <c r="CQ1361" s="33">
        <v>1</v>
      </c>
      <c r="CR1361" s="33">
        <v>1</v>
      </c>
    </row>
    <row r="1362" spans="1:96" ht="15" customHeight="1" x14ac:dyDescent="0.25">
      <c r="A1362" s="26">
        <v>1360</v>
      </c>
      <c r="B1362" s="27">
        <v>31</v>
      </c>
      <c r="C1362" s="27">
        <v>0</v>
      </c>
      <c r="D1362" s="27">
        <v>1</v>
      </c>
      <c r="E1362" s="27">
        <v>471</v>
      </c>
      <c r="F1362" s="27">
        <v>2</v>
      </c>
      <c r="G1362" s="27">
        <v>4</v>
      </c>
      <c r="H1362" s="27">
        <v>3</v>
      </c>
      <c r="I1362" s="27">
        <v>3</v>
      </c>
      <c r="J1362" s="27">
        <v>1</v>
      </c>
      <c r="K1362" s="27">
        <v>1916</v>
      </c>
      <c r="L1362" s="27">
        <v>1</v>
      </c>
      <c r="M1362" s="27">
        <v>0</v>
      </c>
      <c r="N1362" s="27">
        <v>62</v>
      </c>
      <c r="O1362" s="27">
        <v>4</v>
      </c>
      <c r="P1362" s="27">
        <v>1</v>
      </c>
      <c r="Q1362" s="27">
        <v>3</v>
      </c>
      <c r="R1362" s="27">
        <v>3</v>
      </c>
      <c r="S1362" s="27">
        <v>3</v>
      </c>
      <c r="T1362" s="27">
        <v>3978</v>
      </c>
      <c r="U1362" s="27">
        <v>16031</v>
      </c>
      <c r="V1362" s="27">
        <v>8</v>
      </c>
      <c r="W1362" s="27">
        <v>0</v>
      </c>
      <c r="X1362" s="27">
        <v>12</v>
      </c>
      <c r="Y1362" s="27">
        <v>3</v>
      </c>
      <c r="Z1362" s="27">
        <v>2</v>
      </c>
      <c r="AA1362" s="27">
        <v>80</v>
      </c>
      <c r="AB1362" s="27">
        <v>1</v>
      </c>
      <c r="AC1362" s="27">
        <v>4</v>
      </c>
      <c r="AD1362" s="27">
        <v>0</v>
      </c>
      <c r="AE1362" s="27">
        <v>2</v>
      </c>
      <c r="AF1362" s="27">
        <v>2</v>
      </c>
      <c r="AG1362" s="27">
        <v>2</v>
      </c>
      <c r="AH1362" s="27">
        <v>2</v>
      </c>
      <c r="AI1362" s="28">
        <v>2</v>
      </c>
      <c r="AK1362" s="36">
        <v>1329</v>
      </c>
      <c r="AL1362" s="33">
        <v>23</v>
      </c>
      <c r="AM1362" s="33">
        <v>2</v>
      </c>
      <c r="AN1362" s="33">
        <v>3</v>
      </c>
      <c r="AO1362" s="33">
        <v>1</v>
      </c>
      <c r="AP1362" s="33">
        <v>0</v>
      </c>
      <c r="AQ1362" s="33">
        <v>1</v>
      </c>
      <c r="AR1362" s="33">
        <v>3</v>
      </c>
      <c r="AS1362" s="33">
        <v>9</v>
      </c>
      <c r="AT1362" s="33">
        <v>5</v>
      </c>
      <c r="AU1362" s="43">
        <v>9.7399240422253078E-2</v>
      </c>
      <c r="AV1362" s="33">
        <v>0</v>
      </c>
      <c r="AW1362" s="33">
        <v>0</v>
      </c>
      <c r="AY1362" s="36">
        <v>1334</v>
      </c>
      <c r="AZ1362" s="33">
        <v>3</v>
      </c>
      <c r="BA1362" s="33">
        <v>2</v>
      </c>
      <c r="BB1362" s="33">
        <v>0</v>
      </c>
      <c r="BC1362" s="33">
        <v>3</v>
      </c>
      <c r="BD1362" s="43">
        <v>2.0412387742342619E-2</v>
      </c>
      <c r="BE1362" s="33">
        <v>0</v>
      </c>
      <c r="BF1362" s="33">
        <v>1</v>
      </c>
      <c r="CE1362" s="36">
        <v>1328</v>
      </c>
      <c r="CF1362" s="33">
        <v>3</v>
      </c>
      <c r="CG1362" s="33">
        <v>4</v>
      </c>
      <c r="CH1362" s="33">
        <v>1</v>
      </c>
      <c r="CI1362" s="33">
        <v>3</v>
      </c>
      <c r="CJ1362" s="33">
        <v>2</v>
      </c>
      <c r="CK1362" s="33">
        <v>0</v>
      </c>
      <c r="CL1362" s="33">
        <v>1</v>
      </c>
      <c r="CM1362" s="33">
        <v>3</v>
      </c>
      <c r="CN1362" s="33">
        <v>19</v>
      </c>
      <c r="CO1362" s="33">
        <v>2</v>
      </c>
      <c r="CP1362" s="43">
        <v>7.1751360789878748E-3</v>
      </c>
      <c r="CQ1362" s="33">
        <v>0</v>
      </c>
      <c r="CR1362" s="33">
        <v>0</v>
      </c>
    </row>
    <row r="1363" spans="1:96" ht="15" customHeight="1" x14ac:dyDescent="0.25">
      <c r="A1363" s="26">
        <v>1361</v>
      </c>
      <c r="B1363" s="27">
        <v>26</v>
      </c>
      <c r="C1363" s="27">
        <v>0</v>
      </c>
      <c r="D1363" s="27">
        <v>2</v>
      </c>
      <c r="E1363" s="27">
        <v>1096</v>
      </c>
      <c r="F1363" s="27">
        <v>2</v>
      </c>
      <c r="G1363" s="27">
        <v>6</v>
      </c>
      <c r="H1363" s="27">
        <v>3</v>
      </c>
      <c r="I1363" s="27">
        <v>6</v>
      </c>
      <c r="J1363" s="27">
        <v>1</v>
      </c>
      <c r="K1363" s="27">
        <v>1918</v>
      </c>
      <c r="L1363" s="27">
        <v>3</v>
      </c>
      <c r="M1363" s="27">
        <v>1</v>
      </c>
      <c r="N1363" s="27">
        <v>61</v>
      </c>
      <c r="O1363" s="27">
        <v>4</v>
      </c>
      <c r="P1363" s="27">
        <v>1</v>
      </c>
      <c r="Q1363" s="27">
        <v>3</v>
      </c>
      <c r="R1363" s="27">
        <v>4</v>
      </c>
      <c r="S1363" s="27">
        <v>2</v>
      </c>
      <c r="T1363" s="27">
        <v>2544</v>
      </c>
      <c r="U1363" s="27">
        <v>7102</v>
      </c>
      <c r="V1363" s="27">
        <v>0</v>
      </c>
      <c r="W1363" s="27">
        <v>0</v>
      </c>
      <c r="X1363" s="27">
        <v>18</v>
      </c>
      <c r="Y1363" s="27">
        <v>3</v>
      </c>
      <c r="Z1363" s="27">
        <v>1</v>
      </c>
      <c r="AA1363" s="27">
        <v>80</v>
      </c>
      <c r="AB1363" s="27">
        <v>1</v>
      </c>
      <c r="AC1363" s="27">
        <v>8</v>
      </c>
      <c r="AD1363" s="27">
        <v>3</v>
      </c>
      <c r="AE1363" s="27">
        <v>3</v>
      </c>
      <c r="AF1363" s="27">
        <v>7</v>
      </c>
      <c r="AG1363" s="27">
        <v>7</v>
      </c>
      <c r="AH1363" s="27">
        <v>7</v>
      </c>
      <c r="AI1363" s="28">
        <v>7</v>
      </c>
      <c r="AK1363" s="36">
        <v>1330</v>
      </c>
      <c r="AL1363" s="33">
        <v>6</v>
      </c>
      <c r="AM1363" s="33">
        <v>1</v>
      </c>
      <c r="AN1363" s="33">
        <v>2</v>
      </c>
      <c r="AO1363" s="33">
        <v>1</v>
      </c>
      <c r="AP1363" s="33">
        <v>0</v>
      </c>
      <c r="AQ1363" s="33">
        <v>0</v>
      </c>
      <c r="AR1363" s="33">
        <v>3</v>
      </c>
      <c r="AS1363" s="33">
        <v>1</v>
      </c>
      <c r="AT1363" s="33">
        <v>0</v>
      </c>
      <c r="AU1363" s="43">
        <v>0.20141869343452548</v>
      </c>
      <c r="AV1363" s="33">
        <v>0</v>
      </c>
      <c r="AW1363" s="33">
        <v>0</v>
      </c>
      <c r="AY1363" s="36">
        <v>1335</v>
      </c>
      <c r="AZ1363" s="33">
        <v>1</v>
      </c>
      <c r="BA1363" s="33">
        <v>1</v>
      </c>
      <c r="BB1363" s="33">
        <v>0</v>
      </c>
      <c r="BC1363" s="33">
        <v>1</v>
      </c>
      <c r="BD1363" s="43">
        <v>0.19678474515944386</v>
      </c>
      <c r="BE1363" s="33">
        <v>0</v>
      </c>
      <c r="BF1363" s="33">
        <v>0</v>
      </c>
      <c r="CE1363" s="36">
        <v>1329</v>
      </c>
      <c r="CF1363" s="33">
        <v>23</v>
      </c>
      <c r="CG1363" s="33">
        <v>2</v>
      </c>
      <c r="CH1363" s="33">
        <v>3</v>
      </c>
      <c r="CI1363" s="33">
        <v>2</v>
      </c>
      <c r="CJ1363" s="33">
        <v>1</v>
      </c>
      <c r="CK1363" s="33">
        <v>0</v>
      </c>
      <c r="CL1363" s="33">
        <v>1</v>
      </c>
      <c r="CM1363" s="33">
        <v>3</v>
      </c>
      <c r="CN1363" s="33">
        <v>9</v>
      </c>
      <c r="CO1363" s="33">
        <v>5</v>
      </c>
      <c r="CP1363" s="43">
        <v>9.4514708126083591E-2</v>
      </c>
      <c r="CQ1363" s="33">
        <v>0</v>
      </c>
      <c r="CR1363" s="33">
        <v>0</v>
      </c>
    </row>
    <row r="1364" spans="1:96" ht="15" customHeight="1" x14ac:dyDescent="0.25">
      <c r="A1364" s="26">
        <v>1362</v>
      </c>
      <c r="B1364" s="27">
        <v>45</v>
      </c>
      <c r="C1364" s="27">
        <v>0</v>
      </c>
      <c r="D1364" s="27">
        <v>2</v>
      </c>
      <c r="E1364" s="27">
        <v>1297</v>
      </c>
      <c r="F1364" s="27">
        <v>2</v>
      </c>
      <c r="G1364" s="27">
        <v>1</v>
      </c>
      <c r="H1364" s="27">
        <v>4</v>
      </c>
      <c r="I1364" s="27">
        <v>3</v>
      </c>
      <c r="J1364" s="27">
        <v>1</v>
      </c>
      <c r="K1364" s="27">
        <v>1922</v>
      </c>
      <c r="L1364" s="27">
        <v>2</v>
      </c>
      <c r="M1364" s="27">
        <v>1</v>
      </c>
      <c r="N1364" s="27">
        <v>44</v>
      </c>
      <c r="O1364" s="27">
        <v>3</v>
      </c>
      <c r="P1364" s="27">
        <v>2</v>
      </c>
      <c r="Q1364" s="27">
        <v>5</v>
      </c>
      <c r="R1364" s="27">
        <v>3</v>
      </c>
      <c r="S1364" s="27">
        <v>1</v>
      </c>
      <c r="T1364" s="27">
        <v>5399</v>
      </c>
      <c r="U1364" s="27">
        <v>14511</v>
      </c>
      <c r="V1364" s="27">
        <v>4</v>
      </c>
      <c r="W1364" s="27">
        <v>0</v>
      </c>
      <c r="X1364" s="27">
        <v>12</v>
      </c>
      <c r="Y1364" s="27">
        <v>3</v>
      </c>
      <c r="Z1364" s="27">
        <v>3</v>
      </c>
      <c r="AA1364" s="27">
        <v>80</v>
      </c>
      <c r="AB1364" s="27">
        <v>0</v>
      </c>
      <c r="AC1364" s="27">
        <v>12</v>
      </c>
      <c r="AD1364" s="27">
        <v>3</v>
      </c>
      <c r="AE1364" s="27">
        <v>3</v>
      </c>
      <c r="AF1364" s="27">
        <v>4</v>
      </c>
      <c r="AG1364" s="27">
        <v>2</v>
      </c>
      <c r="AH1364" s="27">
        <v>0</v>
      </c>
      <c r="AI1364" s="28">
        <v>3</v>
      </c>
      <c r="AK1364" s="36">
        <v>1331</v>
      </c>
      <c r="AL1364" s="33">
        <v>6</v>
      </c>
      <c r="AM1364" s="33">
        <v>5</v>
      </c>
      <c r="AN1364" s="33">
        <v>3</v>
      </c>
      <c r="AO1364" s="33">
        <v>7</v>
      </c>
      <c r="AP1364" s="33">
        <v>0</v>
      </c>
      <c r="AQ1364" s="33">
        <v>0</v>
      </c>
      <c r="AR1364" s="33">
        <v>3</v>
      </c>
      <c r="AS1364" s="33">
        <v>16</v>
      </c>
      <c r="AT1364" s="33">
        <v>6</v>
      </c>
      <c r="AU1364" s="43">
        <v>2.2458590079733474E-2</v>
      </c>
      <c r="AV1364" s="33">
        <v>0</v>
      </c>
      <c r="AW1364" s="33">
        <v>0</v>
      </c>
      <c r="AY1364" s="36">
        <v>1336</v>
      </c>
      <c r="AZ1364" s="33">
        <v>2</v>
      </c>
      <c r="BA1364" s="33">
        <v>4</v>
      </c>
      <c r="BB1364" s="33">
        <v>0</v>
      </c>
      <c r="BC1364" s="33">
        <v>3</v>
      </c>
      <c r="BD1364" s="43">
        <v>1.9892232637238622E-2</v>
      </c>
      <c r="BE1364" s="33">
        <v>0</v>
      </c>
      <c r="BF1364" s="33">
        <v>0</v>
      </c>
      <c r="CE1364" s="36">
        <v>1330</v>
      </c>
      <c r="CF1364" s="33">
        <v>6</v>
      </c>
      <c r="CG1364" s="33">
        <v>1</v>
      </c>
      <c r="CH1364" s="33">
        <v>2</v>
      </c>
      <c r="CI1364" s="33">
        <v>2</v>
      </c>
      <c r="CJ1364" s="33">
        <v>1</v>
      </c>
      <c r="CK1364" s="33">
        <v>0</v>
      </c>
      <c r="CL1364" s="33">
        <v>0</v>
      </c>
      <c r="CM1364" s="33">
        <v>3</v>
      </c>
      <c r="CN1364" s="33">
        <v>1</v>
      </c>
      <c r="CO1364" s="33">
        <v>0</v>
      </c>
      <c r="CP1364" s="43">
        <v>0.14763731388856544</v>
      </c>
      <c r="CQ1364" s="33">
        <v>0</v>
      </c>
      <c r="CR1364" s="33">
        <v>0</v>
      </c>
    </row>
    <row r="1365" spans="1:96" ht="15" customHeight="1" x14ac:dyDescent="0.25">
      <c r="A1365" s="26">
        <v>1363</v>
      </c>
      <c r="B1365" s="27">
        <v>33</v>
      </c>
      <c r="C1365" s="27">
        <v>0</v>
      </c>
      <c r="D1365" s="27">
        <v>1</v>
      </c>
      <c r="E1365" s="27">
        <v>217</v>
      </c>
      <c r="F1365" s="27">
        <v>1</v>
      </c>
      <c r="G1365" s="27">
        <v>10</v>
      </c>
      <c r="H1365" s="27">
        <v>4</v>
      </c>
      <c r="I1365" s="27">
        <v>4</v>
      </c>
      <c r="J1365" s="27">
        <v>1</v>
      </c>
      <c r="K1365" s="27">
        <v>1924</v>
      </c>
      <c r="L1365" s="27">
        <v>2</v>
      </c>
      <c r="M1365" s="27">
        <v>1</v>
      </c>
      <c r="N1365" s="27">
        <v>43</v>
      </c>
      <c r="O1365" s="27">
        <v>3</v>
      </c>
      <c r="P1365" s="27">
        <v>2</v>
      </c>
      <c r="Q1365" s="27">
        <v>1</v>
      </c>
      <c r="R1365" s="27">
        <v>3</v>
      </c>
      <c r="S1365" s="27">
        <v>1</v>
      </c>
      <c r="T1365" s="27">
        <v>5487</v>
      </c>
      <c r="U1365" s="27">
        <v>10410</v>
      </c>
      <c r="V1365" s="27">
        <v>1</v>
      </c>
      <c r="W1365" s="27">
        <v>0</v>
      </c>
      <c r="X1365" s="27">
        <v>14</v>
      </c>
      <c r="Y1365" s="27">
        <v>3</v>
      </c>
      <c r="Z1365" s="27">
        <v>2</v>
      </c>
      <c r="AA1365" s="27">
        <v>80</v>
      </c>
      <c r="AB1365" s="27">
        <v>0</v>
      </c>
      <c r="AC1365" s="27">
        <v>10</v>
      </c>
      <c r="AD1365" s="27">
        <v>2</v>
      </c>
      <c r="AE1365" s="27">
        <v>2</v>
      </c>
      <c r="AF1365" s="27">
        <v>10</v>
      </c>
      <c r="AG1365" s="27">
        <v>4</v>
      </c>
      <c r="AH1365" s="27">
        <v>0</v>
      </c>
      <c r="AI1365" s="28">
        <v>9</v>
      </c>
      <c r="AK1365" s="36">
        <v>1332</v>
      </c>
      <c r="AL1365" s="33">
        <v>10</v>
      </c>
      <c r="AM1365" s="33">
        <v>5</v>
      </c>
      <c r="AN1365" s="33">
        <v>2</v>
      </c>
      <c r="AO1365" s="33">
        <v>4</v>
      </c>
      <c r="AP1365" s="33">
        <v>0</v>
      </c>
      <c r="AQ1365" s="33">
        <v>0</v>
      </c>
      <c r="AR1365" s="33">
        <v>3</v>
      </c>
      <c r="AS1365" s="33">
        <v>22</v>
      </c>
      <c r="AT1365" s="33">
        <v>12</v>
      </c>
      <c r="AU1365" s="43">
        <v>3.3852882853951084E-2</v>
      </c>
      <c r="AV1365" s="33">
        <v>0</v>
      </c>
      <c r="AW1365" s="33">
        <v>0</v>
      </c>
      <c r="AY1365" s="36">
        <v>1337</v>
      </c>
      <c r="AZ1365" s="33">
        <v>1</v>
      </c>
      <c r="BA1365" s="33">
        <v>4</v>
      </c>
      <c r="BB1365" s="33">
        <v>0</v>
      </c>
      <c r="BC1365" s="33">
        <v>1</v>
      </c>
      <c r="BD1365" s="43">
        <v>9.2486413274924434E-2</v>
      </c>
      <c r="BE1365" s="33">
        <v>0</v>
      </c>
      <c r="BF1365" s="33">
        <v>0</v>
      </c>
      <c r="CE1365" s="36">
        <v>1331</v>
      </c>
      <c r="CF1365" s="33">
        <v>6</v>
      </c>
      <c r="CG1365" s="33">
        <v>5</v>
      </c>
      <c r="CH1365" s="33">
        <v>3</v>
      </c>
      <c r="CI1365" s="33">
        <v>2</v>
      </c>
      <c r="CJ1365" s="33">
        <v>7</v>
      </c>
      <c r="CK1365" s="33">
        <v>0</v>
      </c>
      <c r="CL1365" s="33">
        <v>0</v>
      </c>
      <c r="CM1365" s="33">
        <v>3</v>
      </c>
      <c r="CN1365" s="33">
        <v>16</v>
      </c>
      <c r="CO1365" s="33">
        <v>6</v>
      </c>
      <c r="CP1365" s="43">
        <v>1.6259924961520313E-2</v>
      </c>
      <c r="CQ1365" s="33">
        <v>0</v>
      </c>
      <c r="CR1365" s="33">
        <v>0</v>
      </c>
    </row>
    <row r="1366" spans="1:96" ht="15" customHeight="1" x14ac:dyDescent="0.25">
      <c r="A1366" s="26">
        <v>1364</v>
      </c>
      <c r="B1366" s="27">
        <v>28</v>
      </c>
      <c r="C1366" s="27">
        <v>0</v>
      </c>
      <c r="D1366" s="27">
        <v>2</v>
      </c>
      <c r="E1366" s="27">
        <v>783</v>
      </c>
      <c r="F1366" s="27">
        <v>1</v>
      </c>
      <c r="G1366" s="27">
        <v>1</v>
      </c>
      <c r="H1366" s="27">
        <v>2</v>
      </c>
      <c r="I1366" s="27">
        <v>1</v>
      </c>
      <c r="J1366" s="27">
        <v>1</v>
      </c>
      <c r="K1366" s="27">
        <v>1927</v>
      </c>
      <c r="L1366" s="27">
        <v>3</v>
      </c>
      <c r="M1366" s="27">
        <v>1</v>
      </c>
      <c r="N1366" s="27">
        <v>42</v>
      </c>
      <c r="O1366" s="27">
        <v>2</v>
      </c>
      <c r="P1366" s="27">
        <v>2</v>
      </c>
      <c r="Q1366" s="27">
        <v>1</v>
      </c>
      <c r="R1366" s="27">
        <v>4</v>
      </c>
      <c r="S1366" s="27">
        <v>2</v>
      </c>
      <c r="T1366" s="27">
        <v>6834</v>
      </c>
      <c r="U1366" s="27">
        <v>19255</v>
      </c>
      <c r="V1366" s="27">
        <v>1</v>
      </c>
      <c r="W1366" s="27">
        <v>1</v>
      </c>
      <c r="X1366" s="27">
        <v>12</v>
      </c>
      <c r="Y1366" s="27">
        <v>3</v>
      </c>
      <c r="Z1366" s="27">
        <v>3</v>
      </c>
      <c r="AA1366" s="27">
        <v>80</v>
      </c>
      <c r="AB1366" s="27">
        <v>1</v>
      </c>
      <c r="AC1366" s="27">
        <v>7</v>
      </c>
      <c r="AD1366" s="27">
        <v>2</v>
      </c>
      <c r="AE1366" s="27">
        <v>3</v>
      </c>
      <c r="AF1366" s="27">
        <v>7</v>
      </c>
      <c r="AG1366" s="27">
        <v>7</v>
      </c>
      <c r="AH1366" s="27">
        <v>0</v>
      </c>
      <c r="AI1366" s="28">
        <v>7</v>
      </c>
      <c r="AK1366" s="36">
        <v>1333</v>
      </c>
      <c r="AL1366" s="33">
        <v>24</v>
      </c>
      <c r="AM1366" s="33">
        <v>1</v>
      </c>
      <c r="AN1366" s="33">
        <v>4</v>
      </c>
      <c r="AO1366" s="33">
        <v>1</v>
      </c>
      <c r="AP1366" s="33">
        <v>1</v>
      </c>
      <c r="AQ1366" s="33">
        <v>0</v>
      </c>
      <c r="AR1366" s="33">
        <v>2</v>
      </c>
      <c r="AS1366" s="33">
        <v>1</v>
      </c>
      <c r="AT1366" s="33">
        <v>1</v>
      </c>
      <c r="AU1366" s="43">
        <v>0.61422794686015048</v>
      </c>
      <c r="AV1366" s="33">
        <v>1</v>
      </c>
      <c r="AW1366" s="33">
        <v>1</v>
      </c>
      <c r="AY1366" s="36">
        <v>1338</v>
      </c>
      <c r="AZ1366" s="33">
        <v>1</v>
      </c>
      <c r="BA1366" s="33">
        <v>2</v>
      </c>
      <c r="BB1366" s="33">
        <v>0</v>
      </c>
      <c r="BC1366" s="33">
        <v>1</v>
      </c>
      <c r="BD1366" s="43">
        <v>0.15461023487664</v>
      </c>
      <c r="BE1366" s="33">
        <v>0</v>
      </c>
      <c r="BF1366" s="33">
        <v>0</v>
      </c>
      <c r="CE1366" s="36">
        <v>1332</v>
      </c>
      <c r="CF1366" s="33">
        <v>10</v>
      </c>
      <c r="CG1366" s="33">
        <v>5</v>
      </c>
      <c r="CH1366" s="33">
        <v>2</v>
      </c>
      <c r="CI1366" s="33">
        <v>2</v>
      </c>
      <c r="CJ1366" s="33">
        <v>4</v>
      </c>
      <c r="CK1366" s="33">
        <v>0</v>
      </c>
      <c r="CL1366" s="33">
        <v>0</v>
      </c>
      <c r="CM1366" s="33">
        <v>3</v>
      </c>
      <c r="CN1366" s="33">
        <v>22</v>
      </c>
      <c r="CO1366" s="33">
        <v>12</v>
      </c>
      <c r="CP1366" s="43">
        <v>2.5255627799831468E-2</v>
      </c>
      <c r="CQ1366" s="33">
        <v>0</v>
      </c>
      <c r="CR1366" s="33">
        <v>0</v>
      </c>
    </row>
    <row r="1367" spans="1:96" ht="15" customHeight="1" x14ac:dyDescent="0.25">
      <c r="A1367" s="26">
        <v>1365</v>
      </c>
      <c r="B1367" s="27">
        <v>29</v>
      </c>
      <c r="C1367" s="27">
        <v>1</v>
      </c>
      <c r="D1367" s="27">
        <v>2</v>
      </c>
      <c r="E1367" s="27">
        <v>746</v>
      </c>
      <c r="F1367" s="27">
        <v>1</v>
      </c>
      <c r="G1367" s="27">
        <v>24</v>
      </c>
      <c r="H1367" s="27">
        <v>3</v>
      </c>
      <c r="I1367" s="27">
        <v>5</v>
      </c>
      <c r="J1367" s="27">
        <v>1</v>
      </c>
      <c r="K1367" s="27">
        <v>1928</v>
      </c>
      <c r="L1367" s="27">
        <v>3</v>
      </c>
      <c r="M1367" s="27">
        <v>1</v>
      </c>
      <c r="N1367" s="27">
        <v>45</v>
      </c>
      <c r="O1367" s="27">
        <v>4</v>
      </c>
      <c r="P1367" s="27">
        <v>1</v>
      </c>
      <c r="Q1367" s="27">
        <v>7</v>
      </c>
      <c r="R1367" s="27">
        <v>1</v>
      </c>
      <c r="S1367" s="27">
        <v>1</v>
      </c>
      <c r="T1367" s="27">
        <v>1091</v>
      </c>
      <c r="U1367" s="27">
        <v>10642</v>
      </c>
      <c r="V1367" s="27">
        <v>1</v>
      </c>
      <c r="W1367" s="27">
        <v>0</v>
      </c>
      <c r="X1367" s="27">
        <v>17</v>
      </c>
      <c r="Y1367" s="27">
        <v>3</v>
      </c>
      <c r="Z1367" s="27">
        <v>4</v>
      </c>
      <c r="AA1367" s="27">
        <v>80</v>
      </c>
      <c r="AB1367" s="27">
        <v>0</v>
      </c>
      <c r="AC1367" s="27">
        <v>1</v>
      </c>
      <c r="AD1367" s="27">
        <v>3</v>
      </c>
      <c r="AE1367" s="27">
        <v>3</v>
      </c>
      <c r="AF1367" s="27">
        <v>1</v>
      </c>
      <c r="AG1367" s="27">
        <v>0</v>
      </c>
      <c r="AH1367" s="27">
        <v>0</v>
      </c>
      <c r="AI1367" s="28">
        <v>0</v>
      </c>
      <c r="AK1367" s="36">
        <v>1334</v>
      </c>
      <c r="AL1367" s="33">
        <v>10</v>
      </c>
      <c r="AM1367" s="33">
        <v>3</v>
      </c>
      <c r="AN1367" s="33">
        <v>2</v>
      </c>
      <c r="AO1367" s="33">
        <v>5</v>
      </c>
      <c r="AP1367" s="33">
        <v>0</v>
      </c>
      <c r="AQ1367" s="33">
        <v>3</v>
      </c>
      <c r="AR1367" s="33">
        <v>3</v>
      </c>
      <c r="AS1367" s="33">
        <v>8</v>
      </c>
      <c r="AT1367" s="33">
        <v>0</v>
      </c>
      <c r="AU1367" s="43">
        <v>1.453965000636041E-2</v>
      </c>
      <c r="AV1367" s="33">
        <v>0</v>
      </c>
      <c r="AW1367" s="33">
        <v>1</v>
      </c>
      <c r="AY1367" s="36">
        <v>1339</v>
      </c>
      <c r="AZ1367" s="33">
        <v>1</v>
      </c>
      <c r="BA1367" s="33">
        <v>4</v>
      </c>
      <c r="BB1367" s="33">
        <v>0</v>
      </c>
      <c r="BC1367" s="33">
        <v>0</v>
      </c>
      <c r="BD1367" s="43">
        <v>0.1472907617042678</v>
      </c>
      <c r="BE1367" s="33">
        <v>0</v>
      </c>
      <c r="BF1367" s="33">
        <v>1</v>
      </c>
      <c r="CE1367" s="36">
        <v>1333</v>
      </c>
      <c r="CF1367" s="33">
        <v>24</v>
      </c>
      <c r="CG1367" s="33">
        <v>1</v>
      </c>
      <c r="CH1367" s="33">
        <v>4</v>
      </c>
      <c r="CI1367" s="33">
        <v>1</v>
      </c>
      <c r="CJ1367" s="33">
        <v>1</v>
      </c>
      <c r="CK1367" s="33">
        <v>1</v>
      </c>
      <c r="CL1367" s="33">
        <v>0</v>
      </c>
      <c r="CM1367" s="33">
        <v>2</v>
      </c>
      <c r="CN1367" s="33">
        <v>1</v>
      </c>
      <c r="CO1367" s="33">
        <v>1</v>
      </c>
      <c r="CP1367" s="43">
        <v>0.65943400242036276</v>
      </c>
      <c r="CQ1367" s="33">
        <v>1</v>
      </c>
      <c r="CR1367" s="33">
        <v>1</v>
      </c>
    </row>
    <row r="1368" spans="1:96" ht="15" customHeight="1" x14ac:dyDescent="0.25">
      <c r="A1368" s="26">
        <v>1366</v>
      </c>
      <c r="B1368" s="27">
        <v>39</v>
      </c>
      <c r="C1368" s="27">
        <v>0</v>
      </c>
      <c r="D1368" s="27">
        <v>3</v>
      </c>
      <c r="E1368" s="27">
        <v>1251</v>
      </c>
      <c r="F1368" s="27">
        <v>1</v>
      </c>
      <c r="G1368" s="27">
        <v>21</v>
      </c>
      <c r="H1368" s="27">
        <v>4</v>
      </c>
      <c r="I1368" s="27">
        <v>1</v>
      </c>
      <c r="J1368" s="27">
        <v>1</v>
      </c>
      <c r="K1368" s="27">
        <v>1929</v>
      </c>
      <c r="L1368" s="27">
        <v>1</v>
      </c>
      <c r="M1368" s="27">
        <v>0</v>
      </c>
      <c r="N1368" s="27">
        <v>32</v>
      </c>
      <c r="O1368" s="27">
        <v>1</v>
      </c>
      <c r="P1368" s="27">
        <v>2</v>
      </c>
      <c r="Q1368" s="27">
        <v>1</v>
      </c>
      <c r="R1368" s="27">
        <v>3</v>
      </c>
      <c r="S1368" s="27">
        <v>2</v>
      </c>
      <c r="T1368" s="27">
        <v>5736</v>
      </c>
      <c r="U1368" s="27">
        <v>3987</v>
      </c>
      <c r="V1368" s="27">
        <v>6</v>
      </c>
      <c r="W1368" s="27">
        <v>0</v>
      </c>
      <c r="X1368" s="27">
        <v>19</v>
      </c>
      <c r="Y1368" s="27">
        <v>3</v>
      </c>
      <c r="Z1368" s="27">
        <v>3</v>
      </c>
      <c r="AA1368" s="27">
        <v>80</v>
      </c>
      <c r="AB1368" s="27">
        <v>1</v>
      </c>
      <c r="AC1368" s="27">
        <v>10</v>
      </c>
      <c r="AD1368" s="27">
        <v>1</v>
      </c>
      <c r="AE1368" s="27">
        <v>3</v>
      </c>
      <c r="AF1368" s="27">
        <v>3</v>
      </c>
      <c r="AG1368" s="27">
        <v>2</v>
      </c>
      <c r="AH1368" s="27">
        <v>1</v>
      </c>
      <c r="AI1368" s="28">
        <v>2</v>
      </c>
      <c r="AK1368" s="36">
        <v>1335</v>
      </c>
      <c r="AL1368" s="33">
        <v>15</v>
      </c>
      <c r="AM1368" s="33">
        <v>1</v>
      </c>
      <c r="AN1368" s="33">
        <v>1</v>
      </c>
      <c r="AO1368" s="33">
        <v>0</v>
      </c>
      <c r="AP1368" s="33">
        <v>0</v>
      </c>
      <c r="AQ1368" s="33">
        <v>1</v>
      </c>
      <c r="AR1368" s="33">
        <v>2</v>
      </c>
      <c r="AS1368" s="33">
        <v>7</v>
      </c>
      <c r="AT1368" s="33">
        <v>7</v>
      </c>
      <c r="AU1368" s="43">
        <v>0.30143843889537181</v>
      </c>
      <c r="AV1368" s="33">
        <v>0</v>
      </c>
      <c r="AW1368" s="33">
        <v>0</v>
      </c>
      <c r="AY1368" s="36">
        <v>1340</v>
      </c>
      <c r="AZ1368" s="33">
        <v>1</v>
      </c>
      <c r="BA1368" s="33">
        <v>2</v>
      </c>
      <c r="BB1368" s="33">
        <v>1</v>
      </c>
      <c r="BC1368" s="33">
        <v>0</v>
      </c>
      <c r="BD1368" s="43">
        <v>0.56990699338636852</v>
      </c>
      <c r="BE1368" s="33">
        <v>1</v>
      </c>
      <c r="BF1368" s="33">
        <v>1</v>
      </c>
      <c r="CE1368" s="36">
        <v>1334</v>
      </c>
      <c r="CF1368" s="33">
        <v>10</v>
      </c>
      <c r="CG1368" s="33">
        <v>3</v>
      </c>
      <c r="CH1368" s="33">
        <v>2</v>
      </c>
      <c r="CI1368" s="33">
        <v>2</v>
      </c>
      <c r="CJ1368" s="33">
        <v>5</v>
      </c>
      <c r="CK1368" s="33">
        <v>0</v>
      </c>
      <c r="CL1368" s="33">
        <v>3</v>
      </c>
      <c r="CM1368" s="33">
        <v>3</v>
      </c>
      <c r="CN1368" s="33">
        <v>8</v>
      </c>
      <c r="CO1368" s="33">
        <v>0</v>
      </c>
      <c r="CP1368" s="43">
        <v>2.829775767768827E-2</v>
      </c>
      <c r="CQ1368" s="33">
        <v>0</v>
      </c>
      <c r="CR1368" s="33">
        <v>1</v>
      </c>
    </row>
    <row r="1369" spans="1:96" ht="15" customHeight="1" x14ac:dyDescent="0.25">
      <c r="A1369" s="26">
        <v>1367</v>
      </c>
      <c r="B1369" s="27">
        <v>27</v>
      </c>
      <c r="C1369" s="27">
        <v>0</v>
      </c>
      <c r="D1369" s="27">
        <v>1</v>
      </c>
      <c r="E1369" s="27">
        <v>1354</v>
      </c>
      <c r="F1369" s="27">
        <v>2</v>
      </c>
      <c r="G1369" s="27">
        <v>2</v>
      </c>
      <c r="H1369" s="27">
        <v>4</v>
      </c>
      <c r="I1369" s="27">
        <v>5</v>
      </c>
      <c r="J1369" s="27">
        <v>1</v>
      </c>
      <c r="K1369" s="27">
        <v>1931</v>
      </c>
      <c r="L1369" s="27">
        <v>2</v>
      </c>
      <c r="M1369" s="27">
        <v>1</v>
      </c>
      <c r="N1369" s="27">
        <v>41</v>
      </c>
      <c r="O1369" s="27">
        <v>3</v>
      </c>
      <c r="P1369" s="27">
        <v>1</v>
      </c>
      <c r="Q1369" s="27">
        <v>2</v>
      </c>
      <c r="R1369" s="27">
        <v>2</v>
      </c>
      <c r="S1369" s="27">
        <v>2</v>
      </c>
      <c r="T1369" s="27">
        <v>2226</v>
      </c>
      <c r="U1369" s="27">
        <v>6073</v>
      </c>
      <c r="V1369" s="27">
        <v>1</v>
      </c>
      <c r="W1369" s="27">
        <v>0</v>
      </c>
      <c r="X1369" s="27">
        <v>11</v>
      </c>
      <c r="Y1369" s="27">
        <v>3</v>
      </c>
      <c r="Z1369" s="27">
        <v>3</v>
      </c>
      <c r="AA1369" s="27">
        <v>80</v>
      </c>
      <c r="AB1369" s="27">
        <v>1</v>
      </c>
      <c r="AC1369" s="27">
        <v>6</v>
      </c>
      <c r="AD1369" s="27">
        <v>3</v>
      </c>
      <c r="AE1369" s="27">
        <v>2</v>
      </c>
      <c r="AF1369" s="27">
        <v>5</v>
      </c>
      <c r="AG1369" s="27">
        <v>3</v>
      </c>
      <c r="AH1369" s="27">
        <v>1</v>
      </c>
      <c r="AI1369" s="28">
        <v>2</v>
      </c>
      <c r="AK1369" s="36">
        <v>1336</v>
      </c>
      <c r="AL1369" s="33">
        <v>19</v>
      </c>
      <c r="AM1369" s="33">
        <v>2</v>
      </c>
      <c r="AN1369" s="33">
        <v>4</v>
      </c>
      <c r="AO1369" s="33">
        <v>8</v>
      </c>
      <c r="AP1369" s="33">
        <v>0</v>
      </c>
      <c r="AQ1369" s="33">
        <v>3</v>
      </c>
      <c r="AR1369" s="33">
        <v>3</v>
      </c>
      <c r="AS1369" s="33">
        <v>2</v>
      </c>
      <c r="AT1369" s="33">
        <v>2</v>
      </c>
      <c r="AU1369" s="43">
        <v>4.5883411148442861E-2</v>
      </c>
      <c r="AV1369" s="33">
        <v>0</v>
      </c>
      <c r="AW1369" s="33">
        <v>0</v>
      </c>
      <c r="AY1369" s="36">
        <v>1341</v>
      </c>
      <c r="AZ1369" s="33">
        <v>2</v>
      </c>
      <c r="BA1369" s="33">
        <v>3</v>
      </c>
      <c r="BB1369" s="33">
        <v>1</v>
      </c>
      <c r="BC1369" s="33">
        <v>1</v>
      </c>
      <c r="BD1369" s="43">
        <v>0.25031066197755131</v>
      </c>
      <c r="BE1369" s="33">
        <v>0</v>
      </c>
      <c r="BF1369" s="33">
        <v>0</v>
      </c>
      <c r="CE1369" s="36">
        <v>1335</v>
      </c>
      <c r="CF1369" s="33">
        <v>15</v>
      </c>
      <c r="CG1369" s="33">
        <v>1</v>
      </c>
      <c r="CH1369" s="33">
        <v>1</v>
      </c>
      <c r="CI1369" s="33">
        <v>2</v>
      </c>
      <c r="CJ1369" s="33">
        <v>0</v>
      </c>
      <c r="CK1369" s="33">
        <v>0</v>
      </c>
      <c r="CL1369" s="33">
        <v>1</v>
      </c>
      <c r="CM1369" s="33">
        <v>2</v>
      </c>
      <c r="CN1369" s="33">
        <v>7</v>
      </c>
      <c r="CO1369" s="33">
        <v>7</v>
      </c>
      <c r="CP1369" s="43">
        <v>0.30489525163929704</v>
      </c>
      <c r="CQ1369" s="33">
        <v>0</v>
      </c>
      <c r="CR1369" s="33">
        <v>0</v>
      </c>
    </row>
    <row r="1370" spans="1:96" ht="15" customHeight="1" x14ac:dyDescent="0.25">
      <c r="A1370" s="26">
        <v>1368</v>
      </c>
      <c r="B1370" s="27">
        <v>34</v>
      </c>
      <c r="C1370" s="27">
        <v>0</v>
      </c>
      <c r="D1370" s="27">
        <v>2</v>
      </c>
      <c r="E1370" s="27">
        <v>735</v>
      </c>
      <c r="F1370" s="27">
        <v>2</v>
      </c>
      <c r="G1370" s="27">
        <v>22</v>
      </c>
      <c r="H1370" s="27">
        <v>4</v>
      </c>
      <c r="I1370" s="27">
        <v>6</v>
      </c>
      <c r="J1370" s="27">
        <v>1</v>
      </c>
      <c r="K1370" s="27">
        <v>1932</v>
      </c>
      <c r="L1370" s="27">
        <v>3</v>
      </c>
      <c r="M1370" s="27">
        <v>1</v>
      </c>
      <c r="N1370" s="27">
        <v>86</v>
      </c>
      <c r="O1370" s="27">
        <v>2</v>
      </c>
      <c r="P1370" s="27">
        <v>2</v>
      </c>
      <c r="Q1370" s="27">
        <v>2</v>
      </c>
      <c r="R1370" s="27">
        <v>4</v>
      </c>
      <c r="S1370" s="27">
        <v>2</v>
      </c>
      <c r="T1370" s="27">
        <v>5747</v>
      </c>
      <c r="U1370" s="27">
        <v>26496</v>
      </c>
      <c r="V1370" s="27">
        <v>1</v>
      </c>
      <c r="W1370" s="27">
        <v>1</v>
      </c>
      <c r="X1370" s="27">
        <v>15</v>
      </c>
      <c r="Y1370" s="27">
        <v>3</v>
      </c>
      <c r="Z1370" s="27">
        <v>2</v>
      </c>
      <c r="AA1370" s="27">
        <v>80</v>
      </c>
      <c r="AB1370" s="27">
        <v>0</v>
      </c>
      <c r="AC1370" s="27">
        <v>16</v>
      </c>
      <c r="AD1370" s="27">
        <v>3</v>
      </c>
      <c r="AE1370" s="27">
        <v>3</v>
      </c>
      <c r="AF1370" s="27">
        <v>15</v>
      </c>
      <c r="AG1370" s="27">
        <v>10</v>
      </c>
      <c r="AH1370" s="27">
        <v>6</v>
      </c>
      <c r="AI1370" s="28">
        <v>11</v>
      </c>
      <c r="AK1370" s="36">
        <v>1337</v>
      </c>
      <c r="AL1370" s="33">
        <v>2</v>
      </c>
      <c r="AM1370" s="33">
        <v>1</v>
      </c>
      <c r="AN1370" s="33">
        <v>4</v>
      </c>
      <c r="AO1370" s="33">
        <v>8</v>
      </c>
      <c r="AP1370" s="33">
        <v>0</v>
      </c>
      <c r="AQ1370" s="33">
        <v>1</v>
      </c>
      <c r="AR1370" s="33">
        <v>4</v>
      </c>
      <c r="AS1370" s="33">
        <v>5</v>
      </c>
      <c r="AT1370" s="33">
        <v>0</v>
      </c>
      <c r="AU1370" s="43">
        <v>6.9381935090892882E-2</v>
      </c>
      <c r="AV1370" s="33">
        <v>0</v>
      </c>
      <c r="AW1370" s="33">
        <v>0</v>
      </c>
      <c r="AY1370" s="36">
        <v>1342</v>
      </c>
      <c r="AZ1370" s="33">
        <v>2</v>
      </c>
      <c r="BA1370" s="33">
        <v>3</v>
      </c>
      <c r="BB1370" s="33">
        <v>0</v>
      </c>
      <c r="BC1370" s="33">
        <v>1</v>
      </c>
      <c r="BD1370" s="43">
        <v>7.244788656931947E-2</v>
      </c>
      <c r="BE1370" s="33">
        <v>0</v>
      </c>
      <c r="BF1370" s="33">
        <v>0</v>
      </c>
      <c r="CE1370" s="36">
        <v>1336</v>
      </c>
      <c r="CF1370" s="33">
        <v>19</v>
      </c>
      <c r="CG1370" s="33">
        <v>2</v>
      </c>
      <c r="CH1370" s="33">
        <v>4</v>
      </c>
      <c r="CI1370" s="33">
        <v>3</v>
      </c>
      <c r="CJ1370" s="33">
        <v>8</v>
      </c>
      <c r="CK1370" s="33">
        <v>0</v>
      </c>
      <c r="CL1370" s="33">
        <v>3</v>
      </c>
      <c r="CM1370" s="33">
        <v>3</v>
      </c>
      <c r="CN1370" s="33">
        <v>2</v>
      </c>
      <c r="CO1370" s="33">
        <v>2</v>
      </c>
      <c r="CP1370" s="43">
        <v>4.9924947449481227E-2</v>
      </c>
      <c r="CQ1370" s="33">
        <v>0</v>
      </c>
      <c r="CR1370" s="33">
        <v>0</v>
      </c>
    </row>
    <row r="1371" spans="1:96" ht="15" customHeight="1" x14ac:dyDescent="0.25">
      <c r="A1371" s="26">
        <v>1369</v>
      </c>
      <c r="B1371" s="27">
        <v>28</v>
      </c>
      <c r="C1371" s="27">
        <v>1</v>
      </c>
      <c r="D1371" s="27">
        <v>1</v>
      </c>
      <c r="E1371" s="27">
        <v>1475</v>
      </c>
      <c r="F1371" s="27">
        <v>1</v>
      </c>
      <c r="G1371" s="27">
        <v>13</v>
      </c>
      <c r="H1371" s="27">
        <v>2</v>
      </c>
      <c r="I1371" s="27">
        <v>4</v>
      </c>
      <c r="J1371" s="27">
        <v>1</v>
      </c>
      <c r="K1371" s="27">
        <v>1933</v>
      </c>
      <c r="L1371" s="27">
        <v>4</v>
      </c>
      <c r="M1371" s="27">
        <v>0</v>
      </c>
      <c r="N1371" s="27">
        <v>84</v>
      </c>
      <c r="O1371" s="27">
        <v>3</v>
      </c>
      <c r="P1371" s="27">
        <v>2</v>
      </c>
      <c r="Q1371" s="27">
        <v>1</v>
      </c>
      <c r="R1371" s="27">
        <v>3</v>
      </c>
      <c r="S1371" s="27">
        <v>1</v>
      </c>
      <c r="T1371" s="27">
        <v>9854</v>
      </c>
      <c r="U1371" s="27">
        <v>23352</v>
      </c>
      <c r="V1371" s="27">
        <v>3</v>
      </c>
      <c r="W1371" s="27">
        <v>1</v>
      </c>
      <c r="X1371" s="27">
        <v>11</v>
      </c>
      <c r="Y1371" s="27">
        <v>3</v>
      </c>
      <c r="Z1371" s="27">
        <v>4</v>
      </c>
      <c r="AA1371" s="27">
        <v>80</v>
      </c>
      <c r="AB1371" s="27">
        <v>0</v>
      </c>
      <c r="AC1371" s="27">
        <v>6</v>
      </c>
      <c r="AD1371" s="27">
        <v>0</v>
      </c>
      <c r="AE1371" s="27">
        <v>3</v>
      </c>
      <c r="AF1371" s="27">
        <v>2</v>
      </c>
      <c r="AG1371" s="27">
        <v>0</v>
      </c>
      <c r="AH1371" s="27">
        <v>2</v>
      </c>
      <c r="AI1371" s="28">
        <v>2</v>
      </c>
      <c r="AK1371" s="36">
        <v>1338</v>
      </c>
      <c r="AL1371" s="33">
        <v>3</v>
      </c>
      <c r="AM1371" s="33">
        <v>1</v>
      </c>
      <c r="AN1371" s="33">
        <v>2</v>
      </c>
      <c r="AO1371" s="33">
        <v>1</v>
      </c>
      <c r="AP1371" s="33">
        <v>0</v>
      </c>
      <c r="AQ1371" s="33">
        <v>1</v>
      </c>
      <c r="AR1371" s="33">
        <v>3</v>
      </c>
      <c r="AS1371" s="33">
        <v>1</v>
      </c>
      <c r="AT1371" s="33">
        <v>0</v>
      </c>
      <c r="AU1371" s="43">
        <v>0.114509631856525</v>
      </c>
      <c r="AV1371" s="33">
        <v>0</v>
      </c>
      <c r="AW1371" s="33">
        <v>0</v>
      </c>
      <c r="AY1371" s="36">
        <v>1343</v>
      </c>
      <c r="AZ1371" s="33">
        <v>3</v>
      </c>
      <c r="BA1371" s="33">
        <v>4</v>
      </c>
      <c r="BB1371" s="33">
        <v>1</v>
      </c>
      <c r="BC1371" s="33">
        <v>3</v>
      </c>
      <c r="BD1371" s="43">
        <v>4.7289594873315265E-2</v>
      </c>
      <c r="BE1371" s="33">
        <v>0</v>
      </c>
      <c r="BF1371" s="33">
        <v>0</v>
      </c>
      <c r="CE1371" s="36">
        <v>1337</v>
      </c>
      <c r="CF1371" s="33">
        <v>2</v>
      </c>
      <c r="CG1371" s="33">
        <v>1</v>
      </c>
      <c r="CH1371" s="33">
        <v>4</v>
      </c>
      <c r="CI1371" s="33">
        <v>2</v>
      </c>
      <c r="CJ1371" s="33">
        <v>8</v>
      </c>
      <c r="CK1371" s="33">
        <v>0</v>
      </c>
      <c r="CL1371" s="33">
        <v>1</v>
      </c>
      <c r="CM1371" s="33">
        <v>4</v>
      </c>
      <c r="CN1371" s="33">
        <v>5</v>
      </c>
      <c r="CO1371" s="33">
        <v>0</v>
      </c>
      <c r="CP1371" s="43">
        <v>6.4696471917857684E-2</v>
      </c>
      <c r="CQ1371" s="33">
        <v>0</v>
      </c>
      <c r="CR1371" s="33">
        <v>0</v>
      </c>
    </row>
    <row r="1372" spans="1:96" ht="15" customHeight="1" x14ac:dyDescent="0.25">
      <c r="A1372" s="26">
        <v>1370</v>
      </c>
      <c r="B1372" s="27">
        <v>47</v>
      </c>
      <c r="C1372" s="27">
        <v>0</v>
      </c>
      <c r="D1372" s="27">
        <v>3</v>
      </c>
      <c r="E1372" s="27">
        <v>1169</v>
      </c>
      <c r="F1372" s="27">
        <v>2</v>
      </c>
      <c r="G1372" s="27">
        <v>14</v>
      </c>
      <c r="H1372" s="27">
        <v>4</v>
      </c>
      <c r="I1372" s="27">
        <v>5</v>
      </c>
      <c r="J1372" s="27">
        <v>1</v>
      </c>
      <c r="K1372" s="27">
        <v>1934</v>
      </c>
      <c r="L1372" s="27">
        <v>3</v>
      </c>
      <c r="M1372" s="27">
        <v>1</v>
      </c>
      <c r="N1372" s="27">
        <v>64</v>
      </c>
      <c r="O1372" s="27">
        <v>3</v>
      </c>
      <c r="P1372" s="27">
        <v>2</v>
      </c>
      <c r="Q1372" s="27">
        <v>2</v>
      </c>
      <c r="R1372" s="27">
        <v>2</v>
      </c>
      <c r="S1372" s="27">
        <v>2</v>
      </c>
      <c r="T1372" s="27">
        <v>5467</v>
      </c>
      <c r="U1372" s="27">
        <v>2125</v>
      </c>
      <c r="V1372" s="27">
        <v>8</v>
      </c>
      <c r="W1372" s="27">
        <v>0</v>
      </c>
      <c r="X1372" s="27">
        <v>18</v>
      </c>
      <c r="Y1372" s="27">
        <v>3</v>
      </c>
      <c r="Z1372" s="27">
        <v>3</v>
      </c>
      <c r="AA1372" s="27">
        <v>80</v>
      </c>
      <c r="AB1372" s="27">
        <v>1</v>
      </c>
      <c r="AC1372" s="27">
        <v>16</v>
      </c>
      <c r="AD1372" s="27">
        <v>4</v>
      </c>
      <c r="AE1372" s="27">
        <v>4</v>
      </c>
      <c r="AF1372" s="27">
        <v>8</v>
      </c>
      <c r="AG1372" s="27">
        <v>7</v>
      </c>
      <c r="AH1372" s="27">
        <v>1</v>
      </c>
      <c r="AI1372" s="28">
        <v>7</v>
      </c>
      <c r="AK1372" s="36">
        <v>1339</v>
      </c>
      <c r="AL1372" s="33">
        <v>9</v>
      </c>
      <c r="AM1372" s="33">
        <v>1</v>
      </c>
      <c r="AN1372" s="33">
        <v>4</v>
      </c>
      <c r="AO1372" s="33">
        <v>1</v>
      </c>
      <c r="AP1372" s="33">
        <v>0</v>
      </c>
      <c r="AQ1372" s="33">
        <v>0</v>
      </c>
      <c r="AR1372" s="33">
        <v>2</v>
      </c>
      <c r="AS1372" s="33">
        <v>1</v>
      </c>
      <c r="AT1372" s="33">
        <v>0</v>
      </c>
      <c r="AU1372" s="43">
        <v>0.16409657364903099</v>
      </c>
      <c r="AV1372" s="33">
        <v>0</v>
      </c>
      <c r="AW1372" s="33">
        <v>1</v>
      </c>
      <c r="AY1372" s="36">
        <v>1344</v>
      </c>
      <c r="AZ1372" s="33">
        <v>1</v>
      </c>
      <c r="BA1372" s="33">
        <v>1</v>
      </c>
      <c r="BB1372" s="33">
        <v>0</v>
      </c>
      <c r="BC1372" s="33">
        <v>0</v>
      </c>
      <c r="BD1372" s="43">
        <v>0.29341085656570393</v>
      </c>
      <c r="BE1372" s="33">
        <v>0</v>
      </c>
      <c r="BF1372" s="33">
        <v>0</v>
      </c>
      <c r="CE1372" s="36">
        <v>1338</v>
      </c>
      <c r="CF1372" s="33">
        <v>3</v>
      </c>
      <c r="CG1372" s="33">
        <v>1</v>
      </c>
      <c r="CH1372" s="33">
        <v>2</v>
      </c>
      <c r="CI1372" s="33">
        <v>2</v>
      </c>
      <c r="CJ1372" s="33">
        <v>1</v>
      </c>
      <c r="CK1372" s="33">
        <v>0</v>
      </c>
      <c r="CL1372" s="33">
        <v>1</v>
      </c>
      <c r="CM1372" s="33">
        <v>3</v>
      </c>
      <c r="CN1372" s="33">
        <v>1</v>
      </c>
      <c r="CO1372" s="33">
        <v>0</v>
      </c>
      <c r="CP1372" s="43">
        <v>0.11141321162861055</v>
      </c>
      <c r="CQ1372" s="33">
        <v>0</v>
      </c>
      <c r="CR1372" s="33">
        <v>0</v>
      </c>
    </row>
    <row r="1373" spans="1:96" ht="15" customHeight="1" x14ac:dyDescent="0.25">
      <c r="A1373" s="26">
        <v>1371</v>
      </c>
      <c r="B1373" s="27">
        <v>56</v>
      </c>
      <c r="C1373" s="27">
        <v>0</v>
      </c>
      <c r="D1373" s="27">
        <v>1</v>
      </c>
      <c r="E1373" s="27">
        <v>1443</v>
      </c>
      <c r="F1373" s="27">
        <v>1</v>
      </c>
      <c r="G1373" s="27">
        <v>11</v>
      </c>
      <c r="H1373" s="27">
        <v>5</v>
      </c>
      <c r="I1373" s="27">
        <v>4</v>
      </c>
      <c r="J1373" s="27">
        <v>1</v>
      </c>
      <c r="K1373" s="27">
        <v>1935</v>
      </c>
      <c r="L1373" s="27">
        <v>4</v>
      </c>
      <c r="M1373" s="27">
        <v>0</v>
      </c>
      <c r="N1373" s="27">
        <v>89</v>
      </c>
      <c r="O1373" s="27">
        <v>2</v>
      </c>
      <c r="P1373" s="27">
        <v>2</v>
      </c>
      <c r="Q1373" s="27">
        <v>1</v>
      </c>
      <c r="R1373" s="27">
        <v>1</v>
      </c>
      <c r="S1373" s="27">
        <v>2</v>
      </c>
      <c r="T1373" s="27">
        <v>5380</v>
      </c>
      <c r="U1373" s="27">
        <v>20328</v>
      </c>
      <c r="V1373" s="27">
        <v>4</v>
      </c>
      <c r="W1373" s="27">
        <v>0</v>
      </c>
      <c r="X1373" s="27">
        <v>16</v>
      </c>
      <c r="Y1373" s="27">
        <v>3</v>
      </c>
      <c r="Z1373" s="27">
        <v>3</v>
      </c>
      <c r="AA1373" s="27">
        <v>80</v>
      </c>
      <c r="AB1373" s="27">
        <v>1</v>
      </c>
      <c r="AC1373" s="27">
        <v>6</v>
      </c>
      <c r="AD1373" s="27">
        <v>3</v>
      </c>
      <c r="AE1373" s="27">
        <v>3</v>
      </c>
      <c r="AF1373" s="27">
        <v>0</v>
      </c>
      <c r="AG1373" s="27">
        <v>0</v>
      </c>
      <c r="AH1373" s="27">
        <v>0</v>
      </c>
      <c r="AI1373" s="28">
        <v>0</v>
      </c>
      <c r="AK1373" s="36">
        <v>1340</v>
      </c>
      <c r="AL1373" s="33">
        <v>7</v>
      </c>
      <c r="AM1373" s="33">
        <v>1</v>
      </c>
      <c r="AN1373" s="33">
        <v>2</v>
      </c>
      <c r="AO1373" s="33">
        <v>1</v>
      </c>
      <c r="AP1373" s="33">
        <v>1</v>
      </c>
      <c r="AQ1373" s="33">
        <v>0</v>
      </c>
      <c r="AR1373" s="33">
        <v>3</v>
      </c>
      <c r="AS1373" s="33">
        <v>1</v>
      </c>
      <c r="AT1373" s="33">
        <v>0</v>
      </c>
      <c r="AU1373" s="43">
        <v>0.53282020608767422</v>
      </c>
      <c r="AV1373" s="33">
        <v>1</v>
      </c>
      <c r="AW1373" s="33">
        <v>1</v>
      </c>
      <c r="AY1373" s="36">
        <v>1345</v>
      </c>
      <c r="AZ1373" s="33">
        <v>2</v>
      </c>
      <c r="BA1373" s="33">
        <v>1</v>
      </c>
      <c r="BB1373" s="33">
        <v>1</v>
      </c>
      <c r="BC1373" s="33">
        <v>1</v>
      </c>
      <c r="BD1373" s="43">
        <v>0.37467799024663817</v>
      </c>
      <c r="BE1373" s="33">
        <v>0</v>
      </c>
      <c r="BF1373" s="33">
        <v>0</v>
      </c>
      <c r="CE1373" s="36">
        <v>1339</v>
      </c>
      <c r="CF1373" s="33">
        <v>9</v>
      </c>
      <c r="CG1373" s="33">
        <v>1</v>
      </c>
      <c r="CH1373" s="33">
        <v>4</v>
      </c>
      <c r="CI1373" s="33">
        <v>1</v>
      </c>
      <c r="CJ1373" s="33">
        <v>1</v>
      </c>
      <c r="CK1373" s="33">
        <v>0</v>
      </c>
      <c r="CL1373" s="33">
        <v>0</v>
      </c>
      <c r="CM1373" s="33">
        <v>2</v>
      </c>
      <c r="CN1373" s="33">
        <v>1</v>
      </c>
      <c r="CO1373" s="33">
        <v>0</v>
      </c>
      <c r="CP1373" s="43">
        <v>0.18679199712359404</v>
      </c>
      <c r="CQ1373" s="33">
        <v>0</v>
      </c>
      <c r="CR1373" s="33">
        <v>1</v>
      </c>
    </row>
    <row r="1374" spans="1:96" ht="15" customHeight="1" x14ac:dyDescent="0.25">
      <c r="A1374" s="26">
        <v>1372</v>
      </c>
      <c r="B1374" s="27">
        <v>39</v>
      </c>
      <c r="C1374" s="27">
        <v>0</v>
      </c>
      <c r="D1374" s="27">
        <v>1</v>
      </c>
      <c r="E1374" s="27">
        <v>867</v>
      </c>
      <c r="F1374" s="27">
        <v>2</v>
      </c>
      <c r="G1374" s="27">
        <v>9</v>
      </c>
      <c r="H1374" s="27">
        <v>2</v>
      </c>
      <c r="I1374" s="27">
        <v>3</v>
      </c>
      <c r="J1374" s="27">
        <v>1</v>
      </c>
      <c r="K1374" s="27">
        <v>1936</v>
      </c>
      <c r="L1374" s="27">
        <v>1</v>
      </c>
      <c r="M1374" s="27">
        <v>1</v>
      </c>
      <c r="N1374" s="27">
        <v>87</v>
      </c>
      <c r="O1374" s="27">
        <v>3</v>
      </c>
      <c r="P1374" s="27">
        <v>2</v>
      </c>
      <c r="Q1374" s="27">
        <v>4</v>
      </c>
      <c r="R1374" s="27">
        <v>1</v>
      </c>
      <c r="S1374" s="27">
        <v>2</v>
      </c>
      <c r="T1374" s="27">
        <v>5151</v>
      </c>
      <c r="U1374" s="27">
        <v>12315</v>
      </c>
      <c r="V1374" s="27">
        <v>1</v>
      </c>
      <c r="W1374" s="27">
        <v>0</v>
      </c>
      <c r="X1374" s="27">
        <v>25</v>
      </c>
      <c r="Y1374" s="27">
        <v>4</v>
      </c>
      <c r="Z1374" s="27">
        <v>4</v>
      </c>
      <c r="AA1374" s="27">
        <v>80</v>
      </c>
      <c r="AB1374" s="27">
        <v>1</v>
      </c>
      <c r="AC1374" s="27">
        <v>10</v>
      </c>
      <c r="AD1374" s="27">
        <v>3</v>
      </c>
      <c r="AE1374" s="27">
        <v>3</v>
      </c>
      <c r="AF1374" s="27">
        <v>10</v>
      </c>
      <c r="AG1374" s="27">
        <v>0</v>
      </c>
      <c r="AH1374" s="27">
        <v>7</v>
      </c>
      <c r="AI1374" s="28">
        <v>9</v>
      </c>
      <c r="AK1374" s="36">
        <v>1341</v>
      </c>
      <c r="AL1374" s="33">
        <v>10</v>
      </c>
      <c r="AM1374" s="33">
        <v>2</v>
      </c>
      <c r="AN1374" s="33">
        <v>3</v>
      </c>
      <c r="AO1374" s="33">
        <v>1</v>
      </c>
      <c r="AP1374" s="33">
        <v>1</v>
      </c>
      <c r="AQ1374" s="33">
        <v>1</v>
      </c>
      <c r="AR1374" s="33">
        <v>3</v>
      </c>
      <c r="AS1374" s="33">
        <v>10</v>
      </c>
      <c r="AT1374" s="33">
        <v>1</v>
      </c>
      <c r="AU1374" s="43">
        <v>0.15265185710809731</v>
      </c>
      <c r="AV1374" s="33">
        <v>0</v>
      </c>
      <c r="AW1374" s="33">
        <v>0</v>
      </c>
      <c r="AY1374" s="36">
        <v>1346</v>
      </c>
      <c r="AZ1374" s="33">
        <v>2</v>
      </c>
      <c r="BA1374" s="33">
        <v>2</v>
      </c>
      <c r="BB1374" s="33">
        <v>1</v>
      </c>
      <c r="BC1374" s="33">
        <v>0</v>
      </c>
      <c r="BD1374" s="43">
        <v>0.4312038484945574</v>
      </c>
      <c r="BE1374" s="33">
        <v>0</v>
      </c>
      <c r="BF1374" s="33">
        <v>0</v>
      </c>
      <c r="CE1374" s="36">
        <v>1340</v>
      </c>
      <c r="CF1374" s="33">
        <v>7</v>
      </c>
      <c r="CG1374" s="33">
        <v>1</v>
      </c>
      <c r="CH1374" s="33">
        <v>2</v>
      </c>
      <c r="CI1374" s="33">
        <v>1</v>
      </c>
      <c r="CJ1374" s="33">
        <v>1</v>
      </c>
      <c r="CK1374" s="33">
        <v>1</v>
      </c>
      <c r="CL1374" s="33">
        <v>0</v>
      </c>
      <c r="CM1374" s="33">
        <v>3</v>
      </c>
      <c r="CN1374" s="33">
        <v>1</v>
      </c>
      <c r="CO1374" s="33">
        <v>0</v>
      </c>
      <c r="CP1374" s="43">
        <v>0.58657566299532904</v>
      </c>
      <c r="CQ1374" s="33">
        <v>1</v>
      </c>
      <c r="CR1374" s="33">
        <v>1</v>
      </c>
    </row>
    <row r="1375" spans="1:96" ht="15" customHeight="1" x14ac:dyDescent="0.25">
      <c r="A1375" s="26">
        <v>1373</v>
      </c>
      <c r="B1375" s="27">
        <v>38</v>
      </c>
      <c r="C1375" s="27">
        <v>0</v>
      </c>
      <c r="D1375" s="27">
        <v>2</v>
      </c>
      <c r="E1375" s="27">
        <v>1394</v>
      </c>
      <c r="F1375" s="27">
        <v>2</v>
      </c>
      <c r="G1375" s="27">
        <v>8</v>
      </c>
      <c r="H1375" s="27">
        <v>3</v>
      </c>
      <c r="I1375" s="27">
        <v>3</v>
      </c>
      <c r="J1375" s="27">
        <v>1</v>
      </c>
      <c r="K1375" s="27">
        <v>1937</v>
      </c>
      <c r="L1375" s="27">
        <v>4</v>
      </c>
      <c r="M1375" s="27">
        <v>0</v>
      </c>
      <c r="N1375" s="27">
        <v>58</v>
      </c>
      <c r="O1375" s="27">
        <v>2</v>
      </c>
      <c r="P1375" s="27">
        <v>2</v>
      </c>
      <c r="Q1375" s="27">
        <v>2</v>
      </c>
      <c r="R1375" s="27">
        <v>2</v>
      </c>
      <c r="S1375" s="27">
        <v>3</v>
      </c>
      <c r="T1375" s="27">
        <v>2133</v>
      </c>
      <c r="U1375" s="27">
        <v>18115</v>
      </c>
      <c r="V1375" s="27">
        <v>1</v>
      </c>
      <c r="W1375" s="27">
        <v>1</v>
      </c>
      <c r="X1375" s="27">
        <v>16</v>
      </c>
      <c r="Y1375" s="27">
        <v>3</v>
      </c>
      <c r="Z1375" s="27">
        <v>3</v>
      </c>
      <c r="AA1375" s="27">
        <v>80</v>
      </c>
      <c r="AB1375" s="27">
        <v>1</v>
      </c>
      <c r="AC1375" s="27">
        <v>20</v>
      </c>
      <c r="AD1375" s="27">
        <v>3</v>
      </c>
      <c r="AE1375" s="27">
        <v>3</v>
      </c>
      <c r="AF1375" s="27">
        <v>20</v>
      </c>
      <c r="AG1375" s="27">
        <v>11</v>
      </c>
      <c r="AH1375" s="27">
        <v>0</v>
      </c>
      <c r="AI1375" s="28">
        <v>7</v>
      </c>
      <c r="AK1375" s="36">
        <v>1342</v>
      </c>
      <c r="AL1375" s="33">
        <v>20</v>
      </c>
      <c r="AM1375" s="33">
        <v>2</v>
      </c>
      <c r="AN1375" s="33">
        <v>3</v>
      </c>
      <c r="AO1375" s="33">
        <v>1</v>
      </c>
      <c r="AP1375" s="33">
        <v>0</v>
      </c>
      <c r="AQ1375" s="33">
        <v>1</v>
      </c>
      <c r="AR1375" s="33">
        <v>3</v>
      </c>
      <c r="AS1375" s="33">
        <v>10</v>
      </c>
      <c r="AT1375" s="33">
        <v>0</v>
      </c>
      <c r="AU1375" s="43">
        <v>4.8975305899477843E-2</v>
      </c>
      <c r="AV1375" s="33">
        <v>0</v>
      </c>
      <c r="AW1375" s="33">
        <v>0</v>
      </c>
      <c r="AY1375" s="36">
        <v>1347</v>
      </c>
      <c r="AZ1375" s="33">
        <v>2</v>
      </c>
      <c r="BA1375" s="33">
        <v>4</v>
      </c>
      <c r="BB1375" s="33">
        <v>0</v>
      </c>
      <c r="BC1375" s="33">
        <v>2</v>
      </c>
      <c r="BD1375" s="43">
        <v>3.3256067423154199E-2</v>
      </c>
      <c r="BE1375" s="33">
        <v>0</v>
      </c>
      <c r="BF1375" s="33">
        <v>0</v>
      </c>
      <c r="CE1375" s="36">
        <v>1341</v>
      </c>
      <c r="CF1375" s="33">
        <v>10</v>
      </c>
      <c r="CG1375" s="33">
        <v>2</v>
      </c>
      <c r="CH1375" s="33">
        <v>3</v>
      </c>
      <c r="CI1375" s="33">
        <v>2</v>
      </c>
      <c r="CJ1375" s="33">
        <v>1</v>
      </c>
      <c r="CK1375" s="33">
        <v>1</v>
      </c>
      <c r="CL1375" s="33">
        <v>1</v>
      </c>
      <c r="CM1375" s="33">
        <v>3</v>
      </c>
      <c r="CN1375" s="33">
        <v>10</v>
      </c>
      <c r="CO1375" s="33">
        <v>1</v>
      </c>
      <c r="CP1375" s="43">
        <v>0.1524638923015135</v>
      </c>
      <c r="CQ1375" s="33">
        <v>0</v>
      </c>
      <c r="CR1375" s="33">
        <v>0</v>
      </c>
    </row>
    <row r="1376" spans="1:96" ht="15" customHeight="1" x14ac:dyDescent="0.25">
      <c r="A1376" s="26">
        <v>1374</v>
      </c>
      <c r="B1376" s="27">
        <v>58</v>
      </c>
      <c r="C1376" s="27">
        <v>0</v>
      </c>
      <c r="D1376" s="27">
        <v>1</v>
      </c>
      <c r="E1376" s="27">
        <v>605</v>
      </c>
      <c r="F1376" s="27">
        <v>1</v>
      </c>
      <c r="G1376" s="27">
        <v>21</v>
      </c>
      <c r="H1376" s="27">
        <v>3</v>
      </c>
      <c r="I1376" s="27">
        <v>1</v>
      </c>
      <c r="J1376" s="27">
        <v>1</v>
      </c>
      <c r="K1376" s="27">
        <v>1938</v>
      </c>
      <c r="L1376" s="27">
        <v>4</v>
      </c>
      <c r="M1376" s="27">
        <v>0</v>
      </c>
      <c r="N1376" s="27">
        <v>72</v>
      </c>
      <c r="O1376" s="27">
        <v>3</v>
      </c>
      <c r="P1376" s="27">
        <v>4</v>
      </c>
      <c r="Q1376" s="27">
        <v>6</v>
      </c>
      <c r="R1376" s="27">
        <v>4</v>
      </c>
      <c r="S1376" s="27">
        <v>2</v>
      </c>
      <c r="T1376" s="27">
        <v>17875</v>
      </c>
      <c r="U1376" s="27">
        <v>11761</v>
      </c>
      <c r="V1376" s="27">
        <v>4</v>
      </c>
      <c r="W1376" s="27">
        <v>1</v>
      </c>
      <c r="X1376" s="27">
        <v>13</v>
      </c>
      <c r="Y1376" s="27">
        <v>3</v>
      </c>
      <c r="Z1376" s="27">
        <v>3</v>
      </c>
      <c r="AA1376" s="27">
        <v>80</v>
      </c>
      <c r="AB1376" s="27">
        <v>1</v>
      </c>
      <c r="AC1376" s="27">
        <v>29</v>
      </c>
      <c r="AD1376" s="27">
        <v>2</v>
      </c>
      <c r="AE1376" s="27">
        <v>2</v>
      </c>
      <c r="AF1376" s="27">
        <v>1</v>
      </c>
      <c r="AG1376" s="27">
        <v>0</v>
      </c>
      <c r="AH1376" s="27">
        <v>0</v>
      </c>
      <c r="AI1376" s="28">
        <v>0</v>
      </c>
      <c r="AK1376" s="36">
        <v>1343</v>
      </c>
      <c r="AL1376" s="33">
        <v>4</v>
      </c>
      <c r="AM1376" s="33">
        <v>3</v>
      </c>
      <c r="AN1376" s="33">
        <v>4</v>
      </c>
      <c r="AO1376" s="33">
        <v>2</v>
      </c>
      <c r="AP1376" s="33">
        <v>1</v>
      </c>
      <c r="AQ1376" s="33">
        <v>3</v>
      </c>
      <c r="AR1376" s="33">
        <v>3</v>
      </c>
      <c r="AS1376" s="33">
        <v>5</v>
      </c>
      <c r="AT1376" s="33">
        <v>1</v>
      </c>
      <c r="AU1376" s="43">
        <v>3.0795442175997997E-2</v>
      </c>
      <c r="AV1376" s="33">
        <v>0</v>
      </c>
      <c r="AW1376" s="33">
        <v>0</v>
      </c>
      <c r="AY1376" s="36">
        <v>1348</v>
      </c>
      <c r="AZ1376" s="33">
        <v>2</v>
      </c>
      <c r="BA1376" s="33">
        <v>4</v>
      </c>
      <c r="BB1376" s="33">
        <v>0</v>
      </c>
      <c r="BC1376" s="33">
        <v>0</v>
      </c>
      <c r="BD1376" s="43">
        <v>8.9935487507215722E-2</v>
      </c>
      <c r="BE1376" s="33">
        <v>0</v>
      </c>
      <c r="BF1376" s="33">
        <v>0</v>
      </c>
      <c r="CE1376" s="36">
        <v>1342</v>
      </c>
      <c r="CF1376" s="33">
        <v>20</v>
      </c>
      <c r="CG1376" s="33">
        <v>2</v>
      </c>
      <c r="CH1376" s="33">
        <v>3</v>
      </c>
      <c r="CI1376" s="33">
        <v>3</v>
      </c>
      <c r="CJ1376" s="33">
        <v>1</v>
      </c>
      <c r="CK1376" s="33">
        <v>0</v>
      </c>
      <c r="CL1376" s="33">
        <v>1</v>
      </c>
      <c r="CM1376" s="33">
        <v>3</v>
      </c>
      <c r="CN1376" s="33">
        <v>10</v>
      </c>
      <c r="CO1376" s="33">
        <v>0</v>
      </c>
      <c r="CP1376" s="43">
        <v>2.7429862356579932E-2</v>
      </c>
      <c r="CQ1376" s="33">
        <v>0</v>
      </c>
      <c r="CR1376" s="33">
        <v>0</v>
      </c>
    </row>
    <row r="1377" spans="1:96" ht="15" customHeight="1" x14ac:dyDescent="0.25">
      <c r="A1377" s="26">
        <v>1375</v>
      </c>
      <c r="B1377" s="27">
        <v>32</v>
      </c>
      <c r="C1377" s="27">
        <v>1</v>
      </c>
      <c r="D1377" s="27">
        <v>2</v>
      </c>
      <c r="E1377" s="27">
        <v>238</v>
      </c>
      <c r="F1377" s="27">
        <v>2</v>
      </c>
      <c r="G1377" s="27">
        <v>5</v>
      </c>
      <c r="H1377" s="27">
        <v>2</v>
      </c>
      <c r="I1377" s="27">
        <v>1</v>
      </c>
      <c r="J1377" s="27">
        <v>1</v>
      </c>
      <c r="K1377" s="27">
        <v>1939</v>
      </c>
      <c r="L1377" s="27">
        <v>1</v>
      </c>
      <c r="M1377" s="27">
        <v>0</v>
      </c>
      <c r="N1377" s="27">
        <v>47</v>
      </c>
      <c r="O1377" s="27">
        <v>4</v>
      </c>
      <c r="P1377" s="27">
        <v>1</v>
      </c>
      <c r="Q1377" s="27">
        <v>2</v>
      </c>
      <c r="R1377" s="27">
        <v>3</v>
      </c>
      <c r="S1377" s="27">
        <v>1</v>
      </c>
      <c r="T1377" s="27">
        <v>2432</v>
      </c>
      <c r="U1377" s="27">
        <v>15318</v>
      </c>
      <c r="V1377" s="27">
        <v>3</v>
      </c>
      <c r="W1377" s="27">
        <v>1</v>
      </c>
      <c r="X1377" s="27">
        <v>14</v>
      </c>
      <c r="Y1377" s="27">
        <v>3</v>
      </c>
      <c r="Z1377" s="27">
        <v>1</v>
      </c>
      <c r="AA1377" s="27">
        <v>80</v>
      </c>
      <c r="AB1377" s="27">
        <v>0</v>
      </c>
      <c r="AC1377" s="27">
        <v>8</v>
      </c>
      <c r="AD1377" s="27">
        <v>2</v>
      </c>
      <c r="AE1377" s="27">
        <v>3</v>
      </c>
      <c r="AF1377" s="27">
        <v>4</v>
      </c>
      <c r="AG1377" s="27">
        <v>1</v>
      </c>
      <c r="AH1377" s="27">
        <v>0</v>
      </c>
      <c r="AI1377" s="28">
        <v>3</v>
      </c>
      <c r="AK1377" s="36">
        <v>1344</v>
      </c>
      <c r="AL1377" s="33">
        <v>7</v>
      </c>
      <c r="AM1377" s="33">
        <v>1</v>
      </c>
      <c r="AN1377" s="33">
        <v>1</v>
      </c>
      <c r="AO1377" s="33">
        <v>3</v>
      </c>
      <c r="AP1377" s="33">
        <v>0</v>
      </c>
      <c r="AQ1377" s="33">
        <v>0</v>
      </c>
      <c r="AR1377" s="33">
        <v>3</v>
      </c>
      <c r="AS1377" s="33">
        <v>3</v>
      </c>
      <c r="AT1377" s="33">
        <v>1</v>
      </c>
      <c r="AU1377" s="43">
        <v>0.28604386822305655</v>
      </c>
      <c r="AV1377" s="33">
        <v>0</v>
      </c>
      <c r="AW1377" s="33">
        <v>0</v>
      </c>
      <c r="AY1377" s="36">
        <v>1349</v>
      </c>
      <c r="AZ1377" s="33">
        <v>4</v>
      </c>
      <c r="BA1377" s="33">
        <v>1</v>
      </c>
      <c r="BB1377" s="33">
        <v>0</v>
      </c>
      <c r="BC1377" s="33">
        <v>1</v>
      </c>
      <c r="BD1377" s="43">
        <v>4.3866321508597754E-2</v>
      </c>
      <c r="BE1377" s="33">
        <v>0</v>
      </c>
      <c r="BF1377" s="33">
        <v>0</v>
      </c>
      <c r="CE1377" s="36">
        <v>1343</v>
      </c>
      <c r="CF1377" s="33">
        <v>4</v>
      </c>
      <c r="CG1377" s="33">
        <v>3</v>
      </c>
      <c r="CH1377" s="33">
        <v>4</v>
      </c>
      <c r="CI1377" s="33">
        <v>2</v>
      </c>
      <c r="CJ1377" s="33">
        <v>2</v>
      </c>
      <c r="CK1377" s="33">
        <v>1</v>
      </c>
      <c r="CL1377" s="33">
        <v>3</v>
      </c>
      <c r="CM1377" s="33">
        <v>3</v>
      </c>
      <c r="CN1377" s="33">
        <v>5</v>
      </c>
      <c r="CO1377" s="33">
        <v>1</v>
      </c>
      <c r="CP1377" s="43">
        <v>5.9323253460034309E-2</v>
      </c>
      <c r="CQ1377" s="33">
        <v>0</v>
      </c>
      <c r="CR1377" s="33">
        <v>0</v>
      </c>
    </row>
    <row r="1378" spans="1:96" ht="15" customHeight="1" x14ac:dyDescent="0.25">
      <c r="A1378" s="26">
        <v>1376</v>
      </c>
      <c r="B1378" s="27">
        <v>38</v>
      </c>
      <c r="C1378" s="27">
        <v>0</v>
      </c>
      <c r="D1378" s="27">
        <v>1</v>
      </c>
      <c r="E1378" s="27">
        <v>1206</v>
      </c>
      <c r="F1378" s="27">
        <v>2</v>
      </c>
      <c r="G1378" s="27">
        <v>9</v>
      </c>
      <c r="H1378" s="27">
        <v>2</v>
      </c>
      <c r="I1378" s="27">
        <v>1</v>
      </c>
      <c r="J1378" s="27">
        <v>1</v>
      </c>
      <c r="K1378" s="27">
        <v>1940</v>
      </c>
      <c r="L1378" s="27">
        <v>2</v>
      </c>
      <c r="M1378" s="27">
        <v>1</v>
      </c>
      <c r="N1378" s="27">
        <v>71</v>
      </c>
      <c r="O1378" s="27">
        <v>3</v>
      </c>
      <c r="P1378" s="27">
        <v>1</v>
      </c>
      <c r="Q1378" s="27">
        <v>2</v>
      </c>
      <c r="R1378" s="27">
        <v>4</v>
      </c>
      <c r="S1378" s="27">
        <v>3</v>
      </c>
      <c r="T1378" s="27">
        <v>4771</v>
      </c>
      <c r="U1378" s="27">
        <v>14293</v>
      </c>
      <c r="V1378" s="27">
        <v>2</v>
      </c>
      <c r="W1378" s="27">
        <v>0</v>
      </c>
      <c r="X1378" s="27">
        <v>19</v>
      </c>
      <c r="Y1378" s="27">
        <v>3</v>
      </c>
      <c r="Z1378" s="27">
        <v>4</v>
      </c>
      <c r="AA1378" s="27">
        <v>80</v>
      </c>
      <c r="AB1378" s="27">
        <v>2</v>
      </c>
      <c r="AC1378" s="27">
        <v>10</v>
      </c>
      <c r="AD1378" s="27">
        <v>0</v>
      </c>
      <c r="AE1378" s="27">
        <v>4</v>
      </c>
      <c r="AF1378" s="27">
        <v>5</v>
      </c>
      <c r="AG1378" s="27">
        <v>2</v>
      </c>
      <c r="AH1378" s="27">
        <v>0</v>
      </c>
      <c r="AI1378" s="28">
        <v>3</v>
      </c>
      <c r="AK1378" s="36">
        <v>1345</v>
      </c>
      <c r="AL1378" s="33">
        <v>7</v>
      </c>
      <c r="AM1378" s="33">
        <v>2</v>
      </c>
      <c r="AN1378" s="33">
        <v>1</v>
      </c>
      <c r="AO1378" s="33">
        <v>5</v>
      </c>
      <c r="AP1378" s="33">
        <v>1</v>
      </c>
      <c r="AQ1378" s="33">
        <v>1</v>
      </c>
      <c r="AR1378" s="33">
        <v>3</v>
      </c>
      <c r="AS1378" s="33">
        <v>5</v>
      </c>
      <c r="AT1378" s="33">
        <v>0</v>
      </c>
      <c r="AU1378" s="43">
        <v>0.34351179420510619</v>
      </c>
      <c r="AV1378" s="33">
        <v>0</v>
      </c>
      <c r="AW1378" s="33">
        <v>0</v>
      </c>
      <c r="AY1378" s="36">
        <v>1350</v>
      </c>
      <c r="AZ1378" s="33">
        <v>1</v>
      </c>
      <c r="BA1378" s="33">
        <v>3</v>
      </c>
      <c r="BB1378" s="33">
        <v>1</v>
      </c>
      <c r="BC1378" s="33">
        <v>1</v>
      </c>
      <c r="BD1378" s="43">
        <v>0.36852652578740397</v>
      </c>
      <c r="BE1378" s="33">
        <v>0</v>
      </c>
      <c r="BF1378" s="33">
        <v>0</v>
      </c>
      <c r="CE1378" s="36">
        <v>1344</v>
      </c>
      <c r="CF1378" s="33">
        <v>7</v>
      </c>
      <c r="CG1378" s="33">
        <v>1</v>
      </c>
      <c r="CH1378" s="33">
        <v>1</v>
      </c>
      <c r="CI1378" s="33">
        <v>1</v>
      </c>
      <c r="CJ1378" s="33">
        <v>3</v>
      </c>
      <c r="CK1378" s="33">
        <v>0</v>
      </c>
      <c r="CL1378" s="33">
        <v>0</v>
      </c>
      <c r="CM1378" s="33">
        <v>3</v>
      </c>
      <c r="CN1378" s="33">
        <v>3</v>
      </c>
      <c r="CO1378" s="33">
        <v>1</v>
      </c>
      <c r="CP1378" s="43">
        <v>0.32887583224708494</v>
      </c>
      <c r="CQ1378" s="33">
        <v>0</v>
      </c>
      <c r="CR1378" s="33">
        <v>0</v>
      </c>
    </row>
    <row r="1379" spans="1:96" ht="15" customHeight="1" x14ac:dyDescent="0.25">
      <c r="A1379" s="26">
        <v>1377</v>
      </c>
      <c r="B1379" s="27">
        <v>49</v>
      </c>
      <c r="C1379" s="27">
        <v>0</v>
      </c>
      <c r="D1379" s="27">
        <v>2</v>
      </c>
      <c r="E1379" s="27">
        <v>1064</v>
      </c>
      <c r="F1379" s="27">
        <v>2</v>
      </c>
      <c r="G1379" s="27">
        <v>2</v>
      </c>
      <c r="H1379" s="27">
        <v>1</v>
      </c>
      <c r="I1379" s="27">
        <v>1</v>
      </c>
      <c r="J1379" s="27">
        <v>1</v>
      </c>
      <c r="K1379" s="27">
        <v>1941</v>
      </c>
      <c r="L1379" s="27">
        <v>2</v>
      </c>
      <c r="M1379" s="27">
        <v>1</v>
      </c>
      <c r="N1379" s="27">
        <v>42</v>
      </c>
      <c r="O1379" s="27">
        <v>3</v>
      </c>
      <c r="P1379" s="27">
        <v>5</v>
      </c>
      <c r="Q1379" s="27">
        <v>8</v>
      </c>
      <c r="R1379" s="27">
        <v>4</v>
      </c>
      <c r="S1379" s="27">
        <v>2</v>
      </c>
      <c r="T1379" s="27">
        <v>19161</v>
      </c>
      <c r="U1379" s="27">
        <v>13738</v>
      </c>
      <c r="V1379" s="27">
        <v>3</v>
      </c>
      <c r="W1379" s="27">
        <v>0</v>
      </c>
      <c r="X1379" s="27">
        <v>15</v>
      </c>
      <c r="Y1379" s="27">
        <v>3</v>
      </c>
      <c r="Z1379" s="27">
        <v>4</v>
      </c>
      <c r="AA1379" s="27">
        <v>80</v>
      </c>
      <c r="AB1379" s="27">
        <v>0</v>
      </c>
      <c r="AC1379" s="27">
        <v>28</v>
      </c>
      <c r="AD1379" s="27">
        <v>3</v>
      </c>
      <c r="AE1379" s="27">
        <v>3</v>
      </c>
      <c r="AF1379" s="27">
        <v>5</v>
      </c>
      <c r="AG1379" s="27">
        <v>4</v>
      </c>
      <c r="AH1379" s="27">
        <v>4</v>
      </c>
      <c r="AI1379" s="28">
        <v>3</v>
      </c>
      <c r="AK1379" s="36">
        <v>1346</v>
      </c>
      <c r="AL1379" s="33">
        <v>16</v>
      </c>
      <c r="AM1379" s="33">
        <v>2</v>
      </c>
      <c r="AN1379" s="33">
        <v>2</v>
      </c>
      <c r="AO1379" s="33">
        <v>0</v>
      </c>
      <c r="AP1379" s="33">
        <v>1</v>
      </c>
      <c r="AQ1379" s="33">
        <v>0</v>
      </c>
      <c r="AR1379" s="33">
        <v>3</v>
      </c>
      <c r="AS1379" s="33">
        <v>3</v>
      </c>
      <c r="AT1379" s="33">
        <v>0</v>
      </c>
      <c r="AU1379" s="43">
        <v>0.41445380897852829</v>
      </c>
      <c r="AV1379" s="33">
        <v>0</v>
      </c>
      <c r="AW1379" s="33">
        <v>0</v>
      </c>
      <c r="AY1379" s="36">
        <v>1351</v>
      </c>
      <c r="AZ1379" s="33">
        <v>2</v>
      </c>
      <c r="BA1379" s="33">
        <v>3</v>
      </c>
      <c r="BB1379" s="33">
        <v>0</v>
      </c>
      <c r="BC1379" s="33">
        <v>0</v>
      </c>
      <c r="BD1379" s="43">
        <v>0.11690772887050198</v>
      </c>
      <c r="BE1379" s="33">
        <v>0</v>
      </c>
      <c r="BF1379" s="33">
        <v>0</v>
      </c>
      <c r="CE1379" s="36">
        <v>1345</v>
      </c>
      <c r="CF1379" s="33">
        <v>7</v>
      </c>
      <c r="CG1379" s="33">
        <v>2</v>
      </c>
      <c r="CH1379" s="33">
        <v>1</v>
      </c>
      <c r="CI1379" s="33">
        <v>2</v>
      </c>
      <c r="CJ1379" s="33">
        <v>5</v>
      </c>
      <c r="CK1379" s="33">
        <v>1</v>
      </c>
      <c r="CL1379" s="33">
        <v>1</v>
      </c>
      <c r="CM1379" s="33">
        <v>3</v>
      </c>
      <c r="CN1379" s="33">
        <v>5</v>
      </c>
      <c r="CO1379" s="33">
        <v>0</v>
      </c>
      <c r="CP1379" s="43">
        <v>0.3530007698553897</v>
      </c>
      <c r="CQ1379" s="33">
        <v>0</v>
      </c>
      <c r="CR1379" s="33">
        <v>0</v>
      </c>
    </row>
    <row r="1380" spans="1:96" ht="15" customHeight="1" x14ac:dyDescent="0.25">
      <c r="A1380" s="26">
        <v>1378</v>
      </c>
      <c r="B1380" s="27">
        <v>42</v>
      </c>
      <c r="C1380" s="27">
        <v>0</v>
      </c>
      <c r="D1380" s="27">
        <v>1</v>
      </c>
      <c r="E1380" s="27">
        <v>419</v>
      </c>
      <c r="F1380" s="27">
        <v>1</v>
      </c>
      <c r="G1380" s="27">
        <v>12</v>
      </c>
      <c r="H1380" s="27">
        <v>4</v>
      </c>
      <c r="I1380" s="27">
        <v>4</v>
      </c>
      <c r="J1380" s="27">
        <v>1</v>
      </c>
      <c r="K1380" s="27">
        <v>1943</v>
      </c>
      <c r="L1380" s="27">
        <v>2</v>
      </c>
      <c r="M1380" s="27">
        <v>1</v>
      </c>
      <c r="N1380" s="27">
        <v>77</v>
      </c>
      <c r="O1380" s="27">
        <v>3</v>
      </c>
      <c r="P1380" s="27">
        <v>2</v>
      </c>
      <c r="Q1380" s="27">
        <v>1</v>
      </c>
      <c r="R1380" s="27">
        <v>4</v>
      </c>
      <c r="S1380" s="27">
        <v>3</v>
      </c>
      <c r="T1380" s="27">
        <v>5087</v>
      </c>
      <c r="U1380" s="27">
        <v>2900</v>
      </c>
      <c r="V1380" s="27">
        <v>3</v>
      </c>
      <c r="W1380" s="27">
        <v>1</v>
      </c>
      <c r="X1380" s="27">
        <v>12</v>
      </c>
      <c r="Y1380" s="27">
        <v>3</v>
      </c>
      <c r="Z1380" s="27">
        <v>3</v>
      </c>
      <c r="AA1380" s="27">
        <v>80</v>
      </c>
      <c r="AB1380" s="27">
        <v>2</v>
      </c>
      <c r="AC1380" s="27">
        <v>14</v>
      </c>
      <c r="AD1380" s="27">
        <v>4</v>
      </c>
      <c r="AE1380" s="27">
        <v>3</v>
      </c>
      <c r="AF1380" s="27">
        <v>0</v>
      </c>
      <c r="AG1380" s="27">
        <v>0</v>
      </c>
      <c r="AH1380" s="27">
        <v>0</v>
      </c>
      <c r="AI1380" s="28">
        <v>0</v>
      </c>
      <c r="AK1380" s="36">
        <v>1347</v>
      </c>
      <c r="AL1380" s="33">
        <v>25</v>
      </c>
      <c r="AM1380" s="33">
        <v>2</v>
      </c>
      <c r="AN1380" s="33">
        <v>4</v>
      </c>
      <c r="AO1380" s="33">
        <v>0</v>
      </c>
      <c r="AP1380" s="33">
        <v>0</v>
      </c>
      <c r="AQ1380" s="33">
        <v>2</v>
      </c>
      <c r="AR1380" s="33">
        <v>2</v>
      </c>
      <c r="AS1380" s="33">
        <v>9</v>
      </c>
      <c r="AT1380" s="33">
        <v>3</v>
      </c>
      <c r="AU1380" s="43">
        <v>4.3252362365817157E-2</v>
      </c>
      <c r="AV1380" s="33">
        <v>0</v>
      </c>
      <c r="AW1380" s="33">
        <v>0</v>
      </c>
      <c r="AY1380" s="36">
        <v>1352</v>
      </c>
      <c r="AZ1380" s="33">
        <v>4</v>
      </c>
      <c r="BA1380" s="33">
        <v>4</v>
      </c>
      <c r="BB1380" s="33">
        <v>0</v>
      </c>
      <c r="BC1380" s="33">
        <v>1</v>
      </c>
      <c r="BD1380" s="43">
        <v>1.872698143618769E-2</v>
      </c>
      <c r="BE1380" s="33">
        <v>0</v>
      </c>
      <c r="BF1380" s="33">
        <v>0</v>
      </c>
      <c r="CE1380" s="36">
        <v>1346</v>
      </c>
      <c r="CF1380" s="33">
        <v>16</v>
      </c>
      <c r="CG1380" s="33">
        <v>2</v>
      </c>
      <c r="CH1380" s="33">
        <v>2</v>
      </c>
      <c r="CI1380" s="33">
        <v>2</v>
      </c>
      <c r="CJ1380" s="33">
        <v>0</v>
      </c>
      <c r="CK1380" s="33">
        <v>1</v>
      </c>
      <c r="CL1380" s="33">
        <v>0</v>
      </c>
      <c r="CM1380" s="33">
        <v>3</v>
      </c>
      <c r="CN1380" s="33">
        <v>3</v>
      </c>
      <c r="CO1380" s="33">
        <v>0</v>
      </c>
      <c r="CP1380" s="43">
        <v>0.33727907475844093</v>
      </c>
      <c r="CQ1380" s="33">
        <v>0</v>
      </c>
      <c r="CR1380" s="33">
        <v>0</v>
      </c>
    </row>
    <row r="1381" spans="1:96" ht="15" customHeight="1" x14ac:dyDescent="0.25">
      <c r="A1381" s="26">
        <v>1379</v>
      </c>
      <c r="B1381" s="27">
        <v>27</v>
      </c>
      <c r="C1381" s="27">
        <v>1</v>
      </c>
      <c r="D1381" s="27">
        <v>2</v>
      </c>
      <c r="E1381" s="27">
        <v>1337</v>
      </c>
      <c r="F1381" s="27">
        <v>3</v>
      </c>
      <c r="G1381" s="27">
        <v>22</v>
      </c>
      <c r="H1381" s="27">
        <v>3</v>
      </c>
      <c r="I1381" s="27">
        <v>2</v>
      </c>
      <c r="J1381" s="27">
        <v>1</v>
      </c>
      <c r="K1381" s="27">
        <v>1944</v>
      </c>
      <c r="L1381" s="27">
        <v>1</v>
      </c>
      <c r="M1381" s="27">
        <v>0</v>
      </c>
      <c r="N1381" s="27">
        <v>58</v>
      </c>
      <c r="O1381" s="27">
        <v>2</v>
      </c>
      <c r="P1381" s="27">
        <v>1</v>
      </c>
      <c r="Q1381" s="27">
        <v>9</v>
      </c>
      <c r="R1381" s="27">
        <v>2</v>
      </c>
      <c r="S1381" s="27">
        <v>2</v>
      </c>
      <c r="T1381" s="27">
        <v>2863</v>
      </c>
      <c r="U1381" s="27">
        <v>19555</v>
      </c>
      <c r="V1381" s="27">
        <v>1</v>
      </c>
      <c r="W1381" s="27">
        <v>0</v>
      </c>
      <c r="X1381" s="27">
        <v>12</v>
      </c>
      <c r="Y1381" s="27">
        <v>3</v>
      </c>
      <c r="Z1381" s="27">
        <v>1</v>
      </c>
      <c r="AA1381" s="27">
        <v>80</v>
      </c>
      <c r="AB1381" s="27">
        <v>0</v>
      </c>
      <c r="AC1381" s="27">
        <v>1</v>
      </c>
      <c r="AD1381" s="27">
        <v>2</v>
      </c>
      <c r="AE1381" s="27">
        <v>3</v>
      </c>
      <c r="AF1381" s="27">
        <v>1</v>
      </c>
      <c r="AG1381" s="27">
        <v>0</v>
      </c>
      <c r="AH1381" s="27">
        <v>0</v>
      </c>
      <c r="AI1381" s="28">
        <v>0</v>
      </c>
      <c r="AK1381" s="36">
        <v>1348</v>
      </c>
      <c r="AL1381" s="33">
        <v>2</v>
      </c>
      <c r="AM1381" s="33">
        <v>2</v>
      </c>
      <c r="AN1381" s="33">
        <v>4</v>
      </c>
      <c r="AO1381" s="33">
        <v>1</v>
      </c>
      <c r="AP1381" s="33">
        <v>0</v>
      </c>
      <c r="AQ1381" s="33">
        <v>0</v>
      </c>
      <c r="AR1381" s="33">
        <v>2</v>
      </c>
      <c r="AS1381" s="33">
        <v>10</v>
      </c>
      <c r="AT1381" s="33">
        <v>0</v>
      </c>
      <c r="AU1381" s="43">
        <v>4.4615093513252629E-2</v>
      </c>
      <c r="AV1381" s="33">
        <v>0</v>
      </c>
      <c r="AW1381" s="33">
        <v>0</v>
      </c>
      <c r="AY1381" s="36">
        <v>1353</v>
      </c>
      <c r="AZ1381" s="33">
        <v>2</v>
      </c>
      <c r="BA1381" s="33">
        <v>1</v>
      </c>
      <c r="BB1381" s="33">
        <v>0</v>
      </c>
      <c r="BC1381" s="33">
        <v>1</v>
      </c>
      <c r="BD1381" s="43">
        <v>0.12293502213131684</v>
      </c>
      <c r="BE1381" s="33">
        <v>0</v>
      </c>
      <c r="BF1381" s="33">
        <v>0</v>
      </c>
      <c r="CE1381" s="36">
        <v>1347</v>
      </c>
      <c r="CF1381" s="33">
        <v>25</v>
      </c>
      <c r="CG1381" s="33">
        <v>2</v>
      </c>
      <c r="CH1381" s="33">
        <v>4</v>
      </c>
      <c r="CI1381" s="33">
        <v>2</v>
      </c>
      <c r="CJ1381" s="33">
        <v>0</v>
      </c>
      <c r="CK1381" s="33">
        <v>0</v>
      </c>
      <c r="CL1381" s="33">
        <v>2</v>
      </c>
      <c r="CM1381" s="33">
        <v>2</v>
      </c>
      <c r="CN1381" s="33">
        <v>9</v>
      </c>
      <c r="CO1381" s="33">
        <v>3</v>
      </c>
      <c r="CP1381" s="43">
        <v>5.753992162028948E-2</v>
      </c>
      <c r="CQ1381" s="33">
        <v>0</v>
      </c>
      <c r="CR1381" s="33">
        <v>0</v>
      </c>
    </row>
    <row r="1382" spans="1:96" ht="15" customHeight="1" x14ac:dyDescent="0.25">
      <c r="A1382" s="26">
        <v>1380</v>
      </c>
      <c r="B1382" s="27">
        <v>35</v>
      </c>
      <c r="C1382" s="27">
        <v>0</v>
      </c>
      <c r="D1382" s="27">
        <v>1</v>
      </c>
      <c r="E1382" s="27">
        <v>682</v>
      </c>
      <c r="F1382" s="27">
        <v>1</v>
      </c>
      <c r="G1382" s="27">
        <v>18</v>
      </c>
      <c r="H1382" s="27">
        <v>4</v>
      </c>
      <c r="I1382" s="27">
        <v>3</v>
      </c>
      <c r="J1382" s="27">
        <v>1</v>
      </c>
      <c r="K1382" s="27">
        <v>1945</v>
      </c>
      <c r="L1382" s="27">
        <v>2</v>
      </c>
      <c r="M1382" s="27">
        <v>1</v>
      </c>
      <c r="N1382" s="27">
        <v>71</v>
      </c>
      <c r="O1382" s="27">
        <v>3</v>
      </c>
      <c r="P1382" s="27">
        <v>2</v>
      </c>
      <c r="Q1382" s="27">
        <v>1</v>
      </c>
      <c r="R1382" s="27">
        <v>1</v>
      </c>
      <c r="S1382" s="27">
        <v>2</v>
      </c>
      <c r="T1382" s="27">
        <v>5561</v>
      </c>
      <c r="U1382" s="27">
        <v>15975</v>
      </c>
      <c r="V1382" s="27">
        <v>0</v>
      </c>
      <c r="W1382" s="27">
        <v>0</v>
      </c>
      <c r="X1382" s="27">
        <v>16</v>
      </c>
      <c r="Y1382" s="27">
        <v>3</v>
      </c>
      <c r="Z1382" s="27">
        <v>4</v>
      </c>
      <c r="AA1382" s="27">
        <v>80</v>
      </c>
      <c r="AB1382" s="27">
        <v>1</v>
      </c>
      <c r="AC1382" s="27">
        <v>6</v>
      </c>
      <c r="AD1382" s="27">
        <v>2</v>
      </c>
      <c r="AE1382" s="27">
        <v>1</v>
      </c>
      <c r="AF1382" s="27">
        <v>5</v>
      </c>
      <c r="AG1382" s="27">
        <v>3</v>
      </c>
      <c r="AH1382" s="27">
        <v>0</v>
      </c>
      <c r="AI1382" s="28">
        <v>4</v>
      </c>
      <c r="AK1382" s="36">
        <v>1349</v>
      </c>
      <c r="AL1382" s="33">
        <v>1</v>
      </c>
      <c r="AM1382" s="33">
        <v>4</v>
      </c>
      <c r="AN1382" s="33">
        <v>1</v>
      </c>
      <c r="AO1382" s="33">
        <v>2</v>
      </c>
      <c r="AP1382" s="33">
        <v>0</v>
      </c>
      <c r="AQ1382" s="33">
        <v>1</v>
      </c>
      <c r="AR1382" s="33">
        <v>3</v>
      </c>
      <c r="AS1382" s="33">
        <v>19</v>
      </c>
      <c r="AT1382" s="33">
        <v>11</v>
      </c>
      <c r="AU1382" s="43">
        <v>3.0992119275971342E-2</v>
      </c>
      <c r="AV1382" s="33">
        <v>0</v>
      </c>
      <c r="AW1382" s="33">
        <v>0</v>
      </c>
      <c r="AY1382" s="36">
        <v>1354</v>
      </c>
      <c r="AZ1382" s="33">
        <v>1</v>
      </c>
      <c r="BA1382" s="33">
        <v>1</v>
      </c>
      <c r="BB1382" s="33">
        <v>1</v>
      </c>
      <c r="BC1382" s="33">
        <v>1</v>
      </c>
      <c r="BD1382" s="43">
        <v>0.51155121875600029</v>
      </c>
      <c r="BE1382" s="33">
        <v>1</v>
      </c>
      <c r="BF1382" s="33">
        <v>1</v>
      </c>
      <c r="CE1382" s="36">
        <v>1348</v>
      </c>
      <c r="CF1382" s="33">
        <v>2</v>
      </c>
      <c r="CG1382" s="33">
        <v>2</v>
      </c>
      <c r="CH1382" s="33">
        <v>4</v>
      </c>
      <c r="CI1382" s="33">
        <v>1</v>
      </c>
      <c r="CJ1382" s="33">
        <v>1</v>
      </c>
      <c r="CK1382" s="33">
        <v>0</v>
      </c>
      <c r="CL1382" s="33">
        <v>0</v>
      </c>
      <c r="CM1382" s="33">
        <v>2</v>
      </c>
      <c r="CN1382" s="33">
        <v>10</v>
      </c>
      <c r="CO1382" s="33">
        <v>0</v>
      </c>
      <c r="CP1382" s="43">
        <v>5.2247307373551606E-2</v>
      </c>
      <c r="CQ1382" s="33">
        <v>0</v>
      </c>
      <c r="CR1382" s="33">
        <v>0</v>
      </c>
    </row>
    <row r="1383" spans="1:96" ht="15" customHeight="1" x14ac:dyDescent="0.25">
      <c r="A1383" s="26">
        <v>1381</v>
      </c>
      <c r="B1383" s="27">
        <v>28</v>
      </c>
      <c r="C1383" s="27">
        <v>0</v>
      </c>
      <c r="D1383" s="27">
        <v>3</v>
      </c>
      <c r="E1383" s="27">
        <v>1103</v>
      </c>
      <c r="F1383" s="27">
        <v>2</v>
      </c>
      <c r="G1383" s="27">
        <v>16</v>
      </c>
      <c r="H1383" s="27">
        <v>3</v>
      </c>
      <c r="I1383" s="27">
        <v>3</v>
      </c>
      <c r="J1383" s="27">
        <v>1</v>
      </c>
      <c r="K1383" s="27">
        <v>1947</v>
      </c>
      <c r="L1383" s="27">
        <v>3</v>
      </c>
      <c r="M1383" s="27">
        <v>1</v>
      </c>
      <c r="N1383" s="27">
        <v>49</v>
      </c>
      <c r="O1383" s="27">
        <v>3</v>
      </c>
      <c r="P1383" s="27">
        <v>1</v>
      </c>
      <c r="Q1383" s="27">
        <v>2</v>
      </c>
      <c r="R1383" s="27">
        <v>3</v>
      </c>
      <c r="S1383" s="27">
        <v>1</v>
      </c>
      <c r="T1383" s="27">
        <v>2144</v>
      </c>
      <c r="U1383" s="27">
        <v>2122</v>
      </c>
      <c r="V1383" s="27">
        <v>1</v>
      </c>
      <c r="W1383" s="27">
        <v>0</v>
      </c>
      <c r="X1383" s="27">
        <v>14</v>
      </c>
      <c r="Y1383" s="27">
        <v>3</v>
      </c>
      <c r="Z1383" s="27">
        <v>3</v>
      </c>
      <c r="AA1383" s="27">
        <v>80</v>
      </c>
      <c r="AB1383" s="27">
        <v>0</v>
      </c>
      <c r="AC1383" s="27">
        <v>5</v>
      </c>
      <c r="AD1383" s="27">
        <v>3</v>
      </c>
      <c r="AE1383" s="27">
        <v>2</v>
      </c>
      <c r="AF1383" s="27">
        <v>5</v>
      </c>
      <c r="AG1383" s="27">
        <v>3</v>
      </c>
      <c r="AH1383" s="27">
        <v>1</v>
      </c>
      <c r="AI1383" s="28">
        <v>4</v>
      </c>
      <c r="AK1383" s="36">
        <v>1350</v>
      </c>
      <c r="AL1383" s="33">
        <v>1</v>
      </c>
      <c r="AM1383" s="33">
        <v>1</v>
      </c>
      <c r="AN1383" s="33">
        <v>3</v>
      </c>
      <c r="AO1383" s="33">
        <v>1</v>
      </c>
      <c r="AP1383" s="33">
        <v>1</v>
      </c>
      <c r="AQ1383" s="33">
        <v>1</v>
      </c>
      <c r="AR1383" s="33">
        <v>2</v>
      </c>
      <c r="AS1383" s="33">
        <v>1</v>
      </c>
      <c r="AT1383" s="33">
        <v>1</v>
      </c>
      <c r="AU1383" s="43">
        <v>0.35810229373389602</v>
      </c>
      <c r="AV1383" s="33">
        <v>0</v>
      </c>
      <c r="AW1383" s="33">
        <v>0</v>
      </c>
      <c r="AY1383" s="36">
        <v>1355</v>
      </c>
      <c r="AZ1383" s="33">
        <v>1</v>
      </c>
      <c r="BA1383" s="33">
        <v>4</v>
      </c>
      <c r="BB1383" s="33">
        <v>0</v>
      </c>
      <c r="BC1383" s="33">
        <v>0</v>
      </c>
      <c r="BD1383" s="43">
        <v>0.1472907617042678</v>
      </c>
      <c r="BE1383" s="33">
        <v>0</v>
      </c>
      <c r="BF1383" s="33">
        <v>1</v>
      </c>
      <c r="CE1383" s="36">
        <v>1349</v>
      </c>
      <c r="CF1383" s="33">
        <v>1</v>
      </c>
      <c r="CG1383" s="33">
        <v>4</v>
      </c>
      <c r="CH1383" s="33">
        <v>1</v>
      </c>
      <c r="CI1383" s="33">
        <v>3</v>
      </c>
      <c r="CJ1383" s="33">
        <v>2</v>
      </c>
      <c r="CK1383" s="33">
        <v>0</v>
      </c>
      <c r="CL1383" s="33">
        <v>1</v>
      </c>
      <c r="CM1383" s="33">
        <v>3</v>
      </c>
      <c r="CN1383" s="33">
        <v>19</v>
      </c>
      <c r="CO1383" s="33">
        <v>11</v>
      </c>
      <c r="CP1383" s="43">
        <v>1.8903843521401117E-2</v>
      </c>
      <c r="CQ1383" s="33">
        <v>0</v>
      </c>
      <c r="CR1383" s="33">
        <v>0</v>
      </c>
    </row>
    <row r="1384" spans="1:96" ht="15" customHeight="1" x14ac:dyDescent="0.25">
      <c r="A1384" s="26">
        <v>1382</v>
      </c>
      <c r="B1384" s="27">
        <v>31</v>
      </c>
      <c r="C1384" s="27">
        <v>0</v>
      </c>
      <c r="D1384" s="27">
        <v>3</v>
      </c>
      <c r="E1384" s="27">
        <v>976</v>
      </c>
      <c r="F1384" s="27">
        <v>2</v>
      </c>
      <c r="G1384" s="27">
        <v>3</v>
      </c>
      <c r="H1384" s="27">
        <v>2</v>
      </c>
      <c r="I1384" s="27">
        <v>3</v>
      </c>
      <c r="J1384" s="27">
        <v>1</v>
      </c>
      <c r="K1384" s="27">
        <v>1948</v>
      </c>
      <c r="L1384" s="27">
        <v>3</v>
      </c>
      <c r="M1384" s="27">
        <v>1</v>
      </c>
      <c r="N1384" s="27">
        <v>48</v>
      </c>
      <c r="O1384" s="27">
        <v>3</v>
      </c>
      <c r="P1384" s="27">
        <v>1</v>
      </c>
      <c r="Q1384" s="27">
        <v>2</v>
      </c>
      <c r="R1384" s="27">
        <v>1</v>
      </c>
      <c r="S1384" s="27">
        <v>3</v>
      </c>
      <c r="T1384" s="27">
        <v>3065</v>
      </c>
      <c r="U1384" s="27">
        <v>3995</v>
      </c>
      <c r="V1384" s="27">
        <v>1</v>
      </c>
      <c r="W1384" s="27">
        <v>1</v>
      </c>
      <c r="X1384" s="27">
        <v>13</v>
      </c>
      <c r="Y1384" s="27">
        <v>3</v>
      </c>
      <c r="Z1384" s="27">
        <v>4</v>
      </c>
      <c r="AA1384" s="27">
        <v>80</v>
      </c>
      <c r="AB1384" s="27">
        <v>1</v>
      </c>
      <c r="AC1384" s="27">
        <v>4</v>
      </c>
      <c r="AD1384" s="27">
        <v>3</v>
      </c>
      <c r="AE1384" s="27">
        <v>4</v>
      </c>
      <c r="AF1384" s="27">
        <v>4</v>
      </c>
      <c r="AG1384" s="27">
        <v>2</v>
      </c>
      <c r="AH1384" s="27">
        <v>2</v>
      </c>
      <c r="AI1384" s="28">
        <v>3</v>
      </c>
      <c r="AK1384" s="36">
        <v>1351</v>
      </c>
      <c r="AL1384" s="33">
        <v>2</v>
      </c>
      <c r="AM1384" s="33">
        <v>2</v>
      </c>
      <c r="AN1384" s="33">
        <v>3</v>
      </c>
      <c r="AO1384" s="33">
        <v>0</v>
      </c>
      <c r="AP1384" s="33">
        <v>0</v>
      </c>
      <c r="AQ1384" s="33">
        <v>0</v>
      </c>
      <c r="AR1384" s="33">
        <v>2</v>
      </c>
      <c r="AS1384" s="33">
        <v>8</v>
      </c>
      <c r="AT1384" s="33">
        <v>0</v>
      </c>
      <c r="AU1384" s="43">
        <v>6.2281125920242791E-2</v>
      </c>
      <c r="AV1384" s="33">
        <v>0</v>
      </c>
      <c r="AW1384" s="33">
        <v>0</v>
      </c>
      <c r="AY1384" s="36">
        <v>1356</v>
      </c>
      <c r="AZ1384" s="33">
        <v>2</v>
      </c>
      <c r="BA1384" s="33">
        <v>2</v>
      </c>
      <c r="BB1384" s="33">
        <v>0</v>
      </c>
      <c r="BC1384" s="33">
        <v>2</v>
      </c>
      <c r="BD1384" s="43">
        <v>5.8143431646637607E-2</v>
      </c>
      <c r="BE1384" s="33">
        <v>0</v>
      </c>
      <c r="BF1384" s="33">
        <v>0</v>
      </c>
      <c r="CE1384" s="36">
        <v>1350</v>
      </c>
      <c r="CF1384" s="33">
        <v>1</v>
      </c>
      <c r="CG1384" s="33">
        <v>1</v>
      </c>
      <c r="CH1384" s="33">
        <v>3</v>
      </c>
      <c r="CI1384" s="33">
        <v>2</v>
      </c>
      <c r="CJ1384" s="33">
        <v>1</v>
      </c>
      <c r="CK1384" s="33">
        <v>1</v>
      </c>
      <c r="CL1384" s="33">
        <v>1</v>
      </c>
      <c r="CM1384" s="33">
        <v>2</v>
      </c>
      <c r="CN1384" s="33">
        <v>1</v>
      </c>
      <c r="CO1384" s="33">
        <v>1</v>
      </c>
      <c r="CP1384" s="43">
        <v>0.36062943047460716</v>
      </c>
      <c r="CQ1384" s="33">
        <v>0</v>
      </c>
      <c r="CR1384" s="33">
        <v>0</v>
      </c>
    </row>
    <row r="1385" spans="1:96" ht="15" customHeight="1" x14ac:dyDescent="0.25">
      <c r="A1385" s="26">
        <v>1383</v>
      </c>
      <c r="B1385" s="27">
        <v>36</v>
      </c>
      <c r="C1385" s="27">
        <v>0</v>
      </c>
      <c r="D1385" s="27">
        <v>3</v>
      </c>
      <c r="E1385" s="27">
        <v>1351</v>
      </c>
      <c r="F1385" s="27">
        <v>2</v>
      </c>
      <c r="G1385" s="27">
        <v>9</v>
      </c>
      <c r="H1385" s="27">
        <v>4</v>
      </c>
      <c r="I1385" s="27">
        <v>1</v>
      </c>
      <c r="J1385" s="27">
        <v>1</v>
      </c>
      <c r="K1385" s="27">
        <v>1949</v>
      </c>
      <c r="L1385" s="27">
        <v>1</v>
      </c>
      <c r="M1385" s="27">
        <v>1</v>
      </c>
      <c r="N1385" s="27">
        <v>66</v>
      </c>
      <c r="O1385" s="27">
        <v>4</v>
      </c>
      <c r="P1385" s="27">
        <v>1</v>
      </c>
      <c r="Q1385" s="27">
        <v>3</v>
      </c>
      <c r="R1385" s="27">
        <v>2</v>
      </c>
      <c r="S1385" s="27">
        <v>2</v>
      </c>
      <c r="T1385" s="27">
        <v>2810</v>
      </c>
      <c r="U1385" s="27">
        <v>9238</v>
      </c>
      <c r="V1385" s="27">
        <v>1</v>
      </c>
      <c r="W1385" s="27">
        <v>0</v>
      </c>
      <c r="X1385" s="27">
        <v>22</v>
      </c>
      <c r="Y1385" s="27">
        <v>4</v>
      </c>
      <c r="Z1385" s="27">
        <v>2</v>
      </c>
      <c r="AA1385" s="27">
        <v>80</v>
      </c>
      <c r="AB1385" s="27">
        <v>0</v>
      </c>
      <c r="AC1385" s="27">
        <v>5</v>
      </c>
      <c r="AD1385" s="27">
        <v>3</v>
      </c>
      <c r="AE1385" s="27">
        <v>3</v>
      </c>
      <c r="AF1385" s="27">
        <v>5</v>
      </c>
      <c r="AG1385" s="27">
        <v>4</v>
      </c>
      <c r="AH1385" s="27">
        <v>0</v>
      </c>
      <c r="AI1385" s="28">
        <v>2</v>
      </c>
      <c r="AK1385" s="36">
        <v>1352</v>
      </c>
      <c r="AL1385" s="33">
        <v>22</v>
      </c>
      <c r="AM1385" s="33">
        <v>4</v>
      </c>
      <c r="AN1385" s="33">
        <v>4</v>
      </c>
      <c r="AO1385" s="33">
        <v>3</v>
      </c>
      <c r="AP1385" s="33">
        <v>0</v>
      </c>
      <c r="AQ1385" s="33">
        <v>1</v>
      </c>
      <c r="AR1385" s="33">
        <v>3</v>
      </c>
      <c r="AS1385" s="33">
        <v>22</v>
      </c>
      <c r="AT1385" s="33">
        <v>4</v>
      </c>
      <c r="AU1385" s="43">
        <v>1.0581246599515502E-2</v>
      </c>
      <c r="AV1385" s="33">
        <v>0</v>
      </c>
      <c r="AW1385" s="33">
        <v>0</v>
      </c>
      <c r="AY1385" s="36">
        <v>1357</v>
      </c>
      <c r="AZ1385" s="33">
        <v>2</v>
      </c>
      <c r="BA1385" s="33">
        <v>2</v>
      </c>
      <c r="BB1385" s="33">
        <v>0</v>
      </c>
      <c r="BC1385" s="33">
        <v>1</v>
      </c>
      <c r="BD1385" s="43">
        <v>9.4721355311452843E-2</v>
      </c>
      <c r="BE1385" s="33">
        <v>0</v>
      </c>
      <c r="BF1385" s="33">
        <v>0</v>
      </c>
      <c r="CE1385" s="36">
        <v>1351</v>
      </c>
      <c r="CF1385" s="33">
        <v>2</v>
      </c>
      <c r="CG1385" s="33">
        <v>2</v>
      </c>
      <c r="CH1385" s="33">
        <v>3</v>
      </c>
      <c r="CI1385" s="33">
        <v>1</v>
      </c>
      <c r="CJ1385" s="33">
        <v>0</v>
      </c>
      <c r="CK1385" s="33">
        <v>0</v>
      </c>
      <c r="CL1385" s="33">
        <v>0</v>
      </c>
      <c r="CM1385" s="33">
        <v>2</v>
      </c>
      <c r="CN1385" s="33">
        <v>8</v>
      </c>
      <c r="CO1385" s="33">
        <v>0</v>
      </c>
      <c r="CP1385" s="43">
        <v>7.3917641179867877E-2</v>
      </c>
      <c r="CQ1385" s="33">
        <v>0</v>
      </c>
      <c r="CR1385" s="33">
        <v>0</v>
      </c>
    </row>
    <row r="1386" spans="1:96" ht="15" customHeight="1" x14ac:dyDescent="0.25">
      <c r="A1386" s="26">
        <v>1384</v>
      </c>
      <c r="B1386" s="27">
        <v>34</v>
      </c>
      <c r="C1386" s="27">
        <v>0</v>
      </c>
      <c r="D1386" s="27">
        <v>1</v>
      </c>
      <c r="E1386" s="27">
        <v>937</v>
      </c>
      <c r="F1386" s="27">
        <v>1</v>
      </c>
      <c r="G1386" s="27">
        <v>1</v>
      </c>
      <c r="H1386" s="27">
        <v>3</v>
      </c>
      <c r="I1386" s="27">
        <v>4</v>
      </c>
      <c r="J1386" s="27">
        <v>1</v>
      </c>
      <c r="K1386" s="27">
        <v>1950</v>
      </c>
      <c r="L1386" s="27">
        <v>1</v>
      </c>
      <c r="M1386" s="27">
        <v>1</v>
      </c>
      <c r="N1386" s="27">
        <v>32</v>
      </c>
      <c r="O1386" s="27">
        <v>3</v>
      </c>
      <c r="P1386" s="27">
        <v>3</v>
      </c>
      <c r="Q1386" s="27">
        <v>1</v>
      </c>
      <c r="R1386" s="27">
        <v>4</v>
      </c>
      <c r="S1386" s="27">
        <v>1</v>
      </c>
      <c r="T1386" s="27">
        <v>9888</v>
      </c>
      <c r="U1386" s="27">
        <v>6770</v>
      </c>
      <c r="V1386" s="27">
        <v>1</v>
      </c>
      <c r="W1386" s="27">
        <v>0</v>
      </c>
      <c r="X1386" s="27">
        <v>21</v>
      </c>
      <c r="Y1386" s="27">
        <v>4</v>
      </c>
      <c r="Z1386" s="27">
        <v>1</v>
      </c>
      <c r="AA1386" s="27">
        <v>80</v>
      </c>
      <c r="AB1386" s="27">
        <v>0</v>
      </c>
      <c r="AC1386" s="27">
        <v>14</v>
      </c>
      <c r="AD1386" s="27">
        <v>3</v>
      </c>
      <c r="AE1386" s="27">
        <v>2</v>
      </c>
      <c r="AF1386" s="27">
        <v>14</v>
      </c>
      <c r="AG1386" s="27">
        <v>8</v>
      </c>
      <c r="AH1386" s="27">
        <v>2</v>
      </c>
      <c r="AI1386" s="28">
        <v>1</v>
      </c>
      <c r="AK1386" s="36">
        <v>1353</v>
      </c>
      <c r="AL1386" s="33">
        <v>1</v>
      </c>
      <c r="AM1386" s="33">
        <v>2</v>
      </c>
      <c r="AN1386" s="33">
        <v>1</v>
      </c>
      <c r="AO1386" s="33">
        <v>2</v>
      </c>
      <c r="AP1386" s="33">
        <v>0</v>
      </c>
      <c r="AQ1386" s="33">
        <v>1</v>
      </c>
      <c r="AR1386" s="33">
        <v>3</v>
      </c>
      <c r="AS1386" s="33">
        <v>2</v>
      </c>
      <c r="AT1386" s="33">
        <v>2</v>
      </c>
      <c r="AU1386" s="43">
        <v>0.10586140214955413</v>
      </c>
      <c r="AV1386" s="33">
        <v>0</v>
      </c>
      <c r="AW1386" s="33">
        <v>0</v>
      </c>
      <c r="AY1386" s="36">
        <v>1358</v>
      </c>
      <c r="AZ1386" s="33">
        <v>3</v>
      </c>
      <c r="BA1386" s="33">
        <v>1</v>
      </c>
      <c r="BB1386" s="33">
        <v>0</v>
      </c>
      <c r="BC1386" s="33">
        <v>1</v>
      </c>
      <c r="BD1386" s="43">
        <v>7.4238208059117641E-2</v>
      </c>
      <c r="BE1386" s="33">
        <v>0</v>
      </c>
      <c r="BF1386" s="33">
        <v>0</v>
      </c>
      <c r="CE1386" s="36">
        <v>1352</v>
      </c>
      <c r="CF1386" s="33">
        <v>22</v>
      </c>
      <c r="CG1386" s="33">
        <v>4</v>
      </c>
      <c r="CH1386" s="33">
        <v>4</v>
      </c>
      <c r="CI1386" s="33">
        <v>3</v>
      </c>
      <c r="CJ1386" s="33">
        <v>3</v>
      </c>
      <c r="CK1386" s="33">
        <v>0</v>
      </c>
      <c r="CL1386" s="33">
        <v>1</v>
      </c>
      <c r="CM1386" s="33">
        <v>3</v>
      </c>
      <c r="CN1386" s="33">
        <v>22</v>
      </c>
      <c r="CO1386" s="33">
        <v>4</v>
      </c>
      <c r="CP1386" s="43">
        <v>5.8963545549274542E-3</v>
      </c>
      <c r="CQ1386" s="33">
        <v>0</v>
      </c>
      <c r="CR1386" s="33">
        <v>0</v>
      </c>
    </row>
    <row r="1387" spans="1:96" ht="15" customHeight="1" x14ac:dyDescent="0.25">
      <c r="A1387" s="26">
        <v>1385</v>
      </c>
      <c r="B1387" s="27">
        <v>34</v>
      </c>
      <c r="C1387" s="27">
        <v>0</v>
      </c>
      <c r="D1387" s="27">
        <v>1</v>
      </c>
      <c r="E1387" s="27">
        <v>1239</v>
      </c>
      <c r="F1387" s="27">
        <v>1</v>
      </c>
      <c r="G1387" s="27">
        <v>13</v>
      </c>
      <c r="H1387" s="27">
        <v>4</v>
      </c>
      <c r="I1387" s="27">
        <v>3</v>
      </c>
      <c r="J1387" s="27">
        <v>1</v>
      </c>
      <c r="K1387" s="27">
        <v>1951</v>
      </c>
      <c r="L1387" s="27">
        <v>4</v>
      </c>
      <c r="M1387" s="27">
        <v>1</v>
      </c>
      <c r="N1387" s="27">
        <v>39</v>
      </c>
      <c r="O1387" s="27">
        <v>3</v>
      </c>
      <c r="P1387" s="27">
        <v>3</v>
      </c>
      <c r="Q1387" s="27">
        <v>1</v>
      </c>
      <c r="R1387" s="27">
        <v>3</v>
      </c>
      <c r="S1387" s="27">
        <v>3</v>
      </c>
      <c r="T1387" s="27">
        <v>8628</v>
      </c>
      <c r="U1387" s="27">
        <v>22914</v>
      </c>
      <c r="V1387" s="27">
        <v>1</v>
      </c>
      <c r="W1387" s="27">
        <v>0</v>
      </c>
      <c r="X1387" s="27">
        <v>18</v>
      </c>
      <c r="Y1387" s="27">
        <v>3</v>
      </c>
      <c r="Z1387" s="27">
        <v>3</v>
      </c>
      <c r="AA1387" s="27">
        <v>80</v>
      </c>
      <c r="AB1387" s="27">
        <v>1</v>
      </c>
      <c r="AC1387" s="27">
        <v>9</v>
      </c>
      <c r="AD1387" s="27">
        <v>2</v>
      </c>
      <c r="AE1387" s="27">
        <v>2</v>
      </c>
      <c r="AF1387" s="27">
        <v>8</v>
      </c>
      <c r="AG1387" s="27">
        <v>7</v>
      </c>
      <c r="AH1387" s="27">
        <v>1</v>
      </c>
      <c r="AI1387" s="28">
        <v>1</v>
      </c>
      <c r="AK1387" s="36">
        <v>1354</v>
      </c>
      <c r="AL1387" s="33">
        <v>16</v>
      </c>
      <c r="AM1387" s="33">
        <v>1</v>
      </c>
      <c r="AN1387" s="33">
        <v>1</v>
      </c>
      <c r="AO1387" s="33">
        <v>1</v>
      </c>
      <c r="AP1387" s="33">
        <v>1</v>
      </c>
      <c r="AQ1387" s="33">
        <v>1</v>
      </c>
      <c r="AR1387" s="33">
        <v>3</v>
      </c>
      <c r="AS1387" s="33">
        <v>5</v>
      </c>
      <c r="AT1387" s="33">
        <v>3</v>
      </c>
      <c r="AU1387" s="43">
        <v>0.55248740265173502</v>
      </c>
      <c r="AV1387" s="33">
        <v>1</v>
      </c>
      <c r="AW1387" s="33">
        <v>1</v>
      </c>
      <c r="AY1387" s="36">
        <v>1359</v>
      </c>
      <c r="AZ1387" s="33">
        <v>2</v>
      </c>
      <c r="BA1387" s="33">
        <v>4</v>
      </c>
      <c r="BB1387" s="33">
        <v>1</v>
      </c>
      <c r="BC1387" s="33">
        <v>1</v>
      </c>
      <c r="BD1387" s="43">
        <v>0.19951405628110813</v>
      </c>
      <c r="BE1387" s="33">
        <v>0</v>
      </c>
      <c r="BF1387" s="33">
        <v>0</v>
      </c>
      <c r="CE1387" s="36">
        <v>1353</v>
      </c>
      <c r="CF1387" s="33">
        <v>1</v>
      </c>
      <c r="CG1387" s="33">
        <v>2</v>
      </c>
      <c r="CH1387" s="33">
        <v>1</v>
      </c>
      <c r="CI1387" s="33">
        <v>2</v>
      </c>
      <c r="CJ1387" s="33">
        <v>2</v>
      </c>
      <c r="CK1387" s="33">
        <v>0</v>
      </c>
      <c r="CL1387" s="33">
        <v>1</v>
      </c>
      <c r="CM1387" s="33">
        <v>3</v>
      </c>
      <c r="CN1387" s="33">
        <v>2</v>
      </c>
      <c r="CO1387" s="33">
        <v>2</v>
      </c>
      <c r="CP1387" s="43">
        <v>0.10647205113177116</v>
      </c>
      <c r="CQ1387" s="33">
        <v>0</v>
      </c>
      <c r="CR1387" s="33">
        <v>0</v>
      </c>
    </row>
    <row r="1388" spans="1:96" ht="15" customHeight="1" x14ac:dyDescent="0.25">
      <c r="A1388" s="26">
        <v>1386</v>
      </c>
      <c r="B1388" s="27">
        <v>26</v>
      </c>
      <c r="C1388" s="27">
        <v>0</v>
      </c>
      <c r="D1388" s="27">
        <v>1</v>
      </c>
      <c r="E1388" s="27">
        <v>157</v>
      </c>
      <c r="F1388" s="27">
        <v>2</v>
      </c>
      <c r="G1388" s="27">
        <v>1</v>
      </c>
      <c r="H1388" s="27">
        <v>3</v>
      </c>
      <c r="I1388" s="27">
        <v>3</v>
      </c>
      <c r="J1388" s="27">
        <v>1</v>
      </c>
      <c r="K1388" s="27">
        <v>1952</v>
      </c>
      <c r="L1388" s="27">
        <v>3</v>
      </c>
      <c r="M1388" s="27">
        <v>1</v>
      </c>
      <c r="N1388" s="27">
        <v>95</v>
      </c>
      <c r="O1388" s="27">
        <v>3</v>
      </c>
      <c r="P1388" s="27">
        <v>1</v>
      </c>
      <c r="Q1388" s="27">
        <v>3</v>
      </c>
      <c r="R1388" s="27">
        <v>1</v>
      </c>
      <c r="S1388" s="27">
        <v>1</v>
      </c>
      <c r="T1388" s="27">
        <v>2867</v>
      </c>
      <c r="U1388" s="27">
        <v>20006</v>
      </c>
      <c r="V1388" s="27">
        <v>0</v>
      </c>
      <c r="W1388" s="27">
        <v>0</v>
      </c>
      <c r="X1388" s="27">
        <v>13</v>
      </c>
      <c r="Y1388" s="27">
        <v>3</v>
      </c>
      <c r="Z1388" s="27">
        <v>4</v>
      </c>
      <c r="AA1388" s="27">
        <v>80</v>
      </c>
      <c r="AB1388" s="27">
        <v>0</v>
      </c>
      <c r="AC1388" s="27">
        <v>8</v>
      </c>
      <c r="AD1388" s="27">
        <v>6</v>
      </c>
      <c r="AE1388" s="27">
        <v>2</v>
      </c>
      <c r="AF1388" s="27">
        <v>7</v>
      </c>
      <c r="AG1388" s="27">
        <v>7</v>
      </c>
      <c r="AH1388" s="27">
        <v>7</v>
      </c>
      <c r="AI1388" s="28">
        <v>6</v>
      </c>
      <c r="AK1388" s="36">
        <v>1355</v>
      </c>
      <c r="AL1388" s="33">
        <v>24</v>
      </c>
      <c r="AM1388" s="33">
        <v>1</v>
      </c>
      <c r="AN1388" s="33">
        <v>4</v>
      </c>
      <c r="AO1388" s="33">
        <v>1</v>
      </c>
      <c r="AP1388" s="33">
        <v>0</v>
      </c>
      <c r="AQ1388" s="33">
        <v>0</v>
      </c>
      <c r="AR1388" s="33">
        <v>3</v>
      </c>
      <c r="AS1388" s="33">
        <v>4</v>
      </c>
      <c r="AT1388" s="33">
        <v>1</v>
      </c>
      <c r="AU1388" s="43">
        <v>0.18861751981780961</v>
      </c>
      <c r="AV1388" s="33">
        <v>0</v>
      </c>
      <c r="AW1388" s="33">
        <v>1</v>
      </c>
      <c r="AY1388" s="36">
        <v>1360</v>
      </c>
      <c r="AZ1388" s="33">
        <v>2</v>
      </c>
      <c r="BA1388" s="33">
        <v>4</v>
      </c>
      <c r="BB1388" s="33">
        <v>1</v>
      </c>
      <c r="BC1388" s="33">
        <v>0</v>
      </c>
      <c r="BD1388" s="43">
        <v>0.29698480921718856</v>
      </c>
      <c r="BE1388" s="33">
        <v>0</v>
      </c>
      <c r="BF1388" s="33">
        <v>0</v>
      </c>
      <c r="CE1388" s="36">
        <v>1354</v>
      </c>
      <c r="CF1388" s="33">
        <v>16</v>
      </c>
      <c r="CG1388" s="33">
        <v>1</v>
      </c>
      <c r="CH1388" s="33">
        <v>1</v>
      </c>
      <c r="CI1388" s="33">
        <v>2</v>
      </c>
      <c r="CJ1388" s="33">
        <v>1</v>
      </c>
      <c r="CK1388" s="33">
        <v>1</v>
      </c>
      <c r="CL1388" s="33">
        <v>1</v>
      </c>
      <c r="CM1388" s="33">
        <v>3</v>
      </c>
      <c r="CN1388" s="33">
        <v>5</v>
      </c>
      <c r="CO1388" s="33">
        <v>3</v>
      </c>
      <c r="CP1388" s="43">
        <v>0.56003439004062072</v>
      </c>
      <c r="CQ1388" s="33">
        <v>1</v>
      </c>
      <c r="CR1388" s="33">
        <v>1</v>
      </c>
    </row>
    <row r="1389" spans="1:96" ht="15" customHeight="1" x14ac:dyDescent="0.25">
      <c r="A1389" s="26">
        <v>1387</v>
      </c>
      <c r="B1389" s="27">
        <v>29</v>
      </c>
      <c r="C1389" s="27">
        <v>0</v>
      </c>
      <c r="D1389" s="27">
        <v>1</v>
      </c>
      <c r="E1389" s="27">
        <v>136</v>
      </c>
      <c r="F1389" s="27">
        <v>2</v>
      </c>
      <c r="G1389" s="27">
        <v>1</v>
      </c>
      <c r="H1389" s="27">
        <v>3</v>
      </c>
      <c r="I1389" s="27">
        <v>1</v>
      </c>
      <c r="J1389" s="27">
        <v>1</v>
      </c>
      <c r="K1389" s="27">
        <v>1954</v>
      </c>
      <c r="L1389" s="27">
        <v>1</v>
      </c>
      <c r="M1389" s="27">
        <v>1</v>
      </c>
      <c r="N1389" s="27">
        <v>89</v>
      </c>
      <c r="O1389" s="27">
        <v>3</v>
      </c>
      <c r="P1389" s="27">
        <v>2</v>
      </c>
      <c r="Q1389" s="27">
        <v>5</v>
      </c>
      <c r="R1389" s="27">
        <v>1</v>
      </c>
      <c r="S1389" s="27">
        <v>2</v>
      </c>
      <c r="T1389" s="27">
        <v>5373</v>
      </c>
      <c r="U1389" s="27">
        <v>6225</v>
      </c>
      <c r="V1389" s="27">
        <v>0</v>
      </c>
      <c r="W1389" s="27">
        <v>0</v>
      </c>
      <c r="X1389" s="27">
        <v>12</v>
      </c>
      <c r="Y1389" s="27">
        <v>3</v>
      </c>
      <c r="Z1389" s="27">
        <v>1</v>
      </c>
      <c r="AA1389" s="27">
        <v>80</v>
      </c>
      <c r="AB1389" s="27">
        <v>1</v>
      </c>
      <c r="AC1389" s="27">
        <v>6</v>
      </c>
      <c r="AD1389" s="27">
        <v>5</v>
      </c>
      <c r="AE1389" s="27">
        <v>2</v>
      </c>
      <c r="AF1389" s="27">
        <v>5</v>
      </c>
      <c r="AG1389" s="27">
        <v>3</v>
      </c>
      <c r="AH1389" s="27">
        <v>0</v>
      </c>
      <c r="AI1389" s="28">
        <v>2</v>
      </c>
      <c r="AK1389" s="36">
        <v>1356</v>
      </c>
      <c r="AL1389" s="33">
        <v>17</v>
      </c>
      <c r="AM1389" s="33">
        <v>2</v>
      </c>
      <c r="AN1389" s="33">
        <v>2</v>
      </c>
      <c r="AO1389" s="33">
        <v>2</v>
      </c>
      <c r="AP1389" s="33">
        <v>0</v>
      </c>
      <c r="AQ1389" s="33">
        <v>2</v>
      </c>
      <c r="AR1389" s="33">
        <v>1</v>
      </c>
      <c r="AS1389" s="33">
        <v>4</v>
      </c>
      <c r="AT1389" s="33">
        <v>1</v>
      </c>
      <c r="AU1389" s="43">
        <v>9.5592410218427959E-2</v>
      </c>
      <c r="AV1389" s="33">
        <v>0</v>
      </c>
      <c r="AW1389" s="33">
        <v>0</v>
      </c>
      <c r="AY1389" s="36">
        <v>1361</v>
      </c>
      <c r="AZ1389" s="33">
        <v>1</v>
      </c>
      <c r="BA1389" s="33">
        <v>3</v>
      </c>
      <c r="BB1389" s="33">
        <v>0</v>
      </c>
      <c r="BC1389" s="33">
        <v>1</v>
      </c>
      <c r="BD1389" s="43">
        <v>0.12012271365792118</v>
      </c>
      <c r="BE1389" s="33">
        <v>0</v>
      </c>
      <c r="BF1389" s="33">
        <v>0</v>
      </c>
      <c r="CE1389" s="36">
        <v>1355</v>
      </c>
      <c r="CF1389" s="33">
        <v>24</v>
      </c>
      <c r="CG1389" s="33">
        <v>1</v>
      </c>
      <c r="CH1389" s="33">
        <v>4</v>
      </c>
      <c r="CI1389" s="33">
        <v>1</v>
      </c>
      <c r="CJ1389" s="33">
        <v>1</v>
      </c>
      <c r="CK1389" s="33">
        <v>0</v>
      </c>
      <c r="CL1389" s="33">
        <v>0</v>
      </c>
      <c r="CM1389" s="33">
        <v>3</v>
      </c>
      <c r="CN1389" s="33">
        <v>4</v>
      </c>
      <c r="CO1389" s="33">
        <v>1</v>
      </c>
      <c r="CP1389" s="43">
        <v>0.21057078814521527</v>
      </c>
      <c r="CQ1389" s="33">
        <v>0</v>
      </c>
      <c r="CR1389" s="33">
        <v>1</v>
      </c>
    </row>
    <row r="1390" spans="1:96" ht="15" customHeight="1" x14ac:dyDescent="0.25">
      <c r="A1390" s="26">
        <v>1388</v>
      </c>
      <c r="B1390" s="27">
        <v>32</v>
      </c>
      <c r="C1390" s="27">
        <v>0</v>
      </c>
      <c r="D1390" s="27">
        <v>3</v>
      </c>
      <c r="E1390" s="27">
        <v>1146</v>
      </c>
      <c r="F1390" s="27">
        <v>2</v>
      </c>
      <c r="G1390" s="27">
        <v>15</v>
      </c>
      <c r="H1390" s="27">
        <v>4</v>
      </c>
      <c r="I1390" s="27">
        <v>3</v>
      </c>
      <c r="J1390" s="27">
        <v>1</v>
      </c>
      <c r="K1390" s="27">
        <v>1955</v>
      </c>
      <c r="L1390" s="27">
        <v>3</v>
      </c>
      <c r="M1390" s="27">
        <v>0</v>
      </c>
      <c r="N1390" s="27">
        <v>34</v>
      </c>
      <c r="O1390" s="27">
        <v>3</v>
      </c>
      <c r="P1390" s="27">
        <v>2</v>
      </c>
      <c r="Q1390" s="27">
        <v>5</v>
      </c>
      <c r="R1390" s="27">
        <v>4</v>
      </c>
      <c r="S1390" s="27">
        <v>3</v>
      </c>
      <c r="T1390" s="27">
        <v>6667</v>
      </c>
      <c r="U1390" s="27">
        <v>16542</v>
      </c>
      <c r="V1390" s="27">
        <v>5</v>
      </c>
      <c r="W1390" s="27">
        <v>0</v>
      </c>
      <c r="X1390" s="27">
        <v>18</v>
      </c>
      <c r="Y1390" s="27">
        <v>3</v>
      </c>
      <c r="Z1390" s="27">
        <v>2</v>
      </c>
      <c r="AA1390" s="27">
        <v>80</v>
      </c>
      <c r="AB1390" s="27">
        <v>1</v>
      </c>
      <c r="AC1390" s="27">
        <v>9</v>
      </c>
      <c r="AD1390" s="27">
        <v>6</v>
      </c>
      <c r="AE1390" s="27">
        <v>3</v>
      </c>
      <c r="AF1390" s="27">
        <v>5</v>
      </c>
      <c r="AG1390" s="27">
        <v>1</v>
      </c>
      <c r="AH1390" s="27">
        <v>1</v>
      </c>
      <c r="AI1390" s="28">
        <v>2</v>
      </c>
      <c r="AK1390" s="36">
        <v>1357</v>
      </c>
      <c r="AL1390" s="33">
        <v>8</v>
      </c>
      <c r="AM1390" s="33">
        <v>2</v>
      </c>
      <c r="AN1390" s="33">
        <v>2</v>
      </c>
      <c r="AO1390" s="33">
        <v>5</v>
      </c>
      <c r="AP1390" s="33">
        <v>0</v>
      </c>
      <c r="AQ1390" s="33">
        <v>1</v>
      </c>
      <c r="AR1390" s="33">
        <v>3</v>
      </c>
      <c r="AS1390" s="33">
        <v>5</v>
      </c>
      <c r="AT1390" s="33">
        <v>1</v>
      </c>
      <c r="AU1390" s="43">
        <v>9.3807380417068709E-2</v>
      </c>
      <c r="AV1390" s="33">
        <v>0</v>
      </c>
      <c r="AW1390" s="33">
        <v>0</v>
      </c>
      <c r="AY1390" s="36">
        <v>1362</v>
      </c>
      <c r="AZ1390" s="33">
        <v>1</v>
      </c>
      <c r="BA1390" s="33">
        <v>4</v>
      </c>
      <c r="BB1390" s="33">
        <v>0</v>
      </c>
      <c r="BC1390" s="33">
        <v>1</v>
      </c>
      <c r="BD1390" s="43">
        <v>9.2486413274924434E-2</v>
      </c>
      <c r="BE1390" s="33">
        <v>0</v>
      </c>
      <c r="BF1390" s="33">
        <v>0</v>
      </c>
      <c r="CE1390" s="36">
        <v>1356</v>
      </c>
      <c r="CF1390" s="33">
        <v>17</v>
      </c>
      <c r="CG1390" s="33">
        <v>2</v>
      </c>
      <c r="CH1390" s="33">
        <v>2</v>
      </c>
      <c r="CI1390" s="33">
        <v>2</v>
      </c>
      <c r="CJ1390" s="33">
        <v>2</v>
      </c>
      <c r="CK1390" s="33">
        <v>0</v>
      </c>
      <c r="CL1390" s="33">
        <v>2</v>
      </c>
      <c r="CM1390" s="33">
        <v>1</v>
      </c>
      <c r="CN1390" s="33">
        <v>4</v>
      </c>
      <c r="CO1390" s="33">
        <v>1</v>
      </c>
      <c r="CP1390" s="43">
        <v>0.13105482206764235</v>
      </c>
      <c r="CQ1390" s="33">
        <v>0</v>
      </c>
      <c r="CR1390" s="33">
        <v>0</v>
      </c>
    </row>
    <row r="1391" spans="1:96" ht="15" customHeight="1" x14ac:dyDescent="0.25">
      <c r="A1391" s="26">
        <v>1389</v>
      </c>
      <c r="B1391" s="27">
        <v>31</v>
      </c>
      <c r="C1391" s="27">
        <v>0</v>
      </c>
      <c r="D1391" s="27">
        <v>2</v>
      </c>
      <c r="E1391" s="27">
        <v>1125</v>
      </c>
      <c r="F1391" s="27">
        <v>2</v>
      </c>
      <c r="G1391" s="27">
        <v>1</v>
      </c>
      <c r="H1391" s="27">
        <v>3</v>
      </c>
      <c r="I1391" s="27">
        <v>1</v>
      </c>
      <c r="J1391" s="27">
        <v>1</v>
      </c>
      <c r="K1391" s="27">
        <v>1956</v>
      </c>
      <c r="L1391" s="27">
        <v>4</v>
      </c>
      <c r="M1391" s="27">
        <v>1</v>
      </c>
      <c r="N1391" s="27">
        <v>48</v>
      </c>
      <c r="O1391" s="27">
        <v>1</v>
      </c>
      <c r="P1391" s="27">
        <v>2</v>
      </c>
      <c r="Q1391" s="27">
        <v>2</v>
      </c>
      <c r="R1391" s="27">
        <v>1</v>
      </c>
      <c r="S1391" s="27">
        <v>2</v>
      </c>
      <c r="T1391" s="27">
        <v>5003</v>
      </c>
      <c r="U1391" s="27">
        <v>5771</v>
      </c>
      <c r="V1391" s="27">
        <v>1</v>
      </c>
      <c r="W1391" s="27">
        <v>0</v>
      </c>
      <c r="X1391" s="27">
        <v>21</v>
      </c>
      <c r="Y1391" s="27">
        <v>4</v>
      </c>
      <c r="Z1391" s="27">
        <v>2</v>
      </c>
      <c r="AA1391" s="27">
        <v>80</v>
      </c>
      <c r="AB1391" s="27">
        <v>0</v>
      </c>
      <c r="AC1391" s="27">
        <v>10</v>
      </c>
      <c r="AD1391" s="27">
        <v>6</v>
      </c>
      <c r="AE1391" s="27">
        <v>3</v>
      </c>
      <c r="AF1391" s="27">
        <v>10</v>
      </c>
      <c r="AG1391" s="27">
        <v>8</v>
      </c>
      <c r="AH1391" s="27">
        <v>8</v>
      </c>
      <c r="AI1391" s="28">
        <v>7</v>
      </c>
      <c r="AK1391" s="36">
        <v>1358</v>
      </c>
      <c r="AL1391" s="33">
        <v>6</v>
      </c>
      <c r="AM1391" s="33">
        <v>3</v>
      </c>
      <c r="AN1391" s="33">
        <v>1</v>
      </c>
      <c r="AO1391" s="33">
        <v>9</v>
      </c>
      <c r="AP1391" s="33">
        <v>0</v>
      </c>
      <c r="AQ1391" s="33">
        <v>1</v>
      </c>
      <c r="AR1391" s="33">
        <v>4</v>
      </c>
      <c r="AS1391" s="33">
        <v>13</v>
      </c>
      <c r="AT1391" s="33">
        <v>5</v>
      </c>
      <c r="AU1391" s="43">
        <v>6.8187445691560003E-2</v>
      </c>
      <c r="AV1391" s="33">
        <v>0</v>
      </c>
      <c r="AW1391" s="33">
        <v>0</v>
      </c>
      <c r="AY1391" s="36">
        <v>1363</v>
      </c>
      <c r="AZ1391" s="33">
        <v>2</v>
      </c>
      <c r="BA1391" s="33">
        <v>3</v>
      </c>
      <c r="BB1391" s="33">
        <v>0</v>
      </c>
      <c r="BC1391" s="33">
        <v>0</v>
      </c>
      <c r="BD1391" s="43">
        <v>0.11690772887050198</v>
      </c>
      <c r="BE1391" s="33">
        <v>0</v>
      </c>
      <c r="BF1391" s="33">
        <v>0</v>
      </c>
      <c r="CE1391" s="36">
        <v>1357</v>
      </c>
      <c r="CF1391" s="33">
        <v>8</v>
      </c>
      <c r="CG1391" s="33">
        <v>2</v>
      </c>
      <c r="CH1391" s="33">
        <v>2</v>
      </c>
      <c r="CI1391" s="33">
        <v>2</v>
      </c>
      <c r="CJ1391" s="33">
        <v>5</v>
      </c>
      <c r="CK1391" s="33">
        <v>0</v>
      </c>
      <c r="CL1391" s="33">
        <v>1</v>
      </c>
      <c r="CM1391" s="33">
        <v>3</v>
      </c>
      <c r="CN1391" s="33">
        <v>5</v>
      </c>
      <c r="CO1391" s="33">
        <v>1</v>
      </c>
      <c r="CP1391" s="43">
        <v>9.261538929259458E-2</v>
      </c>
      <c r="CQ1391" s="33">
        <v>0</v>
      </c>
      <c r="CR1391" s="33">
        <v>0</v>
      </c>
    </row>
    <row r="1392" spans="1:96" ht="15" customHeight="1" x14ac:dyDescent="0.25">
      <c r="A1392" s="26">
        <v>1390</v>
      </c>
      <c r="B1392" s="27">
        <v>28</v>
      </c>
      <c r="C1392" s="27">
        <v>1</v>
      </c>
      <c r="D1392" s="27">
        <v>1</v>
      </c>
      <c r="E1392" s="27">
        <v>1404</v>
      </c>
      <c r="F1392" s="27">
        <v>2</v>
      </c>
      <c r="G1392" s="27">
        <v>17</v>
      </c>
      <c r="H1392" s="27">
        <v>3</v>
      </c>
      <c r="I1392" s="27">
        <v>5</v>
      </c>
      <c r="J1392" s="27">
        <v>1</v>
      </c>
      <c r="K1392" s="27">
        <v>1960</v>
      </c>
      <c r="L1392" s="27">
        <v>3</v>
      </c>
      <c r="M1392" s="27">
        <v>1</v>
      </c>
      <c r="N1392" s="27">
        <v>32</v>
      </c>
      <c r="O1392" s="27">
        <v>2</v>
      </c>
      <c r="P1392" s="27">
        <v>1</v>
      </c>
      <c r="Q1392" s="27">
        <v>3</v>
      </c>
      <c r="R1392" s="27">
        <v>4</v>
      </c>
      <c r="S1392" s="27">
        <v>3</v>
      </c>
      <c r="T1392" s="27">
        <v>2367</v>
      </c>
      <c r="U1392" s="27">
        <v>18779</v>
      </c>
      <c r="V1392" s="27">
        <v>5</v>
      </c>
      <c r="W1392" s="27">
        <v>0</v>
      </c>
      <c r="X1392" s="27">
        <v>12</v>
      </c>
      <c r="Y1392" s="27">
        <v>3</v>
      </c>
      <c r="Z1392" s="27">
        <v>1</v>
      </c>
      <c r="AA1392" s="27">
        <v>80</v>
      </c>
      <c r="AB1392" s="27">
        <v>1</v>
      </c>
      <c r="AC1392" s="27">
        <v>6</v>
      </c>
      <c r="AD1392" s="27">
        <v>2</v>
      </c>
      <c r="AE1392" s="27">
        <v>2</v>
      </c>
      <c r="AF1392" s="27">
        <v>4</v>
      </c>
      <c r="AG1392" s="27">
        <v>1</v>
      </c>
      <c r="AH1392" s="27">
        <v>0</v>
      </c>
      <c r="AI1392" s="28">
        <v>3</v>
      </c>
      <c r="AK1392" s="36">
        <v>1359</v>
      </c>
      <c r="AL1392" s="33">
        <v>10</v>
      </c>
      <c r="AM1392" s="33">
        <v>2</v>
      </c>
      <c r="AN1392" s="33">
        <v>4</v>
      </c>
      <c r="AO1392" s="33">
        <v>2</v>
      </c>
      <c r="AP1392" s="33">
        <v>1</v>
      </c>
      <c r="AQ1392" s="33">
        <v>1</v>
      </c>
      <c r="AR1392" s="33">
        <v>3</v>
      </c>
      <c r="AS1392" s="33">
        <v>5</v>
      </c>
      <c r="AT1392" s="33">
        <v>1</v>
      </c>
      <c r="AU1392" s="43">
        <v>0.17343667094904128</v>
      </c>
      <c r="AV1392" s="33">
        <v>0</v>
      </c>
      <c r="AW1392" s="33">
        <v>0</v>
      </c>
      <c r="AY1392" s="36">
        <v>1364</v>
      </c>
      <c r="AZ1392" s="33">
        <v>2</v>
      </c>
      <c r="BA1392" s="33">
        <v>3</v>
      </c>
      <c r="BB1392" s="33">
        <v>0</v>
      </c>
      <c r="BC1392" s="33">
        <v>0</v>
      </c>
      <c r="BD1392" s="43">
        <v>0.11690772887050198</v>
      </c>
      <c r="BE1392" s="33">
        <v>0</v>
      </c>
      <c r="BF1392" s="33">
        <v>0</v>
      </c>
      <c r="CE1392" s="36">
        <v>1358</v>
      </c>
      <c r="CF1392" s="33">
        <v>6</v>
      </c>
      <c r="CG1392" s="33">
        <v>3</v>
      </c>
      <c r="CH1392" s="33">
        <v>1</v>
      </c>
      <c r="CI1392" s="33">
        <v>2</v>
      </c>
      <c r="CJ1392" s="33">
        <v>9</v>
      </c>
      <c r="CK1392" s="33">
        <v>0</v>
      </c>
      <c r="CL1392" s="33">
        <v>1</v>
      </c>
      <c r="CM1392" s="33">
        <v>4</v>
      </c>
      <c r="CN1392" s="33">
        <v>13</v>
      </c>
      <c r="CO1392" s="33">
        <v>5</v>
      </c>
      <c r="CP1392" s="43">
        <v>6.9076365720937505E-2</v>
      </c>
      <c r="CQ1392" s="33">
        <v>0</v>
      </c>
      <c r="CR1392" s="33">
        <v>0</v>
      </c>
    </row>
    <row r="1393" spans="1:96" ht="15" customHeight="1" x14ac:dyDescent="0.25">
      <c r="A1393" s="26">
        <v>1391</v>
      </c>
      <c r="B1393" s="27">
        <v>38</v>
      </c>
      <c r="C1393" s="27">
        <v>0</v>
      </c>
      <c r="D1393" s="27">
        <v>1</v>
      </c>
      <c r="E1393" s="27">
        <v>1404</v>
      </c>
      <c r="F1393" s="27">
        <v>1</v>
      </c>
      <c r="G1393" s="27">
        <v>1</v>
      </c>
      <c r="H1393" s="27">
        <v>3</v>
      </c>
      <c r="I1393" s="27">
        <v>1</v>
      </c>
      <c r="J1393" s="27">
        <v>1</v>
      </c>
      <c r="K1393" s="27">
        <v>1961</v>
      </c>
      <c r="L1393" s="27">
        <v>1</v>
      </c>
      <c r="M1393" s="27">
        <v>1</v>
      </c>
      <c r="N1393" s="27">
        <v>59</v>
      </c>
      <c r="O1393" s="27">
        <v>2</v>
      </c>
      <c r="P1393" s="27">
        <v>1</v>
      </c>
      <c r="Q1393" s="27">
        <v>7</v>
      </c>
      <c r="R1393" s="27">
        <v>1</v>
      </c>
      <c r="S1393" s="27">
        <v>1</v>
      </c>
      <c r="T1393" s="27">
        <v>2858</v>
      </c>
      <c r="U1393" s="27">
        <v>11473</v>
      </c>
      <c r="V1393" s="27">
        <v>4</v>
      </c>
      <c r="W1393" s="27">
        <v>0</v>
      </c>
      <c r="X1393" s="27">
        <v>14</v>
      </c>
      <c r="Y1393" s="27">
        <v>3</v>
      </c>
      <c r="Z1393" s="27">
        <v>1</v>
      </c>
      <c r="AA1393" s="27">
        <v>80</v>
      </c>
      <c r="AB1393" s="27">
        <v>0</v>
      </c>
      <c r="AC1393" s="27">
        <v>20</v>
      </c>
      <c r="AD1393" s="27">
        <v>3</v>
      </c>
      <c r="AE1393" s="27">
        <v>2</v>
      </c>
      <c r="AF1393" s="27">
        <v>1</v>
      </c>
      <c r="AG1393" s="27">
        <v>0</v>
      </c>
      <c r="AH1393" s="27">
        <v>0</v>
      </c>
      <c r="AI1393" s="28">
        <v>0</v>
      </c>
      <c r="AK1393" s="36">
        <v>1360</v>
      </c>
      <c r="AL1393" s="33">
        <v>3</v>
      </c>
      <c r="AM1393" s="33">
        <v>2</v>
      </c>
      <c r="AN1393" s="33">
        <v>4</v>
      </c>
      <c r="AO1393" s="33">
        <v>3</v>
      </c>
      <c r="AP1393" s="33">
        <v>1</v>
      </c>
      <c r="AQ1393" s="33">
        <v>0</v>
      </c>
      <c r="AR1393" s="33">
        <v>2</v>
      </c>
      <c r="AS1393" s="33">
        <v>4</v>
      </c>
      <c r="AT1393" s="33">
        <v>0</v>
      </c>
      <c r="AU1393" s="43">
        <v>0.27797771235768298</v>
      </c>
      <c r="AV1393" s="33">
        <v>0</v>
      </c>
      <c r="AW1393" s="33">
        <v>0</v>
      </c>
      <c r="AY1393" s="36">
        <v>1365</v>
      </c>
      <c r="AZ1393" s="33">
        <v>2</v>
      </c>
      <c r="BA1393" s="33">
        <v>4</v>
      </c>
      <c r="BB1393" s="33">
        <v>1</v>
      </c>
      <c r="BC1393" s="33">
        <v>1</v>
      </c>
      <c r="BD1393" s="43">
        <v>0.19951405628110813</v>
      </c>
      <c r="BE1393" s="33">
        <v>0</v>
      </c>
      <c r="BF1393" s="33">
        <v>0</v>
      </c>
      <c r="CE1393" s="36">
        <v>1359</v>
      </c>
      <c r="CF1393" s="33">
        <v>10</v>
      </c>
      <c r="CG1393" s="33">
        <v>2</v>
      </c>
      <c r="CH1393" s="33">
        <v>4</v>
      </c>
      <c r="CI1393" s="33">
        <v>3</v>
      </c>
      <c r="CJ1393" s="33">
        <v>2</v>
      </c>
      <c r="CK1393" s="33">
        <v>1</v>
      </c>
      <c r="CL1393" s="33">
        <v>1</v>
      </c>
      <c r="CM1393" s="33">
        <v>3</v>
      </c>
      <c r="CN1393" s="33">
        <v>5</v>
      </c>
      <c r="CO1393" s="33">
        <v>1</v>
      </c>
      <c r="CP1393" s="43">
        <v>0.10609194502160019</v>
      </c>
      <c r="CQ1393" s="33">
        <v>0</v>
      </c>
      <c r="CR1393" s="33">
        <v>0</v>
      </c>
    </row>
    <row r="1394" spans="1:96" ht="15" customHeight="1" x14ac:dyDescent="0.25">
      <c r="A1394" s="26">
        <v>1392</v>
      </c>
      <c r="B1394" s="27">
        <v>35</v>
      </c>
      <c r="C1394" s="27">
        <v>0</v>
      </c>
      <c r="D1394" s="27">
        <v>1</v>
      </c>
      <c r="E1394" s="27">
        <v>1224</v>
      </c>
      <c r="F1394" s="27">
        <v>1</v>
      </c>
      <c r="G1394" s="27">
        <v>7</v>
      </c>
      <c r="H1394" s="27">
        <v>4</v>
      </c>
      <c r="I1394" s="27">
        <v>1</v>
      </c>
      <c r="J1394" s="27">
        <v>1</v>
      </c>
      <c r="K1394" s="27">
        <v>1962</v>
      </c>
      <c r="L1394" s="27">
        <v>3</v>
      </c>
      <c r="M1394" s="27">
        <v>0</v>
      </c>
      <c r="N1394" s="27">
        <v>55</v>
      </c>
      <c r="O1394" s="27">
        <v>3</v>
      </c>
      <c r="P1394" s="27">
        <v>2</v>
      </c>
      <c r="Q1394" s="27">
        <v>1</v>
      </c>
      <c r="R1394" s="27">
        <v>4</v>
      </c>
      <c r="S1394" s="27">
        <v>2</v>
      </c>
      <c r="T1394" s="27">
        <v>5204</v>
      </c>
      <c r="U1394" s="27">
        <v>13586</v>
      </c>
      <c r="V1394" s="27">
        <v>1</v>
      </c>
      <c r="W1394" s="27">
        <v>1</v>
      </c>
      <c r="X1394" s="27">
        <v>11</v>
      </c>
      <c r="Y1394" s="27">
        <v>3</v>
      </c>
      <c r="Z1394" s="27">
        <v>4</v>
      </c>
      <c r="AA1394" s="27">
        <v>80</v>
      </c>
      <c r="AB1394" s="27">
        <v>0</v>
      </c>
      <c r="AC1394" s="27">
        <v>10</v>
      </c>
      <c r="AD1394" s="27">
        <v>2</v>
      </c>
      <c r="AE1394" s="27">
        <v>3</v>
      </c>
      <c r="AF1394" s="27">
        <v>10</v>
      </c>
      <c r="AG1394" s="27">
        <v>8</v>
      </c>
      <c r="AH1394" s="27">
        <v>0</v>
      </c>
      <c r="AI1394" s="28">
        <v>9</v>
      </c>
      <c r="AK1394" s="36">
        <v>1361</v>
      </c>
      <c r="AL1394" s="33">
        <v>4</v>
      </c>
      <c r="AM1394" s="33">
        <v>1</v>
      </c>
      <c r="AN1394" s="33">
        <v>3</v>
      </c>
      <c r="AO1394" s="33">
        <v>8</v>
      </c>
      <c r="AP1394" s="33">
        <v>0</v>
      </c>
      <c r="AQ1394" s="33">
        <v>1</v>
      </c>
      <c r="AR1394" s="33">
        <v>2</v>
      </c>
      <c r="AS1394" s="33">
        <v>2</v>
      </c>
      <c r="AT1394" s="33">
        <v>2</v>
      </c>
      <c r="AU1394" s="43">
        <v>0.20935217714496693</v>
      </c>
      <c r="AV1394" s="33">
        <v>0</v>
      </c>
      <c r="AW1394" s="33">
        <v>0</v>
      </c>
      <c r="AY1394" s="36">
        <v>1366</v>
      </c>
      <c r="AZ1394" s="33">
        <v>1</v>
      </c>
      <c r="BA1394" s="33">
        <v>1</v>
      </c>
      <c r="BB1394" s="33">
        <v>0</v>
      </c>
      <c r="BC1394" s="33">
        <v>0</v>
      </c>
      <c r="BD1394" s="43">
        <v>0.29341085656570393</v>
      </c>
      <c r="BE1394" s="33">
        <v>0</v>
      </c>
      <c r="BF1394" s="33">
        <v>1</v>
      </c>
      <c r="CE1394" s="36">
        <v>1360</v>
      </c>
      <c r="CF1394" s="33">
        <v>3</v>
      </c>
      <c r="CG1394" s="33">
        <v>2</v>
      </c>
      <c r="CH1394" s="33">
        <v>4</v>
      </c>
      <c r="CI1394" s="33">
        <v>2</v>
      </c>
      <c r="CJ1394" s="33">
        <v>3</v>
      </c>
      <c r="CK1394" s="33">
        <v>1</v>
      </c>
      <c r="CL1394" s="33">
        <v>0</v>
      </c>
      <c r="CM1394" s="33">
        <v>2</v>
      </c>
      <c r="CN1394" s="33">
        <v>4</v>
      </c>
      <c r="CO1394" s="33">
        <v>0</v>
      </c>
      <c r="CP1394" s="43">
        <v>0.21473462516992325</v>
      </c>
      <c r="CQ1394" s="33">
        <v>0</v>
      </c>
      <c r="CR1394" s="33">
        <v>0</v>
      </c>
    </row>
    <row r="1395" spans="1:96" ht="15" customHeight="1" x14ac:dyDescent="0.25">
      <c r="A1395" s="26">
        <v>1393</v>
      </c>
      <c r="B1395" s="27">
        <v>27</v>
      </c>
      <c r="C1395" s="27">
        <v>0</v>
      </c>
      <c r="D1395" s="27">
        <v>1</v>
      </c>
      <c r="E1395" s="27">
        <v>954</v>
      </c>
      <c r="F1395" s="27">
        <v>1</v>
      </c>
      <c r="G1395" s="27">
        <v>9</v>
      </c>
      <c r="H1395" s="27">
        <v>3</v>
      </c>
      <c r="I1395" s="27">
        <v>4</v>
      </c>
      <c r="J1395" s="27">
        <v>1</v>
      </c>
      <c r="K1395" s="27">
        <v>1965</v>
      </c>
      <c r="L1395" s="27">
        <v>4</v>
      </c>
      <c r="M1395" s="27">
        <v>1</v>
      </c>
      <c r="N1395" s="27">
        <v>44</v>
      </c>
      <c r="O1395" s="27">
        <v>3</v>
      </c>
      <c r="P1395" s="27">
        <v>2</v>
      </c>
      <c r="Q1395" s="27">
        <v>1</v>
      </c>
      <c r="R1395" s="27">
        <v>4</v>
      </c>
      <c r="S1395" s="27">
        <v>1</v>
      </c>
      <c r="T1395" s="27">
        <v>4105</v>
      </c>
      <c r="U1395" s="27">
        <v>5099</v>
      </c>
      <c r="V1395" s="27">
        <v>1</v>
      </c>
      <c r="W1395" s="27">
        <v>0</v>
      </c>
      <c r="X1395" s="27">
        <v>14</v>
      </c>
      <c r="Y1395" s="27">
        <v>3</v>
      </c>
      <c r="Z1395" s="27">
        <v>1</v>
      </c>
      <c r="AA1395" s="27">
        <v>80</v>
      </c>
      <c r="AB1395" s="27">
        <v>0</v>
      </c>
      <c r="AC1395" s="27">
        <v>7</v>
      </c>
      <c r="AD1395" s="27">
        <v>5</v>
      </c>
      <c r="AE1395" s="27">
        <v>3</v>
      </c>
      <c r="AF1395" s="27">
        <v>7</v>
      </c>
      <c r="AG1395" s="27">
        <v>7</v>
      </c>
      <c r="AH1395" s="27">
        <v>0</v>
      </c>
      <c r="AI1395" s="28">
        <v>7</v>
      </c>
      <c r="AK1395" s="36">
        <v>1362</v>
      </c>
      <c r="AL1395" s="33">
        <v>6</v>
      </c>
      <c r="AM1395" s="33">
        <v>1</v>
      </c>
      <c r="AN1395" s="33">
        <v>4</v>
      </c>
      <c r="AO1395" s="33">
        <v>0</v>
      </c>
      <c r="AP1395" s="33">
        <v>0</v>
      </c>
      <c r="AQ1395" s="33">
        <v>1</v>
      </c>
      <c r="AR1395" s="33">
        <v>3</v>
      </c>
      <c r="AS1395" s="33">
        <v>7</v>
      </c>
      <c r="AT1395" s="33">
        <v>7</v>
      </c>
      <c r="AU1395" s="43">
        <v>9.5194412769230893E-2</v>
      </c>
      <c r="AV1395" s="33">
        <v>0</v>
      </c>
      <c r="AW1395" s="33">
        <v>0</v>
      </c>
      <c r="AY1395" s="36">
        <v>1367</v>
      </c>
      <c r="AZ1395" s="33">
        <v>2</v>
      </c>
      <c r="BA1395" s="33">
        <v>3</v>
      </c>
      <c r="BB1395" s="33">
        <v>0</v>
      </c>
      <c r="BC1395" s="33">
        <v>1</v>
      </c>
      <c r="BD1395" s="43">
        <v>7.244788656931947E-2</v>
      </c>
      <c r="BE1395" s="33">
        <v>0</v>
      </c>
      <c r="BF1395" s="33">
        <v>0</v>
      </c>
      <c r="CE1395" s="36">
        <v>1361</v>
      </c>
      <c r="CF1395" s="33">
        <v>4</v>
      </c>
      <c r="CG1395" s="33">
        <v>1</v>
      </c>
      <c r="CH1395" s="33">
        <v>3</v>
      </c>
      <c r="CI1395" s="33">
        <v>3</v>
      </c>
      <c r="CJ1395" s="33">
        <v>8</v>
      </c>
      <c r="CK1395" s="33">
        <v>0</v>
      </c>
      <c r="CL1395" s="33">
        <v>1</v>
      </c>
      <c r="CM1395" s="33">
        <v>2</v>
      </c>
      <c r="CN1395" s="33">
        <v>2</v>
      </c>
      <c r="CO1395" s="33">
        <v>2</v>
      </c>
      <c r="CP1395" s="43">
        <v>0.13009299794080809</v>
      </c>
      <c r="CQ1395" s="33">
        <v>0</v>
      </c>
      <c r="CR1395" s="33">
        <v>0</v>
      </c>
    </row>
    <row r="1396" spans="1:96" ht="15" customHeight="1" x14ac:dyDescent="0.25">
      <c r="A1396" s="26">
        <v>1394</v>
      </c>
      <c r="B1396" s="27">
        <v>32</v>
      </c>
      <c r="C1396" s="27">
        <v>0</v>
      </c>
      <c r="D1396" s="27">
        <v>1</v>
      </c>
      <c r="E1396" s="27">
        <v>1373</v>
      </c>
      <c r="F1396" s="27">
        <v>2</v>
      </c>
      <c r="G1396" s="27">
        <v>5</v>
      </c>
      <c r="H1396" s="27">
        <v>4</v>
      </c>
      <c r="I1396" s="27">
        <v>1</v>
      </c>
      <c r="J1396" s="27">
        <v>1</v>
      </c>
      <c r="K1396" s="27">
        <v>1966</v>
      </c>
      <c r="L1396" s="27">
        <v>4</v>
      </c>
      <c r="M1396" s="27">
        <v>1</v>
      </c>
      <c r="N1396" s="27">
        <v>56</v>
      </c>
      <c r="O1396" s="27">
        <v>2</v>
      </c>
      <c r="P1396" s="27">
        <v>2</v>
      </c>
      <c r="Q1396" s="27">
        <v>4</v>
      </c>
      <c r="R1396" s="27">
        <v>4</v>
      </c>
      <c r="S1396" s="27">
        <v>1</v>
      </c>
      <c r="T1396" s="27">
        <v>9679</v>
      </c>
      <c r="U1396" s="27">
        <v>10138</v>
      </c>
      <c r="V1396" s="27">
        <v>8</v>
      </c>
      <c r="W1396" s="27">
        <v>0</v>
      </c>
      <c r="X1396" s="27">
        <v>24</v>
      </c>
      <c r="Y1396" s="27">
        <v>4</v>
      </c>
      <c r="Z1396" s="27">
        <v>2</v>
      </c>
      <c r="AA1396" s="27">
        <v>80</v>
      </c>
      <c r="AB1396" s="27">
        <v>0</v>
      </c>
      <c r="AC1396" s="27">
        <v>8</v>
      </c>
      <c r="AD1396" s="27">
        <v>1</v>
      </c>
      <c r="AE1396" s="27">
        <v>3</v>
      </c>
      <c r="AF1396" s="27">
        <v>1</v>
      </c>
      <c r="AG1396" s="27">
        <v>0</v>
      </c>
      <c r="AH1396" s="27">
        <v>0</v>
      </c>
      <c r="AI1396" s="28">
        <v>0</v>
      </c>
      <c r="AK1396" s="36">
        <v>1363</v>
      </c>
      <c r="AL1396" s="33">
        <v>1</v>
      </c>
      <c r="AM1396" s="33">
        <v>2</v>
      </c>
      <c r="AN1396" s="33">
        <v>3</v>
      </c>
      <c r="AO1396" s="33">
        <v>4</v>
      </c>
      <c r="AP1396" s="33">
        <v>0</v>
      </c>
      <c r="AQ1396" s="33">
        <v>0</v>
      </c>
      <c r="AR1396" s="33">
        <v>3</v>
      </c>
      <c r="AS1396" s="33">
        <v>4</v>
      </c>
      <c r="AT1396" s="33">
        <v>0</v>
      </c>
      <c r="AU1396" s="43">
        <v>8.6780370750827174E-2</v>
      </c>
      <c r="AV1396" s="33">
        <v>0</v>
      </c>
      <c r="AW1396" s="33">
        <v>0</v>
      </c>
      <c r="AY1396" s="36">
        <v>1368</v>
      </c>
      <c r="AZ1396" s="33">
        <v>1</v>
      </c>
      <c r="BA1396" s="33">
        <v>2</v>
      </c>
      <c r="BB1396" s="33">
        <v>0</v>
      </c>
      <c r="BC1396" s="33">
        <v>1</v>
      </c>
      <c r="BD1396" s="43">
        <v>0.15461023487664</v>
      </c>
      <c r="BE1396" s="33">
        <v>0</v>
      </c>
      <c r="BF1396" s="33">
        <v>0</v>
      </c>
      <c r="CE1396" s="36">
        <v>1362</v>
      </c>
      <c r="CF1396" s="33">
        <v>6</v>
      </c>
      <c r="CG1396" s="33">
        <v>1</v>
      </c>
      <c r="CH1396" s="33">
        <v>4</v>
      </c>
      <c r="CI1396" s="33">
        <v>2</v>
      </c>
      <c r="CJ1396" s="33">
        <v>0</v>
      </c>
      <c r="CK1396" s="33">
        <v>0</v>
      </c>
      <c r="CL1396" s="33">
        <v>1</v>
      </c>
      <c r="CM1396" s="33">
        <v>3</v>
      </c>
      <c r="CN1396" s="33">
        <v>7</v>
      </c>
      <c r="CO1396" s="33">
        <v>7</v>
      </c>
      <c r="CP1396" s="43">
        <v>9.0805391119653786E-2</v>
      </c>
      <c r="CQ1396" s="33">
        <v>0</v>
      </c>
      <c r="CR1396" s="33">
        <v>0</v>
      </c>
    </row>
    <row r="1397" spans="1:96" ht="15" customHeight="1" x14ac:dyDescent="0.25">
      <c r="A1397" s="26">
        <v>1395</v>
      </c>
      <c r="B1397" s="27">
        <v>31</v>
      </c>
      <c r="C1397" s="27">
        <v>1</v>
      </c>
      <c r="D1397" s="27">
        <v>2</v>
      </c>
      <c r="E1397" s="27">
        <v>754</v>
      </c>
      <c r="F1397" s="27">
        <v>1</v>
      </c>
      <c r="G1397" s="27">
        <v>26</v>
      </c>
      <c r="H1397" s="27">
        <v>4</v>
      </c>
      <c r="I1397" s="27">
        <v>4</v>
      </c>
      <c r="J1397" s="27">
        <v>1</v>
      </c>
      <c r="K1397" s="27">
        <v>1967</v>
      </c>
      <c r="L1397" s="27">
        <v>1</v>
      </c>
      <c r="M1397" s="27">
        <v>1</v>
      </c>
      <c r="N1397" s="27">
        <v>63</v>
      </c>
      <c r="O1397" s="27">
        <v>3</v>
      </c>
      <c r="P1397" s="27">
        <v>2</v>
      </c>
      <c r="Q1397" s="27">
        <v>1</v>
      </c>
      <c r="R1397" s="27">
        <v>4</v>
      </c>
      <c r="S1397" s="27">
        <v>2</v>
      </c>
      <c r="T1397" s="27">
        <v>5617</v>
      </c>
      <c r="U1397" s="27">
        <v>21075</v>
      </c>
      <c r="V1397" s="27">
        <v>1</v>
      </c>
      <c r="W1397" s="27">
        <v>1</v>
      </c>
      <c r="X1397" s="27">
        <v>11</v>
      </c>
      <c r="Y1397" s="27">
        <v>3</v>
      </c>
      <c r="Z1397" s="27">
        <v>3</v>
      </c>
      <c r="AA1397" s="27">
        <v>80</v>
      </c>
      <c r="AB1397" s="27">
        <v>0</v>
      </c>
      <c r="AC1397" s="27">
        <v>10</v>
      </c>
      <c r="AD1397" s="27">
        <v>4</v>
      </c>
      <c r="AE1397" s="27">
        <v>3</v>
      </c>
      <c r="AF1397" s="27">
        <v>10</v>
      </c>
      <c r="AG1397" s="27">
        <v>7</v>
      </c>
      <c r="AH1397" s="27">
        <v>0</v>
      </c>
      <c r="AI1397" s="28">
        <v>8</v>
      </c>
      <c r="AK1397" s="36">
        <v>1364</v>
      </c>
      <c r="AL1397" s="33">
        <v>10</v>
      </c>
      <c r="AM1397" s="33">
        <v>2</v>
      </c>
      <c r="AN1397" s="33">
        <v>3</v>
      </c>
      <c r="AO1397" s="33">
        <v>1</v>
      </c>
      <c r="AP1397" s="33">
        <v>0</v>
      </c>
      <c r="AQ1397" s="33">
        <v>0</v>
      </c>
      <c r="AR1397" s="33">
        <v>2</v>
      </c>
      <c r="AS1397" s="33">
        <v>10</v>
      </c>
      <c r="AT1397" s="33">
        <v>0</v>
      </c>
      <c r="AU1397" s="43">
        <v>7.5653299848718464E-2</v>
      </c>
      <c r="AV1397" s="33">
        <v>0</v>
      </c>
      <c r="AW1397" s="33">
        <v>0</v>
      </c>
      <c r="AY1397" s="36">
        <v>1369</v>
      </c>
      <c r="AZ1397" s="33">
        <v>2</v>
      </c>
      <c r="BA1397" s="33">
        <v>4</v>
      </c>
      <c r="BB1397" s="33">
        <v>1</v>
      </c>
      <c r="BC1397" s="33">
        <v>0</v>
      </c>
      <c r="BD1397" s="43">
        <v>0.29698480921718856</v>
      </c>
      <c r="BE1397" s="33">
        <v>0</v>
      </c>
      <c r="BF1397" s="33">
        <v>0</v>
      </c>
      <c r="CE1397" s="36">
        <v>1363</v>
      </c>
      <c r="CF1397" s="33">
        <v>1</v>
      </c>
      <c r="CG1397" s="33">
        <v>2</v>
      </c>
      <c r="CH1397" s="33">
        <v>3</v>
      </c>
      <c r="CI1397" s="33">
        <v>1</v>
      </c>
      <c r="CJ1397" s="33">
        <v>4</v>
      </c>
      <c r="CK1397" s="33">
        <v>0</v>
      </c>
      <c r="CL1397" s="33">
        <v>0</v>
      </c>
      <c r="CM1397" s="33">
        <v>3</v>
      </c>
      <c r="CN1397" s="33">
        <v>4</v>
      </c>
      <c r="CO1397" s="33">
        <v>0</v>
      </c>
      <c r="CP1397" s="43">
        <v>0.101779851580412</v>
      </c>
      <c r="CQ1397" s="33">
        <v>0</v>
      </c>
      <c r="CR1397" s="33">
        <v>0</v>
      </c>
    </row>
    <row r="1398" spans="1:96" ht="15" customHeight="1" x14ac:dyDescent="0.25">
      <c r="A1398" s="26">
        <v>1396</v>
      </c>
      <c r="B1398" s="27">
        <v>53</v>
      </c>
      <c r="C1398" s="27">
        <v>1</v>
      </c>
      <c r="D1398" s="27">
        <v>1</v>
      </c>
      <c r="E1398" s="27">
        <v>1168</v>
      </c>
      <c r="F1398" s="27">
        <v>1</v>
      </c>
      <c r="G1398" s="27">
        <v>24</v>
      </c>
      <c r="H1398" s="27">
        <v>4</v>
      </c>
      <c r="I1398" s="27">
        <v>1</v>
      </c>
      <c r="J1398" s="27">
        <v>1</v>
      </c>
      <c r="K1398" s="27">
        <v>1968</v>
      </c>
      <c r="L1398" s="27">
        <v>1</v>
      </c>
      <c r="M1398" s="27">
        <v>1</v>
      </c>
      <c r="N1398" s="27">
        <v>66</v>
      </c>
      <c r="O1398" s="27">
        <v>3</v>
      </c>
      <c r="P1398" s="27">
        <v>3</v>
      </c>
      <c r="Q1398" s="27">
        <v>1</v>
      </c>
      <c r="R1398" s="27">
        <v>1</v>
      </c>
      <c r="S1398" s="27">
        <v>1</v>
      </c>
      <c r="T1398" s="27">
        <v>10448</v>
      </c>
      <c r="U1398" s="27">
        <v>5843</v>
      </c>
      <c r="V1398" s="27">
        <v>6</v>
      </c>
      <c r="W1398" s="27">
        <v>1</v>
      </c>
      <c r="X1398" s="27">
        <v>13</v>
      </c>
      <c r="Y1398" s="27">
        <v>3</v>
      </c>
      <c r="Z1398" s="27">
        <v>2</v>
      </c>
      <c r="AA1398" s="27">
        <v>80</v>
      </c>
      <c r="AB1398" s="27">
        <v>0</v>
      </c>
      <c r="AC1398" s="27">
        <v>15</v>
      </c>
      <c r="AD1398" s="27">
        <v>2</v>
      </c>
      <c r="AE1398" s="27">
        <v>2</v>
      </c>
      <c r="AF1398" s="27">
        <v>2</v>
      </c>
      <c r="AG1398" s="27">
        <v>2</v>
      </c>
      <c r="AH1398" s="27">
        <v>2</v>
      </c>
      <c r="AI1398" s="28">
        <v>2</v>
      </c>
      <c r="AK1398" s="36">
        <v>1365</v>
      </c>
      <c r="AL1398" s="33">
        <v>1</v>
      </c>
      <c r="AM1398" s="33">
        <v>2</v>
      </c>
      <c r="AN1398" s="33">
        <v>4</v>
      </c>
      <c r="AO1398" s="33">
        <v>1</v>
      </c>
      <c r="AP1398" s="33">
        <v>1</v>
      </c>
      <c r="AQ1398" s="33">
        <v>1</v>
      </c>
      <c r="AR1398" s="33">
        <v>3</v>
      </c>
      <c r="AS1398" s="33">
        <v>7</v>
      </c>
      <c r="AT1398" s="33">
        <v>0</v>
      </c>
      <c r="AU1398" s="43">
        <v>9.9236472968325037E-2</v>
      </c>
      <c r="AV1398" s="33">
        <v>0</v>
      </c>
      <c r="AW1398" s="33">
        <v>0</v>
      </c>
      <c r="AY1398" s="36">
        <v>1370</v>
      </c>
      <c r="AZ1398" s="33">
        <v>2</v>
      </c>
      <c r="BA1398" s="33">
        <v>3</v>
      </c>
      <c r="BB1398" s="33">
        <v>1</v>
      </c>
      <c r="BC1398" s="33">
        <v>0</v>
      </c>
      <c r="BD1398" s="43">
        <v>0.36139389867144694</v>
      </c>
      <c r="BE1398" s="33">
        <v>0</v>
      </c>
      <c r="BF1398" s="33">
        <v>1</v>
      </c>
      <c r="CE1398" s="36">
        <v>1364</v>
      </c>
      <c r="CF1398" s="33">
        <v>10</v>
      </c>
      <c r="CG1398" s="33">
        <v>2</v>
      </c>
      <c r="CH1398" s="33">
        <v>3</v>
      </c>
      <c r="CI1398" s="33">
        <v>1</v>
      </c>
      <c r="CJ1398" s="33">
        <v>1</v>
      </c>
      <c r="CK1398" s="33">
        <v>0</v>
      </c>
      <c r="CL1398" s="33">
        <v>0</v>
      </c>
      <c r="CM1398" s="33">
        <v>2</v>
      </c>
      <c r="CN1398" s="33">
        <v>10</v>
      </c>
      <c r="CO1398" s="33">
        <v>0</v>
      </c>
      <c r="CP1398" s="43">
        <v>8.938370563813737E-2</v>
      </c>
      <c r="CQ1398" s="33">
        <v>0</v>
      </c>
      <c r="CR1398" s="33">
        <v>0</v>
      </c>
    </row>
    <row r="1399" spans="1:96" ht="15" customHeight="1" x14ac:dyDescent="0.25">
      <c r="A1399" s="26">
        <v>1397</v>
      </c>
      <c r="B1399" s="27">
        <v>54</v>
      </c>
      <c r="C1399" s="27">
        <v>0</v>
      </c>
      <c r="D1399" s="27">
        <v>1</v>
      </c>
      <c r="E1399" s="27">
        <v>155</v>
      </c>
      <c r="F1399" s="27">
        <v>2</v>
      </c>
      <c r="G1399" s="27">
        <v>9</v>
      </c>
      <c r="H1399" s="27">
        <v>2</v>
      </c>
      <c r="I1399" s="27">
        <v>1</v>
      </c>
      <c r="J1399" s="27">
        <v>1</v>
      </c>
      <c r="K1399" s="27">
        <v>1969</v>
      </c>
      <c r="L1399" s="27">
        <v>1</v>
      </c>
      <c r="M1399" s="27">
        <v>0</v>
      </c>
      <c r="N1399" s="27">
        <v>67</v>
      </c>
      <c r="O1399" s="27">
        <v>3</v>
      </c>
      <c r="P1399" s="27">
        <v>2</v>
      </c>
      <c r="Q1399" s="27">
        <v>2</v>
      </c>
      <c r="R1399" s="27">
        <v>3</v>
      </c>
      <c r="S1399" s="27">
        <v>2</v>
      </c>
      <c r="T1399" s="27">
        <v>2897</v>
      </c>
      <c r="U1399" s="27">
        <v>22474</v>
      </c>
      <c r="V1399" s="27">
        <v>3</v>
      </c>
      <c r="W1399" s="27">
        <v>0</v>
      </c>
      <c r="X1399" s="27">
        <v>11</v>
      </c>
      <c r="Y1399" s="27">
        <v>3</v>
      </c>
      <c r="Z1399" s="27">
        <v>3</v>
      </c>
      <c r="AA1399" s="27">
        <v>80</v>
      </c>
      <c r="AB1399" s="27">
        <v>2</v>
      </c>
      <c r="AC1399" s="27">
        <v>9</v>
      </c>
      <c r="AD1399" s="27">
        <v>6</v>
      </c>
      <c r="AE1399" s="27">
        <v>2</v>
      </c>
      <c r="AF1399" s="27">
        <v>4</v>
      </c>
      <c r="AG1399" s="27">
        <v>3</v>
      </c>
      <c r="AH1399" s="27">
        <v>2</v>
      </c>
      <c r="AI1399" s="28">
        <v>3</v>
      </c>
      <c r="AK1399" s="36">
        <v>1366</v>
      </c>
      <c r="AL1399" s="33">
        <v>24</v>
      </c>
      <c r="AM1399" s="33">
        <v>1</v>
      </c>
      <c r="AN1399" s="33">
        <v>1</v>
      </c>
      <c r="AO1399" s="33">
        <v>1</v>
      </c>
      <c r="AP1399" s="33">
        <v>0</v>
      </c>
      <c r="AQ1399" s="33">
        <v>0</v>
      </c>
      <c r="AR1399" s="33">
        <v>3</v>
      </c>
      <c r="AS1399" s="33">
        <v>1</v>
      </c>
      <c r="AT1399" s="33">
        <v>0</v>
      </c>
      <c r="AU1399" s="43">
        <v>0.38225851785915066</v>
      </c>
      <c r="AV1399" s="33">
        <v>0</v>
      </c>
      <c r="AW1399" s="33">
        <v>1</v>
      </c>
      <c r="AY1399" s="36">
        <v>1371</v>
      </c>
      <c r="AZ1399" s="33">
        <v>2</v>
      </c>
      <c r="BA1399" s="33">
        <v>2</v>
      </c>
      <c r="BB1399" s="33">
        <v>0</v>
      </c>
      <c r="BC1399" s="33">
        <v>1</v>
      </c>
      <c r="BD1399" s="43">
        <v>9.4721355311452843E-2</v>
      </c>
      <c r="BE1399" s="33">
        <v>0</v>
      </c>
      <c r="BF1399" s="33">
        <v>0</v>
      </c>
      <c r="CE1399" s="36">
        <v>1365</v>
      </c>
      <c r="CF1399" s="33">
        <v>1</v>
      </c>
      <c r="CG1399" s="33">
        <v>2</v>
      </c>
      <c r="CH1399" s="33">
        <v>4</v>
      </c>
      <c r="CI1399" s="33">
        <v>2</v>
      </c>
      <c r="CJ1399" s="33">
        <v>1</v>
      </c>
      <c r="CK1399" s="33">
        <v>1</v>
      </c>
      <c r="CL1399" s="33">
        <v>1</v>
      </c>
      <c r="CM1399" s="33">
        <v>3</v>
      </c>
      <c r="CN1399" s="33">
        <v>7</v>
      </c>
      <c r="CO1399" s="33">
        <v>0</v>
      </c>
      <c r="CP1399" s="43">
        <v>9.7604210348998105E-2</v>
      </c>
      <c r="CQ1399" s="33">
        <v>0</v>
      </c>
      <c r="CR1399" s="33">
        <v>0</v>
      </c>
    </row>
    <row r="1400" spans="1:96" ht="15" customHeight="1" x14ac:dyDescent="0.25">
      <c r="A1400" s="26">
        <v>1398</v>
      </c>
      <c r="B1400" s="27">
        <v>33</v>
      </c>
      <c r="C1400" s="27">
        <v>0</v>
      </c>
      <c r="D1400" s="27">
        <v>2</v>
      </c>
      <c r="E1400" s="27">
        <v>1303</v>
      </c>
      <c r="F1400" s="27">
        <v>2</v>
      </c>
      <c r="G1400" s="27">
        <v>7</v>
      </c>
      <c r="H1400" s="27">
        <v>2</v>
      </c>
      <c r="I1400" s="27">
        <v>1</v>
      </c>
      <c r="J1400" s="27">
        <v>1</v>
      </c>
      <c r="K1400" s="27">
        <v>1970</v>
      </c>
      <c r="L1400" s="27">
        <v>4</v>
      </c>
      <c r="M1400" s="27">
        <v>1</v>
      </c>
      <c r="N1400" s="27">
        <v>36</v>
      </c>
      <c r="O1400" s="27">
        <v>3</v>
      </c>
      <c r="P1400" s="27">
        <v>2</v>
      </c>
      <c r="Q1400" s="27">
        <v>5</v>
      </c>
      <c r="R1400" s="27">
        <v>3</v>
      </c>
      <c r="S1400" s="27">
        <v>3</v>
      </c>
      <c r="T1400" s="27">
        <v>5968</v>
      </c>
      <c r="U1400" s="27">
        <v>18079</v>
      </c>
      <c r="V1400" s="27">
        <v>1</v>
      </c>
      <c r="W1400" s="27">
        <v>0</v>
      </c>
      <c r="X1400" s="27">
        <v>20</v>
      </c>
      <c r="Y1400" s="27">
        <v>4</v>
      </c>
      <c r="Z1400" s="27">
        <v>3</v>
      </c>
      <c r="AA1400" s="27">
        <v>80</v>
      </c>
      <c r="AB1400" s="27">
        <v>3</v>
      </c>
      <c r="AC1400" s="27">
        <v>9</v>
      </c>
      <c r="AD1400" s="27">
        <v>2</v>
      </c>
      <c r="AE1400" s="27">
        <v>3</v>
      </c>
      <c r="AF1400" s="27">
        <v>9</v>
      </c>
      <c r="AG1400" s="27">
        <v>7</v>
      </c>
      <c r="AH1400" s="27">
        <v>2</v>
      </c>
      <c r="AI1400" s="28">
        <v>8</v>
      </c>
      <c r="AK1400" s="36">
        <v>1367</v>
      </c>
      <c r="AL1400" s="33">
        <v>21</v>
      </c>
      <c r="AM1400" s="33">
        <v>2</v>
      </c>
      <c r="AN1400" s="33">
        <v>3</v>
      </c>
      <c r="AO1400" s="33">
        <v>6</v>
      </c>
      <c r="AP1400" s="33">
        <v>0</v>
      </c>
      <c r="AQ1400" s="33">
        <v>1</v>
      </c>
      <c r="AR1400" s="33">
        <v>3</v>
      </c>
      <c r="AS1400" s="33">
        <v>3</v>
      </c>
      <c r="AT1400" s="33">
        <v>1</v>
      </c>
      <c r="AU1400" s="43">
        <v>0.13072471787657347</v>
      </c>
      <c r="AV1400" s="33">
        <v>0</v>
      </c>
      <c r="AW1400" s="33">
        <v>0</v>
      </c>
      <c r="AY1400" s="36">
        <v>1372</v>
      </c>
      <c r="AZ1400" s="33">
        <v>2</v>
      </c>
      <c r="BA1400" s="33">
        <v>1</v>
      </c>
      <c r="BB1400" s="33">
        <v>0</v>
      </c>
      <c r="BC1400" s="33">
        <v>1</v>
      </c>
      <c r="BD1400" s="43">
        <v>0.12293502213131684</v>
      </c>
      <c r="BE1400" s="33">
        <v>0</v>
      </c>
      <c r="BF1400" s="33">
        <v>0</v>
      </c>
      <c r="CE1400" s="36">
        <v>1366</v>
      </c>
      <c r="CF1400" s="33">
        <v>24</v>
      </c>
      <c r="CG1400" s="33">
        <v>1</v>
      </c>
      <c r="CH1400" s="33">
        <v>1</v>
      </c>
      <c r="CI1400" s="33">
        <v>1</v>
      </c>
      <c r="CJ1400" s="33">
        <v>1</v>
      </c>
      <c r="CK1400" s="33">
        <v>0</v>
      </c>
      <c r="CL1400" s="33">
        <v>0</v>
      </c>
      <c r="CM1400" s="33">
        <v>3</v>
      </c>
      <c r="CN1400" s="33">
        <v>1</v>
      </c>
      <c r="CO1400" s="33">
        <v>0</v>
      </c>
      <c r="CP1400" s="43">
        <v>0.42826621854711139</v>
      </c>
      <c r="CQ1400" s="33">
        <v>0</v>
      </c>
      <c r="CR1400" s="33">
        <v>1</v>
      </c>
    </row>
    <row r="1401" spans="1:96" ht="15" customHeight="1" x14ac:dyDescent="0.25">
      <c r="A1401" s="26">
        <v>1399</v>
      </c>
      <c r="B1401" s="27">
        <v>43</v>
      </c>
      <c r="C1401" s="27">
        <v>0</v>
      </c>
      <c r="D1401" s="27">
        <v>1</v>
      </c>
      <c r="E1401" s="27">
        <v>574</v>
      </c>
      <c r="F1401" s="27">
        <v>2</v>
      </c>
      <c r="G1401" s="27">
        <v>11</v>
      </c>
      <c r="H1401" s="27">
        <v>3</v>
      </c>
      <c r="I1401" s="27">
        <v>1</v>
      </c>
      <c r="J1401" s="27">
        <v>1</v>
      </c>
      <c r="K1401" s="27">
        <v>1971</v>
      </c>
      <c r="L1401" s="27">
        <v>1</v>
      </c>
      <c r="M1401" s="27">
        <v>1</v>
      </c>
      <c r="N1401" s="27">
        <v>30</v>
      </c>
      <c r="O1401" s="27">
        <v>3</v>
      </c>
      <c r="P1401" s="27">
        <v>3</v>
      </c>
      <c r="Q1401" s="27">
        <v>5</v>
      </c>
      <c r="R1401" s="27">
        <v>3</v>
      </c>
      <c r="S1401" s="27">
        <v>2</v>
      </c>
      <c r="T1401" s="27">
        <v>7510</v>
      </c>
      <c r="U1401" s="27">
        <v>16873</v>
      </c>
      <c r="V1401" s="27">
        <v>1</v>
      </c>
      <c r="W1401" s="27">
        <v>0</v>
      </c>
      <c r="X1401" s="27">
        <v>17</v>
      </c>
      <c r="Y1401" s="27">
        <v>3</v>
      </c>
      <c r="Z1401" s="27">
        <v>2</v>
      </c>
      <c r="AA1401" s="27">
        <v>80</v>
      </c>
      <c r="AB1401" s="27">
        <v>1</v>
      </c>
      <c r="AC1401" s="27">
        <v>10</v>
      </c>
      <c r="AD1401" s="27">
        <v>1</v>
      </c>
      <c r="AE1401" s="27">
        <v>3</v>
      </c>
      <c r="AF1401" s="27">
        <v>10</v>
      </c>
      <c r="AG1401" s="27">
        <v>9</v>
      </c>
      <c r="AH1401" s="27">
        <v>0</v>
      </c>
      <c r="AI1401" s="28">
        <v>9</v>
      </c>
      <c r="AK1401" s="36">
        <v>1368</v>
      </c>
      <c r="AL1401" s="33">
        <v>2</v>
      </c>
      <c r="AM1401" s="33">
        <v>1</v>
      </c>
      <c r="AN1401" s="33">
        <v>2</v>
      </c>
      <c r="AO1401" s="33">
        <v>1</v>
      </c>
      <c r="AP1401" s="33">
        <v>0</v>
      </c>
      <c r="AQ1401" s="33">
        <v>1</v>
      </c>
      <c r="AR1401" s="33">
        <v>2</v>
      </c>
      <c r="AS1401" s="33">
        <v>5</v>
      </c>
      <c r="AT1401" s="33">
        <v>1</v>
      </c>
      <c r="AU1401" s="43">
        <v>0.11694804782684344</v>
      </c>
      <c r="AV1401" s="33">
        <v>0</v>
      </c>
      <c r="AW1401" s="33">
        <v>0</v>
      </c>
      <c r="AY1401" s="36">
        <v>1373</v>
      </c>
      <c r="AZ1401" s="33">
        <v>2</v>
      </c>
      <c r="BA1401" s="33">
        <v>1</v>
      </c>
      <c r="BB1401" s="33">
        <v>0</v>
      </c>
      <c r="BC1401" s="33">
        <v>1</v>
      </c>
      <c r="BD1401" s="43">
        <v>0.12293502213131684</v>
      </c>
      <c r="BE1401" s="33">
        <v>0</v>
      </c>
      <c r="BF1401" s="33">
        <v>0</v>
      </c>
      <c r="CE1401" s="36">
        <v>1367</v>
      </c>
      <c r="CF1401" s="33">
        <v>21</v>
      </c>
      <c r="CG1401" s="33">
        <v>2</v>
      </c>
      <c r="CH1401" s="33">
        <v>3</v>
      </c>
      <c r="CI1401" s="33">
        <v>2</v>
      </c>
      <c r="CJ1401" s="33">
        <v>6</v>
      </c>
      <c r="CK1401" s="33">
        <v>0</v>
      </c>
      <c r="CL1401" s="33">
        <v>1</v>
      </c>
      <c r="CM1401" s="33">
        <v>3</v>
      </c>
      <c r="CN1401" s="33">
        <v>3</v>
      </c>
      <c r="CO1401" s="33">
        <v>1</v>
      </c>
      <c r="CP1401" s="43">
        <v>0.12691512538778033</v>
      </c>
      <c r="CQ1401" s="33">
        <v>0</v>
      </c>
      <c r="CR1401" s="33">
        <v>0</v>
      </c>
    </row>
    <row r="1402" spans="1:96" ht="15" customHeight="1" x14ac:dyDescent="0.25">
      <c r="A1402" s="26">
        <v>1400</v>
      </c>
      <c r="B1402" s="27">
        <v>38</v>
      </c>
      <c r="C1402" s="27">
        <v>0</v>
      </c>
      <c r="D1402" s="27">
        <v>2</v>
      </c>
      <c r="E1402" s="27">
        <v>1444</v>
      </c>
      <c r="F1402" s="27">
        <v>3</v>
      </c>
      <c r="G1402" s="27">
        <v>1</v>
      </c>
      <c r="H1402" s="27">
        <v>4</v>
      </c>
      <c r="I1402" s="27">
        <v>6</v>
      </c>
      <c r="J1402" s="27">
        <v>1</v>
      </c>
      <c r="K1402" s="27">
        <v>1972</v>
      </c>
      <c r="L1402" s="27">
        <v>4</v>
      </c>
      <c r="M1402" s="27">
        <v>1</v>
      </c>
      <c r="N1402" s="27">
        <v>88</v>
      </c>
      <c r="O1402" s="27">
        <v>3</v>
      </c>
      <c r="P1402" s="27">
        <v>1</v>
      </c>
      <c r="Q1402" s="27">
        <v>9</v>
      </c>
      <c r="R1402" s="27">
        <v>2</v>
      </c>
      <c r="S1402" s="27">
        <v>2</v>
      </c>
      <c r="T1402" s="27">
        <v>2991</v>
      </c>
      <c r="U1402" s="27">
        <v>5224</v>
      </c>
      <c r="V1402" s="27">
        <v>0</v>
      </c>
      <c r="W1402" s="27">
        <v>1</v>
      </c>
      <c r="X1402" s="27">
        <v>11</v>
      </c>
      <c r="Y1402" s="27">
        <v>3</v>
      </c>
      <c r="Z1402" s="27">
        <v>2</v>
      </c>
      <c r="AA1402" s="27">
        <v>80</v>
      </c>
      <c r="AB1402" s="27">
        <v>1</v>
      </c>
      <c r="AC1402" s="27">
        <v>7</v>
      </c>
      <c r="AD1402" s="27">
        <v>2</v>
      </c>
      <c r="AE1402" s="27">
        <v>3</v>
      </c>
      <c r="AF1402" s="27">
        <v>6</v>
      </c>
      <c r="AG1402" s="27">
        <v>2</v>
      </c>
      <c r="AH1402" s="27">
        <v>1</v>
      </c>
      <c r="AI1402" s="28">
        <v>2</v>
      </c>
      <c r="AK1402" s="36">
        <v>1369</v>
      </c>
      <c r="AL1402" s="33">
        <v>22</v>
      </c>
      <c r="AM1402" s="33">
        <v>2</v>
      </c>
      <c r="AN1402" s="33">
        <v>4</v>
      </c>
      <c r="AO1402" s="33">
        <v>1</v>
      </c>
      <c r="AP1402" s="33">
        <v>1</v>
      </c>
      <c r="AQ1402" s="33">
        <v>0</v>
      </c>
      <c r="AR1402" s="33">
        <v>3</v>
      </c>
      <c r="AS1402" s="33">
        <v>15</v>
      </c>
      <c r="AT1402" s="33">
        <v>6</v>
      </c>
      <c r="AU1402" s="43">
        <v>0.30385660980508872</v>
      </c>
      <c r="AV1402" s="33">
        <v>0</v>
      </c>
      <c r="AW1402" s="33">
        <v>0</v>
      </c>
      <c r="AY1402" s="36">
        <v>1374</v>
      </c>
      <c r="AZ1402" s="33">
        <v>2</v>
      </c>
      <c r="BA1402" s="33">
        <v>2</v>
      </c>
      <c r="BB1402" s="33">
        <v>1</v>
      </c>
      <c r="BC1402" s="33">
        <v>1</v>
      </c>
      <c r="BD1402" s="43">
        <v>0.30904710588370227</v>
      </c>
      <c r="BE1402" s="33">
        <v>0</v>
      </c>
      <c r="BF1402" s="33">
        <v>0</v>
      </c>
      <c r="CE1402" s="36">
        <v>1368</v>
      </c>
      <c r="CF1402" s="33">
        <v>2</v>
      </c>
      <c r="CG1402" s="33">
        <v>1</v>
      </c>
      <c r="CH1402" s="33">
        <v>2</v>
      </c>
      <c r="CI1402" s="33">
        <v>2</v>
      </c>
      <c r="CJ1402" s="33">
        <v>1</v>
      </c>
      <c r="CK1402" s="33">
        <v>0</v>
      </c>
      <c r="CL1402" s="33">
        <v>1</v>
      </c>
      <c r="CM1402" s="33">
        <v>2</v>
      </c>
      <c r="CN1402" s="33">
        <v>5</v>
      </c>
      <c r="CO1402" s="33">
        <v>1</v>
      </c>
      <c r="CP1402" s="43">
        <v>0.11557227100413699</v>
      </c>
      <c r="CQ1402" s="33">
        <v>0</v>
      </c>
      <c r="CR1402" s="33">
        <v>0</v>
      </c>
    </row>
    <row r="1403" spans="1:96" ht="15" customHeight="1" x14ac:dyDescent="0.25">
      <c r="A1403" s="26">
        <v>1401</v>
      </c>
      <c r="B1403" s="27">
        <v>55</v>
      </c>
      <c r="C1403" s="27">
        <v>0</v>
      </c>
      <c r="D1403" s="27">
        <v>1</v>
      </c>
      <c r="E1403" s="27">
        <v>189</v>
      </c>
      <c r="F1403" s="27">
        <v>3</v>
      </c>
      <c r="G1403" s="27">
        <v>26</v>
      </c>
      <c r="H1403" s="27">
        <v>4</v>
      </c>
      <c r="I1403" s="27">
        <v>2</v>
      </c>
      <c r="J1403" s="27">
        <v>1</v>
      </c>
      <c r="K1403" s="27">
        <v>1973</v>
      </c>
      <c r="L1403" s="27">
        <v>3</v>
      </c>
      <c r="M1403" s="27">
        <v>1</v>
      </c>
      <c r="N1403" s="27">
        <v>71</v>
      </c>
      <c r="O1403" s="27">
        <v>4</v>
      </c>
      <c r="P1403" s="27">
        <v>5</v>
      </c>
      <c r="Q1403" s="27">
        <v>6</v>
      </c>
      <c r="R1403" s="27">
        <v>2</v>
      </c>
      <c r="S1403" s="27">
        <v>2</v>
      </c>
      <c r="T1403" s="27">
        <v>19636</v>
      </c>
      <c r="U1403" s="27">
        <v>25811</v>
      </c>
      <c r="V1403" s="27">
        <v>4</v>
      </c>
      <c r="W1403" s="27">
        <v>1</v>
      </c>
      <c r="X1403" s="27">
        <v>18</v>
      </c>
      <c r="Y1403" s="27">
        <v>3</v>
      </c>
      <c r="Z1403" s="27">
        <v>1</v>
      </c>
      <c r="AA1403" s="27">
        <v>80</v>
      </c>
      <c r="AB1403" s="27">
        <v>1</v>
      </c>
      <c r="AC1403" s="27">
        <v>35</v>
      </c>
      <c r="AD1403" s="27">
        <v>0</v>
      </c>
      <c r="AE1403" s="27">
        <v>3</v>
      </c>
      <c r="AF1403" s="27">
        <v>10</v>
      </c>
      <c r="AG1403" s="27">
        <v>9</v>
      </c>
      <c r="AH1403" s="27">
        <v>1</v>
      </c>
      <c r="AI1403" s="28">
        <v>4</v>
      </c>
      <c r="AK1403" s="36">
        <v>1370</v>
      </c>
      <c r="AL1403" s="33">
        <v>13</v>
      </c>
      <c r="AM1403" s="33">
        <v>2</v>
      </c>
      <c r="AN1403" s="33">
        <v>3</v>
      </c>
      <c r="AO1403" s="33">
        <v>3</v>
      </c>
      <c r="AP1403" s="33">
        <v>1</v>
      </c>
      <c r="AQ1403" s="33">
        <v>0</v>
      </c>
      <c r="AR1403" s="33">
        <v>3</v>
      </c>
      <c r="AS1403" s="33">
        <v>2</v>
      </c>
      <c r="AT1403" s="33">
        <v>2</v>
      </c>
      <c r="AU1403" s="43">
        <v>0.453199023822483</v>
      </c>
      <c r="AV1403" s="33">
        <v>0</v>
      </c>
      <c r="AW1403" s="33">
        <v>1</v>
      </c>
      <c r="AY1403" s="36">
        <v>1375</v>
      </c>
      <c r="AZ1403" s="33">
        <v>4</v>
      </c>
      <c r="BA1403" s="33">
        <v>4</v>
      </c>
      <c r="BB1403" s="33">
        <v>1</v>
      </c>
      <c r="BC1403" s="33">
        <v>1</v>
      </c>
      <c r="BD1403" s="43">
        <v>7.5427466859562448E-2</v>
      </c>
      <c r="BE1403" s="33">
        <v>0</v>
      </c>
      <c r="BF1403" s="33">
        <v>0</v>
      </c>
      <c r="CE1403" s="36">
        <v>1369</v>
      </c>
      <c r="CF1403" s="33">
        <v>22</v>
      </c>
      <c r="CG1403" s="33">
        <v>2</v>
      </c>
      <c r="CH1403" s="33">
        <v>4</v>
      </c>
      <c r="CI1403" s="33">
        <v>2</v>
      </c>
      <c r="CJ1403" s="33">
        <v>1</v>
      </c>
      <c r="CK1403" s="33">
        <v>1</v>
      </c>
      <c r="CL1403" s="33">
        <v>0</v>
      </c>
      <c r="CM1403" s="33">
        <v>3</v>
      </c>
      <c r="CN1403" s="33">
        <v>15</v>
      </c>
      <c r="CO1403" s="33">
        <v>6</v>
      </c>
      <c r="CP1403" s="43">
        <v>0.2343264205748572</v>
      </c>
      <c r="CQ1403" s="33">
        <v>0</v>
      </c>
      <c r="CR1403" s="33">
        <v>0</v>
      </c>
    </row>
    <row r="1404" spans="1:96" ht="15" customHeight="1" x14ac:dyDescent="0.25">
      <c r="A1404" s="26">
        <v>1402</v>
      </c>
      <c r="B1404" s="27">
        <v>31</v>
      </c>
      <c r="C1404" s="27">
        <v>0</v>
      </c>
      <c r="D1404" s="27">
        <v>1</v>
      </c>
      <c r="E1404" s="27">
        <v>1276</v>
      </c>
      <c r="F1404" s="27">
        <v>2</v>
      </c>
      <c r="G1404" s="27">
        <v>2</v>
      </c>
      <c r="H1404" s="27">
        <v>1</v>
      </c>
      <c r="I1404" s="27">
        <v>3</v>
      </c>
      <c r="J1404" s="27">
        <v>1</v>
      </c>
      <c r="K1404" s="27">
        <v>1974</v>
      </c>
      <c r="L1404" s="27">
        <v>4</v>
      </c>
      <c r="M1404" s="27">
        <v>0</v>
      </c>
      <c r="N1404" s="27">
        <v>59</v>
      </c>
      <c r="O1404" s="27">
        <v>1</v>
      </c>
      <c r="P1404" s="27">
        <v>1</v>
      </c>
      <c r="Q1404" s="27">
        <v>3</v>
      </c>
      <c r="R1404" s="27">
        <v>4</v>
      </c>
      <c r="S1404" s="27">
        <v>3</v>
      </c>
      <c r="T1404" s="27">
        <v>1129</v>
      </c>
      <c r="U1404" s="27">
        <v>17536</v>
      </c>
      <c r="V1404" s="27">
        <v>1</v>
      </c>
      <c r="W1404" s="27">
        <v>1</v>
      </c>
      <c r="X1404" s="27">
        <v>11</v>
      </c>
      <c r="Y1404" s="27">
        <v>3</v>
      </c>
      <c r="Z1404" s="27">
        <v>3</v>
      </c>
      <c r="AA1404" s="27">
        <v>80</v>
      </c>
      <c r="AB1404" s="27">
        <v>3</v>
      </c>
      <c r="AC1404" s="27">
        <v>1</v>
      </c>
      <c r="AD1404" s="27">
        <v>4</v>
      </c>
      <c r="AE1404" s="27">
        <v>3</v>
      </c>
      <c r="AF1404" s="27">
        <v>1</v>
      </c>
      <c r="AG1404" s="27">
        <v>0</v>
      </c>
      <c r="AH1404" s="27">
        <v>0</v>
      </c>
      <c r="AI1404" s="28">
        <v>0</v>
      </c>
      <c r="AK1404" s="36">
        <v>1371</v>
      </c>
      <c r="AL1404" s="33">
        <v>14</v>
      </c>
      <c r="AM1404" s="33">
        <v>2</v>
      </c>
      <c r="AN1404" s="33">
        <v>2</v>
      </c>
      <c r="AO1404" s="33">
        <v>8</v>
      </c>
      <c r="AP1404" s="33">
        <v>0</v>
      </c>
      <c r="AQ1404" s="33">
        <v>1</v>
      </c>
      <c r="AR1404" s="33">
        <v>4</v>
      </c>
      <c r="AS1404" s="33">
        <v>8</v>
      </c>
      <c r="AT1404" s="33">
        <v>1</v>
      </c>
      <c r="AU1404" s="43">
        <v>9.4226837522026971E-2</v>
      </c>
      <c r="AV1404" s="33">
        <v>0</v>
      </c>
      <c r="AW1404" s="33">
        <v>0</v>
      </c>
      <c r="AY1404" s="36">
        <v>1376</v>
      </c>
      <c r="AZ1404" s="33">
        <v>1</v>
      </c>
      <c r="BA1404" s="33">
        <v>3</v>
      </c>
      <c r="BB1404" s="33">
        <v>1</v>
      </c>
      <c r="BC1404" s="33">
        <v>0</v>
      </c>
      <c r="BD1404" s="43">
        <v>0.49727340882350407</v>
      </c>
      <c r="BE1404" s="33">
        <v>0</v>
      </c>
      <c r="BF1404" s="33">
        <v>1</v>
      </c>
      <c r="CE1404" s="36">
        <v>1370</v>
      </c>
      <c r="CF1404" s="33">
        <v>13</v>
      </c>
      <c r="CG1404" s="33">
        <v>2</v>
      </c>
      <c r="CH1404" s="33">
        <v>3</v>
      </c>
      <c r="CI1404" s="33">
        <v>1</v>
      </c>
      <c r="CJ1404" s="33">
        <v>3</v>
      </c>
      <c r="CK1404" s="33">
        <v>1</v>
      </c>
      <c r="CL1404" s="33">
        <v>0</v>
      </c>
      <c r="CM1404" s="33">
        <v>3</v>
      </c>
      <c r="CN1404" s="33">
        <v>2</v>
      </c>
      <c r="CO1404" s="33">
        <v>2</v>
      </c>
      <c r="CP1404" s="43">
        <v>0.50757570924823858</v>
      </c>
      <c r="CQ1404" s="33">
        <v>1</v>
      </c>
      <c r="CR1404" s="33">
        <v>1</v>
      </c>
    </row>
    <row r="1405" spans="1:96" ht="15" customHeight="1" x14ac:dyDescent="0.25">
      <c r="A1405" s="26">
        <v>1403</v>
      </c>
      <c r="B1405" s="27">
        <v>39</v>
      </c>
      <c r="C1405" s="27">
        <v>0</v>
      </c>
      <c r="D1405" s="27">
        <v>1</v>
      </c>
      <c r="E1405" s="27">
        <v>119</v>
      </c>
      <c r="F1405" s="27">
        <v>1</v>
      </c>
      <c r="G1405" s="27">
        <v>15</v>
      </c>
      <c r="H1405" s="27">
        <v>4</v>
      </c>
      <c r="I1405" s="27">
        <v>4</v>
      </c>
      <c r="J1405" s="27">
        <v>1</v>
      </c>
      <c r="K1405" s="27">
        <v>1975</v>
      </c>
      <c r="L1405" s="27">
        <v>2</v>
      </c>
      <c r="M1405" s="27">
        <v>1</v>
      </c>
      <c r="N1405" s="27">
        <v>77</v>
      </c>
      <c r="O1405" s="27">
        <v>3</v>
      </c>
      <c r="P1405" s="27">
        <v>4</v>
      </c>
      <c r="Q1405" s="27">
        <v>1</v>
      </c>
      <c r="R1405" s="27">
        <v>1</v>
      </c>
      <c r="S1405" s="27">
        <v>1</v>
      </c>
      <c r="T1405" s="27">
        <v>13341</v>
      </c>
      <c r="U1405" s="27">
        <v>25098</v>
      </c>
      <c r="V1405" s="27">
        <v>0</v>
      </c>
      <c r="W1405" s="27">
        <v>0</v>
      </c>
      <c r="X1405" s="27">
        <v>12</v>
      </c>
      <c r="Y1405" s="27">
        <v>3</v>
      </c>
      <c r="Z1405" s="27">
        <v>1</v>
      </c>
      <c r="AA1405" s="27">
        <v>80</v>
      </c>
      <c r="AB1405" s="27">
        <v>0</v>
      </c>
      <c r="AC1405" s="27">
        <v>21</v>
      </c>
      <c r="AD1405" s="27">
        <v>3</v>
      </c>
      <c r="AE1405" s="27">
        <v>3</v>
      </c>
      <c r="AF1405" s="27">
        <v>20</v>
      </c>
      <c r="AG1405" s="27">
        <v>8</v>
      </c>
      <c r="AH1405" s="27">
        <v>11</v>
      </c>
      <c r="AI1405" s="28">
        <v>10</v>
      </c>
      <c r="AK1405" s="36">
        <v>1372</v>
      </c>
      <c r="AL1405" s="33">
        <v>11</v>
      </c>
      <c r="AM1405" s="33">
        <v>2</v>
      </c>
      <c r="AN1405" s="33">
        <v>1</v>
      </c>
      <c r="AO1405" s="33">
        <v>4</v>
      </c>
      <c r="AP1405" s="33">
        <v>0</v>
      </c>
      <c r="AQ1405" s="33">
        <v>1</v>
      </c>
      <c r="AR1405" s="33">
        <v>3</v>
      </c>
      <c r="AS1405" s="33">
        <v>0</v>
      </c>
      <c r="AT1405" s="33">
        <v>0</v>
      </c>
      <c r="AU1405" s="43">
        <v>0.15291968605698147</v>
      </c>
      <c r="AV1405" s="33">
        <v>0</v>
      </c>
      <c r="AW1405" s="33">
        <v>0</v>
      </c>
      <c r="AY1405" s="36">
        <v>1377</v>
      </c>
      <c r="AZ1405" s="33">
        <v>1</v>
      </c>
      <c r="BA1405" s="33">
        <v>4</v>
      </c>
      <c r="BB1405" s="33">
        <v>0</v>
      </c>
      <c r="BC1405" s="33">
        <v>2</v>
      </c>
      <c r="BD1405" s="43">
        <v>5.6717470552978752E-2</v>
      </c>
      <c r="BE1405" s="33">
        <v>0</v>
      </c>
      <c r="BF1405" s="33">
        <v>0</v>
      </c>
      <c r="CE1405" s="36">
        <v>1371</v>
      </c>
      <c r="CF1405" s="33">
        <v>14</v>
      </c>
      <c r="CG1405" s="33">
        <v>2</v>
      </c>
      <c r="CH1405" s="33">
        <v>2</v>
      </c>
      <c r="CI1405" s="33">
        <v>2</v>
      </c>
      <c r="CJ1405" s="33">
        <v>8</v>
      </c>
      <c r="CK1405" s="33">
        <v>0</v>
      </c>
      <c r="CL1405" s="33">
        <v>1</v>
      </c>
      <c r="CM1405" s="33">
        <v>4</v>
      </c>
      <c r="CN1405" s="33">
        <v>8</v>
      </c>
      <c r="CO1405" s="33">
        <v>1</v>
      </c>
      <c r="CP1405" s="43">
        <v>9.1758939540874274E-2</v>
      </c>
      <c r="CQ1405" s="33">
        <v>0</v>
      </c>
      <c r="CR1405" s="33">
        <v>0</v>
      </c>
    </row>
    <row r="1406" spans="1:96" ht="15" customHeight="1" x14ac:dyDescent="0.25">
      <c r="A1406" s="26">
        <v>1404</v>
      </c>
      <c r="B1406" s="27">
        <v>42</v>
      </c>
      <c r="C1406" s="27">
        <v>0</v>
      </c>
      <c r="D1406" s="27">
        <v>3</v>
      </c>
      <c r="E1406" s="27">
        <v>335</v>
      </c>
      <c r="F1406" s="27">
        <v>2</v>
      </c>
      <c r="G1406" s="27">
        <v>23</v>
      </c>
      <c r="H1406" s="27">
        <v>2</v>
      </c>
      <c r="I1406" s="27">
        <v>1</v>
      </c>
      <c r="J1406" s="27">
        <v>1</v>
      </c>
      <c r="K1406" s="27">
        <v>1976</v>
      </c>
      <c r="L1406" s="27">
        <v>4</v>
      </c>
      <c r="M1406" s="27">
        <v>1</v>
      </c>
      <c r="N1406" s="27">
        <v>37</v>
      </c>
      <c r="O1406" s="27">
        <v>2</v>
      </c>
      <c r="P1406" s="27">
        <v>2</v>
      </c>
      <c r="Q1406" s="27">
        <v>2</v>
      </c>
      <c r="R1406" s="27">
        <v>3</v>
      </c>
      <c r="S1406" s="27">
        <v>1</v>
      </c>
      <c r="T1406" s="27">
        <v>4332</v>
      </c>
      <c r="U1406" s="27">
        <v>14811</v>
      </c>
      <c r="V1406" s="27">
        <v>1</v>
      </c>
      <c r="W1406" s="27">
        <v>0</v>
      </c>
      <c r="X1406" s="27">
        <v>12</v>
      </c>
      <c r="Y1406" s="27">
        <v>3</v>
      </c>
      <c r="Z1406" s="27">
        <v>4</v>
      </c>
      <c r="AA1406" s="27">
        <v>80</v>
      </c>
      <c r="AB1406" s="27">
        <v>0</v>
      </c>
      <c r="AC1406" s="27">
        <v>20</v>
      </c>
      <c r="AD1406" s="27">
        <v>2</v>
      </c>
      <c r="AE1406" s="27">
        <v>3</v>
      </c>
      <c r="AF1406" s="27">
        <v>20</v>
      </c>
      <c r="AG1406" s="27">
        <v>9</v>
      </c>
      <c r="AH1406" s="27">
        <v>3</v>
      </c>
      <c r="AI1406" s="28">
        <v>7</v>
      </c>
      <c r="AK1406" s="36">
        <v>1373</v>
      </c>
      <c r="AL1406" s="33">
        <v>9</v>
      </c>
      <c r="AM1406" s="33">
        <v>2</v>
      </c>
      <c r="AN1406" s="33">
        <v>1</v>
      </c>
      <c r="AO1406" s="33">
        <v>1</v>
      </c>
      <c r="AP1406" s="33">
        <v>0</v>
      </c>
      <c r="AQ1406" s="33">
        <v>1</v>
      </c>
      <c r="AR1406" s="33">
        <v>3</v>
      </c>
      <c r="AS1406" s="33">
        <v>10</v>
      </c>
      <c r="AT1406" s="33">
        <v>7</v>
      </c>
      <c r="AU1406" s="43">
        <v>0.12360533585029977</v>
      </c>
      <c r="AV1406" s="33">
        <v>0</v>
      </c>
      <c r="AW1406" s="33">
        <v>0</v>
      </c>
      <c r="AY1406" s="36">
        <v>1378</v>
      </c>
      <c r="AZ1406" s="33">
        <v>5</v>
      </c>
      <c r="BA1406" s="33">
        <v>4</v>
      </c>
      <c r="BB1406" s="33">
        <v>0</v>
      </c>
      <c r="BC1406" s="33">
        <v>0</v>
      </c>
      <c r="BD1406" s="43">
        <v>1.8169729095294188E-2</v>
      </c>
      <c r="BE1406" s="33">
        <v>0</v>
      </c>
      <c r="BF1406" s="33">
        <v>0</v>
      </c>
      <c r="CE1406" s="36">
        <v>1372</v>
      </c>
      <c r="CF1406" s="33">
        <v>11</v>
      </c>
      <c r="CG1406" s="33">
        <v>2</v>
      </c>
      <c r="CH1406" s="33">
        <v>1</v>
      </c>
      <c r="CI1406" s="33">
        <v>2</v>
      </c>
      <c r="CJ1406" s="33">
        <v>4</v>
      </c>
      <c r="CK1406" s="33">
        <v>0</v>
      </c>
      <c r="CL1406" s="33">
        <v>1</v>
      </c>
      <c r="CM1406" s="33">
        <v>3</v>
      </c>
      <c r="CN1406" s="33">
        <v>0</v>
      </c>
      <c r="CO1406" s="33">
        <v>0</v>
      </c>
      <c r="CP1406" s="43">
        <v>0.15309430724679016</v>
      </c>
      <c r="CQ1406" s="33">
        <v>0</v>
      </c>
      <c r="CR1406" s="33">
        <v>0</v>
      </c>
    </row>
    <row r="1407" spans="1:96" ht="15" customHeight="1" x14ac:dyDescent="0.25">
      <c r="A1407" s="26">
        <v>1405</v>
      </c>
      <c r="B1407" s="27">
        <v>31</v>
      </c>
      <c r="C1407" s="27">
        <v>0</v>
      </c>
      <c r="D1407" s="27">
        <v>3</v>
      </c>
      <c r="E1407" s="27">
        <v>697</v>
      </c>
      <c r="F1407" s="27">
        <v>2</v>
      </c>
      <c r="G1407" s="27">
        <v>10</v>
      </c>
      <c r="H1407" s="27">
        <v>3</v>
      </c>
      <c r="I1407" s="27">
        <v>3</v>
      </c>
      <c r="J1407" s="27">
        <v>1</v>
      </c>
      <c r="K1407" s="27">
        <v>1979</v>
      </c>
      <c r="L1407" s="27">
        <v>3</v>
      </c>
      <c r="M1407" s="27">
        <v>0</v>
      </c>
      <c r="N1407" s="27">
        <v>40</v>
      </c>
      <c r="O1407" s="27">
        <v>3</v>
      </c>
      <c r="P1407" s="27">
        <v>3</v>
      </c>
      <c r="Q1407" s="27">
        <v>8</v>
      </c>
      <c r="R1407" s="27">
        <v>3</v>
      </c>
      <c r="S1407" s="27">
        <v>2</v>
      </c>
      <c r="T1407" s="27">
        <v>11031</v>
      </c>
      <c r="U1407" s="27">
        <v>26862</v>
      </c>
      <c r="V1407" s="27">
        <v>4</v>
      </c>
      <c r="W1407" s="27">
        <v>0</v>
      </c>
      <c r="X1407" s="27">
        <v>20</v>
      </c>
      <c r="Y1407" s="27">
        <v>4</v>
      </c>
      <c r="Z1407" s="27">
        <v>3</v>
      </c>
      <c r="AA1407" s="27">
        <v>80</v>
      </c>
      <c r="AB1407" s="27">
        <v>1</v>
      </c>
      <c r="AC1407" s="27">
        <v>13</v>
      </c>
      <c r="AD1407" s="27">
        <v>2</v>
      </c>
      <c r="AE1407" s="27">
        <v>4</v>
      </c>
      <c r="AF1407" s="27">
        <v>11</v>
      </c>
      <c r="AG1407" s="27">
        <v>7</v>
      </c>
      <c r="AH1407" s="27">
        <v>4</v>
      </c>
      <c r="AI1407" s="28">
        <v>8</v>
      </c>
      <c r="AK1407" s="36">
        <v>1374</v>
      </c>
      <c r="AL1407" s="33">
        <v>8</v>
      </c>
      <c r="AM1407" s="33">
        <v>2</v>
      </c>
      <c r="AN1407" s="33">
        <v>2</v>
      </c>
      <c r="AO1407" s="33">
        <v>1</v>
      </c>
      <c r="AP1407" s="33">
        <v>1</v>
      </c>
      <c r="AQ1407" s="33">
        <v>1</v>
      </c>
      <c r="AR1407" s="33">
        <v>3</v>
      </c>
      <c r="AS1407" s="33">
        <v>20</v>
      </c>
      <c r="AT1407" s="33">
        <v>0</v>
      </c>
      <c r="AU1407" s="43">
        <v>8.9187033916680258E-2</v>
      </c>
      <c r="AV1407" s="33">
        <v>0</v>
      </c>
      <c r="AW1407" s="33">
        <v>0</v>
      </c>
      <c r="AY1407" s="36">
        <v>1379</v>
      </c>
      <c r="AZ1407" s="33">
        <v>2</v>
      </c>
      <c r="BA1407" s="33">
        <v>4</v>
      </c>
      <c r="BB1407" s="33">
        <v>1</v>
      </c>
      <c r="BC1407" s="33">
        <v>2</v>
      </c>
      <c r="BD1407" s="43">
        <v>0.12819971414072456</v>
      </c>
      <c r="BE1407" s="33">
        <v>0</v>
      </c>
      <c r="BF1407" s="33">
        <v>0</v>
      </c>
      <c r="CE1407" s="36">
        <v>1373</v>
      </c>
      <c r="CF1407" s="33">
        <v>9</v>
      </c>
      <c r="CG1407" s="33">
        <v>2</v>
      </c>
      <c r="CH1407" s="33">
        <v>1</v>
      </c>
      <c r="CI1407" s="33">
        <v>2</v>
      </c>
      <c r="CJ1407" s="33">
        <v>1</v>
      </c>
      <c r="CK1407" s="33">
        <v>0</v>
      </c>
      <c r="CL1407" s="33">
        <v>1</v>
      </c>
      <c r="CM1407" s="33">
        <v>3</v>
      </c>
      <c r="CN1407" s="33">
        <v>10</v>
      </c>
      <c r="CO1407" s="33">
        <v>7</v>
      </c>
      <c r="CP1407" s="43">
        <v>0.12505303614738605</v>
      </c>
      <c r="CQ1407" s="33">
        <v>0</v>
      </c>
      <c r="CR1407" s="33">
        <v>0</v>
      </c>
    </row>
    <row r="1408" spans="1:96" ht="15" customHeight="1" x14ac:dyDescent="0.25">
      <c r="A1408" s="26">
        <v>1406</v>
      </c>
      <c r="B1408" s="27">
        <v>54</v>
      </c>
      <c r="C1408" s="27">
        <v>0</v>
      </c>
      <c r="D1408" s="27">
        <v>1</v>
      </c>
      <c r="E1408" s="27">
        <v>157</v>
      </c>
      <c r="F1408" s="27">
        <v>2</v>
      </c>
      <c r="G1408" s="27">
        <v>10</v>
      </c>
      <c r="H1408" s="27">
        <v>3</v>
      </c>
      <c r="I1408" s="27">
        <v>3</v>
      </c>
      <c r="J1408" s="27">
        <v>1</v>
      </c>
      <c r="K1408" s="27">
        <v>1980</v>
      </c>
      <c r="L1408" s="27">
        <v>3</v>
      </c>
      <c r="M1408" s="27">
        <v>0</v>
      </c>
      <c r="N1408" s="27">
        <v>77</v>
      </c>
      <c r="O1408" s="27">
        <v>3</v>
      </c>
      <c r="P1408" s="27">
        <v>2</v>
      </c>
      <c r="Q1408" s="27">
        <v>4</v>
      </c>
      <c r="R1408" s="27">
        <v>1</v>
      </c>
      <c r="S1408" s="27">
        <v>1</v>
      </c>
      <c r="T1408" s="27">
        <v>4440</v>
      </c>
      <c r="U1408" s="27">
        <v>25198</v>
      </c>
      <c r="V1408" s="27">
        <v>6</v>
      </c>
      <c r="W1408" s="27">
        <v>1</v>
      </c>
      <c r="X1408" s="27">
        <v>19</v>
      </c>
      <c r="Y1408" s="27">
        <v>3</v>
      </c>
      <c r="Z1408" s="27">
        <v>4</v>
      </c>
      <c r="AA1408" s="27">
        <v>80</v>
      </c>
      <c r="AB1408" s="27">
        <v>0</v>
      </c>
      <c r="AC1408" s="27">
        <v>9</v>
      </c>
      <c r="AD1408" s="27">
        <v>3</v>
      </c>
      <c r="AE1408" s="27">
        <v>3</v>
      </c>
      <c r="AF1408" s="27">
        <v>5</v>
      </c>
      <c r="AG1408" s="27">
        <v>2</v>
      </c>
      <c r="AH1408" s="27">
        <v>1</v>
      </c>
      <c r="AI1408" s="28">
        <v>4</v>
      </c>
      <c r="AK1408" s="36">
        <v>1375</v>
      </c>
      <c r="AL1408" s="33">
        <v>21</v>
      </c>
      <c r="AM1408" s="33">
        <v>4</v>
      </c>
      <c r="AN1408" s="33">
        <v>4</v>
      </c>
      <c r="AO1408" s="33">
        <v>4</v>
      </c>
      <c r="AP1408" s="33">
        <v>1</v>
      </c>
      <c r="AQ1408" s="33">
        <v>1</v>
      </c>
      <c r="AR1408" s="33">
        <v>2</v>
      </c>
      <c r="AS1408" s="33">
        <v>1</v>
      </c>
      <c r="AT1408" s="33">
        <v>0</v>
      </c>
      <c r="AU1408" s="43">
        <v>0.15199401961543113</v>
      </c>
      <c r="AV1408" s="33">
        <v>0</v>
      </c>
      <c r="AW1408" s="33">
        <v>0</v>
      </c>
      <c r="AY1408" s="36">
        <v>1380</v>
      </c>
      <c r="AZ1408" s="33">
        <v>1</v>
      </c>
      <c r="BA1408" s="33">
        <v>2</v>
      </c>
      <c r="BB1408" s="33">
        <v>0</v>
      </c>
      <c r="BC1408" s="33">
        <v>0</v>
      </c>
      <c r="BD1408" s="43">
        <v>0.23662845161334917</v>
      </c>
      <c r="BE1408" s="33">
        <v>0</v>
      </c>
      <c r="BF1408" s="33">
        <v>1</v>
      </c>
      <c r="CE1408" s="36">
        <v>1374</v>
      </c>
      <c r="CF1408" s="33">
        <v>8</v>
      </c>
      <c r="CG1408" s="33">
        <v>2</v>
      </c>
      <c r="CH1408" s="33">
        <v>2</v>
      </c>
      <c r="CI1408" s="33">
        <v>3</v>
      </c>
      <c r="CJ1408" s="33">
        <v>1</v>
      </c>
      <c r="CK1408" s="33">
        <v>1</v>
      </c>
      <c r="CL1408" s="33">
        <v>1</v>
      </c>
      <c r="CM1408" s="33">
        <v>3</v>
      </c>
      <c r="CN1408" s="33">
        <v>20</v>
      </c>
      <c r="CO1408" s="33">
        <v>0</v>
      </c>
      <c r="CP1408" s="43">
        <v>5.3731966550622734E-2</v>
      </c>
      <c r="CQ1408" s="33">
        <v>0</v>
      </c>
      <c r="CR1408" s="33">
        <v>0</v>
      </c>
    </row>
    <row r="1409" spans="1:96" ht="15" customHeight="1" x14ac:dyDescent="0.25">
      <c r="A1409" s="26">
        <v>1407</v>
      </c>
      <c r="B1409" s="27">
        <v>24</v>
      </c>
      <c r="C1409" s="27">
        <v>0</v>
      </c>
      <c r="D1409" s="27">
        <v>1</v>
      </c>
      <c r="E1409" s="27">
        <v>771</v>
      </c>
      <c r="F1409" s="27">
        <v>2</v>
      </c>
      <c r="G1409" s="27">
        <v>1</v>
      </c>
      <c r="H1409" s="27">
        <v>2</v>
      </c>
      <c r="I1409" s="27">
        <v>1</v>
      </c>
      <c r="J1409" s="27">
        <v>1</v>
      </c>
      <c r="K1409" s="27">
        <v>1981</v>
      </c>
      <c r="L1409" s="27">
        <v>2</v>
      </c>
      <c r="M1409" s="27">
        <v>1</v>
      </c>
      <c r="N1409" s="27">
        <v>45</v>
      </c>
      <c r="O1409" s="27">
        <v>2</v>
      </c>
      <c r="P1409" s="27">
        <v>2</v>
      </c>
      <c r="Q1409" s="27">
        <v>5</v>
      </c>
      <c r="R1409" s="27">
        <v>3</v>
      </c>
      <c r="S1409" s="27">
        <v>1</v>
      </c>
      <c r="T1409" s="27">
        <v>4617</v>
      </c>
      <c r="U1409" s="27">
        <v>14120</v>
      </c>
      <c r="V1409" s="27">
        <v>1</v>
      </c>
      <c r="W1409" s="27">
        <v>0</v>
      </c>
      <c r="X1409" s="27">
        <v>12</v>
      </c>
      <c r="Y1409" s="27">
        <v>3</v>
      </c>
      <c r="Z1409" s="27">
        <v>2</v>
      </c>
      <c r="AA1409" s="27">
        <v>80</v>
      </c>
      <c r="AB1409" s="27">
        <v>0</v>
      </c>
      <c r="AC1409" s="27">
        <v>4</v>
      </c>
      <c r="AD1409" s="27">
        <v>2</v>
      </c>
      <c r="AE1409" s="27">
        <v>2</v>
      </c>
      <c r="AF1409" s="27">
        <v>4</v>
      </c>
      <c r="AG1409" s="27">
        <v>3</v>
      </c>
      <c r="AH1409" s="27">
        <v>1</v>
      </c>
      <c r="AI1409" s="28">
        <v>2</v>
      </c>
      <c r="AK1409" s="36">
        <v>1376</v>
      </c>
      <c r="AL1409" s="33">
        <v>5</v>
      </c>
      <c r="AM1409" s="33">
        <v>1</v>
      </c>
      <c r="AN1409" s="33">
        <v>3</v>
      </c>
      <c r="AO1409" s="33">
        <v>3</v>
      </c>
      <c r="AP1409" s="33">
        <v>1</v>
      </c>
      <c r="AQ1409" s="33">
        <v>0</v>
      </c>
      <c r="AR1409" s="33">
        <v>3</v>
      </c>
      <c r="AS1409" s="33">
        <v>4</v>
      </c>
      <c r="AT1409" s="33">
        <v>0</v>
      </c>
      <c r="AU1409" s="43">
        <v>0.43139262228133723</v>
      </c>
      <c r="AV1409" s="33">
        <v>0</v>
      </c>
      <c r="AW1409" s="33">
        <v>1</v>
      </c>
      <c r="AY1409" s="36">
        <v>1381</v>
      </c>
      <c r="AZ1409" s="33">
        <v>2</v>
      </c>
      <c r="BA1409" s="33">
        <v>1</v>
      </c>
      <c r="BB1409" s="33">
        <v>0</v>
      </c>
      <c r="BC1409" s="33">
        <v>1</v>
      </c>
      <c r="BD1409" s="43">
        <v>0.12293502213131684</v>
      </c>
      <c r="BE1409" s="33">
        <v>0</v>
      </c>
      <c r="BF1409" s="33">
        <v>0</v>
      </c>
      <c r="CE1409" s="36">
        <v>1375</v>
      </c>
      <c r="CF1409" s="33">
        <v>21</v>
      </c>
      <c r="CG1409" s="33">
        <v>4</v>
      </c>
      <c r="CH1409" s="33">
        <v>4</v>
      </c>
      <c r="CI1409" s="33">
        <v>2</v>
      </c>
      <c r="CJ1409" s="33">
        <v>4</v>
      </c>
      <c r="CK1409" s="33">
        <v>1</v>
      </c>
      <c r="CL1409" s="33">
        <v>1</v>
      </c>
      <c r="CM1409" s="33">
        <v>2</v>
      </c>
      <c r="CN1409" s="33">
        <v>1</v>
      </c>
      <c r="CO1409" s="33">
        <v>0</v>
      </c>
      <c r="CP1409" s="43">
        <v>0.15485134385303029</v>
      </c>
      <c r="CQ1409" s="33">
        <v>0</v>
      </c>
      <c r="CR1409" s="33">
        <v>0</v>
      </c>
    </row>
    <row r="1410" spans="1:96" ht="15" customHeight="1" x14ac:dyDescent="0.25">
      <c r="A1410" s="26">
        <v>1408</v>
      </c>
      <c r="B1410" s="27">
        <v>23</v>
      </c>
      <c r="C1410" s="27">
        <v>0</v>
      </c>
      <c r="D1410" s="27">
        <v>1</v>
      </c>
      <c r="E1410" s="27">
        <v>571</v>
      </c>
      <c r="F1410" s="27">
        <v>2</v>
      </c>
      <c r="G1410" s="27">
        <v>12</v>
      </c>
      <c r="H1410" s="27">
        <v>2</v>
      </c>
      <c r="I1410" s="27">
        <v>6</v>
      </c>
      <c r="J1410" s="27">
        <v>1</v>
      </c>
      <c r="K1410" s="27">
        <v>1982</v>
      </c>
      <c r="L1410" s="27">
        <v>4</v>
      </c>
      <c r="M1410" s="27">
        <v>1</v>
      </c>
      <c r="N1410" s="27">
        <v>78</v>
      </c>
      <c r="O1410" s="27">
        <v>3</v>
      </c>
      <c r="P1410" s="27">
        <v>1</v>
      </c>
      <c r="Q1410" s="27">
        <v>3</v>
      </c>
      <c r="R1410" s="27">
        <v>4</v>
      </c>
      <c r="S1410" s="27">
        <v>1</v>
      </c>
      <c r="T1410" s="27">
        <v>2647</v>
      </c>
      <c r="U1410" s="27">
        <v>13672</v>
      </c>
      <c r="V1410" s="27">
        <v>1</v>
      </c>
      <c r="W1410" s="27">
        <v>0</v>
      </c>
      <c r="X1410" s="27">
        <v>13</v>
      </c>
      <c r="Y1410" s="27">
        <v>3</v>
      </c>
      <c r="Z1410" s="27">
        <v>3</v>
      </c>
      <c r="AA1410" s="27">
        <v>80</v>
      </c>
      <c r="AB1410" s="27">
        <v>0</v>
      </c>
      <c r="AC1410" s="27">
        <v>5</v>
      </c>
      <c r="AD1410" s="27">
        <v>6</v>
      </c>
      <c r="AE1410" s="27">
        <v>4</v>
      </c>
      <c r="AF1410" s="27">
        <v>5</v>
      </c>
      <c r="AG1410" s="27">
        <v>2</v>
      </c>
      <c r="AH1410" s="27">
        <v>1</v>
      </c>
      <c r="AI1410" s="28">
        <v>4</v>
      </c>
      <c r="AK1410" s="36">
        <v>1377</v>
      </c>
      <c r="AL1410" s="33">
        <v>9</v>
      </c>
      <c r="AM1410" s="33">
        <v>1</v>
      </c>
      <c r="AN1410" s="33">
        <v>4</v>
      </c>
      <c r="AO1410" s="33">
        <v>2</v>
      </c>
      <c r="AP1410" s="33">
        <v>0</v>
      </c>
      <c r="AQ1410" s="33">
        <v>2</v>
      </c>
      <c r="AR1410" s="33">
        <v>4</v>
      </c>
      <c r="AS1410" s="33">
        <v>5</v>
      </c>
      <c r="AT1410" s="33">
        <v>0</v>
      </c>
      <c r="AU1410" s="43">
        <v>3.1315901487067907E-2</v>
      </c>
      <c r="AV1410" s="33">
        <v>0</v>
      </c>
      <c r="AW1410" s="33">
        <v>0</v>
      </c>
      <c r="AY1410" s="36">
        <v>1382</v>
      </c>
      <c r="AZ1410" s="33">
        <v>1</v>
      </c>
      <c r="BA1410" s="33">
        <v>3</v>
      </c>
      <c r="BB1410" s="33">
        <v>0</v>
      </c>
      <c r="BC1410" s="33">
        <v>0</v>
      </c>
      <c r="BD1410" s="43">
        <v>0.18791247240909698</v>
      </c>
      <c r="BE1410" s="33">
        <v>0</v>
      </c>
      <c r="BF1410" s="33">
        <v>0</v>
      </c>
      <c r="CE1410" s="36">
        <v>1376</v>
      </c>
      <c r="CF1410" s="33">
        <v>5</v>
      </c>
      <c r="CG1410" s="33">
        <v>1</v>
      </c>
      <c r="CH1410" s="33">
        <v>3</v>
      </c>
      <c r="CI1410" s="33">
        <v>1</v>
      </c>
      <c r="CJ1410" s="33">
        <v>3</v>
      </c>
      <c r="CK1410" s="33">
        <v>1</v>
      </c>
      <c r="CL1410" s="33">
        <v>0</v>
      </c>
      <c r="CM1410" s="33">
        <v>3</v>
      </c>
      <c r="CN1410" s="33">
        <v>4</v>
      </c>
      <c r="CO1410" s="33">
        <v>0</v>
      </c>
      <c r="CP1410" s="43">
        <v>0.48150114985988879</v>
      </c>
      <c r="CQ1410" s="33">
        <v>0</v>
      </c>
      <c r="CR1410" s="33">
        <v>1</v>
      </c>
    </row>
    <row r="1411" spans="1:96" ht="15" customHeight="1" x14ac:dyDescent="0.25">
      <c r="A1411" s="26">
        <v>1409</v>
      </c>
      <c r="B1411" s="27">
        <v>40</v>
      </c>
      <c r="C1411" s="27">
        <v>0</v>
      </c>
      <c r="D1411" s="27">
        <v>2</v>
      </c>
      <c r="E1411" s="27">
        <v>692</v>
      </c>
      <c r="F1411" s="27">
        <v>2</v>
      </c>
      <c r="G1411" s="27">
        <v>11</v>
      </c>
      <c r="H1411" s="27">
        <v>3</v>
      </c>
      <c r="I1411" s="27">
        <v>5</v>
      </c>
      <c r="J1411" s="27">
        <v>1</v>
      </c>
      <c r="K1411" s="27">
        <v>1985</v>
      </c>
      <c r="L1411" s="27">
        <v>4</v>
      </c>
      <c r="M1411" s="27">
        <v>0</v>
      </c>
      <c r="N1411" s="27">
        <v>73</v>
      </c>
      <c r="O1411" s="27">
        <v>3</v>
      </c>
      <c r="P1411" s="27">
        <v>2</v>
      </c>
      <c r="Q1411" s="27">
        <v>3</v>
      </c>
      <c r="R1411" s="27">
        <v>3</v>
      </c>
      <c r="S1411" s="27">
        <v>2</v>
      </c>
      <c r="T1411" s="27">
        <v>6323</v>
      </c>
      <c r="U1411" s="27">
        <v>26849</v>
      </c>
      <c r="V1411" s="27">
        <v>1</v>
      </c>
      <c r="W1411" s="27">
        <v>0</v>
      </c>
      <c r="X1411" s="27">
        <v>11</v>
      </c>
      <c r="Y1411" s="27">
        <v>3</v>
      </c>
      <c r="Z1411" s="27">
        <v>1</v>
      </c>
      <c r="AA1411" s="27">
        <v>80</v>
      </c>
      <c r="AB1411" s="27">
        <v>1</v>
      </c>
      <c r="AC1411" s="27">
        <v>10</v>
      </c>
      <c r="AD1411" s="27">
        <v>2</v>
      </c>
      <c r="AE1411" s="27">
        <v>4</v>
      </c>
      <c r="AF1411" s="27">
        <v>10</v>
      </c>
      <c r="AG1411" s="27">
        <v>9</v>
      </c>
      <c r="AH1411" s="27">
        <v>9</v>
      </c>
      <c r="AI1411" s="28">
        <v>4</v>
      </c>
      <c r="AK1411" s="36">
        <v>1378</v>
      </c>
      <c r="AL1411" s="33">
        <v>2</v>
      </c>
      <c r="AM1411" s="33">
        <v>5</v>
      </c>
      <c r="AN1411" s="33">
        <v>4</v>
      </c>
      <c r="AO1411" s="33">
        <v>3</v>
      </c>
      <c r="AP1411" s="33">
        <v>0</v>
      </c>
      <c r="AQ1411" s="33">
        <v>0</v>
      </c>
      <c r="AR1411" s="33">
        <v>3</v>
      </c>
      <c r="AS1411" s="33">
        <v>5</v>
      </c>
      <c r="AT1411" s="33">
        <v>4</v>
      </c>
      <c r="AU1411" s="43">
        <v>1.8534282428660686E-2</v>
      </c>
      <c r="AV1411" s="33">
        <v>0</v>
      </c>
      <c r="AW1411" s="33">
        <v>0</v>
      </c>
      <c r="AY1411" s="36">
        <v>1383</v>
      </c>
      <c r="AZ1411" s="33">
        <v>1</v>
      </c>
      <c r="BA1411" s="33">
        <v>1</v>
      </c>
      <c r="BB1411" s="33">
        <v>1</v>
      </c>
      <c r="BC1411" s="33">
        <v>1</v>
      </c>
      <c r="BD1411" s="43">
        <v>0.51155121875600029</v>
      </c>
      <c r="BE1411" s="33">
        <v>1</v>
      </c>
      <c r="BF1411" s="33">
        <v>0</v>
      </c>
      <c r="CE1411" s="36">
        <v>1377</v>
      </c>
      <c r="CF1411" s="33">
        <v>9</v>
      </c>
      <c r="CG1411" s="33">
        <v>1</v>
      </c>
      <c r="CH1411" s="33">
        <v>4</v>
      </c>
      <c r="CI1411" s="33">
        <v>3</v>
      </c>
      <c r="CJ1411" s="33">
        <v>2</v>
      </c>
      <c r="CK1411" s="33">
        <v>0</v>
      </c>
      <c r="CL1411" s="33">
        <v>2</v>
      </c>
      <c r="CM1411" s="33">
        <v>4</v>
      </c>
      <c r="CN1411" s="33">
        <v>5</v>
      </c>
      <c r="CO1411" s="33">
        <v>0</v>
      </c>
      <c r="CP1411" s="43">
        <v>2.3469367005242173E-2</v>
      </c>
      <c r="CQ1411" s="33">
        <v>0</v>
      </c>
      <c r="CR1411" s="33">
        <v>0</v>
      </c>
    </row>
    <row r="1412" spans="1:96" ht="15" customHeight="1" x14ac:dyDescent="0.25">
      <c r="A1412" s="26">
        <v>1410</v>
      </c>
      <c r="B1412" s="27">
        <v>40</v>
      </c>
      <c r="C1412" s="27">
        <v>0</v>
      </c>
      <c r="D1412" s="27">
        <v>1</v>
      </c>
      <c r="E1412" s="27">
        <v>444</v>
      </c>
      <c r="F1412" s="27">
        <v>1</v>
      </c>
      <c r="G1412" s="27">
        <v>2</v>
      </c>
      <c r="H1412" s="27">
        <v>2</v>
      </c>
      <c r="I1412" s="27">
        <v>4</v>
      </c>
      <c r="J1412" s="27">
        <v>1</v>
      </c>
      <c r="K1412" s="27">
        <v>1986</v>
      </c>
      <c r="L1412" s="27">
        <v>2</v>
      </c>
      <c r="M1412" s="27">
        <v>0</v>
      </c>
      <c r="N1412" s="27">
        <v>92</v>
      </c>
      <c r="O1412" s="27">
        <v>3</v>
      </c>
      <c r="P1412" s="27">
        <v>2</v>
      </c>
      <c r="Q1412" s="27">
        <v>1</v>
      </c>
      <c r="R1412" s="27">
        <v>2</v>
      </c>
      <c r="S1412" s="27">
        <v>2</v>
      </c>
      <c r="T1412" s="27">
        <v>5677</v>
      </c>
      <c r="U1412" s="27">
        <v>4258</v>
      </c>
      <c r="V1412" s="27">
        <v>3</v>
      </c>
      <c r="W1412" s="27">
        <v>0</v>
      </c>
      <c r="X1412" s="27">
        <v>14</v>
      </c>
      <c r="Y1412" s="27">
        <v>3</v>
      </c>
      <c r="Z1412" s="27">
        <v>3</v>
      </c>
      <c r="AA1412" s="27">
        <v>80</v>
      </c>
      <c r="AB1412" s="27">
        <v>1</v>
      </c>
      <c r="AC1412" s="27">
        <v>15</v>
      </c>
      <c r="AD1412" s="27">
        <v>4</v>
      </c>
      <c r="AE1412" s="27">
        <v>3</v>
      </c>
      <c r="AF1412" s="27">
        <v>11</v>
      </c>
      <c r="AG1412" s="27">
        <v>8</v>
      </c>
      <c r="AH1412" s="27">
        <v>5</v>
      </c>
      <c r="AI1412" s="28">
        <v>10</v>
      </c>
      <c r="AK1412" s="36">
        <v>1379</v>
      </c>
      <c r="AL1412" s="33">
        <v>12</v>
      </c>
      <c r="AM1412" s="33">
        <v>2</v>
      </c>
      <c r="AN1412" s="33">
        <v>4</v>
      </c>
      <c r="AO1412" s="33">
        <v>3</v>
      </c>
      <c r="AP1412" s="33">
        <v>1</v>
      </c>
      <c r="AQ1412" s="33">
        <v>2</v>
      </c>
      <c r="AR1412" s="33">
        <v>3</v>
      </c>
      <c r="AS1412" s="33">
        <v>0</v>
      </c>
      <c r="AT1412" s="33">
        <v>0</v>
      </c>
      <c r="AU1412" s="43">
        <v>0.15056836823316125</v>
      </c>
      <c r="AV1412" s="33">
        <v>0</v>
      </c>
      <c r="AW1412" s="33">
        <v>0</v>
      </c>
      <c r="AY1412" s="36">
        <v>1384</v>
      </c>
      <c r="AZ1412" s="33">
        <v>1</v>
      </c>
      <c r="BA1412" s="33">
        <v>2</v>
      </c>
      <c r="BB1412" s="33">
        <v>0</v>
      </c>
      <c r="BC1412" s="33">
        <v>0</v>
      </c>
      <c r="BD1412" s="43">
        <v>0.23662845161334917</v>
      </c>
      <c r="BE1412" s="33">
        <v>0</v>
      </c>
      <c r="BF1412" s="33">
        <v>0</v>
      </c>
      <c r="CE1412" s="36">
        <v>1378</v>
      </c>
      <c r="CF1412" s="33">
        <v>2</v>
      </c>
      <c r="CG1412" s="33">
        <v>5</v>
      </c>
      <c r="CH1412" s="33">
        <v>4</v>
      </c>
      <c r="CI1412" s="33">
        <v>2</v>
      </c>
      <c r="CJ1412" s="33">
        <v>3</v>
      </c>
      <c r="CK1412" s="33">
        <v>0</v>
      </c>
      <c r="CL1412" s="33">
        <v>0</v>
      </c>
      <c r="CM1412" s="33">
        <v>3</v>
      </c>
      <c r="CN1412" s="33">
        <v>5</v>
      </c>
      <c r="CO1412" s="33">
        <v>4</v>
      </c>
      <c r="CP1412" s="43">
        <v>1.3097422673468374E-2</v>
      </c>
      <c r="CQ1412" s="33">
        <v>0</v>
      </c>
      <c r="CR1412" s="33">
        <v>0</v>
      </c>
    </row>
    <row r="1413" spans="1:96" ht="15" customHeight="1" x14ac:dyDescent="0.25">
      <c r="A1413" s="26">
        <v>1411</v>
      </c>
      <c r="B1413" s="27">
        <v>25</v>
      </c>
      <c r="C1413" s="27">
        <v>0</v>
      </c>
      <c r="D1413" s="27">
        <v>1</v>
      </c>
      <c r="E1413" s="27">
        <v>309</v>
      </c>
      <c r="F1413" s="27">
        <v>3</v>
      </c>
      <c r="G1413" s="27">
        <v>2</v>
      </c>
      <c r="H1413" s="27">
        <v>3</v>
      </c>
      <c r="I1413" s="27">
        <v>2</v>
      </c>
      <c r="J1413" s="27">
        <v>1</v>
      </c>
      <c r="K1413" s="27">
        <v>1987</v>
      </c>
      <c r="L1413" s="27">
        <v>3</v>
      </c>
      <c r="M1413" s="27">
        <v>0</v>
      </c>
      <c r="N1413" s="27">
        <v>82</v>
      </c>
      <c r="O1413" s="27">
        <v>3</v>
      </c>
      <c r="P1413" s="27">
        <v>1</v>
      </c>
      <c r="Q1413" s="27">
        <v>9</v>
      </c>
      <c r="R1413" s="27">
        <v>2</v>
      </c>
      <c r="S1413" s="27">
        <v>2</v>
      </c>
      <c r="T1413" s="27">
        <v>2187</v>
      </c>
      <c r="U1413" s="27">
        <v>19655</v>
      </c>
      <c r="V1413" s="27">
        <v>4</v>
      </c>
      <c r="W1413" s="27">
        <v>0</v>
      </c>
      <c r="X1413" s="27">
        <v>14</v>
      </c>
      <c r="Y1413" s="27">
        <v>3</v>
      </c>
      <c r="Z1413" s="27">
        <v>3</v>
      </c>
      <c r="AA1413" s="27">
        <v>80</v>
      </c>
      <c r="AB1413" s="27">
        <v>0</v>
      </c>
      <c r="AC1413" s="27">
        <v>6</v>
      </c>
      <c r="AD1413" s="27">
        <v>3</v>
      </c>
      <c r="AE1413" s="27">
        <v>3</v>
      </c>
      <c r="AF1413" s="27">
        <v>2</v>
      </c>
      <c r="AG1413" s="27">
        <v>0</v>
      </c>
      <c r="AH1413" s="27">
        <v>1</v>
      </c>
      <c r="AI1413" s="28">
        <v>2</v>
      </c>
      <c r="AK1413" s="36">
        <v>1380</v>
      </c>
      <c r="AL1413" s="33">
        <v>22</v>
      </c>
      <c r="AM1413" s="33">
        <v>1</v>
      </c>
      <c r="AN1413" s="33">
        <v>2</v>
      </c>
      <c r="AO1413" s="33">
        <v>1</v>
      </c>
      <c r="AP1413" s="33">
        <v>0</v>
      </c>
      <c r="AQ1413" s="33">
        <v>0</v>
      </c>
      <c r="AR1413" s="33">
        <v>3</v>
      </c>
      <c r="AS1413" s="33">
        <v>1</v>
      </c>
      <c r="AT1413" s="33">
        <v>0</v>
      </c>
      <c r="AU1413" s="43">
        <v>0.30168822288061514</v>
      </c>
      <c r="AV1413" s="33">
        <v>0</v>
      </c>
      <c r="AW1413" s="33">
        <v>1</v>
      </c>
      <c r="AY1413" s="36">
        <v>1385</v>
      </c>
      <c r="AZ1413" s="33">
        <v>3</v>
      </c>
      <c r="BA1413" s="33">
        <v>4</v>
      </c>
      <c r="BB1413" s="33">
        <v>0</v>
      </c>
      <c r="BC1413" s="33">
        <v>0</v>
      </c>
      <c r="BD1413" s="43">
        <v>5.3512841598087578E-2</v>
      </c>
      <c r="BE1413" s="33">
        <v>0</v>
      </c>
      <c r="BF1413" s="33">
        <v>0</v>
      </c>
      <c r="CE1413" s="36">
        <v>1379</v>
      </c>
      <c r="CF1413" s="33">
        <v>12</v>
      </c>
      <c r="CG1413" s="33">
        <v>2</v>
      </c>
      <c r="CH1413" s="33">
        <v>4</v>
      </c>
      <c r="CI1413" s="33">
        <v>3</v>
      </c>
      <c r="CJ1413" s="33">
        <v>3</v>
      </c>
      <c r="CK1413" s="33">
        <v>1</v>
      </c>
      <c r="CL1413" s="33">
        <v>2</v>
      </c>
      <c r="CM1413" s="33">
        <v>3</v>
      </c>
      <c r="CN1413" s="33">
        <v>0</v>
      </c>
      <c r="CO1413" s="33">
        <v>0</v>
      </c>
      <c r="CP1413" s="43">
        <v>0.12395023600562109</v>
      </c>
      <c r="CQ1413" s="33">
        <v>0</v>
      </c>
      <c r="CR1413" s="33">
        <v>0</v>
      </c>
    </row>
    <row r="1414" spans="1:96" ht="15" customHeight="1" x14ac:dyDescent="0.25">
      <c r="A1414" s="26">
        <v>1412</v>
      </c>
      <c r="B1414" s="27">
        <v>30</v>
      </c>
      <c r="C1414" s="27">
        <v>0</v>
      </c>
      <c r="D1414" s="27">
        <v>1</v>
      </c>
      <c r="E1414" s="27">
        <v>911</v>
      </c>
      <c r="F1414" s="27">
        <v>2</v>
      </c>
      <c r="G1414" s="27">
        <v>1</v>
      </c>
      <c r="H1414" s="27">
        <v>2</v>
      </c>
      <c r="I1414" s="27">
        <v>3</v>
      </c>
      <c r="J1414" s="27">
        <v>1</v>
      </c>
      <c r="K1414" s="27">
        <v>1989</v>
      </c>
      <c r="L1414" s="27">
        <v>4</v>
      </c>
      <c r="M1414" s="27">
        <v>1</v>
      </c>
      <c r="N1414" s="27">
        <v>76</v>
      </c>
      <c r="O1414" s="27">
        <v>3</v>
      </c>
      <c r="P1414" s="27">
        <v>1</v>
      </c>
      <c r="Q1414" s="27">
        <v>3</v>
      </c>
      <c r="R1414" s="27">
        <v>2</v>
      </c>
      <c r="S1414" s="27">
        <v>2</v>
      </c>
      <c r="T1414" s="27">
        <v>3748</v>
      </c>
      <c r="U1414" s="27">
        <v>4077</v>
      </c>
      <c r="V1414" s="27">
        <v>1</v>
      </c>
      <c r="W1414" s="27">
        <v>0</v>
      </c>
      <c r="X1414" s="27">
        <v>13</v>
      </c>
      <c r="Y1414" s="27">
        <v>3</v>
      </c>
      <c r="Z1414" s="27">
        <v>3</v>
      </c>
      <c r="AA1414" s="27">
        <v>80</v>
      </c>
      <c r="AB1414" s="27">
        <v>0</v>
      </c>
      <c r="AC1414" s="27">
        <v>12</v>
      </c>
      <c r="AD1414" s="27">
        <v>6</v>
      </c>
      <c r="AE1414" s="27">
        <v>2</v>
      </c>
      <c r="AF1414" s="27">
        <v>12</v>
      </c>
      <c r="AG1414" s="27">
        <v>8</v>
      </c>
      <c r="AH1414" s="27">
        <v>1</v>
      </c>
      <c r="AI1414" s="28">
        <v>7</v>
      </c>
      <c r="AK1414" s="36">
        <v>1381</v>
      </c>
      <c r="AL1414" s="33">
        <v>18</v>
      </c>
      <c r="AM1414" s="33">
        <v>2</v>
      </c>
      <c r="AN1414" s="33">
        <v>1</v>
      </c>
      <c r="AO1414" s="33">
        <v>0</v>
      </c>
      <c r="AP1414" s="33">
        <v>0</v>
      </c>
      <c r="AQ1414" s="33">
        <v>1</v>
      </c>
      <c r="AR1414" s="33">
        <v>1</v>
      </c>
      <c r="AS1414" s="33">
        <v>5</v>
      </c>
      <c r="AT1414" s="33">
        <v>0</v>
      </c>
      <c r="AU1414" s="43">
        <v>0.15344540971481521</v>
      </c>
      <c r="AV1414" s="33">
        <v>0</v>
      </c>
      <c r="AW1414" s="33">
        <v>0</v>
      </c>
      <c r="AY1414" s="36">
        <v>1386</v>
      </c>
      <c r="AZ1414" s="33">
        <v>3</v>
      </c>
      <c r="BA1414" s="33">
        <v>3</v>
      </c>
      <c r="BB1414" s="33">
        <v>0</v>
      </c>
      <c r="BC1414" s="33">
        <v>1</v>
      </c>
      <c r="BD1414" s="43">
        <v>4.2774603045834733E-2</v>
      </c>
      <c r="BE1414" s="33">
        <v>0</v>
      </c>
      <c r="BF1414" s="33">
        <v>0</v>
      </c>
      <c r="CE1414" s="36">
        <v>1380</v>
      </c>
      <c r="CF1414" s="33">
        <v>22</v>
      </c>
      <c r="CG1414" s="33">
        <v>1</v>
      </c>
      <c r="CH1414" s="33">
        <v>2</v>
      </c>
      <c r="CI1414" s="33">
        <v>2</v>
      </c>
      <c r="CJ1414" s="33">
        <v>1</v>
      </c>
      <c r="CK1414" s="33">
        <v>0</v>
      </c>
      <c r="CL1414" s="33">
        <v>0</v>
      </c>
      <c r="CM1414" s="33">
        <v>3</v>
      </c>
      <c r="CN1414" s="33">
        <v>1</v>
      </c>
      <c r="CO1414" s="33">
        <v>0</v>
      </c>
      <c r="CP1414" s="43">
        <v>0.22791802840407141</v>
      </c>
      <c r="CQ1414" s="33">
        <v>0</v>
      </c>
      <c r="CR1414" s="33">
        <v>1</v>
      </c>
    </row>
    <row r="1415" spans="1:96" ht="15" customHeight="1" x14ac:dyDescent="0.25">
      <c r="A1415" s="26">
        <v>1413</v>
      </c>
      <c r="B1415" s="27">
        <v>25</v>
      </c>
      <c r="C1415" s="27">
        <v>0</v>
      </c>
      <c r="D1415" s="27">
        <v>1</v>
      </c>
      <c r="E1415" s="27">
        <v>977</v>
      </c>
      <c r="F1415" s="27">
        <v>2</v>
      </c>
      <c r="G1415" s="27">
        <v>2</v>
      </c>
      <c r="H1415" s="27">
        <v>1</v>
      </c>
      <c r="I1415" s="27">
        <v>6</v>
      </c>
      <c r="J1415" s="27">
        <v>1</v>
      </c>
      <c r="K1415" s="27">
        <v>1992</v>
      </c>
      <c r="L1415" s="27">
        <v>4</v>
      </c>
      <c r="M1415" s="27">
        <v>1</v>
      </c>
      <c r="N1415" s="27">
        <v>57</v>
      </c>
      <c r="O1415" s="27">
        <v>3</v>
      </c>
      <c r="P1415" s="27">
        <v>1</v>
      </c>
      <c r="Q1415" s="27">
        <v>3</v>
      </c>
      <c r="R1415" s="27">
        <v>3</v>
      </c>
      <c r="S1415" s="27">
        <v>3</v>
      </c>
      <c r="T1415" s="27">
        <v>3977</v>
      </c>
      <c r="U1415" s="27">
        <v>7298</v>
      </c>
      <c r="V1415" s="27">
        <v>6</v>
      </c>
      <c r="W1415" s="27">
        <v>1</v>
      </c>
      <c r="X1415" s="27">
        <v>19</v>
      </c>
      <c r="Y1415" s="27">
        <v>3</v>
      </c>
      <c r="Z1415" s="27">
        <v>3</v>
      </c>
      <c r="AA1415" s="27">
        <v>80</v>
      </c>
      <c r="AB1415" s="27">
        <v>1</v>
      </c>
      <c r="AC1415" s="27">
        <v>7</v>
      </c>
      <c r="AD1415" s="27">
        <v>2</v>
      </c>
      <c r="AE1415" s="27">
        <v>2</v>
      </c>
      <c r="AF1415" s="27">
        <v>2</v>
      </c>
      <c r="AG1415" s="27">
        <v>2</v>
      </c>
      <c r="AH1415" s="27">
        <v>0</v>
      </c>
      <c r="AI1415" s="28">
        <v>2</v>
      </c>
      <c r="AK1415" s="36">
        <v>1382</v>
      </c>
      <c r="AL1415" s="33">
        <v>16</v>
      </c>
      <c r="AM1415" s="33">
        <v>1</v>
      </c>
      <c r="AN1415" s="33">
        <v>3</v>
      </c>
      <c r="AO1415" s="33">
        <v>1</v>
      </c>
      <c r="AP1415" s="33">
        <v>0</v>
      </c>
      <c r="AQ1415" s="33">
        <v>0</v>
      </c>
      <c r="AR1415" s="33">
        <v>2</v>
      </c>
      <c r="AS1415" s="33">
        <v>5</v>
      </c>
      <c r="AT1415" s="33">
        <v>1</v>
      </c>
      <c r="AU1415" s="43">
        <v>0.2182915243614916</v>
      </c>
      <c r="AV1415" s="33">
        <v>0</v>
      </c>
      <c r="AW1415" s="33">
        <v>0</v>
      </c>
      <c r="AY1415" s="36">
        <v>1387</v>
      </c>
      <c r="AZ1415" s="33">
        <v>1</v>
      </c>
      <c r="BA1415" s="33">
        <v>1</v>
      </c>
      <c r="BB1415" s="33">
        <v>0</v>
      </c>
      <c r="BC1415" s="33">
        <v>0</v>
      </c>
      <c r="BD1415" s="43">
        <v>0.29341085656570393</v>
      </c>
      <c r="BE1415" s="33">
        <v>0</v>
      </c>
      <c r="BF1415" s="33">
        <v>0</v>
      </c>
      <c r="CE1415" s="36">
        <v>1381</v>
      </c>
      <c r="CF1415" s="33">
        <v>18</v>
      </c>
      <c r="CG1415" s="33">
        <v>2</v>
      </c>
      <c r="CH1415" s="33">
        <v>1</v>
      </c>
      <c r="CI1415" s="33">
        <v>2</v>
      </c>
      <c r="CJ1415" s="33">
        <v>0</v>
      </c>
      <c r="CK1415" s="33">
        <v>0</v>
      </c>
      <c r="CL1415" s="33">
        <v>1</v>
      </c>
      <c r="CM1415" s="33">
        <v>1</v>
      </c>
      <c r="CN1415" s="33">
        <v>5</v>
      </c>
      <c r="CO1415" s="33">
        <v>0</v>
      </c>
      <c r="CP1415" s="43">
        <v>0.15645659626203667</v>
      </c>
      <c r="CQ1415" s="33">
        <v>0</v>
      </c>
      <c r="CR1415" s="33">
        <v>0</v>
      </c>
    </row>
    <row r="1416" spans="1:96" ht="15" customHeight="1" x14ac:dyDescent="0.25">
      <c r="A1416" s="26">
        <v>1414</v>
      </c>
      <c r="B1416" s="27">
        <v>47</v>
      </c>
      <c r="C1416" s="27">
        <v>0</v>
      </c>
      <c r="D1416" s="27">
        <v>1</v>
      </c>
      <c r="E1416" s="27">
        <v>1180</v>
      </c>
      <c r="F1416" s="27">
        <v>2</v>
      </c>
      <c r="G1416" s="27">
        <v>25</v>
      </c>
      <c r="H1416" s="27">
        <v>3</v>
      </c>
      <c r="I1416" s="27">
        <v>3</v>
      </c>
      <c r="J1416" s="27">
        <v>1</v>
      </c>
      <c r="K1416" s="27">
        <v>1993</v>
      </c>
      <c r="L1416" s="27">
        <v>1</v>
      </c>
      <c r="M1416" s="27">
        <v>1</v>
      </c>
      <c r="N1416" s="27">
        <v>84</v>
      </c>
      <c r="O1416" s="27">
        <v>3</v>
      </c>
      <c r="P1416" s="27">
        <v>3</v>
      </c>
      <c r="Q1416" s="27">
        <v>5</v>
      </c>
      <c r="R1416" s="27">
        <v>3</v>
      </c>
      <c r="S1416" s="27">
        <v>1</v>
      </c>
      <c r="T1416" s="27">
        <v>8633</v>
      </c>
      <c r="U1416" s="27">
        <v>13084</v>
      </c>
      <c r="V1416" s="27">
        <v>2</v>
      </c>
      <c r="W1416" s="27">
        <v>0</v>
      </c>
      <c r="X1416" s="27">
        <v>23</v>
      </c>
      <c r="Y1416" s="27">
        <v>4</v>
      </c>
      <c r="Z1416" s="27">
        <v>2</v>
      </c>
      <c r="AA1416" s="27">
        <v>80</v>
      </c>
      <c r="AB1416" s="27">
        <v>0</v>
      </c>
      <c r="AC1416" s="27">
        <v>25</v>
      </c>
      <c r="AD1416" s="27">
        <v>3</v>
      </c>
      <c r="AE1416" s="27">
        <v>3</v>
      </c>
      <c r="AF1416" s="27">
        <v>17</v>
      </c>
      <c r="AG1416" s="27">
        <v>14</v>
      </c>
      <c r="AH1416" s="27">
        <v>12</v>
      </c>
      <c r="AI1416" s="28">
        <v>11</v>
      </c>
      <c r="AK1416" s="36">
        <v>1383</v>
      </c>
      <c r="AL1416" s="33">
        <v>3</v>
      </c>
      <c r="AM1416" s="33">
        <v>1</v>
      </c>
      <c r="AN1416" s="33">
        <v>1</v>
      </c>
      <c r="AO1416" s="33">
        <v>1</v>
      </c>
      <c r="AP1416" s="33">
        <v>1</v>
      </c>
      <c r="AQ1416" s="33">
        <v>1</v>
      </c>
      <c r="AR1416" s="33">
        <v>4</v>
      </c>
      <c r="AS1416" s="33">
        <v>4</v>
      </c>
      <c r="AT1416" s="33">
        <v>2</v>
      </c>
      <c r="AU1416" s="43">
        <v>0.37746411523739071</v>
      </c>
      <c r="AV1416" s="33">
        <v>0</v>
      </c>
      <c r="AW1416" s="33">
        <v>0</v>
      </c>
      <c r="AY1416" s="36">
        <v>1388</v>
      </c>
      <c r="AZ1416" s="33">
        <v>2</v>
      </c>
      <c r="BA1416" s="33">
        <v>1</v>
      </c>
      <c r="BB1416" s="33">
        <v>0</v>
      </c>
      <c r="BC1416" s="33">
        <v>1</v>
      </c>
      <c r="BD1416" s="43">
        <v>0.12293502213131684</v>
      </c>
      <c r="BE1416" s="33">
        <v>0</v>
      </c>
      <c r="BF1416" s="33">
        <v>0</v>
      </c>
      <c r="CE1416" s="36">
        <v>1382</v>
      </c>
      <c r="CF1416" s="33">
        <v>16</v>
      </c>
      <c r="CG1416" s="33">
        <v>1</v>
      </c>
      <c r="CH1416" s="33">
        <v>3</v>
      </c>
      <c r="CI1416" s="33">
        <v>1</v>
      </c>
      <c r="CJ1416" s="33">
        <v>1</v>
      </c>
      <c r="CK1416" s="33">
        <v>0</v>
      </c>
      <c r="CL1416" s="33">
        <v>0</v>
      </c>
      <c r="CM1416" s="33">
        <v>2</v>
      </c>
      <c r="CN1416" s="33">
        <v>5</v>
      </c>
      <c r="CO1416" s="33">
        <v>1</v>
      </c>
      <c r="CP1416" s="43">
        <v>0.24945245359508547</v>
      </c>
      <c r="CQ1416" s="33">
        <v>0</v>
      </c>
      <c r="CR1416" s="33">
        <v>0</v>
      </c>
    </row>
    <row r="1417" spans="1:96" ht="15" customHeight="1" x14ac:dyDescent="0.25">
      <c r="A1417" s="26">
        <v>1415</v>
      </c>
      <c r="B1417" s="27">
        <v>33</v>
      </c>
      <c r="C1417" s="27">
        <v>0</v>
      </c>
      <c r="D1417" s="27">
        <v>3</v>
      </c>
      <c r="E1417" s="27">
        <v>1313</v>
      </c>
      <c r="F1417" s="27">
        <v>2</v>
      </c>
      <c r="G1417" s="27">
        <v>1</v>
      </c>
      <c r="H1417" s="27">
        <v>2</v>
      </c>
      <c r="I1417" s="27">
        <v>3</v>
      </c>
      <c r="J1417" s="27">
        <v>1</v>
      </c>
      <c r="K1417" s="27">
        <v>1994</v>
      </c>
      <c r="L1417" s="27">
        <v>2</v>
      </c>
      <c r="M1417" s="27">
        <v>1</v>
      </c>
      <c r="N1417" s="27">
        <v>59</v>
      </c>
      <c r="O1417" s="27">
        <v>2</v>
      </c>
      <c r="P1417" s="27">
        <v>1</v>
      </c>
      <c r="Q1417" s="27">
        <v>3</v>
      </c>
      <c r="R1417" s="27">
        <v>3</v>
      </c>
      <c r="S1417" s="27">
        <v>3</v>
      </c>
      <c r="T1417" s="27">
        <v>2008</v>
      </c>
      <c r="U1417" s="27">
        <v>20439</v>
      </c>
      <c r="V1417" s="27">
        <v>1</v>
      </c>
      <c r="W1417" s="27">
        <v>0</v>
      </c>
      <c r="X1417" s="27">
        <v>12</v>
      </c>
      <c r="Y1417" s="27">
        <v>3</v>
      </c>
      <c r="Z1417" s="27">
        <v>3</v>
      </c>
      <c r="AA1417" s="27">
        <v>80</v>
      </c>
      <c r="AB1417" s="27">
        <v>3</v>
      </c>
      <c r="AC1417" s="27">
        <v>1</v>
      </c>
      <c r="AD1417" s="27">
        <v>2</v>
      </c>
      <c r="AE1417" s="27">
        <v>2</v>
      </c>
      <c r="AF1417" s="27">
        <v>1</v>
      </c>
      <c r="AG1417" s="27">
        <v>1</v>
      </c>
      <c r="AH1417" s="27">
        <v>0</v>
      </c>
      <c r="AI1417" s="28">
        <v>0</v>
      </c>
      <c r="AK1417" s="36">
        <v>1384</v>
      </c>
      <c r="AL1417" s="33">
        <v>9</v>
      </c>
      <c r="AM1417" s="33">
        <v>1</v>
      </c>
      <c r="AN1417" s="33">
        <v>2</v>
      </c>
      <c r="AO1417" s="33">
        <v>1</v>
      </c>
      <c r="AP1417" s="33">
        <v>0</v>
      </c>
      <c r="AQ1417" s="33">
        <v>0</v>
      </c>
      <c r="AR1417" s="33">
        <v>3</v>
      </c>
      <c r="AS1417" s="33">
        <v>5</v>
      </c>
      <c r="AT1417" s="33">
        <v>0</v>
      </c>
      <c r="AU1417" s="43">
        <v>0.17293548532082006</v>
      </c>
      <c r="AV1417" s="33">
        <v>0</v>
      </c>
      <c r="AW1417" s="33">
        <v>0</v>
      </c>
      <c r="AY1417" s="36">
        <v>1389</v>
      </c>
      <c r="AZ1417" s="33">
        <v>2</v>
      </c>
      <c r="BA1417" s="33">
        <v>4</v>
      </c>
      <c r="BB1417" s="33">
        <v>0</v>
      </c>
      <c r="BC1417" s="33">
        <v>1</v>
      </c>
      <c r="BD1417" s="43">
        <v>5.5093218126976727E-2</v>
      </c>
      <c r="BE1417" s="33">
        <v>0</v>
      </c>
      <c r="BF1417" s="33">
        <v>0</v>
      </c>
      <c r="CE1417" s="36">
        <v>1383</v>
      </c>
      <c r="CF1417" s="33">
        <v>3</v>
      </c>
      <c r="CG1417" s="33">
        <v>1</v>
      </c>
      <c r="CH1417" s="33">
        <v>1</v>
      </c>
      <c r="CI1417" s="33">
        <v>3</v>
      </c>
      <c r="CJ1417" s="33">
        <v>1</v>
      </c>
      <c r="CK1417" s="33">
        <v>1</v>
      </c>
      <c r="CL1417" s="33">
        <v>1</v>
      </c>
      <c r="CM1417" s="33">
        <v>4</v>
      </c>
      <c r="CN1417" s="33">
        <v>4</v>
      </c>
      <c r="CO1417" s="33">
        <v>2</v>
      </c>
      <c r="CP1417" s="43">
        <v>0.26141818759887631</v>
      </c>
      <c r="CQ1417" s="33">
        <v>0</v>
      </c>
      <c r="CR1417" s="33">
        <v>0</v>
      </c>
    </row>
    <row r="1418" spans="1:96" ht="15" customHeight="1" x14ac:dyDescent="0.25">
      <c r="A1418" s="26">
        <v>1416</v>
      </c>
      <c r="B1418" s="27">
        <v>38</v>
      </c>
      <c r="C1418" s="27">
        <v>0</v>
      </c>
      <c r="D1418" s="27">
        <v>1</v>
      </c>
      <c r="E1418" s="27">
        <v>1321</v>
      </c>
      <c r="F1418" s="27">
        <v>1</v>
      </c>
      <c r="G1418" s="27">
        <v>1</v>
      </c>
      <c r="H1418" s="27">
        <v>4</v>
      </c>
      <c r="I1418" s="27">
        <v>1</v>
      </c>
      <c r="J1418" s="27">
        <v>1</v>
      </c>
      <c r="K1418" s="27">
        <v>1995</v>
      </c>
      <c r="L1418" s="27">
        <v>4</v>
      </c>
      <c r="M1418" s="27">
        <v>1</v>
      </c>
      <c r="N1418" s="27">
        <v>86</v>
      </c>
      <c r="O1418" s="27">
        <v>3</v>
      </c>
      <c r="P1418" s="27">
        <v>2</v>
      </c>
      <c r="Q1418" s="27">
        <v>1</v>
      </c>
      <c r="R1418" s="27">
        <v>2</v>
      </c>
      <c r="S1418" s="27">
        <v>2</v>
      </c>
      <c r="T1418" s="27">
        <v>4440</v>
      </c>
      <c r="U1418" s="27">
        <v>7636</v>
      </c>
      <c r="V1418" s="27">
        <v>0</v>
      </c>
      <c r="W1418" s="27">
        <v>0</v>
      </c>
      <c r="X1418" s="27">
        <v>15</v>
      </c>
      <c r="Y1418" s="27">
        <v>3</v>
      </c>
      <c r="Z1418" s="27">
        <v>1</v>
      </c>
      <c r="AA1418" s="27">
        <v>80</v>
      </c>
      <c r="AB1418" s="27">
        <v>2</v>
      </c>
      <c r="AC1418" s="27">
        <v>16</v>
      </c>
      <c r="AD1418" s="27">
        <v>3</v>
      </c>
      <c r="AE1418" s="27">
        <v>3</v>
      </c>
      <c r="AF1418" s="27">
        <v>15</v>
      </c>
      <c r="AG1418" s="27">
        <v>13</v>
      </c>
      <c r="AH1418" s="27">
        <v>5</v>
      </c>
      <c r="AI1418" s="28">
        <v>8</v>
      </c>
      <c r="AK1418" s="36">
        <v>1385</v>
      </c>
      <c r="AL1418" s="33">
        <v>1</v>
      </c>
      <c r="AM1418" s="33">
        <v>3</v>
      </c>
      <c r="AN1418" s="33">
        <v>4</v>
      </c>
      <c r="AO1418" s="33">
        <v>1</v>
      </c>
      <c r="AP1418" s="33">
        <v>0</v>
      </c>
      <c r="AQ1418" s="33">
        <v>0</v>
      </c>
      <c r="AR1418" s="33">
        <v>2</v>
      </c>
      <c r="AS1418" s="33">
        <v>14</v>
      </c>
      <c r="AT1418" s="33">
        <v>2</v>
      </c>
      <c r="AU1418" s="43">
        <v>2.3869784138291186E-2</v>
      </c>
      <c r="AV1418" s="33">
        <v>0</v>
      </c>
      <c r="AW1418" s="33">
        <v>0</v>
      </c>
      <c r="AY1418" s="36">
        <v>1390</v>
      </c>
      <c r="AZ1418" s="33">
        <v>2</v>
      </c>
      <c r="BA1418" s="33">
        <v>1</v>
      </c>
      <c r="BB1418" s="33">
        <v>0</v>
      </c>
      <c r="BC1418" s="33">
        <v>0</v>
      </c>
      <c r="BD1418" s="43">
        <v>0.19196561144667343</v>
      </c>
      <c r="BE1418" s="33">
        <v>0</v>
      </c>
      <c r="BF1418" s="33">
        <v>0</v>
      </c>
      <c r="CE1418" s="36">
        <v>1384</v>
      </c>
      <c r="CF1418" s="33">
        <v>9</v>
      </c>
      <c r="CG1418" s="33">
        <v>1</v>
      </c>
      <c r="CH1418" s="33">
        <v>2</v>
      </c>
      <c r="CI1418" s="33">
        <v>2</v>
      </c>
      <c r="CJ1418" s="33">
        <v>1</v>
      </c>
      <c r="CK1418" s="33">
        <v>0</v>
      </c>
      <c r="CL1418" s="33">
        <v>0</v>
      </c>
      <c r="CM1418" s="33">
        <v>3</v>
      </c>
      <c r="CN1418" s="33">
        <v>5</v>
      </c>
      <c r="CO1418" s="33">
        <v>0</v>
      </c>
      <c r="CP1418" s="43">
        <v>0.12523151213132264</v>
      </c>
      <c r="CQ1418" s="33">
        <v>0</v>
      </c>
      <c r="CR1418" s="33">
        <v>0</v>
      </c>
    </row>
    <row r="1419" spans="1:96" ht="15" customHeight="1" x14ac:dyDescent="0.25">
      <c r="A1419" s="26">
        <v>1417</v>
      </c>
      <c r="B1419" s="27">
        <v>31</v>
      </c>
      <c r="C1419" s="27">
        <v>0</v>
      </c>
      <c r="D1419" s="27">
        <v>1</v>
      </c>
      <c r="E1419" s="27">
        <v>1154</v>
      </c>
      <c r="F1419" s="27">
        <v>1</v>
      </c>
      <c r="G1419" s="27">
        <v>2</v>
      </c>
      <c r="H1419" s="27">
        <v>2</v>
      </c>
      <c r="I1419" s="27">
        <v>1</v>
      </c>
      <c r="J1419" s="27">
        <v>1</v>
      </c>
      <c r="K1419" s="27">
        <v>1996</v>
      </c>
      <c r="L1419" s="27">
        <v>1</v>
      </c>
      <c r="M1419" s="27">
        <v>1</v>
      </c>
      <c r="N1419" s="27">
        <v>54</v>
      </c>
      <c r="O1419" s="27">
        <v>3</v>
      </c>
      <c r="P1419" s="27">
        <v>1</v>
      </c>
      <c r="Q1419" s="27">
        <v>7</v>
      </c>
      <c r="R1419" s="27">
        <v>3</v>
      </c>
      <c r="S1419" s="27">
        <v>2</v>
      </c>
      <c r="T1419" s="27">
        <v>3067</v>
      </c>
      <c r="U1419" s="27">
        <v>6393</v>
      </c>
      <c r="V1419" s="27">
        <v>0</v>
      </c>
      <c r="W1419" s="27">
        <v>0</v>
      </c>
      <c r="X1419" s="27">
        <v>19</v>
      </c>
      <c r="Y1419" s="27">
        <v>3</v>
      </c>
      <c r="Z1419" s="27">
        <v>3</v>
      </c>
      <c r="AA1419" s="27">
        <v>80</v>
      </c>
      <c r="AB1419" s="27">
        <v>1</v>
      </c>
      <c r="AC1419" s="27">
        <v>3</v>
      </c>
      <c r="AD1419" s="27">
        <v>1</v>
      </c>
      <c r="AE1419" s="27">
        <v>3</v>
      </c>
      <c r="AF1419" s="27">
        <v>2</v>
      </c>
      <c r="AG1419" s="27">
        <v>2</v>
      </c>
      <c r="AH1419" s="27">
        <v>1</v>
      </c>
      <c r="AI1419" s="28">
        <v>2</v>
      </c>
      <c r="AK1419" s="36">
        <v>1386</v>
      </c>
      <c r="AL1419" s="33">
        <v>13</v>
      </c>
      <c r="AM1419" s="33">
        <v>3</v>
      </c>
      <c r="AN1419" s="33">
        <v>3</v>
      </c>
      <c r="AO1419" s="33">
        <v>1</v>
      </c>
      <c r="AP1419" s="33">
        <v>0</v>
      </c>
      <c r="AQ1419" s="33">
        <v>1</v>
      </c>
      <c r="AR1419" s="33">
        <v>2</v>
      </c>
      <c r="AS1419" s="33">
        <v>8</v>
      </c>
      <c r="AT1419" s="33">
        <v>1</v>
      </c>
      <c r="AU1419" s="43">
        <v>3.6856807053773998E-2</v>
      </c>
      <c r="AV1419" s="33">
        <v>0</v>
      </c>
      <c r="AW1419" s="33">
        <v>0</v>
      </c>
      <c r="AY1419" s="36">
        <v>1391</v>
      </c>
      <c r="AZ1419" s="33">
        <v>1</v>
      </c>
      <c r="BA1419" s="33">
        <v>4</v>
      </c>
      <c r="BB1419" s="33">
        <v>0</v>
      </c>
      <c r="BC1419" s="33">
        <v>1</v>
      </c>
      <c r="BD1419" s="43">
        <v>9.2486413274924434E-2</v>
      </c>
      <c r="BE1419" s="33">
        <v>0</v>
      </c>
      <c r="BF1419" s="33">
        <v>1</v>
      </c>
      <c r="CE1419" s="36">
        <v>1385</v>
      </c>
      <c r="CF1419" s="33">
        <v>1</v>
      </c>
      <c r="CG1419" s="33">
        <v>3</v>
      </c>
      <c r="CH1419" s="33">
        <v>4</v>
      </c>
      <c r="CI1419" s="33">
        <v>1</v>
      </c>
      <c r="CJ1419" s="33">
        <v>1</v>
      </c>
      <c r="CK1419" s="33">
        <v>0</v>
      </c>
      <c r="CL1419" s="33">
        <v>0</v>
      </c>
      <c r="CM1419" s="33">
        <v>2</v>
      </c>
      <c r="CN1419" s="33">
        <v>14</v>
      </c>
      <c r="CO1419" s="33">
        <v>2</v>
      </c>
      <c r="CP1419" s="43">
        <v>2.848642147038433E-2</v>
      </c>
      <c r="CQ1419" s="33">
        <v>0</v>
      </c>
      <c r="CR1419" s="33">
        <v>0</v>
      </c>
    </row>
    <row r="1420" spans="1:96" ht="15" customHeight="1" x14ac:dyDescent="0.25">
      <c r="A1420" s="26">
        <v>1418</v>
      </c>
      <c r="B1420" s="27">
        <v>38</v>
      </c>
      <c r="C1420" s="27">
        <v>0</v>
      </c>
      <c r="D1420" s="27">
        <v>2</v>
      </c>
      <c r="E1420" s="27">
        <v>508</v>
      </c>
      <c r="F1420" s="27">
        <v>2</v>
      </c>
      <c r="G1420" s="27">
        <v>6</v>
      </c>
      <c r="H1420" s="27">
        <v>4</v>
      </c>
      <c r="I1420" s="27">
        <v>1</v>
      </c>
      <c r="J1420" s="27">
        <v>1</v>
      </c>
      <c r="K1420" s="27">
        <v>1997</v>
      </c>
      <c r="L1420" s="27">
        <v>1</v>
      </c>
      <c r="M1420" s="27">
        <v>1</v>
      </c>
      <c r="N1420" s="27">
        <v>72</v>
      </c>
      <c r="O1420" s="27">
        <v>2</v>
      </c>
      <c r="P1420" s="27">
        <v>2</v>
      </c>
      <c r="Q1420" s="27">
        <v>4</v>
      </c>
      <c r="R1420" s="27">
        <v>3</v>
      </c>
      <c r="S1420" s="27">
        <v>2</v>
      </c>
      <c r="T1420" s="27">
        <v>5321</v>
      </c>
      <c r="U1420" s="27">
        <v>14284</v>
      </c>
      <c r="V1420" s="27">
        <v>2</v>
      </c>
      <c r="W1420" s="27">
        <v>0</v>
      </c>
      <c r="X1420" s="27">
        <v>11</v>
      </c>
      <c r="Y1420" s="27">
        <v>3</v>
      </c>
      <c r="Z1420" s="27">
        <v>4</v>
      </c>
      <c r="AA1420" s="27">
        <v>80</v>
      </c>
      <c r="AB1420" s="27">
        <v>1</v>
      </c>
      <c r="AC1420" s="27">
        <v>10</v>
      </c>
      <c r="AD1420" s="27">
        <v>1</v>
      </c>
      <c r="AE1420" s="27">
        <v>3</v>
      </c>
      <c r="AF1420" s="27">
        <v>8</v>
      </c>
      <c r="AG1420" s="27">
        <v>3</v>
      </c>
      <c r="AH1420" s="27">
        <v>7</v>
      </c>
      <c r="AI1420" s="28">
        <v>7</v>
      </c>
      <c r="AK1420" s="36">
        <v>1387</v>
      </c>
      <c r="AL1420" s="33">
        <v>1</v>
      </c>
      <c r="AM1420" s="33">
        <v>1</v>
      </c>
      <c r="AN1420" s="33">
        <v>1</v>
      </c>
      <c r="AO1420" s="33">
        <v>0</v>
      </c>
      <c r="AP1420" s="33">
        <v>0</v>
      </c>
      <c r="AQ1420" s="33">
        <v>0</v>
      </c>
      <c r="AR1420" s="33">
        <v>2</v>
      </c>
      <c r="AS1420" s="33">
        <v>7</v>
      </c>
      <c r="AT1420" s="33">
        <v>7</v>
      </c>
      <c r="AU1420" s="43">
        <v>0.32207734358992463</v>
      </c>
      <c r="AV1420" s="33">
        <v>0</v>
      </c>
      <c r="AW1420" s="33">
        <v>0</v>
      </c>
      <c r="AY1420" s="36">
        <v>1392</v>
      </c>
      <c r="AZ1420" s="33">
        <v>1</v>
      </c>
      <c r="BA1420" s="33">
        <v>1</v>
      </c>
      <c r="BB1420" s="33">
        <v>0</v>
      </c>
      <c r="BC1420" s="33">
        <v>0</v>
      </c>
      <c r="BD1420" s="43">
        <v>0.29341085656570393</v>
      </c>
      <c r="BE1420" s="33">
        <v>0</v>
      </c>
      <c r="BF1420" s="33">
        <v>0</v>
      </c>
      <c r="CE1420" s="36">
        <v>1386</v>
      </c>
      <c r="CF1420" s="33">
        <v>13</v>
      </c>
      <c r="CG1420" s="33">
        <v>3</v>
      </c>
      <c r="CH1420" s="33">
        <v>3</v>
      </c>
      <c r="CI1420" s="33">
        <v>3</v>
      </c>
      <c r="CJ1420" s="33">
        <v>1</v>
      </c>
      <c r="CK1420" s="33">
        <v>0</v>
      </c>
      <c r="CL1420" s="33">
        <v>1</v>
      </c>
      <c r="CM1420" s="33">
        <v>2</v>
      </c>
      <c r="CN1420" s="33">
        <v>8</v>
      </c>
      <c r="CO1420" s="33">
        <v>1</v>
      </c>
      <c r="CP1420" s="43">
        <v>2.1220081584071706E-2</v>
      </c>
      <c r="CQ1420" s="33">
        <v>0</v>
      </c>
      <c r="CR1420" s="33">
        <v>0</v>
      </c>
    </row>
    <row r="1421" spans="1:96" ht="15" customHeight="1" x14ac:dyDescent="0.25">
      <c r="A1421" s="26">
        <v>1419</v>
      </c>
      <c r="B1421" s="27">
        <v>42</v>
      </c>
      <c r="C1421" s="27">
        <v>0</v>
      </c>
      <c r="D1421" s="27">
        <v>1</v>
      </c>
      <c r="E1421" s="27">
        <v>557</v>
      </c>
      <c r="F1421" s="27">
        <v>2</v>
      </c>
      <c r="G1421" s="27">
        <v>18</v>
      </c>
      <c r="H1421" s="27">
        <v>4</v>
      </c>
      <c r="I1421" s="27">
        <v>1</v>
      </c>
      <c r="J1421" s="27">
        <v>1</v>
      </c>
      <c r="K1421" s="27">
        <v>1998</v>
      </c>
      <c r="L1421" s="27">
        <v>4</v>
      </c>
      <c r="M1421" s="27">
        <v>1</v>
      </c>
      <c r="N1421" s="27">
        <v>35</v>
      </c>
      <c r="O1421" s="27">
        <v>3</v>
      </c>
      <c r="P1421" s="27">
        <v>2</v>
      </c>
      <c r="Q1421" s="27">
        <v>2</v>
      </c>
      <c r="R1421" s="27">
        <v>1</v>
      </c>
      <c r="S1421" s="27">
        <v>3</v>
      </c>
      <c r="T1421" s="27">
        <v>5410</v>
      </c>
      <c r="U1421" s="27">
        <v>11189</v>
      </c>
      <c r="V1421" s="27">
        <v>6</v>
      </c>
      <c r="W1421" s="27">
        <v>1</v>
      </c>
      <c r="X1421" s="27">
        <v>17</v>
      </c>
      <c r="Y1421" s="27">
        <v>3</v>
      </c>
      <c r="Z1421" s="27">
        <v>3</v>
      </c>
      <c r="AA1421" s="27">
        <v>80</v>
      </c>
      <c r="AB1421" s="27">
        <v>1</v>
      </c>
      <c r="AC1421" s="27">
        <v>9</v>
      </c>
      <c r="AD1421" s="27">
        <v>3</v>
      </c>
      <c r="AE1421" s="27">
        <v>2</v>
      </c>
      <c r="AF1421" s="27">
        <v>4</v>
      </c>
      <c r="AG1421" s="27">
        <v>3</v>
      </c>
      <c r="AH1421" s="27">
        <v>1</v>
      </c>
      <c r="AI1421" s="28">
        <v>2</v>
      </c>
      <c r="AK1421" s="36">
        <v>1388</v>
      </c>
      <c r="AL1421" s="33">
        <v>1</v>
      </c>
      <c r="AM1421" s="33">
        <v>2</v>
      </c>
      <c r="AN1421" s="33">
        <v>1</v>
      </c>
      <c r="AO1421" s="33">
        <v>0</v>
      </c>
      <c r="AP1421" s="33">
        <v>0</v>
      </c>
      <c r="AQ1421" s="33">
        <v>1</v>
      </c>
      <c r="AR1421" s="33">
        <v>2</v>
      </c>
      <c r="AS1421" s="33">
        <v>5</v>
      </c>
      <c r="AT1421" s="33">
        <v>0</v>
      </c>
      <c r="AU1421" s="43">
        <v>7.5008558626769084E-2</v>
      </c>
      <c r="AV1421" s="33">
        <v>0</v>
      </c>
      <c r="AW1421" s="33">
        <v>0</v>
      </c>
      <c r="AY1421" s="36">
        <v>1393</v>
      </c>
      <c r="AZ1421" s="33">
        <v>2</v>
      </c>
      <c r="BA1421" s="33">
        <v>4</v>
      </c>
      <c r="BB1421" s="33">
        <v>1</v>
      </c>
      <c r="BC1421" s="33">
        <v>0</v>
      </c>
      <c r="BD1421" s="43">
        <v>0.29698480921718856</v>
      </c>
      <c r="BE1421" s="33">
        <v>0</v>
      </c>
      <c r="BF1421" s="33">
        <v>0</v>
      </c>
      <c r="CE1421" s="36">
        <v>1387</v>
      </c>
      <c r="CF1421" s="33">
        <v>1</v>
      </c>
      <c r="CG1421" s="33">
        <v>1</v>
      </c>
      <c r="CH1421" s="33">
        <v>1</v>
      </c>
      <c r="CI1421" s="33">
        <v>1</v>
      </c>
      <c r="CJ1421" s="33">
        <v>0</v>
      </c>
      <c r="CK1421" s="33">
        <v>0</v>
      </c>
      <c r="CL1421" s="33">
        <v>0</v>
      </c>
      <c r="CM1421" s="33">
        <v>2</v>
      </c>
      <c r="CN1421" s="33">
        <v>7</v>
      </c>
      <c r="CO1421" s="33">
        <v>7</v>
      </c>
      <c r="CP1421" s="43">
        <v>0.37443269222528047</v>
      </c>
      <c r="CQ1421" s="33">
        <v>0</v>
      </c>
      <c r="CR1421" s="33">
        <v>0</v>
      </c>
    </row>
    <row r="1422" spans="1:96" ht="15" customHeight="1" x14ac:dyDescent="0.25">
      <c r="A1422" s="26">
        <v>1420</v>
      </c>
      <c r="B1422" s="27">
        <v>41</v>
      </c>
      <c r="C1422" s="27">
        <v>0</v>
      </c>
      <c r="D1422" s="27">
        <v>1</v>
      </c>
      <c r="E1422" s="27">
        <v>642</v>
      </c>
      <c r="F1422" s="27">
        <v>2</v>
      </c>
      <c r="G1422" s="27">
        <v>1</v>
      </c>
      <c r="H1422" s="27">
        <v>3</v>
      </c>
      <c r="I1422" s="27">
        <v>1</v>
      </c>
      <c r="J1422" s="27">
        <v>1</v>
      </c>
      <c r="K1422" s="27">
        <v>1999</v>
      </c>
      <c r="L1422" s="27">
        <v>4</v>
      </c>
      <c r="M1422" s="27">
        <v>1</v>
      </c>
      <c r="N1422" s="27">
        <v>76</v>
      </c>
      <c r="O1422" s="27">
        <v>3</v>
      </c>
      <c r="P1422" s="27">
        <v>1</v>
      </c>
      <c r="Q1422" s="27">
        <v>2</v>
      </c>
      <c r="R1422" s="27">
        <v>4</v>
      </c>
      <c r="S1422" s="27">
        <v>2</v>
      </c>
      <c r="T1422" s="27">
        <v>2782</v>
      </c>
      <c r="U1422" s="27">
        <v>21412</v>
      </c>
      <c r="V1422" s="27">
        <v>3</v>
      </c>
      <c r="W1422" s="27">
        <v>0</v>
      </c>
      <c r="X1422" s="27">
        <v>22</v>
      </c>
      <c r="Y1422" s="27">
        <v>4</v>
      </c>
      <c r="Z1422" s="27">
        <v>1</v>
      </c>
      <c r="AA1422" s="27">
        <v>80</v>
      </c>
      <c r="AB1422" s="27">
        <v>1</v>
      </c>
      <c r="AC1422" s="27">
        <v>12</v>
      </c>
      <c r="AD1422" s="27">
        <v>3</v>
      </c>
      <c r="AE1422" s="27">
        <v>3</v>
      </c>
      <c r="AF1422" s="27">
        <v>5</v>
      </c>
      <c r="AG1422" s="27">
        <v>3</v>
      </c>
      <c r="AH1422" s="27">
        <v>1</v>
      </c>
      <c r="AI1422" s="28">
        <v>0</v>
      </c>
      <c r="AK1422" s="36">
        <v>1389</v>
      </c>
      <c r="AL1422" s="33">
        <v>15</v>
      </c>
      <c r="AM1422" s="33">
        <v>2</v>
      </c>
      <c r="AN1422" s="33">
        <v>4</v>
      </c>
      <c r="AO1422" s="33">
        <v>5</v>
      </c>
      <c r="AP1422" s="33">
        <v>0</v>
      </c>
      <c r="AQ1422" s="33">
        <v>1</v>
      </c>
      <c r="AR1422" s="33">
        <v>3</v>
      </c>
      <c r="AS1422" s="33">
        <v>5</v>
      </c>
      <c r="AT1422" s="33">
        <v>1</v>
      </c>
      <c r="AU1422" s="43">
        <v>6.8077222369251816E-2</v>
      </c>
      <c r="AV1422" s="33">
        <v>0</v>
      </c>
      <c r="AW1422" s="33">
        <v>0</v>
      </c>
      <c r="AY1422" s="36">
        <v>1394</v>
      </c>
      <c r="AZ1422" s="33">
        <v>2</v>
      </c>
      <c r="BA1422" s="33">
        <v>4</v>
      </c>
      <c r="BB1422" s="33">
        <v>0</v>
      </c>
      <c r="BC1422" s="33">
        <v>0</v>
      </c>
      <c r="BD1422" s="43">
        <v>8.9935487507215722E-2</v>
      </c>
      <c r="BE1422" s="33">
        <v>0</v>
      </c>
      <c r="BF1422" s="33">
        <v>0</v>
      </c>
      <c r="CE1422" s="36">
        <v>1388</v>
      </c>
      <c r="CF1422" s="33">
        <v>1</v>
      </c>
      <c r="CG1422" s="33">
        <v>2</v>
      </c>
      <c r="CH1422" s="33">
        <v>1</v>
      </c>
      <c r="CI1422" s="33">
        <v>2</v>
      </c>
      <c r="CJ1422" s="33">
        <v>0</v>
      </c>
      <c r="CK1422" s="33">
        <v>0</v>
      </c>
      <c r="CL1422" s="33">
        <v>1</v>
      </c>
      <c r="CM1422" s="33">
        <v>2</v>
      </c>
      <c r="CN1422" s="33">
        <v>5</v>
      </c>
      <c r="CO1422" s="33">
        <v>0</v>
      </c>
      <c r="CP1422" s="43">
        <v>7.5850441283168618E-2</v>
      </c>
      <c r="CQ1422" s="33">
        <v>0</v>
      </c>
      <c r="CR1422" s="33">
        <v>0</v>
      </c>
    </row>
    <row r="1423" spans="1:96" ht="15" customHeight="1" x14ac:dyDescent="0.25">
      <c r="A1423" s="26">
        <v>1421</v>
      </c>
      <c r="B1423" s="27">
        <v>47</v>
      </c>
      <c r="C1423" s="27">
        <v>0</v>
      </c>
      <c r="D1423" s="27">
        <v>3</v>
      </c>
      <c r="E1423" s="27">
        <v>1162</v>
      </c>
      <c r="F1423" s="27">
        <v>2</v>
      </c>
      <c r="G1423" s="27">
        <v>1</v>
      </c>
      <c r="H1423" s="27">
        <v>1</v>
      </c>
      <c r="I1423" s="27">
        <v>3</v>
      </c>
      <c r="J1423" s="27">
        <v>1</v>
      </c>
      <c r="K1423" s="27">
        <v>2000</v>
      </c>
      <c r="L1423" s="27">
        <v>3</v>
      </c>
      <c r="M1423" s="27">
        <v>0</v>
      </c>
      <c r="N1423" s="27">
        <v>98</v>
      </c>
      <c r="O1423" s="27">
        <v>3</v>
      </c>
      <c r="P1423" s="27">
        <v>3</v>
      </c>
      <c r="Q1423" s="27">
        <v>8</v>
      </c>
      <c r="R1423" s="27">
        <v>2</v>
      </c>
      <c r="S1423" s="27">
        <v>2</v>
      </c>
      <c r="T1423" s="27">
        <v>11957</v>
      </c>
      <c r="U1423" s="27">
        <v>17231</v>
      </c>
      <c r="V1423" s="27">
        <v>0</v>
      </c>
      <c r="W1423" s="27">
        <v>0</v>
      </c>
      <c r="X1423" s="27">
        <v>18</v>
      </c>
      <c r="Y1423" s="27">
        <v>3</v>
      </c>
      <c r="Z1423" s="27">
        <v>1</v>
      </c>
      <c r="AA1423" s="27">
        <v>80</v>
      </c>
      <c r="AB1423" s="27">
        <v>2</v>
      </c>
      <c r="AC1423" s="27">
        <v>14</v>
      </c>
      <c r="AD1423" s="27">
        <v>3</v>
      </c>
      <c r="AE1423" s="27">
        <v>1</v>
      </c>
      <c r="AF1423" s="27">
        <v>13</v>
      </c>
      <c r="AG1423" s="27">
        <v>8</v>
      </c>
      <c r="AH1423" s="27">
        <v>5</v>
      </c>
      <c r="AI1423" s="28">
        <v>12</v>
      </c>
      <c r="AK1423" s="36">
        <v>1390</v>
      </c>
      <c r="AL1423" s="33">
        <v>1</v>
      </c>
      <c r="AM1423" s="33">
        <v>2</v>
      </c>
      <c r="AN1423" s="33">
        <v>1</v>
      </c>
      <c r="AO1423" s="33">
        <v>1</v>
      </c>
      <c r="AP1423" s="33">
        <v>0</v>
      </c>
      <c r="AQ1423" s="33">
        <v>0</v>
      </c>
      <c r="AR1423" s="33">
        <v>3</v>
      </c>
      <c r="AS1423" s="33">
        <v>10</v>
      </c>
      <c r="AT1423" s="33">
        <v>8</v>
      </c>
      <c r="AU1423" s="43">
        <v>0.17547079405954957</v>
      </c>
      <c r="AV1423" s="33">
        <v>0</v>
      </c>
      <c r="AW1423" s="33">
        <v>0</v>
      </c>
      <c r="AY1423" s="36">
        <v>1395</v>
      </c>
      <c r="AZ1423" s="33">
        <v>2</v>
      </c>
      <c r="BA1423" s="33">
        <v>4</v>
      </c>
      <c r="BB1423" s="33">
        <v>0</v>
      </c>
      <c r="BC1423" s="33">
        <v>0</v>
      </c>
      <c r="BD1423" s="43">
        <v>8.9935487507215722E-2</v>
      </c>
      <c r="BE1423" s="33">
        <v>0</v>
      </c>
      <c r="BF1423" s="33">
        <v>0</v>
      </c>
      <c r="CE1423" s="36">
        <v>1389</v>
      </c>
      <c r="CF1423" s="33">
        <v>15</v>
      </c>
      <c r="CG1423" s="33">
        <v>2</v>
      </c>
      <c r="CH1423" s="33">
        <v>4</v>
      </c>
      <c r="CI1423" s="33">
        <v>3</v>
      </c>
      <c r="CJ1423" s="33">
        <v>5</v>
      </c>
      <c r="CK1423" s="33">
        <v>0</v>
      </c>
      <c r="CL1423" s="33">
        <v>1</v>
      </c>
      <c r="CM1423" s="33">
        <v>3</v>
      </c>
      <c r="CN1423" s="33">
        <v>5</v>
      </c>
      <c r="CO1423" s="33">
        <v>1</v>
      </c>
      <c r="CP1423" s="43">
        <v>3.8282098206022602E-2</v>
      </c>
      <c r="CQ1423" s="33">
        <v>0</v>
      </c>
      <c r="CR1423" s="33">
        <v>0</v>
      </c>
    </row>
    <row r="1424" spans="1:96" ht="15" customHeight="1" x14ac:dyDescent="0.25">
      <c r="A1424" s="26">
        <v>1422</v>
      </c>
      <c r="B1424" s="27">
        <v>35</v>
      </c>
      <c r="C1424" s="27">
        <v>0</v>
      </c>
      <c r="D1424" s="27">
        <v>1</v>
      </c>
      <c r="E1424" s="27">
        <v>1490</v>
      </c>
      <c r="F1424" s="27">
        <v>2</v>
      </c>
      <c r="G1424" s="27">
        <v>11</v>
      </c>
      <c r="H1424" s="27">
        <v>4</v>
      </c>
      <c r="I1424" s="27">
        <v>3</v>
      </c>
      <c r="J1424" s="27">
        <v>1</v>
      </c>
      <c r="K1424" s="27">
        <v>2003</v>
      </c>
      <c r="L1424" s="27">
        <v>4</v>
      </c>
      <c r="M1424" s="27">
        <v>1</v>
      </c>
      <c r="N1424" s="27">
        <v>43</v>
      </c>
      <c r="O1424" s="27">
        <v>3</v>
      </c>
      <c r="P1424" s="27">
        <v>1</v>
      </c>
      <c r="Q1424" s="27">
        <v>3</v>
      </c>
      <c r="R1424" s="27">
        <v>3</v>
      </c>
      <c r="S1424" s="27">
        <v>2</v>
      </c>
      <c r="T1424" s="27">
        <v>2660</v>
      </c>
      <c r="U1424" s="27">
        <v>20232</v>
      </c>
      <c r="V1424" s="27">
        <v>7</v>
      </c>
      <c r="W1424" s="27">
        <v>1</v>
      </c>
      <c r="X1424" s="27">
        <v>11</v>
      </c>
      <c r="Y1424" s="27">
        <v>3</v>
      </c>
      <c r="Z1424" s="27">
        <v>3</v>
      </c>
      <c r="AA1424" s="27">
        <v>80</v>
      </c>
      <c r="AB1424" s="27">
        <v>1</v>
      </c>
      <c r="AC1424" s="27">
        <v>5</v>
      </c>
      <c r="AD1424" s="27">
        <v>3</v>
      </c>
      <c r="AE1424" s="27">
        <v>3</v>
      </c>
      <c r="AF1424" s="27">
        <v>2</v>
      </c>
      <c r="AG1424" s="27">
        <v>2</v>
      </c>
      <c r="AH1424" s="27">
        <v>2</v>
      </c>
      <c r="AI1424" s="28">
        <v>2</v>
      </c>
      <c r="AK1424" s="36">
        <v>1391</v>
      </c>
      <c r="AL1424" s="33">
        <v>17</v>
      </c>
      <c r="AM1424" s="33">
        <v>1</v>
      </c>
      <c r="AN1424" s="33">
        <v>4</v>
      </c>
      <c r="AO1424" s="33">
        <v>5</v>
      </c>
      <c r="AP1424" s="33">
        <v>0</v>
      </c>
      <c r="AQ1424" s="33">
        <v>1</v>
      </c>
      <c r="AR1424" s="33">
        <v>2</v>
      </c>
      <c r="AS1424" s="33">
        <v>4</v>
      </c>
      <c r="AT1424" s="33">
        <v>0</v>
      </c>
      <c r="AU1424" s="43">
        <v>0.1410664525968523</v>
      </c>
      <c r="AV1424" s="33">
        <v>0</v>
      </c>
      <c r="AW1424" s="33">
        <v>1</v>
      </c>
      <c r="AY1424" s="36">
        <v>1396</v>
      </c>
      <c r="AZ1424" s="33">
        <v>2</v>
      </c>
      <c r="BA1424" s="33">
        <v>4</v>
      </c>
      <c r="BB1424" s="33">
        <v>1</v>
      </c>
      <c r="BC1424" s="33">
        <v>0</v>
      </c>
      <c r="BD1424" s="43">
        <v>0.29698480921718856</v>
      </c>
      <c r="BE1424" s="33">
        <v>0</v>
      </c>
      <c r="BF1424" s="33">
        <v>1</v>
      </c>
      <c r="CE1424" s="36">
        <v>1390</v>
      </c>
      <c r="CF1424" s="33">
        <v>1</v>
      </c>
      <c r="CG1424" s="33">
        <v>2</v>
      </c>
      <c r="CH1424" s="33">
        <v>1</v>
      </c>
      <c r="CI1424" s="33">
        <v>2</v>
      </c>
      <c r="CJ1424" s="33">
        <v>1</v>
      </c>
      <c r="CK1424" s="33">
        <v>0</v>
      </c>
      <c r="CL1424" s="33">
        <v>0</v>
      </c>
      <c r="CM1424" s="33">
        <v>3</v>
      </c>
      <c r="CN1424" s="33">
        <v>10</v>
      </c>
      <c r="CO1424" s="33">
        <v>8</v>
      </c>
      <c r="CP1424" s="43">
        <v>0.13325633159459468</v>
      </c>
      <c r="CQ1424" s="33">
        <v>0</v>
      </c>
      <c r="CR1424" s="33">
        <v>0</v>
      </c>
    </row>
    <row r="1425" spans="1:96" ht="15" customHeight="1" x14ac:dyDescent="0.25">
      <c r="A1425" s="26">
        <v>1423</v>
      </c>
      <c r="B1425" s="27">
        <v>22</v>
      </c>
      <c r="C1425" s="27">
        <v>0</v>
      </c>
      <c r="D1425" s="27">
        <v>1</v>
      </c>
      <c r="E1425" s="27">
        <v>581</v>
      </c>
      <c r="F1425" s="27">
        <v>2</v>
      </c>
      <c r="G1425" s="27">
        <v>1</v>
      </c>
      <c r="H1425" s="27">
        <v>2</v>
      </c>
      <c r="I1425" s="27">
        <v>1</v>
      </c>
      <c r="J1425" s="27">
        <v>1</v>
      </c>
      <c r="K1425" s="27">
        <v>2007</v>
      </c>
      <c r="L1425" s="27">
        <v>4</v>
      </c>
      <c r="M1425" s="27">
        <v>1</v>
      </c>
      <c r="N1425" s="27">
        <v>63</v>
      </c>
      <c r="O1425" s="27">
        <v>3</v>
      </c>
      <c r="P1425" s="27">
        <v>1</v>
      </c>
      <c r="Q1425" s="27">
        <v>2</v>
      </c>
      <c r="R1425" s="27">
        <v>3</v>
      </c>
      <c r="S1425" s="27">
        <v>1</v>
      </c>
      <c r="T1425" s="27">
        <v>3375</v>
      </c>
      <c r="U1425" s="27">
        <v>17624</v>
      </c>
      <c r="V1425" s="27">
        <v>0</v>
      </c>
      <c r="W1425" s="27">
        <v>0</v>
      </c>
      <c r="X1425" s="27">
        <v>12</v>
      </c>
      <c r="Y1425" s="27">
        <v>3</v>
      </c>
      <c r="Z1425" s="27">
        <v>4</v>
      </c>
      <c r="AA1425" s="27">
        <v>80</v>
      </c>
      <c r="AB1425" s="27">
        <v>0</v>
      </c>
      <c r="AC1425" s="27">
        <v>4</v>
      </c>
      <c r="AD1425" s="27">
        <v>2</v>
      </c>
      <c r="AE1425" s="27">
        <v>4</v>
      </c>
      <c r="AF1425" s="27">
        <v>3</v>
      </c>
      <c r="AG1425" s="27">
        <v>2</v>
      </c>
      <c r="AH1425" s="27">
        <v>1</v>
      </c>
      <c r="AI1425" s="28">
        <v>2</v>
      </c>
      <c r="AK1425" s="36">
        <v>1392</v>
      </c>
      <c r="AL1425" s="33">
        <v>1</v>
      </c>
      <c r="AM1425" s="33">
        <v>1</v>
      </c>
      <c r="AN1425" s="33">
        <v>1</v>
      </c>
      <c r="AO1425" s="33">
        <v>4</v>
      </c>
      <c r="AP1425" s="33">
        <v>0</v>
      </c>
      <c r="AQ1425" s="33">
        <v>0</v>
      </c>
      <c r="AR1425" s="33">
        <v>2</v>
      </c>
      <c r="AS1425" s="33">
        <v>1</v>
      </c>
      <c r="AT1425" s="33">
        <v>0</v>
      </c>
      <c r="AU1425" s="43">
        <v>0.31667193433830088</v>
      </c>
      <c r="AV1425" s="33">
        <v>0</v>
      </c>
      <c r="AW1425" s="33">
        <v>0</v>
      </c>
      <c r="AY1425" s="36">
        <v>1397</v>
      </c>
      <c r="AZ1425" s="33">
        <v>3</v>
      </c>
      <c r="BA1425" s="33">
        <v>1</v>
      </c>
      <c r="BB1425" s="33">
        <v>1</v>
      </c>
      <c r="BC1425" s="33">
        <v>0</v>
      </c>
      <c r="BD1425" s="43">
        <v>0.36749559266393544</v>
      </c>
      <c r="BE1425" s="33">
        <v>0</v>
      </c>
      <c r="BF1425" s="33">
        <v>1</v>
      </c>
      <c r="CE1425" s="36">
        <v>1391</v>
      </c>
      <c r="CF1425" s="33">
        <v>17</v>
      </c>
      <c r="CG1425" s="33">
        <v>1</v>
      </c>
      <c r="CH1425" s="33">
        <v>4</v>
      </c>
      <c r="CI1425" s="33">
        <v>3</v>
      </c>
      <c r="CJ1425" s="33">
        <v>5</v>
      </c>
      <c r="CK1425" s="33">
        <v>0</v>
      </c>
      <c r="CL1425" s="33">
        <v>1</v>
      </c>
      <c r="CM1425" s="33">
        <v>2</v>
      </c>
      <c r="CN1425" s="33">
        <v>4</v>
      </c>
      <c r="CO1425" s="33">
        <v>0</v>
      </c>
      <c r="CP1425" s="43">
        <v>8.2276978193416422E-2</v>
      </c>
      <c r="CQ1425" s="33">
        <v>0</v>
      </c>
      <c r="CR1425" s="33">
        <v>1</v>
      </c>
    </row>
    <row r="1426" spans="1:96" ht="15" customHeight="1" x14ac:dyDescent="0.25">
      <c r="A1426" s="26">
        <v>1424</v>
      </c>
      <c r="B1426" s="27">
        <v>35</v>
      </c>
      <c r="C1426" s="27">
        <v>0</v>
      </c>
      <c r="D1426" s="27">
        <v>1</v>
      </c>
      <c r="E1426" s="27">
        <v>1395</v>
      </c>
      <c r="F1426" s="27">
        <v>2</v>
      </c>
      <c r="G1426" s="27">
        <v>9</v>
      </c>
      <c r="H1426" s="27">
        <v>4</v>
      </c>
      <c r="I1426" s="27">
        <v>3</v>
      </c>
      <c r="J1426" s="27">
        <v>1</v>
      </c>
      <c r="K1426" s="27">
        <v>2008</v>
      </c>
      <c r="L1426" s="27">
        <v>2</v>
      </c>
      <c r="M1426" s="27">
        <v>1</v>
      </c>
      <c r="N1426" s="27">
        <v>48</v>
      </c>
      <c r="O1426" s="27">
        <v>3</v>
      </c>
      <c r="P1426" s="27">
        <v>2</v>
      </c>
      <c r="Q1426" s="27">
        <v>2</v>
      </c>
      <c r="R1426" s="27">
        <v>3</v>
      </c>
      <c r="S1426" s="27">
        <v>1</v>
      </c>
      <c r="T1426" s="27">
        <v>5098</v>
      </c>
      <c r="U1426" s="27">
        <v>18698</v>
      </c>
      <c r="V1426" s="27">
        <v>1</v>
      </c>
      <c r="W1426" s="27">
        <v>0</v>
      </c>
      <c r="X1426" s="27">
        <v>19</v>
      </c>
      <c r="Y1426" s="27">
        <v>3</v>
      </c>
      <c r="Z1426" s="27">
        <v>2</v>
      </c>
      <c r="AA1426" s="27">
        <v>80</v>
      </c>
      <c r="AB1426" s="27">
        <v>0</v>
      </c>
      <c r="AC1426" s="27">
        <v>10</v>
      </c>
      <c r="AD1426" s="27">
        <v>5</v>
      </c>
      <c r="AE1426" s="27">
        <v>3</v>
      </c>
      <c r="AF1426" s="27">
        <v>10</v>
      </c>
      <c r="AG1426" s="27">
        <v>7</v>
      </c>
      <c r="AH1426" s="27">
        <v>0</v>
      </c>
      <c r="AI1426" s="28">
        <v>8</v>
      </c>
      <c r="AK1426" s="36">
        <v>1393</v>
      </c>
      <c r="AL1426" s="33">
        <v>7</v>
      </c>
      <c r="AM1426" s="33">
        <v>2</v>
      </c>
      <c r="AN1426" s="33">
        <v>4</v>
      </c>
      <c r="AO1426" s="33">
        <v>1</v>
      </c>
      <c r="AP1426" s="33">
        <v>1</v>
      </c>
      <c r="AQ1426" s="33">
        <v>0</v>
      </c>
      <c r="AR1426" s="33">
        <v>3</v>
      </c>
      <c r="AS1426" s="33">
        <v>10</v>
      </c>
      <c r="AT1426" s="33">
        <v>0</v>
      </c>
      <c r="AU1426" s="43">
        <v>0.16068863972971331</v>
      </c>
      <c r="AV1426" s="33">
        <v>0</v>
      </c>
      <c r="AW1426" s="33">
        <v>0</v>
      </c>
      <c r="AY1426" s="36">
        <v>1398</v>
      </c>
      <c r="AZ1426" s="33">
        <v>2</v>
      </c>
      <c r="BA1426" s="33">
        <v>3</v>
      </c>
      <c r="BB1426" s="33">
        <v>0</v>
      </c>
      <c r="BC1426" s="33">
        <v>2</v>
      </c>
      <c r="BD1426" s="43">
        <v>4.4052611042036123E-2</v>
      </c>
      <c r="BE1426" s="33">
        <v>0</v>
      </c>
      <c r="BF1426" s="33">
        <v>0</v>
      </c>
      <c r="CE1426" s="36">
        <v>1392</v>
      </c>
      <c r="CF1426" s="33">
        <v>1</v>
      </c>
      <c r="CG1426" s="33">
        <v>1</v>
      </c>
      <c r="CH1426" s="33">
        <v>1</v>
      </c>
      <c r="CI1426" s="33">
        <v>1</v>
      </c>
      <c r="CJ1426" s="33">
        <v>4</v>
      </c>
      <c r="CK1426" s="33">
        <v>0</v>
      </c>
      <c r="CL1426" s="33">
        <v>0</v>
      </c>
      <c r="CM1426" s="33">
        <v>2</v>
      </c>
      <c r="CN1426" s="33">
        <v>1</v>
      </c>
      <c r="CO1426" s="33">
        <v>0</v>
      </c>
      <c r="CP1426" s="43">
        <v>0.36586444559605724</v>
      </c>
      <c r="CQ1426" s="33">
        <v>0</v>
      </c>
      <c r="CR1426" s="33">
        <v>0</v>
      </c>
    </row>
    <row r="1427" spans="1:96" ht="15" customHeight="1" x14ac:dyDescent="0.25">
      <c r="A1427" s="26">
        <v>1425</v>
      </c>
      <c r="B1427" s="27">
        <v>33</v>
      </c>
      <c r="C1427" s="27">
        <v>0</v>
      </c>
      <c r="D1427" s="27">
        <v>1</v>
      </c>
      <c r="E1427" s="27">
        <v>501</v>
      </c>
      <c r="F1427" s="27">
        <v>2</v>
      </c>
      <c r="G1427" s="27">
        <v>15</v>
      </c>
      <c r="H1427" s="27">
        <v>2</v>
      </c>
      <c r="I1427" s="27">
        <v>3</v>
      </c>
      <c r="J1427" s="27">
        <v>1</v>
      </c>
      <c r="K1427" s="27">
        <v>2009</v>
      </c>
      <c r="L1427" s="27">
        <v>2</v>
      </c>
      <c r="M1427" s="27">
        <v>0</v>
      </c>
      <c r="N1427" s="27">
        <v>95</v>
      </c>
      <c r="O1427" s="27">
        <v>3</v>
      </c>
      <c r="P1427" s="27">
        <v>2</v>
      </c>
      <c r="Q1427" s="27">
        <v>5</v>
      </c>
      <c r="R1427" s="27">
        <v>4</v>
      </c>
      <c r="S1427" s="27">
        <v>2</v>
      </c>
      <c r="T1427" s="27">
        <v>4878</v>
      </c>
      <c r="U1427" s="27">
        <v>21653</v>
      </c>
      <c r="V1427" s="27">
        <v>0</v>
      </c>
      <c r="W1427" s="27">
        <v>1</v>
      </c>
      <c r="X1427" s="27">
        <v>13</v>
      </c>
      <c r="Y1427" s="27">
        <v>3</v>
      </c>
      <c r="Z1427" s="27">
        <v>1</v>
      </c>
      <c r="AA1427" s="27">
        <v>80</v>
      </c>
      <c r="AB1427" s="27">
        <v>1</v>
      </c>
      <c r="AC1427" s="27">
        <v>10</v>
      </c>
      <c r="AD1427" s="27">
        <v>6</v>
      </c>
      <c r="AE1427" s="27">
        <v>3</v>
      </c>
      <c r="AF1427" s="27">
        <v>9</v>
      </c>
      <c r="AG1427" s="27">
        <v>7</v>
      </c>
      <c r="AH1427" s="27">
        <v>8</v>
      </c>
      <c r="AI1427" s="28">
        <v>1</v>
      </c>
      <c r="AK1427" s="36">
        <v>1394</v>
      </c>
      <c r="AL1427" s="33">
        <v>9</v>
      </c>
      <c r="AM1427" s="33">
        <v>2</v>
      </c>
      <c r="AN1427" s="33">
        <v>4</v>
      </c>
      <c r="AO1427" s="33">
        <v>1</v>
      </c>
      <c r="AP1427" s="33">
        <v>0</v>
      </c>
      <c r="AQ1427" s="33">
        <v>0</v>
      </c>
      <c r="AR1427" s="33">
        <v>3</v>
      </c>
      <c r="AS1427" s="33">
        <v>7</v>
      </c>
      <c r="AT1427" s="33">
        <v>0</v>
      </c>
      <c r="AU1427" s="43">
        <v>5.4950263953761021E-2</v>
      </c>
      <c r="AV1427" s="33">
        <v>0</v>
      </c>
      <c r="AW1427" s="33">
        <v>0</v>
      </c>
      <c r="AY1427" s="36">
        <v>1399</v>
      </c>
      <c r="AZ1427" s="33">
        <v>2</v>
      </c>
      <c r="BA1427" s="33">
        <v>3</v>
      </c>
      <c r="BB1427" s="33">
        <v>0</v>
      </c>
      <c r="BC1427" s="33">
        <v>3</v>
      </c>
      <c r="BD1427" s="43">
        <v>2.6469010457514919E-2</v>
      </c>
      <c r="BE1427" s="33">
        <v>0</v>
      </c>
      <c r="BF1427" s="33">
        <v>0</v>
      </c>
      <c r="CE1427" s="36">
        <v>1393</v>
      </c>
      <c r="CF1427" s="33">
        <v>7</v>
      </c>
      <c r="CG1427" s="33">
        <v>2</v>
      </c>
      <c r="CH1427" s="33">
        <v>4</v>
      </c>
      <c r="CI1427" s="33">
        <v>2</v>
      </c>
      <c r="CJ1427" s="33">
        <v>1</v>
      </c>
      <c r="CK1427" s="33">
        <v>1</v>
      </c>
      <c r="CL1427" s="33">
        <v>0</v>
      </c>
      <c r="CM1427" s="33">
        <v>3</v>
      </c>
      <c r="CN1427" s="33">
        <v>10</v>
      </c>
      <c r="CO1427" s="33">
        <v>0</v>
      </c>
      <c r="CP1427" s="43">
        <v>0.11723127551720941</v>
      </c>
      <c r="CQ1427" s="33">
        <v>0</v>
      </c>
      <c r="CR1427" s="33">
        <v>0</v>
      </c>
    </row>
    <row r="1428" spans="1:96" ht="15" customHeight="1" x14ac:dyDescent="0.25">
      <c r="A1428" s="26">
        <v>1426</v>
      </c>
      <c r="B1428" s="27">
        <v>32</v>
      </c>
      <c r="C1428" s="27">
        <v>0</v>
      </c>
      <c r="D1428" s="27">
        <v>1</v>
      </c>
      <c r="E1428" s="27">
        <v>267</v>
      </c>
      <c r="F1428" s="27">
        <v>2</v>
      </c>
      <c r="G1428" s="27">
        <v>29</v>
      </c>
      <c r="H1428" s="27">
        <v>4</v>
      </c>
      <c r="I1428" s="27">
        <v>1</v>
      </c>
      <c r="J1428" s="27">
        <v>1</v>
      </c>
      <c r="K1428" s="27">
        <v>2010</v>
      </c>
      <c r="L1428" s="27">
        <v>3</v>
      </c>
      <c r="M1428" s="27">
        <v>0</v>
      </c>
      <c r="N1428" s="27">
        <v>49</v>
      </c>
      <c r="O1428" s="27">
        <v>2</v>
      </c>
      <c r="P1428" s="27">
        <v>1</v>
      </c>
      <c r="Q1428" s="27">
        <v>3</v>
      </c>
      <c r="R1428" s="27">
        <v>2</v>
      </c>
      <c r="S1428" s="27">
        <v>1</v>
      </c>
      <c r="T1428" s="27">
        <v>2837</v>
      </c>
      <c r="U1428" s="27">
        <v>15919</v>
      </c>
      <c r="V1428" s="27">
        <v>1</v>
      </c>
      <c r="W1428" s="27">
        <v>0</v>
      </c>
      <c r="X1428" s="27">
        <v>13</v>
      </c>
      <c r="Y1428" s="27">
        <v>3</v>
      </c>
      <c r="Z1428" s="27">
        <v>3</v>
      </c>
      <c r="AA1428" s="27">
        <v>80</v>
      </c>
      <c r="AB1428" s="27">
        <v>0</v>
      </c>
      <c r="AC1428" s="27">
        <v>6</v>
      </c>
      <c r="AD1428" s="27">
        <v>3</v>
      </c>
      <c r="AE1428" s="27">
        <v>3</v>
      </c>
      <c r="AF1428" s="27">
        <v>6</v>
      </c>
      <c r="AG1428" s="27">
        <v>2</v>
      </c>
      <c r="AH1428" s="27">
        <v>4</v>
      </c>
      <c r="AI1428" s="28">
        <v>1</v>
      </c>
      <c r="AK1428" s="36">
        <v>1395</v>
      </c>
      <c r="AL1428" s="33">
        <v>5</v>
      </c>
      <c r="AM1428" s="33">
        <v>2</v>
      </c>
      <c r="AN1428" s="33">
        <v>4</v>
      </c>
      <c r="AO1428" s="33">
        <v>8</v>
      </c>
      <c r="AP1428" s="33">
        <v>0</v>
      </c>
      <c r="AQ1428" s="33">
        <v>0</v>
      </c>
      <c r="AR1428" s="33">
        <v>3</v>
      </c>
      <c r="AS1428" s="33">
        <v>1</v>
      </c>
      <c r="AT1428" s="33">
        <v>0</v>
      </c>
      <c r="AU1428" s="43">
        <v>0.12359546624094803</v>
      </c>
      <c r="AV1428" s="33">
        <v>0</v>
      </c>
      <c r="AW1428" s="33">
        <v>0</v>
      </c>
      <c r="AY1428" s="36">
        <v>1400</v>
      </c>
      <c r="AZ1428" s="33">
        <v>3</v>
      </c>
      <c r="BA1428" s="33">
        <v>3</v>
      </c>
      <c r="BB1428" s="33">
        <v>0</v>
      </c>
      <c r="BC1428" s="33">
        <v>1</v>
      </c>
      <c r="BD1428" s="43">
        <v>4.2774603045834733E-2</v>
      </c>
      <c r="BE1428" s="33">
        <v>0</v>
      </c>
      <c r="BF1428" s="33">
        <v>0</v>
      </c>
      <c r="CE1428" s="36">
        <v>1394</v>
      </c>
      <c r="CF1428" s="33">
        <v>9</v>
      </c>
      <c r="CG1428" s="33">
        <v>2</v>
      </c>
      <c r="CH1428" s="33">
        <v>4</v>
      </c>
      <c r="CI1428" s="33">
        <v>1</v>
      </c>
      <c r="CJ1428" s="33">
        <v>1</v>
      </c>
      <c r="CK1428" s="33">
        <v>0</v>
      </c>
      <c r="CL1428" s="33">
        <v>0</v>
      </c>
      <c r="CM1428" s="33">
        <v>3</v>
      </c>
      <c r="CN1428" s="33">
        <v>7</v>
      </c>
      <c r="CO1428" s="33">
        <v>0</v>
      </c>
      <c r="CP1428" s="43">
        <v>6.3222860624768867E-2</v>
      </c>
      <c r="CQ1428" s="33">
        <v>0</v>
      </c>
      <c r="CR1428" s="33">
        <v>0</v>
      </c>
    </row>
    <row r="1429" spans="1:96" ht="15" customHeight="1" x14ac:dyDescent="0.25">
      <c r="A1429" s="26">
        <v>1427</v>
      </c>
      <c r="B1429" s="27">
        <v>40</v>
      </c>
      <c r="C1429" s="27">
        <v>0</v>
      </c>
      <c r="D1429" s="27">
        <v>1</v>
      </c>
      <c r="E1429" s="27">
        <v>543</v>
      </c>
      <c r="F1429" s="27">
        <v>2</v>
      </c>
      <c r="G1429" s="27">
        <v>1</v>
      </c>
      <c r="H1429" s="27">
        <v>4</v>
      </c>
      <c r="I1429" s="27">
        <v>1</v>
      </c>
      <c r="J1429" s="27">
        <v>1</v>
      </c>
      <c r="K1429" s="27">
        <v>2012</v>
      </c>
      <c r="L1429" s="27">
        <v>1</v>
      </c>
      <c r="M1429" s="27">
        <v>1</v>
      </c>
      <c r="N1429" s="27">
        <v>83</v>
      </c>
      <c r="O1429" s="27">
        <v>3</v>
      </c>
      <c r="P1429" s="27">
        <v>1</v>
      </c>
      <c r="Q1429" s="27">
        <v>3</v>
      </c>
      <c r="R1429" s="27">
        <v>4</v>
      </c>
      <c r="S1429" s="27">
        <v>2</v>
      </c>
      <c r="T1429" s="27">
        <v>2406</v>
      </c>
      <c r="U1429" s="27">
        <v>4060</v>
      </c>
      <c r="V1429" s="27">
        <v>8</v>
      </c>
      <c r="W1429" s="27">
        <v>0</v>
      </c>
      <c r="X1429" s="27">
        <v>19</v>
      </c>
      <c r="Y1429" s="27">
        <v>3</v>
      </c>
      <c r="Z1429" s="27">
        <v>3</v>
      </c>
      <c r="AA1429" s="27">
        <v>80</v>
      </c>
      <c r="AB1429" s="27">
        <v>2</v>
      </c>
      <c r="AC1429" s="27">
        <v>8</v>
      </c>
      <c r="AD1429" s="27">
        <v>3</v>
      </c>
      <c r="AE1429" s="27">
        <v>2</v>
      </c>
      <c r="AF1429" s="27">
        <v>1</v>
      </c>
      <c r="AG1429" s="27">
        <v>0</v>
      </c>
      <c r="AH1429" s="27">
        <v>0</v>
      </c>
      <c r="AI1429" s="28">
        <v>0</v>
      </c>
      <c r="AK1429" s="36">
        <v>1396</v>
      </c>
      <c r="AL1429" s="33">
        <v>26</v>
      </c>
      <c r="AM1429" s="33">
        <v>2</v>
      </c>
      <c r="AN1429" s="33">
        <v>4</v>
      </c>
      <c r="AO1429" s="33">
        <v>1</v>
      </c>
      <c r="AP1429" s="33">
        <v>1</v>
      </c>
      <c r="AQ1429" s="33">
        <v>0</v>
      </c>
      <c r="AR1429" s="33">
        <v>3</v>
      </c>
      <c r="AS1429" s="33">
        <v>10</v>
      </c>
      <c r="AT1429" s="33">
        <v>0</v>
      </c>
      <c r="AU1429" s="43">
        <v>0.26619287173363548</v>
      </c>
      <c r="AV1429" s="33">
        <v>0</v>
      </c>
      <c r="AW1429" s="33">
        <v>1</v>
      </c>
      <c r="AY1429" s="36">
        <v>1401</v>
      </c>
      <c r="AZ1429" s="33">
        <v>1</v>
      </c>
      <c r="BA1429" s="33">
        <v>2</v>
      </c>
      <c r="BB1429" s="33">
        <v>1</v>
      </c>
      <c r="BC1429" s="33">
        <v>1</v>
      </c>
      <c r="BD1429" s="43">
        <v>0.43876762926038776</v>
      </c>
      <c r="BE1429" s="33">
        <v>0</v>
      </c>
      <c r="BF1429" s="33">
        <v>0</v>
      </c>
      <c r="CE1429" s="36">
        <v>1395</v>
      </c>
      <c r="CF1429" s="33">
        <v>5</v>
      </c>
      <c r="CG1429" s="33">
        <v>2</v>
      </c>
      <c r="CH1429" s="33">
        <v>4</v>
      </c>
      <c r="CI1429" s="33">
        <v>1</v>
      </c>
      <c r="CJ1429" s="33">
        <v>8</v>
      </c>
      <c r="CK1429" s="33">
        <v>0</v>
      </c>
      <c r="CL1429" s="33">
        <v>0</v>
      </c>
      <c r="CM1429" s="33">
        <v>3</v>
      </c>
      <c r="CN1429" s="33">
        <v>1</v>
      </c>
      <c r="CO1429" s="33">
        <v>0</v>
      </c>
      <c r="CP1429" s="43">
        <v>0.14249101370951886</v>
      </c>
      <c r="CQ1429" s="33">
        <v>0</v>
      </c>
      <c r="CR1429" s="33">
        <v>0</v>
      </c>
    </row>
    <row r="1430" spans="1:96" ht="15" customHeight="1" x14ac:dyDescent="0.25">
      <c r="A1430" s="26">
        <v>1428</v>
      </c>
      <c r="B1430" s="27">
        <v>32</v>
      </c>
      <c r="C1430" s="27">
        <v>0</v>
      </c>
      <c r="D1430" s="27">
        <v>1</v>
      </c>
      <c r="E1430" s="27">
        <v>234</v>
      </c>
      <c r="F1430" s="27">
        <v>1</v>
      </c>
      <c r="G1430" s="27">
        <v>1</v>
      </c>
      <c r="H1430" s="27">
        <v>4</v>
      </c>
      <c r="I1430" s="27">
        <v>3</v>
      </c>
      <c r="J1430" s="27">
        <v>1</v>
      </c>
      <c r="K1430" s="27">
        <v>2013</v>
      </c>
      <c r="L1430" s="27">
        <v>2</v>
      </c>
      <c r="M1430" s="27">
        <v>1</v>
      </c>
      <c r="N1430" s="27">
        <v>68</v>
      </c>
      <c r="O1430" s="27">
        <v>2</v>
      </c>
      <c r="P1430" s="27">
        <v>1</v>
      </c>
      <c r="Q1430" s="27">
        <v>7</v>
      </c>
      <c r="R1430" s="27">
        <v>2</v>
      </c>
      <c r="S1430" s="27">
        <v>2</v>
      </c>
      <c r="T1430" s="27">
        <v>2269</v>
      </c>
      <c r="U1430" s="27">
        <v>18024</v>
      </c>
      <c r="V1430" s="27">
        <v>0</v>
      </c>
      <c r="W1430" s="27">
        <v>0</v>
      </c>
      <c r="X1430" s="27">
        <v>14</v>
      </c>
      <c r="Y1430" s="27">
        <v>3</v>
      </c>
      <c r="Z1430" s="27">
        <v>2</v>
      </c>
      <c r="AA1430" s="27">
        <v>80</v>
      </c>
      <c r="AB1430" s="27">
        <v>1</v>
      </c>
      <c r="AC1430" s="27">
        <v>3</v>
      </c>
      <c r="AD1430" s="27">
        <v>2</v>
      </c>
      <c r="AE1430" s="27">
        <v>3</v>
      </c>
      <c r="AF1430" s="27">
        <v>2</v>
      </c>
      <c r="AG1430" s="27">
        <v>2</v>
      </c>
      <c r="AH1430" s="27">
        <v>2</v>
      </c>
      <c r="AI1430" s="28">
        <v>2</v>
      </c>
      <c r="AK1430" s="36">
        <v>1397</v>
      </c>
      <c r="AL1430" s="33">
        <v>24</v>
      </c>
      <c r="AM1430" s="33">
        <v>3</v>
      </c>
      <c r="AN1430" s="33">
        <v>1</v>
      </c>
      <c r="AO1430" s="33">
        <v>6</v>
      </c>
      <c r="AP1430" s="33">
        <v>1</v>
      </c>
      <c r="AQ1430" s="33">
        <v>0</v>
      </c>
      <c r="AR1430" s="33">
        <v>2</v>
      </c>
      <c r="AS1430" s="33">
        <v>2</v>
      </c>
      <c r="AT1430" s="33">
        <v>2</v>
      </c>
      <c r="AU1430" s="43">
        <v>0.66801319072098131</v>
      </c>
      <c r="AV1430" s="33">
        <v>1</v>
      </c>
      <c r="AW1430" s="33">
        <v>1</v>
      </c>
      <c r="AY1430" s="36">
        <v>1402</v>
      </c>
      <c r="AZ1430" s="33">
        <v>5</v>
      </c>
      <c r="BA1430" s="33">
        <v>2</v>
      </c>
      <c r="BB1430" s="33">
        <v>1</v>
      </c>
      <c r="BC1430" s="33">
        <v>1</v>
      </c>
      <c r="BD1430" s="43">
        <v>7.7285284237118793E-2</v>
      </c>
      <c r="BE1430" s="33">
        <v>0</v>
      </c>
      <c r="BF1430" s="33">
        <v>0</v>
      </c>
      <c r="CE1430" s="36">
        <v>1396</v>
      </c>
      <c r="CF1430" s="33">
        <v>26</v>
      </c>
      <c r="CG1430" s="33">
        <v>2</v>
      </c>
      <c r="CH1430" s="33">
        <v>4</v>
      </c>
      <c r="CI1430" s="33">
        <v>2</v>
      </c>
      <c r="CJ1430" s="33">
        <v>1</v>
      </c>
      <c r="CK1430" s="33">
        <v>1</v>
      </c>
      <c r="CL1430" s="33">
        <v>0</v>
      </c>
      <c r="CM1430" s="33">
        <v>3</v>
      </c>
      <c r="CN1430" s="33">
        <v>10</v>
      </c>
      <c r="CO1430" s="33">
        <v>0</v>
      </c>
      <c r="CP1430" s="43">
        <v>0.20007904504468907</v>
      </c>
      <c r="CQ1430" s="33">
        <v>0</v>
      </c>
      <c r="CR1430" s="33">
        <v>1</v>
      </c>
    </row>
    <row r="1431" spans="1:96" ht="15" customHeight="1" x14ac:dyDescent="0.25">
      <c r="A1431" s="26">
        <v>1429</v>
      </c>
      <c r="B1431" s="27">
        <v>39</v>
      </c>
      <c r="C1431" s="27">
        <v>0</v>
      </c>
      <c r="D1431" s="27">
        <v>1</v>
      </c>
      <c r="E1431" s="27">
        <v>116</v>
      </c>
      <c r="F1431" s="27">
        <v>2</v>
      </c>
      <c r="G1431" s="27">
        <v>24</v>
      </c>
      <c r="H1431" s="27">
        <v>1</v>
      </c>
      <c r="I1431" s="27">
        <v>1</v>
      </c>
      <c r="J1431" s="27">
        <v>1</v>
      </c>
      <c r="K1431" s="27">
        <v>2014</v>
      </c>
      <c r="L1431" s="27">
        <v>1</v>
      </c>
      <c r="M1431" s="27">
        <v>1</v>
      </c>
      <c r="N1431" s="27">
        <v>52</v>
      </c>
      <c r="O1431" s="27">
        <v>3</v>
      </c>
      <c r="P1431" s="27">
        <v>2</v>
      </c>
      <c r="Q1431" s="27">
        <v>2</v>
      </c>
      <c r="R1431" s="27">
        <v>4</v>
      </c>
      <c r="S1431" s="27">
        <v>1</v>
      </c>
      <c r="T1431" s="27">
        <v>4108</v>
      </c>
      <c r="U1431" s="27">
        <v>5340</v>
      </c>
      <c r="V1431" s="27">
        <v>7</v>
      </c>
      <c r="W1431" s="27">
        <v>0</v>
      </c>
      <c r="X1431" s="27">
        <v>13</v>
      </c>
      <c r="Y1431" s="27">
        <v>3</v>
      </c>
      <c r="Z1431" s="27">
        <v>1</v>
      </c>
      <c r="AA1431" s="27">
        <v>80</v>
      </c>
      <c r="AB1431" s="27">
        <v>0</v>
      </c>
      <c r="AC1431" s="27">
        <v>18</v>
      </c>
      <c r="AD1431" s="27">
        <v>2</v>
      </c>
      <c r="AE1431" s="27">
        <v>3</v>
      </c>
      <c r="AF1431" s="27">
        <v>7</v>
      </c>
      <c r="AG1431" s="27">
        <v>7</v>
      </c>
      <c r="AH1431" s="27">
        <v>1</v>
      </c>
      <c r="AI1431" s="28">
        <v>7</v>
      </c>
      <c r="AK1431" s="36">
        <v>1398</v>
      </c>
      <c r="AL1431" s="33">
        <v>9</v>
      </c>
      <c r="AM1431" s="33">
        <v>2</v>
      </c>
      <c r="AN1431" s="33">
        <v>3</v>
      </c>
      <c r="AO1431" s="33">
        <v>3</v>
      </c>
      <c r="AP1431" s="33">
        <v>0</v>
      </c>
      <c r="AQ1431" s="33">
        <v>2</v>
      </c>
      <c r="AR1431" s="33">
        <v>2</v>
      </c>
      <c r="AS1431" s="33">
        <v>4</v>
      </c>
      <c r="AT1431" s="33">
        <v>2</v>
      </c>
      <c r="AU1431" s="43">
        <v>5.5018123873199577E-2</v>
      </c>
      <c r="AV1431" s="33">
        <v>0</v>
      </c>
      <c r="AW1431" s="33">
        <v>0</v>
      </c>
      <c r="AY1431" s="36">
        <v>1403</v>
      </c>
      <c r="AZ1431" s="33">
        <v>1</v>
      </c>
      <c r="BA1431" s="33">
        <v>4</v>
      </c>
      <c r="BB1431" s="33">
        <v>1</v>
      </c>
      <c r="BC1431" s="33">
        <v>3</v>
      </c>
      <c r="BD1431" s="43">
        <v>0.1316789269181548</v>
      </c>
      <c r="BE1431" s="33">
        <v>0</v>
      </c>
      <c r="BF1431" s="33">
        <v>0</v>
      </c>
      <c r="CE1431" s="36">
        <v>1397</v>
      </c>
      <c r="CF1431" s="33">
        <v>24</v>
      </c>
      <c r="CG1431" s="33">
        <v>3</v>
      </c>
      <c r="CH1431" s="33">
        <v>1</v>
      </c>
      <c r="CI1431" s="33">
        <v>1</v>
      </c>
      <c r="CJ1431" s="33">
        <v>6</v>
      </c>
      <c r="CK1431" s="33">
        <v>1</v>
      </c>
      <c r="CL1431" s="33">
        <v>0</v>
      </c>
      <c r="CM1431" s="33">
        <v>2</v>
      </c>
      <c r="CN1431" s="33">
        <v>2</v>
      </c>
      <c r="CO1431" s="33">
        <v>2</v>
      </c>
      <c r="CP1431" s="43">
        <v>0.72763366161705134</v>
      </c>
      <c r="CQ1431" s="33">
        <v>1</v>
      </c>
      <c r="CR1431" s="33">
        <v>1</v>
      </c>
    </row>
    <row r="1432" spans="1:96" ht="15" customHeight="1" x14ac:dyDescent="0.25">
      <c r="A1432" s="26">
        <v>1430</v>
      </c>
      <c r="B1432" s="27">
        <v>38</v>
      </c>
      <c r="C1432" s="27">
        <v>0</v>
      </c>
      <c r="D1432" s="27">
        <v>1</v>
      </c>
      <c r="E1432" s="27">
        <v>201</v>
      </c>
      <c r="F1432" s="27">
        <v>2</v>
      </c>
      <c r="G1432" s="27">
        <v>10</v>
      </c>
      <c r="H1432" s="27">
        <v>3</v>
      </c>
      <c r="I1432" s="27">
        <v>3</v>
      </c>
      <c r="J1432" s="27">
        <v>1</v>
      </c>
      <c r="K1432" s="27">
        <v>2015</v>
      </c>
      <c r="L1432" s="27">
        <v>2</v>
      </c>
      <c r="M1432" s="27">
        <v>0</v>
      </c>
      <c r="N1432" s="27">
        <v>99</v>
      </c>
      <c r="O1432" s="27">
        <v>1</v>
      </c>
      <c r="P1432" s="27">
        <v>3</v>
      </c>
      <c r="Q1432" s="27">
        <v>8</v>
      </c>
      <c r="R1432" s="27">
        <v>3</v>
      </c>
      <c r="S1432" s="27">
        <v>2</v>
      </c>
      <c r="T1432" s="27">
        <v>13206</v>
      </c>
      <c r="U1432" s="27">
        <v>3376</v>
      </c>
      <c r="V1432" s="27">
        <v>3</v>
      </c>
      <c r="W1432" s="27">
        <v>0</v>
      </c>
      <c r="X1432" s="27">
        <v>12</v>
      </c>
      <c r="Y1432" s="27">
        <v>3</v>
      </c>
      <c r="Z1432" s="27">
        <v>1</v>
      </c>
      <c r="AA1432" s="27">
        <v>80</v>
      </c>
      <c r="AB1432" s="27">
        <v>1</v>
      </c>
      <c r="AC1432" s="27">
        <v>20</v>
      </c>
      <c r="AD1432" s="27">
        <v>3</v>
      </c>
      <c r="AE1432" s="27">
        <v>3</v>
      </c>
      <c r="AF1432" s="27">
        <v>18</v>
      </c>
      <c r="AG1432" s="27">
        <v>16</v>
      </c>
      <c r="AH1432" s="27">
        <v>1</v>
      </c>
      <c r="AI1432" s="28">
        <v>11</v>
      </c>
      <c r="AK1432" s="36">
        <v>1399</v>
      </c>
      <c r="AL1432" s="33">
        <v>7</v>
      </c>
      <c r="AM1432" s="33">
        <v>2</v>
      </c>
      <c r="AN1432" s="33">
        <v>3</v>
      </c>
      <c r="AO1432" s="33">
        <v>1</v>
      </c>
      <c r="AP1432" s="33">
        <v>0</v>
      </c>
      <c r="AQ1432" s="33">
        <v>3</v>
      </c>
      <c r="AR1432" s="33">
        <v>3</v>
      </c>
      <c r="AS1432" s="33">
        <v>9</v>
      </c>
      <c r="AT1432" s="33">
        <v>2</v>
      </c>
      <c r="AU1432" s="43">
        <v>1.4217865754831685E-2</v>
      </c>
      <c r="AV1432" s="33">
        <v>0</v>
      </c>
      <c r="AW1432" s="33">
        <v>0</v>
      </c>
      <c r="AY1432" s="36">
        <v>1404</v>
      </c>
      <c r="AZ1432" s="33">
        <v>4</v>
      </c>
      <c r="BA1432" s="33">
        <v>1</v>
      </c>
      <c r="BB1432" s="33">
        <v>0</v>
      </c>
      <c r="BC1432" s="33">
        <v>0</v>
      </c>
      <c r="BD1432" s="43">
        <v>7.2150582122512491E-2</v>
      </c>
      <c r="BE1432" s="33">
        <v>0</v>
      </c>
      <c r="BF1432" s="33">
        <v>0</v>
      </c>
      <c r="CE1432" s="36">
        <v>1398</v>
      </c>
      <c r="CF1432" s="33">
        <v>9</v>
      </c>
      <c r="CG1432" s="33">
        <v>2</v>
      </c>
      <c r="CH1432" s="33">
        <v>3</v>
      </c>
      <c r="CI1432" s="33">
        <v>2</v>
      </c>
      <c r="CJ1432" s="33">
        <v>3</v>
      </c>
      <c r="CK1432" s="33">
        <v>0</v>
      </c>
      <c r="CL1432" s="33">
        <v>2</v>
      </c>
      <c r="CM1432" s="33">
        <v>2</v>
      </c>
      <c r="CN1432" s="33">
        <v>4</v>
      </c>
      <c r="CO1432" s="33">
        <v>2</v>
      </c>
      <c r="CP1432" s="43">
        <v>7.4777140596909958E-2</v>
      </c>
      <c r="CQ1432" s="33">
        <v>0</v>
      </c>
      <c r="CR1432" s="33">
        <v>0</v>
      </c>
    </row>
    <row r="1433" spans="1:96" ht="15" customHeight="1" x14ac:dyDescent="0.25">
      <c r="A1433" s="26">
        <v>1431</v>
      </c>
      <c r="B1433" s="27">
        <v>32</v>
      </c>
      <c r="C1433" s="27">
        <v>0</v>
      </c>
      <c r="D1433" s="27">
        <v>1</v>
      </c>
      <c r="E1433" s="27">
        <v>801</v>
      </c>
      <c r="F1433" s="27">
        <v>1</v>
      </c>
      <c r="G1433" s="27">
        <v>1</v>
      </c>
      <c r="H1433" s="27">
        <v>4</v>
      </c>
      <c r="I1433" s="27">
        <v>4</v>
      </c>
      <c r="J1433" s="27">
        <v>1</v>
      </c>
      <c r="K1433" s="27">
        <v>2016</v>
      </c>
      <c r="L1433" s="27">
        <v>3</v>
      </c>
      <c r="M1433" s="27">
        <v>0</v>
      </c>
      <c r="N1433" s="27">
        <v>48</v>
      </c>
      <c r="O1433" s="27">
        <v>3</v>
      </c>
      <c r="P1433" s="27">
        <v>3</v>
      </c>
      <c r="Q1433" s="27">
        <v>1</v>
      </c>
      <c r="R1433" s="27">
        <v>4</v>
      </c>
      <c r="S1433" s="27">
        <v>2</v>
      </c>
      <c r="T1433" s="27">
        <v>10422</v>
      </c>
      <c r="U1433" s="27">
        <v>24032</v>
      </c>
      <c r="V1433" s="27">
        <v>1</v>
      </c>
      <c r="W1433" s="27">
        <v>0</v>
      </c>
      <c r="X1433" s="27">
        <v>19</v>
      </c>
      <c r="Y1433" s="27">
        <v>3</v>
      </c>
      <c r="Z1433" s="27">
        <v>3</v>
      </c>
      <c r="AA1433" s="27">
        <v>80</v>
      </c>
      <c r="AB1433" s="27">
        <v>2</v>
      </c>
      <c r="AC1433" s="27">
        <v>14</v>
      </c>
      <c r="AD1433" s="27">
        <v>3</v>
      </c>
      <c r="AE1433" s="27">
        <v>3</v>
      </c>
      <c r="AF1433" s="27">
        <v>14</v>
      </c>
      <c r="AG1433" s="27">
        <v>10</v>
      </c>
      <c r="AH1433" s="27">
        <v>5</v>
      </c>
      <c r="AI1433" s="28">
        <v>7</v>
      </c>
      <c r="AK1433" s="36">
        <v>1400</v>
      </c>
      <c r="AL1433" s="33">
        <v>11</v>
      </c>
      <c r="AM1433" s="33">
        <v>3</v>
      </c>
      <c r="AN1433" s="33">
        <v>3</v>
      </c>
      <c r="AO1433" s="33">
        <v>1</v>
      </c>
      <c r="AP1433" s="33">
        <v>0</v>
      </c>
      <c r="AQ1433" s="33">
        <v>1</v>
      </c>
      <c r="AR1433" s="33">
        <v>3</v>
      </c>
      <c r="AS1433" s="33">
        <v>10</v>
      </c>
      <c r="AT1433" s="33">
        <v>0</v>
      </c>
      <c r="AU1433" s="43">
        <v>2.1446134089261531E-2</v>
      </c>
      <c r="AV1433" s="33">
        <v>0</v>
      </c>
      <c r="AW1433" s="33">
        <v>0</v>
      </c>
      <c r="AY1433" s="36">
        <v>1405</v>
      </c>
      <c r="AZ1433" s="33">
        <v>2</v>
      </c>
      <c r="BA1433" s="33">
        <v>3</v>
      </c>
      <c r="BB1433" s="33">
        <v>0</v>
      </c>
      <c r="BC1433" s="33">
        <v>0</v>
      </c>
      <c r="BD1433" s="43">
        <v>0.11690772887050198</v>
      </c>
      <c r="BE1433" s="33">
        <v>0</v>
      </c>
      <c r="BF1433" s="33">
        <v>0</v>
      </c>
      <c r="CE1433" s="36">
        <v>1399</v>
      </c>
      <c r="CF1433" s="33">
        <v>7</v>
      </c>
      <c r="CG1433" s="33">
        <v>2</v>
      </c>
      <c r="CH1433" s="33">
        <v>3</v>
      </c>
      <c r="CI1433" s="33">
        <v>3</v>
      </c>
      <c r="CJ1433" s="33">
        <v>1</v>
      </c>
      <c r="CK1433" s="33">
        <v>0</v>
      </c>
      <c r="CL1433" s="33">
        <v>3</v>
      </c>
      <c r="CM1433" s="33">
        <v>3</v>
      </c>
      <c r="CN1433" s="33">
        <v>9</v>
      </c>
      <c r="CO1433" s="33">
        <v>2</v>
      </c>
      <c r="CP1433" s="43">
        <v>1.5635153934570989E-2</v>
      </c>
      <c r="CQ1433" s="33">
        <v>0</v>
      </c>
      <c r="CR1433" s="33">
        <v>0</v>
      </c>
    </row>
    <row r="1434" spans="1:96" ht="15" customHeight="1" x14ac:dyDescent="0.25">
      <c r="A1434" s="26">
        <v>1432</v>
      </c>
      <c r="B1434" s="27">
        <v>37</v>
      </c>
      <c r="C1434" s="27">
        <v>0</v>
      </c>
      <c r="D1434" s="27">
        <v>1</v>
      </c>
      <c r="E1434" s="27">
        <v>161</v>
      </c>
      <c r="F1434" s="27">
        <v>2</v>
      </c>
      <c r="G1434" s="27">
        <v>10</v>
      </c>
      <c r="H1434" s="27">
        <v>3</v>
      </c>
      <c r="I1434" s="27">
        <v>1</v>
      </c>
      <c r="J1434" s="27">
        <v>1</v>
      </c>
      <c r="K1434" s="27">
        <v>2017</v>
      </c>
      <c r="L1434" s="27">
        <v>3</v>
      </c>
      <c r="M1434" s="27">
        <v>0</v>
      </c>
      <c r="N1434" s="27">
        <v>42</v>
      </c>
      <c r="O1434" s="27">
        <v>4</v>
      </c>
      <c r="P1434" s="27">
        <v>3</v>
      </c>
      <c r="Q1434" s="27">
        <v>8</v>
      </c>
      <c r="R1434" s="27">
        <v>4</v>
      </c>
      <c r="S1434" s="27">
        <v>2</v>
      </c>
      <c r="T1434" s="27">
        <v>13744</v>
      </c>
      <c r="U1434" s="27">
        <v>15471</v>
      </c>
      <c r="V1434" s="27">
        <v>1</v>
      </c>
      <c r="W1434" s="27">
        <v>1</v>
      </c>
      <c r="X1434" s="27">
        <v>25</v>
      </c>
      <c r="Y1434" s="27">
        <v>4</v>
      </c>
      <c r="Z1434" s="27">
        <v>1</v>
      </c>
      <c r="AA1434" s="27">
        <v>80</v>
      </c>
      <c r="AB1434" s="27">
        <v>1</v>
      </c>
      <c r="AC1434" s="27">
        <v>16</v>
      </c>
      <c r="AD1434" s="27">
        <v>2</v>
      </c>
      <c r="AE1434" s="27">
        <v>3</v>
      </c>
      <c r="AF1434" s="27">
        <v>16</v>
      </c>
      <c r="AG1434" s="27">
        <v>11</v>
      </c>
      <c r="AH1434" s="27">
        <v>6</v>
      </c>
      <c r="AI1434" s="28">
        <v>8</v>
      </c>
      <c r="AK1434" s="36">
        <v>1401</v>
      </c>
      <c r="AL1434" s="33">
        <v>1</v>
      </c>
      <c r="AM1434" s="33">
        <v>1</v>
      </c>
      <c r="AN1434" s="33">
        <v>2</v>
      </c>
      <c r="AO1434" s="33">
        <v>0</v>
      </c>
      <c r="AP1434" s="33">
        <v>1</v>
      </c>
      <c r="AQ1434" s="33">
        <v>1</v>
      </c>
      <c r="AR1434" s="33">
        <v>3</v>
      </c>
      <c r="AS1434" s="33">
        <v>6</v>
      </c>
      <c r="AT1434" s="33">
        <v>1</v>
      </c>
      <c r="AU1434" s="43">
        <v>0.27515269639864487</v>
      </c>
      <c r="AV1434" s="33">
        <v>0</v>
      </c>
      <c r="AW1434" s="33">
        <v>0</v>
      </c>
      <c r="AY1434" s="36">
        <v>1406</v>
      </c>
      <c r="AZ1434" s="33">
        <v>3</v>
      </c>
      <c r="BA1434" s="33">
        <v>3</v>
      </c>
      <c r="BB1434" s="33">
        <v>0</v>
      </c>
      <c r="BC1434" s="33">
        <v>1</v>
      </c>
      <c r="BD1434" s="43">
        <v>4.2774603045834733E-2</v>
      </c>
      <c r="BE1434" s="33">
        <v>0</v>
      </c>
      <c r="BF1434" s="33">
        <v>0</v>
      </c>
      <c r="CE1434" s="36">
        <v>1400</v>
      </c>
      <c r="CF1434" s="33">
        <v>11</v>
      </c>
      <c r="CG1434" s="33">
        <v>3</v>
      </c>
      <c r="CH1434" s="33">
        <v>3</v>
      </c>
      <c r="CI1434" s="33">
        <v>2</v>
      </c>
      <c r="CJ1434" s="33">
        <v>1</v>
      </c>
      <c r="CK1434" s="33">
        <v>0</v>
      </c>
      <c r="CL1434" s="33">
        <v>1</v>
      </c>
      <c r="CM1434" s="33">
        <v>3</v>
      </c>
      <c r="CN1434" s="33">
        <v>10</v>
      </c>
      <c r="CO1434" s="33">
        <v>0</v>
      </c>
      <c r="CP1434" s="43">
        <v>2.0749983293316204E-2</v>
      </c>
      <c r="CQ1434" s="33">
        <v>0</v>
      </c>
      <c r="CR1434" s="33">
        <v>0</v>
      </c>
    </row>
    <row r="1435" spans="1:96" ht="15" customHeight="1" x14ac:dyDescent="0.25">
      <c r="A1435" s="26">
        <v>1433</v>
      </c>
      <c r="B1435" s="27">
        <v>25</v>
      </c>
      <c r="C1435" s="27">
        <v>0</v>
      </c>
      <c r="D1435" s="27">
        <v>1</v>
      </c>
      <c r="E1435" s="27">
        <v>1382</v>
      </c>
      <c r="F1435" s="27">
        <v>1</v>
      </c>
      <c r="G1435" s="27">
        <v>8</v>
      </c>
      <c r="H1435" s="27">
        <v>2</v>
      </c>
      <c r="I1435" s="27">
        <v>6</v>
      </c>
      <c r="J1435" s="27">
        <v>1</v>
      </c>
      <c r="K1435" s="27">
        <v>2018</v>
      </c>
      <c r="L1435" s="27">
        <v>1</v>
      </c>
      <c r="M1435" s="27">
        <v>0</v>
      </c>
      <c r="N1435" s="27">
        <v>85</v>
      </c>
      <c r="O1435" s="27">
        <v>3</v>
      </c>
      <c r="P1435" s="27">
        <v>2</v>
      </c>
      <c r="Q1435" s="27">
        <v>1</v>
      </c>
      <c r="R1435" s="27">
        <v>3</v>
      </c>
      <c r="S1435" s="27">
        <v>3</v>
      </c>
      <c r="T1435" s="27">
        <v>4907</v>
      </c>
      <c r="U1435" s="27">
        <v>13684</v>
      </c>
      <c r="V1435" s="27">
        <v>0</v>
      </c>
      <c r="W1435" s="27">
        <v>1</v>
      </c>
      <c r="X1435" s="27">
        <v>22</v>
      </c>
      <c r="Y1435" s="27">
        <v>4</v>
      </c>
      <c r="Z1435" s="27">
        <v>2</v>
      </c>
      <c r="AA1435" s="27">
        <v>80</v>
      </c>
      <c r="AB1435" s="27">
        <v>1</v>
      </c>
      <c r="AC1435" s="27">
        <v>6</v>
      </c>
      <c r="AD1435" s="27">
        <v>3</v>
      </c>
      <c r="AE1435" s="27">
        <v>2</v>
      </c>
      <c r="AF1435" s="27">
        <v>5</v>
      </c>
      <c r="AG1435" s="27">
        <v>3</v>
      </c>
      <c r="AH1435" s="27">
        <v>0</v>
      </c>
      <c r="AI1435" s="28">
        <v>4</v>
      </c>
      <c r="AK1435" s="36">
        <v>1402</v>
      </c>
      <c r="AL1435" s="33">
        <v>26</v>
      </c>
      <c r="AM1435" s="33">
        <v>5</v>
      </c>
      <c r="AN1435" s="33">
        <v>2</v>
      </c>
      <c r="AO1435" s="33">
        <v>4</v>
      </c>
      <c r="AP1435" s="33">
        <v>1</v>
      </c>
      <c r="AQ1435" s="33">
        <v>1</v>
      </c>
      <c r="AR1435" s="33">
        <v>3</v>
      </c>
      <c r="AS1435" s="33">
        <v>10</v>
      </c>
      <c r="AT1435" s="33">
        <v>1</v>
      </c>
      <c r="AU1435" s="43">
        <v>9.2244628818770505E-2</v>
      </c>
      <c r="AV1435" s="33">
        <v>0</v>
      </c>
      <c r="AW1435" s="33">
        <v>0</v>
      </c>
      <c r="AY1435" s="36">
        <v>1407</v>
      </c>
      <c r="AZ1435" s="33">
        <v>2</v>
      </c>
      <c r="BA1435" s="33">
        <v>1</v>
      </c>
      <c r="BB1435" s="33">
        <v>1</v>
      </c>
      <c r="BC1435" s="33">
        <v>0</v>
      </c>
      <c r="BD1435" s="43">
        <v>0.50385917417366921</v>
      </c>
      <c r="BE1435" s="33">
        <v>1</v>
      </c>
      <c r="BF1435" s="33">
        <v>0</v>
      </c>
      <c r="CE1435" s="36">
        <v>1401</v>
      </c>
      <c r="CF1435" s="33">
        <v>1</v>
      </c>
      <c r="CG1435" s="33">
        <v>1</v>
      </c>
      <c r="CH1435" s="33">
        <v>2</v>
      </c>
      <c r="CI1435" s="33">
        <v>2</v>
      </c>
      <c r="CJ1435" s="33">
        <v>0</v>
      </c>
      <c r="CK1435" s="33">
        <v>1</v>
      </c>
      <c r="CL1435" s="33">
        <v>1</v>
      </c>
      <c r="CM1435" s="33">
        <v>3</v>
      </c>
      <c r="CN1435" s="33">
        <v>6</v>
      </c>
      <c r="CO1435" s="33">
        <v>1</v>
      </c>
      <c r="CP1435" s="43">
        <v>0.27693140844411174</v>
      </c>
      <c r="CQ1435" s="33">
        <v>0</v>
      </c>
      <c r="CR1435" s="33">
        <v>0</v>
      </c>
    </row>
    <row r="1436" spans="1:96" ht="15" customHeight="1" x14ac:dyDescent="0.25">
      <c r="A1436" s="26">
        <v>1434</v>
      </c>
      <c r="B1436" s="27">
        <v>52</v>
      </c>
      <c r="C1436" s="27">
        <v>0</v>
      </c>
      <c r="D1436" s="27">
        <v>3</v>
      </c>
      <c r="E1436" s="27">
        <v>585</v>
      </c>
      <c r="F1436" s="27">
        <v>1</v>
      </c>
      <c r="G1436" s="27">
        <v>29</v>
      </c>
      <c r="H1436" s="27">
        <v>4</v>
      </c>
      <c r="I1436" s="27">
        <v>1</v>
      </c>
      <c r="J1436" s="27">
        <v>1</v>
      </c>
      <c r="K1436" s="27">
        <v>2019</v>
      </c>
      <c r="L1436" s="27">
        <v>1</v>
      </c>
      <c r="M1436" s="27">
        <v>1</v>
      </c>
      <c r="N1436" s="27">
        <v>40</v>
      </c>
      <c r="O1436" s="27">
        <v>3</v>
      </c>
      <c r="P1436" s="27">
        <v>1</v>
      </c>
      <c r="Q1436" s="27">
        <v>7</v>
      </c>
      <c r="R1436" s="27">
        <v>4</v>
      </c>
      <c r="S1436" s="27">
        <v>3</v>
      </c>
      <c r="T1436" s="27">
        <v>3482</v>
      </c>
      <c r="U1436" s="27">
        <v>19788</v>
      </c>
      <c r="V1436" s="27">
        <v>2</v>
      </c>
      <c r="W1436" s="27">
        <v>0</v>
      </c>
      <c r="X1436" s="27">
        <v>15</v>
      </c>
      <c r="Y1436" s="27">
        <v>3</v>
      </c>
      <c r="Z1436" s="27">
        <v>2</v>
      </c>
      <c r="AA1436" s="27">
        <v>80</v>
      </c>
      <c r="AB1436" s="27">
        <v>2</v>
      </c>
      <c r="AC1436" s="27">
        <v>16</v>
      </c>
      <c r="AD1436" s="27">
        <v>3</v>
      </c>
      <c r="AE1436" s="27">
        <v>2</v>
      </c>
      <c r="AF1436" s="27">
        <v>9</v>
      </c>
      <c r="AG1436" s="27">
        <v>8</v>
      </c>
      <c r="AH1436" s="27">
        <v>0</v>
      </c>
      <c r="AI1436" s="28">
        <v>0</v>
      </c>
      <c r="AK1436" s="36">
        <v>1403</v>
      </c>
      <c r="AL1436" s="33">
        <v>2</v>
      </c>
      <c r="AM1436" s="33">
        <v>1</v>
      </c>
      <c r="AN1436" s="33">
        <v>4</v>
      </c>
      <c r="AO1436" s="33">
        <v>1</v>
      </c>
      <c r="AP1436" s="33">
        <v>1</v>
      </c>
      <c r="AQ1436" s="33">
        <v>3</v>
      </c>
      <c r="AR1436" s="33">
        <v>3</v>
      </c>
      <c r="AS1436" s="33">
        <v>1</v>
      </c>
      <c r="AT1436" s="33">
        <v>0</v>
      </c>
      <c r="AU1436" s="43">
        <v>8.9306458164743294E-2</v>
      </c>
      <c r="AV1436" s="33">
        <v>0</v>
      </c>
      <c r="AW1436" s="33">
        <v>0</v>
      </c>
      <c r="AY1436" s="36">
        <v>1408</v>
      </c>
      <c r="AZ1436" s="33">
        <v>2</v>
      </c>
      <c r="BA1436" s="33">
        <v>3</v>
      </c>
      <c r="BB1436" s="33">
        <v>0</v>
      </c>
      <c r="BC1436" s="33">
        <v>0</v>
      </c>
      <c r="BD1436" s="43">
        <v>0.11690772887050198</v>
      </c>
      <c r="BE1436" s="33">
        <v>0</v>
      </c>
      <c r="BF1436" s="33">
        <v>0</v>
      </c>
      <c r="CE1436" s="36">
        <v>1402</v>
      </c>
      <c r="CF1436" s="33">
        <v>26</v>
      </c>
      <c r="CG1436" s="33">
        <v>5</v>
      </c>
      <c r="CH1436" s="33">
        <v>2</v>
      </c>
      <c r="CI1436" s="33">
        <v>2</v>
      </c>
      <c r="CJ1436" s="33">
        <v>4</v>
      </c>
      <c r="CK1436" s="33">
        <v>1</v>
      </c>
      <c r="CL1436" s="33">
        <v>1</v>
      </c>
      <c r="CM1436" s="33">
        <v>3</v>
      </c>
      <c r="CN1436" s="33">
        <v>10</v>
      </c>
      <c r="CO1436" s="33">
        <v>1</v>
      </c>
      <c r="CP1436" s="43">
        <v>9.6559768996238346E-2</v>
      </c>
      <c r="CQ1436" s="33">
        <v>0</v>
      </c>
      <c r="CR1436" s="33">
        <v>0</v>
      </c>
    </row>
    <row r="1437" spans="1:96" ht="15" customHeight="1" x14ac:dyDescent="0.25">
      <c r="A1437" s="26">
        <v>1435</v>
      </c>
      <c r="B1437" s="27">
        <v>44</v>
      </c>
      <c r="C1437" s="27">
        <v>0</v>
      </c>
      <c r="D1437" s="27">
        <v>1</v>
      </c>
      <c r="E1437" s="27">
        <v>1037</v>
      </c>
      <c r="F1437" s="27">
        <v>2</v>
      </c>
      <c r="G1437" s="27">
        <v>1</v>
      </c>
      <c r="H1437" s="27">
        <v>3</v>
      </c>
      <c r="I1437" s="27">
        <v>3</v>
      </c>
      <c r="J1437" s="27">
        <v>1</v>
      </c>
      <c r="K1437" s="27">
        <v>2020</v>
      </c>
      <c r="L1437" s="27">
        <v>2</v>
      </c>
      <c r="M1437" s="27">
        <v>1</v>
      </c>
      <c r="N1437" s="27">
        <v>42</v>
      </c>
      <c r="O1437" s="27">
        <v>3</v>
      </c>
      <c r="P1437" s="27">
        <v>1</v>
      </c>
      <c r="Q1437" s="27">
        <v>2</v>
      </c>
      <c r="R1437" s="27">
        <v>4</v>
      </c>
      <c r="S1437" s="27">
        <v>1</v>
      </c>
      <c r="T1437" s="27">
        <v>2436</v>
      </c>
      <c r="U1437" s="27">
        <v>13422</v>
      </c>
      <c r="V1437" s="27">
        <v>6</v>
      </c>
      <c r="W1437" s="27">
        <v>1</v>
      </c>
      <c r="X1437" s="27">
        <v>12</v>
      </c>
      <c r="Y1437" s="27">
        <v>3</v>
      </c>
      <c r="Z1437" s="27">
        <v>3</v>
      </c>
      <c r="AA1437" s="27">
        <v>80</v>
      </c>
      <c r="AB1437" s="27">
        <v>0</v>
      </c>
      <c r="AC1437" s="27">
        <v>6</v>
      </c>
      <c r="AD1437" s="27">
        <v>2</v>
      </c>
      <c r="AE1437" s="27">
        <v>3</v>
      </c>
      <c r="AF1437" s="27">
        <v>4</v>
      </c>
      <c r="AG1437" s="27">
        <v>3</v>
      </c>
      <c r="AH1437" s="27">
        <v>1</v>
      </c>
      <c r="AI1437" s="28">
        <v>2</v>
      </c>
      <c r="AK1437" s="36">
        <v>1404</v>
      </c>
      <c r="AL1437" s="33">
        <v>15</v>
      </c>
      <c r="AM1437" s="33">
        <v>4</v>
      </c>
      <c r="AN1437" s="33">
        <v>1</v>
      </c>
      <c r="AO1437" s="33">
        <v>0</v>
      </c>
      <c r="AP1437" s="33">
        <v>0</v>
      </c>
      <c r="AQ1437" s="33">
        <v>0</v>
      </c>
      <c r="AR1437" s="33">
        <v>3</v>
      </c>
      <c r="AS1437" s="33">
        <v>20</v>
      </c>
      <c r="AT1437" s="33">
        <v>11</v>
      </c>
      <c r="AU1437" s="43">
        <v>6.6323312381390456E-2</v>
      </c>
      <c r="AV1437" s="33">
        <v>0</v>
      </c>
      <c r="AW1437" s="33">
        <v>0</v>
      </c>
      <c r="AY1437" s="36">
        <v>1409</v>
      </c>
      <c r="AZ1437" s="33">
        <v>1</v>
      </c>
      <c r="BA1437" s="33">
        <v>4</v>
      </c>
      <c r="BB1437" s="33">
        <v>0</v>
      </c>
      <c r="BC1437" s="33">
        <v>0</v>
      </c>
      <c r="BD1437" s="43">
        <v>0.1472907617042678</v>
      </c>
      <c r="BE1437" s="33">
        <v>0</v>
      </c>
      <c r="BF1437" s="33">
        <v>0</v>
      </c>
      <c r="CE1437" s="36">
        <v>1403</v>
      </c>
      <c r="CF1437" s="33">
        <v>2</v>
      </c>
      <c r="CG1437" s="33">
        <v>1</v>
      </c>
      <c r="CH1437" s="33">
        <v>4</v>
      </c>
      <c r="CI1437" s="33">
        <v>3</v>
      </c>
      <c r="CJ1437" s="33">
        <v>1</v>
      </c>
      <c r="CK1437" s="33">
        <v>1</v>
      </c>
      <c r="CL1437" s="33">
        <v>3</v>
      </c>
      <c r="CM1437" s="33">
        <v>3</v>
      </c>
      <c r="CN1437" s="33">
        <v>1</v>
      </c>
      <c r="CO1437" s="33">
        <v>0</v>
      </c>
      <c r="CP1437" s="43">
        <v>9.8380513565341554E-2</v>
      </c>
      <c r="CQ1437" s="33">
        <v>0</v>
      </c>
      <c r="CR1437" s="33">
        <v>0</v>
      </c>
    </row>
    <row r="1438" spans="1:96" ht="15" customHeight="1" x14ac:dyDescent="0.25">
      <c r="A1438" s="26">
        <v>1436</v>
      </c>
      <c r="B1438" s="27">
        <v>21</v>
      </c>
      <c r="C1438" s="27">
        <v>0</v>
      </c>
      <c r="D1438" s="27">
        <v>1</v>
      </c>
      <c r="E1438" s="27">
        <v>501</v>
      </c>
      <c r="F1438" s="27">
        <v>1</v>
      </c>
      <c r="G1438" s="27">
        <v>5</v>
      </c>
      <c r="H1438" s="27">
        <v>1</v>
      </c>
      <c r="I1438" s="27">
        <v>3</v>
      </c>
      <c r="J1438" s="27">
        <v>1</v>
      </c>
      <c r="K1438" s="27">
        <v>2021</v>
      </c>
      <c r="L1438" s="27">
        <v>3</v>
      </c>
      <c r="M1438" s="27">
        <v>1</v>
      </c>
      <c r="N1438" s="27">
        <v>58</v>
      </c>
      <c r="O1438" s="27">
        <v>3</v>
      </c>
      <c r="P1438" s="27">
        <v>1</v>
      </c>
      <c r="Q1438" s="27">
        <v>7</v>
      </c>
      <c r="R1438" s="27">
        <v>1</v>
      </c>
      <c r="S1438" s="27">
        <v>1</v>
      </c>
      <c r="T1438" s="27">
        <v>2380</v>
      </c>
      <c r="U1438" s="27">
        <v>25479</v>
      </c>
      <c r="V1438" s="27">
        <v>1</v>
      </c>
      <c r="W1438" s="27">
        <v>1</v>
      </c>
      <c r="X1438" s="27">
        <v>11</v>
      </c>
      <c r="Y1438" s="27">
        <v>3</v>
      </c>
      <c r="Z1438" s="27">
        <v>4</v>
      </c>
      <c r="AA1438" s="27">
        <v>80</v>
      </c>
      <c r="AB1438" s="27">
        <v>0</v>
      </c>
      <c r="AC1438" s="27">
        <v>2</v>
      </c>
      <c r="AD1438" s="27">
        <v>6</v>
      </c>
      <c r="AE1438" s="27">
        <v>3</v>
      </c>
      <c r="AF1438" s="27">
        <v>2</v>
      </c>
      <c r="AG1438" s="27">
        <v>2</v>
      </c>
      <c r="AH1438" s="27">
        <v>1</v>
      </c>
      <c r="AI1438" s="28">
        <v>2</v>
      </c>
      <c r="AK1438" s="36">
        <v>1405</v>
      </c>
      <c r="AL1438" s="33">
        <v>23</v>
      </c>
      <c r="AM1438" s="33">
        <v>2</v>
      </c>
      <c r="AN1438" s="33">
        <v>3</v>
      </c>
      <c r="AO1438" s="33">
        <v>1</v>
      </c>
      <c r="AP1438" s="33">
        <v>0</v>
      </c>
      <c r="AQ1438" s="33">
        <v>0</v>
      </c>
      <c r="AR1438" s="33">
        <v>3</v>
      </c>
      <c r="AS1438" s="33">
        <v>20</v>
      </c>
      <c r="AT1438" s="33">
        <v>3</v>
      </c>
      <c r="AU1438" s="43">
        <v>6.4212060490066725E-2</v>
      </c>
      <c r="AV1438" s="33">
        <v>0</v>
      </c>
      <c r="AW1438" s="33">
        <v>0</v>
      </c>
      <c r="AY1438" s="36">
        <v>1410</v>
      </c>
      <c r="AZ1438" s="33">
        <v>2</v>
      </c>
      <c r="BA1438" s="33">
        <v>3</v>
      </c>
      <c r="BB1438" s="33">
        <v>0</v>
      </c>
      <c r="BC1438" s="33">
        <v>1</v>
      </c>
      <c r="BD1438" s="43">
        <v>7.244788656931947E-2</v>
      </c>
      <c r="BE1438" s="33">
        <v>0</v>
      </c>
      <c r="BF1438" s="33">
        <v>0</v>
      </c>
      <c r="CE1438" s="36">
        <v>1404</v>
      </c>
      <c r="CF1438" s="33">
        <v>15</v>
      </c>
      <c r="CG1438" s="33">
        <v>4</v>
      </c>
      <c r="CH1438" s="33">
        <v>1</v>
      </c>
      <c r="CI1438" s="33">
        <v>1</v>
      </c>
      <c r="CJ1438" s="33">
        <v>0</v>
      </c>
      <c r="CK1438" s="33">
        <v>0</v>
      </c>
      <c r="CL1438" s="33">
        <v>0</v>
      </c>
      <c r="CM1438" s="33">
        <v>3</v>
      </c>
      <c r="CN1438" s="33">
        <v>20</v>
      </c>
      <c r="CO1438" s="33">
        <v>11</v>
      </c>
      <c r="CP1438" s="43">
        <v>8.3562079960937646E-2</v>
      </c>
      <c r="CQ1438" s="33">
        <v>0</v>
      </c>
      <c r="CR1438" s="33">
        <v>0</v>
      </c>
    </row>
    <row r="1439" spans="1:96" ht="15" customHeight="1" x14ac:dyDescent="0.25">
      <c r="A1439" s="26">
        <v>1437</v>
      </c>
      <c r="B1439" s="27">
        <v>39</v>
      </c>
      <c r="C1439" s="27">
        <v>0</v>
      </c>
      <c r="D1439" s="27">
        <v>3</v>
      </c>
      <c r="E1439" s="27">
        <v>105</v>
      </c>
      <c r="F1439" s="27">
        <v>2</v>
      </c>
      <c r="G1439" s="27">
        <v>9</v>
      </c>
      <c r="H1439" s="27">
        <v>3</v>
      </c>
      <c r="I1439" s="27">
        <v>1</v>
      </c>
      <c r="J1439" s="27">
        <v>1</v>
      </c>
      <c r="K1439" s="27">
        <v>2022</v>
      </c>
      <c r="L1439" s="27">
        <v>4</v>
      </c>
      <c r="M1439" s="27">
        <v>1</v>
      </c>
      <c r="N1439" s="27">
        <v>87</v>
      </c>
      <c r="O1439" s="27">
        <v>3</v>
      </c>
      <c r="P1439" s="27">
        <v>5</v>
      </c>
      <c r="Q1439" s="27">
        <v>6</v>
      </c>
      <c r="R1439" s="27">
        <v>4</v>
      </c>
      <c r="S1439" s="27">
        <v>1</v>
      </c>
      <c r="T1439" s="27">
        <v>19431</v>
      </c>
      <c r="U1439" s="27">
        <v>15302</v>
      </c>
      <c r="V1439" s="27">
        <v>2</v>
      </c>
      <c r="W1439" s="27">
        <v>0</v>
      </c>
      <c r="X1439" s="27">
        <v>13</v>
      </c>
      <c r="Y1439" s="27">
        <v>3</v>
      </c>
      <c r="Z1439" s="27">
        <v>3</v>
      </c>
      <c r="AA1439" s="27">
        <v>80</v>
      </c>
      <c r="AB1439" s="27">
        <v>0</v>
      </c>
      <c r="AC1439" s="27">
        <v>21</v>
      </c>
      <c r="AD1439" s="27">
        <v>3</v>
      </c>
      <c r="AE1439" s="27">
        <v>2</v>
      </c>
      <c r="AF1439" s="27">
        <v>6</v>
      </c>
      <c r="AG1439" s="27">
        <v>0</v>
      </c>
      <c r="AH1439" s="27">
        <v>1</v>
      </c>
      <c r="AI1439" s="28">
        <v>3</v>
      </c>
      <c r="AK1439" s="36">
        <v>1406</v>
      </c>
      <c r="AL1439" s="33">
        <v>10</v>
      </c>
      <c r="AM1439" s="33">
        <v>3</v>
      </c>
      <c r="AN1439" s="33">
        <v>3</v>
      </c>
      <c r="AO1439" s="33">
        <v>4</v>
      </c>
      <c r="AP1439" s="33">
        <v>0</v>
      </c>
      <c r="AQ1439" s="33">
        <v>1</v>
      </c>
      <c r="AR1439" s="33">
        <v>4</v>
      </c>
      <c r="AS1439" s="33">
        <v>11</v>
      </c>
      <c r="AT1439" s="33">
        <v>4</v>
      </c>
      <c r="AU1439" s="43">
        <v>3.0666100352013875E-2</v>
      </c>
      <c r="AV1439" s="33">
        <v>0</v>
      </c>
      <c r="AW1439" s="33">
        <v>0</v>
      </c>
      <c r="AY1439" s="36">
        <v>1411</v>
      </c>
      <c r="AZ1439" s="33">
        <v>2</v>
      </c>
      <c r="BA1439" s="33">
        <v>2</v>
      </c>
      <c r="BB1439" s="33">
        <v>0</v>
      </c>
      <c r="BC1439" s="33">
        <v>1</v>
      </c>
      <c r="BD1439" s="43">
        <v>9.4721355311452843E-2</v>
      </c>
      <c r="BE1439" s="33">
        <v>0</v>
      </c>
      <c r="BF1439" s="33">
        <v>0</v>
      </c>
      <c r="CE1439" s="36">
        <v>1405</v>
      </c>
      <c r="CF1439" s="33">
        <v>23</v>
      </c>
      <c r="CG1439" s="33">
        <v>2</v>
      </c>
      <c r="CH1439" s="33">
        <v>3</v>
      </c>
      <c r="CI1439" s="33">
        <v>1</v>
      </c>
      <c r="CJ1439" s="33">
        <v>1</v>
      </c>
      <c r="CK1439" s="33">
        <v>0</v>
      </c>
      <c r="CL1439" s="33">
        <v>0</v>
      </c>
      <c r="CM1439" s="33">
        <v>3</v>
      </c>
      <c r="CN1439" s="33">
        <v>20</v>
      </c>
      <c r="CO1439" s="33">
        <v>3</v>
      </c>
      <c r="CP1439" s="43">
        <v>7.4883618051055492E-2</v>
      </c>
      <c r="CQ1439" s="33">
        <v>0</v>
      </c>
      <c r="CR1439" s="33">
        <v>0</v>
      </c>
    </row>
    <row r="1440" spans="1:96" ht="15" customHeight="1" x14ac:dyDescent="0.25">
      <c r="A1440" s="26">
        <v>1438</v>
      </c>
      <c r="B1440" s="27">
        <v>23</v>
      </c>
      <c r="C1440" s="27">
        <v>1</v>
      </c>
      <c r="D1440" s="27">
        <v>2</v>
      </c>
      <c r="E1440" s="27">
        <v>638</v>
      </c>
      <c r="F1440" s="27">
        <v>1</v>
      </c>
      <c r="G1440" s="27">
        <v>9</v>
      </c>
      <c r="H1440" s="27">
        <v>3</v>
      </c>
      <c r="I1440" s="27">
        <v>4</v>
      </c>
      <c r="J1440" s="27">
        <v>1</v>
      </c>
      <c r="K1440" s="27">
        <v>2023</v>
      </c>
      <c r="L1440" s="27">
        <v>4</v>
      </c>
      <c r="M1440" s="27">
        <v>1</v>
      </c>
      <c r="N1440" s="27">
        <v>33</v>
      </c>
      <c r="O1440" s="27">
        <v>3</v>
      </c>
      <c r="P1440" s="27">
        <v>1</v>
      </c>
      <c r="Q1440" s="27">
        <v>7</v>
      </c>
      <c r="R1440" s="27">
        <v>1</v>
      </c>
      <c r="S1440" s="27">
        <v>2</v>
      </c>
      <c r="T1440" s="27">
        <v>1790</v>
      </c>
      <c r="U1440" s="27">
        <v>26956</v>
      </c>
      <c r="V1440" s="27">
        <v>1</v>
      </c>
      <c r="W1440" s="27">
        <v>0</v>
      </c>
      <c r="X1440" s="27">
        <v>19</v>
      </c>
      <c r="Y1440" s="27">
        <v>3</v>
      </c>
      <c r="Z1440" s="27">
        <v>1</v>
      </c>
      <c r="AA1440" s="27">
        <v>80</v>
      </c>
      <c r="AB1440" s="27">
        <v>1</v>
      </c>
      <c r="AC1440" s="27">
        <v>1</v>
      </c>
      <c r="AD1440" s="27">
        <v>3</v>
      </c>
      <c r="AE1440" s="27">
        <v>2</v>
      </c>
      <c r="AF1440" s="27">
        <v>1</v>
      </c>
      <c r="AG1440" s="27">
        <v>0</v>
      </c>
      <c r="AH1440" s="27">
        <v>1</v>
      </c>
      <c r="AI1440" s="28">
        <v>0</v>
      </c>
      <c r="AK1440" s="36">
        <v>1407</v>
      </c>
      <c r="AL1440" s="33">
        <v>10</v>
      </c>
      <c r="AM1440" s="33">
        <v>2</v>
      </c>
      <c r="AN1440" s="33">
        <v>1</v>
      </c>
      <c r="AO1440" s="33">
        <v>6</v>
      </c>
      <c r="AP1440" s="33">
        <v>1</v>
      </c>
      <c r="AQ1440" s="33">
        <v>0</v>
      </c>
      <c r="AR1440" s="33">
        <v>3</v>
      </c>
      <c r="AS1440" s="33">
        <v>5</v>
      </c>
      <c r="AT1440" s="33">
        <v>1</v>
      </c>
      <c r="AU1440" s="43">
        <v>0.55420728544532072</v>
      </c>
      <c r="AV1440" s="33">
        <v>1</v>
      </c>
      <c r="AW1440" s="33">
        <v>0</v>
      </c>
      <c r="AY1440" s="36">
        <v>1412</v>
      </c>
      <c r="AZ1440" s="33">
        <v>1</v>
      </c>
      <c r="BA1440" s="33">
        <v>2</v>
      </c>
      <c r="BB1440" s="33">
        <v>0</v>
      </c>
      <c r="BC1440" s="33">
        <v>0</v>
      </c>
      <c r="BD1440" s="43">
        <v>0.23662845161334917</v>
      </c>
      <c r="BE1440" s="33">
        <v>0</v>
      </c>
      <c r="BF1440" s="33">
        <v>0</v>
      </c>
      <c r="CE1440" s="36">
        <v>1406</v>
      </c>
      <c r="CF1440" s="33">
        <v>10</v>
      </c>
      <c r="CG1440" s="33">
        <v>3</v>
      </c>
      <c r="CH1440" s="33">
        <v>3</v>
      </c>
      <c r="CI1440" s="33">
        <v>2</v>
      </c>
      <c r="CJ1440" s="33">
        <v>4</v>
      </c>
      <c r="CK1440" s="33">
        <v>0</v>
      </c>
      <c r="CL1440" s="33">
        <v>1</v>
      </c>
      <c r="CM1440" s="33">
        <v>4</v>
      </c>
      <c r="CN1440" s="33">
        <v>11</v>
      </c>
      <c r="CO1440" s="33">
        <v>4</v>
      </c>
      <c r="CP1440" s="43">
        <v>2.9683797104818055E-2</v>
      </c>
      <c r="CQ1440" s="33">
        <v>0</v>
      </c>
      <c r="CR1440" s="33">
        <v>0</v>
      </c>
    </row>
    <row r="1441" spans="1:96" ht="15" customHeight="1" x14ac:dyDescent="0.25">
      <c r="A1441" s="26">
        <v>1439</v>
      </c>
      <c r="B1441" s="27">
        <v>36</v>
      </c>
      <c r="C1441" s="27">
        <v>0</v>
      </c>
      <c r="D1441" s="27">
        <v>1</v>
      </c>
      <c r="E1441" s="27">
        <v>557</v>
      </c>
      <c r="F1441" s="27">
        <v>1</v>
      </c>
      <c r="G1441" s="27">
        <v>3</v>
      </c>
      <c r="H1441" s="27">
        <v>3</v>
      </c>
      <c r="I1441" s="27">
        <v>3</v>
      </c>
      <c r="J1441" s="27">
        <v>1</v>
      </c>
      <c r="K1441" s="27">
        <v>2024</v>
      </c>
      <c r="L1441" s="27">
        <v>1</v>
      </c>
      <c r="M1441" s="27">
        <v>0</v>
      </c>
      <c r="N1441" s="27">
        <v>94</v>
      </c>
      <c r="O1441" s="27">
        <v>2</v>
      </c>
      <c r="P1441" s="27">
        <v>3</v>
      </c>
      <c r="Q1441" s="27">
        <v>1</v>
      </c>
      <c r="R1441" s="27">
        <v>4</v>
      </c>
      <c r="S1441" s="27">
        <v>2</v>
      </c>
      <c r="T1441" s="27">
        <v>7644</v>
      </c>
      <c r="U1441" s="27">
        <v>12695</v>
      </c>
      <c r="V1441" s="27">
        <v>0</v>
      </c>
      <c r="W1441" s="27">
        <v>0</v>
      </c>
      <c r="X1441" s="27">
        <v>19</v>
      </c>
      <c r="Y1441" s="27">
        <v>3</v>
      </c>
      <c r="Z1441" s="27">
        <v>3</v>
      </c>
      <c r="AA1441" s="27">
        <v>80</v>
      </c>
      <c r="AB1441" s="27">
        <v>2</v>
      </c>
      <c r="AC1441" s="27">
        <v>10</v>
      </c>
      <c r="AD1441" s="27">
        <v>2</v>
      </c>
      <c r="AE1441" s="27">
        <v>3</v>
      </c>
      <c r="AF1441" s="27">
        <v>9</v>
      </c>
      <c r="AG1441" s="27">
        <v>7</v>
      </c>
      <c r="AH1441" s="27">
        <v>3</v>
      </c>
      <c r="AI1441" s="28">
        <v>4</v>
      </c>
      <c r="AK1441" s="36">
        <v>1408</v>
      </c>
      <c r="AL1441" s="33">
        <v>1</v>
      </c>
      <c r="AM1441" s="33">
        <v>2</v>
      </c>
      <c r="AN1441" s="33">
        <v>3</v>
      </c>
      <c r="AO1441" s="33">
        <v>1</v>
      </c>
      <c r="AP1441" s="33">
        <v>0</v>
      </c>
      <c r="AQ1441" s="33">
        <v>0</v>
      </c>
      <c r="AR1441" s="33">
        <v>2</v>
      </c>
      <c r="AS1441" s="33">
        <v>4</v>
      </c>
      <c r="AT1441" s="33">
        <v>1</v>
      </c>
      <c r="AU1441" s="43">
        <v>9.4518616243813025E-2</v>
      </c>
      <c r="AV1441" s="33">
        <v>0</v>
      </c>
      <c r="AW1441" s="33">
        <v>0</v>
      </c>
      <c r="AY1441" s="36">
        <v>1413</v>
      </c>
      <c r="AZ1441" s="33">
        <v>1</v>
      </c>
      <c r="BA1441" s="33">
        <v>2</v>
      </c>
      <c r="BB1441" s="33">
        <v>0</v>
      </c>
      <c r="BC1441" s="33">
        <v>0</v>
      </c>
      <c r="BD1441" s="43">
        <v>0.23662845161334917</v>
      </c>
      <c r="BE1441" s="33">
        <v>0</v>
      </c>
      <c r="BF1441" s="33">
        <v>0</v>
      </c>
      <c r="CE1441" s="36">
        <v>1407</v>
      </c>
      <c r="CF1441" s="33">
        <v>10</v>
      </c>
      <c r="CG1441" s="33">
        <v>2</v>
      </c>
      <c r="CH1441" s="33">
        <v>1</v>
      </c>
      <c r="CI1441" s="33">
        <v>1</v>
      </c>
      <c r="CJ1441" s="33">
        <v>6</v>
      </c>
      <c r="CK1441" s="33">
        <v>1</v>
      </c>
      <c r="CL1441" s="33">
        <v>0</v>
      </c>
      <c r="CM1441" s="33">
        <v>3</v>
      </c>
      <c r="CN1441" s="33">
        <v>5</v>
      </c>
      <c r="CO1441" s="33">
        <v>1</v>
      </c>
      <c r="CP1441" s="43">
        <v>0.61616786664083478</v>
      </c>
      <c r="CQ1441" s="33">
        <v>1</v>
      </c>
      <c r="CR1441" s="33">
        <v>0</v>
      </c>
    </row>
    <row r="1442" spans="1:96" ht="15" customHeight="1" x14ac:dyDescent="0.25">
      <c r="A1442" s="26">
        <v>1440</v>
      </c>
      <c r="B1442" s="27">
        <v>36</v>
      </c>
      <c r="C1442" s="27">
        <v>0</v>
      </c>
      <c r="D1442" s="27">
        <v>2</v>
      </c>
      <c r="E1442" s="27">
        <v>688</v>
      </c>
      <c r="F1442" s="27">
        <v>2</v>
      </c>
      <c r="G1442" s="27">
        <v>4</v>
      </c>
      <c r="H1442" s="27">
        <v>2</v>
      </c>
      <c r="I1442" s="27">
        <v>1</v>
      </c>
      <c r="J1442" s="27">
        <v>1</v>
      </c>
      <c r="K1442" s="27">
        <v>2025</v>
      </c>
      <c r="L1442" s="27">
        <v>4</v>
      </c>
      <c r="M1442" s="27">
        <v>0</v>
      </c>
      <c r="N1442" s="27">
        <v>97</v>
      </c>
      <c r="O1442" s="27">
        <v>3</v>
      </c>
      <c r="P1442" s="27">
        <v>2</v>
      </c>
      <c r="Q1442" s="27">
        <v>4</v>
      </c>
      <c r="R1442" s="27">
        <v>2</v>
      </c>
      <c r="S1442" s="27">
        <v>3</v>
      </c>
      <c r="T1442" s="27">
        <v>5131</v>
      </c>
      <c r="U1442" s="27">
        <v>9192</v>
      </c>
      <c r="V1442" s="27">
        <v>7</v>
      </c>
      <c r="W1442" s="27">
        <v>0</v>
      </c>
      <c r="X1442" s="27">
        <v>13</v>
      </c>
      <c r="Y1442" s="27">
        <v>3</v>
      </c>
      <c r="Z1442" s="27">
        <v>2</v>
      </c>
      <c r="AA1442" s="27">
        <v>80</v>
      </c>
      <c r="AB1442" s="27">
        <v>3</v>
      </c>
      <c r="AC1442" s="27">
        <v>18</v>
      </c>
      <c r="AD1442" s="27">
        <v>3</v>
      </c>
      <c r="AE1442" s="27">
        <v>3</v>
      </c>
      <c r="AF1442" s="27">
        <v>4</v>
      </c>
      <c r="AG1442" s="27">
        <v>2</v>
      </c>
      <c r="AH1442" s="27">
        <v>0</v>
      </c>
      <c r="AI1442" s="28">
        <v>2</v>
      </c>
      <c r="AK1442" s="36">
        <v>1409</v>
      </c>
      <c r="AL1442" s="33">
        <v>12</v>
      </c>
      <c r="AM1442" s="33">
        <v>1</v>
      </c>
      <c r="AN1442" s="33">
        <v>4</v>
      </c>
      <c r="AO1442" s="33">
        <v>1</v>
      </c>
      <c r="AP1442" s="33">
        <v>0</v>
      </c>
      <c r="AQ1442" s="33">
        <v>0</v>
      </c>
      <c r="AR1442" s="33">
        <v>4</v>
      </c>
      <c r="AS1442" s="33">
        <v>5</v>
      </c>
      <c r="AT1442" s="33">
        <v>1</v>
      </c>
      <c r="AU1442" s="43">
        <v>0.10272608521174748</v>
      </c>
      <c r="AV1442" s="33">
        <v>0</v>
      </c>
      <c r="AW1442" s="33">
        <v>0</v>
      </c>
      <c r="AY1442" s="36">
        <v>1414</v>
      </c>
      <c r="AZ1442" s="33">
        <v>1</v>
      </c>
      <c r="BA1442" s="33">
        <v>3</v>
      </c>
      <c r="BB1442" s="33">
        <v>1</v>
      </c>
      <c r="BC1442" s="33">
        <v>1</v>
      </c>
      <c r="BD1442" s="43">
        <v>0.36852652578740397</v>
      </c>
      <c r="BE1442" s="33">
        <v>0</v>
      </c>
      <c r="BF1442" s="33">
        <v>0</v>
      </c>
      <c r="CE1442" s="36">
        <v>1408</v>
      </c>
      <c r="CF1442" s="33">
        <v>1</v>
      </c>
      <c r="CG1442" s="33">
        <v>2</v>
      </c>
      <c r="CH1442" s="33">
        <v>3</v>
      </c>
      <c r="CI1442" s="33">
        <v>1</v>
      </c>
      <c r="CJ1442" s="33">
        <v>1</v>
      </c>
      <c r="CK1442" s="33">
        <v>0</v>
      </c>
      <c r="CL1442" s="33">
        <v>0</v>
      </c>
      <c r="CM1442" s="33">
        <v>2</v>
      </c>
      <c r="CN1442" s="33">
        <v>4</v>
      </c>
      <c r="CO1442" s="33">
        <v>1</v>
      </c>
      <c r="CP1442" s="43">
        <v>0.11215101974914421</v>
      </c>
      <c r="CQ1442" s="33">
        <v>0</v>
      </c>
      <c r="CR1442" s="33">
        <v>0</v>
      </c>
    </row>
    <row r="1443" spans="1:96" ht="15" customHeight="1" x14ac:dyDescent="0.25">
      <c r="A1443" s="26">
        <v>1441</v>
      </c>
      <c r="B1443" s="27">
        <v>56</v>
      </c>
      <c r="C1443" s="27">
        <v>0</v>
      </c>
      <c r="D1443" s="27">
        <v>3</v>
      </c>
      <c r="E1443" s="27">
        <v>667</v>
      </c>
      <c r="F1443" s="27">
        <v>2</v>
      </c>
      <c r="G1443" s="27">
        <v>1</v>
      </c>
      <c r="H1443" s="27">
        <v>4</v>
      </c>
      <c r="I1443" s="27">
        <v>1</v>
      </c>
      <c r="J1443" s="27">
        <v>1</v>
      </c>
      <c r="K1443" s="27">
        <v>2026</v>
      </c>
      <c r="L1443" s="27">
        <v>3</v>
      </c>
      <c r="M1443" s="27">
        <v>1</v>
      </c>
      <c r="N1443" s="27">
        <v>57</v>
      </c>
      <c r="O1443" s="27">
        <v>3</v>
      </c>
      <c r="P1443" s="27">
        <v>2</v>
      </c>
      <c r="Q1443" s="27">
        <v>5</v>
      </c>
      <c r="R1443" s="27">
        <v>3</v>
      </c>
      <c r="S1443" s="27">
        <v>3</v>
      </c>
      <c r="T1443" s="27">
        <v>6306</v>
      </c>
      <c r="U1443" s="27">
        <v>26236</v>
      </c>
      <c r="V1443" s="27">
        <v>1</v>
      </c>
      <c r="W1443" s="27">
        <v>0</v>
      </c>
      <c r="X1443" s="27">
        <v>21</v>
      </c>
      <c r="Y1443" s="27">
        <v>4</v>
      </c>
      <c r="Z1443" s="27">
        <v>1</v>
      </c>
      <c r="AA1443" s="27">
        <v>80</v>
      </c>
      <c r="AB1443" s="27">
        <v>1</v>
      </c>
      <c r="AC1443" s="27">
        <v>13</v>
      </c>
      <c r="AD1443" s="27">
        <v>2</v>
      </c>
      <c r="AE1443" s="27">
        <v>2</v>
      </c>
      <c r="AF1443" s="27">
        <v>13</v>
      </c>
      <c r="AG1443" s="27">
        <v>12</v>
      </c>
      <c r="AH1443" s="27">
        <v>1</v>
      </c>
      <c r="AI1443" s="28">
        <v>9</v>
      </c>
      <c r="AK1443" s="36">
        <v>1410</v>
      </c>
      <c r="AL1443" s="33">
        <v>11</v>
      </c>
      <c r="AM1443" s="33">
        <v>2</v>
      </c>
      <c r="AN1443" s="33">
        <v>3</v>
      </c>
      <c r="AO1443" s="33">
        <v>1</v>
      </c>
      <c r="AP1443" s="33">
        <v>0</v>
      </c>
      <c r="AQ1443" s="33">
        <v>1</v>
      </c>
      <c r="AR1443" s="33">
        <v>4</v>
      </c>
      <c r="AS1443" s="33">
        <v>10</v>
      </c>
      <c r="AT1443" s="33">
        <v>9</v>
      </c>
      <c r="AU1443" s="43">
        <v>7.7176679582231233E-2</v>
      </c>
      <c r="AV1443" s="33">
        <v>0</v>
      </c>
      <c r="AW1443" s="33">
        <v>0</v>
      </c>
      <c r="AY1443" s="36">
        <v>1415</v>
      </c>
      <c r="AZ1443" s="33">
        <v>3</v>
      </c>
      <c r="BA1443" s="33">
        <v>3</v>
      </c>
      <c r="BB1443" s="33">
        <v>0</v>
      </c>
      <c r="BC1443" s="33">
        <v>0</v>
      </c>
      <c r="BD1443" s="43">
        <v>7.0406776741937793E-2</v>
      </c>
      <c r="BE1443" s="33">
        <v>0</v>
      </c>
      <c r="BF1443" s="33">
        <v>0</v>
      </c>
      <c r="CE1443" s="36">
        <v>1409</v>
      </c>
      <c r="CF1443" s="33">
        <v>12</v>
      </c>
      <c r="CG1443" s="33">
        <v>1</v>
      </c>
      <c r="CH1443" s="33">
        <v>4</v>
      </c>
      <c r="CI1443" s="33">
        <v>1</v>
      </c>
      <c r="CJ1443" s="33">
        <v>1</v>
      </c>
      <c r="CK1443" s="33">
        <v>0</v>
      </c>
      <c r="CL1443" s="33">
        <v>0</v>
      </c>
      <c r="CM1443" s="33">
        <v>4</v>
      </c>
      <c r="CN1443" s="33">
        <v>5</v>
      </c>
      <c r="CO1443" s="33">
        <v>1</v>
      </c>
      <c r="CP1443" s="43">
        <v>0.11478357720766701</v>
      </c>
      <c r="CQ1443" s="33">
        <v>0</v>
      </c>
      <c r="CR1443" s="33">
        <v>0</v>
      </c>
    </row>
    <row r="1444" spans="1:96" ht="15" customHeight="1" x14ac:dyDescent="0.25">
      <c r="A1444" s="26">
        <v>1442</v>
      </c>
      <c r="B1444" s="27">
        <v>29</v>
      </c>
      <c r="C1444" s="27">
        <v>1</v>
      </c>
      <c r="D1444" s="27">
        <v>1</v>
      </c>
      <c r="E1444" s="27">
        <v>1092</v>
      </c>
      <c r="F1444" s="27">
        <v>2</v>
      </c>
      <c r="G1444" s="27">
        <v>1</v>
      </c>
      <c r="H1444" s="27">
        <v>4</v>
      </c>
      <c r="I1444" s="27">
        <v>3</v>
      </c>
      <c r="J1444" s="27">
        <v>1</v>
      </c>
      <c r="K1444" s="27">
        <v>2027</v>
      </c>
      <c r="L1444" s="27">
        <v>1</v>
      </c>
      <c r="M1444" s="27">
        <v>1</v>
      </c>
      <c r="N1444" s="27">
        <v>36</v>
      </c>
      <c r="O1444" s="27">
        <v>3</v>
      </c>
      <c r="P1444" s="27">
        <v>1</v>
      </c>
      <c r="Q1444" s="27">
        <v>2</v>
      </c>
      <c r="R1444" s="27">
        <v>4</v>
      </c>
      <c r="S1444" s="27">
        <v>2</v>
      </c>
      <c r="T1444" s="27">
        <v>4787</v>
      </c>
      <c r="U1444" s="27">
        <v>26124</v>
      </c>
      <c r="V1444" s="27">
        <v>9</v>
      </c>
      <c r="W1444" s="27">
        <v>1</v>
      </c>
      <c r="X1444" s="27">
        <v>14</v>
      </c>
      <c r="Y1444" s="27">
        <v>3</v>
      </c>
      <c r="Z1444" s="27">
        <v>2</v>
      </c>
      <c r="AA1444" s="27">
        <v>80</v>
      </c>
      <c r="AB1444" s="27">
        <v>3</v>
      </c>
      <c r="AC1444" s="27">
        <v>4</v>
      </c>
      <c r="AD1444" s="27">
        <v>3</v>
      </c>
      <c r="AE1444" s="27">
        <v>4</v>
      </c>
      <c r="AF1444" s="27">
        <v>2</v>
      </c>
      <c r="AG1444" s="27">
        <v>2</v>
      </c>
      <c r="AH1444" s="27">
        <v>2</v>
      </c>
      <c r="AI1444" s="28">
        <v>2</v>
      </c>
      <c r="AK1444" s="36">
        <v>1411</v>
      </c>
      <c r="AL1444" s="33">
        <v>2</v>
      </c>
      <c r="AM1444" s="33">
        <v>2</v>
      </c>
      <c r="AN1444" s="33">
        <v>2</v>
      </c>
      <c r="AO1444" s="33">
        <v>3</v>
      </c>
      <c r="AP1444" s="33">
        <v>0</v>
      </c>
      <c r="AQ1444" s="33">
        <v>1</v>
      </c>
      <c r="AR1444" s="33">
        <v>3</v>
      </c>
      <c r="AS1444" s="33">
        <v>11</v>
      </c>
      <c r="AT1444" s="33">
        <v>5</v>
      </c>
      <c r="AU1444" s="43">
        <v>6.8050183846378454E-2</v>
      </c>
      <c r="AV1444" s="33">
        <v>0</v>
      </c>
      <c r="AW1444" s="33">
        <v>0</v>
      </c>
      <c r="AY1444" s="36">
        <v>1416</v>
      </c>
      <c r="AZ1444" s="33">
        <v>1</v>
      </c>
      <c r="BA1444" s="33">
        <v>3</v>
      </c>
      <c r="BB1444" s="33">
        <v>0</v>
      </c>
      <c r="BC1444" s="33">
        <v>3</v>
      </c>
      <c r="BD1444" s="43">
        <v>4.5366993313288043E-2</v>
      </c>
      <c r="BE1444" s="33">
        <v>0</v>
      </c>
      <c r="BF1444" s="33">
        <v>0</v>
      </c>
      <c r="CE1444" s="36">
        <v>1410</v>
      </c>
      <c r="CF1444" s="33">
        <v>11</v>
      </c>
      <c r="CG1444" s="33">
        <v>2</v>
      </c>
      <c r="CH1444" s="33">
        <v>3</v>
      </c>
      <c r="CI1444" s="33">
        <v>2</v>
      </c>
      <c r="CJ1444" s="33">
        <v>1</v>
      </c>
      <c r="CK1444" s="33">
        <v>0</v>
      </c>
      <c r="CL1444" s="33">
        <v>1</v>
      </c>
      <c r="CM1444" s="33">
        <v>4</v>
      </c>
      <c r="CN1444" s="33">
        <v>10</v>
      </c>
      <c r="CO1444" s="33">
        <v>9</v>
      </c>
      <c r="CP1444" s="43">
        <v>7.4774727934564647E-2</v>
      </c>
      <c r="CQ1444" s="33">
        <v>0</v>
      </c>
      <c r="CR1444" s="33">
        <v>0</v>
      </c>
    </row>
    <row r="1445" spans="1:96" ht="15" customHeight="1" x14ac:dyDescent="0.25">
      <c r="A1445" s="26">
        <v>1443</v>
      </c>
      <c r="B1445" s="27">
        <v>42</v>
      </c>
      <c r="C1445" s="27">
        <v>0</v>
      </c>
      <c r="D1445" s="27">
        <v>1</v>
      </c>
      <c r="E1445" s="27">
        <v>300</v>
      </c>
      <c r="F1445" s="27">
        <v>2</v>
      </c>
      <c r="G1445" s="27">
        <v>2</v>
      </c>
      <c r="H1445" s="27">
        <v>3</v>
      </c>
      <c r="I1445" s="27">
        <v>1</v>
      </c>
      <c r="J1445" s="27">
        <v>1</v>
      </c>
      <c r="K1445" s="27">
        <v>2031</v>
      </c>
      <c r="L1445" s="27">
        <v>1</v>
      </c>
      <c r="M1445" s="27">
        <v>1</v>
      </c>
      <c r="N1445" s="27">
        <v>56</v>
      </c>
      <c r="O1445" s="27">
        <v>3</v>
      </c>
      <c r="P1445" s="27">
        <v>5</v>
      </c>
      <c r="Q1445" s="27">
        <v>6</v>
      </c>
      <c r="R1445" s="27">
        <v>3</v>
      </c>
      <c r="S1445" s="27">
        <v>2</v>
      </c>
      <c r="T1445" s="27">
        <v>18880</v>
      </c>
      <c r="U1445" s="27">
        <v>17312</v>
      </c>
      <c r="V1445" s="27">
        <v>5</v>
      </c>
      <c r="W1445" s="27">
        <v>0</v>
      </c>
      <c r="X1445" s="27">
        <v>11</v>
      </c>
      <c r="Y1445" s="27">
        <v>3</v>
      </c>
      <c r="Z1445" s="27">
        <v>1</v>
      </c>
      <c r="AA1445" s="27">
        <v>80</v>
      </c>
      <c r="AB1445" s="27">
        <v>0</v>
      </c>
      <c r="AC1445" s="27">
        <v>24</v>
      </c>
      <c r="AD1445" s="27">
        <v>2</v>
      </c>
      <c r="AE1445" s="27">
        <v>2</v>
      </c>
      <c r="AF1445" s="27">
        <v>22</v>
      </c>
      <c r="AG1445" s="27">
        <v>6</v>
      </c>
      <c r="AH1445" s="27">
        <v>4</v>
      </c>
      <c r="AI1445" s="28">
        <v>14</v>
      </c>
      <c r="AK1445" s="36">
        <v>1412</v>
      </c>
      <c r="AL1445" s="33">
        <v>2</v>
      </c>
      <c r="AM1445" s="33">
        <v>1</v>
      </c>
      <c r="AN1445" s="33">
        <v>2</v>
      </c>
      <c r="AO1445" s="33">
        <v>4</v>
      </c>
      <c r="AP1445" s="33">
        <v>0</v>
      </c>
      <c r="AQ1445" s="33">
        <v>0</v>
      </c>
      <c r="AR1445" s="33">
        <v>3</v>
      </c>
      <c r="AS1445" s="33">
        <v>2</v>
      </c>
      <c r="AT1445" s="33">
        <v>1</v>
      </c>
      <c r="AU1445" s="43">
        <v>0.22814921005580255</v>
      </c>
      <c r="AV1445" s="33">
        <v>0</v>
      </c>
      <c r="AW1445" s="33">
        <v>0</v>
      </c>
      <c r="AY1445" s="36">
        <v>1417</v>
      </c>
      <c r="AZ1445" s="33">
        <v>2</v>
      </c>
      <c r="BA1445" s="33">
        <v>2</v>
      </c>
      <c r="BB1445" s="33">
        <v>0</v>
      </c>
      <c r="BC1445" s="33">
        <v>2</v>
      </c>
      <c r="BD1445" s="43">
        <v>5.8143431646637607E-2</v>
      </c>
      <c r="BE1445" s="33">
        <v>0</v>
      </c>
      <c r="BF1445" s="33">
        <v>0</v>
      </c>
      <c r="CE1445" s="36">
        <v>1411</v>
      </c>
      <c r="CF1445" s="33">
        <v>2</v>
      </c>
      <c r="CG1445" s="33">
        <v>2</v>
      </c>
      <c r="CH1445" s="33">
        <v>2</v>
      </c>
      <c r="CI1445" s="33">
        <v>2</v>
      </c>
      <c r="CJ1445" s="33">
        <v>3</v>
      </c>
      <c r="CK1445" s="33">
        <v>0</v>
      </c>
      <c r="CL1445" s="33">
        <v>1</v>
      </c>
      <c r="CM1445" s="33">
        <v>3</v>
      </c>
      <c r="CN1445" s="33">
        <v>11</v>
      </c>
      <c r="CO1445" s="33">
        <v>5</v>
      </c>
      <c r="CP1445" s="43">
        <v>6.7649806792944633E-2</v>
      </c>
      <c r="CQ1445" s="33">
        <v>0</v>
      </c>
      <c r="CR1445" s="33">
        <v>0</v>
      </c>
    </row>
    <row r="1446" spans="1:96" ht="15" customHeight="1" x14ac:dyDescent="0.25">
      <c r="A1446" s="26">
        <v>1444</v>
      </c>
      <c r="B1446" s="27">
        <v>56</v>
      </c>
      <c r="C1446" s="27">
        <v>1</v>
      </c>
      <c r="D1446" s="27">
        <v>1</v>
      </c>
      <c r="E1446" s="27">
        <v>310</v>
      </c>
      <c r="F1446" s="27">
        <v>2</v>
      </c>
      <c r="G1446" s="27">
        <v>7</v>
      </c>
      <c r="H1446" s="27">
        <v>2</v>
      </c>
      <c r="I1446" s="27">
        <v>5</v>
      </c>
      <c r="J1446" s="27">
        <v>1</v>
      </c>
      <c r="K1446" s="27">
        <v>2032</v>
      </c>
      <c r="L1446" s="27">
        <v>4</v>
      </c>
      <c r="M1446" s="27">
        <v>1</v>
      </c>
      <c r="N1446" s="27">
        <v>72</v>
      </c>
      <c r="O1446" s="27">
        <v>3</v>
      </c>
      <c r="P1446" s="27">
        <v>1</v>
      </c>
      <c r="Q1446" s="27">
        <v>3</v>
      </c>
      <c r="R1446" s="27">
        <v>3</v>
      </c>
      <c r="S1446" s="27">
        <v>2</v>
      </c>
      <c r="T1446" s="27">
        <v>2339</v>
      </c>
      <c r="U1446" s="27">
        <v>3666</v>
      </c>
      <c r="V1446" s="27">
        <v>8</v>
      </c>
      <c r="W1446" s="27">
        <v>0</v>
      </c>
      <c r="X1446" s="27">
        <v>11</v>
      </c>
      <c r="Y1446" s="27">
        <v>3</v>
      </c>
      <c r="Z1446" s="27">
        <v>4</v>
      </c>
      <c r="AA1446" s="27">
        <v>80</v>
      </c>
      <c r="AB1446" s="27">
        <v>1</v>
      </c>
      <c r="AC1446" s="27">
        <v>14</v>
      </c>
      <c r="AD1446" s="27">
        <v>4</v>
      </c>
      <c r="AE1446" s="27">
        <v>1</v>
      </c>
      <c r="AF1446" s="27">
        <v>10</v>
      </c>
      <c r="AG1446" s="27">
        <v>9</v>
      </c>
      <c r="AH1446" s="27">
        <v>9</v>
      </c>
      <c r="AI1446" s="28">
        <v>8</v>
      </c>
      <c r="AK1446" s="36">
        <v>1413</v>
      </c>
      <c r="AL1446" s="33">
        <v>1</v>
      </c>
      <c r="AM1446" s="33">
        <v>1</v>
      </c>
      <c r="AN1446" s="33">
        <v>2</v>
      </c>
      <c r="AO1446" s="33">
        <v>1</v>
      </c>
      <c r="AP1446" s="33">
        <v>0</v>
      </c>
      <c r="AQ1446" s="33">
        <v>0</v>
      </c>
      <c r="AR1446" s="33">
        <v>2</v>
      </c>
      <c r="AS1446" s="33">
        <v>12</v>
      </c>
      <c r="AT1446" s="33">
        <v>1</v>
      </c>
      <c r="AU1446" s="43">
        <v>0.11994981392474131</v>
      </c>
      <c r="AV1446" s="33">
        <v>0</v>
      </c>
      <c r="AW1446" s="33">
        <v>0</v>
      </c>
      <c r="AY1446" s="36">
        <v>1418</v>
      </c>
      <c r="AZ1446" s="33">
        <v>1</v>
      </c>
      <c r="BA1446" s="33">
        <v>3</v>
      </c>
      <c r="BB1446" s="33">
        <v>0</v>
      </c>
      <c r="BC1446" s="33">
        <v>1</v>
      </c>
      <c r="BD1446" s="43">
        <v>0.12012271365792118</v>
      </c>
      <c r="BE1446" s="33">
        <v>0</v>
      </c>
      <c r="BF1446" s="33">
        <v>0</v>
      </c>
      <c r="CE1446" s="36">
        <v>1412</v>
      </c>
      <c r="CF1446" s="33">
        <v>2</v>
      </c>
      <c r="CG1446" s="33">
        <v>1</v>
      </c>
      <c r="CH1446" s="33">
        <v>2</v>
      </c>
      <c r="CI1446" s="33">
        <v>2</v>
      </c>
      <c r="CJ1446" s="33">
        <v>4</v>
      </c>
      <c r="CK1446" s="33">
        <v>0</v>
      </c>
      <c r="CL1446" s="33">
        <v>0</v>
      </c>
      <c r="CM1446" s="33">
        <v>3</v>
      </c>
      <c r="CN1446" s="33">
        <v>2</v>
      </c>
      <c r="CO1446" s="33">
        <v>1</v>
      </c>
      <c r="CP1446" s="43">
        <v>0.16990775897898502</v>
      </c>
      <c r="CQ1446" s="33">
        <v>0</v>
      </c>
      <c r="CR1446" s="33">
        <v>0</v>
      </c>
    </row>
    <row r="1447" spans="1:96" ht="15" customHeight="1" x14ac:dyDescent="0.25">
      <c r="A1447" s="26">
        <v>1445</v>
      </c>
      <c r="B1447" s="27">
        <v>41</v>
      </c>
      <c r="C1447" s="27">
        <v>0</v>
      </c>
      <c r="D1447" s="27">
        <v>1</v>
      </c>
      <c r="E1447" s="27">
        <v>582</v>
      </c>
      <c r="F1447" s="27">
        <v>2</v>
      </c>
      <c r="G1447" s="27">
        <v>28</v>
      </c>
      <c r="H1447" s="27">
        <v>4</v>
      </c>
      <c r="I1447" s="27">
        <v>1</v>
      </c>
      <c r="J1447" s="27">
        <v>1</v>
      </c>
      <c r="K1447" s="27">
        <v>2034</v>
      </c>
      <c r="L1447" s="27">
        <v>1</v>
      </c>
      <c r="M1447" s="27">
        <v>0</v>
      </c>
      <c r="N1447" s="27">
        <v>60</v>
      </c>
      <c r="O1447" s="27">
        <v>2</v>
      </c>
      <c r="P1447" s="27">
        <v>4</v>
      </c>
      <c r="Q1447" s="27">
        <v>4</v>
      </c>
      <c r="R1447" s="27">
        <v>2</v>
      </c>
      <c r="S1447" s="27">
        <v>2</v>
      </c>
      <c r="T1447" s="27">
        <v>13570</v>
      </c>
      <c r="U1447" s="27">
        <v>5640</v>
      </c>
      <c r="V1447" s="27">
        <v>0</v>
      </c>
      <c r="W1447" s="27">
        <v>0</v>
      </c>
      <c r="X1447" s="27">
        <v>23</v>
      </c>
      <c r="Y1447" s="27">
        <v>4</v>
      </c>
      <c r="Z1447" s="27">
        <v>3</v>
      </c>
      <c r="AA1447" s="27">
        <v>80</v>
      </c>
      <c r="AB1447" s="27">
        <v>1</v>
      </c>
      <c r="AC1447" s="27">
        <v>21</v>
      </c>
      <c r="AD1447" s="27">
        <v>3</v>
      </c>
      <c r="AE1447" s="27">
        <v>3</v>
      </c>
      <c r="AF1447" s="27">
        <v>20</v>
      </c>
      <c r="AG1447" s="27">
        <v>7</v>
      </c>
      <c r="AH1447" s="27">
        <v>0</v>
      </c>
      <c r="AI1447" s="28">
        <v>10</v>
      </c>
      <c r="AK1447" s="36">
        <v>1414</v>
      </c>
      <c r="AL1447" s="33">
        <v>2</v>
      </c>
      <c r="AM1447" s="33">
        <v>1</v>
      </c>
      <c r="AN1447" s="33">
        <v>3</v>
      </c>
      <c r="AO1447" s="33">
        <v>6</v>
      </c>
      <c r="AP1447" s="33">
        <v>1</v>
      </c>
      <c r="AQ1447" s="33">
        <v>1</v>
      </c>
      <c r="AR1447" s="33">
        <v>2</v>
      </c>
      <c r="AS1447" s="33">
        <v>2</v>
      </c>
      <c r="AT1447" s="33">
        <v>0</v>
      </c>
      <c r="AU1447" s="43">
        <v>0.4217739914568514</v>
      </c>
      <c r="AV1447" s="33">
        <v>0</v>
      </c>
      <c r="AW1447" s="33">
        <v>0</v>
      </c>
      <c r="AY1447" s="36">
        <v>1419</v>
      </c>
      <c r="AZ1447" s="33">
        <v>2</v>
      </c>
      <c r="BA1447" s="33">
        <v>3</v>
      </c>
      <c r="BB1447" s="33">
        <v>0</v>
      </c>
      <c r="BC1447" s="33">
        <v>1</v>
      </c>
      <c r="BD1447" s="43">
        <v>7.244788656931947E-2</v>
      </c>
      <c r="BE1447" s="33">
        <v>0</v>
      </c>
      <c r="BF1447" s="33">
        <v>0</v>
      </c>
      <c r="CE1447" s="36">
        <v>1413</v>
      </c>
      <c r="CF1447" s="33">
        <v>1</v>
      </c>
      <c r="CG1447" s="33">
        <v>1</v>
      </c>
      <c r="CH1447" s="33">
        <v>2</v>
      </c>
      <c r="CI1447" s="33">
        <v>2</v>
      </c>
      <c r="CJ1447" s="33">
        <v>1</v>
      </c>
      <c r="CK1447" s="33">
        <v>0</v>
      </c>
      <c r="CL1447" s="33">
        <v>0</v>
      </c>
      <c r="CM1447" s="33">
        <v>2</v>
      </c>
      <c r="CN1447" s="33">
        <v>12</v>
      </c>
      <c r="CO1447" s="33">
        <v>1</v>
      </c>
      <c r="CP1447" s="43">
        <v>8.6781129233536605E-2</v>
      </c>
      <c r="CQ1447" s="33">
        <v>0</v>
      </c>
      <c r="CR1447" s="33">
        <v>0</v>
      </c>
    </row>
    <row r="1448" spans="1:96" ht="15" customHeight="1" x14ac:dyDescent="0.25">
      <c r="A1448" s="26">
        <v>1446</v>
      </c>
      <c r="B1448" s="27">
        <v>34</v>
      </c>
      <c r="C1448" s="27">
        <v>0</v>
      </c>
      <c r="D1448" s="27">
        <v>1</v>
      </c>
      <c r="E1448" s="27">
        <v>704</v>
      </c>
      <c r="F1448" s="27">
        <v>1</v>
      </c>
      <c r="G1448" s="27">
        <v>28</v>
      </c>
      <c r="H1448" s="27">
        <v>3</v>
      </c>
      <c r="I1448" s="27">
        <v>4</v>
      </c>
      <c r="J1448" s="27">
        <v>1</v>
      </c>
      <c r="K1448" s="27">
        <v>2035</v>
      </c>
      <c r="L1448" s="27">
        <v>4</v>
      </c>
      <c r="M1448" s="27">
        <v>0</v>
      </c>
      <c r="N1448" s="27">
        <v>95</v>
      </c>
      <c r="O1448" s="27">
        <v>2</v>
      </c>
      <c r="P1448" s="27">
        <v>2</v>
      </c>
      <c r="Q1448" s="27">
        <v>1</v>
      </c>
      <c r="R1448" s="27">
        <v>3</v>
      </c>
      <c r="S1448" s="27">
        <v>2</v>
      </c>
      <c r="T1448" s="27">
        <v>6712</v>
      </c>
      <c r="U1448" s="27">
        <v>8978</v>
      </c>
      <c r="V1448" s="27">
        <v>1</v>
      </c>
      <c r="W1448" s="27">
        <v>0</v>
      </c>
      <c r="X1448" s="27">
        <v>21</v>
      </c>
      <c r="Y1448" s="27">
        <v>4</v>
      </c>
      <c r="Z1448" s="27">
        <v>4</v>
      </c>
      <c r="AA1448" s="27">
        <v>80</v>
      </c>
      <c r="AB1448" s="27">
        <v>2</v>
      </c>
      <c r="AC1448" s="27">
        <v>8</v>
      </c>
      <c r="AD1448" s="27">
        <v>2</v>
      </c>
      <c r="AE1448" s="27">
        <v>3</v>
      </c>
      <c r="AF1448" s="27">
        <v>8</v>
      </c>
      <c r="AG1448" s="27">
        <v>7</v>
      </c>
      <c r="AH1448" s="27">
        <v>1</v>
      </c>
      <c r="AI1448" s="28">
        <v>7</v>
      </c>
      <c r="AK1448" s="36">
        <v>1415</v>
      </c>
      <c r="AL1448" s="33">
        <v>25</v>
      </c>
      <c r="AM1448" s="33">
        <v>3</v>
      </c>
      <c r="AN1448" s="33">
        <v>3</v>
      </c>
      <c r="AO1448" s="33">
        <v>2</v>
      </c>
      <c r="AP1448" s="33">
        <v>0</v>
      </c>
      <c r="AQ1448" s="33">
        <v>0</v>
      </c>
      <c r="AR1448" s="33">
        <v>3</v>
      </c>
      <c r="AS1448" s="33">
        <v>17</v>
      </c>
      <c r="AT1448" s="33">
        <v>12</v>
      </c>
      <c r="AU1448" s="43">
        <v>0.13669003689393802</v>
      </c>
      <c r="AV1448" s="33">
        <v>0</v>
      </c>
      <c r="AW1448" s="33">
        <v>0</v>
      </c>
      <c r="AY1448" s="36">
        <v>1420</v>
      </c>
      <c r="AZ1448" s="33">
        <v>2</v>
      </c>
      <c r="BA1448" s="33">
        <v>1</v>
      </c>
      <c r="BB1448" s="33">
        <v>1</v>
      </c>
      <c r="BC1448" s="33">
        <v>1</v>
      </c>
      <c r="BD1448" s="43">
        <v>0.37467799024663817</v>
      </c>
      <c r="BE1448" s="33">
        <v>0</v>
      </c>
      <c r="BF1448" s="33">
        <v>0</v>
      </c>
      <c r="CE1448" s="36">
        <v>1414</v>
      </c>
      <c r="CF1448" s="33">
        <v>2</v>
      </c>
      <c r="CG1448" s="33">
        <v>1</v>
      </c>
      <c r="CH1448" s="33">
        <v>3</v>
      </c>
      <c r="CI1448" s="33">
        <v>3</v>
      </c>
      <c r="CJ1448" s="33">
        <v>6</v>
      </c>
      <c r="CK1448" s="33">
        <v>1</v>
      </c>
      <c r="CL1448" s="33">
        <v>1</v>
      </c>
      <c r="CM1448" s="33">
        <v>2</v>
      </c>
      <c r="CN1448" s="33">
        <v>2</v>
      </c>
      <c r="CO1448" s="33">
        <v>0</v>
      </c>
      <c r="CP1448" s="43">
        <v>0.29839580086273898</v>
      </c>
      <c r="CQ1448" s="33">
        <v>0</v>
      </c>
      <c r="CR1448" s="33">
        <v>0</v>
      </c>
    </row>
    <row r="1449" spans="1:96" ht="15" customHeight="1" x14ac:dyDescent="0.25">
      <c r="A1449" s="26">
        <v>1447</v>
      </c>
      <c r="B1449" s="27">
        <v>36</v>
      </c>
      <c r="C1449" s="27">
        <v>0</v>
      </c>
      <c r="D1449" s="27">
        <v>3</v>
      </c>
      <c r="E1449" s="27">
        <v>301</v>
      </c>
      <c r="F1449" s="27">
        <v>1</v>
      </c>
      <c r="G1449" s="27">
        <v>15</v>
      </c>
      <c r="H1449" s="27">
        <v>4</v>
      </c>
      <c r="I1449" s="27">
        <v>4</v>
      </c>
      <c r="J1449" s="27">
        <v>1</v>
      </c>
      <c r="K1449" s="27">
        <v>2036</v>
      </c>
      <c r="L1449" s="27">
        <v>4</v>
      </c>
      <c r="M1449" s="27">
        <v>1</v>
      </c>
      <c r="N1449" s="27">
        <v>88</v>
      </c>
      <c r="O1449" s="27">
        <v>1</v>
      </c>
      <c r="P1449" s="27">
        <v>2</v>
      </c>
      <c r="Q1449" s="27">
        <v>1</v>
      </c>
      <c r="R1449" s="27">
        <v>4</v>
      </c>
      <c r="S1449" s="27">
        <v>3</v>
      </c>
      <c r="T1449" s="27">
        <v>5406</v>
      </c>
      <c r="U1449" s="27">
        <v>10436</v>
      </c>
      <c r="V1449" s="27">
        <v>1</v>
      </c>
      <c r="W1449" s="27">
        <v>0</v>
      </c>
      <c r="X1449" s="27">
        <v>24</v>
      </c>
      <c r="Y1449" s="27">
        <v>4</v>
      </c>
      <c r="Z1449" s="27">
        <v>1</v>
      </c>
      <c r="AA1449" s="27">
        <v>80</v>
      </c>
      <c r="AB1449" s="27">
        <v>1</v>
      </c>
      <c r="AC1449" s="27">
        <v>15</v>
      </c>
      <c r="AD1449" s="27">
        <v>4</v>
      </c>
      <c r="AE1449" s="27">
        <v>2</v>
      </c>
      <c r="AF1449" s="27">
        <v>15</v>
      </c>
      <c r="AG1449" s="27">
        <v>12</v>
      </c>
      <c r="AH1449" s="27">
        <v>11</v>
      </c>
      <c r="AI1449" s="28">
        <v>11</v>
      </c>
      <c r="AK1449" s="36">
        <v>1416</v>
      </c>
      <c r="AL1449" s="33">
        <v>1</v>
      </c>
      <c r="AM1449" s="33">
        <v>1</v>
      </c>
      <c r="AN1449" s="33">
        <v>3</v>
      </c>
      <c r="AO1449" s="33">
        <v>1</v>
      </c>
      <c r="AP1449" s="33">
        <v>0</v>
      </c>
      <c r="AQ1449" s="33">
        <v>3</v>
      </c>
      <c r="AR1449" s="33">
        <v>2</v>
      </c>
      <c r="AS1449" s="33">
        <v>1</v>
      </c>
      <c r="AT1449" s="33">
        <v>0</v>
      </c>
      <c r="AU1449" s="43">
        <v>3.5349197420656182E-2</v>
      </c>
      <c r="AV1449" s="33">
        <v>0</v>
      </c>
      <c r="AW1449" s="33">
        <v>0</v>
      </c>
      <c r="AY1449" s="36">
        <v>1421</v>
      </c>
      <c r="AZ1449" s="33">
        <v>1</v>
      </c>
      <c r="BA1449" s="33">
        <v>4</v>
      </c>
      <c r="BB1449" s="33">
        <v>0</v>
      </c>
      <c r="BC1449" s="33">
        <v>1</v>
      </c>
      <c r="BD1449" s="43">
        <v>9.2486413274924434E-2</v>
      </c>
      <c r="BE1449" s="33">
        <v>0</v>
      </c>
      <c r="BF1449" s="33">
        <v>0</v>
      </c>
      <c r="CE1449" s="36">
        <v>1415</v>
      </c>
      <c r="CF1449" s="33">
        <v>25</v>
      </c>
      <c r="CG1449" s="33">
        <v>3</v>
      </c>
      <c r="CH1449" s="33">
        <v>3</v>
      </c>
      <c r="CI1449" s="33">
        <v>1</v>
      </c>
      <c r="CJ1449" s="33">
        <v>2</v>
      </c>
      <c r="CK1449" s="33">
        <v>0</v>
      </c>
      <c r="CL1449" s="33">
        <v>0</v>
      </c>
      <c r="CM1449" s="33">
        <v>3</v>
      </c>
      <c r="CN1449" s="33">
        <v>17</v>
      </c>
      <c r="CO1449" s="33">
        <v>12</v>
      </c>
      <c r="CP1449" s="43">
        <v>0.16288699563000658</v>
      </c>
      <c r="CQ1449" s="33">
        <v>0</v>
      </c>
      <c r="CR1449" s="33">
        <v>0</v>
      </c>
    </row>
    <row r="1450" spans="1:96" ht="15" customHeight="1" x14ac:dyDescent="0.25">
      <c r="A1450" s="26">
        <v>1448</v>
      </c>
      <c r="B1450" s="27">
        <v>41</v>
      </c>
      <c r="C1450" s="27">
        <v>0</v>
      </c>
      <c r="D1450" s="27">
        <v>1</v>
      </c>
      <c r="E1450" s="27">
        <v>930</v>
      </c>
      <c r="F1450" s="27">
        <v>1</v>
      </c>
      <c r="G1450" s="27">
        <v>3</v>
      </c>
      <c r="H1450" s="27">
        <v>3</v>
      </c>
      <c r="I1450" s="27">
        <v>1</v>
      </c>
      <c r="J1450" s="27">
        <v>1</v>
      </c>
      <c r="K1450" s="27">
        <v>2037</v>
      </c>
      <c r="L1450" s="27">
        <v>3</v>
      </c>
      <c r="M1450" s="27">
        <v>1</v>
      </c>
      <c r="N1450" s="27">
        <v>57</v>
      </c>
      <c r="O1450" s="27">
        <v>2</v>
      </c>
      <c r="P1450" s="27">
        <v>2</v>
      </c>
      <c r="Q1450" s="27">
        <v>1</v>
      </c>
      <c r="R1450" s="27">
        <v>2</v>
      </c>
      <c r="S1450" s="27">
        <v>3</v>
      </c>
      <c r="T1450" s="27">
        <v>8938</v>
      </c>
      <c r="U1450" s="27">
        <v>12227</v>
      </c>
      <c r="V1450" s="27">
        <v>2</v>
      </c>
      <c r="W1450" s="27">
        <v>0</v>
      </c>
      <c r="X1450" s="27">
        <v>11</v>
      </c>
      <c r="Y1450" s="27">
        <v>3</v>
      </c>
      <c r="Z1450" s="27">
        <v>3</v>
      </c>
      <c r="AA1450" s="27">
        <v>80</v>
      </c>
      <c r="AB1450" s="27">
        <v>1</v>
      </c>
      <c r="AC1450" s="27">
        <v>14</v>
      </c>
      <c r="AD1450" s="27">
        <v>5</v>
      </c>
      <c r="AE1450" s="27">
        <v>3</v>
      </c>
      <c r="AF1450" s="27">
        <v>5</v>
      </c>
      <c r="AG1450" s="27">
        <v>4</v>
      </c>
      <c r="AH1450" s="27">
        <v>0</v>
      </c>
      <c r="AI1450" s="28">
        <v>4</v>
      </c>
      <c r="AK1450" s="36">
        <v>1417</v>
      </c>
      <c r="AL1450" s="33">
        <v>1</v>
      </c>
      <c r="AM1450" s="33">
        <v>2</v>
      </c>
      <c r="AN1450" s="33">
        <v>2</v>
      </c>
      <c r="AO1450" s="33">
        <v>0</v>
      </c>
      <c r="AP1450" s="33">
        <v>0</v>
      </c>
      <c r="AQ1450" s="33">
        <v>2</v>
      </c>
      <c r="AR1450" s="33">
        <v>3</v>
      </c>
      <c r="AS1450" s="33">
        <v>15</v>
      </c>
      <c r="AT1450" s="33">
        <v>5</v>
      </c>
      <c r="AU1450" s="43">
        <v>2.2794564092140323E-2</v>
      </c>
      <c r="AV1450" s="33">
        <v>0</v>
      </c>
      <c r="AW1450" s="33">
        <v>0</v>
      </c>
      <c r="AY1450" s="36">
        <v>1422</v>
      </c>
      <c r="AZ1450" s="33">
        <v>3</v>
      </c>
      <c r="BA1450" s="33">
        <v>2</v>
      </c>
      <c r="BB1450" s="33">
        <v>0</v>
      </c>
      <c r="BC1450" s="33">
        <v>2</v>
      </c>
      <c r="BD1450" s="43">
        <v>3.4113506034874549E-2</v>
      </c>
      <c r="BE1450" s="33">
        <v>0</v>
      </c>
      <c r="BF1450" s="33">
        <v>0</v>
      </c>
      <c r="CE1450" s="36">
        <v>1416</v>
      </c>
      <c r="CF1450" s="33">
        <v>1</v>
      </c>
      <c r="CG1450" s="33">
        <v>1</v>
      </c>
      <c r="CH1450" s="33">
        <v>3</v>
      </c>
      <c r="CI1450" s="33">
        <v>3</v>
      </c>
      <c r="CJ1450" s="33">
        <v>1</v>
      </c>
      <c r="CK1450" s="33">
        <v>0</v>
      </c>
      <c r="CL1450" s="33">
        <v>3</v>
      </c>
      <c r="CM1450" s="33">
        <v>2</v>
      </c>
      <c r="CN1450" s="33">
        <v>1</v>
      </c>
      <c r="CO1450" s="33">
        <v>0</v>
      </c>
      <c r="CP1450" s="43">
        <v>3.8974600853075296E-2</v>
      </c>
      <c r="CQ1450" s="33">
        <v>0</v>
      </c>
      <c r="CR1450" s="33">
        <v>0</v>
      </c>
    </row>
    <row r="1451" spans="1:96" ht="15" customHeight="1" x14ac:dyDescent="0.25">
      <c r="A1451" s="26">
        <v>1449</v>
      </c>
      <c r="B1451" s="27">
        <v>32</v>
      </c>
      <c r="C1451" s="27">
        <v>0</v>
      </c>
      <c r="D1451" s="27">
        <v>1</v>
      </c>
      <c r="E1451" s="27">
        <v>529</v>
      </c>
      <c r="F1451" s="27">
        <v>2</v>
      </c>
      <c r="G1451" s="27">
        <v>2</v>
      </c>
      <c r="H1451" s="27">
        <v>3</v>
      </c>
      <c r="I1451" s="27">
        <v>5</v>
      </c>
      <c r="J1451" s="27">
        <v>1</v>
      </c>
      <c r="K1451" s="27">
        <v>2038</v>
      </c>
      <c r="L1451" s="27">
        <v>4</v>
      </c>
      <c r="M1451" s="27">
        <v>1</v>
      </c>
      <c r="N1451" s="27">
        <v>78</v>
      </c>
      <c r="O1451" s="27">
        <v>3</v>
      </c>
      <c r="P1451" s="27">
        <v>1</v>
      </c>
      <c r="Q1451" s="27">
        <v>2</v>
      </c>
      <c r="R1451" s="27">
        <v>1</v>
      </c>
      <c r="S1451" s="27">
        <v>1</v>
      </c>
      <c r="T1451" s="27">
        <v>2439</v>
      </c>
      <c r="U1451" s="27">
        <v>11288</v>
      </c>
      <c r="V1451" s="27">
        <v>1</v>
      </c>
      <c r="W1451" s="27">
        <v>0</v>
      </c>
      <c r="X1451" s="27">
        <v>14</v>
      </c>
      <c r="Y1451" s="27">
        <v>3</v>
      </c>
      <c r="Z1451" s="27">
        <v>4</v>
      </c>
      <c r="AA1451" s="27">
        <v>80</v>
      </c>
      <c r="AB1451" s="27">
        <v>0</v>
      </c>
      <c r="AC1451" s="27">
        <v>4</v>
      </c>
      <c r="AD1451" s="27">
        <v>4</v>
      </c>
      <c r="AE1451" s="27">
        <v>3</v>
      </c>
      <c r="AF1451" s="27">
        <v>4</v>
      </c>
      <c r="AG1451" s="27">
        <v>2</v>
      </c>
      <c r="AH1451" s="27">
        <v>1</v>
      </c>
      <c r="AI1451" s="28">
        <v>2</v>
      </c>
      <c r="AK1451" s="36">
        <v>1418</v>
      </c>
      <c r="AL1451" s="33">
        <v>2</v>
      </c>
      <c r="AM1451" s="33">
        <v>1</v>
      </c>
      <c r="AN1451" s="33">
        <v>3</v>
      </c>
      <c r="AO1451" s="33">
        <v>0</v>
      </c>
      <c r="AP1451" s="33">
        <v>0</v>
      </c>
      <c r="AQ1451" s="33">
        <v>1</v>
      </c>
      <c r="AR1451" s="33">
        <v>3</v>
      </c>
      <c r="AS1451" s="33">
        <v>2</v>
      </c>
      <c r="AT1451" s="33">
        <v>1</v>
      </c>
      <c r="AU1451" s="43">
        <v>8.2119801476341042E-2</v>
      </c>
      <c r="AV1451" s="33">
        <v>0</v>
      </c>
      <c r="AW1451" s="33">
        <v>0</v>
      </c>
      <c r="AY1451" s="36">
        <v>1423</v>
      </c>
      <c r="AZ1451" s="33">
        <v>1</v>
      </c>
      <c r="BA1451" s="33">
        <v>3</v>
      </c>
      <c r="BB1451" s="33">
        <v>1</v>
      </c>
      <c r="BC1451" s="33">
        <v>1</v>
      </c>
      <c r="BD1451" s="43">
        <v>0.36852652578740397</v>
      </c>
      <c r="BE1451" s="33">
        <v>0</v>
      </c>
      <c r="BF1451" s="33">
        <v>0</v>
      </c>
      <c r="CE1451" s="36">
        <v>1417</v>
      </c>
      <c r="CF1451" s="33">
        <v>1</v>
      </c>
      <c r="CG1451" s="33">
        <v>2</v>
      </c>
      <c r="CH1451" s="33">
        <v>2</v>
      </c>
      <c r="CI1451" s="33">
        <v>2</v>
      </c>
      <c r="CJ1451" s="33">
        <v>0</v>
      </c>
      <c r="CK1451" s="33">
        <v>0</v>
      </c>
      <c r="CL1451" s="33">
        <v>2</v>
      </c>
      <c r="CM1451" s="33">
        <v>3</v>
      </c>
      <c r="CN1451" s="33">
        <v>15</v>
      </c>
      <c r="CO1451" s="33">
        <v>5</v>
      </c>
      <c r="CP1451" s="43">
        <v>3.1465777540637146E-2</v>
      </c>
      <c r="CQ1451" s="33">
        <v>0</v>
      </c>
      <c r="CR1451" s="33">
        <v>0</v>
      </c>
    </row>
    <row r="1452" spans="1:96" ht="15" customHeight="1" x14ac:dyDescent="0.25">
      <c r="A1452" s="26">
        <v>1450</v>
      </c>
      <c r="B1452" s="27">
        <v>35</v>
      </c>
      <c r="C1452" s="27">
        <v>0</v>
      </c>
      <c r="D1452" s="27">
        <v>1</v>
      </c>
      <c r="E1452" s="27">
        <v>1146</v>
      </c>
      <c r="F1452" s="27">
        <v>3</v>
      </c>
      <c r="G1452" s="27">
        <v>26</v>
      </c>
      <c r="H1452" s="27">
        <v>4</v>
      </c>
      <c r="I1452" s="27">
        <v>1</v>
      </c>
      <c r="J1452" s="27">
        <v>1</v>
      </c>
      <c r="K1452" s="27">
        <v>2040</v>
      </c>
      <c r="L1452" s="27">
        <v>3</v>
      </c>
      <c r="M1452" s="27">
        <v>0</v>
      </c>
      <c r="N1452" s="27">
        <v>31</v>
      </c>
      <c r="O1452" s="27">
        <v>3</v>
      </c>
      <c r="P1452" s="27">
        <v>3</v>
      </c>
      <c r="Q1452" s="27">
        <v>9</v>
      </c>
      <c r="R1452" s="27">
        <v>4</v>
      </c>
      <c r="S1452" s="27">
        <v>1</v>
      </c>
      <c r="T1452" s="27">
        <v>8837</v>
      </c>
      <c r="U1452" s="27">
        <v>16642</v>
      </c>
      <c r="V1452" s="27">
        <v>1</v>
      </c>
      <c r="W1452" s="27">
        <v>1</v>
      </c>
      <c r="X1452" s="27">
        <v>16</v>
      </c>
      <c r="Y1452" s="27">
        <v>3</v>
      </c>
      <c r="Z1452" s="27">
        <v>3</v>
      </c>
      <c r="AA1452" s="27">
        <v>80</v>
      </c>
      <c r="AB1452" s="27">
        <v>0</v>
      </c>
      <c r="AC1452" s="27">
        <v>9</v>
      </c>
      <c r="AD1452" s="27">
        <v>2</v>
      </c>
      <c r="AE1452" s="27">
        <v>3</v>
      </c>
      <c r="AF1452" s="27">
        <v>9</v>
      </c>
      <c r="AG1452" s="27">
        <v>0</v>
      </c>
      <c r="AH1452" s="27">
        <v>1</v>
      </c>
      <c r="AI1452" s="28">
        <v>7</v>
      </c>
      <c r="AK1452" s="36">
        <v>1419</v>
      </c>
      <c r="AL1452" s="33">
        <v>6</v>
      </c>
      <c r="AM1452" s="33">
        <v>2</v>
      </c>
      <c r="AN1452" s="33">
        <v>3</v>
      </c>
      <c r="AO1452" s="33">
        <v>2</v>
      </c>
      <c r="AP1452" s="33">
        <v>0</v>
      </c>
      <c r="AQ1452" s="33">
        <v>1</v>
      </c>
      <c r="AR1452" s="33">
        <v>3</v>
      </c>
      <c r="AS1452" s="33">
        <v>8</v>
      </c>
      <c r="AT1452" s="33">
        <v>7</v>
      </c>
      <c r="AU1452" s="43">
        <v>8.1999391835036017E-2</v>
      </c>
      <c r="AV1452" s="33">
        <v>0</v>
      </c>
      <c r="AW1452" s="33">
        <v>0</v>
      </c>
      <c r="AY1452" s="36">
        <v>1424</v>
      </c>
      <c r="AZ1452" s="33">
        <v>1</v>
      </c>
      <c r="BA1452" s="33">
        <v>3</v>
      </c>
      <c r="BB1452" s="33">
        <v>0</v>
      </c>
      <c r="BC1452" s="33">
        <v>0</v>
      </c>
      <c r="BD1452" s="43">
        <v>0.18791247240909698</v>
      </c>
      <c r="BE1452" s="33">
        <v>0</v>
      </c>
      <c r="BF1452" s="33">
        <v>0</v>
      </c>
      <c r="CE1452" s="36">
        <v>1418</v>
      </c>
      <c r="CF1452" s="33">
        <v>2</v>
      </c>
      <c r="CG1452" s="33">
        <v>1</v>
      </c>
      <c r="CH1452" s="33">
        <v>3</v>
      </c>
      <c r="CI1452" s="33">
        <v>2</v>
      </c>
      <c r="CJ1452" s="33">
        <v>0</v>
      </c>
      <c r="CK1452" s="33">
        <v>0</v>
      </c>
      <c r="CL1452" s="33">
        <v>1</v>
      </c>
      <c r="CM1452" s="33">
        <v>3</v>
      </c>
      <c r="CN1452" s="33">
        <v>2</v>
      </c>
      <c r="CO1452" s="33">
        <v>1</v>
      </c>
      <c r="CP1452" s="43">
        <v>7.8577968772028994E-2</v>
      </c>
      <c r="CQ1452" s="33">
        <v>0</v>
      </c>
      <c r="CR1452" s="33">
        <v>0</v>
      </c>
    </row>
    <row r="1453" spans="1:96" ht="15" customHeight="1" x14ac:dyDescent="0.25">
      <c r="A1453" s="26">
        <v>1451</v>
      </c>
      <c r="B1453" s="27">
        <v>38</v>
      </c>
      <c r="C1453" s="27">
        <v>0</v>
      </c>
      <c r="D1453" s="27">
        <v>1</v>
      </c>
      <c r="E1453" s="27">
        <v>345</v>
      </c>
      <c r="F1453" s="27">
        <v>1</v>
      </c>
      <c r="G1453" s="27">
        <v>10</v>
      </c>
      <c r="H1453" s="27">
        <v>2</v>
      </c>
      <c r="I1453" s="27">
        <v>1</v>
      </c>
      <c r="J1453" s="27">
        <v>1</v>
      </c>
      <c r="K1453" s="27">
        <v>2041</v>
      </c>
      <c r="L1453" s="27">
        <v>1</v>
      </c>
      <c r="M1453" s="27">
        <v>0</v>
      </c>
      <c r="N1453" s="27">
        <v>100</v>
      </c>
      <c r="O1453" s="27">
        <v>3</v>
      </c>
      <c r="P1453" s="27">
        <v>2</v>
      </c>
      <c r="Q1453" s="27">
        <v>1</v>
      </c>
      <c r="R1453" s="27">
        <v>4</v>
      </c>
      <c r="S1453" s="27">
        <v>2</v>
      </c>
      <c r="T1453" s="27">
        <v>5343</v>
      </c>
      <c r="U1453" s="27">
        <v>5982</v>
      </c>
      <c r="V1453" s="27">
        <v>1</v>
      </c>
      <c r="W1453" s="27">
        <v>0</v>
      </c>
      <c r="X1453" s="27">
        <v>11</v>
      </c>
      <c r="Y1453" s="27">
        <v>3</v>
      </c>
      <c r="Z1453" s="27">
        <v>3</v>
      </c>
      <c r="AA1453" s="27">
        <v>80</v>
      </c>
      <c r="AB1453" s="27">
        <v>1</v>
      </c>
      <c r="AC1453" s="27">
        <v>10</v>
      </c>
      <c r="AD1453" s="27">
        <v>1</v>
      </c>
      <c r="AE1453" s="27">
        <v>3</v>
      </c>
      <c r="AF1453" s="27">
        <v>10</v>
      </c>
      <c r="AG1453" s="27">
        <v>7</v>
      </c>
      <c r="AH1453" s="27">
        <v>1</v>
      </c>
      <c r="AI1453" s="28">
        <v>9</v>
      </c>
      <c r="AK1453" s="36">
        <v>1420</v>
      </c>
      <c r="AL1453" s="33">
        <v>18</v>
      </c>
      <c r="AM1453" s="33">
        <v>2</v>
      </c>
      <c r="AN1453" s="33">
        <v>1</v>
      </c>
      <c r="AO1453" s="33">
        <v>6</v>
      </c>
      <c r="AP1453" s="33">
        <v>1</v>
      </c>
      <c r="AQ1453" s="33">
        <v>1</v>
      </c>
      <c r="AR1453" s="33">
        <v>2</v>
      </c>
      <c r="AS1453" s="33">
        <v>4</v>
      </c>
      <c r="AT1453" s="33">
        <v>1</v>
      </c>
      <c r="AU1453" s="43">
        <v>0.55583951113078756</v>
      </c>
      <c r="AV1453" s="33">
        <v>1</v>
      </c>
      <c r="AW1453" s="33">
        <v>0</v>
      </c>
      <c r="AY1453" s="36">
        <v>1425</v>
      </c>
      <c r="AZ1453" s="33">
        <v>2</v>
      </c>
      <c r="BA1453" s="33">
        <v>3</v>
      </c>
      <c r="BB1453" s="33">
        <v>0</v>
      </c>
      <c r="BC1453" s="33">
        <v>0</v>
      </c>
      <c r="BD1453" s="43">
        <v>0.11690772887050198</v>
      </c>
      <c r="BE1453" s="33">
        <v>0</v>
      </c>
      <c r="BF1453" s="33">
        <v>0</v>
      </c>
      <c r="CE1453" s="36">
        <v>1419</v>
      </c>
      <c r="CF1453" s="33">
        <v>6</v>
      </c>
      <c r="CG1453" s="33">
        <v>2</v>
      </c>
      <c r="CH1453" s="33">
        <v>3</v>
      </c>
      <c r="CI1453" s="33">
        <v>2</v>
      </c>
      <c r="CJ1453" s="33">
        <v>2</v>
      </c>
      <c r="CK1453" s="33">
        <v>0</v>
      </c>
      <c r="CL1453" s="33">
        <v>1</v>
      </c>
      <c r="CM1453" s="33">
        <v>3</v>
      </c>
      <c r="CN1453" s="33">
        <v>8</v>
      </c>
      <c r="CO1453" s="33">
        <v>7</v>
      </c>
      <c r="CP1453" s="43">
        <v>8.0518358587558583E-2</v>
      </c>
      <c r="CQ1453" s="33">
        <v>0</v>
      </c>
      <c r="CR1453" s="33">
        <v>0</v>
      </c>
    </row>
    <row r="1454" spans="1:96" ht="15" customHeight="1" x14ac:dyDescent="0.25">
      <c r="A1454" s="26">
        <v>1452</v>
      </c>
      <c r="B1454" s="27">
        <v>50</v>
      </c>
      <c r="C1454" s="27">
        <v>1</v>
      </c>
      <c r="D1454" s="27">
        <v>2</v>
      </c>
      <c r="E1454" s="27">
        <v>878</v>
      </c>
      <c r="F1454" s="27">
        <v>1</v>
      </c>
      <c r="G1454" s="27">
        <v>1</v>
      </c>
      <c r="H1454" s="27">
        <v>4</v>
      </c>
      <c r="I1454" s="27">
        <v>1</v>
      </c>
      <c r="J1454" s="27">
        <v>1</v>
      </c>
      <c r="K1454" s="27">
        <v>2044</v>
      </c>
      <c r="L1454" s="27">
        <v>2</v>
      </c>
      <c r="M1454" s="27">
        <v>1</v>
      </c>
      <c r="N1454" s="27">
        <v>94</v>
      </c>
      <c r="O1454" s="27">
        <v>3</v>
      </c>
      <c r="P1454" s="27">
        <v>2</v>
      </c>
      <c r="Q1454" s="27">
        <v>1</v>
      </c>
      <c r="R1454" s="27">
        <v>3</v>
      </c>
      <c r="S1454" s="27">
        <v>3</v>
      </c>
      <c r="T1454" s="27">
        <v>6728</v>
      </c>
      <c r="U1454" s="27">
        <v>14255</v>
      </c>
      <c r="V1454" s="27">
        <v>7</v>
      </c>
      <c r="W1454" s="27">
        <v>0</v>
      </c>
      <c r="X1454" s="27">
        <v>12</v>
      </c>
      <c r="Y1454" s="27">
        <v>3</v>
      </c>
      <c r="Z1454" s="27">
        <v>4</v>
      </c>
      <c r="AA1454" s="27">
        <v>80</v>
      </c>
      <c r="AB1454" s="27">
        <v>2</v>
      </c>
      <c r="AC1454" s="27">
        <v>12</v>
      </c>
      <c r="AD1454" s="27">
        <v>3</v>
      </c>
      <c r="AE1454" s="27">
        <v>3</v>
      </c>
      <c r="AF1454" s="27">
        <v>6</v>
      </c>
      <c r="AG1454" s="27">
        <v>3</v>
      </c>
      <c r="AH1454" s="27">
        <v>0</v>
      </c>
      <c r="AI1454" s="28">
        <v>1</v>
      </c>
      <c r="AK1454" s="36">
        <v>1421</v>
      </c>
      <c r="AL1454" s="33">
        <v>1</v>
      </c>
      <c r="AM1454" s="33">
        <v>1</v>
      </c>
      <c r="AN1454" s="33">
        <v>4</v>
      </c>
      <c r="AO1454" s="33">
        <v>3</v>
      </c>
      <c r="AP1454" s="33">
        <v>0</v>
      </c>
      <c r="AQ1454" s="33">
        <v>1</v>
      </c>
      <c r="AR1454" s="33">
        <v>3</v>
      </c>
      <c r="AS1454" s="33">
        <v>5</v>
      </c>
      <c r="AT1454" s="33">
        <v>1</v>
      </c>
      <c r="AU1454" s="43">
        <v>6.2743257722700785E-2</v>
      </c>
      <c r="AV1454" s="33">
        <v>0</v>
      </c>
      <c r="AW1454" s="33">
        <v>0</v>
      </c>
      <c r="AY1454" s="36">
        <v>1426</v>
      </c>
      <c r="AZ1454" s="33">
        <v>2</v>
      </c>
      <c r="BA1454" s="33">
        <v>4</v>
      </c>
      <c r="BB1454" s="33">
        <v>1</v>
      </c>
      <c r="BC1454" s="33">
        <v>1</v>
      </c>
      <c r="BD1454" s="43">
        <v>0.19951405628110813</v>
      </c>
      <c r="BE1454" s="33">
        <v>0</v>
      </c>
      <c r="BF1454" s="33">
        <v>0</v>
      </c>
      <c r="CE1454" s="36">
        <v>1420</v>
      </c>
      <c r="CF1454" s="33">
        <v>18</v>
      </c>
      <c r="CG1454" s="33">
        <v>2</v>
      </c>
      <c r="CH1454" s="33">
        <v>1</v>
      </c>
      <c r="CI1454" s="33">
        <v>3</v>
      </c>
      <c r="CJ1454" s="33">
        <v>6</v>
      </c>
      <c r="CK1454" s="33">
        <v>1</v>
      </c>
      <c r="CL1454" s="33">
        <v>1</v>
      </c>
      <c r="CM1454" s="33">
        <v>2</v>
      </c>
      <c r="CN1454" s="33">
        <v>4</v>
      </c>
      <c r="CO1454" s="33">
        <v>1</v>
      </c>
      <c r="CP1454" s="43">
        <v>0.43285427812301014</v>
      </c>
      <c r="CQ1454" s="33">
        <v>0</v>
      </c>
      <c r="CR1454" s="33">
        <v>0</v>
      </c>
    </row>
    <row r="1455" spans="1:96" ht="15" customHeight="1" x14ac:dyDescent="0.25">
      <c r="A1455" s="26">
        <v>1453</v>
      </c>
      <c r="B1455" s="27">
        <v>36</v>
      </c>
      <c r="C1455" s="27">
        <v>0</v>
      </c>
      <c r="D1455" s="27">
        <v>1</v>
      </c>
      <c r="E1455" s="27">
        <v>1120</v>
      </c>
      <c r="F1455" s="27">
        <v>1</v>
      </c>
      <c r="G1455" s="27">
        <v>11</v>
      </c>
      <c r="H1455" s="27">
        <v>4</v>
      </c>
      <c r="I1455" s="27">
        <v>4</v>
      </c>
      <c r="J1455" s="27">
        <v>1</v>
      </c>
      <c r="K1455" s="27">
        <v>2045</v>
      </c>
      <c r="L1455" s="27">
        <v>2</v>
      </c>
      <c r="M1455" s="27">
        <v>0</v>
      </c>
      <c r="N1455" s="27">
        <v>100</v>
      </c>
      <c r="O1455" s="27">
        <v>2</v>
      </c>
      <c r="P1455" s="27">
        <v>2</v>
      </c>
      <c r="Q1455" s="27">
        <v>1</v>
      </c>
      <c r="R1455" s="27">
        <v>4</v>
      </c>
      <c r="S1455" s="27">
        <v>2</v>
      </c>
      <c r="T1455" s="27">
        <v>6652</v>
      </c>
      <c r="U1455" s="27">
        <v>14369</v>
      </c>
      <c r="V1455" s="27">
        <v>4</v>
      </c>
      <c r="W1455" s="27">
        <v>0</v>
      </c>
      <c r="X1455" s="27">
        <v>13</v>
      </c>
      <c r="Y1455" s="27">
        <v>3</v>
      </c>
      <c r="Z1455" s="27">
        <v>1</v>
      </c>
      <c r="AA1455" s="27">
        <v>80</v>
      </c>
      <c r="AB1455" s="27">
        <v>1</v>
      </c>
      <c r="AC1455" s="27">
        <v>8</v>
      </c>
      <c r="AD1455" s="27">
        <v>2</v>
      </c>
      <c r="AE1455" s="27">
        <v>2</v>
      </c>
      <c r="AF1455" s="27">
        <v>6</v>
      </c>
      <c r="AG1455" s="27">
        <v>3</v>
      </c>
      <c r="AH1455" s="27">
        <v>0</v>
      </c>
      <c r="AI1455" s="28">
        <v>0</v>
      </c>
      <c r="AK1455" s="36">
        <v>1422</v>
      </c>
      <c r="AL1455" s="33">
        <v>1</v>
      </c>
      <c r="AM1455" s="33">
        <v>3</v>
      </c>
      <c r="AN1455" s="33">
        <v>2</v>
      </c>
      <c r="AO1455" s="33">
        <v>0</v>
      </c>
      <c r="AP1455" s="33">
        <v>0</v>
      </c>
      <c r="AQ1455" s="33">
        <v>2</v>
      </c>
      <c r="AR1455" s="33">
        <v>1</v>
      </c>
      <c r="AS1455" s="33">
        <v>13</v>
      </c>
      <c r="AT1455" s="33">
        <v>5</v>
      </c>
      <c r="AU1455" s="43">
        <v>2.411591002303301E-2</v>
      </c>
      <c r="AV1455" s="33">
        <v>0</v>
      </c>
      <c r="AW1455" s="33">
        <v>0</v>
      </c>
      <c r="AY1455" s="36">
        <v>1427</v>
      </c>
      <c r="AZ1455" s="33">
        <v>1</v>
      </c>
      <c r="BA1455" s="33">
        <v>2</v>
      </c>
      <c r="BB1455" s="33">
        <v>0</v>
      </c>
      <c r="BC1455" s="33">
        <v>0</v>
      </c>
      <c r="BD1455" s="43">
        <v>0.23662845161334917</v>
      </c>
      <c r="BE1455" s="33">
        <v>0</v>
      </c>
      <c r="BF1455" s="33">
        <v>0</v>
      </c>
      <c r="CE1455" s="36">
        <v>1421</v>
      </c>
      <c r="CF1455" s="33">
        <v>1</v>
      </c>
      <c r="CG1455" s="33">
        <v>1</v>
      </c>
      <c r="CH1455" s="33">
        <v>4</v>
      </c>
      <c r="CI1455" s="33">
        <v>2</v>
      </c>
      <c r="CJ1455" s="33">
        <v>3</v>
      </c>
      <c r="CK1455" s="33">
        <v>0</v>
      </c>
      <c r="CL1455" s="33">
        <v>1</v>
      </c>
      <c r="CM1455" s="33">
        <v>3</v>
      </c>
      <c r="CN1455" s="33">
        <v>5</v>
      </c>
      <c r="CO1455" s="33">
        <v>1</v>
      </c>
      <c r="CP1455" s="43">
        <v>5.9141842002124627E-2</v>
      </c>
      <c r="CQ1455" s="33">
        <v>0</v>
      </c>
      <c r="CR1455" s="33">
        <v>0</v>
      </c>
    </row>
    <row r="1456" spans="1:96" ht="15" customHeight="1" x14ac:dyDescent="0.25">
      <c r="A1456" s="26">
        <v>1454</v>
      </c>
      <c r="B1456" s="27">
        <v>45</v>
      </c>
      <c r="C1456" s="27">
        <v>0</v>
      </c>
      <c r="D1456" s="27">
        <v>1</v>
      </c>
      <c r="E1456" s="27">
        <v>374</v>
      </c>
      <c r="F1456" s="27">
        <v>1</v>
      </c>
      <c r="G1456" s="27">
        <v>20</v>
      </c>
      <c r="H1456" s="27">
        <v>3</v>
      </c>
      <c r="I1456" s="27">
        <v>1</v>
      </c>
      <c r="J1456" s="27">
        <v>1</v>
      </c>
      <c r="K1456" s="27">
        <v>2046</v>
      </c>
      <c r="L1456" s="27">
        <v>4</v>
      </c>
      <c r="M1456" s="27">
        <v>0</v>
      </c>
      <c r="N1456" s="27">
        <v>50</v>
      </c>
      <c r="O1456" s="27">
        <v>3</v>
      </c>
      <c r="P1456" s="27">
        <v>2</v>
      </c>
      <c r="Q1456" s="27">
        <v>1</v>
      </c>
      <c r="R1456" s="27">
        <v>3</v>
      </c>
      <c r="S1456" s="27">
        <v>1</v>
      </c>
      <c r="T1456" s="27">
        <v>4850</v>
      </c>
      <c r="U1456" s="27">
        <v>23333</v>
      </c>
      <c r="V1456" s="27">
        <v>8</v>
      </c>
      <c r="W1456" s="27">
        <v>0</v>
      </c>
      <c r="X1456" s="27">
        <v>15</v>
      </c>
      <c r="Y1456" s="27">
        <v>3</v>
      </c>
      <c r="Z1456" s="27">
        <v>3</v>
      </c>
      <c r="AA1456" s="27">
        <v>80</v>
      </c>
      <c r="AB1456" s="27">
        <v>0</v>
      </c>
      <c r="AC1456" s="27">
        <v>8</v>
      </c>
      <c r="AD1456" s="27">
        <v>3</v>
      </c>
      <c r="AE1456" s="27">
        <v>3</v>
      </c>
      <c r="AF1456" s="27">
        <v>5</v>
      </c>
      <c r="AG1456" s="27">
        <v>3</v>
      </c>
      <c r="AH1456" s="27">
        <v>0</v>
      </c>
      <c r="AI1456" s="28">
        <v>1</v>
      </c>
      <c r="AK1456" s="36">
        <v>1423</v>
      </c>
      <c r="AL1456" s="33">
        <v>11</v>
      </c>
      <c r="AM1456" s="33">
        <v>1</v>
      </c>
      <c r="AN1456" s="33">
        <v>3</v>
      </c>
      <c r="AO1456" s="33">
        <v>7</v>
      </c>
      <c r="AP1456" s="33">
        <v>1</v>
      </c>
      <c r="AQ1456" s="33">
        <v>1</v>
      </c>
      <c r="AR1456" s="33">
        <v>3</v>
      </c>
      <c r="AS1456" s="33">
        <v>2</v>
      </c>
      <c r="AT1456" s="33">
        <v>2</v>
      </c>
      <c r="AU1456" s="43">
        <v>0.51633913626162797</v>
      </c>
      <c r="AV1456" s="33">
        <v>1</v>
      </c>
      <c r="AW1456" s="33">
        <v>0</v>
      </c>
      <c r="AY1456" s="36">
        <v>1428</v>
      </c>
      <c r="AZ1456" s="33">
        <v>1</v>
      </c>
      <c r="BA1456" s="33">
        <v>4</v>
      </c>
      <c r="BB1456" s="33">
        <v>0</v>
      </c>
      <c r="BC1456" s="33">
        <v>2</v>
      </c>
      <c r="BD1456" s="43">
        <v>5.6717470552978752E-2</v>
      </c>
      <c r="BE1456" s="33">
        <v>0</v>
      </c>
      <c r="BF1456" s="33">
        <v>0</v>
      </c>
      <c r="CE1456" s="36">
        <v>1422</v>
      </c>
      <c r="CF1456" s="33">
        <v>1</v>
      </c>
      <c r="CG1456" s="33">
        <v>3</v>
      </c>
      <c r="CH1456" s="33">
        <v>2</v>
      </c>
      <c r="CI1456" s="33">
        <v>2</v>
      </c>
      <c r="CJ1456" s="33">
        <v>0</v>
      </c>
      <c r="CK1456" s="33">
        <v>0</v>
      </c>
      <c r="CL1456" s="33">
        <v>2</v>
      </c>
      <c r="CM1456" s="33">
        <v>1</v>
      </c>
      <c r="CN1456" s="33">
        <v>13</v>
      </c>
      <c r="CO1456" s="33">
        <v>5</v>
      </c>
      <c r="CP1456" s="43">
        <v>3.4749047531233292E-2</v>
      </c>
      <c r="CQ1456" s="33">
        <v>0</v>
      </c>
      <c r="CR1456" s="33">
        <v>0</v>
      </c>
    </row>
    <row r="1457" spans="1:96" ht="15" customHeight="1" x14ac:dyDescent="0.25">
      <c r="A1457" s="26">
        <v>1455</v>
      </c>
      <c r="B1457" s="27">
        <v>40</v>
      </c>
      <c r="C1457" s="27">
        <v>0</v>
      </c>
      <c r="D1457" s="27">
        <v>1</v>
      </c>
      <c r="E1457" s="27">
        <v>1322</v>
      </c>
      <c r="F1457" s="27">
        <v>2</v>
      </c>
      <c r="G1457" s="27">
        <v>2</v>
      </c>
      <c r="H1457" s="27">
        <v>4</v>
      </c>
      <c r="I1457" s="27">
        <v>1</v>
      </c>
      <c r="J1457" s="27">
        <v>1</v>
      </c>
      <c r="K1457" s="27">
        <v>2048</v>
      </c>
      <c r="L1457" s="27">
        <v>3</v>
      </c>
      <c r="M1457" s="27">
        <v>1</v>
      </c>
      <c r="N1457" s="27">
        <v>52</v>
      </c>
      <c r="O1457" s="27">
        <v>2</v>
      </c>
      <c r="P1457" s="27">
        <v>1</v>
      </c>
      <c r="Q1457" s="27">
        <v>2</v>
      </c>
      <c r="R1457" s="27">
        <v>3</v>
      </c>
      <c r="S1457" s="27">
        <v>1</v>
      </c>
      <c r="T1457" s="27">
        <v>2809</v>
      </c>
      <c r="U1457" s="27">
        <v>2725</v>
      </c>
      <c r="V1457" s="27">
        <v>2</v>
      </c>
      <c r="W1457" s="27">
        <v>0</v>
      </c>
      <c r="X1457" s="27">
        <v>14</v>
      </c>
      <c r="Y1457" s="27">
        <v>3</v>
      </c>
      <c r="Z1457" s="27">
        <v>4</v>
      </c>
      <c r="AA1457" s="27">
        <v>80</v>
      </c>
      <c r="AB1457" s="27">
        <v>0</v>
      </c>
      <c r="AC1457" s="27">
        <v>8</v>
      </c>
      <c r="AD1457" s="27">
        <v>2</v>
      </c>
      <c r="AE1457" s="27">
        <v>3</v>
      </c>
      <c r="AF1457" s="27">
        <v>2</v>
      </c>
      <c r="AG1457" s="27">
        <v>2</v>
      </c>
      <c r="AH1457" s="27">
        <v>2</v>
      </c>
      <c r="AI1457" s="28">
        <v>2</v>
      </c>
      <c r="AK1457" s="36">
        <v>1424</v>
      </c>
      <c r="AL1457" s="33">
        <v>1</v>
      </c>
      <c r="AM1457" s="33">
        <v>1</v>
      </c>
      <c r="AN1457" s="33">
        <v>3</v>
      </c>
      <c r="AO1457" s="33">
        <v>0</v>
      </c>
      <c r="AP1457" s="33">
        <v>0</v>
      </c>
      <c r="AQ1457" s="33">
        <v>0</v>
      </c>
      <c r="AR1457" s="33">
        <v>4</v>
      </c>
      <c r="AS1457" s="33">
        <v>3</v>
      </c>
      <c r="AT1457" s="33">
        <v>1</v>
      </c>
      <c r="AU1457" s="43">
        <v>0.10110168283228298</v>
      </c>
      <c r="AV1457" s="33">
        <v>0</v>
      </c>
      <c r="AW1457" s="33">
        <v>0</v>
      </c>
      <c r="AY1457" s="36">
        <v>1429</v>
      </c>
      <c r="AZ1457" s="33">
        <v>1</v>
      </c>
      <c r="BA1457" s="33">
        <v>2</v>
      </c>
      <c r="BB1457" s="33">
        <v>0</v>
      </c>
      <c r="BC1457" s="33">
        <v>1</v>
      </c>
      <c r="BD1457" s="43">
        <v>0.15461023487664</v>
      </c>
      <c r="BE1457" s="33">
        <v>0</v>
      </c>
      <c r="BF1457" s="33">
        <v>0</v>
      </c>
      <c r="CE1457" s="36">
        <v>1423</v>
      </c>
      <c r="CF1457" s="33">
        <v>11</v>
      </c>
      <c r="CG1457" s="33">
        <v>1</v>
      </c>
      <c r="CH1457" s="33">
        <v>3</v>
      </c>
      <c r="CI1457" s="33">
        <v>2</v>
      </c>
      <c r="CJ1457" s="33">
        <v>7</v>
      </c>
      <c r="CK1457" s="33">
        <v>1</v>
      </c>
      <c r="CL1457" s="33">
        <v>1</v>
      </c>
      <c r="CM1457" s="33">
        <v>3</v>
      </c>
      <c r="CN1457" s="33">
        <v>2</v>
      </c>
      <c r="CO1457" s="33">
        <v>2</v>
      </c>
      <c r="CP1457" s="43">
        <v>0.51713326377146629</v>
      </c>
      <c r="CQ1457" s="33">
        <v>1</v>
      </c>
      <c r="CR1457" s="33">
        <v>0</v>
      </c>
    </row>
    <row r="1458" spans="1:96" ht="15" customHeight="1" x14ac:dyDescent="0.25">
      <c r="A1458" s="26">
        <v>1456</v>
      </c>
      <c r="B1458" s="27">
        <v>35</v>
      </c>
      <c r="C1458" s="27">
        <v>0</v>
      </c>
      <c r="D1458" s="27">
        <v>2</v>
      </c>
      <c r="E1458" s="27">
        <v>1199</v>
      </c>
      <c r="F1458" s="27">
        <v>2</v>
      </c>
      <c r="G1458" s="27">
        <v>18</v>
      </c>
      <c r="H1458" s="27">
        <v>4</v>
      </c>
      <c r="I1458" s="27">
        <v>1</v>
      </c>
      <c r="J1458" s="27">
        <v>1</v>
      </c>
      <c r="K1458" s="27">
        <v>2049</v>
      </c>
      <c r="L1458" s="27">
        <v>3</v>
      </c>
      <c r="M1458" s="27">
        <v>1</v>
      </c>
      <c r="N1458" s="27">
        <v>80</v>
      </c>
      <c r="O1458" s="27">
        <v>3</v>
      </c>
      <c r="P1458" s="27">
        <v>2</v>
      </c>
      <c r="Q1458" s="27">
        <v>5</v>
      </c>
      <c r="R1458" s="27">
        <v>3</v>
      </c>
      <c r="S1458" s="27">
        <v>2</v>
      </c>
      <c r="T1458" s="27">
        <v>5689</v>
      </c>
      <c r="U1458" s="27">
        <v>24594</v>
      </c>
      <c r="V1458" s="27">
        <v>1</v>
      </c>
      <c r="W1458" s="27">
        <v>1</v>
      </c>
      <c r="X1458" s="27">
        <v>14</v>
      </c>
      <c r="Y1458" s="27">
        <v>3</v>
      </c>
      <c r="Z1458" s="27">
        <v>4</v>
      </c>
      <c r="AA1458" s="27">
        <v>80</v>
      </c>
      <c r="AB1458" s="27">
        <v>2</v>
      </c>
      <c r="AC1458" s="27">
        <v>10</v>
      </c>
      <c r="AD1458" s="27">
        <v>2</v>
      </c>
      <c r="AE1458" s="27">
        <v>4</v>
      </c>
      <c r="AF1458" s="27">
        <v>10</v>
      </c>
      <c r="AG1458" s="27">
        <v>2</v>
      </c>
      <c r="AH1458" s="27">
        <v>0</v>
      </c>
      <c r="AI1458" s="28">
        <v>2</v>
      </c>
      <c r="AK1458" s="36">
        <v>1425</v>
      </c>
      <c r="AL1458" s="33">
        <v>9</v>
      </c>
      <c r="AM1458" s="33">
        <v>2</v>
      </c>
      <c r="AN1458" s="33">
        <v>3</v>
      </c>
      <c r="AO1458" s="33">
        <v>1</v>
      </c>
      <c r="AP1458" s="33">
        <v>0</v>
      </c>
      <c r="AQ1458" s="33">
        <v>0</v>
      </c>
      <c r="AR1458" s="33">
        <v>3</v>
      </c>
      <c r="AS1458" s="33">
        <v>10</v>
      </c>
      <c r="AT1458" s="33">
        <v>0</v>
      </c>
      <c r="AU1458" s="43">
        <v>5.9017020202696197E-2</v>
      </c>
      <c r="AV1458" s="33">
        <v>0</v>
      </c>
      <c r="AW1458" s="33">
        <v>0</v>
      </c>
      <c r="AY1458" s="36">
        <v>1430</v>
      </c>
      <c r="AZ1458" s="33">
        <v>2</v>
      </c>
      <c r="BA1458" s="33">
        <v>4</v>
      </c>
      <c r="BB1458" s="33">
        <v>0</v>
      </c>
      <c r="BC1458" s="33">
        <v>0</v>
      </c>
      <c r="BD1458" s="43">
        <v>8.9935487507215722E-2</v>
      </c>
      <c r="BE1458" s="33">
        <v>0</v>
      </c>
      <c r="BF1458" s="33">
        <v>0</v>
      </c>
      <c r="CE1458" s="36">
        <v>1424</v>
      </c>
      <c r="CF1458" s="33">
        <v>1</v>
      </c>
      <c r="CG1458" s="33">
        <v>1</v>
      </c>
      <c r="CH1458" s="33">
        <v>3</v>
      </c>
      <c r="CI1458" s="33">
        <v>1</v>
      </c>
      <c r="CJ1458" s="33">
        <v>0</v>
      </c>
      <c r="CK1458" s="33">
        <v>0</v>
      </c>
      <c r="CL1458" s="33">
        <v>0</v>
      </c>
      <c r="CM1458" s="33">
        <v>4</v>
      </c>
      <c r="CN1458" s="33">
        <v>3</v>
      </c>
      <c r="CO1458" s="33">
        <v>1</v>
      </c>
      <c r="CP1458" s="43">
        <v>0.1151451690819482</v>
      </c>
      <c r="CQ1458" s="33">
        <v>0</v>
      </c>
      <c r="CR1458" s="33">
        <v>0</v>
      </c>
    </row>
    <row r="1459" spans="1:96" ht="15" customHeight="1" x14ac:dyDescent="0.25">
      <c r="A1459" s="26">
        <v>1457</v>
      </c>
      <c r="B1459" s="27">
        <v>40</v>
      </c>
      <c r="C1459" s="27">
        <v>0</v>
      </c>
      <c r="D1459" s="27">
        <v>1</v>
      </c>
      <c r="E1459" s="27">
        <v>1194</v>
      </c>
      <c r="F1459" s="27">
        <v>2</v>
      </c>
      <c r="G1459" s="27">
        <v>2</v>
      </c>
      <c r="H1459" s="27">
        <v>4</v>
      </c>
      <c r="I1459" s="27">
        <v>3</v>
      </c>
      <c r="J1459" s="27">
        <v>1</v>
      </c>
      <c r="K1459" s="27">
        <v>2051</v>
      </c>
      <c r="L1459" s="27">
        <v>3</v>
      </c>
      <c r="M1459" s="27">
        <v>0</v>
      </c>
      <c r="N1459" s="27">
        <v>98</v>
      </c>
      <c r="O1459" s="27">
        <v>3</v>
      </c>
      <c r="P1459" s="27">
        <v>1</v>
      </c>
      <c r="Q1459" s="27">
        <v>2</v>
      </c>
      <c r="R1459" s="27">
        <v>3</v>
      </c>
      <c r="S1459" s="27">
        <v>2</v>
      </c>
      <c r="T1459" s="27">
        <v>2001</v>
      </c>
      <c r="U1459" s="27">
        <v>12549</v>
      </c>
      <c r="V1459" s="27">
        <v>2</v>
      </c>
      <c r="W1459" s="27">
        <v>0</v>
      </c>
      <c r="X1459" s="27">
        <v>14</v>
      </c>
      <c r="Y1459" s="27">
        <v>3</v>
      </c>
      <c r="Z1459" s="27">
        <v>2</v>
      </c>
      <c r="AA1459" s="27">
        <v>80</v>
      </c>
      <c r="AB1459" s="27">
        <v>3</v>
      </c>
      <c r="AC1459" s="27">
        <v>20</v>
      </c>
      <c r="AD1459" s="27">
        <v>2</v>
      </c>
      <c r="AE1459" s="27">
        <v>3</v>
      </c>
      <c r="AF1459" s="27">
        <v>5</v>
      </c>
      <c r="AG1459" s="27">
        <v>3</v>
      </c>
      <c r="AH1459" s="27">
        <v>0</v>
      </c>
      <c r="AI1459" s="28">
        <v>2</v>
      </c>
      <c r="AK1459" s="36">
        <v>1426</v>
      </c>
      <c r="AL1459" s="33">
        <v>15</v>
      </c>
      <c r="AM1459" s="33">
        <v>2</v>
      </c>
      <c r="AN1459" s="33">
        <v>4</v>
      </c>
      <c r="AO1459" s="33">
        <v>0</v>
      </c>
      <c r="AP1459" s="33">
        <v>1</v>
      </c>
      <c r="AQ1459" s="33">
        <v>1</v>
      </c>
      <c r="AR1459" s="33">
        <v>3</v>
      </c>
      <c r="AS1459" s="33">
        <v>9</v>
      </c>
      <c r="AT1459" s="33">
        <v>8</v>
      </c>
      <c r="AU1459" s="43">
        <v>0.25803032124699465</v>
      </c>
      <c r="AV1459" s="33">
        <v>0</v>
      </c>
      <c r="AW1459" s="33">
        <v>0</v>
      </c>
      <c r="AY1459" s="36">
        <v>1431</v>
      </c>
      <c r="AZ1459" s="33">
        <v>3</v>
      </c>
      <c r="BA1459" s="33">
        <v>3</v>
      </c>
      <c r="BB1459" s="33">
        <v>0</v>
      </c>
      <c r="BC1459" s="33">
        <v>1</v>
      </c>
      <c r="BD1459" s="43">
        <v>4.2774603045834733E-2</v>
      </c>
      <c r="BE1459" s="33">
        <v>0</v>
      </c>
      <c r="BF1459" s="33">
        <v>0</v>
      </c>
      <c r="CE1459" s="36">
        <v>1425</v>
      </c>
      <c r="CF1459" s="33">
        <v>9</v>
      </c>
      <c r="CG1459" s="33">
        <v>2</v>
      </c>
      <c r="CH1459" s="33">
        <v>3</v>
      </c>
      <c r="CI1459" s="33">
        <v>1</v>
      </c>
      <c r="CJ1459" s="33">
        <v>1</v>
      </c>
      <c r="CK1459" s="33">
        <v>0</v>
      </c>
      <c r="CL1459" s="33">
        <v>0</v>
      </c>
      <c r="CM1459" s="33">
        <v>3</v>
      </c>
      <c r="CN1459" s="33">
        <v>10</v>
      </c>
      <c r="CO1459" s="33">
        <v>0</v>
      </c>
      <c r="CP1459" s="43">
        <v>6.8925561287566092E-2</v>
      </c>
      <c r="CQ1459" s="33">
        <v>0</v>
      </c>
      <c r="CR1459" s="33">
        <v>0</v>
      </c>
    </row>
    <row r="1460" spans="1:96" ht="15" customHeight="1" x14ac:dyDescent="0.25">
      <c r="A1460" s="26">
        <v>1458</v>
      </c>
      <c r="B1460" s="27">
        <v>35</v>
      </c>
      <c r="C1460" s="27">
        <v>0</v>
      </c>
      <c r="D1460" s="27">
        <v>1</v>
      </c>
      <c r="E1460" s="27">
        <v>287</v>
      </c>
      <c r="F1460" s="27">
        <v>2</v>
      </c>
      <c r="G1460" s="27">
        <v>1</v>
      </c>
      <c r="H1460" s="27">
        <v>4</v>
      </c>
      <c r="I1460" s="27">
        <v>1</v>
      </c>
      <c r="J1460" s="27">
        <v>1</v>
      </c>
      <c r="K1460" s="27">
        <v>2052</v>
      </c>
      <c r="L1460" s="27">
        <v>3</v>
      </c>
      <c r="M1460" s="27">
        <v>0</v>
      </c>
      <c r="N1460" s="27">
        <v>62</v>
      </c>
      <c r="O1460" s="27">
        <v>1</v>
      </c>
      <c r="P1460" s="27">
        <v>1</v>
      </c>
      <c r="Q1460" s="27">
        <v>2</v>
      </c>
      <c r="R1460" s="27">
        <v>4</v>
      </c>
      <c r="S1460" s="27">
        <v>2</v>
      </c>
      <c r="T1460" s="27">
        <v>2977</v>
      </c>
      <c r="U1460" s="27">
        <v>8952</v>
      </c>
      <c r="V1460" s="27">
        <v>1</v>
      </c>
      <c r="W1460" s="27">
        <v>0</v>
      </c>
      <c r="X1460" s="27">
        <v>12</v>
      </c>
      <c r="Y1460" s="27">
        <v>3</v>
      </c>
      <c r="Z1460" s="27">
        <v>4</v>
      </c>
      <c r="AA1460" s="27">
        <v>80</v>
      </c>
      <c r="AB1460" s="27">
        <v>1</v>
      </c>
      <c r="AC1460" s="27">
        <v>4</v>
      </c>
      <c r="AD1460" s="27">
        <v>5</v>
      </c>
      <c r="AE1460" s="27">
        <v>3</v>
      </c>
      <c r="AF1460" s="27">
        <v>4</v>
      </c>
      <c r="AG1460" s="27">
        <v>3</v>
      </c>
      <c r="AH1460" s="27">
        <v>1</v>
      </c>
      <c r="AI1460" s="28">
        <v>1</v>
      </c>
      <c r="AK1460" s="36">
        <v>1427</v>
      </c>
      <c r="AL1460" s="33">
        <v>29</v>
      </c>
      <c r="AM1460" s="33">
        <v>1</v>
      </c>
      <c r="AN1460" s="33">
        <v>2</v>
      </c>
      <c r="AO1460" s="33">
        <v>1</v>
      </c>
      <c r="AP1460" s="33">
        <v>0</v>
      </c>
      <c r="AQ1460" s="33">
        <v>0</v>
      </c>
      <c r="AR1460" s="33">
        <v>3</v>
      </c>
      <c r="AS1460" s="33">
        <v>6</v>
      </c>
      <c r="AT1460" s="33">
        <v>4</v>
      </c>
      <c r="AU1460" s="43">
        <v>0.37497155574865476</v>
      </c>
      <c r="AV1460" s="33">
        <v>0</v>
      </c>
      <c r="AW1460" s="33">
        <v>0</v>
      </c>
      <c r="AY1460" s="36">
        <v>1432</v>
      </c>
      <c r="AZ1460" s="33">
        <v>3</v>
      </c>
      <c r="BA1460" s="33">
        <v>4</v>
      </c>
      <c r="BB1460" s="33">
        <v>0</v>
      </c>
      <c r="BC1460" s="33">
        <v>2</v>
      </c>
      <c r="BD1460" s="43">
        <v>1.9300988331555628E-2</v>
      </c>
      <c r="BE1460" s="33">
        <v>0</v>
      </c>
      <c r="BF1460" s="33">
        <v>0</v>
      </c>
      <c r="CE1460" s="36">
        <v>1426</v>
      </c>
      <c r="CF1460" s="33">
        <v>15</v>
      </c>
      <c r="CG1460" s="33">
        <v>2</v>
      </c>
      <c r="CH1460" s="33">
        <v>4</v>
      </c>
      <c r="CI1460" s="33">
        <v>2</v>
      </c>
      <c r="CJ1460" s="33">
        <v>0</v>
      </c>
      <c r="CK1460" s="33">
        <v>1</v>
      </c>
      <c r="CL1460" s="33">
        <v>1</v>
      </c>
      <c r="CM1460" s="33">
        <v>3</v>
      </c>
      <c r="CN1460" s="33">
        <v>9</v>
      </c>
      <c r="CO1460" s="33">
        <v>8</v>
      </c>
      <c r="CP1460" s="43">
        <v>0.25779111661505011</v>
      </c>
      <c r="CQ1460" s="33">
        <v>0</v>
      </c>
      <c r="CR1460" s="33">
        <v>0</v>
      </c>
    </row>
    <row r="1461" spans="1:96" ht="15" customHeight="1" x14ac:dyDescent="0.25">
      <c r="A1461" s="26">
        <v>1459</v>
      </c>
      <c r="B1461" s="27">
        <v>29</v>
      </c>
      <c r="C1461" s="27">
        <v>0</v>
      </c>
      <c r="D1461" s="27">
        <v>1</v>
      </c>
      <c r="E1461" s="27">
        <v>1378</v>
      </c>
      <c r="F1461" s="27">
        <v>2</v>
      </c>
      <c r="G1461" s="27">
        <v>13</v>
      </c>
      <c r="H1461" s="27">
        <v>2</v>
      </c>
      <c r="I1461" s="27">
        <v>6</v>
      </c>
      <c r="J1461" s="27">
        <v>1</v>
      </c>
      <c r="K1461" s="27">
        <v>2053</v>
      </c>
      <c r="L1461" s="27">
        <v>4</v>
      </c>
      <c r="M1461" s="27">
        <v>1</v>
      </c>
      <c r="N1461" s="27">
        <v>46</v>
      </c>
      <c r="O1461" s="27">
        <v>2</v>
      </c>
      <c r="P1461" s="27">
        <v>2</v>
      </c>
      <c r="Q1461" s="27">
        <v>3</v>
      </c>
      <c r="R1461" s="27">
        <v>2</v>
      </c>
      <c r="S1461" s="27">
        <v>2</v>
      </c>
      <c r="T1461" s="27">
        <v>4025</v>
      </c>
      <c r="U1461" s="27">
        <v>23679</v>
      </c>
      <c r="V1461" s="27">
        <v>4</v>
      </c>
      <c r="W1461" s="27">
        <v>1</v>
      </c>
      <c r="X1461" s="27">
        <v>13</v>
      </c>
      <c r="Y1461" s="27">
        <v>3</v>
      </c>
      <c r="Z1461" s="27">
        <v>1</v>
      </c>
      <c r="AA1461" s="27">
        <v>80</v>
      </c>
      <c r="AB1461" s="27">
        <v>1</v>
      </c>
      <c r="AC1461" s="27">
        <v>10</v>
      </c>
      <c r="AD1461" s="27">
        <v>2</v>
      </c>
      <c r="AE1461" s="27">
        <v>3</v>
      </c>
      <c r="AF1461" s="27">
        <v>4</v>
      </c>
      <c r="AG1461" s="27">
        <v>3</v>
      </c>
      <c r="AH1461" s="27">
        <v>0</v>
      </c>
      <c r="AI1461" s="28">
        <v>3</v>
      </c>
      <c r="AK1461" s="36">
        <v>1428</v>
      </c>
      <c r="AL1461" s="33">
        <v>1</v>
      </c>
      <c r="AM1461" s="33">
        <v>1</v>
      </c>
      <c r="AN1461" s="33">
        <v>4</v>
      </c>
      <c r="AO1461" s="33">
        <v>8</v>
      </c>
      <c r="AP1461" s="33">
        <v>0</v>
      </c>
      <c r="AQ1461" s="33">
        <v>2</v>
      </c>
      <c r="AR1461" s="33">
        <v>2</v>
      </c>
      <c r="AS1461" s="33">
        <v>1</v>
      </c>
      <c r="AT1461" s="33">
        <v>0</v>
      </c>
      <c r="AU1461" s="43">
        <v>7.9916190620233432E-2</v>
      </c>
      <c r="AV1461" s="33">
        <v>0</v>
      </c>
      <c r="AW1461" s="33">
        <v>0</v>
      </c>
      <c r="AY1461" s="36">
        <v>1433</v>
      </c>
      <c r="AZ1461" s="33">
        <v>3</v>
      </c>
      <c r="BA1461" s="33">
        <v>4</v>
      </c>
      <c r="BB1461" s="33">
        <v>1</v>
      </c>
      <c r="BC1461" s="33">
        <v>1</v>
      </c>
      <c r="BD1461" s="43">
        <v>0.12479921665315721</v>
      </c>
      <c r="BE1461" s="33">
        <v>0</v>
      </c>
      <c r="BF1461" s="33">
        <v>0</v>
      </c>
      <c r="CE1461" s="36">
        <v>1427</v>
      </c>
      <c r="CF1461" s="33">
        <v>29</v>
      </c>
      <c r="CG1461" s="33">
        <v>1</v>
      </c>
      <c r="CH1461" s="33">
        <v>2</v>
      </c>
      <c r="CI1461" s="33">
        <v>1</v>
      </c>
      <c r="CJ1461" s="33">
        <v>1</v>
      </c>
      <c r="CK1461" s="33">
        <v>0</v>
      </c>
      <c r="CL1461" s="33">
        <v>0</v>
      </c>
      <c r="CM1461" s="33">
        <v>3</v>
      </c>
      <c r="CN1461" s="33">
        <v>6</v>
      </c>
      <c r="CO1461" s="33">
        <v>4</v>
      </c>
      <c r="CP1461" s="43">
        <v>0.41815613631152115</v>
      </c>
      <c r="CQ1461" s="33">
        <v>0</v>
      </c>
      <c r="CR1461" s="33">
        <v>0</v>
      </c>
    </row>
    <row r="1462" spans="1:96" ht="15" customHeight="1" x14ac:dyDescent="0.25">
      <c r="A1462" s="26">
        <v>1460</v>
      </c>
      <c r="B1462" s="27">
        <v>29</v>
      </c>
      <c r="C1462" s="27">
        <v>0</v>
      </c>
      <c r="D1462" s="27">
        <v>1</v>
      </c>
      <c r="E1462" s="27">
        <v>468</v>
      </c>
      <c r="F1462" s="27">
        <v>2</v>
      </c>
      <c r="G1462" s="27">
        <v>28</v>
      </c>
      <c r="H1462" s="27">
        <v>4</v>
      </c>
      <c r="I1462" s="27">
        <v>3</v>
      </c>
      <c r="J1462" s="27">
        <v>1</v>
      </c>
      <c r="K1462" s="27">
        <v>2054</v>
      </c>
      <c r="L1462" s="27">
        <v>4</v>
      </c>
      <c r="M1462" s="27">
        <v>0</v>
      </c>
      <c r="N1462" s="27">
        <v>73</v>
      </c>
      <c r="O1462" s="27">
        <v>2</v>
      </c>
      <c r="P1462" s="27">
        <v>1</v>
      </c>
      <c r="Q1462" s="27">
        <v>2</v>
      </c>
      <c r="R1462" s="27">
        <v>1</v>
      </c>
      <c r="S1462" s="27">
        <v>1</v>
      </c>
      <c r="T1462" s="27">
        <v>3785</v>
      </c>
      <c r="U1462" s="27">
        <v>8489</v>
      </c>
      <c r="V1462" s="27">
        <v>1</v>
      </c>
      <c r="W1462" s="27">
        <v>0</v>
      </c>
      <c r="X1462" s="27">
        <v>14</v>
      </c>
      <c r="Y1462" s="27">
        <v>3</v>
      </c>
      <c r="Z1462" s="27">
        <v>2</v>
      </c>
      <c r="AA1462" s="27">
        <v>80</v>
      </c>
      <c r="AB1462" s="27">
        <v>0</v>
      </c>
      <c r="AC1462" s="27">
        <v>5</v>
      </c>
      <c r="AD1462" s="27">
        <v>3</v>
      </c>
      <c r="AE1462" s="27">
        <v>1</v>
      </c>
      <c r="AF1462" s="27">
        <v>5</v>
      </c>
      <c r="AG1462" s="27">
        <v>4</v>
      </c>
      <c r="AH1462" s="27">
        <v>0</v>
      </c>
      <c r="AI1462" s="28">
        <v>4</v>
      </c>
      <c r="AK1462" s="36">
        <v>1429</v>
      </c>
      <c r="AL1462" s="33">
        <v>1</v>
      </c>
      <c r="AM1462" s="33">
        <v>1</v>
      </c>
      <c r="AN1462" s="33">
        <v>2</v>
      </c>
      <c r="AO1462" s="33">
        <v>0</v>
      </c>
      <c r="AP1462" s="33">
        <v>0</v>
      </c>
      <c r="AQ1462" s="33">
        <v>1</v>
      </c>
      <c r="AR1462" s="33">
        <v>3</v>
      </c>
      <c r="AS1462" s="33">
        <v>2</v>
      </c>
      <c r="AT1462" s="33">
        <v>2</v>
      </c>
      <c r="AU1462" s="43">
        <v>0.11484817498474467</v>
      </c>
      <c r="AV1462" s="33">
        <v>0</v>
      </c>
      <c r="AW1462" s="33">
        <v>0</v>
      </c>
      <c r="AY1462" s="36">
        <v>1434</v>
      </c>
      <c r="AZ1462" s="33">
        <v>2</v>
      </c>
      <c r="BA1462" s="33">
        <v>3</v>
      </c>
      <c r="BB1462" s="33">
        <v>1</v>
      </c>
      <c r="BC1462" s="33">
        <v>1</v>
      </c>
      <c r="BD1462" s="43">
        <v>0.25031066197755131</v>
      </c>
      <c r="BE1462" s="33">
        <v>0</v>
      </c>
      <c r="BF1462" s="33">
        <v>0</v>
      </c>
      <c r="CE1462" s="36">
        <v>1428</v>
      </c>
      <c r="CF1462" s="33">
        <v>1</v>
      </c>
      <c r="CG1462" s="33">
        <v>1</v>
      </c>
      <c r="CH1462" s="33">
        <v>4</v>
      </c>
      <c r="CI1462" s="33">
        <v>2</v>
      </c>
      <c r="CJ1462" s="33">
        <v>8</v>
      </c>
      <c r="CK1462" s="33">
        <v>0</v>
      </c>
      <c r="CL1462" s="33">
        <v>2</v>
      </c>
      <c r="CM1462" s="33">
        <v>2</v>
      </c>
      <c r="CN1462" s="33">
        <v>1</v>
      </c>
      <c r="CO1462" s="33">
        <v>0</v>
      </c>
      <c r="CP1462" s="43">
        <v>0.1053134327002057</v>
      </c>
      <c r="CQ1462" s="33">
        <v>0</v>
      </c>
      <c r="CR1462" s="33">
        <v>0</v>
      </c>
    </row>
    <row r="1463" spans="1:96" ht="15" customHeight="1" x14ac:dyDescent="0.25">
      <c r="A1463" s="26">
        <v>1461</v>
      </c>
      <c r="B1463" s="27">
        <v>50</v>
      </c>
      <c r="C1463" s="27">
        <v>1</v>
      </c>
      <c r="D1463" s="27">
        <v>1</v>
      </c>
      <c r="E1463" s="27">
        <v>410</v>
      </c>
      <c r="F1463" s="27">
        <v>1</v>
      </c>
      <c r="G1463" s="27">
        <v>28</v>
      </c>
      <c r="H1463" s="27">
        <v>3</v>
      </c>
      <c r="I1463" s="27">
        <v>4</v>
      </c>
      <c r="J1463" s="27">
        <v>1</v>
      </c>
      <c r="K1463" s="27">
        <v>2055</v>
      </c>
      <c r="L1463" s="27">
        <v>4</v>
      </c>
      <c r="M1463" s="27">
        <v>1</v>
      </c>
      <c r="N1463" s="27">
        <v>39</v>
      </c>
      <c r="O1463" s="27">
        <v>2</v>
      </c>
      <c r="P1463" s="27">
        <v>3</v>
      </c>
      <c r="Q1463" s="27">
        <v>1</v>
      </c>
      <c r="R1463" s="27">
        <v>1</v>
      </c>
      <c r="S1463" s="27">
        <v>3</v>
      </c>
      <c r="T1463" s="27">
        <v>10854</v>
      </c>
      <c r="U1463" s="27">
        <v>16586</v>
      </c>
      <c r="V1463" s="27">
        <v>4</v>
      </c>
      <c r="W1463" s="27">
        <v>1</v>
      </c>
      <c r="X1463" s="27">
        <v>13</v>
      </c>
      <c r="Y1463" s="27">
        <v>3</v>
      </c>
      <c r="Z1463" s="27">
        <v>2</v>
      </c>
      <c r="AA1463" s="27">
        <v>80</v>
      </c>
      <c r="AB1463" s="27">
        <v>1</v>
      </c>
      <c r="AC1463" s="27">
        <v>20</v>
      </c>
      <c r="AD1463" s="27">
        <v>3</v>
      </c>
      <c r="AE1463" s="27">
        <v>3</v>
      </c>
      <c r="AF1463" s="27">
        <v>3</v>
      </c>
      <c r="AG1463" s="27">
        <v>2</v>
      </c>
      <c r="AH1463" s="27">
        <v>2</v>
      </c>
      <c r="AI1463" s="28">
        <v>0</v>
      </c>
      <c r="AK1463" s="36">
        <v>1430</v>
      </c>
      <c r="AL1463" s="33">
        <v>24</v>
      </c>
      <c r="AM1463" s="33">
        <v>2</v>
      </c>
      <c r="AN1463" s="33">
        <v>4</v>
      </c>
      <c r="AO1463" s="33">
        <v>7</v>
      </c>
      <c r="AP1463" s="33">
        <v>0</v>
      </c>
      <c r="AQ1463" s="33">
        <v>0</v>
      </c>
      <c r="AR1463" s="33">
        <v>3</v>
      </c>
      <c r="AS1463" s="33">
        <v>7</v>
      </c>
      <c r="AT1463" s="33">
        <v>1</v>
      </c>
      <c r="AU1463" s="43">
        <v>0.15148570476367365</v>
      </c>
      <c r="AV1463" s="33">
        <v>0</v>
      </c>
      <c r="AW1463" s="33">
        <v>0</v>
      </c>
      <c r="AY1463" s="36">
        <v>1435</v>
      </c>
      <c r="AZ1463" s="33">
        <v>1</v>
      </c>
      <c r="BA1463" s="33">
        <v>4</v>
      </c>
      <c r="BB1463" s="33">
        <v>0</v>
      </c>
      <c r="BC1463" s="33">
        <v>2</v>
      </c>
      <c r="BD1463" s="43">
        <v>5.6717470552978752E-2</v>
      </c>
      <c r="BE1463" s="33">
        <v>0</v>
      </c>
      <c r="BF1463" s="33">
        <v>0</v>
      </c>
      <c r="CE1463" s="36">
        <v>1429</v>
      </c>
      <c r="CF1463" s="33">
        <v>1</v>
      </c>
      <c r="CG1463" s="33">
        <v>1</v>
      </c>
      <c r="CH1463" s="33">
        <v>2</v>
      </c>
      <c r="CI1463" s="33">
        <v>2</v>
      </c>
      <c r="CJ1463" s="33">
        <v>0</v>
      </c>
      <c r="CK1463" s="33">
        <v>0</v>
      </c>
      <c r="CL1463" s="33">
        <v>1</v>
      </c>
      <c r="CM1463" s="33">
        <v>3</v>
      </c>
      <c r="CN1463" s="33">
        <v>2</v>
      </c>
      <c r="CO1463" s="33">
        <v>2</v>
      </c>
      <c r="CP1463" s="43">
        <v>0.11220258876994413</v>
      </c>
      <c r="CQ1463" s="33">
        <v>0</v>
      </c>
      <c r="CR1463" s="33">
        <v>0</v>
      </c>
    </row>
    <row r="1464" spans="1:96" ht="15" customHeight="1" x14ac:dyDescent="0.25">
      <c r="A1464" s="26">
        <v>1462</v>
      </c>
      <c r="B1464" s="27">
        <v>39</v>
      </c>
      <c r="C1464" s="27">
        <v>0</v>
      </c>
      <c r="D1464" s="27">
        <v>1</v>
      </c>
      <c r="E1464" s="27">
        <v>722</v>
      </c>
      <c r="F1464" s="27">
        <v>1</v>
      </c>
      <c r="G1464" s="27">
        <v>24</v>
      </c>
      <c r="H1464" s="27">
        <v>1</v>
      </c>
      <c r="I1464" s="27">
        <v>4</v>
      </c>
      <c r="J1464" s="27">
        <v>1</v>
      </c>
      <c r="K1464" s="27">
        <v>2056</v>
      </c>
      <c r="L1464" s="27">
        <v>2</v>
      </c>
      <c r="M1464" s="27">
        <v>0</v>
      </c>
      <c r="N1464" s="27">
        <v>60</v>
      </c>
      <c r="O1464" s="27">
        <v>2</v>
      </c>
      <c r="P1464" s="27">
        <v>4</v>
      </c>
      <c r="Q1464" s="27">
        <v>1</v>
      </c>
      <c r="R1464" s="27">
        <v>4</v>
      </c>
      <c r="S1464" s="27">
        <v>2</v>
      </c>
      <c r="T1464" s="27">
        <v>12031</v>
      </c>
      <c r="U1464" s="27">
        <v>8828</v>
      </c>
      <c r="V1464" s="27">
        <v>0</v>
      </c>
      <c r="W1464" s="27">
        <v>0</v>
      </c>
      <c r="X1464" s="27">
        <v>11</v>
      </c>
      <c r="Y1464" s="27">
        <v>3</v>
      </c>
      <c r="Z1464" s="27">
        <v>1</v>
      </c>
      <c r="AA1464" s="27">
        <v>80</v>
      </c>
      <c r="AB1464" s="27">
        <v>1</v>
      </c>
      <c r="AC1464" s="27">
        <v>21</v>
      </c>
      <c r="AD1464" s="27">
        <v>2</v>
      </c>
      <c r="AE1464" s="27">
        <v>2</v>
      </c>
      <c r="AF1464" s="27">
        <v>20</v>
      </c>
      <c r="AG1464" s="27">
        <v>9</v>
      </c>
      <c r="AH1464" s="27">
        <v>9</v>
      </c>
      <c r="AI1464" s="28">
        <v>6</v>
      </c>
      <c r="AK1464" s="36">
        <v>1431</v>
      </c>
      <c r="AL1464" s="33">
        <v>10</v>
      </c>
      <c r="AM1464" s="33">
        <v>3</v>
      </c>
      <c r="AN1464" s="33">
        <v>3</v>
      </c>
      <c r="AO1464" s="33">
        <v>3</v>
      </c>
      <c r="AP1464" s="33">
        <v>0</v>
      </c>
      <c r="AQ1464" s="33">
        <v>1</v>
      </c>
      <c r="AR1464" s="33">
        <v>3</v>
      </c>
      <c r="AS1464" s="33">
        <v>18</v>
      </c>
      <c r="AT1464" s="33">
        <v>1</v>
      </c>
      <c r="AU1464" s="43">
        <v>1.5524523838731057E-2</v>
      </c>
      <c r="AV1464" s="33">
        <v>0</v>
      </c>
      <c r="AW1464" s="33">
        <v>0</v>
      </c>
      <c r="AY1464" s="36">
        <v>1436</v>
      </c>
      <c r="AZ1464" s="33">
        <v>1</v>
      </c>
      <c r="BA1464" s="33">
        <v>4</v>
      </c>
      <c r="BB1464" s="33">
        <v>1</v>
      </c>
      <c r="BC1464" s="33">
        <v>0</v>
      </c>
      <c r="BD1464" s="43">
        <v>0.42475472169672474</v>
      </c>
      <c r="BE1464" s="33">
        <v>0</v>
      </c>
      <c r="BF1464" s="33">
        <v>0</v>
      </c>
      <c r="CE1464" s="36">
        <v>1430</v>
      </c>
      <c r="CF1464" s="33">
        <v>24</v>
      </c>
      <c r="CG1464" s="33">
        <v>2</v>
      </c>
      <c r="CH1464" s="33">
        <v>4</v>
      </c>
      <c r="CI1464" s="33">
        <v>1</v>
      </c>
      <c r="CJ1464" s="33">
        <v>7</v>
      </c>
      <c r="CK1464" s="33">
        <v>0</v>
      </c>
      <c r="CL1464" s="33">
        <v>0</v>
      </c>
      <c r="CM1464" s="33">
        <v>3</v>
      </c>
      <c r="CN1464" s="33">
        <v>7</v>
      </c>
      <c r="CO1464" s="33">
        <v>1</v>
      </c>
      <c r="CP1464" s="43">
        <v>0.17270971655207726</v>
      </c>
      <c r="CQ1464" s="33">
        <v>0</v>
      </c>
      <c r="CR1464" s="33">
        <v>0</v>
      </c>
    </row>
    <row r="1465" spans="1:96" ht="15" customHeight="1" x14ac:dyDescent="0.25">
      <c r="A1465" s="26">
        <v>1463</v>
      </c>
      <c r="B1465" s="27">
        <v>31</v>
      </c>
      <c r="C1465" s="27">
        <v>0</v>
      </c>
      <c r="D1465" s="27">
        <v>3</v>
      </c>
      <c r="E1465" s="27">
        <v>325</v>
      </c>
      <c r="F1465" s="27">
        <v>2</v>
      </c>
      <c r="G1465" s="27">
        <v>5</v>
      </c>
      <c r="H1465" s="27">
        <v>3</v>
      </c>
      <c r="I1465" s="27">
        <v>3</v>
      </c>
      <c r="J1465" s="27">
        <v>1</v>
      </c>
      <c r="K1465" s="27">
        <v>2057</v>
      </c>
      <c r="L1465" s="27">
        <v>2</v>
      </c>
      <c r="M1465" s="27">
        <v>1</v>
      </c>
      <c r="N1465" s="27">
        <v>74</v>
      </c>
      <c r="O1465" s="27">
        <v>3</v>
      </c>
      <c r="P1465" s="27">
        <v>2</v>
      </c>
      <c r="Q1465" s="27">
        <v>4</v>
      </c>
      <c r="R1465" s="27">
        <v>1</v>
      </c>
      <c r="S1465" s="27">
        <v>1</v>
      </c>
      <c r="T1465" s="27">
        <v>9936</v>
      </c>
      <c r="U1465" s="27">
        <v>3787</v>
      </c>
      <c r="V1465" s="27">
        <v>0</v>
      </c>
      <c r="W1465" s="27">
        <v>0</v>
      </c>
      <c r="X1465" s="27">
        <v>19</v>
      </c>
      <c r="Y1465" s="27">
        <v>3</v>
      </c>
      <c r="Z1465" s="27">
        <v>2</v>
      </c>
      <c r="AA1465" s="27">
        <v>80</v>
      </c>
      <c r="AB1465" s="27">
        <v>0</v>
      </c>
      <c r="AC1465" s="27">
        <v>10</v>
      </c>
      <c r="AD1465" s="27">
        <v>2</v>
      </c>
      <c r="AE1465" s="27">
        <v>3</v>
      </c>
      <c r="AF1465" s="27">
        <v>9</v>
      </c>
      <c r="AG1465" s="27">
        <v>4</v>
      </c>
      <c r="AH1465" s="27">
        <v>1</v>
      </c>
      <c r="AI1465" s="28">
        <v>7</v>
      </c>
      <c r="AK1465" s="36">
        <v>1432</v>
      </c>
      <c r="AL1465" s="33">
        <v>1</v>
      </c>
      <c r="AM1465" s="33">
        <v>3</v>
      </c>
      <c r="AN1465" s="33">
        <v>4</v>
      </c>
      <c r="AO1465" s="33">
        <v>1</v>
      </c>
      <c r="AP1465" s="33">
        <v>0</v>
      </c>
      <c r="AQ1465" s="33">
        <v>2</v>
      </c>
      <c r="AR1465" s="33">
        <v>3</v>
      </c>
      <c r="AS1465" s="33">
        <v>14</v>
      </c>
      <c r="AT1465" s="33">
        <v>5</v>
      </c>
      <c r="AU1465" s="43">
        <v>8.6825744561964333E-3</v>
      </c>
      <c r="AV1465" s="33">
        <v>0</v>
      </c>
      <c r="AW1465" s="33">
        <v>0</v>
      </c>
      <c r="AY1465" s="36">
        <v>1437</v>
      </c>
      <c r="AZ1465" s="33">
        <v>1</v>
      </c>
      <c r="BA1465" s="33">
        <v>1</v>
      </c>
      <c r="BB1465" s="33">
        <v>1</v>
      </c>
      <c r="BC1465" s="33">
        <v>0</v>
      </c>
      <c r="BD1465" s="43">
        <v>0.63965103699986936</v>
      </c>
      <c r="BE1465" s="33">
        <v>1</v>
      </c>
      <c r="BF1465" s="33">
        <v>0</v>
      </c>
      <c r="CE1465" s="36">
        <v>1431</v>
      </c>
      <c r="CF1465" s="33">
        <v>10</v>
      </c>
      <c r="CG1465" s="33">
        <v>3</v>
      </c>
      <c r="CH1465" s="33">
        <v>3</v>
      </c>
      <c r="CI1465" s="33">
        <v>2</v>
      </c>
      <c r="CJ1465" s="33">
        <v>3</v>
      </c>
      <c r="CK1465" s="33">
        <v>0</v>
      </c>
      <c r="CL1465" s="33">
        <v>1</v>
      </c>
      <c r="CM1465" s="33">
        <v>3</v>
      </c>
      <c r="CN1465" s="33">
        <v>18</v>
      </c>
      <c r="CO1465" s="33">
        <v>1</v>
      </c>
      <c r="CP1465" s="43">
        <v>1.5050207651884898E-2</v>
      </c>
      <c r="CQ1465" s="33">
        <v>0</v>
      </c>
      <c r="CR1465" s="33">
        <v>0</v>
      </c>
    </row>
    <row r="1466" spans="1:96" ht="15" customHeight="1" x14ac:dyDescent="0.25">
      <c r="A1466" s="26">
        <v>1464</v>
      </c>
      <c r="B1466" s="27">
        <v>26</v>
      </c>
      <c r="C1466" s="27">
        <v>0</v>
      </c>
      <c r="D1466" s="27">
        <v>1</v>
      </c>
      <c r="E1466" s="27">
        <v>1167</v>
      </c>
      <c r="F1466" s="27">
        <v>1</v>
      </c>
      <c r="G1466" s="27">
        <v>5</v>
      </c>
      <c r="H1466" s="27">
        <v>3</v>
      </c>
      <c r="I1466" s="27">
        <v>6</v>
      </c>
      <c r="J1466" s="27">
        <v>1</v>
      </c>
      <c r="K1466" s="27">
        <v>2060</v>
      </c>
      <c r="L1466" s="27">
        <v>4</v>
      </c>
      <c r="M1466" s="27">
        <v>0</v>
      </c>
      <c r="N1466" s="27">
        <v>30</v>
      </c>
      <c r="O1466" s="27">
        <v>2</v>
      </c>
      <c r="P1466" s="27">
        <v>1</v>
      </c>
      <c r="Q1466" s="27">
        <v>7</v>
      </c>
      <c r="R1466" s="27">
        <v>3</v>
      </c>
      <c r="S1466" s="27">
        <v>1</v>
      </c>
      <c r="T1466" s="27">
        <v>2966</v>
      </c>
      <c r="U1466" s="27">
        <v>21378</v>
      </c>
      <c r="V1466" s="27">
        <v>0</v>
      </c>
      <c r="W1466" s="27">
        <v>0</v>
      </c>
      <c r="X1466" s="27">
        <v>18</v>
      </c>
      <c r="Y1466" s="27">
        <v>3</v>
      </c>
      <c r="Z1466" s="27">
        <v>4</v>
      </c>
      <c r="AA1466" s="27">
        <v>80</v>
      </c>
      <c r="AB1466" s="27">
        <v>0</v>
      </c>
      <c r="AC1466" s="27">
        <v>5</v>
      </c>
      <c r="AD1466" s="27">
        <v>2</v>
      </c>
      <c r="AE1466" s="27">
        <v>3</v>
      </c>
      <c r="AF1466" s="27">
        <v>4</v>
      </c>
      <c r="AG1466" s="27">
        <v>2</v>
      </c>
      <c r="AH1466" s="27">
        <v>0</v>
      </c>
      <c r="AI1466" s="28">
        <v>0</v>
      </c>
      <c r="AK1466" s="36">
        <v>1433</v>
      </c>
      <c r="AL1466" s="33">
        <v>10</v>
      </c>
      <c r="AM1466" s="33">
        <v>3</v>
      </c>
      <c r="AN1466" s="33">
        <v>4</v>
      </c>
      <c r="AO1466" s="33">
        <v>1</v>
      </c>
      <c r="AP1466" s="33">
        <v>1</v>
      </c>
      <c r="AQ1466" s="33">
        <v>1</v>
      </c>
      <c r="AR1466" s="33">
        <v>3</v>
      </c>
      <c r="AS1466" s="33">
        <v>16</v>
      </c>
      <c r="AT1466" s="33">
        <v>6</v>
      </c>
      <c r="AU1466" s="43">
        <v>8.1402322001553465E-2</v>
      </c>
      <c r="AV1466" s="33">
        <v>0</v>
      </c>
      <c r="AW1466" s="33">
        <v>0</v>
      </c>
      <c r="AY1466" s="36">
        <v>1438</v>
      </c>
      <c r="AZ1466" s="33">
        <v>5</v>
      </c>
      <c r="BA1466" s="33">
        <v>4</v>
      </c>
      <c r="BB1466" s="33">
        <v>0</v>
      </c>
      <c r="BC1466" s="33">
        <v>0</v>
      </c>
      <c r="BD1466" s="43">
        <v>1.8169729095294188E-2</v>
      </c>
      <c r="BE1466" s="33">
        <v>0</v>
      </c>
      <c r="BF1466" s="33">
        <v>0</v>
      </c>
      <c r="CE1466" s="36">
        <v>1432</v>
      </c>
      <c r="CF1466" s="33">
        <v>1</v>
      </c>
      <c r="CG1466" s="33">
        <v>3</v>
      </c>
      <c r="CH1466" s="33">
        <v>4</v>
      </c>
      <c r="CI1466" s="33">
        <v>2</v>
      </c>
      <c r="CJ1466" s="33">
        <v>1</v>
      </c>
      <c r="CK1466" s="33">
        <v>0</v>
      </c>
      <c r="CL1466" s="33">
        <v>2</v>
      </c>
      <c r="CM1466" s="33">
        <v>3</v>
      </c>
      <c r="CN1466" s="33">
        <v>14</v>
      </c>
      <c r="CO1466" s="33">
        <v>5</v>
      </c>
      <c r="CP1466" s="43">
        <v>1.177810861738119E-2</v>
      </c>
      <c r="CQ1466" s="33">
        <v>0</v>
      </c>
      <c r="CR1466" s="33">
        <v>0</v>
      </c>
    </row>
    <row r="1467" spans="1:96" ht="15" customHeight="1" x14ac:dyDescent="0.25">
      <c r="A1467" s="26">
        <v>1465</v>
      </c>
      <c r="B1467" s="27">
        <v>36</v>
      </c>
      <c r="C1467" s="27">
        <v>0</v>
      </c>
      <c r="D1467" s="27">
        <v>2</v>
      </c>
      <c r="E1467" s="27">
        <v>884</v>
      </c>
      <c r="F1467" s="27">
        <v>2</v>
      </c>
      <c r="G1467" s="27">
        <v>23</v>
      </c>
      <c r="H1467" s="27">
        <v>2</v>
      </c>
      <c r="I1467" s="27">
        <v>3</v>
      </c>
      <c r="J1467" s="27">
        <v>1</v>
      </c>
      <c r="K1467" s="27">
        <v>2061</v>
      </c>
      <c r="L1467" s="27">
        <v>3</v>
      </c>
      <c r="M1467" s="27">
        <v>1</v>
      </c>
      <c r="N1467" s="27">
        <v>41</v>
      </c>
      <c r="O1467" s="27">
        <v>4</v>
      </c>
      <c r="P1467" s="27">
        <v>2</v>
      </c>
      <c r="Q1467" s="27">
        <v>3</v>
      </c>
      <c r="R1467" s="27">
        <v>4</v>
      </c>
      <c r="S1467" s="27">
        <v>2</v>
      </c>
      <c r="T1467" s="27">
        <v>2571</v>
      </c>
      <c r="U1467" s="27">
        <v>12290</v>
      </c>
      <c r="V1467" s="27">
        <v>4</v>
      </c>
      <c r="W1467" s="27">
        <v>0</v>
      </c>
      <c r="X1467" s="27">
        <v>17</v>
      </c>
      <c r="Y1467" s="27">
        <v>3</v>
      </c>
      <c r="Z1467" s="27">
        <v>3</v>
      </c>
      <c r="AA1467" s="27">
        <v>80</v>
      </c>
      <c r="AB1467" s="27">
        <v>1</v>
      </c>
      <c r="AC1467" s="27">
        <v>17</v>
      </c>
      <c r="AD1467" s="27">
        <v>3</v>
      </c>
      <c r="AE1467" s="27">
        <v>3</v>
      </c>
      <c r="AF1467" s="27">
        <v>5</v>
      </c>
      <c r="AG1467" s="27">
        <v>2</v>
      </c>
      <c r="AH1467" s="27">
        <v>0</v>
      </c>
      <c r="AI1467" s="28">
        <v>3</v>
      </c>
      <c r="AK1467" s="36">
        <v>1434</v>
      </c>
      <c r="AL1467" s="33">
        <v>8</v>
      </c>
      <c r="AM1467" s="33">
        <v>2</v>
      </c>
      <c r="AN1467" s="33">
        <v>3</v>
      </c>
      <c r="AO1467" s="33">
        <v>0</v>
      </c>
      <c r="AP1467" s="33">
        <v>1</v>
      </c>
      <c r="AQ1467" s="33">
        <v>1</v>
      </c>
      <c r="AR1467" s="33">
        <v>2</v>
      </c>
      <c r="AS1467" s="33">
        <v>5</v>
      </c>
      <c r="AT1467" s="33">
        <v>0</v>
      </c>
      <c r="AU1467" s="43">
        <v>0.20012768184015969</v>
      </c>
      <c r="AV1467" s="33">
        <v>0</v>
      </c>
      <c r="AW1467" s="33">
        <v>0</v>
      </c>
      <c r="AY1467" s="36">
        <v>1439</v>
      </c>
      <c r="AZ1467" s="33">
        <v>1</v>
      </c>
      <c r="BA1467" s="33">
        <v>1</v>
      </c>
      <c r="BB1467" s="33">
        <v>0</v>
      </c>
      <c r="BC1467" s="33">
        <v>1</v>
      </c>
      <c r="BD1467" s="43">
        <v>0.19678474515944386</v>
      </c>
      <c r="BE1467" s="33">
        <v>0</v>
      </c>
      <c r="BF1467" s="33">
        <v>1</v>
      </c>
      <c r="CE1467" s="36">
        <v>1433</v>
      </c>
      <c r="CF1467" s="33">
        <v>10</v>
      </c>
      <c r="CG1467" s="33">
        <v>3</v>
      </c>
      <c r="CH1467" s="33">
        <v>4</v>
      </c>
      <c r="CI1467" s="33">
        <v>2</v>
      </c>
      <c r="CJ1467" s="33">
        <v>1</v>
      </c>
      <c r="CK1467" s="33">
        <v>1</v>
      </c>
      <c r="CL1467" s="33">
        <v>1</v>
      </c>
      <c r="CM1467" s="33">
        <v>3</v>
      </c>
      <c r="CN1467" s="33">
        <v>16</v>
      </c>
      <c r="CO1467" s="33">
        <v>6</v>
      </c>
      <c r="CP1467" s="43">
        <v>8.1666464526269925E-2</v>
      </c>
      <c r="CQ1467" s="33">
        <v>0</v>
      </c>
      <c r="CR1467" s="33">
        <v>0</v>
      </c>
    </row>
    <row r="1468" spans="1:96" ht="15" customHeight="1" x14ac:dyDescent="0.25">
      <c r="A1468" s="26">
        <v>1466</v>
      </c>
      <c r="B1468" s="27">
        <v>39</v>
      </c>
      <c r="C1468" s="27">
        <v>0</v>
      </c>
      <c r="D1468" s="27">
        <v>1</v>
      </c>
      <c r="E1468" s="27">
        <v>613</v>
      </c>
      <c r="F1468" s="27">
        <v>2</v>
      </c>
      <c r="G1468" s="27">
        <v>6</v>
      </c>
      <c r="H1468" s="27">
        <v>1</v>
      </c>
      <c r="I1468" s="27">
        <v>3</v>
      </c>
      <c r="J1468" s="27">
        <v>1</v>
      </c>
      <c r="K1468" s="27">
        <v>2062</v>
      </c>
      <c r="L1468" s="27">
        <v>4</v>
      </c>
      <c r="M1468" s="27">
        <v>1</v>
      </c>
      <c r="N1468" s="27">
        <v>42</v>
      </c>
      <c r="O1468" s="27">
        <v>2</v>
      </c>
      <c r="P1468" s="27">
        <v>3</v>
      </c>
      <c r="Q1468" s="27">
        <v>5</v>
      </c>
      <c r="R1468" s="27">
        <v>1</v>
      </c>
      <c r="S1468" s="27">
        <v>2</v>
      </c>
      <c r="T1468" s="27">
        <v>9991</v>
      </c>
      <c r="U1468" s="27">
        <v>21457</v>
      </c>
      <c r="V1468" s="27">
        <v>4</v>
      </c>
      <c r="W1468" s="27">
        <v>0</v>
      </c>
      <c r="X1468" s="27">
        <v>15</v>
      </c>
      <c r="Y1468" s="27">
        <v>3</v>
      </c>
      <c r="Z1468" s="27">
        <v>1</v>
      </c>
      <c r="AA1468" s="27">
        <v>80</v>
      </c>
      <c r="AB1468" s="27">
        <v>1</v>
      </c>
      <c r="AC1468" s="27">
        <v>9</v>
      </c>
      <c r="AD1468" s="27">
        <v>5</v>
      </c>
      <c r="AE1468" s="27">
        <v>3</v>
      </c>
      <c r="AF1468" s="27">
        <v>7</v>
      </c>
      <c r="AG1468" s="27">
        <v>7</v>
      </c>
      <c r="AH1468" s="27">
        <v>1</v>
      </c>
      <c r="AI1468" s="28">
        <v>7</v>
      </c>
      <c r="AK1468" s="36">
        <v>1435</v>
      </c>
      <c r="AL1468" s="33">
        <v>29</v>
      </c>
      <c r="AM1468" s="33">
        <v>1</v>
      </c>
      <c r="AN1468" s="33">
        <v>4</v>
      </c>
      <c r="AO1468" s="33">
        <v>2</v>
      </c>
      <c r="AP1468" s="33">
        <v>0</v>
      </c>
      <c r="AQ1468" s="33">
        <v>2</v>
      </c>
      <c r="AR1468" s="33">
        <v>2</v>
      </c>
      <c r="AS1468" s="33">
        <v>9</v>
      </c>
      <c r="AT1468" s="33">
        <v>0</v>
      </c>
      <c r="AU1468" s="43">
        <v>7.0277372855912137E-2</v>
      </c>
      <c r="AV1468" s="33">
        <v>0</v>
      </c>
      <c r="AW1468" s="33">
        <v>0</v>
      </c>
      <c r="AY1468" s="36">
        <v>1440</v>
      </c>
      <c r="AZ1468" s="33">
        <v>3</v>
      </c>
      <c r="BA1468" s="33">
        <v>4</v>
      </c>
      <c r="BB1468" s="33">
        <v>0</v>
      </c>
      <c r="BC1468" s="33">
        <v>2</v>
      </c>
      <c r="BD1468" s="43">
        <v>1.9300988331555628E-2</v>
      </c>
      <c r="BE1468" s="33">
        <v>0</v>
      </c>
      <c r="BF1468" s="33">
        <v>0</v>
      </c>
      <c r="CE1468" s="36">
        <v>1434</v>
      </c>
      <c r="CF1468" s="33">
        <v>8</v>
      </c>
      <c r="CG1468" s="33">
        <v>2</v>
      </c>
      <c r="CH1468" s="33">
        <v>3</v>
      </c>
      <c r="CI1468" s="33">
        <v>3</v>
      </c>
      <c r="CJ1468" s="33">
        <v>0</v>
      </c>
      <c r="CK1468" s="33">
        <v>1</v>
      </c>
      <c r="CL1468" s="33">
        <v>1</v>
      </c>
      <c r="CM1468" s="33">
        <v>2</v>
      </c>
      <c r="CN1468" s="33">
        <v>5</v>
      </c>
      <c r="CO1468" s="33">
        <v>0</v>
      </c>
      <c r="CP1468" s="43">
        <v>0.12717574365710738</v>
      </c>
      <c r="CQ1468" s="33">
        <v>0</v>
      </c>
      <c r="CR1468" s="33">
        <v>0</v>
      </c>
    </row>
    <row r="1469" spans="1:96" ht="15" customHeight="1" x14ac:dyDescent="0.25">
      <c r="A1469" s="26">
        <v>1467</v>
      </c>
      <c r="B1469" s="27">
        <v>27</v>
      </c>
      <c r="C1469" s="27">
        <v>0</v>
      </c>
      <c r="D1469" s="27">
        <v>1</v>
      </c>
      <c r="E1469" s="27">
        <v>155</v>
      </c>
      <c r="F1469" s="27">
        <v>2</v>
      </c>
      <c r="G1469" s="27">
        <v>4</v>
      </c>
      <c r="H1469" s="27">
        <v>3</v>
      </c>
      <c r="I1469" s="27">
        <v>1</v>
      </c>
      <c r="J1469" s="27">
        <v>1</v>
      </c>
      <c r="K1469" s="27">
        <v>2064</v>
      </c>
      <c r="L1469" s="27">
        <v>2</v>
      </c>
      <c r="M1469" s="27">
        <v>1</v>
      </c>
      <c r="N1469" s="27">
        <v>87</v>
      </c>
      <c r="O1469" s="27">
        <v>4</v>
      </c>
      <c r="P1469" s="27">
        <v>2</v>
      </c>
      <c r="Q1469" s="27">
        <v>4</v>
      </c>
      <c r="R1469" s="27">
        <v>2</v>
      </c>
      <c r="S1469" s="27">
        <v>2</v>
      </c>
      <c r="T1469" s="27">
        <v>6142</v>
      </c>
      <c r="U1469" s="27">
        <v>5174</v>
      </c>
      <c r="V1469" s="27">
        <v>1</v>
      </c>
      <c r="W1469" s="27">
        <v>1</v>
      </c>
      <c r="X1469" s="27">
        <v>20</v>
      </c>
      <c r="Y1469" s="27">
        <v>4</v>
      </c>
      <c r="Z1469" s="27">
        <v>2</v>
      </c>
      <c r="AA1469" s="27">
        <v>80</v>
      </c>
      <c r="AB1469" s="27">
        <v>1</v>
      </c>
      <c r="AC1469" s="27">
        <v>6</v>
      </c>
      <c r="AD1469" s="27">
        <v>0</v>
      </c>
      <c r="AE1469" s="27">
        <v>3</v>
      </c>
      <c r="AF1469" s="27">
        <v>6</v>
      </c>
      <c r="AG1469" s="27">
        <v>2</v>
      </c>
      <c r="AH1469" s="27">
        <v>0</v>
      </c>
      <c r="AI1469" s="28">
        <v>3</v>
      </c>
      <c r="AK1469" s="36">
        <v>1436</v>
      </c>
      <c r="AL1469" s="33">
        <v>1</v>
      </c>
      <c r="AM1469" s="33">
        <v>1</v>
      </c>
      <c r="AN1469" s="33">
        <v>4</v>
      </c>
      <c r="AO1469" s="33">
        <v>6</v>
      </c>
      <c r="AP1469" s="33">
        <v>1</v>
      </c>
      <c r="AQ1469" s="33">
        <v>0</v>
      </c>
      <c r="AR1469" s="33">
        <v>3</v>
      </c>
      <c r="AS1469" s="33">
        <v>4</v>
      </c>
      <c r="AT1469" s="33">
        <v>1</v>
      </c>
      <c r="AU1469" s="43">
        <v>0.41643323183938075</v>
      </c>
      <c r="AV1469" s="33">
        <v>0</v>
      </c>
      <c r="AW1469" s="33">
        <v>0</v>
      </c>
      <c r="AY1469" s="36">
        <v>1441</v>
      </c>
      <c r="AZ1469" s="33">
        <v>2</v>
      </c>
      <c r="BA1469" s="33">
        <v>2</v>
      </c>
      <c r="BB1469" s="33">
        <v>0</v>
      </c>
      <c r="BC1469" s="33">
        <v>3</v>
      </c>
      <c r="BD1469" s="43">
        <v>3.5142240387059973E-2</v>
      </c>
      <c r="BE1469" s="33">
        <v>0</v>
      </c>
      <c r="BF1469" s="33">
        <v>0</v>
      </c>
      <c r="CE1469" s="36">
        <v>1435</v>
      </c>
      <c r="CF1469" s="33">
        <v>29</v>
      </c>
      <c r="CG1469" s="33">
        <v>1</v>
      </c>
      <c r="CH1469" s="33">
        <v>4</v>
      </c>
      <c r="CI1469" s="33">
        <v>3</v>
      </c>
      <c r="CJ1469" s="33">
        <v>2</v>
      </c>
      <c r="CK1469" s="33">
        <v>0</v>
      </c>
      <c r="CL1469" s="33">
        <v>2</v>
      </c>
      <c r="CM1469" s="33">
        <v>2</v>
      </c>
      <c r="CN1469" s="33">
        <v>9</v>
      </c>
      <c r="CO1469" s="33">
        <v>0</v>
      </c>
      <c r="CP1469" s="43">
        <v>5.4435427408955656E-2</v>
      </c>
      <c r="CQ1469" s="33">
        <v>0</v>
      </c>
      <c r="CR1469" s="33">
        <v>0</v>
      </c>
    </row>
    <row r="1470" spans="1:96" ht="15" customHeight="1" x14ac:dyDescent="0.25">
      <c r="A1470" s="26">
        <v>1468</v>
      </c>
      <c r="B1470" s="27">
        <v>49</v>
      </c>
      <c r="C1470" s="27">
        <v>0</v>
      </c>
      <c r="D1470" s="27">
        <v>2</v>
      </c>
      <c r="E1470" s="27">
        <v>1023</v>
      </c>
      <c r="F1470" s="27">
        <v>1</v>
      </c>
      <c r="G1470" s="27">
        <v>2</v>
      </c>
      <c r="H1470" s="27">
        <v>3</v>
      </c>
      <c r="I1470" s="27">
        <v>3</v>
      </c>
      <c r="J1470" s="27">
        <v>1</v>
      </c>
      <c r="K1470" s="27">
        <v>2065</v>
      </c>
      <c r="L1470" s="27">
        <v>4</v>
      </c>
      <c r="M1470" s="27">
        <v>1</v>
      </c>
      <c r="N1470" s="27">
        <v>63</v>
      </c>
      <c r="O1470" s="27">
        <v>2</v>
      </c>
      <c r="P1470" s="27">
        <v>2</v>
      </c>
      <c r="Q1470" s="27">
        <v>1</v>
      </c>
      <c r="R1470" s="27">
        <v>2</v>
      </c>
      <c r="S1470" s="27">
        <v>2</v>
      </c>
      <c r="T1470" s="27">
        <v>5390</v>
      </c>
      <c r="U1470" s="27">
        <v>13243</v>
      </c>
      <c r="V1470" s="27">
        <v>2</v>
      </c>
      <c r="W1470" s="27">
        <v>0</v>
      </c>
      <c r="X1470" s="27">
        <v>14</v>
      </c>
      <c r="Y1470" s="27">
        <v>3</v>
      </c>
      <c r="Z1470" s="27">
        <v>4</v>
      </c>
      <c r="AA1470" s="27">
        <v>80</v>
      </c>
      <c r="AB1470" s="27">
        <v>0</v>
      </c>
      <c r="AC1470" s="27">
        <v>17</v>
      </c>
      <c r="AD1470" s="27">
        <v>3</v>
      </c>
      <c r="AE1470" s="27">
        <v>2</v>
      </c>
      <c r="AF1470" s="27">
        <v>9</v>
      </c>
      <c r="AG1470" s="27">
        <v>6</v>
      </c>
      <c r="AH1470" s="27">
        <v>0</v>
      </c>
      <c r="AI1470" s="28">
        <v>8</v>
      </c>
      <c r="AK1470" s="36">
        <v>1437</v>
      </c>
      <c r="AL1470" s="33">
        <v>5</v>
      </c>
      <c r="AM1470" s="33">
        <v>1</v>
      </c>
      <c r="AN1470" s="33">
        <v>1</v>
      </c>
      <c r="AO1470" s="33">
        <v>1</v>
      </c>
      <c r="AP1470" s="33">
        <v>1</v>
      </c>
      <c r="AQ1470" s="33">
        <v>0</v>
      </c>
      <c r="AR1470" s="33">
        <v>3</v>
      </c>
      <c r="AS1470" s="33">
        <v>2</v>
      </c>
      <c r="AT1470" s="33">
        <v>1</v>
      </c>
      <c r="AU1470" s="43">
        <v>0.59807911305062589</v>
      </c>
      <c r="AV1470" s="33">
        <v>1</v>
      </c>
      <c r="AW1470" s="33">
        <v>0</v>
      </c>
      <c r="AY1470" s="36">
        <v>1442</v>
      </c>
      <c r="AZ1470" s="33">
        <v>2</v>
      </c>
      <c r="BA1470" s="33">
        <v>3</v>
      </c>
      <c r="BB1470" s="33">
        <v>0</v>
      </c>
      <c r="BC1470" s="33">
        <v>1</v>
      </c>
      <c r="BD1470" s="43">
        <v>7.244788656931947E-2</v>
      </c>
      <c r="BE1470" s="33">
        <v>0</v>
      </c>
      <c r="BF1470" s="33">
        <v>0</v>
      </c>
      <c r="CE1470" s="36">
        <v>1436</v>
      </c>
      <c r="CF1470" s="33">
        <v>1</v>
      </c>
      <c r="CG1470" s="33">
        <v>1</v>
      </c>
      <c r="CH1470" s="33">
        <v>4</v>
      </c>
      <c r="CI1470" s="33">
        <v>1</v>
      </c>
      <c r="CJ1470" s="33">
        <v>6</v>
      </c>
      <c r="CK1470" s="33">
        <v>1</v>
      </c>
      <c r="CL1470" s="33">
        <v>0</v>
      </c>
      <c r="CM1470" s="33">
        <v>3</v>
      </c>
      <c r="CN1470" s="33">
        <v>4</v>
      </c>
      <c r="CO1470" s="33">
        <v>1</v>
      </c>
      <c r="CP1470" s="43">
        <v>0.46386864993034288</v>
      </c>
      <c r="CQ1470" s="33">
        <v>0</v>
      </c>
      <c r="CR1470" s="33">
        <v>0</v>
      </c>
    </row>
    <row r="1471" spans="1:96" ht="15" customHeight="1" thickBot="1" x14ac:dyDescent="0.3">
      <c r="A1471" s="29">
        <v>1469</v>
      </c>
      <c r="B1471" s="30">
        <v>34</v>
      </c>
      <c r="C1471" s="30">
        <v>0</v>
      </c>
      <c r="D1471" s="30">
        <v>1</v>
      </c>
      <c r="E1471" s="30">
        <v>628</v>
      </c>
      <c r="F1471" s="30">
        <v>2</v>
      </c>
      <c r="G1471" s="30">
        <v>8</v>
      </c>
      <c r="H1471" s="30">
        <v>3</v>
      </c>
      <c r="I1471" s="30">
        <v>3</v>
      </c>
      <c r="J1471" s="30">
        <v>1</v>
      </c>
      <c r="K1471" s="30">
        <v>2068</v>
      </c>
      <c r="L1471" s="30">
        <v>2</v>
      </c>
      <c r="M1471" s="30">
        <v>1</v>
      </c>
      <c r="N1471" s="30">
        <v>82</v>
      </c>
      <c r="O1471" s="30">
        <v>4</v>
      </c>
      <c r="P1471" s="30">
        <v>2</v>
      </c>
      <c r="Q1471" s="30">
        <v>3</v>
      </c>
      <c r="R1471" s="30">
        <v>3</v>
      </c>
      <c r="S1471" s="30">
        <v>2</v>
      </c>
      <c r="T1471" s="30">
        <v>4404</v>
      </c>
      <c r="U1471" s="30">
        <v>10228</v>
      </c>
      <c r="V1471" s="30">
        <v>2</v>
      </c>
      <c r="W1471" s="30">
        <v>0</v>
      </c>
      <c r="X1471" s="30">
        <v>12</v>
      </c>
      <c r="Y1471" s="30">
        <v>3</v>
      </c>
      <c r="Z1471" s="30">
        <v>1</v>
      </c>
      <c r="AA1471" s="30">
        <v>80</v>
      </c>
      <c r="AB1471" s="30">
        <v>0</v>
      </c>
      <c r="AC1471" s="30">
        <v>6</v>
      </c>
      <c r="AD1471" s="30">
        <v>3</v>
      </c>
      <c r="AE1471" s="30">
        <v>4</v>
      </c>
      <c r="AF1471" s="30">
        <v>4</v>
      </c>
      <c r="AG1471" s="30">
        <v>3</v>
      </c>
      <c r="AH1471" s="30">
        <v>1</v>
      </c>
      <c r="AI1471" s="31">
        <v>2</v>
      </c>
      <c r="AK1471" s="36">
        <v>1438</v>
      </c>
      <c r="AL1471" s="33">
        <v>9</v>
      </c>
      <c r="AM1471" s="33">
        <v>5</v>
      </c>
      <c r="AN1471" s="33">
        <v>4</v>
      </c>
      <c r="AO1471" s="33">
        <v>2</v>
      </c>
      <c r="AP1471" s="33">
        <v>0</v>
      </c>
      <c r="AQ1471" s="33">
        <v>0</v>
      </c>
      <c r="AR1471" s="33">
        <v>2</v>
      </c>
      <c r="AS1471" s="33">
        <v>6</v>
      </c>
      <c r="AT1471" s="33">
        <v>1</v>
      </c>
      <c r="AU1471" s="43">
        <v>1.8029082118086581E-2</v>
      </c>
      <c r="AV1471" s="33">
        <v>0</v>
      </c>
      <c r="AW1471" s="33">
        <v>0</v>
      </c>
      <c r="AY1471" s="36">
        <v>1443</v>
      </c>
      <c r="AZ1471" s="33">
        <v>1</v>
      </c>
      <c r="BA1471" s="33">
        <v>4</v>
      </c>
      <c r="BB1471" s="33">
        <v>1</v>
      </c>
      <c r="BC1471" s="33">
        <v>3</v>
      </c>
      <c r="BD1471" s="43">
        <v>0.1316789269181548</v>
      </c>
      <c r="BE1471" s="33">
        <v>0</v>
      </c>
      <c r="BF1471" s="33">
        <v>1</v>
      </c>
      <c r="CE1471" s="36">
        <v>1437</v>
      </c>
      <c r="CF1471" s="33">
        <v>5</v>
      </c>
      <c r="CG1471" s="33">
        <v>1</v>
      </c>
      <c r="CH1471" s="33">
        <v>1</v>
      </c>
      <c r="CI1471" s="33">
        <v>1</v>
      </c>
      <c r="CJ1471" s="33">
        <v>1</v>
      </c>
      <c r="CK1471" s="33">
        <v>1</v>
      </c>
      <c r="CL1471" s="33">
        <v>0</v>
      </c>
      <c r="CM1471" s="33">
        <v>3</v>
      </c>
      <c r="CN1471" s="33">
        <v>2</v>
      </c>
      <c r="CO1471" s="33">
        <v>1</v>
      </c>
      <c r="CP1471" s="43">
        <v>0.65413559751629002</v>
      </c>
      <c r="CQ1471" s="33">
        <v>1</v>
      </c>
      <c r="CR1471" s="33">
        <v>0</v>
      </c>
    </row>
    <row r="1472" spans="1:96" ht="15" customHeight="1" thickTop="1" x14ac:dyDescent="0.25">
      <c r="AK1472" s="36">
        <v>1439</v>
      </c>
      <c r="AL1472" s="33">
        <v>9</v>
      </c>
      <c r="AM1472" s="33">
        <v>1</v>
      </c>
      <c r="AN1472" s="33">
        <v>1</v>
      </c>
      <c r="AO1472" s="33">
        <v>1</v>
      </c>
      <c r="AP1472" s="33">
        <v>0</v>
      </c>
      <c r="AQ1472" s="33">
        <v>1</v>
      </c>
      <c r="AR1472" s="33">
        <v>2</v>
      </c>
      <c r="AS1472" s="33">
        <v>1</v>
      </c>
      <c r="AT1472" s="33">
        <v>1</v>
      </c>
      <c r="AU1472" s="43">
        <v>0.23045340990496246</v>
      </c>
      <c r="AV1472" s="33">
        <v>0</v>
      </c>
      <c r="AW1472" s="33">
        <v>1</v>
      </c>
      <c r="AY1472" s="36">
        <v>1444</v>
      </c>
      <c r="AZ1472" s="33">
        <v>5</v>
      </c>
      <c r="BA1472" s="33">
        <v>3</v>
      </c>
      <c r="BB1472" s="33">
        <v>0</v>
      </c>
      <c r="BC1472" s="33">
        <v>0</v>
      </c>
      <c r="BD1472" s="43">
        <v>2.4191068412310078E-2</v>
      </c>
      <c r="BE1472" s="33">
        <v>0</v>
      </c>
      <c r="BF1472" s="33">
        <v>0</v>
      </c>
      <c r="CE1472" s="36">
        <v>1438</v>
      </c>
      <c r="CF1472" s="33">
        <v>9</v>
      </c>
      <c r="CG1472" s="33">
        <v>5</v>
      </c>
      <c r="CH1472" s="33">
        <v>4</v>
      </c>
      <c r="CI1472" s="33">
        <v>1</v>
      </c>
      <c r="CJ1472" s="33">
        <v>2</v>
      </c>
      <c r="CK1472" s="33">
        <v>0</v>
      </c>
      <c r="CL1472" s="33">
        <v>0</v>
      </c>
      <c r="CM1472" s="33">
        <v>2</v>
      </c>
      <c r="CN1472" s="33">
        <v>6</v>
      </c>
      <c r="CO1472" s="33">
        <v>1</v>
      </c>
      <c r="CP1472" s="43">
        <v>2.2028663423371266E-2</v>
      </c>
      <c r="CQ1472" s="33">
        <v>0</v>
      </c>
      <c r="CR1472" s="33">
        <v>0</v>
      </c>
    </row>
    <row r="1473" spans="37:96" ht="15" customHeight="1" x14ac:dyDescent="0.25">
      <c r="AK1473" s="36">
        <v>1440</v>
      </c>
      <c r="AL1473" s="33">
        <v>3</v>
      </c>
      <c r="AM1473" s="33">
        <v>3</v>
      </c>
      <c r="AN1473" s="33">
        <v>4</v>
      </c>
      <c r="AO1473" s="33">
        <v>0</v>
      </c>
      <c r="AP1473" s="33">
        <v>0</v>
      </c>
      <c r="AQ1473" s="33">
        <v>2</v>
      </c>
      <c r="AR1473" s="33">
        <v>3</v>
      </c>
      <c r="AS1473" s="33">
        <v>9</v>
      </c>
      <c r="AT1473" s="33">
        <v>3</v>
      </c>
      <c r="AU1473" s="43">
        <v>9.7508414621900515E-3</v>
      </c>
      <c r="AV1473" s="33">
        <v>0</v>
      </c>
      <c r="AW1473" s="33">
        <v>0</v>
      </c>
      <c r="AY1473" s="36">
        <v>1445</v>
      </c>
      <c r="AZ1473" s="33">
        <v>1</v>
      </c>
      <c r="BA1473" s="33">
        <v>3</v>
      </c>
      <c r="BB1473" s="33">
        <v>0</v>
      </c>
      <c r="BC1473" s="33">
        <v>1</v>
      </c>
      <c r="BD1473" s="43">
        <v>0.12012271365792118</v>
      </c>
      <c r="BE1473" s="33">
        <v>0</v>
      </c>
      <c r="BF1473" s="33">
        <v>1</v>
      </c>
      <c r="CE1473" s="36">
        <v>1439</v>
      </c>
      <c r="CF1473" s="33">
        <v>9</v>
      </c>
      <c r="CG1473" s="33">
        <v>1</v>
      </c>
      <c r="CH1473" s="33">
        <v>1</v>
      </c>
      <c r="CI1473" s="33">
        <v>2</v>
      </c>
      <c r="CJ1473" s="33">
        <v>1</v>
      </c>
      <c r="CK1473" s="33">
        <v>0</v>
      </c>
      <c r="CL1473" s="33">
        <v>1</v>
      </c>
      <c r="CM1473" s="33">
        <v>2</v>
      </c>
      <c r="CN1473" s="33">
        <v>1</v>
      </c>
      <c r="CO1473" s="33">
        <v>1</v>
      </c>
      <c r="CP1473" s="43">
        <v>0.23130849652078689</v>
      </c>
      <c r="CQ1473" s="33">
        <v>0</v>
      </c>
      <c r="CR1473" s="33">
        <v>1</v>
      </c>
    </row>
    <row r="1474" spans="37:96" ht="15" customHeight="1" x14ac:dyDescent="0.25">
      <c r="AK1474" s="36">
        <v>1441</v>
      </c>
      <c r="AL1474" s="33">
        <v>4</v>
      </c>
      <c r="AM1474" s="33">
        <v>2</v>
      </c>
      <c r="AN1474" s="33">
        <v>2</v>
      </c>
      <c r="AO1474" s="33">
        <v>7</v>
      </c>
      <c r="AP1474" s="33">
        <v>0</v>
      </c>
      <c r="AQ1474" s="33">
        <v>3</v>
      </c>
      <c r="AR1474" s="33">
        <v>3</v>
      </c>
      <c r="AS1474" s="33">
        <v>4</v>
      </c>
      <c r="AT1474" s="33">
        <v>0</v>
      </c>
      <c r="AU1474" s="43">
        <v>3.1982236349424355E-2</v>
      </c>
      <c r="AV1474" s="33">
        <v>0</v>
      </c>
      <c r="AW1474" s="33">
        <v>0</v>
      </c>
      <c r="AY1474" s="36">
        <v>1446</v>
      </c>
      <c r="AZ1474" s="33">
        <v>4</v>
      </c>
      <c r="BA1474" s="33">
        <v>2</v>
      </c>
      <c r="BB1474" s="33">
        <v>0</v>
      </c>
      <c r="BC1474" s="33">
        <v>1</v>
      </c>
      <c r="BD1474" s="43">
        <v>3.3113852747679105E-2</v>
      </c>
      <c r="BE1474" s="33">
        <v>0</v>
      </c>
      <c r="BF1474" s="33">
        <v>0</v>
      </c>
      <c r="CE1474" s="36">
        <v>1440</v>
      </c>
      <c r="CF1474" s="33">
        <v>3</v>
      </c>
      <c r="CG1474" s="33">
        <v>3</v>
      </c>
      <c r="CH1474" s="33">
        <v>4</v>
      </c>
      <c r="CI1474" s="33">
        <v>2</v>
      </c>
      <c r="CJ1474" s="33">
        <v>0</v>
      </c>
      <c r="CK1474" s="33">
        <v>0</v>
      </c>
      <c r="CL1474" s="33">
        <v>2</v>
      </c>
      <c r="CM1474" s="33">
        <v>3</v>
      </c>
      <c r="CN1474" s="33">
        <v>9</v>
      </c>
      <c r="CO1474" s="33">
        <v>3</v>
      </c>
      <c r="CP1474" s="43">
        <v>1.3149670656994933E-2</v>
      </c>
      <c r="CQ1474" s="33">
        <v>0</v>
      </c>
      <c r="CR1474" s="33">
        <v>0</v>
      </c>
    </row>
    <row r="1475" spans="37:96" ht="15" customHeight="1" x14ac:dyDescent="0.25">
      <c r="AK1475" s="36">
        <v>1442</v>
      </c>
      <c r="AL1475" s="33">
        <v>1</v>
      </c>
      <c r="AM1475" s="33">
        <v>2</v>
      </c>
      <c r="AN1475" s="33">
        <v>3</v>
      </c>
      <c r="AO1475" s="33">
        <v>1</v>
      </c>
      <c r="AP1475" s="33">
        <v>0</v>
      </c>
      <c r="AQ1475" s="33">
        <v>1</v>
      </c>
      <c r="AR1475" s="33">
        <v>2</v>
      </c>
      <c r="AS1475" s="33">
        <v>13</v>
      </c>
      <c r="AT1475" s="33">
        <v>1</v>
      </c>
      <c r="AU1475" s="43">
        <v>3.0010386253913595E-2</v>
      </c>
      <c r="AV1475" s="33">
        <v>0</v>
      </c>
      <c r="AW1475" s="33">
        <v>0</v>
      </c>
      <c r="AY1475" s="36">
        <v>1447</v>
      </c>
      <c r="AZ1475" s="33">
        <v>2</v>
      </c>
      <c r="BA1475" s="33">
        <v>3</v>
      </c>
      <c r="BB1475" s="33">
        <v>0</v>
      </c>
      <c r="BC1475" s="33">
        <v>2</v>
      </c>
      <c r="BD1475" s="43">
        <v>4.4052611042036123E-2</v>
      </c>
      <c r="BE1475" s="33">
        <v>0</v>
      </c>
      <c r="BF1475" s="33">
        <v>0</v>
      </c>
      <c r="CE1475" s="36">
        <v>1441</v>
      </c>
      <c r="CF1475" s="33">
        <v>4</v>
      </c>
      <c r="CG1475" s="33">
        <v>2</v>
      </c>
      <c r="CH1475" s="33">
        <v>2</v>
      </c>
      <c r="CI1475" s="33">
        <v>3</v>
      </c>
      <c r="CJ1475" s="33">
        <v>7</v>
      </c>
      <c r="CK1475" s="33">
        <v>0</v>
      </c>
      <c r="CL1475" s="33">
        <v>3</v>
      </c>
      <c r="CM1475" s="33">
        <v>3</v>
      </c>
      <c r="CN1475" s="33">
        <v>4</v>
      </c>
      <c r="CO1475" s="33">
        <v>0</v>
      </c>
      <c r="CP1475" s="43">
        <v>3.5962971934805833E-2</v>
      </c>
      <c r="CQ1475" s="33">
        <v>0</v>
      </c>
      <c r="CR1475" s="33">
        <v>0</v>
      </c>
    </row>
    <row r="1476" spans="37:96" ht="15" customHeight="1" x14ac:dyDescent="0.25">
      <c r="AK1476" s="36">
        <v>1443</v>
      </c>
      <c r="AL1476" s="33">
        <v>1</v>
      </c>
      <c r="AM1476" s="33">
        <v>1</v>
      </c>
      <c r="AN1476" s="33">
        <v>4</v>
      </c>
      <c r="AO1476" s="33">
        <v>9</v>
      </c>
      <c r="AP1476" s="33">
        <v>1</v>
      </c>
      <c r="AQ1476" s="33">
        <v>3</v>
      </c>
      <c r="AR1476" s="33">
        <v>4</v>
      </c>
      <c r="AS1476" s="33">
        <v>2</v>
      </c>
      <c r="AT1476" s="33">
        <v>2</v>
      </c>
      <c r="AU1476" s="43">
        <v>0.14656282040547081</v>
      </c>
      <c r="AV1476" s="33">
        <v>0</v>
      </c>
      <c r="AW1476" s="33">
        <v>1</v>
      </c>
      <c r="AY1476" s="36">
        <v>1448</v>
      </c>
      <c r="AZ1476" s="33">
        <v>2</v>
      </c>
      <c r="BA1476" s="33">
        <v>4</v>
      </c>
      <c r="BB1476" s="33">
        <v>0</v>
      </c>
      <c r="BC1476" s="33">
        <v>1</v>
      </c>
      <c r="BD1476" s="43">
        <v>5.5093218126976727E-2</v>
      </c>
      <c r="BE1476" s="33">
        <v>0</v>
      </c>
      <c r="BF1476" s="33">
        <v>0</v>
      </c>
      <c r="CE1476" s="36">
        <v>1442</v>
      </c>
      <c r="CF1476" s="33">
        <v>1</v>
      </c>
      <c r="CG1476" s="33">
        <v>2</v>
      </c>
      <c r="CH1476" s="33">
        <v>3</v>
      </c>
      <c r="CI1476" s="33">
        <v>3</v>
      </c>
      <c r="CJ1476" s="33">
        <v>1</v>
      </c>
      <c r="CK1476" s="33">
        <v>0</v>
      </c>
      <c r="CL1476" s="33">
        <v>1</v>
      </c>
      <c r="CM1476" s="33">
        <v>2</v>
      </c>
      <c r="CN1476" s="33">
        <v>13</v>
      </c>
      <c r="CO1476" s="33">
        <v>1</v>
      </c>
      <c r="CP1476" s="43">
        <v>1.7054596509649602E-2</v>
      </c>
      <c r="CQ1476" s="33">
        <v>0</v>
      </c>
      <c r="CR1476" s="33">
        <v>0</v>
      </c>
    </row>
    <row r="1477" spans="37:96" ht="15" customHeight="1" x14ac:dyDescent="0.25">
      <c r="AK1477" s="36">
        <v>1444</v>
      </c>
      <c r="AL1477" s="33">
        <v>2</v>
      </c>
      <c r="AM1477" s="33">
        <v>5</v>
      </c>
      <c r="AN1477" s="33">
        <v>3</v>
      </c>
      <c r="AO1477" s="33">
        <v>5</v>
      </c>
      <c r="AP1477" s="33">
        <v>0</v>
      </c>
      <c r="AQ1477" s="33">
        <v>0</v>
      </c>
      <c r="AR1477" s="33">
        <v>2</v>
      </c>
      <c r="AS1477" s="33">
        <v>22</v>
      </c>
      <c r="AT1477" s="33">
        <v>4</v>
      </c>
      <c r="AU1477" s="43">
        <v>1.0957850307850538E-2</v>
      </c>
      <c r="AV1477" s="33">
        <v>0</v>
      </c>
      <c r="AW1477" s="33">
        <v>0</v>
      </c>
      <c r="AY1477" s="36">
        <v>1449</v>
      </c>
      <c r="AZ1477" s="33">
        <v>2</v>
      </c>
      <c r="BA1477" s="33">
        <v>2</v>
      </c>
      <c r="BB1477" s="33">
        <v>0</v>
      </c>
      <c r="BC1477" s="33">
        <v>1</v>
      </c>
      <c r="BD1477" s="43">
        <v>9.4721355311452843E-2</v>
      </c>
      <c r="BE1477" s="33">
        <v>0</v>
      </c>
      <c r="BF1477" s="33">
        <v>0</v>
      </c>
      <c r="CE1477" s="36">
        <v>1443</v>
      </c>
      <c r="CF1477" s="33">
        <v>1</v>
      </c>
      <c r="CG1477" s="33">
        <v>1</v>
      </c>
      <c r="CH1477" s="33">
        <v>4</v>
      </c>
      <c r="CI1477" s="33">
        <v>2</v>
      </c>
      <c r="CJ1477" s="33">
        <v>9</v>
      </c>
      <c r="CK1477" s="33">
        <v>1</v>
      </c>
      <c r="CL1477" s="33">
        <v>3</v>
      </c>
      <c r="CM1477" s="33">
        <v>4</v>
      </c>
      <c r="CN1477" s="33">
        <v>2</v>
      </c>
      <c r="CO1477" s="33">
        <v>2</v>
      </c>
      <c r="CP1477" s="43">
        <v>0.24990242324373896</v>
      </c>
      <c r="CQ1477" s="33">
        <v>0</v>
      </c>
      <c r="CR1477" s="33">
        <v>1</v>
      </c>
    </row>
    <row r="1478" spans="37:96" ht="15" customHeight="1" x14ac:dyDescent="0.25">
      <c r="AK1478" s="36">
        <v>1445</v>
      </c>
      <c r="AL1478" s="33">
        <v>7</v>
      </c>
      <c r="AM1478" s="33">
        <v>1</v>
      </c>
      <c r="AN1478" s="33">
        <v>3</v>
      </c>
      <c r="AO1478" s="33">
        <v>8</v>
      </c>
      <c r="AP1478" s="33">
        <v>0</v>
      </c>
      <c r="AQ1478" s="33">
        <v>1</v>
      </c>
      <c r="AR1478" s="33">
        <v>1</v>
      </c>
      <c r="AS1478" s="33">
        <v>10</v>
      </c>
      <c r="AT1478" s="33">
        <v>9</v>
      </c>
      <c r="AU1478" s="43">
        <v>0.31458162413584806</v>
      </c>
      <c r="AV1478" s="33">
        <v>0</v>
      </c>
      <c r="AW1478" s="33">
        <v>1</v>
      </c>
      <c r="AY1478" s="36">
        <v>1450</v>
      </c>
      <c r="AZ1478" s="33">
        <v>1</v>
      </c>
      <c r="BA1478" s="33">
        <v>1</v>
      </c>
      <c r="BB1478" s="33">
        <v>0</v>
      </c>
      <c r="BC1478" s="33">
        <v>0</v>
      </c>
      <c r="BD1478" s="43">
        <v>0.29341085656570393</v>
      </c>
      <c r="BE1478" s="33">
        <v>0</v>
      </c>
      <c r="BF1478" s="33">
        <v>0</v>
      </c>
      <c r="CE1478" s="36">
        <v>1444</v>
      </c>
      <c r="CF1478" s="33">
        <v>2</v>
      </c>
      <c r="CG1478" s="33">
        <v>5</v>
      </c>
      <c r="CH1478" s="33">
        <v>3</v>
      </c>
      <c r="CI1478" s="33">
        <v>2</v>
      </c>
      <c r="CJ1478" s="33">
        <v>5</v>
      </c>
      <c r="CK1478" s="33">
        <v>0</v>
      </c>
      <c r="CL1478" s="33">
        <v>0</v>
      </c>
      <c r="CM1478" s="33">
        <v>2</v>
      </c>
      <c r="CN1478" s="33">
        <v>22</v>
      </c>
      <c r="CO1478" s="33">
        <v>4</v>
      </c>
      <c r="CP1478" s="43">
        <v>7.9496888516847625E-3</v>
      </c>
      <c r="CQ1478" s="33">
        <v>0</v>
      </c>
      <c r="CR1478" s="33">
        <v>0</v>
      </c>
    </row>
    <row r="1479" spans="37:96" ht="15" customHeight="1" x14ac:dyDescent="0.25">
      <c r="AK1479" s="36">
        <v>1446</v>
      </c>
      <c r="AL1479" s="33">
        <v>28</v>
      </c>
      <c r="AM1479" s="33">
        <v>4</v>
      </c>
      <c r="AN1479" s="33">
        <v>2</v>
      </c>
      <c r="AO1479" s="33">
        <v>0</v>
      </c>
      <c r="AP1479" s="33">
        <v>0</v>
      </c>
      <c r="AQ1479" s="33">
        <v>1</v>
      </c>
      <c r="AR1479" s="33">
        <v>3</v>
      </c>
      <c r="AS1479" s="33">
        <v>20</v>
      </c>
      <c r="AT1479" s="33">
        <v>0</v>
      </c>
      <c r="AU1479" s="43">
        <v>1.3212225725305308E-2</v>
      </c>
      <c r="AV1479" s="33">
        <v>0</v>
      </c>
      <c r="AW1479" s="33">
        <v>0</v>
      </c>
      <c r="AY1479" s="36">
        <v>1451</v>
      </c>
      <c r="AZ1479" s="33">
        <v>3</v>
      </c>
      <c r="BA1479" s="33">
        <v>4</v>
      </c>
      <c r="BB1479" s="33">
        <v>1</v>
      </c>
      <c r="BC1479" s="33">
        <v>0</v>
      </c>
      <c r="BD1479" s="43">
        <v>0.19464428068138595</v>
      </c>
      <c r="BE1479" s="33">
        <v>0</v>
      </c>
      <c r="BF1479" s="33">
        <v>0</v>
      </c>
      <c r="CE1479" s="36">
        <v>1445</v>
      </c>
      <c r="CF1479" s="33">
        <v>7</v>
      </c>
      <c r="CG1479" s="33">
        <v>1</v>
      </c>
      <c r="CH1479" s="33">
        <v>3</v>
      </c>
      <c r="CI1479" s="33">
        <v>2</v>
      </c>
      <c r="CJ1479" s="33">
        <v>8</v>
      </c>
      <c r="CK1479" s="33">
        <v>0</v>
      </c>
      <c r="CL1479" s="33">
        <v>1</v>
      </c>
      <c r="CM1479" s="33">
        <v>1</v>
      </c>
      <c r="CN1479" s="33">
        <v>10</v>
      </c>
      <c r="CO1479" s="33">
        <v>9</v>
      </c>
      <c r="CP1479" s="43">
        <v>0.31785446977499077</v>
      </c>
      <c r="CQ1479" s="33">
        <v>0</v>
      </c>
      <c r="CR1479" s="33">
        <v>1</v>
      </c>
    </row>
    <row r="1480" spans="37:96" ht="15" customHeight="1" x14ac:dyDescent="0.25">
      <c r="AK1480" s="36">
        <v>1447</v>
      </c>
      <c r="AL1480" s="33">
        <v>28</v>
      </c>
      <c r="AM1480" s="33">
        <v>2</v>
      </c>
      <c r="AN1480" s="33">
        <v>3</v>
      </c>
      <c r="AO1480" s="33">
        <v>1</v>
      </c>
      <c r="AP1480" s="33">
        <v>0</v>
      </c>
      <c r="AQ1480" s="33">
        <v>2</v>
      </c>
      <c r="AR1480" s="33">
        <v>3</v>
      </c>
      <c r="AS1480" s="33">
        <v>8</v>
      </c>
      <c r="AT1480" s="33">
        <v>1</v>
      </c>
      <c r="AU1480" s="43">
        <v>4.7124255167673684E-2</v>
      </c>
      <c r="AV1480" s="33">
        <v>0</v>
      </c>
      <c r="AW1480" s="33">
        <v>0</v>
      </c>
      <c r="AY1480" s="36">
        <v>1452</v>
      </c>
      <c r="AZ1480" s="33">
        <v>2</v>
      </c>
      <c r="BA1480" s="33">
        <v>4</v>
      </c>
      <c r="BB1480" s="33">
        <v>0</v>
      </c>
      <c r="BC1480" s="33">
        <v>1</v>
      </c>
      <c r="BD1480" s="43">
        <v>5.5093218126976727E-2</v>
      </c>
      <c r="BE1480" s="33">
        <v>0</v>
      </c>
      <c r="BF1480" s="33">
        <v>0</v>
      </c>
      <c r="CE1480" s="36">
        <v>1446</v>
      </c>
      <c r="CF1480" s="33">
        <v>28</v>
      </c>
      <c r="CG1480" s="33">
        <v>4</v>
      </c>
      <c r="CH1480" s="33">
        <v>2</v>
      </c>
      <c r="CI1480" s="33">
        <v>2</v>
      </c>
      <c r="CJ1480" s="33">
        <v>0</v>
      </c>
      <c r="CK1480" s="33">
        <v>0</v>
      </c>
      <c r="CL1480" s="33">
        <v>1</v>
      </c>
      <c r="CM1480" s="33">
        <v>3</v>
      </c>
      <c r="CN1480" s="33">
        <v>20</v>
      </c>
      <c r="CO1480" s="33">
        <v>0</v>
      </c>
      <c r="CP1480" s="43">
        <v>1.3003869480438432E-2</v>
      </c>
      <c r="CQ1480" s="33">
        <v>0</v>
      </c>
      <c r="CR1480" s="33">
        <v>0</v>
      </c>
    </row>
    <row r="1481" spans="37:96" ht="15" customHeight="1" x14ac:dyDescent="0.25">
      <c r="AK1481" s="36">
        <v>1448</v>
      </c>
      <c r="AL1481" s="33">
        <v>15</v>
      </c>
      <c r="AM1481" s="33">
        <v>2</v>
      </c>
      <c r="AN1481" s="33">
        <v>4</v>
      </c>
      <c r="AO1481" s="33">
        <v>1</v>
      </c>
      <c r="AP1481" s="33">
        <v>0</v>
      </c>
      <c r="AQ1481" s="33">
        <v>1</v>
      </c>
      <c r="AR1481" s="33">
        <v>2</v>
      </c>
      <c r="AS1481" s="33">
        <v>15</v>
      </c>
      <c r="AT1481" s="33">
        <v>11</v>
      </c>
      <c r="AU1481" s="43">
        <v>9.0497438392484308E-2</v>
      </c>
      <c r="AV1481" s="33">
        <v>0</v>
      </c>
      <c r="AW1481" s="33">
        <v>0</v>
      </c>
      <c r="AY1481" s="36">
        <v>1453</v>
      </c>
      <c r="AZ1481" s="33">
        <v>2</v>
      </c>
      <c r="BA1481" s="33">
        <v>3</v>
      </c>
      <c r="BB1481" s="33">
        <v>0</v>
      </c>
      <c r="BC1481" s="33">
        <v>2</v>
      </c>
      <c r="BD1481" s="43">
        <v>4.4052611042036123E-2</v>
      </c>
      <c r="BE1481" s="33">
        <v>0</v>
      </c>
      <c r="BF1481" s="33">
        <v>1</v>
      </c>
      <c r="CE1481" s="36">
        <v>1447</v>
      </c>
      <c r="CF1481" s="33">
        <v>28</v>
      </c>
      <c r="CG1481" s="33">
        <v>2</v>
      </c>
      <c r="CH1481" s="33">
        <v>3</v>
      </c>
      <c r="CI1481" s="33">
        <v>2</v>
      </c>
      <c r="CJ1481" s="33">
        <v>1</v>
      </c>
      <c r="CK1481" s="33">
        <v>0</v>
      </c>
      <c r="CL1481" s="33">
        <v>2</v>
      </c>
      <c r="CM1481" s="33">
        <v>3</v>
      </c>
      <c r="CN1481" s="33">
        <v>8</v>
      </c>
      <c r="CO1481" s="33">
        <v>1</v>
      </c>
      <c r="CP1481" s="43">
        <v>6.2438450261755277E-2</v>
      </c>
      <c r="CQ1481" s="33">
        <v>0</v>
      </c>
      <c r="CR1481" s="33">
        <v>0</v>
      </c>
    </row>
    <row r="1482" spans="37:96" ht="15" customHeight="1" x14ac:dyDescent="0.25">
      <c r="AK1482" s="36">
        <v>1449</v>
      </c>
      <c r="AL1482" s="33">
        <v>3</v>
      </c>
      <c r="AM1482" s="33">
        <v>2</v>
      </c>
      <c r="AN1482" s="33">
        <v>2</v>
      </c>
      <c r="AO1482" s="33">
        <v>2</v>
      </c>
      <c r="AP1482" s="33">
        <v>0</v>
      </c>
      <c r="AQ1482" s="33">
        <v>1</v>
      </c>
      <c r="AR1482" s="33">
        <v>3</v>
      </c>
      <c r="AS1482" s="33">
        <v>5</v>
      </c>
      <c r="AT1482" s="33">
        <v>0</v>
      </c>
      <c r="AU1482" s="43">
        <v>5.724321027338479E-2</v>
      </c>
      <c r="AV1482" s="33">
        <v>0</v>
      </c>
      <c r="AW1482" s="33">
        <v>0</v>
      </c>
      <c r="AY1482" s="36">
        <v>1454</v>
      </c>
      <c r="AZ1482" s="33">
        <v>2</v>
      </c>
      <c r="BA1482" s="33">
        <v>4</v>
      </c>
      <c r="BB1482" s="33">
        <v>0</v>
      </c>
      <c r="BC1482" s="33">
        <v>1</v>
      </c>
      <c r="BD1482" s="43">
        <v>5.5093218126976727E-2</v>
      </c>
      <c r="BE1482" s="33">
        <v>0</v>
      </c>
      <c r="BF1482" s="33">
        <v>0</v>
      </c>
      <c r="CE1482" s="36">
        <v>1448</v>
      </c>
      <c r="CF1482" s="33">
        <v>15</v>
      </c>
      <c r="CG1482" s="33">
        <v>2</v>
      </c>
      <c r="CH1482" s="33">
        <v>4</v>
      </c>
      <c r="CI1482" s="33">
        <v>3</v>
      </c>
      <c r="CJ1482" s="33">
        <v>1</v>
      </c>
      <c r="CK1482" s="33">
        <v>0</v>
      </c>
      <c r="CL1482" s="33">
        <v>1</v>
      </c>
      <c r="CM1482" s="33">
        <v>2</v>
      </c>
      <c r="CN1482" s="33">
        <v>15</v>
      </c>
      <c r="CO1482" s="33">
        <v>11</v>
      </c>
      <c r="CP1482" s="43">
        <v>5.3171497722491232E-2</v>
      </c>
      <c r="CQ1482" s="33">
        <v>0</v>
      </c>
      <c r="CR1482" s="33">
        <v>0</v>
      </c>
    </row>
    <row r="1483" spans="37:96" ht="15" customHeight="1" x14ac:dyDescent="0.25">
      <c r="AK1483" s="36">
        <v>1450</v>
      </c>
      <c r="AL1483" s="33">
        <v>2</v>
      </c>
      <c r="AM1483" s="33">
        <v>1</v>
      </c>
      <c r="AN1483" s="33">
        <v>1</v>
      </c>
      <c r="AO1483" s="33">
        <v>1</v>
      </c>
      <c r="AP1483" s="33">
        <v>0</v>
      </c>
      <c r="AQ1483" s="33">
        <v>0</v>
      </c>
      <c r="AR1483" s="33">
        <v>3</v>
      </c>
      <c r="AS1483" s="33">
        <v>4</v>
      </c>
      <c r="AT1483" s="33">
        <v>1</v>
      </c>
      <c r="AU1483" s="43">
        <v>0.21033017042548596</v>
      </c>
      <c r="AV1483" s="33">
        <v>0</v>
      </c>
      <c r="AW1483" s="33">
        <v>0</v>
      </c>
      <c r="AY1483" s="36">
        <v>1455</v>
      </c>
      <c r="AZ1483" s="33">
        <v>2</v>
      </c>
      <c r="BA1483" s="33">
        <v>3</v>
      </c>
      <c r="BB1483" s="33">
        <v>0</v>
      </c>
      <c r="BC1483" s="33">
        <v>0</v>
      </c>
      <c r="BD1483" s="43">
        <v>0.11690772887050198</v>
      </c>
      <c r="BE1483" s="33">
        <v>0</v>
      </c>
      <c r="BF1483" s="33">
        <v>0</v>
      </c>
      <c r="CE1483" s="36">
        <v>1449</v>
      </c>
      <c r="CF1483" s="33">
        <v>3</v>
      </c>
      <c r="CG1483" s="33">
        <v>2</v>
      </c>
      <c r="CH1483" s="33">
        <v>2</v>
      </c>
      <c r="CI1483" s="33">
        <v>3</v>
      </c>
      <c r="CJ1483" s="33">
        <v>2</v>
      </c>
      <c r="CK1483" s="33">
        <v>0</v>
      </c>
      <c r="CL1483" s="33">
        <v>1</v>
      </c>
      <c r="CM1483" s="33">
        <v>3</v>
      </c>
      <c r="CN1483" s="33">
        <v>5</v>
      </c>
      <c r="CO1483" s="33">
        <v>0</v>
      </c>
      <c r="CP1483" s="43">
        <v>3.3060672076931065E-2</v>
      </c>
      <c r="CQ1483" s="33">
        <v>0</v>
      </c>
      <c r="CR1483" s="33">
        <v>0</v>
      </c>
    </row>
    <row r="1484" spans="37:96" ht="15" customHeight="1" x14ac:dyDescent="0.25">
      <c r="AK1484" s="36">
        <v>1451</v>
      </c>
      <c r="AL1484" s="33">
        <v>26</v>
      </c>
      <c r="AM1484" s="33">
        <v>3</v>
      </c>
      <c r="AN1484" s="33">
        <v>4</v>
      </c>
      <c r="AO1484" s="33">
        <v>1</v>
      </c>
      <c r="AP1484" s="33">
        <v>1</v>
      </c>
      <c r="AQ1484" s="33">
        <v>0</v>
      </c>
      <c r="AR1484" s="33">
        <v>3</v>
      </c>
      <c r="AS1484" s="33">
        <v>9</v>
      </c>
      <c r="AT1484" s="33">
        <v>1</v>
      </c>
      <c r="AU1484" s="43">
        <v>0.20098462346142248</v>
      </c>
      <c r="AV1484" s="33">
        <v>0</v>
      </c>
      <c r="AW1484" s="33">
        <v>0</v>
      </c>
      <c r="AY1484" s="36">
        <v>1456</v>
      </c>
      <c r="AZ1484" s="33">
        <v>1</v>
      </c>
      <c r="BA1484" s="33">
        <v>3</v>
      </c>
      <c r="BB1484" s="33">
        <v>0</v>
      </c>
      <c r="BC1484" s="33">
        <v>0</v>
      </c>
      <c r="BD1484" s="43">
        <v>0.18791247240909698</v>
      </c>
      <c r="BE1484" s="33">
        <v>0</v>
      </c>
      <c r="BF1484" s="33">
        <v>0</v>
      </c>
      <c r="CE1484" s="36">
        <v>1450</v>
      </c>
      <c r="CF1484" s="33">
        <v>2</v>
      </c>
      <c r="CG1484" s="33">
        <v>1</v>
      </c>
      <c r="CH1484" s="33">
        <v>1</v>
      </c>
      <c r="CI1484" s="33">
        <v>1</v>
      </c>
      <c r="CJ1484" s="33">
        <v>1</v>
      </c>
      <c r="CK1484" s="33">
        <v>0</v>
      </c>
      <c r="CL1484" s="33">
        <v>0</v>
      </c>
      <c r="CM1484" s="33">
        <v>3</v>
      </c>
      <c r="CN1484" s="33">
        <v>4</v>
      </c>
      <c r="CO1484" s="33">
        <v>1</v>
      </c>
      <c r="CP1484" s="43">
        <v>0.24535803996232974</v>
      </c>
      <c r="CQ1484" s="33">
        <v>0</v>
      </c>
      <c r="CR1484" s="33">
        <v>0</v>
      </c>
    </row>
    <row r="1485" spans="37:96" ht="15" customHeight="1" x14ac:dyDescent="0.25">
      <c r="AK1485" s="36">
        <v>1452</v>
      </c>
      <c r="AL1485" s="33">
        <v>10</v>
      </c>
      <c r="AM1485" s="33">
        <v>2</v>
      </c>
      <c r="AN1485" s="33">
        <v>4</v>
      </c>
      <c r="AO1485" s="33">
        <v>1</v>
      </c>
      <c r="AP1485" s="33">
        <v>0</v>
      </c>
      <c r="AQ1485" s="33">
        <v>1</v>
      </c>
      <c r="AR1485" s="33">
        <v>3</v>
      </c>
      <c r="AS1485" s="33">
        <v>10</v>
      </c>
      <c r="AT1485" s="33">
        <v>1</v>
      </c>
      <c r="AU1485" s="43">
        <v>2.9850094219346597E-2</v>
      </c>
      <c r="AV1485" s="33">
        <v>0</v>
      </c>
      <c r="AW1485" s="33">
        <v>0</v>
      </c>
      <c r="AY1485" s="36">
        <v>1457</v>
      </c>
      <c r="AZ1485" s="33">
        <v>2</v>
      </c>
      <c r="BA1485" s="33">
        <v>3</v>
      </c>
      <c r="BB1485" s="33">
        <v>1</v>
      </c>
      <c r="BC1485" s="33">
        <v>2</v>
      </c>
      <c r="BD1485" s="43">
        <v>0.16457242924360335</v>
      </c>
      <c r="BE1485" s="33">
        <v>0</v>
      </c>
      <c r="BF1485" s="33">
        <v>0</v>
      </c>
      <c r="CE1485" s="36">
        <v>1451</v>
      </c>
      <c r="CF1485" s="33">
        <v>26</v>
      </c>
      <c r="CG1485" s="33">
        <v>3</v>
      </c>
      <c r="CH1485" s="33">
        <v>4</v>
      </c>
      <c r="CI1485" s="33">
        <v>1</v>
      </c>
      <c r="CJ1485" s="33">
        <v>1</v>
      </c>
      <c r="CK1485" s="33">
        <v>1</v>
      </c>
      <c r="CL1485" s="33">
        <v>0</v>
      </c>
      <c r="CM1485" s="33">
        <v>3</v>
      </c>
      <c r="CN1485" s="33">
        <v>9</v>
      </c>
      <c r="CO1485" s="33">
        <v>1</v>
      </c>
      <c r="CP1485" s="43">
        <v>0.23454092509246202</v>
      </c>
      <c r="CQ1485" s="33">
        <v>0</v>
      </c>
      <c r="CR1485" s="33">
        <v>0</v>
      </c>
    </row>
    <row r="1486" spans="37:96" ht="15" customHeight="1" x14ac:dyDescent="0.25">
      <c r="AK1486" s="36">
        <v>1453</v>
      </c>
      <c r="AL1486" s="33">
        <v>1</v>
      </c>
      <c r="AM1486" s="33">
        <v>2</v>
      </c>
      <c r="AN1486" s="33">
        <v>3</v>
      </c>
      <c r="AO1486" s="33">
        <v>7</v>
      </c>
      <c r="AP1486" s="33">
        <v>0</v>
      </c>
      <c r="AQ1486" s="33">
        <v>2</v>
      </c>
      <c r="AR1486" s="33">
        <v>3</v>
      </c>
      <c r="AS1486" s="33">
        <v>6</v>
      </c>
      <c r="AT1486" s="33">
        <v>0</v>
      </c>
      <c r="AU1486" s="43">
        <v>3.2923448766681442E-2</v>
      </c>
      <c r="AV1486" s="33">
        <v>0</v>
      </c>
      <c r="AW1486" s="33">
        <v>1</v>
      </c>
      <c r="AY1486" s="36">
        <v>1458</v>
      </c>
      <c r="AZ1486" s="33">
        <v>1</v>
      </c>
      <c r="BA1486" s="33">
        <v>3</v>
      </c>
      <c r="BB1486" s="33">
        <v>0</v>
      </c>
      <c r="BC1486" s="33">
        <v>3</v>
      </c>
      <c r="BD1486" s="43">
        <v>4.5366993313288043E-2</v>
      </c>
      <c r="BE1486" s="33">
        <v>0</v>
      </c>
      <c r="BF1486" s="33">
        <v>0</v>
      </c>
      <c r="CE1486" s="36">
        <v>1452</v>
      </c>
      <c r="CF1486" s="33">
        <v>10</v>
      </c>
      <c r="CG1486" s="33">
        <v>2</v>
      </c>
      <c r="CH1486" s="33">
        <v>4</v>
      </c>
      <c r="CI1486" s="33">
        <v>2</v>
      </c>
      <c r="CJ1486" s="33">
        <v>1</v>
      </c>
      <c r="CK1486" s="33">
        <v>0</v>
      </c>
      <c r="CL1486" s="33">
        <v>1</v>
      </c>
      <c r="CM1486" s="33">
        <v>3</v>
      </c>
      <c r="CN1486" s="33">
        <v>10</v>
      </c>
      <c r="CO1486" s="33">
        <v>1</v>
      </c>
      <c r="CP1486" s="43">
        <v>2.8158947692941826E-2</v>
      </c>
      <c r="CQ1486" s="33">
        <v>0</v>
      </c>
      <c r="CR1486" s="33">
        <v>0</v>
      </c>
    </row>
    <row r="1487" spans="37:96" ht="15" customHeight="1" x14ac:dyDescent="0.25">
      <c r="AK1487" s="36">
        <v>1454</v>
      </c>
      <c r="AL1487" s="33">
        <v>11</v>
      </c>
      <c r="AM1487" s="33">
        <v>2</v>
      </c>
      <c r="AN1487" s="33">
        <v>4</v>
      </c>
      <c r="AO1487" s="33">
        <v>4</v>
      </c>
      <c r="AP1487" s="33">
        <v>0</v>
      </c>
      <c r="AQ1487" s="33">
        <v>1</v>
      </c>
      <c r="AR1487" s="33">
        <v>2</v>
      </c>
      <c r="AS1487" s="33">
        <v>6</v>
      </c>
      <c r="AT1487" s="33">
        <v>0</v>
      </c>
      <c r="AU1487" s="43">
        <v>5.797297004114367E-2</v>
      </c>
      <c r="AV1487" s="33">
        <v>0</v>
      </c>
      <c r="AW1487" s="33">
        <v>0</v>
      </c>
      <c r="AY1487" s="36">
        <v>1459</v>
      </c>
      <c r="AZ1487" s="33">
        <v>1</v>
      </c>
      <c r="BA1487" s="33">
        <v>4</v>
      </c>
      <c r="BB1487" s="33">
        <v>0</v>
      </c>
      <c r="BC1487" s="33">
        <v>1</v>
      </c>
      <c r="BD1487" s="43">
        <v>9.2486413274924434E-2</v>
      </c>
      <c r="BE1487" s="33">
        <v>0</v>
      </c>
      <c r="BF1487" s="33">
        <v>0</v>
      </c>
      <c r="CE1487" s="36">
        <v>1453</v>
      </c>
      <c r="CF1487" s="33">
        <v>1</v>
      </c>
      <c r="CG1487" s="33">
        <v>2</v>
      </c>
      <c r="CH1487" s="33">
        <v>3</v>
      </c>
      <c r="CI1487" s="33">
        <v>3</v>
      </c>
      <c r="CJ1487" s="33">
        <v>7</v>
      </c>
      <c r="CK1487" s="33">
        <v>0</v>
      </c>
      <c r="CL1487" s="33">
        <v>2</v>
      </c>
      <c r="CM1487" s="33">
        <v>3</v>
      </c>
      <c r="CN1487" s="33">
        <v>6</v>
      </c>
      <c r="CO1487" s="33">
        <v>0</v>
      </c>
      <c r="CP1487" s="43">
        <v>2.6057697109343071E-2</v>
      </c>
      <c r="CQ1487" s="33">
        <v>0</v>
      </c>
      <c r="CR1487" s="33">
        <v>1</v>
      </c>
    </row>
    <row r="1488" spans="37:96" ht="15" customHeight="1" x14ac:dyDescent="0.25">
      <c r="AK1488" s="36">
        <v>1455</v>
      </c>
      <c r="AL1488" s="33">
        <v>20</v>
      </c>
      <c r="AM1488" s="33">
        <v>2</v>
      </c>
      <c r="AN1488" s="33">
        <v>3</v>
      </c>
      <c r="AO1488" s="33">
        <v>8</v>
      </c>
      <c r="AP1488" s="33">
        <v>0</v>
      </c>
      <c r="AQ1488" s="33">
        <v>0</v>
      </c>
      <c r="AR1488" s="33">
        <v>3</v>
      </c>
      <c r="AS1488" s="33">
        <v>5</v>
      </c>
      <c r="AT1488" s="33">
        <v>0</v>
      </c>
      <c r="AU1488" s="43">
        <v>0.18989905230336812</v>
      </c>
      <c r="AV1488" s="33">
        <v>0</v>
      </c>
      <c r="AW1488" s="33">
        <v>0</v>
      </c>
      <c r="AY1488" s="36">
        <v>1460</v>
      </c>
      <c r="AZ1488" s="33">
        <v>2</v>
      </c>
      <c r="BA1488" s="33">
        <v>2</v>
      </c>
      <c r="BB1488" s="33">
        <v>1</v>
      </c>
      <c r="BC1488" s="33">
        <v>1</v>
      </c>
      <c r="BD1488" s="43">
        <v>0.30904710588370227</v>
      </c>
      <c r="BE1488" s="33">
        <v>0</v>
      </c>
      <c r="BF1488" s="33">
        <v>0</v>
      </c>
      <c r="CE1488" s="36">
        <v>1454</v>
      </c>
      <c r="CF1488" s="33">
        <v>11</v>
      </c>
      <c r="CG1488" s="33">
        <v>2</v>
      </c>
      <c r="CH1488" s="33">
        <v>4</v>
      </c>
      <c r="CI1488" s="33">
        <v>2</v>
      </c>
      <c r="CJ1488" s="33">
        <v>4</v>
      </c>
      <c r="CK1488" s="33">
        <v>0</v>
      </c>
      <c r="CL1488" s="33">
        <v>1</v>
      </c>
      <c r="CM1488" s="33">
        <v>2</v>
      </c>
      <c r="CN1488" s="33">
        <v>6</v>
      </c>
      <c r="CO1488" s="33">
        <v>0</v>
      </c>
      <c r="CP1488" s="43">
        <v>5.5801709289332591E-2</v>
      </c>
      <c r="CQ1488" s="33">
        <v>0</v>
      </c>
      <c r="CR1488" s="33">
        <v>0</v>
      </c>
    </row>
    <row r="1489" spans="37:96" ht="15" customHeight="1" x14ac:dyDescent="0.25">
      <c r="AK1489" s="36">
        <v>1456</v>
      </c>
      <c r="AL1489" s="33">
        <v>2</v>
      </c>
      <c r="AM1489" s="33">
        <v>1</v>
      </c>
      <c r="AN1489" s="33">
        <v>3</v>
      </c>
      <c r="AO1489" s="33">
        <v>2</v>
      </c>
      <c r="AP1489" s="33">
        <v>0</v>
      </c>
      <c r="AQ1489" s="33">
        <v>0</v>
      </c>
      <c r="AR1489" s="33">
        <v>3</v>
      </c>
      <c r="AS1489" s="33">
        <v>2</v>
      </c>
      <c r="AT1489" s="33">
        <v>2</v>
      </c>
      <c r="AU1489" s="43">
        <v>0.17286719970249392</v>
      </c>
      <c r="AV1489" s="33">
        <v>0</v>
      </c>
      <c r="AW1489" s="33">
        <v>0</v>
      </c>
      <c r="AY1489" s="36">
        <v>1461</v>
      </c>
      <c r="AZ1489" s="33">
        <v>1</v>
      </c>
      <c r="BA1489" s="33">
        <v>1</v>
      </c>
      <c r="BB1489" s="33">
        <v>0</v>
      </c>
      <c r="BC1489" s="33">
        <v>0</v>
      </c>
      <c r="BD1489" s="43">
        <v>0.29341085656570393</v>
      </c>
      <c r="BE1489" s="33">
        <v>0</v>
      </c>
      <c r="BF1489" s="33">
        <v>0</v>
      </c>
      <c r="CE1489" s="36">
        <v>1455</v>
      </c>
      <c r="CF1489" s="33">
        <v>20</v>
      </c>
      <c r="CG1489" s="33">
        <v>2</v>
      </c>
      <c r="CH1489" s="33">
        <v>3</v>
      </c>
      <c r="CI1489" s="33">
        <v>1</v>
      </c>
      <c r="CJ1489" s="33">
        <v>8</v>
      </c>
      <c r="CK1489" s="33">
        <v>0</v>
      </c>
      <c r="CL1489" s="33">
        <v>0</v>
      </c>
      <c r="CM1489" s="33">
        <v>3</v>
      </c>
      <c r="CN1489" s="33">
        <v>5</v>
      </c>
      <c r="CO1489" s="33">
        <v>0</v>
      </c>
      <c r="CP1489" s="43">
        <v>0.21838799013251853</v>
      </c>
      <c r="CQ1489" s="33">
        <v>0</v>
      </c>
      <c r="CR1489" s="33">
        <v>0</v>
      </c>
    </row>
    <row r="1490" spans="37:96" ht="15" customHeight="1" x14ac:dyDescent="0.25">
      <c r="AK1490" s="36">
        <v>1457</v>
      </c>
      <c r="AL1490" s="33">
        <v>18</v>
      </c>
      <c r="AM1490" s="33">
        <v>2</v>
      </c>
      <c r="AN1490" s="33">
        <v>3</v>
      </c>
      <c r="AO1490" s="33">
        <v>1</v>
      </c>
      <c r="AP1490" s="33">
        <v>1</v>
      </c>
      <c r="AQ1490" s="33">
        <v>2</v>
      </c>
      <c r="AR1490" s="33">
        <v>4</v>
      </c>
      <c r="AS1490" s="33">
        <v>10</v>
      </c>
      <c r="AT1490" s="33">
        <v>0</v>
      </c>
      <c r="AU1490" s="43">
        <v>8.6442141192101848E-2</v>
      </c>
      <c r="AV1490" s="33">
        <v>0</v>
      </c>
      <c r="AW1490" s="33">
        <v>0</v>
      </c>
      <c r="AY1490" s="36">
        <v>1462</v>
      </c>
      <c r="AZ1490" s="33">
        <v>3</v>
      </c>
      <c r="BA1490" s="33">
        <v>1</v>
      </c>
      <c r="BB1490" s="33">
        <v>1</v>
      </c>
      <c r="BC1490" s="33">
        <v>1</v>
      </c>
      <c r="BD1490" s="43">
        <v>0.25528659551539534</v>
      </c>
      <c r="BE1490" s="33">
        <v>0</v>
      </c>
      <c r="BF1490" s="33">
        <v>1</v>
      </c>
      <c r="CE1490" s="36">
        <v>1456</v>
      </c>
      <c r="CF1490" s="33">
        <v>2</v>
      </c>
      <c r="CG1490" s="33">
        <v>1</v>
      </c>
      <c r="CH1490" s="33">
        <v>3</v>
      </c>
      <c r="CI1490" s="33">
        <v>1</v>
      </c>
      <c r="CJ1490" s="33">
        <v>2</v>
      </c>
      <c r="CK1490" s="33">
        <v>0</v>
      </c>
      <c r="CL1490" s="33">
        <v>0</v>
      </c>
      <c r="CM1490" s="33">
        <v>3</v>
      </c>
      <c r="CN1490" s="33">
        <v>2</v>
      </c>
      <c r="CO1490" s="33">
        <v>2</v>
      </c>
      <c r="CP1490" s="43">
        <v>0.19827740371421584</v>
      </c>
      <c r="CQ1490" s="33">
        <v>0</v>
      </c>
      <c r="CR1490" s="33">
        <v>0</v>
      </c>
    </row>
    <row r="1491" spans="37:96" ht="15" customHeight="1" x14ac:dyDescent="0.25">
      <c r="AK1491" s="36">
        <v>1458</v>
      </c>
      <c r="AL1491" s="33">
        <v>2</v>
      </c>
      <c r="AM1491" s="33">
        <v>1</v>
      </c>
      <c r="AN1491" s="33">
        <v>3</v>
      </c>
      <c r="AO1491" s="33">
        <v>2</v>
      </c>
      <c r="AP1491" s="33">
        <v>0</v>
      </c>
      <c r="AQ1491" s="33">
        <v>3</v>
      </c>
      <c r="AR1491" s="33">
        <v>3</v>
      </c>
      <c r="AS1491" s="33">
        <v>5</v>
      </c>
      <c r="AT1491" s="33">
        <v>0</v>
      </c>
      <c r="AU1491" s="43">
        <v>2.3896746740673488E-2</v>
      </c>
      <c r="AV1491" s="33">
        <v>0</v>
      </c>
      <c r="AW1491" s="33">
        <v>0</v>
      </c>
      <c r="AY1491" s="36">
        <v>1463</v>
      </c>
      <c r="AZ1491" s="33">
        <v>4</v>
      </c>
      <c r="BA1491" s="33">
        <v>4</v>
      </c>
      <c r="BB1491" s="33">
        <v>0</v>
      </c>
      <c r="BC1491" s="33">
        <v>1</v>
      </c>
      <c r="BD1491" s="43">
        <v>1.872698143618769E-2</v>
      </c>
      <c r="BE1491" s="33">
        <v>0</v>
      </c>
      <c r="BF1491" s="33">
        <v>0</v>
      </c>
      <c r="CE1491" s="36">
        <v>1457</v>
      </c>
      <c r="CF1491" s="33">
        <v>18</v>
      </c>
      <c r="CG1491" s="33">
        <v>2</v>
      </c>
      <c r="CH1491" s="33">
        <v>3</v>
      </c>
      <c r="CI1491" s="33">
        <v>2</v>
      </c>
      <c r="CJ1491" s="33">
        <v>1</v>
      </c>
      <c r="CK1491" s="33">
        <v>1</v>
      </c>
      <c r="CL1491" s="33">
        <v>2</v>
      </c>
      <c r="CM1491" s="33">
        <v>4</v>
      </c>
      <c r="CN1491" s="33">
        <v>10</v>
      </c>
      <c r="CO1491" s="33">
        <v>0</v>
      </c>
      <c r="CP1491" s="43">
        <v>0.11535527611788472</v>
      </c>
      <c r="CQ1491" s="33">
        <v>0</v>
      </c>
      <c r="CR1491" s="33">
        <v>0</v>
      </c>
    </row>
    <row r="1492" spans="37:96" ht="15" customHeight="1" x14ac:dyDescent="0.25">
      <c r="AK1492" s="36">
        <v>1459</v>
      </c>
      <c r="AL1492" s="33">
        <v>1</v>
      </c>
      <c r="AM1492" s="33">
        <v>1</v>
      </c>
      <c r="AN1492" s="33">
        <v>4</v>
      </c>
      <c r="AO1492" s="33">
        <v>1</v>
      </c>
      <c r="AP1492" s="33">
        <v>0</v>
      </c>
      <c r="AQ1492" s="33">
        <v>1</v>
      </c>
      <c r="AR1492" s="33">
        <v>3</v>
      </c>
      <c r="AS1492" s="33">
        <v>4</v>
      </c>
      <c r="AT1492" s="33">
        <v>1</v>
      </c>
      <c r="AU1492" s="43">
        <v>5.7336377345890276E-2</v>
      </c>
      <c r="AV1492" s="33">
        <v>0</v>
      </c>
      <c r="AW1492" s="33">
        <v>0</v>
      </c>
      <c r="AY1492" s="36">
        <v>1464</v>
      </c>
      <c r="AZ1492" s="33">
        <v>2</v>
      </c>
      <c r="BA1492" s="33">
        <v>1</v>
      </c>
      <c r="BB1492" s="33">
        <v>0</v>
      </c>
      <c r="BC1492" s="33">
        <v>0</v>
      </c>
      <c r="BD1492" s="43">
        <v>0.19196561144667343</v>
      </c>
      <c r="BE1492" s="33">
        <v>0</v>
      </c>
      <c r="BF1492" s="33">
        <v>0</v>
      </c>
      <c r="CE1492" s="36">
        <v>1458</v>
      </c>
      <c r="CF1492" s="33">
        <v>2</v>
      </c>
      <c r="CG1492" s="33">
        <v>1</v>
      </c>
      <c r="CH1492" s="33">
        <v>3</v>
      </c>
      <c r="CI1492" s="33">
        <v>2</v>
      </c>
      <c r="CJ1492" s="33">
        <v>2</v>
      </c>
      <c r="CK1492" s="33">
        <v>0</v>
      </c>
      <c r="CL1492" s="33">
        <v>3</v>
      </c>
      <c r="CM1492" s="33">
        <v>3</v>
      </c>
      <c r="CN1492" s="33">
        <v>5</v>
      </c>
      <c r="CO1492" s="33">
        <v>0</v>
      </c>
      <c r="CP1492" s="43">
        <v>4.4302916917296514E-2</v>
      </c>
      <c r="CQ1492" s="33">
        <v>0</v>
      </c>
      <c r="CR1492" s="33">
        <v>0</v>
      </c>
    </row>
    <row r="1493" spans="37:96" ht="15" customHeight="1" x14ac:dyDescent="0.25">
      <c r="AK1493" s="36">
        <v>1460</v>
      </c>
      <c r="AL1493" s="33">
        <v>13</v>
      </c>
      <c r="AM1493" s="33">
        <v>2</v>
      </c>
      <c r="AN1493" s="33">
        <v>2</v>
      </c>
      <c r="AO1493" s="33">
        <v>4</v>
      </c>
      <c r="AP1493" s="33">
        <v>1</v>
      </c>
      <c r="AQ1493" s="33">
        <v>1</v>
      </c>
      <c r="AR1493" s="33">
        <v>3</v>
      </c>
      <c r="AS1493" s="33">
        <v>4</v>
      </c>
      <c r="AT1493" s="33">
        <v>0</v>
      </c>
      <c r="AU1493" s="43">
        <v>0.32087064729335996</v>
      </c>
      <c r="AV1493" s="33">
        <v>0</v>
      </c>
      <c r="AW1493" s="33">
        <v>0</v>
      </c>
      <c r="AY1493" s="36">
        <v>1465</v>
      </c>
      <c r="AZ1493" s="33">
        <v>1</v>
      </c>
      <c r="BA1493" s="33">
        <v>3</v>
      </c>
      <c r="BB1493" s="33">
        <v>0</v>
      </c>
      <c r="BC1493" s="33">
        <v>0</v>
      </c>
      <c r="BD1493" s="43">
        <v>0.18791247240909698</v>
      </c>
      <c r="BE1493" s="33">
        <v>0</v>
      </c>
      <c r="BF1493" s="33">
        <v>0</v>
      </c>
      <c r="CE1493" s="36">
        <v>1459</v>
      </c>
      <c r="CF1493" s="33">
        <v>1</v>
      </c>
      <c r="CG1493" s="33">
        <v>1</v>
      </c>
      <c r="CH1493" s="33">
        <v>4</v>
      </c>
      <c r="CI1493" s="33">
        <v>2</v>
      </c>
      <c r="CJ1493" s="33">
        <v>1</v>
      </c>
      <c r="CK1493" s="33">
        <v>0</v>
      </c>
      <c r="CL1493" s="33">
        <v>1</v>
      </c>
      <c r="CM1493" s="33">
        <v>3</v>
      </c>
      <c r="CN1493" s="33">
        <v>4</v>
      </c>
      <c r="CO1493" s="33">
        <v>1</v>
      </c>
      <c r="CP1493" s="43">
        <v>5.3898756439651037E-2</v>
      </c>
      <c r="CQ1493" s="33">
        <v>0</v>
      </c>
      <c r="CR1493" s="33">
        <v>0</v>
      </c>
    </row>
    <row r="1494" spans="37:96" ht="15" customHeight="1" x14ac:dyDescent="0.25">
      <c r="AK1494" s="36">
        <v>1461</v>
      </c>
      <c r="AL1494" s="33">
        <v>28</v>
      </c>
      <c r="AM1494" s="33">
        <v>1</v>
      </c>
      <c r="AN1494" s="33">
        <v>1</v>
      </c>
      <c r="AO1494" s="33">
        <v>1</v>
      </c>
      <c r="AP1494" s="33">
        <v>0</v>
      </c>
      <c r="AQ1494" s="33">
        <v>0</v>
      </c>
      <c r="AR1494" s="33">
        <v>1</v>
      </c>
      <c r="AS1494" s="33">
        <v>5</v>
      </c>
      <c r="AT1494" s="33">
        <v>0</v>
      </c>
      <c r="AU1494" s="43">
        <v>0.45790582063955348</v>
      </c>
      <c r="AV1494" s="33">
        <v>0</v>
      </c>
      <c r="AW1494" s="33">
        <v>0</v>
      </c>
      <c r="AY1494" s="36">
        <v>1466</v>
      </c>
      <c r="AZ1494" s="33">
        <v>2</v>
      </c>
      <c r="BA1494" s="33">
        <v>4</v>
      </c>
      <c r="BB1494" s="33">
        <v>0</v>
      </c>
      <c r="BC1494" s="33">
        <v>1</v>
      </c>
      <c r="BD1494" s="43">
        <v>5.5093218126976727E-2</v>
      </c>
      <c r="BE1494" s="33">
        <v>0</v>
      </c>
      <c r="BF1494" s="33">
        <v>0</v>
      </c>
      <c r="CE1494" s="36">
        <v>1460</v>
      </c>
      <c r="CF1494" s="33">
        <v>13</v>
      </c>
      <c r="CG1494" s="33">
        <v>2</v>
      </c>
      <c r="CH1494" s="33">
        <v>2</v>
      </c>
      <c r="CI1494" s="33">
        <v>2</v>
      </c>
      <c r="CJ1494" s="33">
        <v>4</v>
      </c>
      <c r="CK1494" s="33">
        <v>1</v>
      </c>
      <c r="CL1494" s="33">
        <v>1</v>
      </c>
      <c r="CM1494" s="33">
        <v>3</v>
      </c>
      <c r="CN1494" s="33">
        <v>4</v>
      </c>
      <c r="CO1494" s="33">
        <v>0</v>
      </c>
      <c r="CP1494" s="43">
        <v>0.32537632790098614</v>
      </c>
      <c r="CQ1494" s="33">
        <v>0</v>
      </c>
      <c r="CR1494" s="33">
        <v>0</v>
      </c>
    </row>
    <row r="1495" spans="37:96" ht="15" customHeight="1" x14ac:dyDescent="0.25">
      <c r="AK1495" s="36">
        <v>1462</v>
      </c>
      <c r="AL1495" s="33">
        <v>28</v>
      </c>
      <c r="AM1495" s="33">
        <v>3</v>
      </c>
      <c r="AN1495" s="33">
        <v>1</v>
      </c>
      <c r="AO1495" s="33">
        <v>4</v>
      </c>
      <c r="AP1495" s="33">
        <v>1</v>
      </c>
      <c r="AQ1495" s="33">
        <v>1</v>
      </c>
      <c r="AR1495" s="33">
        <v>3</v>
      </c>
      <c r="AS1495" s="33">
        <v>3</v>
      </c>
      <c r="AT1495" s="33">
        <v>2</v>
      </c>
      <c r="AU1495" s="43">
        <v>0.44868599215028221</v>
      </c>
      <c r="AV1495" s="33">
        <v>0</v>
      </c>
      <c r="AW1495" s="33">
        <v>1</v>
      </c>
      <c r="AY1495" s="36">
        <v>1467</v>
      </c>
      <c r="AZ1495" s="33">
        <v>3</v>
      </c>
      <c r="BA1495" s="33">
        <v>1</v>
      </c>
      <c r="BB1495" s="33">
        <v>0</v>
      </c>
      <c r="BC1495" s="33">
        <v>1</v>
      </c>
      <c r="BD1495" s="43">
        <v>7.4238208059117641E-2</v>
      </c>
      <c r="BE1495" s="33">
        <v>0</v>
      </c>
      <c r="BF1495" s="33">
        <v>0</v>
      </c>
      <c r="CE1495" s="36">
        <v>1461</v>
      </c>
      <c r="CF1495" s="33">
        <v>28</v>
      </c>
      <c r="CG1495" s="33">
        <v>1</v>
      </c>
      <c r="CH1495" s="33">
        <v>1</v>
      </c>
      <c r="CI1495" s="33">
        <v>1</v>
      </c>
      <c r="CJ1495" s="33">
        <v>1</v>
      </c>
      <c r="CK1495" s="33">
        <v>0</v>
      </c>
      <c r="CL1495" s="33">
        <v>0</v>
      </c>
      <c r="CM1495" s="33">
        <v>1</v>
      </c>
      <c r="CN1495" s="33">
        <v>5</v>
      </c>
      <c r="CO1495" s="33">
        <v>0</v>
      </c>
      <c r="CP1495" s="43">
        <v>0.51286362808610031</v>
      </c>
      <c r="CQ1495" s="33">
        <v>1</v>
      </c>
      <c r="CR1495" s="33">
        <v>0</v>
      </c>
    </row>
    <row r="1496" spans="37:96" ht="15" customHeight="1" x14ac:dyDescent="0.25">
      <c r="AK1496" s="36">
        <v>1463</v>
      </c>
      <c r="AL1496" s="33">
        <v>24</v>
      </c>
      <c r="AM1496" s="33">
        <v>4</v>
      </c>
      <c r="AN1496" s="33">
        <v>4</v>
      </c>
      <c r="AO1496" s="33">
        <v>0</v>
      </c>
      <c r="AP1496" s="33">
        <v>0</v>
      </c>
      <c r="AQ1496" s="33">
        <v>1</v>
      </c>
      <c r="AR1496" s="33">
        <v>2</v>
      </c>
      <c r="AS1496" s="33">
        <v>20</v>
      </c>
      <c r="AT1496" s="33">
        <v>9</v>
      </c>
      <c r="AU1496" s="43">
        <v>2.2330312776057723E-2</v>
      </c>
      <c r="AV1496" s="33">
        <v>0</v>
      </c>
      <c r="AW1496" s="33">
        <v>0</v>
      </c>
      <c r="AY1496" s="36">
        <v>1468</v>
      </c>
      <c r="AZ1496" s="33">
        <v>2</v>
      </c>
      <c r="BA1496" s="33">
        <v>2</v>
      </c>
      <c r="BB1496" s="33">
        <v>1</v>
      </c>
      <c r="BC1496" s="33">
        <v>1</v>
      </c>
      <c r="BD1496" s="43">
        <v>0.30904710588370227</v>
      </c>
      <c r="BE1496" s="33">
        <v>0</v>
      </c>
      <c r="BF1496" s="33">
        <v>0</v>
      </c>
      <c r="CE1496" s="36">
        <v>1462</v>
      </c>
      <c r="CF1496" s="33">
        <v>28</v>
      </c>
      <c r="CG1496" s="33">
        <v>3</v>
      </c>
      <c r="CH1496" s="33">
        <v>1</v>
      </c>
      <c r="CI1496" s="33">
        <v>3</v>
      </c>
      <c r="CJ1496" s="33">
        <v>4</v>
      </c>
      <c r="CK1496" s="33">
        <v>1</v>
      </c>
      <c r="CL1496" s="33">
        <v>1</v>
      </c>
      <c r="CM1496" s="33">
        <v>3</v>
      </c>
      <c r="CN1496" s="33">
        <v>3</v>
      </c>
      <c r="CO1496" s="33">
        <v>2</v>
      </c>
      <c r="CP1496" s="43">
        <v>0.33002991643920043</v>
      </c>
      <c r="CQ1496" s="33">
        <v>0</v>
      </c>
      <c r="CR1496" s="33">
        <v>1</v>
      </c>
    </row>
    <row r="1497" spans="37:96" ht="15" customHeight="1" x14ac:dyDescent="0.25">
      <c r="AK1497" s="36">
        <v>1464</v>
      </c>
      <c r="AL1497" s="33">
        <v>5</v>
      </c>
      <c r="AM1497" s="33">
        <v>2</v>
      </c>
      <c r="AN1497" s="33">
        <v>1</v>
      </c>
      <c r="AO1497" s="33">
        <v>0</v>
      </c>
      <c r="AP1497" s="33">
        <v>0</v>
      </c>
      <c r="AQ1497" s="33">
        <v>0</v>
      </c>
      <c r="AR1497" s="33">
        <v>3</v>
      </c>
      <c r="AS1497" s="33">
        <v>9</v>
      </c>
      <c r="AT1497" s="33">
        <v>1</v>
      </c>
      <c r="AU1497" s="43">
        <v>9.8134768014258217E-2</v>
      </c>
      <c r="AV1497" s="33">
        <v>0</v>
      </c>
      <c r="AW1497" s="33">
        <v>0</v>
      </c>
      <c r="AY1497" s="36">
        <v>1469</v>
      </c>
      <c r="AZ1497" s="33">
        <v>2</v>
      </c>
      <c r="BA1497" s="33">
        <v>2</v>
      </c>
      <c r="BB1497" s="33">
        <v>0</v>
      </c>
      <c r="BC1497" s="33">
        <v>0</v>
      </c>
      <c r="BD1497" s="43">
        <v>0.15063023792355215</v>
      </c>
      <c r="BE1497" s="33">
        <v>0</v>
      </c>
      <c r="BF1497" s="33">
        <v>0</v>
      </c>
      <c r="CE1497" s="36">
        <v>1463</v>
      </c>
      <c r="CF1497" s="33">
        <v>24</v>
      </c>
      <c r="CG1497" s="33">
        <v>4</v>
      </c>
      <c r="CH1497" s="33">
        <v>4</v>
      </c>
      <c r="CI1497" s="33">
        <v>2</v>
      </c>
      <c r="CJ1497" s="33">
        <v>0</v>
      </c>
      <c r="CK1497" s="33">
        <v>0</v>
      </c>
      <c r="CL1497" s="33">
        <v>1</v>
      </c>
      <c r="CM1497" s="33">
        <v>2</v>
      </c>
      <c r="CN1497" s="33">
        <v>20</v>
      </c>
      <c r="CO1497" s="33">
        <v>9</v>
      </c>
      <c r="CP1497" s="43">
        <v>2.2154228340865757E-2</v>
      </c>
      <c r="CQ1497" s="33">
        <v>0</v>
      </c>
      <c r="CR1497" s="33">
        <v>0</v>
      </c>
    </row>
    <row r="1498" spans="37:96" ht="15" customHeight="1" x14ac:dyDescent="0.25">
      <c r="AK1498" s="36">
        <v>1465</v>
      </c>
      <c r="AL1498" s="33">
        <v>5</v>
      </c>
      <c r="AM1498" s="33">
        <v>1</v>
      </c>
      <c r="AN1498" s="33">
        <v>3</v>
      </c>
      <c r="AO1498" s="33">
        <v>0</v>
      </c>
      <c r="AP1498" s="33">
        <v>0</v>
      </c>
      <c r="AQ1498" s="33">
        <v>0</v>
      </c>
      <c r="AR1498" s="33">
        <v>3</v>
      </c>
      <c r="AS1498" s="33">
        <v>4</v>
      </c>
      <c r="AT1498" s="33">
        <v>0</v>
      </c>
      <c r="AU1498" s="43">
        <v>0.11884467835126139</v>
      </c>
      <c r="AV1498" s="33">
        <v>0</v>
      </c>
      <c r="AW1498" s="33">
        <v>0</v>
      </c>
      <c r="AY1498" s="36">
        <v>1470</v>
      </c>
      <c r="AZ1498" s="33">
        <v>2</v>
      </c>
      <c r="BA1498" s="33">
        <v>3</v>
      </c>
      <c r="BB1498" s="33">
        <v>0</v>
      </c>
      <c r="BC1498" s="33">
        <v>0</v>
      </c>
      <c r="BD1498" s="43">
        <v>0.11690772887050198</v>
      </c>
      <c r="BE1498" s="33">
        <v>0</v>
      </c>
      <c r="BF1498" s="33">
        <v>0</v>
      </c>
      <c r="CE1498" s="36">
        <v>1464</v>
      </c>
      <c r="CF1498" s="33">
        <v>5</v>
      </c>
      <c r="CG1498" s="33">
        <v>2</v>
      </c>
      <c r="CH1498" s="33">
        <v>1</v>
      </c>
      <c r="CI1498" s="33">
        <v>1</v>
      </c>
      <c r="CJ1498" s="33">
        <v>0</v>
      </c>
      <c r="CK1498" s="33">
        <v>0</v>
      </c>
      <c r="CL1498" s="33">
        <v>0</v>
      </c>
      <c r="CM1498" s="33">
        <v>3</v>
      </c>
      <c r="CN1498" s="33">
        <v>9</v>
      </c>
      <c r="CO1498" s="33">
        <v>1</v>
      </c>
      <c r="CP1498" s="43">
        <v>0.11790490865152704</v>
      </c>
      <c r="CQ1498" s="33">
        <v>0</v>
      </c>
      <c r="CR1498" s="33">
        <v>0</v>
      </c>
    </row>
    <row r="1499" spans="37:96" ht="15" customHeight="1" x14ac:dyDescent="0.25">
      <c r="AK1499" s="36">
        <v>1466</v>
      </c>
      <c r="AL1499" s="33">
        <v>23</v>
      </c>
      <c r="AM1499" s="33">
        <v>2</v>
      </c>
      <c r="AN1499" s="33">
        <v>4</v>
      </c>
      <c r="AO1499" s="33">
        <v>4</v>
      </c>
      <c r="AP1499" s="33">
        <v>0</v>
      </c>
      <c r="AQ1499" s="33">
        <v>1</v>
      </c>
      <c r="AR1499" s="33">
        <v>3</v>
      </c>
      <c r="AS1499" s="33">
        <v>5</v>
      </c>
      <c r="AT1499" s="33">
        <v>0</v>
      </c>
      <c r="AU1499" s="43">
        <v>7.2772967063221075E-2</v>
      </c>
      <c r="AV1499" s="33">
        <v>0</v>
      </c>
      <c r="AW1499" s="33">
        <v>0</v>
      </c>
      <c r="CE1499" s="36">
        <v>1465</v>
      </c>
      <c r="CF1499" s="33">
        <v>5</v>
      </c>
      <c r="CG1499" s="33">
        <v>1</v>
      </c>
      <c r="CH1499" s="33">
        <v>3</v>
      </c>
      <c r="CI1499" s="33">
        <v>1</v>
      </c>
      <c r="CJ1499" s="33">
        <v>0</v>
      </c>
      <c r="CK1499" s="33">
        <v>0</v>
      </c>
      <c r="CL1499" s="33">
        <v>0</v>
      </c>
      <c r="CM1499" s="33">
        <v>3</v>
      </c>
      <c r="CN1499" s="33">
        <v>4</v>
      </c>
      <c r="CO1499" s="33">
        <v>0</v>
      </c>
      <c r="CP1499" s="43">
        <v>0.13632841075730484</v>
      </c>
      <c r="CQ1499" s="33">
        <v>0</v>
      </c>
      <c r="CR1499" s="33">
        <v>0</v>
      </c>
    </row>
    <row r="1500" spans="37:96" ht="15" customHeight="1" x14ac:dyDescent="0.25">
      <c r="AK1500" s="36">
        <v>1467</v>
      </c>
      <c r="AL1500" s="33">
        <v>6</v>
      </c>
      <c r="AM1500" s="33">
        <v>3</v>
      </c>
      <c r="AN1500" s="33">
        <v>1</v>
      </c>
      <c r="AO1500" s="33">
        <v>4</v>
      </c>
      <c r="AP1500" s="33">
        <v>0</v>
      </c>
      <c r="AQ1500" s="33">
        <v>1</v>
      </c>
      <c r="AR1500" s="33">
        <v>3</v>
      </c>
      <c r="AS1500" s="33">
        <v>7</v>
      </c>
      <c r="AT1500" s="33">
        <v>1</v>
      </c>
      <c r="AU1500" s="43">
        <v>5.6092084779262315E-2</v>
      </c>
      <c r="AV1500" s="33">
        <v>0</v>
      </c>
      <c r="AW1500" s="33">
        <v>0</v>
      </c>
      <c r="CE1500" s="36">
        <v>1466</v>
      </c>
      <c r="CF1500" s="33">
        <v>23</v>
      </c>
      <c r="CG1500" s="33">
        <v>2</v>
      </c>
      <c r="CH1500" s="33">
        <v>4</v>
      </c>
      <c r="CI1500" s="33">
        <v>2</v>
      </c>
      <c r="CJ1500" s="33">
        <v>4</v>
      </c>
      <c r="CK1500" s="33">
        <v>0</v>
      </c>
      <c r="CL1500" s="33">
        <v>1</v>
      </c>
      <c r="CM1500" s="33">
        <v>3</v>
      </c>
      <c r="CN1500" s="33">
        <v>5</v>
      </c>
      <c r="CO1500" s="33">
        <v>0</v>
      </c>
      <c r="CP1500" s="43">
        <v>6.8826903729325151E-2</v>
      </c>
      <c r="CQ1500" s="33">
        <v>0</v>
      </c>
      <c r="CR1500" s="33">
        <v>0</v>
      </c>
    </row>
    <row r="1501" spans="37:96" ht="15" customHeight="1" x14ac:dyDescent="0.25">
      <c r="AK1501" s="36">
        <v>1468</v>
      </c>
      <c r="AL1501" s="33">
        <v>4</v>
      </c>
      <c r="AM1501" s="33">
        <v>2</v>
      </c>
      <c r="AN1501" s="33">
        <v>2</v>
      </c>
      <c r="AO1501" s="33">
        <v>1</v>
      </c>
      <c r="AP1501" s="33">
        <v>1</v>
      </c>
      <c r="AQ1501" s="33">
        <v>1</v>
      </c>
      <c r="AR1501" s="33">
        <v>3</v>
      </c>
      <c r="AS1501" s="33">
        <v>6</v>
      </c>
      <c r="AT1501" s="33">
        <v>0</v>
      </c>
      <c r="AU1501" s="43">
        <v>0.19020623817120411</v>
      </c>
      <c r="AV1501" s="33">
        <v>0</v>
      </c>
      <c r="AW1501" s="33">
        <v>0</v>
      </c>
      <c r="CE1501" s="36">
        <v>1467</v>
      </c>
      <c r="CF1501" s="33">
        <v>6</v>
      </c>
      <c r="CG1501" s="33">
        <v>3</v>
      </c>
      <c r="CH1501" s="33">
        <v>1</v>
      </c>
      <c r="CI1501" s="33">
        <v>2</v>
      </c>
      <c r="CJ1501" s="33">
        <v>4</v>
      </c>
      <c r="CK1501" s="33">
        <v>0</v>
      </c>
      <c r="CL1501" s="33">
        <v>1</v>
      </c>
      <c r="CM1501" s="33">
        <v>3</v>
      </c>
      <c r="CN1501" s="33">
        <v>7</v>
      </c>
      <c r="CO1501" s="33">
        <v>1</v>
      </c>
      <c r="CP1501" s="43">
        <v>5.6818934674223082E-2</v>
      </c>
      <c r="CQ1501" s="33">
        <v>0</v>
      </c>
      <c r="CR1501" s="33">
        <v>0</v>
      </c>
    </row>
    <row r="1502" spans="37:96" ht="15" customHeight="1" x14ac:dyDescent="0.25">
      <c r="AK1502" s="36">
        <v>1469</v>
      </c>
      <c r="AL1502" s="33">
        <v>2</v>
      </c>
      <c r="AM1502" s="33">
        <v>2</v>
      </c>
      <c r="AN1502" s="33">
        <v>2</v>
      </c>
      <c r="AO1502" s="33">
        <v>2</v>
      </c>
      <c r="AP1502" s="33">
        <v>0</v>
      </c>
      <c r="AQ1502" s="33">
        <v>0</v>
      </c>
      <c r="AR1502" s="33">
        <v>2</v>
      </c>
      <c r="AS1502" s="33">
        <v>9</v>
      </c>
      <c r="AT1502" s="33">
        <v>0</v>
      </c>
      <c r="AU1502" s="43">
        <v>8.9163028018419729E-2</v>
      </c>
      <c r="AV1502" s="33">
        <v>0</v>
      </c>
      <c r="AW1502" s="33">
        <v>0</v>
      </c>
      <c r="CE1502" s="36">
        <v>1468</v>
      </c>
      <c r="CF1502" s="33">
        <v>4</v>
      </c>
      <c r="CG1502" s="33">
        <v>2</v>
      </c>
      <c r="CH1502" s="33">
        <v>2</v>
      </c>
      <c r="CI1502" s="33">
        <v>2</v>
      </c>
      <c r="CJ1502" s="33">
        <v>1</v>
      </c>
      <c r="CK1502" s="33">
        <v>1</v>
      </c>
      <c r="CL1502" s="33">
        <v>1</v>
      </c>
      <c r="CM1502" s="33">
        <v>3</v>
      </c>
      <c r="CN1502" s="33">
        <v>6</v>
      </c>
      <c r="CO1502" s="33">
        <v>0</v>
      </c>
      <c r="CP1502" s="43">
        <v>0.19296703839276116</v>
      </c>
      <c r="CQ1502" s="33">
        <v>0</v>
      </c>
      <c r="CR1502" s="33">
        <v>0</v>
      </c>
    </row>
    <row r="1503" spans="37:96" ht="15" customHeight="1" x14ac:dyDescent="0.25">
      <c r="AK1503" s="36">
        <v>1470</v>
      </c>
      <c r="AL1503" s="33">
        <v>8</v>
      </c>
      <c r="AM1503" s="33">
        <v>2</v>
      </c>
      <c r="AN1503" s="33">
        <v>3</v>
      </c>
      <c r="AO1503" s="33">
        <v>2</v>
      </c>
      <c r="AP1503" s="33">
        <v>0</v>
      </c>
      <c r="AQ1503" s="33">
        <v>0</v>
      </c>
      <c r="AR1503" s="33">
        <v>4</v>
      </c>
      <c r="AS1503" s="33">
        <v>4</v>
      </c>
      <c r="AT1503" s="33">
        <v>1</v>
      </c>
      <c r="AU1503" s="43">
        <v>8.2769191371418499E-2</v>
      </c>
      <c r="AV1503" s="33">
        <v>0</v>
      </c>
      <c r="AW1503" s="33">
        <v>0</v>
      </c>
      <c r="CE1503" s="36">
        <v>1469</v>
      </c>
      <c r="CF1503" s="33">
        <v>2</v>
      </c>
      <c r="CG1503" s="33">
        <v>2</v>
      </c>
      <c r="CH1503" s="33">
        <v>2</v>
      </c>
      <c r="CI1503" s="33">
        <v>2</v>
      </c>
      <c r="CJ1503" s="33">
        <v>2</v>
      </c>
      <c r="CK1503" s="33">
        <v>0</v>
      </c>
      <c r="CL1503" s="33">
        <v>0</v>
      </c>
      <c r="CM1503" s="33">
        <v>2</v>
      </c>
      <c r="CN1503" s="33">
        <v>9</v>
      </c>
      <c r="CO1503" s="33">
        <v>0</v>
      </c>
      <c r="CP1503" s="43">
        <v>6.4557671166167244E-2</v>
      </c>
      <c r="CQ1503" s="33">
        <v>0</v>
      </c>
      <c r="CR1503" s="33">
        <v>0</v>
      </c>
    </row>
    <row r="1504" spans="37:96" ht="15" customHeight="1" x14ac:dyDescent="0.25">
      <c r="CE1504" s="36">
        <v>1470</v>
      </c>
      <c r="CF1504" s="33">
        <v>8</v>
      </c>
      <c r="CG1504" s="33">
        <v>2</v>
      </c>
      <c r="CH1504" s="33">
        <v>3</v>
      </c>
      <c r="CI1504" s="33">
        <v>2</v>
      </c>
      <c r="CJ1504" s="33">
        <v>2</v>
      </c>
      <c r="CK1504" s="33">
        <v>0</v>
      </c>
      <c r="CL1504" s="33">
        <v>0</v>
      </c>
      <c r="CM1504" s="33">
        <v>4</v>
      </c>
      <c r="CN1504" s="33">
        <v>4</v>
      </c>
      <c r="CO1504" s="33">
        <v>1</v>
      </c>
      <c r="CP1504" s="43">
        <v>5.7216500761680583E-2</v>
      </c>
      <c r="CQ1504" s="33">
        <v>0</v>
      </c>
      <c r="CR1504" s="33">
        <v>0</v>
      </c>
    </row>
  </sheetData>
  <autoFilter ref="A1:AI1471"/>
  <mergeCells count="12">
    <mergeCell ref="CI8:CI9"/>
    <mergeCell ref="CL8:CL9"/>
    <mergeCell ref="CF27:CF28"/>
    <mergeCell ref="AL8:AL9"/>
    <mergeCell ref="AO8:AO9"/>
    <mergeCell ref="AR8:AR9"/>
    <mergeCell ref="AL26:AL27"/>
    <mergeCell ref="AZ8:AZ9"/>
    <mergeCell ref="BC8:BC9"/>
    <mergeCell ref="BF8:BF9"/>
    <mergeCell ref="AZ21:AZ22"/>
    <mergeCell ref="CF8:CF9"/>
  </mergeCells>
  <conditionalFormatting sqref="AO12:AO16">
    <cfRule type="cellIs" dxfId="4" priority="3" operator="lessThan">
      <formula>0.001</formula>
    </cfRule>
  </conditionalFormatting>
  <conditionalFormatting sqref="BI3:BP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T3:CA1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V1472"/>
  <sheetViews>
    <sheetView tabSelected="1" zoomScale="85" zoomScaleNormal="85" workbookViewId="0">
      <selection activeCell="A9" sqref="A9"/>
    </sheetView>
  </sheetViews>
  <sheetFormatPr defaultRowHeight="15" x14ac:dyDescent="0.25"/>
  <cols>
    <col min="3" max="3" width="0" hidden="1" customWidth="1"/>
    <col min="7" max="7" width="0" hidden="1" customWidth="1"/>
    <col min="12" max="12" width="0" hidden="1" customWidth="1"/>
    <col min="25" max="25" width="0" hidden="1" customWidth="1"/>
    <col min="35" max="35" width="0" hidden="1" customWidth="1"/>
    <col min="54" max="54" width="24.140625" customWidth="1"/>
    <col min="56" max="56" width="12.7109375" hidden="1" customWidth="1"/>
    <col min="58" max="58" width="24" hidden="1" customWidth="1"/>
    <col min="59" max="65" width="12.7109375" hidden="1" customWidth="1"/>
    <col min="66" max="66" width="0" hidden="1" customWidth="1"/>
    <col min="67" max="67" width="24" hidden="1" customWidth="1"/>
    <col min="68" max="74" width="12.7109375" hidden="1" customWidth="1"/>
    <col min="75" max="75" width="0" hidden="1" customWidth="1"/>
    <col min="76" max="76" width="24" hidden="1" customWidth="1"/>
    <col min="77" max="83" width="12.7109375" hidden="1" customWidth="1"/>
    <col min="84" max="84" width="0" hidden="1" customWidth="1"/>
    <col min="85" max="85" width="24" hidden="1" customWidth="1"/>
    <col min="86" max="92" width="12.7109375" hidden="1" customWidth="1"/>
    <col min="93" max="93" width="0" hidden="1" customWidth="1"/>
    <col min="94" max="94" width="24" hidden="1" customWidth="1"/>
    <col min="95" max="101" width="12.7109375" hidden="1" customWidth="1"/>
    <col min="102" max="102" width="0" hidden="1" customWidth="1"/>
    <col min="103" max="103" width="24" hidden="1" customWidth="1"/>
    <col min="104" max="110" width="12.7109375" hidden="1" customWidth="1"/>
    <col min="111" max="111" width="0" hidden="1" customWidth="1"/>
    <col min="112" max="112" width="33.85546875" customWidth="1"/>
    <col min="113" max="119" width="12.7109375" customWidth="1"/>
    <col min="121" max="121" width="24" hidden="1" customWidth="1"/>
    <col min="122" max="128" width="12.7109375" hidden="1" customWidth="1"/>
    <col min="129" max="129" width="0" hidden="1" customWidth="1"/>
    <col min="130" max="130" width="24" hidden="1" customWidth="1"/>
    <col min="131" max="137" width="12.7109375" hidden="1" customWidth="1"/>
    <col min="138" max="138" width="0" hidden="1" customWidth="1"/>
    <col min="139" max="139" width="24" hidden="1" customWidth="1"/>
    <col min="140" max="146" width="12.7109375" hidden="1" customWidth="1"/>
    <col min="147" max="147" width="0" hidden="1" customWidth="1"/>
    <col min="148" max="148" width="24" hidden="1" customWidth="1"/>
    <col min="149" max="155" width="12.7109375" hidden="1" customWidth="1"/>
    <col min="157" max="157" width="34.7109375" customWidth="1"/>
    <col min="158" max="158" width="12.7109375" customWidth="1"/>
    <col min="159" max="159" width="12.7109375" hidden="1" customWidth="1"/>
    <col min="160" max="160" width="20.7109375" hidden="1" customWidth="1"/>
    <col min="161" max="161" width="24" hidden="1" customWidth="1"/>
    <col min="162" max="162" width="14.28515625" hidden="1" customWidth="1"/>
    <col min="163" max="163" width="17.42578125" hidden="1" customWidth="1"/>
    <col min="164" max="166" width="12.7109375" hidden="1" customWidth="1"/>
    <col min="167" max="167" width="14.140625" hidden="1" customWidth="1"/>
    <col min="168" max="168" width="19.7109375" hidden="1" customWidth="1"/>
    <col min="169" max="169" width="17.42578125" hidden="1" customWidth="1"/>
    <col min="170" max="170" width="23.42578125" hidden="1" customWidth="1"/>
    <col min="171" max="171" width="17.85546875" hidden="1" customWidth="1"/>
    <col min="172" max="172" width="13.42578125" hidden="1" customWidth="1"/>
    <col min="173" max="173" width="13.7109375" hidden="1" customWidth="1"/>
    <col min="174" max="174" width="16.140625" hidden="1" customWidth="1"/>
    <col min="175" max="175" width="12.7109375" hidden="1" customWidth="1"/>
    <col min="176" max="176" width="14.85546875" hidden="1" customWidth="1"/>
    <col min="177" max="177" width="16.5703125" hidden="1" customWidth="1"/>
    <col min="178" max="178" width="13.7109375" hidden="1" customWidth="1"/>
    <col min="179" max="179" width="16.85546875" hidden="1" customWidth="1"/>
    <col min="180" max="182" width="12.7109375" hidden="1" customWidth="1"/>
    <col min="183" max="183" width="14.140625" hidden="1" customWidth="1"/>
    <col min="184" max="184" width="16.7109375" hidden="1" customWidth="1"/>
    <col min="186" max="186" width="24.28515625" bestFit="1" customWidth="1"/>
    <col min="187" max="187" width="18.28515625" bestFit="1" customWidth="1"/>
    <col min="188" max="188" width="17.28515625" bestFit="1" customWidth="1"/>
    <col min="189" max="189" width="12.7109375" customWidth="1"/>
    <col min="190" max="190" width="14.7109375" bestFit="1" customWidth="1"/>
    <col min="191" max="191" width="12.7109375" customWidth="1"/>
  </cols>
  <sheetData>
    <row r="1" spans="1:191" ht="15" customHeight="1" thickTop="1" x14ac:dyDescent="0.25">
      <c r="A1" s="51" t="s">
        <v>0</v>
      </c>
      <c r="B1" s="52" t="s">
        <v>1</v>
      </c>
      <c r="C1" s="53" t="s">
        <v>2</v>
      </c>
      <c r="D1" s="52" t="s">
        <v>349</v>
      </c>
      <c r="E1" s="52" t="s">
        <v>350</v>
      </c>
      <c r="F1" s="52" t="s">
        <v>3</v>
      </c>
      <c r="G1" s="53" t="s">
        <v>4</v>
      </c>
      <c r="H1" s="52" t="s">
        <v>351</v>
      </c>
      <c r="I1" s="52" t="s">
        <v>352</v>
      </c>
      <c r="J1" s="52" t="s">
        <v>5</v>
      </c>
      <c r="K1" s="52" t="s">
        <v>6</v>
      </c>
      <c r="L1" s="53" t="s">
        <v>7</v>
      </c>
      <c r="M1" s="52" t="s">
        <v>354</v>
      </c>
      <c r="N1" s="52" t="s">
        <v>353</v>
      </c>
      <c r="O1" s="52" t="s">
        <v>355</v>
      </c>
      <c r="P1" s="52" t="s">
        <v>356</v>
      </c>
      <c r="Q1" s="52" t="s">
        <v>357</v>
      </c>
      <c r="R1" s="52" t="s">
        <v>8</v>
      </c>
      <c r="S1" s="52" t="s">
        <v>9</v>
      </c>
      <c r="T1" s="52" t="s">
        <v>10</v>
      </c>
      <c r="U1" s="52" t="s">
        <v>11</v>
      </c>
      <c r="V1" s="52" t="s">
        <v>12</v>
      </c>
      <c r="W1" s="52" t="s">
        <v>13</v>
      </c>
      <c r="X1" s="52" t="s">
        <v>14</v>
      </c>
      <c r="Y1" s="53" t="s">
        <v>15</v>
      </c>
      <c r="Z1" s="52" t="s">
        <v>358</v>
      </c>
      <c r="AA1" s="52" t="s">
        <v>359</v>
      </c>
      <c r="AB1" s="52" t="s">
        <v>360</v>
      </c>
      <c r="AC1" s="52" t="s">
        <v>361</v>
      </c>
      <c r="AD1" s="52" t="s">
        <v>365</v>
      </c>
      <c r="AE1" s="52" t="s">
        <v>362</v>
      </c>
      <c r="AF1" s="52" t="s">
        <v>363</v>
      </c>
      <c r="AG1" s="52" t="s">
        <v>364</v>
      </c>
      <c r="AH1" s="52" t="s">
        <v>16</v>
      </c>
      <c r="AI1" s="53" t="s">
        <v>17</v>
      </c>
      <c r="AJ1" s="52" t="s">
        <v>366</v>
      </c>
      <c r="AK1" s="52" t="s">
        <v>367</v>
      </c>
      <c r="AL1" s="52" t="s">
        <v>18</v>
      </c>
      <c r="AM1" s="52" t="s">
        <v>19</v>
      </c>
      <c r="AN1" s="52" t="s">
        <v>20</v>
      </c>
      <c r="AO1" s="52" t="s">
        <v>22</v>
      </c>
      <c r="AP1" s="52" t="s">
        <v>23</v>
      </c>
      <c r="AQ1" s="52" t="s">
        <v>24</v>
      </c>
      <c r="AR1" s="52" t="s">
        <v>25</v>
      </c>
      <c r="AS1" s="52" t="s">
        <v>26</v>
      </c>
      <c r="AT1" s="52" t="s">
        <v>27</v>
      </c>
      <c r="AU1" s="52" t="s">
        <v>28</v>
      </c>
      <c r="AV1" s="52" t="s">
        <v>29</v>
      </c>
      <c r="AW1" s="52" t="s">
        <v>30</v>
      </c>
      <c r="AX1" s="52" t="s">
        <v>31</v>
      </c>
      <c r="AY1" s="52" t="s">
        <v>32</v>
      </c>
      <c r="AZ1" s="52" t="s">
        <v>33</v>
      </c>
      <c r="BA1" s="52" t="s">
        <v>34</v>
      </c>
      <c r="BB1" s="54" t="s">
        <v>556</v>
      </c>
      <c r="BD1" s="62" t="s">
        <v>0</v>
      </c>
      <c r="BF1" s="37" t="s">
        <v>321</v>
      </c>
      <c r="BG1" s="34"/>
      <c r="BO1" s="37" t="s">
        <v>321</v>
      </c>
      <c r="BP1" s="34"/>
      <c r="BX1" s="37" t="s">
        <v>321</v>
      </c>
      <c r="BY1" s="34"/>
      <c r="CG1" s="37" t="s">
        <v>321</v>
      </c>
      <c r="CH1" s="34"/>
      <c r="CP1" s="37" t="s">
        <v>321</v>
      </c>
      <c r="CQ1" s="34"/>
      <c r="CY1" s="37" t="s">
        <v>321</v>
      </c>
      <c r="CZ1" s="34"/>
      <c r="DH1" s="36" t="s">
        <v>321</v>
      </c>
      <c r="DI1" s="34"/>
      <c r="DQ1" s="37" t="s">
        <v>321</v>
      </c>
      <c r="DR1" s="34"/>
      <c r="DZ1" s="37" t="s">
        <v>321</v>
      </c>
      <c r="EA1" s="34"/>
      <c r="EI1" s="37" t="s">
        <v>321</v>
      </c>
      <c r="EJ1" s="34"/>
      <c r="ER1" s="37" t="s">
        <v>321</v>
      </c>
      <c r="ES1" s="34"/>
      <c r="FA1" s="37"/>
      <c r="FB1" s="34" t="s">
        <v>1</v>
      </c>
      <c r="FC1" s="34"/>
      <c r="FD1" s="34" t="s">
        <v>349</v>
      </c>
      <c r="FE1" s="34" t="s">
        <v>350</v>
      </c>
      <c r="FF1" s="34" t="s">
        <v>5</v>
      </c>
      <c r="FG1" s="34" t="s">
        <v>10</v>
      </c>
      <c r="FH1" s="34" t="s">
        <v>11</v>
      </c>
      <c r="FI1" s="34" t="s">
        <v>13</v>
      </c>
      <c r="FJ1" s="34" t="s">
        <v>14</v>
      </c>
      <c r="FK1" s="34" t="s">
        <v>358</v>
      </c>
      <c r="FL1" s="34" t="s">
        <v>359</v>
      </c>
      <c r="FM1" s="34" t="s">
        <v>360</v>
      </c>
      <c r="FN1" s="34" t="s">
        <v>361</v>
      </c>
      <c r="FO1" s="34" t="s">
        <v>365</v>
      </c>
      <c r="FP1" s="34" t="s">
        <v>362</v>
      </c>
      <c r="FQ1" s="34" t="s">
        <v>363</v>
      </c>
      <c r="FR1" s="34" t="s">
        <v>364</v>
      </c>
      <c r="FS1" s="34" t="s">
        <v>16</v>
      </c>
      <c r="FT1" s="34" t="s">
        <v>366</v>
      </c>
      <c r="FU1" s="34" t="s">
        <v>367</v>
      </c>
      <c r="FV1" s="34" t="s">
        <v>18</v>
      </c>
      <c r="FW1" s="34" t="s">
        <v>20</v>
      </c>
      <c r="FX1" s="34" t="s">
        <v>22</v>
      </c>
      <c r="FY1" s="34" t="s">
        <v>27</v>
      </c>
      <c r="FZ1" s="34" t="s">
        <v>31</v>
      </c>
      <c r="GA1" s="34" t="s">
        <v>32</v>
      </c>
      <c r="GB1" s="34" t="s">
        <v>34</v>
      </c>
      <c r="GD1" s="37"/>
      <c r="GE1" s="34" t="s">
        <v>351</v>
      </c>
      <c r="GF1" s="34" t="s">
        <v>352</v>
      </c>
      <c r="GG1" s="34" t="s">
        <v>14</v>
      </c>
      <c r="GH1" s="34" t="s">
        <v>18</v>
      </c>
      <c r="GI1" s="34" t="s">
        <v>22</v>
      </c>
    </row>
    <row r="2" spans="1:191" ht="15" customHeight="1" thickBot="1" x14ac:dyDescent="0.3">
      <c r="A2" s="55">
        <v>41</v>
      </c>
      <c r="B2" s="56">
        <v>1</v>
      </c>
      <c r="C2" s="56">
        <v>1</v>
      </c>
      <c r="D2" s="56">
        <f>IF(C2=1,1,0)</f>
        <v>1</v>
      </c>
      <c r="E2" s="56">
        <f>IF(C2=2,1,0)</f>
        <v>0</v>
      </c>
      <c r="F2" s="56">
        <v>1102</v>
      </c>
      <c r="G2" s="56">
        <v>1</v>
      </c>
      <c r="H2" s="56">
        <f>IF(G2=1,1,0)</f>
        <v>1</v>
      </c>
      <c r="I2" s="56">
        <f>IF(G2=2,1,0)</f>
        <v>0</v>
      </c>
      <c r="J2" s="56">
        <v>1</v>
      </c>
      <c r="K2" s="56">
        <v>2</v>
      </c>
      <c r="L2" s="56">
        <v>1</v>
      </c>
      <c r="M2" s="56">
        <f>IF(L2=1,1,0)</f>
        <v>1</v>
      </c>
      <c r="N2" s="56">
        <f>IF(L2=2,1,0)</f>
        <v>0</v>
      </c>
      <c r="O2" s="56">
        <f>IF(L2=3,1,0)</f>
        <v>0</v>
      </c>
      <c r="P2" s="56">
        <f>IF(L2=4,1,0)</f>
        <v>0</v>
      </c>
      <c r="Q2" s="56">
        <f>IF(L2=5,1,0)</f>
        <v>0</v>
      </c>
      <c r="R2" s="56">
        <v>1</v>
      </c>
      <c r="S2" s="56">
        <v>1</v>
      </c>
      <c r="T2" s="56">
        <v>2</v>
      </c>
      <c r="U2" s="56">
        <v>0</v>
      </c>
      <c r="V2" s="56">
        <v>94</v>
      </c>
      <c r="W2" s="56">
        <v>3</v>
      </c>
      <c r="X2" s="56">
        <v>2</v>
      </c>
      <c r="Y2" s="56">
        <v>1</v>
      </c>
      <c r="Z2" s="56">
        <f>IF(Y2=1,1,0)</f>
        <v>1</v>
      </c>
      <c r="AA2" s="56">
        <f>IF(Y2=2,1,0)</f>
        <v>0</v>
      </c>
      <c r="AB2" s="56">
        <f>IF(Y2=3,1,0)</f>
        <v>0</v>
      </c>
      <c r="AC2" s="56">
        <f>IF(Y2=4,1,0)</f>
        <v>0</v>
      </c>
      <c r="AD2" s="56">
        <f>IF(Y2=5,1,0)</f>
        <v>0</v>
      </c>
      <c r="AE2" s="56">
        <f>IF(Y2=6,1,0)</f>
        <v>0</v>
      </c>
      <c r="AF2" s="56">
        <f>IF(Y2=7,1,0)</f>
        <v>0</v>
      </c>
      <c r="AG2" s="56">
        <f>IF(Y2=8,1,0)</f>
        <v>0</v>
      </c>
      <c r="AH2" s="56">
        <v>4</v>
      </c>
      <c r="AI2" s="56">
        <v>1</v>
      </c>
      <c r="AJ2" s="56">
        <f>IF(AI2=1,1,0)</f>
        <v>1</v>
      </c>
      <c r="AK2" s="56">
        <f>IF(AI2=2,1,0)</f>
        <v>0</v>
      </c>
      <c r="AL2" s="56">
        <v>5993</v>
      </c>
      <c r="AM2" s="56">
        <v>19479</v>
      </c>
      <c r="AN2" s="56">
        <v>8</v>
      </c>
      <c r="AO2" s="56">
        <v>1</v>
      </c>
      <c r="AP2" s="56">
        <v>11</v>
      </c>
      <c r="AQ2" s="56">
        <v>3</v>
      </c>
      <c r="AR2" s="56">
        <v>1</v>
      </c>
      <c r="AS2" s="56">
        <v>80</v>
      </c>
      <c r="AT2" s="56">
        <v>0</v>
      </c>
      <c r="AU2" s="56">
        <v>8</v>
      </c>
      <c r="AV2" s="56">
        <v>0</v>
      </c>
      <c r="AW2" s="56">
        <v>1</v>
      </c>
      <c r="AX2" s="56">
        <v>6</v>
      </c>
      <c r="AY2" s="56">
        <v>4</v>
      </c>
      <c r="AZ2" s="56">
        <v>0</v>
      </c>
      <c r="BA2" s="56">
        <v>5</v>
      </c>
      <c r="BB2" s="57">
        <f>X2*AL2</f>
        <v>11986</v>
      </c>
      <c r="BD2" s="35" t="s">
        <v>368</v>
      </c>
      <c r="BF2" s="38" t="s">
        <v>320</v>
      </c>
      <c r="BG2" s="35" t="s">
        <v>326</v>
      </c>
      <c r="BO2" s="38" t="s">
        <v>320</v>
      </c>
      <c r="BP2" s="35" t="s">
        <v>326</v>
      </c>
      <c r="BX2" s="38" t="s">
        <v>320</v>
      </c>
      <c r="BY2" s="35" t="s">
        <v>326</v>
      </c>
      <c r="CG2" s="38" t="s">
        <v>320</v>
      </c>
      <c r="CH2" s="35" t="s">
        <v>326</v>
      </c>
      <c r="CP2" s="38" t="s">
        <v>320</v>
      </c>
      <c r="CQ2" s="35" t="s">
        <v>326</v>
      </c>
      <c r="CY2" s="38" t="s">
        <v>320</v>
      </c>
      <c r="CZ2" s="35" t="s">
        <v>326</v>
      </c>
      <c r="DH2" s="74" t="s">
        <v>320</v>
      </c>
      <c r="DI2" s="35" t="s">
        <v>326</v>
      </c>
      <c r="DQ2" s="38" t="s">
        <v>320</v>
      </c>
      <c r="DR2" s="35" t="s">
        <v>326</v>
      </c>
      <c r="DZ2" s="38" t="s">
        <v>320</v>
      </c>
      <c r="EA2" s="35" t="s">
        <v>326</v>
      </c>
      <c r="EI2" s="38" t="s">
        <v>320</v>
      </c>
      <c r="EJ2" s="35" t="s">
        <v>326</v>
      </c>
      <c r="ER2" s="38" t="s">
        <v>320</v>
      </c>
      <c r="ES2" s="35" t="s">
        <v>326</v>
      </c>
      <c r="FA2" s="38" t="s">
        <v>347</v>
      </c>
      <c r="FB2" s="35" t="s">
        <v>495</v>
      </c>
      <c r="FC2" s="35"/>
      <c r="FD2" s="35" t="s">
        <v>495</v>
      </c>
      <c r="FE2" s="35" t="s">
        <v>495</v>
      </c>
      <c r="FF2" s="35" t="s">
        <v>495</v>
      </c>
      <c r="FG2" s="35" t="s">
        <v>495</v>
      </c>
      <c r="FH2" s="35" t="s">
        <v>495</v>
      </c>
      <c r="FI2" s="35" t="s">
        <v>495</v>
      </c>
      <c r="FJ2" s="35" t="s">
        <v>495</v>
      </c>
      <c r="FK2" s="35" t="s">
        <v>495</v>
      </c>
      <c r="FL2" s="35" t="s">
        <v>495</v>
      </c>
      <c r="FM2" s="35" t="s">
        <v>495</v>
      </c>
      <c r="FN2" s="35" t="s">
        <v>495</v>
      </c>
      <c r="FO2" s="35" t="s">
        <v>495</v>
      </c>
      <c r="FP2" s="35" t="s">
        <v>495</v>
      </c>
      <c r="FQ2" s="35" t="s">
        <v>495</v>
      </c>
      <c r="FR2" s="35" t="s">
        <v>495</v>
      </c>
      <c r="FS2" s="35" t="s">
        <v>495</v>
      </c>
      <c r="FT2" s="35" t="s">
        <v>495</v>
      </c>
      <c r="FU2" s="35" t="s">
        <v>495</v>
      </c>
      <c r="FV2" s="35" t="s">
        <v>495</v>
      </c>
      <c r="FW2" s="35" t="s">
        <v>495</v>
      </c>
      <c r="FX2" s="35" t="s">
        <v>495</v>
      </c>
      <c r="FY2" s="35" t="s">
        <v>495</v>
      </c>
      <c r="FZ2" s="35" t="s">
        <v>495</v>
      </c>
      <c r="GA2" s="35" t="s">
        <v>495</v>
      </c>
      <c r="GB2" s="35" t="s">
        <v>495</v>
      </c>
      <c r="GD2" s="74" t="s">
        <v>347</v>
      </c>
      <c r="GE2" s="35" t="s">
        <v>495</v>
      </c>
      <c r="GF2" s="35" t="s">
        <v>495</v>
      </c>
      <c r="GG2" s="35" t="s">
        <v>495</v>
      </c>
      <c r="GH2" s="35" t="s">
        <v>495</v>
      </c>
      <c r="GI2" s="35" t="s">
        <v>495</v>
      </c>
    </row>
    <row r="3" spans="1:191" ht="15" customHeight="1" thickTop="1" x14ac:dyDescent="0.25">
      <c r="A3" s="58">
        <v>49</v>
      </c>
      <c r="B3" s="59">
        <v>0</v>
      </c>
      <c r="C3" s="59">
        <v>2</v>
      </c>
      <c r="D3" s="59">
        <f t="shared" ref="D3:D66" si="0">IF(C3=1,1,0)</f>
        <v>0</v>
      </c>
      <c r="E3" s="59">
        <f t="shared" ref="E3:E66" si="1">IF(C3=2,1,0)</f>
        <v>1</v>
      </c>
      <c r="F3" s="59">
        <v>279</v>
      </c>
      <c r="G3" s="59">
        <v>2</v>
      </c>
      <c r="H3" s="59">
        <f t="shared" ref="H3:H66" si="2">IF(G3=1,1,0)</f>
        <v>0</v>
      </c>
      <c r="I3" s="59">
        <f t="shared" ref="I3:I66" si="3">IF(G3=2,1,0)</f>
        <v>1</v>
      </c>
      <c r="J3" s="59">
        <v>8</v>
      </c>
      <c r="K3" s="59">
        <v>1</v>
      </c>
      <c r="L3" s="59">
        <v>1</v>
      </c>
      <c r="M3" s="59">
        <f t="shared" ref="M3:M66" si="4">IF(L3=1,1,0)</f>
        <v>1</v>
      </c>
      <c r="N3" s="59">
        <f t="shared" ref="N3:N66" si="5">IF(L3=2,1,0)</f>
        <v>0</v>
      </c>
      <c r="O3" s="59">
        <f t="shared" ref="O3:O66" si="6">IF(L3=3,1,0)</f>
        <v>0</v>
      </c>
      <c r="P3" s="59">
        <f t="shared" ref="P3:P66" si="7">IF(L3=4,1,0)</f>
        <v>0</v>
      </c>
      <c r="Q3" s="59">
        <f t="shared" ref="Q3:Q66" si="8">IF(L3=5,1,0)</f>
        <v>0</v>
      </c>
      <c r="R3" s="59">
        <v>1</v>
      </c>
      <c r="S3" s="59">
        <v>2</v>
      </c>
      <c r="T3" s="59">
        <v>3</v>
      </c>
      <c r="U3" s="59">
        <v>1</v>
      </c>
      <c r="V3" s="59">
        <v>61</v>
      </c>
      <c r="W3" s="59">
        <v>2</v>
      </c>
      <c r="X3" s="59">
        <v>2</v>
      </c>
      <c r="Y3" s="59">
        <v>2</v>
      </c>
      <c r="Z3" s="59">
        <f t="shared" ref="Z3:Z66" si="9">IF(Y3=1,1,0)</f>
        <v>0</v>
      </c>
      <c r="AA3" s="59">
        <f>IF('Updated Dummy'!Y3=2,1,0)</f>
        <v>1</v>
      </c>
      <c r="AB3" s="59">
        <f t="shared" ref="AB3:AB66" si="10">IF(Y3=3,1,0)</f>
        <v>0</v>
      </c>
      <c r="AC3" s="59">
        <f t="shared" ref="AC3:AC66" si="11">IF(Y3=4,1,0)</f>
        <v>0</v>
      </c>
      <c r="AD3" s="59">
        <f t="shared" ref="AD3:AD66" si="12">IF(Y3=5,1,0)</f>
        <v>0</v>
      </c>
      <c r="AE3" s="59">
        <f t="shared" ref="AE3:AE66" si="13">IF(Y3=6,1,0)</f>
        <v>0</v>
      </c>
      <c r="AF3" s="59">
        <f t="shared" ref="AF3:AF66" si="14">IF(Y3=7,1,0)</f>
        <v>0</v>
      </c>
      <c r="AG3" s="59">
        <f t="shared" ref="AG3:AG66" si="15">IF(Y3=8,1,0)</f>
        <v>0</v>
      </c>
      <c r="AH3" s="59">
        <v>2</v>
      </c>
      <c r="AI3" s="59">
        <v>2</v>
      </c>
      <c r="AJ3" s="59">
        <f t="shared" ref="AJ3:AJ66" si="16">IF(AI3=1,1,0)</f>
        <v>0</v>
      </c>
      <c r="AK3" s="59">
        <f t="shared" ref="AK3:AK66" si="17">IF(AI3=2,1,0)</f>
        <v>1</v>
      </c>
      <c r="AL3" s="59">
        <v>5130</v>
      </c>
      <c r="AM3" s="59">
        <v>24907</v>
      </c>
      <c r="AN3" s="59">
        <v>1</v>
      </c>
      <c r="AO3" s="59">
        <v>0</v>
      </c>
      <c r="AP3" s="59">
        <v>23</v>
      </c>
      <c r="AQ3" s="59">
        <v>4</v>
      </c>
      <c r="AR3" s="59">
        <v>4</v>
      </c>
      <c r="AS3" s="59">
        <v>80</v>
      </c>
      <c r="AT3" s="59">
        <v>1</v>
      </c>
      <c r="AU3" s="59">
        <v>10</v>
      </c>
      <c r="AV3" s="59">
        <v>3</v>
      </c>
      <c r="AW3" s="59">
        <v>3</v>
      </c>
      <c r="AX3" s="59">
        <v>10</v>
      </c>
      <c r="AY3" s="59">
        <v>7</v>
      </c>
      <c r="AZ3" s="59">
        <v>1</v>
      </c>
      <c r="BA3" s="59">
        <v>7</v>
      </c>
      <c r="BB3" s="57">
        <f t="shared" ref="BB3:BB66" si="18">X3*AL3</f>
        <v>10260</v>
      </c>
      <c r="BD3" s="63">
        <v>1</v>
      </c>
      <c r="BF3" s="36" t="s">
        <v>327</v>
      </c>
      <c r="BG3" s="39">
        <v>1298.5827008306633</v>
      </c>
      <c r="BO3" s="36" t="s">
        <v>327</v>
      </c>
      <c r="BP3" s="39">
        <v>1298.5827008306633</v>
      </c>
      <c r="BX3" s="36" t="s">
        <v>327</v>
      </c>
      <c r="BY3" s="39">
        <v>1298.5827008306633</v>
      </c>
      <c r="CG3" s="36" t="s">
        <v>327</v>
      </c>
      <c r="CH3" s="39">
        <v>1298.5827008306633</v>
      </c>
      <c r="CP3" s="36" t="s">
        <v>327</v>
      </c>
      <c r="CQ3" s="39">
        <v>1298.5827008306633</v>
      </c>
      <c r="CY3" s="36" t="s">
        <v>327</v>
      </c>
      <c r="CZ3" s="39">
        <v>1298.5827008306633</v>
      </c>
      <c r="DH3" s="36" t="s">
        <v>327</v>
      </c>
      <c r="DI3" s="68">
        <v>1298.5827008306633</v>
      </c>
      <c r="DQ3" s="36" t="s">
        <v>327</v>
      </c>
      <c r="DR3" s="39">
        <v>1298.5827008306633</v>
      </c>
      <c r="DZ3" s="36" t="s">
        <v>327</v>
      </c>
      <c r="EA3" s="39">
        <v>1298.5827008306633</v>
      </c>
      <c r="EI3" s="36" t="s">
        <v>327</v>
      </c>
      <c r="EJ3" s="39">
        <v>1298.5827008306633</v>
      </c>
      <c r="ER3" s="36" t="s">
        <v>327</v>
      </c>
      <c r="ES3" s="39">
        <v>1298.5827008306633</v>
      </c>
      <c r="FA3" s="36" t="s">
        <v>0</v>
      </c>
      <c r="FB3" s="44">
        <f>_xll.StatCorrelationCoeff( ST_Attrition_2,ST_Age_1)</f>
        <v>-0.15920500686577846</v>
      </c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D3" s="36" t="s">
        <v>351</v>
      </c>
      <c r="GE3" s="44">
        <v>1</v>
      </c>
      <c r="GF3" s="44"/>
      <c r="GG3" s="44"/>
      <c r="GH3" s="44"/>
      <c r="GI3" s="44"/>
    </row>
    <row r="4" spans="1:191" ht="15" customHeight="1" x14ac:dyDescent="0.25">
      <c r="A4" s="58">
        <v>37</v>
      </c>
      <c r="B4" s="59">
        <v>1</v>
      </c>
      <c r="C4" s="59">
        <v>1</v>
      </c>
      <c r="D4" s="59">
        <f t="shared" si="0"/>
        <v>1</v>
      </c>
      <c r="E4" s="59">
        <f t="shared" si="1"/>
        <v>0</v>
      </c>
      <c r="F4" s="59">
        <v>1373</v>
      </c>
      <c r="G4" s="59">
        <v>2</v>
      </c>
      <c r="H4" s="59">
        <f t="shared" si="2"/>
        <v>0</v>
      </c>
      <c r="I4" s="59">
        <f t="shared" si="3"/>
        <v>1</v>
      </c>
      <c r="J4" s="59">
        <v>2</v>
      </c>
      <c r="K4" s="59">
        <v>2</v>
      </c>
      <c r="L4" s="59">
        <v>6</v>
      </c>
      <c r="M4" s="59">
        <f t="shared" si="4"/>
        <v>0</v>
      </c>
      <c r="N4" s="59">
        <f t="shared" si="5"/>
        <v>0</v>
      </c>
      <c r="O4" s="59">
        <f t="shared" si="6"/>
        <v>0</v>
      </c>
      <c r="P4" s="59">
        <f t="shared" si="7"/>
        <v>0</v>
      </c>
      <c r="Q4" s="59">
        <f t="shared" si="8"/>
        <v>0</v>
      </c>
      <c r="R4" s="59">
        <v>1</v>
      </c>
      <c r="S4" s="59">
        <v>4</v>
      </c>
      <c r="T4" s="59">
        <v>4</v>
      </c>
      <c r="U4" s="59">
        <v>1</v>
      </c>
      <c r="V4" s="59">
        <v>92</v>
      </c>
      <c r="W4" s="59">
        <v>2</v>
      </c>
      <c r="X4" s="59">
        <v>1</v>
      </c>
      <c r="Y4" s="59">
        <v>3</v>
      </c>
      <c r="Z4" s="59">
        <f t="shared" si="9"/>
        <v>0</v>
      </c>
      <c r="AA4" s="59">
        <f>IF('Updated Dummy'!Y4=2,1,0)</f>
        <v>0</v>
      </c>
      <c r="AB4" s="59">
        <f t="shared" si="10"/>
        <v>1</v>
      </c>
      <c r="AC4" s="59">
        <f t="shared" si="11"/>
        <v>0</v>
      </c>
      <c r="AD4" s="59">
        <f t="shared" si="12"/>
        <v>0</v>
      </c>
      <c r="AE4" s="59">
        <f t="shared" si="13"/>
        <v>0</v>
      </c>
      <c r="AF4" s="59">
        <f t="shared" si="14"/>
        <v>0</v>
      </c>
      <c r="AG4" s="59">
        <f t="shared" si="15"/>
        <v>0</v>
      </c>
      <c r="AH4" s="59">
        <v>3</v>
      </c>
      <c r="AI4" s="59">
        <v>1</v>
      </c>
      <c r="AJ4" s="59">
        <f t="shared" si="16"/>
        <v>1</v>
      </c>
      <c r="AK4" s="59">
        <f t="shared" si="17"/>
        <v>0</v>
      </c>
      <c r="AL4" s="59">
        <v>2090</v>
      </c>
      <c r="AM4" s="59">
        <v>2396</v>
      </c>
      <c r="AN4" s="59">
        <v>6</v>
      </c>
      <c r="AO4" s="59">
        <v>1</v>
      </c>
      <c r="AP4" s="59">
        <v>15</v>
      </c>
      <c r="AQ4" s="59">
        <v>3</v>
      </c>
      <c r="AR4" s="59">
        <v>2</v>
      </c>
      <c r="AS4" s="59">
        <v>80</v>
      </c>
      <c r="AT4" s="59">
        <v>0</v>
      </c>
      <c r="AU4" s="59">
        <v>7</v>
      </c>
      <c r="AV4" s="59">
        <v>3</v>
      </c>
      <c r="AW4" s="59">
        <v>3</v>
      </c>
      <c r="AX4" s="59">
        <v>0</v>
      </c>
      <c r="AY4" s="59">
        <v>0</v>
      </c>
      <c r="AZ4" s="59">
        <v>0</v>
      </c>
      <c r="BA4" s="59">
        <v>0</v>
      </c>
      <c r="BB4" s="57">
        <f t="shared" si="18"/>
        <v>2090</v>
      </c>
      <c r="BD4" s="63">
        <f>_xll.StatCorrelationCoeff( ST_Attrition_2,ST_Age_1)</f>
        <v>-0.15920500686577846</v>
      </c>
      <c r="BF4" s="36" t="s">
        <v>328</v>
      </c>
      <c r="BG4" s="39">
        <v>967.64494466615042</v>
      </c>
      <c r="BO4" s="36" t="s">
        <v>328</v>
      </c>
      <c r="BP4" s="39">
        <v>968.7191196679363</v>
      </c>
      <c r="BX4" s="36" t="s">
        <v>328</v>
      </c>
      <c r="BY4" s="39">
        <v>958.6722608483941</v>
      </c>
      <c r="CG4" s="36" t="s">
        <v>328</v>
      </c>
      <c r="CH4" s="39">
        <v>960.49016564817657</v>
      </c>
      <c r="CP4" s="36" t="s">
        <v>328</v>
      </c>
      <c r="CQ4" s="39">
        <v>960.46789252951692</v>
      </c>
      <c r="CY4" s="36" t="s">
        <v>328</v>
      </c>
      <c r="CZ4" s="39">
        <v>981.64656777543803</v>
      </c>
      <c r="DH4" s="36" t="s">
        <v>328</v>
      </c>
      <c r="DI4" s="68">
        <v>966.90860869975927</v>
      </c>
      <c r="DQ4" s="36" t="s">
        <v>328</v>
      </c>
      <c r="DR4" s="39">
        <v>973.72759414525433</v>
      </c>
      <c r="DZ4" s="36" t="s">
        <v>328</v>
      </c>
      <c r="EA4" s="39">
        <v>969.46349465583603</v>
      </c>
      <c r="EI4" s="36" t="s">
        <v>328</v>
      </c>
      <c r="EJ4" s="39">
        <v>979.74956592923229</v>
      </c>
      <c r="ER4" s="36" t="s">
        <v>328</v>
      </c>
      <c r="ES4" s="39">
        <v>982.73768784975334</v>
      </c>
      <c r="FA4" s="36" t="s">
        <v>1</v>
      </c>
      <c r="FB4" s="44">
        <v>1</v>
      </c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D4" s="36" t="s">
        <v>352</v>
      </c>
      <c r="GE4" s="44">
        <f>_xll.StatCorrelationCoeff( ST_DepartmentRD,ST_DepartmentSales)</f>
        <v>-0.90681825385820647</v>
      </c>
      <c r="GF4" s="44">
        <v>1</v>
      </c>
      <c r="GG4" s="44"/>
      <c r="GH4" s="44"/>
      <c r="GI4" s="44"/>
    </row>
    <row r="5" spans="1:191" ht="15" customHeight="1" x14ac:dyDescent="0.25">
      <c r="A5" s="58">
        <v>33</v>
      </c>
      <c r="B5" s="59">
        <v>0</v>
      </c>
      <c r="C5" s="59">
        <v>2</v>
      </c>
      <c r="D5" s="59">
        <f t="shared" si="0"/>
        <v>0</v>
      </c>
      <c r="E5" s="59">
        <f t="shared" si="1"/>
        <v>1</v>
      </c>
      <c r="F5" s="59">
        <v>1392</v>
      </c>
      <c r="G5" s="59">
        <v>2</v>
      </c>
      <c r="H5" s="59">
        <f t="shared" si="2"/>
        <v>0</v>
      </c>
      <c r="I5" s="59">
        <f t="shared" si="3"/>
        <v>1</v>
      </c>
      <c r="J5" s="59">
        <v>3</v>
      </c>
      <c r="K5" s="59">
        <v>4</v>
      </c>
      <c r="L5" s="59">
        <v>1</v>
      </c>
      <c r="M5" s="59">
        <f t="shared" si="4"/>
        <v>1</v>
      </c>
      <c r="N5" s="59">
        <f t="shared" si="5"/>
        <v>0</v>
      </c>
      <c r="O5" s="59">
        <f t="shared" si="6"/>
        <v>0</v>
      </c>
      <c r="P5" s="59">
        <f t="shared" si="7"/>
        <v>0</v>
      </c>
      <c r="Q5" s="59">
        <f t="shared" si="8"/>
        <v>0</v>
      </c>
      <c r="R5" s="59">
        <v>1</v>
      </c>
      <c r="S5" s="59">
        <v>5</v>
      </c>
      <c r="T5" s="59">
        <v>4</v>
      </c>
      <c r="U5" s="59">
        <v>0</v>
      </c>
      <c r="V5" s="59">
        <v>56</v>
      </c>
      <c r="W5" s="59">
        <v>3</v>
      </c>
      <c r="X5" s="59">
        <v>1</v>
      </c>
      <c r="Y5" s="59">
        <v>2</v>
      </c>
      <c r="Z5" s="59">
        <f t="shared" si="9"/>
        <v>0</v>
      </c>
      <c r="AA5" s="59">
        <f>IF('Updated Dummy'!Y5=2,1,0)</f>
        <v>1</v>
      </c>
      <c r="AB5" s="59">
        <f t="shared" si="10"/>
        <v>0</v>
      </c>
      <c r="AC5" s="59">
        <f t="shared" si="11"/>
        <v>0</v>
      </c>
      <c r="AD5" s="59">
        <f t="shared" si="12"/>
        <v>0</v>
      </c>
      <c r="AE5" s="59">
        <f t="shared" si="13"/>
        <v>0</v>
      </c>
      <c r="AF5" s="59">
        <f t="shared" si="14"/>
        <v>0</v>
      </c>
      <c r="AG5" s="59">
        <f t="shared" si="15"/>
        <v>0</v>
      </c>
      <c r="AH5" s="59">
        <v>3</v>
      </c>
      <c r="AI5" s="59">
        <v>2</v>
      </c>
      <c r="AJ5" s="59">
        <f t="shared" si="16"/>
        <v>0</v>
      </c>
      <c r="AK5" s="59">
        <f t="shared" si="17"/>
        <v>1</v>
      </c>
      <c r="AL5" s="59">
        <v>2909</v>
      </c>
      <c r="AM5" s="59">
        <v>23159</v>
      </c>
      <c r="AN5" s="59">
        <v>1</v>
      </c>
      <c r="AO5" s="59">
        <v>1</v>
      </c>
      <c r="AP5" s="59">
        <v>11</v>
      </c>
      <c r="AQ5" s="59">
        <v>3</v>
      </c>
      <c r="AR5" s="59">
        <v>3</v>
      </c>
      <c r="AS5" s="59">
        <v>80</v>
      </c>
      <c r="AT5" s="59">
        <v>0</v>
      </c>
      <c r="AU5" s="59">
        <v>8</v>
      </c>
      <c r="AV5" s="59">
        <v>3</v>
      </c>
      <c r="AW5" s="59">
        <v>3</v>
      </c>
      <c r="AX5" s="59">
        <v>8</v>
      </c>
      <c r="AY5" s="59">
        <v>7</v>
      </c>
      <c r="AZ5" s="59">
        <v>3</v>
      </c>
      <c r="BA5" s="59">
        <v>0</v>
      </c>
      <c r="BB5" s="57">
        <f t="shared" si="18"/>
        <v>2909</v>
      </c>
      <c r="BD5" s="63">
        <f>_xll.StatCorrelationCoeff( ST_BusinessTravelTravelRarely,ST_Age_1)</f>
        <v>2.8791215219339299E-2</v>
      </c>
      <c r="BF5" s="36" t="s">
        <v>329</v>
      </c>
      <c r="BG5" s="39">
        <v>330.93775616451285</v>
      </c>
      <c r="BO5" s="36" t="s">
        <v>329</v>
      </c>
      <c r="BP5" s="39">
        <v>329.86358116272697</v>
      </c>
      <c r="BX5" s="36" t="s">
        <v>329</v>
      </c>
      <c r="BY5" s="39">
        <v>339.91043998226917</v>
      </c>
      <c r="CG5" s="36" t="s">
        <v>329</v>
      </c>
      <c r="CH5" s="39">
        <v>338.0925351824867</v>
      </c>
      <c r="CP5" s="36" t="s">
        <v>329</v>
      </c>
      <c r="CQ5" s="39">
        <v>338.11480830114635</v>
      </c>
      <c r="CY5" s="36" t="s">
        <v>329</v>
      </c>
      <c r="CZ5" s="39">
        <v>316.93613305522524</v>
      </c>
      <c r="DH5" s="36" t="s">
        <v>329</v>
      </c>
      <c r="DI5" s="68">
        <v>331.674092130904</v>
      </c>
      <c r="DQ5" s="36" t="s">
        <v>329</v>
      </c>
      <c r="DR5" s="39">
        <v>324.85510668540894</v>
      </c>
      <c r="DZ5" s="36" t="s">
        <v>329</v>
      </c>
      <c r="EA5" s="39">
        <v>329.11920617482724</v>
      </c>
      <c r="EI5" s="36" t="s">
        <v>329</v>
      </c>
      <c r="EJ5" s="39">
        <v>318.83313490143098</v>
      </c>
      <c r="ER5" s="36" t="s">
        <v>329</v>
      </c>
      <c r="ES5" s="39">
        <v>315.84501298090993</v>
      </c>
      <c r="FA5" s="36" t="s">
        <v>349</v>
      </c>
      <c r="FB5" s="44">
        <f>_xll.StatCorrelationCoeff( ST_BusinessTravelTravelRarely,ST_Attrition_2)</f>
        <v>-4.9537838366948174E-2</v>
      </c>
      <c r="FC5" s="44"/>
      <c r="FD5" s="44">
        <v>1</v>
      </c>
      <c r="FE5" s="44"/>
      <c r="FF5" s="44"/>
      <c r="FG5" s="44"/>
      <c r="FH5" s="44"/>
      <c r="FI5" s="44"/>
      <c r="FJ5" s="44"/>
      <c r="FK5" s="44"/>
      <c r="FL5" s="44"/>
      <c r="FM5" s="44"/>
      <c r="FN5" s="44"/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4"/>
      <c r="FZ5" s="44"/>
      <c r="GA5" s="44"/>
      <c r="GB5" s="44"/>
      <c r="GD5" s="36" t="s">
        <v>14</v>
      </c>
      <c r="GE5" s="44">
        <f>_xll.StatCorrelationCoeff( ST_JobLevel_24,ST_DepartmentSales)</f>
        <v>0.11430683928872742</v>
      </c>
      <c r="GF5" s="44">
        <f>_xll.StatCorrelationCoeff( ST_JobLevel_24,ST_DepartmentRD)</f>
        <v>-0.10782968451627005</v>
      </c>
      <c r="GG5" s="44">
        <v>1</v>
      </c>
      <c r="GH5" s="44"/>
      <c r="GI5" s="44"/>
    </row>
    <row r="6" spans="1:191" ht="15" customHeight="1" x14ac:dyDescent="0.25">
      <c r="A6" s="58">
        <v>27</v>
      </c>
      <c r="B6" s="59">
        <v>0</v>
      </c>
      <c r="C6" s="59">
        <v>1</v>
      </c>
      <c r="D6" s="59">
        <f t="shared" si="0"/>
        <v>1</v>
      </c>
      <c r="E6" s="59">
        <f t="shared" si="1"/>
        <v>0</v>
      </c>
      <c r="F6" s="59">
        <v>591</v>
      </c>
      <c r="G6" s="59">
        <v>2</v>
      </c>
      <c r="H6" s="59">
        <f t="shared" si="2"/>
        <v>0</v>
      </c>
      <c r="I6" s="59">
        <f t="shared" si="3"/>
        <v>1</v>
      </c>
      <c r="J6" s="59">
        <v>2</v>
      </c>
      <c r="K6" s="59">
        <v>1</v>
      </c>
      <c r="L6" s="59">
        <v>3</v>
      </c>
      <c r="M6" s="59">
        <f t="shared" si="4"/>
        <v>0</v>
      </c>
      <c r="N6" s="59">
        <f t="shared" si="5"/>
        <v>0</v>
      </c>
      <c r="O6" s="59">
        <f t="shared" si="6"/>
        <v>1</v>
      </c>
      <c r="P6" s="59">
        <f t="shared" si="7"/>
        <v>0</v>
      </c>
      <c r="Q6" s="59">
        <f t="shared" si="8"/>
        <v>0</v>
      </c>
      <c r="R6" s="59">
        <v>1</v>
      </c>
      <c r="S6" s="59">
        <v>7</v>
      </c>
      <c r="T6" s="59">
        <v>1</v>
      </c>
      <c r="U6" s="59">
        <v>1</v>
      </c>
      <c r="V6" s="59">
        <v>40</v>
      </c>
      <c r="W6" s="59">
        <v>3</v>
      </c>
      <c r="X6" s="59">
        <v>1</v>
      </c>
      <c r="Y6" s="59">
        <v>3</v>
      </c>
      <c r="Z6" s="59">
        <f t="shared" si="9"/>
        <v>0</v>
      </c>
      <c r="AA6" s="59">
        <f>IF('Updated Dummy'!Y6=2,1,0)</f>
        <v>0</v>
      </c>
      <c r="AB6" s="59">
        <f t="shared" si="10"/>
        <v>1</v>
      </c>
      <c r="AC6" s="59">
        <f t="shared" si="11"/>
        <v>0</v>
      </c>
      <c r="AD6" s="59">
        <f t="shared" si="12"/>
        <v>0</v>
      </c>
      <c r="AE6" s="59">
        <f t="shared" si="13"/>
        <v>0</v>
      </c>
      <c r="AF6" s="59">
        <f t="shared" si="14"/>
        <v>0</v>
      </c>
      <c r="AG6" s="59">
        <f t="shared" si="15"/>
        <v>0</v>
      </c>
      <c r="AH6" s="59">
        <v>2</v>
      </c>
      <c r="AI6" s="59">
        <v>2</v>
      </c>
      <c r="AJ6" s="59">
        <f t="shared" si="16"/>
        <v>0</v>
      </c>
      <c r="AK6" s="59">
        <f t="shared" si="17"/>
        <v>1</v>
      </c>
      <c r="AL6" s="59">
        <v>3468</v>
      </c>
      <c r="AM6" s="59">
        <v>16632</v>
      </c>
      <c r="AN6" s="59">
        <v>9</v>
      </c>
      <c r="AO6" s="59">
        <v>0</v>
      </c>
      <c r="AP6" s="59">
        <v>12</v>
      </c>
      <c r="AQ6" s="59">
        <v>3</v>
      </c>
      <c r="AR6" s="59">
        <v>4</v>
      </c>
      <c r="AS6" s="59">
        <v>80</v>
      </c>
      <c r="AT6" s="59">
        <v>1</v>
      </c>
      <c r="AU6" s="59">
        <v>6</v>
      </c>
      <c r="AV6" s="59">
        <v>3</v>
      </c>
      <c r="AW6" s="59">
        <v>3</v>
      </c>
      <c r="AX6" s="59">
        <v>2</v>
      </c>
      <c r="AY6" s="59">
        <v>2</v>
      </c>
      <c r="AZ6" s="59">
        <v>2</v>
      </c>
      <c r="BA6" s="59">
        <v>2</v>
      </c>
      <c r="BB6" s="57">
        <f t="shared" si="18"/>
        <v>3468</v>
      </c>
      <c r="BD6" s="63">
        <f>_xll.StatCorrelationCoeff( ST_BusinessTravelTravelFrequently,ST_Age_1)</f>
        <v>-2.4743127084714774E-2</v>
      </c>
      <c r="BF6" s="36" t="s">
        <v>330</v>
      </c>
      <c r="BG6" s="40">
        <v>6.1954825218397621E-57</v>
      </c>
      <c r="BO6" s="36" t="s">
        <v>330</v>
      </c>
      <c r="BP6" s="40">
        <v>1.4599505934613212E-58</v>
      </c>
      <c r="BX6" s="36" t="s">
        <v>330</v>
      </c>
      <c r="BY6" s="40">
        <v>2.22868923507384E-59</v>
      </c>
      <c r="CG6" s="36" t="s">
        <v>330</v>
      </c>
      <c r="CH6" s="40">
        <v>1.2590282802192854E-59</v>
      </c>
      <c r="CP6" s="36" t="s">
        <v>330</v>
      </c>
      <c r="CQ6" s="40">
        <v>5.2029280747819645E-59</v>
      </c>
      <c r="CY6" s="36" t="s">
        <v>330</v>
      </c>
      <c r="CZ6" s="40">
        <v>2.3647790100450146E-52</v>
      </c>
      <c r="DH6" s="36" t="s">
        <v>330</v>
      </c>
      <c r="DI6" s="64">
        <v>1.7267780293728806E-56</v>
      </c>
      <c r="DQ6" s="36" t="s">
        <v>330</v>
      </c>
      <c r="DR6" s="40">
        <v>6.5974595925364273E-57</v>
      </c>
      <c r="DZ6" s="36" t="s">
        <v>330</v>
      </c>
      <c r="EA6" s="40">
        <v>1.4560947677948997E-56</v>
      </c>
      <c r="EI6" s="36" t="s">
        <v>330</v>
      </c>
      <c r="EJ6" s="40">
        <v>1.1333653255067408E-55</v>
      </c>
      <c r="ER6" s="36" t="s">
        <v>330</v>
      </c>
      <c r="ES6" s="40">
        <v>1.1198325717072325E-55</v>
      </c>
      <c r="FA6" s="36" t="s">
        <v>350</v>
      </c>
      <c r="FB6" s="44">
        <f>_xll.StatCorrelationCoeff( ST_BusinessTravelTravelFrequently,ST_Attrition_2)</f>
        <v>0.11514276554505018</v>
      </c>
      <c r="FC6" s="44"/>
      <c r="FD6" s="44">
        <f>_xll.StatCorrelationCoeff( ST_BusinessTravelTravelFrequently,ST_BusinessTravelTravelRarely)</f>
        <v>-0.75309173161410548</v>
      </c>
      <c r="FE6" s="44">
        <v>1</v>
      </c>
      <c r="FF6" s="44"/>
      <c r="FG6" s="44"/>
      <c r="FH6" s="44"/>
      <c r="FI6" s="44"/>
      <c r="FJ6" s="44"/>
      <c r="FK6" s="44"/>
      <c r="FL6" s="44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44"/>
      <c r="FX6" s="44"/>
      <c r="FY6" s="44"/>
      <c r="FZ6" s="44"/>
      <c r="GA6" s="44"/>
      <c r="GB6" s="44"/>
      <c r="GD6" s="36" t="s">
        <v>18</v>
      </c>
      <c r="GE6" s="44">
        <f>_xll.StatCorrelationCoeff( ST_MonthlyIncome_38,ST_DepartmentSales)</f>
        <v>6.3977519765505836E-2</v>
      </c>
      <c r="GF6" s="44">
        <f>_xll.StatCorrelationCoeff( ST_MonthlyIncome_38,ST_DepartmentRD)</f>
        <v>-6.4720452248008681E-2</v>
      </c>
      <c r="GG6" s="75">
        <f>_xll.StatCorrelationCoeff( ST_MonthlyIncome_38,ST_JobLevel_24)</f>
        <v>0.95029991347985387</v>
      </c>
      <c r="GH6" s="44">
        <v>1</v>
      </c>
      <c r="GI6" s="44"/>
    </row>
    <row r="7" spans="1:191" ht="15" customHeight="1" thickBot="1" x14ac:dyDescent="0.3">
      <c r="A7" s="58">
        <v>32</v>
      </c>
      <c r="B7" s="59">
        <v>0</v>
      </c>
      <c r="C7" s="59">
        <v>2</v>
      </c>
      <c r="D7" s="59">
        <f t="shared" si="0"/>
        <v>0</v>
      </c>
      <c r="E7" s="59">
        <f t="shared" si="1"/>
        <v>1</v>
      </c>
      <c r="F7" s="59">
        <v>1005</v>
      </c>
      <c r="G7" s="59">
        <v>2</v>
      </c>
      <c r="H7" s="59">
        <f t="shared" si="2"/>
        <v>0</v>
      </c>
      <c r="I7" s="59">
        <f t="shared" si="3"/>
        <v>1</v>
      </c>
      <c r="J7" s="59">
        <v>2</v>
      </c>
      <c r="K7" s="59">
        <v>2</v>
      </c>
      <c r="L7" s="59">
        <v>1</v>
      </c>
      <c r="M7" s="59">
        <f t="shared" si="4"/>
        <v>1</v>
      </c>
      <c r="N7" s="59">
        <f t="shared" si="5"/>
        <v>0</v>
      </c>
      <c r="O7" s="59">
        <f t="shared" si="6"/>
        <v>0</v>
      </c>
      <c r="P7" s="59">
        <f t="shared" si="7"/>
        <v>0</v>
      </c>
      <c r="Q7" s="59">
        <f t="shared" si="8"/>
        <v>0</v>
      </c>
      <c r="R7" s="59">
        <v>1</v>
      </c>
      <c r="S7" s="59">
        <v>8</v>
      </c>
      <c r="T7" s="59">
        <v>4</v>
      </c>
      <c r="U7" s="59">
        <v>1</v>
      </c>
      <c r="V7" s="59">
        <v>79</v>
      </c>
      <c r="W7" s="59">
        <v>3</v>
      </c>
      <c r="X7" s="59">
        <v>1</v>
      </c>
      <c r="Y7" s="59">
        <v>3</v>
      </c>
      <c r="Z7" s="59">
        <f t="shared" si="9"/>
        <v>0</v>
      </c>
      <c r="AA7" s="59">
        <f>IF('Updated Dummy'!Y7=2,1,0)</f>
        <v>0</v>
      </c>
      <c r="AB7" s="59">
        <f t="shared" si="10"/>
        <v>1</v>
      </c>
      <c r="AC7" s="59">
        <f t="shared" si="11"/>
        <v>0</v>
      </c>
      <c r="AD7" s="59">
        <f t="shared" si="12"/>
        <v>0</v>
      </c>
      <c r="AE7" s="59">
        <f t="shared" si="13"/>
        <v>0</v>
      </c>
      <c r="AF7" s="59">
        <f t="shared" si="14"/>
        <v>0</v>
      </c>
      <c r="AG7" s="59">
        <f t="shared" si="15"/>
        <v>0</v>
      </c>
      <c r="AH7" s="59">
        <v>4</v>
      </c>
      <c r="AI7" s="59">
        <v>1</v>
      </c>
      <c r="AJ7" s="59">
        <f t="shared" si="16"/>
        <v>1</v>
      </c>
      <c r="AK7" s="59">
        <f t="shared" si="17"/>
        <v>0</v>
      </c>
      <c r="AL7" s="59">
        <v>3068</v>
      </c>
      <c r="AM7" s="59">
        <v>11864</v>
      </c>
      <c r="AN7" s="59">
        <v>0</v>
      </c>
      <c r="AO7" s="59">
        <v>0</v>
      </c>
      <c r="AP7" s="59">
        <v>13</v>
      </c>
      <c r="AQ7" s="59">
        <v>3</v>
      </c>
      <c r="AR7" s="59">
        <v>3</v>
      </c>
      <c r="AS7" s="59">
        <v>80</v>
      </c>
      <c r="AT7" s="59">
        <v>0</v>
      </c>
      <c r="AU7" s="59">
        <v>8</v>
      </c>
      <c r="AV7" s="59">
        <v>2</v>
      </c>
      <c r="AW7" s="59">
        <v>2</v>
      </c>
      <c r="AX7" s="59">
        <v>7</v>
      </c>
      <c r="AY7" s="59">
        <v>7</v>
      </c>
      <c r="AZ7" s="59">
        <v>3</v>
      </c>
      <c r="BA7" s="59">
        <v>6</v>
      </c>
      <c r="BB7" s="57">
        <f t="shared" si="18"/>
        <v>3068</v>
      </c>
      <c r="BD7" s="63">
        <f>_xll.StatCorrelationCoeff( ST_DailyRate_6,ST_Age_1)</f>
        <v>1.066094264553815E-2</v>
      </c>
      <c r="BO7" s="37"/>
      <c r="BP7" s="48" t="s">
        <v>332</v>
      </c>
      <c r="BQ7" s="34" t="s">
        <v>333</v>
      </c>
      <c r="BR7" s="34" t="s">
        <v>335</v>
      </c>
      <c r="BS7" s="48" t="s">
        <v>330</v>
      </c>
      <c r="BT7" s="34" t="s">
        <v>336</v>
      </c>
      <c r="BU7" s="34" t="s">
        <v>338</v>
      </c>
      <c r="BV7" s="48" t="s">
        <v>339</v>
      </c>
      <c r="BX7" s="38" t="s">
        <v>322</v>
      </c>
      <c r="BY7" s="46"/>
      <c r="BZ7" s="35" t="s">
        <v>334</v>
      </c>
      <c r="CA7" s="35" t="s">
        <v>87</v>
      </c>
      <c r="CB7" s="46"/>
      <c r="CC7" s="35" t="s">
        <v>337</v>
      </c>
      <c r="CD7" s="35" t="s">
        <v>337</v>
      </c>
      <c r="CE7" s="46"/>
      <c r="CG7" s="36" t="s">
        <v>331</v>
      </c>
      <c r="CH7" s="33">
        <v>1.4328962617056815</v>
      </c>
      <c r="CI7" s="39">
        <v>0.73573125036653697</v>
      </c>
      <c r="CJ7" s="39">
        <v>1.9475810779980067</v>
      </c>
      <c r="CK7" s="40">
        <v>5.1465109687076627E-2</v>
      </c>
      <c r="CL7" s="39">
        <v>-9.1369890127308562E-3</v>
      </c>
      <c r="CM7" s="39">
        <v>2.8749295124240941</v>
      </c>
      <c r="CN7" s="39">
        <v>4.1908193414625465</v>
      </c>
      <c r="CP7" s="36" t="s">
        <v>0</v>
      </c>
      <c r="CQ7" s="33">
        <v>-2.9028314568327548E-2</v>
      </c>
      <c r="CR7" s="39">
        <v>1.083689016531433E-2</v>
      </c>
      <c r="CS7" s="39">
        <v>-2.6786572647232849</v>
      </c>
      <c r="CT7" s="40">
        <v>7.3918011585536458E-3</v>
      </c>
      <c r="CU7" s="39">
        <v>-5.0268619292343636E-2</v>
      </c>
      <c r="CV7" s="39">
        <v>-7.788009844311463E-3</v>
      </c>
      <c r="CW7" s="39">
        <v>0.97138895961814298</v>
      </c>
      <c r="DH7" s="36" t="s">
        <v>557</v>
      </c>
      <c r="DI7" s="47">
        <f>1-DI4/DI3</f>
        <v>0.25541237529095551</v>
      </c>
      <c r="DR7">
        <f>1-DR4/DR3</f>
        <v>0.25016127696573287</v>
      </c>
      <c r="EJ7">
        <f>1-EJ4/EJ3</f>
        <v>0.24552393520834925</v>
      </c>
      <c r="ES7">
        <f>1-ES4/ES3</f>
        <v>0.24322287119555319</v>
      </c>
      <c r="FA7" s="36" t="s">
        <v>5</v>
      </c>
      <c r="FB7" s="44">
        <f>_xll.StatCorrelationCoeff( ST_DistanceFromHome_10,ST_Attrition_2)</f>
        <v>7.7923582955703577E-2</v>
      </c>
      <c r="FC7" s="44"/>
      <c r="FD7" s="44">
        <f>_xll.StatCorrelationCoeff( ST_DistanceFromHome_10,ST_BusinessTravelTravelRarely)</f>
        <v>-2.0116325486250967E-2</v>
      </c>
      <c r="FE7" s="44">
        <f>_xll.StatCorrelationCoeff( ST_DistanceFromHome_10,ST_BusinessTravelTravelFrequently)</f>
        <v>5.0814093418117615E-3</v>
      </c>
      <c r="FF7" s="44">
        <v>1</v>
      </c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4"/>
      <c r="GA7" s="44"/>
      <c r="GB7" s="44"/>
      <c r="GD7" s="36" t="s">
        <v>22</v>
      </c>
      <c r="GE7" s="44">
        <f>_xll.StatCorrelationCoeff( ST_OverTime_41,ST_DepartmentSales)</f>
        <v>5.8638040927250622E-3</v>
      </c>
      <c r="GF7" s="44">
        <f>_xll.StatCorrelationCoeff( ST_OverTime_41,ST_DepartmentRD)</f>
        <v>-3.0359720214997213E-3</v>
      </c>
      <c r="GG7" s="44">
        <f>_xll.StatCorrelationCoeff( ST_OverTime_41,ST_JobLevel_24)</f>
        <v>5.4404777488093023E-4</v>
      </c>
      <c r="GH7" s="44">
        <f>_xll.StatCorrelationCoeff( ST_OverTime_41,ST_MonthlyIncome_38)</f>
        <v>6.089285402589904E-3</v>
      </c>
      <c r="GI7" s="44">
        <v>1</v>
      </c>
    </row>
    <row r="8" spans="1:191" ht="15" customHeight="1" thickTop="1" thickBot="1" x14ac:dyDescent="0.3">
      <c r="A8" s="58">
        <v>59</v>
      </c>
      <c r="B8" s="59">
        <v>0</v>
      </c>
      <c r="C8" s="59">
        <v>1</v>
      </c>
      <c r="D8" s="59">
        <f t="shared" si="0"/>
        <v>1</v>
      </c>
      <c r="E8" s="59">
        <f t="shared" si="1"/>
        <v>0</v>
      </c>
      <c r="F8" s="59">
        <v>1324</v>
      </c>
      <c r="G8" s="59">
        <v>2</v>
      </c>
      <c r="H8" s="59">
        <f t="shared" si="2"/>
        <v>0</v>
      </c>
      <c r="I8" s="59">
        <f t="shared" si="3"/>
        <v>1</v>
      </c>
      <c r="J8" s="59">
        <v>3</v>
      </c>
      <c r="K8" s="59">
        <v>3</v>
      </c>
      <c r="L8" s="59">
        <v>3</v>
      </c>
      <c r="M8" s="59">
        <f t="shared" si="4"/>
        <v>0</v>
      </c>
      <c r="N8" s="59">
        <f t="shared" si="5"/>
        <v>0</v>
      </c>
      <c r="O8" s="59">
        <f t="shared" si="6"/>
        <v>1</v>
      </c>
      <c r="P8" s="59">
        <f t="shared" si="7"/>
        <v>0</v>
      </c>
      <c r="Q8" s="59">
        <f t="shared" si="8"/>
        <v>0</v>
      </c>
      <c r="R8" s="59">
        <v>1</v>
      </c>
      <c r="S8" s="59">
        <v>10</v>
      </c>
      <c r="T8" s="59">
        <v>3</v>
      </c>
      <c r="U8" s="59">
        <v>0</v>
      </c>
      <c r="V8" s="59">
        <v>81</v>
      </c>
      <c r="W8" s="59">
        <v>4</v>
      </c>
      <c r="X8" s="59">
        <v>1</v>
      </c>
      <c r="Y8" s="59">
        <v>3</v>
      </c>
      <c r="Z8" s="59">
        <f t="shared" si="9"/>
        <v>0</v>
      </c>
      <c r="AA8" s="59">
        <f>IF('Updated Dummy'!Y8=2,1,0)</f>
        <v>0</v>
      </c>
      <c r="AB8" s="59">
        <f t="shared" si="10"/>
        <v>1</v>
      </c>
      <c r="AC8" s="59">
        <f t="shared" si="11"/>
        <v>0</v>
      </c>
      <c r="AD8" s="59">
        <f t="shared" si="12"/>
        <v>0</v>
      </c>
      <c r="AE8" s="59">
        <f t="shared" si="13"/>
        <v>0</v>
      </c>
      <c r="AF8" s="59">
        <f t="shared" si="14"/>
        <v>0</v>
      </c>
      <c r="AG8" s="59">
        <f t="shared" si="15"/>
        <v>0</v>
      </c>
      <c r="AH8" s="59">
        <v>1</v>
      </c>
      <c r="AI8" s="59">
        <v>2</v>
      </c>
      <c r="AJ8" s="59">
        <f t="shared" si="16"/>
        <v>0</v>
      </c>
      <c r="AK8" s="59">
        <f t="shared" si="17"/>
        <v>1</v>
      </c>
      <c r="AL8" s="59">
        <v>2670</v>
      </c>
      <c r="AM8" s="59">
        <v>9964</v>
      </c>
      <c r="AN8" s="59">
        <v>4</v>
      </c>
      <c r="AO8" s="59">
        <v>1</v>
      </c>
      <c r="AP8" s="59">
        <v>20</v>
      </c>
      <c r="AQ8" s="59">
        <v>4</v>
      </c>
      <c r="AR8" s="59">
        <v>1</v>
      </c>
      <c r="AS8" s="59">
        <v>80</v>
      </c>
      <c r="AT8" s="59">
        <v>3</v>
      </c>
      <c r="AU8" s="59">
        <v>12</v>
      </c>
      <c r="AV8" s="59">
        <v>3</v>
      </c>
      <c r="AW8" s="59">
        <v>2</v>
      </c>
      <c r="AX8" s="59">
        <v>1</v>
      </c>
      <c r="AY8" s="59">
        <v>0</v>
      </c>
      <c r="AZ8" s="59">
        <v>0</v>
      </c>
      <c r="BA8" s="59">
        <v>0</v>
      </c>
      <c r="BB8" s="57">
        <f t="shared" si="18"/>
        <v>2670</v>
      </c>
      <c r="BD8" s="63">
        <f>_xll.StatCorrelationCoeff( ST_DepartmentSales,ST_Age_1)</f>
        <v>-2.7548733210149653E-2</v>
      </c>
      <c r="BF8" s="37"/>
      <c r="BG8" s="48" t="s">
        <v>332</v>
      </c>
      <c r="BH8" s="34" t="s">
        <v>333</v>
      </c>
      <c r="BI8" s="34" t="s">
        <v>335</v>
      </c>
      <c r="BJ8" s="48" t="s">
        <v>330</v>
      </c>
      <c r="BK8" s="34" t="s">
        <v>336</v>
      </c>
      <c r="BL8" s="34" t="s">
        <v>338</v>
      </c>
      <c r="BM8" s="48" t="s">
        <v>339</v>
      </c>
      <c r="BO8" s="38" t="s">
        <v>322</v>
      </c>
      <c r="BP8" s="49"/>
      <c r="BQ8" s="35" t="s">
        <v>334</v>
      </c>
      <c r="BR8" s="35" t="s">
        <v>87</v>
      </c>
      <c r="BS8" s="49"/>
      <c r="BT8" s="35" t="s">
        <v>337</v>
      </c>
      <c r="BU8" s="35" t="s">
        <v>337</v>
      </c>
      <c r="BV8" s="49"/>
      <c r="BX8" s="36" t="s">
        <v>331</v>
      </c>
      <c r="BY8" s="33">
        <v>1.6710731840900668</v>
      </c>
      <c r="BZ8" s="39">
        <v>0.75758880915631233</v>
      </c>
      <c r="CA8" s="39">
        <v>2.2057786016547092</v>
      </c>
      <c r="CB8" s="40">
        <v>2.7399505263893342E-2</v>
      </c>
      <c r="CC8" s="39">
        <v>0.18619911814369461</v>
      </c>
      <c r="CD8" s="39">
        <v>3.1559472500364389</v>
      </c>
      <c r="CE8" s="39">
        <v>5.3178717913152918</v>
      </c>
      <c r="CG8" s="36" t="s">
        <v>0</v>
      </c>
      <c r="CH8" s="33">
        <v>-2.8587863384540686E-2</v>
      </c>
      <c r="CI8" s="39">
        <v>1.0418809557088526E-2</v>
      </c>
      <c r="CJ8" s="39">
        <v>-2.743870422805712</v>
      </c>
      <c r="CK8" s="40">
        <v>6.0719500184114317E-3</v>
      </c>
      <c r="CL8" s="39">
        <v>-4.9008730116434196E-2</v>
      </c>
      <c r="CM8" s="39">
        <v>-8.1669966526471752E-3</v>
      </c>
      <c r="CN8" s="39">
        <v>0.97181690327255055</v>
      </c>
      <c r="CP8" s="36" t="s">
        <v>349</v>
      </c>
      <c r="CQ8" s="33">
        <v>0.76779361536316204</v>
      </c>
      <c r="CR8" s="39">
        <v>0.35540027470259478</v>
      </c>
      <c r="CS8" s="39">
        <v>2.1603630329370604</v>
      </c>
      <c r="CT8" s="40">
        <v>3.0744576857030026E-2</v>
      </c>
      <c r="CU8" s="39">
        <v>7.1209076946076255E-2</v>
      </c>
      <c r="CV8" s="39">
        <v>1.4643781537802478</v>
      </c>
      <c r="CW8" s="39">
        <v>2.1550062318540673</v>
      </c>
      <c r="CY8" s="37"/>
      <c r="CZ8" s="48" t="s">
        <v>332</v>
      </c>
      <c r="DA8" s="34" t="s">
        <v>333</v>
      </c>
      <c r="DB8" s="34" t="s">
        <v>335</v>
      </c>
      <c r="DC8" s="48" t="s">
        <v>330</v>
      </c>
      <c r="DD8" s="34" t="s">
        <v>336</v>
      </c>
      <c r="DE8" s="34" t="s">
        <v>338</v>
      </c>
      <c r="DF8" s="48" t="s">
        <v>339</v>
      </c>
      <c r="DH8" s="37"/>
      <c r="DI8" s="48" t="s">
        <v>332</v>
      </c>
      <c r="DJ8" s="34" t="s">
        <v>333</v>
      </c>
      <c r="DK8" s="34" t="s">
        <v>335</v>
      </c>
      <c r="DL8" s="48" t="s">
        <v>330</v>
      </c>
      <c r="DM8" s="34" t="s">
        <v>336</v>
      </c>
      <c r="DN8" s="34" t="s">
        <v>338</v>
      </c>
      <c r="DO8" s="48" t="s">
        <v>339</v>
      </c>
      <c r="DQ8" s="37"/>
      <c r="DR8" s="48" t="s">
        <v>332</v>
      </c>
      <c r="DS8" s="34" t="s">
        <v>333</v>
      </c>
      <c r="DT8" s="34" t="s">
        <v>335</v>
      </c>
      <c r="DU8" s="48" t="s">
        <v>330</v>
      </c>
      <c r="DV8" s="34" t="s">
        <v>336</v>
      </c>
      <c r="DW8" s="34" t="s">
        <v>338</v>
      </c>
      <c r="DX8" s="48" t="s">
        <v>339</v>
      </c>
      <c r="DZ8" s="37"/>
      <c r="EA8" s="48" t="s">
        <v>332</v>
      </c>
      <c r="EB8" s="34" t="s">
        <v>333</v>
      </c>
      <c r="EC8" s="34" t="s">
        <v>335</v>
      </c>
      <c r="ED8" s="48" t="s">
        <v>330</v>
      </c>
      <c r="EE8" s="34" t="s">
        <v>336</v>
      </c>
      <c r="EF8" s="34" t="s">
        <v>338</v>
      </c>
      <c r="EG8" s="48" t="s">
        <v>339</v>
      </c>
      <c r="EI8" s="37"/>
      <c r="EJ8" s="48" t="s">
        <v>332</v>
      </c>
      <c r="EK8" s="34" t="s">
        <v>333</v>
      </c>
      <c r="EL8" s="34" t="s">
        <v>335</v>
      </c>
      <c r="EM8" s="48" t="s">
        <v>330</v>
      </c>
      <c r="EN8" s="34" t="s">
        <v>336</v>
      </c>
      <c r="EO8" s="34" t="s">
        <v>338</v>
      </c>
      <c r="EP8" s="48" t="s">
        <v>339</v>
      </c>
      <c r="ER8" s="37"/>
      <c r="ES8" s="48" t="s">
        <v>332</v>
      </c>
      <c r="ET8" s="34" t="s">
        <v>333</v>
      </c>
      <c r="EU8" s="34" t="s">
        <v>335</v>
      </c>
      <c r="EV8" s="48" t="s">
        <v>330</v>
      </c>
      <c r="EW8" s="34" t="s">
        <v>336</v>
      </c>
      <c r="EX8" s="34" t="s">
        <v>338</v>
      </c>
      <c r="EY8" s="48" t="s">
        <v>339</v>
      </c>
      <c r="FA8" s="36" t="s">
        <v>10</v>
      </c>
      <c r="FB8" s="44">
        <f>_xll.StatCorrelationCoeff( ST_EnvironmentSatisfaction_20,ST_Attrition_2)</f>
        <v>-0.10336897833793524</v>
      </c>
      <c r="FC8" s="44"/>
      <c r="FD8" s="44">
        <f>_xll.StatCorrelationCoeff( ST_EnvironmentSatisfaction_20,ST_BusinessTravelTravelRarely)</f>
        <v>8.4956546815890197E-3</v>
      </c>
      <c r="FE8" s="44">
        <f>_xll.StatCorrelationCoeff( ST_EnvironmentSatisfaction_20,ST_BusinessTravelTravelFrequently)</f>
        <v>-1.2624212515110481E-2</v>
      </c>
      <c r="FF8" s="44">
        <f>_xll.StatCorrelationCoeff( ST_EnvironmentSatisfaction_20,ST_DistanceFromHome_10)</f>
        <v>-1.6075326996493468E-2</v>
      </c>
      <c r="FG8" s="44">
        <v>1</v>
      </c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</row>
    <row r="9" spans="1:191" ht="15" customHeight="1" thickTop="1" thickBot="1" x14ac:dyDescent="0.3">
      <c r="A9" s="58">
        <v>30</v>
      </c>
      <c r="B9" s="59">
        <v>0</v>
      </c>
      <c r="C9" s="59">
        <v>1</v>
      </c>
      <c r="D9" s="59">
        <f t="shared" si="0"/>
        <v>1</v>
      </c>
      <c r="E9" s="59">
        <f t="shared" si="1"/>
        <v>0</v>
      </c>
      <c r="F9" s="59">
        <v>1358</v>
      </c>
      <c r="G9" s="59">
        <v>2</v>
      </c>
      <c r="H9" s="59">
        <f t="shared" si="2"/>
        <v>0</v>
      </c>
      <c r="I9" s="59">
        <f t="shared" si="3"/>
        <v>1</v>
      </c>
      <c r="J9" s="59">
        <v>24</v>
      </c>
      <c r="K9" s="59">
        <v>1</v>
      </c>
      <c r="L9" s="59">
        <v>1</v>
      </c>
      <c r="M9" s="59">
        <f t="shared" si="4"/>
        <v>1</v>
      </c>
      <c r="N9" s="59">
        <f t="shared" si="5"/>
        <v>0</v>
      </c>
      <c r="O9" s="59">
        <f t="shared" si="6"/>
        <v>0</v>
      </c>
      <c r="P9" s="59">
        <f t="shared" si="7"/>
        <v>0</v>
      </c>
      <c r="Q9" s="59">
        <f t="shared" si="8"/>
        <v>0</v>
      </c>
      <c r="R9" s="59">
        <v>1</v>
      </c>
      <c r="S9" s="59">
        <v>11</v>
      </c>
      <c r="T9" s="59">
        <v>4</v>
      </c>
      <c r="U9" s="59">
        <v>1</v>
      </c>
      <c r="V9" s="59">
        <v>67</v>
      </c>
      <c r="W9" s="59">
        <v>3</v>
      </c>
      <c r="X9" s="59">
        <v>1</v>
      </c>
      <c r="Y9" s="59">
        <v>3</v>
      </c>
      <c r="Z9" s="59">
        <f t="shared" si="9"/>
        <v>0</v>
      </c>
      <c r="AA9" s="59">
        <f>IF('Updated Dummy'!Y9=2,1,0)</f>
        <v>0</v>
      </c>
      <c r="AB9" s="59">
        <f t="shared" si="10"/>
        <v>1</v>
      </c>
      <c r="AC9" s="59">
        <f t="shared" si="11"/>
        <v>0</v>
      </c>
      <c r="AD9" s="59">
        <f t="shared" si="12"/>
        <v>0</v>
      </c>
      <c r="AE9" s="59">
        <f t="shared" si="13"/>
        <v>0</v>
      </c>
      <c r="AF9" s="59">
        <f t="shared" si="14"/>
        <v>0</v>
      </c>
      <c r="AG9" s="59">
        <f t="shared" si="15"/>
        <v>0</v>
      </c>
      <c r="AH9" s="59">
        <v>3</v>
      </c>
      <c r="AI9" s="59">
        <v>3</v>
      </c>
      <c r="AJ9" s="59">
        <f t="shared" si="16"/>
        <v>0</v>
      </c>
      <c r="AK9" s="59">
        <f t="shared" si="17"/>
        <v>0</v>
      </c>
      <c r="AL9" s="59">
        <v>2693</v>
      </c>
      <c r="AM9" s="59">
        <v>13335</v>
      </c>
      <c r="AN9" s="59">
        <v>1</v>
      </c>
      <c r="AO9" s="59">
        <v>0</v>
      </c>
      <c r="AP9" s="59">
        <v>22</v>
      </c>
      <c r="AQ9" s="59">
        <v>4</v>
      </c>
      <c r="AR9" s="59">
        <v>2</v>
      </c>
      <c r="AS9" s="59">
        <v>80</v>
      </c>
      <c r="AT9" s="59">
        <v>1</v>
      </c>
      <c r="AU9" s="59">
        <v>1</v>
      </c>
      <c r="AV9" s="59">
        <v>2</v>
      </c>
      <c r="AW9" s="59">
        <v>3</v>
      </c>
      <c r="AX9" s="59">
        <v>1</v>
      </c>
      <c r="AY9" s="59">
        <v>0</v>
      </c>
      <c r="AZ9" s="59">
        <v>0</v>
      </c>
      <c r="BA9" s="59">
        <v>0</v>
      </c>
      <c r="BB9" s="57">
        <f t="shared" si="18"/>
        <v>2693</v>
      </c>
      <c r="BD9" s="63">
        <f>_xll.StatCorrelationCoeff( ST_DepartmentRD,ST_Age_1)</f>
        <v>1.7882960258384789E-2</v>
      </c>
      <c r="BF9" s="38" t="s">
        <v>322</v>
      </c>
      <c r="BG9" s="49"/>
      <c r="BH9" s="35" t="s">
        <v>334</v>
      </c>
      <c r="BI9" s="35" t="s">
        <v>87</v>
      </c>
      <c r="BJ9" s="49"/>
      <c r="BK9" s="35" t="s">
        <v>337</v>
      </c>
      <c r="BL9" s="35" t="s">
        <v>337</v>
      </c>
      <c r="BM9" s="49"/>
      <c r="BO9" s="36" t="s">
        <v>331</v>
      </c>
      <c r="BP9" s="33">
        <v>2.2818402925119465</v>
      </c>
      <c r="BQ9" s="39">
        <v>0.71755481764653362</v>
      </c>
      <c r="BR9" s="39">
        <v>3.1800222594784073</v>
      </c>
      <c r="BS9" s="40">
        <v>1.4726373977633767E-3</v>
      </c>
      <c r="BT9" s="39">
        <v>0.87543284992474057</v>
      </c>
      <c r="BU9" s="39">
        <v>3.6882477350991527</v>
      </c>
      <c r="BV9" s="39">
        <v>9.7946889266654562</v>
      </c>
      <c r="BX9" s="36" t="s">
        <v>0</v>
      </c>
      <c r="BY9" s="33">
        <v>-2.8557460489991863E-2</v>
      </c>
      <c r="BZ9" s="39">
        <v>1.0441276085556724E-2</v>
      </c>
      <c r="CA9" s="39">
        <v>-2.7350546289543107</v>
      </c>
      <c r="CB9" s="40">
        <v>6.2369924155492029E-3</v>
      </c>
      <c r="CC9" s="39">
        <v>-4.9022361617683044E-2</v>
      </c>
      <c r="CD9" s="39">
        <v>-8.0925593623006851E-3</v>
      </c>
      <c r="CE9" s="39">
        <v>0.97184644976852874</v>
      </c>
      <c r="CG9" s="36" t="s">
        <v>349</v>
      </c>
      <c r="CH9" s="33">
        <v>0.76704907348881846</v>
      </c>
      <c r="CI9" s="39">
        <v>0.35532276509068922</v>
      </c>
      <c r="CJ9" s="39">
        <v>2.1587388955870703</v>
      </c>
      <c r="CK9" s="40">
        <v>3.0870429403892841E-2</v>
      </c>
      <c r="CL9" s="39">
        <v>7.0616453911067634E-2</v>
      </c>
      <c r="CM9" s="39">
        <v>1.4634816930665693</v>
      </c>
      <c r="CN9" s="39">
        <v>2.15340233663265</v>
      </c>
      <c r="CP9" s="36" t="s">
        <v>350</v>
      </c>
      <c r="CQ9" s="33">
        <v>1.5224983585179876</v>
      </c>
      <c r="CR9" s="39">
        <v>0.38048230730291549</v>
      </c>
      <c r="CS9" s="39">
        <v>4.0014958101740916</v>
      </c>
      <c r="CT9" s="40">
        <v>6.2943309955709736E-5</v>
      </c>
      <c r="CU9" s="39">
        <v>0.77675303620427327</v>
      </c>
      <c r="CV9" s="39">
        <v>2.2682436808317021</v>
      </c>
      <c r="CW9" s="39">
        <v>4.5836625342422552</v>
      </c>
      <c r="CY9" s="38" t="s">
        <v>322</v>
      </c>
      <c r="CZ9" s="49"/>
      <c r="DA9" s="35" t="s">
        <v>334</v>
      </c>
      <c r="DB9" s="35" t="s">
        <v>87</v>
      </c>
      <c r="DC9" s="49"/>
      <c r="DD9" s="35" t="s">
        <v>337</v>
      </c>
      <c r="DE9" s="35" t="s">
        <v>337</v>
      </c>
      <c r="DF9" s="49"/>
      <c r="DH9" s="74" t="s">
        <v>322</v>
      </c>
      <c r="DI9" s="49"/>
      <c r="DJ9" s="35" t="s">
        <v>334</v>
      </c>
      <c r="DK9" s="35" t="s">
        <v>87</v>
      </c>
      <c r="DL9" s="49"/>
      <c r="DM9" s="35" t="s">
        <v>337</v>
      </c>
      <c r="DN9" s="35" t="s">
        <v>337</v>
      </c>
      <c r="DO9" s="49"/>
      <c r="DQ9" s="38" t="s">
        <v>322</v>
      </c>
      <c r="DR9" s="49"/>
      <c r="DS9" s="35" t="s">
        <v>334</v>
      </c>
      <c r="DT9" s="35" t="s">
        <v>87</v>
      </c>
      <c r="DU9" s="49"/>
      <c r="DV9" s="35" t="s">
        <v>337</v>
      </c>
      <c r="DW9" s="35" t="s">
        <v>337</v>
      </c>
      <c r="DX9" s="49"/>
      <c r="DZ9" s="38" t="s">
        <v>322</v>
      </c>
      <c r="EA9" s="49"/>
      <c r="EB9" s="35" t="s">
        <v>334</v>
      </c>
      <c r="EC9" s="35" t="s">
        <v>87</v>
      </c>
      <c r="ED9" s="49"/>
      <c r="EE9" s="35" t="s">
        <v>337</v>
      </c>
      <c r="EF9" s="35" t="s">
        <v>337</v>
      </c>
      <c r="EG9" s="49"/>
      <c r="EI9" s="38" t="s">
        <v>322</v>
      </c>
      <c r="EJ9" s="49"/>
      <c r="EK9" s="35" t="s">
        <v>334</v>
      </c>
      <c r="EL9" s="35" t="s">
        <v>87</v>
      </c>
      <c r="EM9" s="49"/>
      <c r="EN9" s="35" t="s">
        <v>337</v>
      </c>
      <c r="EO9" s="35" t="s">
        <v>337</v>
      </c>
      <c r="EP9" s="49"/>
      <c r="ER9" s="38" t="s">
        <v>322</v>
      </c>
      <c r="ES9" s="49"/>
      <c r="ET9" s="35" t="s">
        <v>334</v>
      </c>
      <c r="EU9" s="35" t="s">
        <v>87</v>
      </c>
      <c r="EV9" s="49"/>
      <c r="EW9" s="35" t="s">
        <v>337</v>
      </c>
      <c r="EX9" s="35" t="s">
        <v>337</v>
      </c>
      <c r="EY9" s="49"/>
      <c r="FA9" s="36" t="s">
        <v>11</v>
      </c>
      <c r="FB9" s="44">
        <f>_xll.StatCorrelationCoeff( ST_Gender_21,ST_Attrition_2)</f>
        <v>2.9453253175140099E-2</v>
      </c>
      <c r="FC9" s="44"/>
      <c r="FD9" s="44">
        <f>_xll.StatCorrelationCoeff( ST_Gender_21,ST_BusinessTravelTravelRarely)</f>
        <v>-1.4681807474915603E-2</v>
      </c>
      <c r="FE9" s="44">
        <f>_xll.StatCorrelationCoeff( ST_Gender_21,ST_BusinessTravelTravelFrequently)</f>
        <v>-2.2015368655333139E-2</v>
      </c>
      <c r="FF9" s="44">
        <f>_xll.StatCorrelationCoeff( ST_Gender_21,ST_DistanceFromHome_10)</f>
        <v>-1.8505279911258251E-3</v>
      </c>
      <c r="FG9" s="44">
        <f>_xll.StatCorrelationCoeff( ST_Gender_21,ST_EnvironmentSatisfaction_20)</f>
        <v>5.0831388993109684E-4</v>
      </c>
      <c r="FH9" s="44">
        <v>1</v>
      </c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D9" s="37"/>
      <c r="GE9" s="34" t="s">
        <v>351</v>
      </c>
      <c r="GF9" s="34" t="s">
        <v>352</v>
      </c>
      <c r="GG9" s="34" t="s">
        <v>14</v>
      </c>
      <c r="GH9" s="34" t="s">
        <v>18</v>
      </c>
      <c r="GI9" s="34" t="s">
        <v>22</v>
      </c>
    </row>
    <row r="10" spans="1:191" ht="15" customHeight="1" thickTop="1" thickBot="1" x14ac:dyDescent="0.3">
      <c r="A10" s="58">
        <v>38</v>
      </c>
      <c r="B10" s="59">
        <v>0</v>
      </c>
      <c r="C10" s="59">
        <v>2</v>
      </c>
      <c r="D10" s="59">
        <f t="shared" si="0"/>
        <v>0</v>
      </c>
      <c r="E10" s="59">
        <f t="shared" si="1"/>
        <v>1</v>
      </c>
      <c r="F10" s="59">
        <v>216</v>
      </c>
      <c r="G10" s="59">
        <v>2</v>
      </c>
      <c r="H10" s="59">
        <f t="shared" si="2"/>
        <v>0</v>
      </c>
      <c r="I10" s="59">
        <f t="shared" si="3"/>
        <v>1</v>
      </c>
      <c r="J10" s="59">
        <v>23</v>
      </c>
      <c r="K10" s="59">
        <v>3</v>
      </c>
      <c r="L10" s="59">
        <v>1</v>
      </c>
      <c r="M10" s="59">
        <f t="shared" si="4"/>
        <v>1</v>
      </c>
      <c r="N10" s="59">
        <f t="shared" si="5"/>
        <v>0</v>
      </c>
      <c r="O10" s="59">
        <f t="shared" si="6"/>
        <v>0</v>
      </c>
      <c r="P10" s="59">
        <f t="shared" si="7"/>
        <v>0</v>
      </c>
      <c r="Q10" s="59">
        <f t="shared" si="8"/>
        <v>0</v>
      </c>
      <c r="R10" s="59">
        <v>1</v>
      </c>
      <c r="S10" s="59">
        <v>12</v>
      </c>
      <c r="T10" s="59">
        <v>4</v>
      </c>
      <c r="U10" s="59">
        <v>1</v>
      </c>
      <c r="V10" s="59">
        <v>44</v>
      </c>
      <c r="W10" s="59">
        <v>2</v>
      </c>
      <c r="X10" s="59">
        <v>3</v>
      </c>
      <c r="Y10" s="59">
        <v>4</v>
      </c>
      <c r="Z10" s="59">
        <f t="shared" si="9"/>
        <v>0</v>
      </c>
      <c r="AA10" s="59">
        <f>IF('Updated Dummy'!Y10=2,1,0)</f>
        <v>0</v>
      </c>
      <c r="AB10" s="59">
        <f t="shared" si="10"/>
        <v>0</v>
      </c>
      <c r="AC10" s="59">
        <f t="shared" si="11"/>
        <v>1</v>
      </c>
      <c r="AD10" s="59">
        <f t="shared" si="12"/>
        <v>0</v>
      </c>
      <c r="AE10" s="59">
        <f t="shared" si="13"/>
        <v>0</v>
      </c>
      <c r="AF10" s="59">
        <f t="shared" si="14"/>
        <v>0</v>
      </c>
      <c r="AG10" s="59">
        <f t="shared" si="15"/>
        <v>0</v>
      </c>
      <c r="AH10" s="59">
        <v>3</v>
      </c>
      <c r="AI10" s="59">
        <v>1</v>
      </c>
      <c r="AJ10" s="59">
        <f t="shared" si="16"/>
        <v>1</v>
      </c>
      <c r="AK10" s="59">
        <f t="shared" si="17"/>
        <v>0</v>
      </c>
      <c r="AL10" s="59">
        <v>9526</v>
      </c>
      <c r="AM10" s="59">
        <v>8787</v>
      </c>
      <c r="AN10" s="59">
        <v>0</v>
      </c>
      <c r="AO10" s="59">
        <v>0</v>
      </c>
      <c r="AP10" s="59">
        <v>21</v>
      </c>
      <c r="AQ10" s="59">
        <v>4</v>
      </c>
      <c r="AR10" s="59">
        <v>2</v>
      </c>
      <c r="AS10" s="59">
        <v>80</v>
      </c>
      <c r="AT10" s="59">
        <v>0</v>
      </c>
      <c r="AU10" s="59">
        <v>10</v>
      </c>
      <c r="AV10" s="59">
        <v>2</v>
      </c>
      <c r="AW10" s="59">
        <v>3</v>
      </c>
      <c r="AX10" s="59">
        <v>9</v>
      </c>
      <c r="AY10" s="59">
        <v>7</v>
      </c>
      <c r="AZ10" s="59">
        <v>1</v>
      </c>
      <c r="BA10" s="59">
        <v>8</v>
      </c>
      <c r="BB10" s="57">
        <f t="shared" si="18"/>
        <v>28578</v>
      </c>
      <c r="BD10" s="63">
        <f>_xll.StatCorrelationCoeff( ST_DistanceFromHome_10,ST_Age_1)</f>
        <v>-1.6861201480870137E-3</v>
      </c>
      <c r="BF10" s="36" t="s">
        <v>331</v>
      </c>
      <c r="BG10" s="33">
        <v>2.1254276896941176</v>
      </c>
      <c r="BH10" s="39">
        <v>0.76354693826485631</v>
      </c>
      <c r="BI10" s="39">
        <v>2.7836241404151334</v>
      </c>
      <c r="BJ10" s="40">
        <v>5.3755287035901489E-3</v>
      </c>
      <c r="BK10" s="39">
        <v>0.62887569069499927</v>
      </c>
      <c r="BL10" s="39">
        <v>3.6219796886932358</v>
      </c>
      <c r="BM10" s="39">
        <v>8.3764792559808399</v>
      </c>
      <c r="BO10" s="36" t="s">
        <v>0</v>
      </c>
      <c r="BP10" s="33">
        <v>-3.0616833710176566E-2</v>
      </c>
      <c r="BQ10" s="39">
        <v>1.0434155798035841E-2</v>
      </c>
      <c r="BR10" s="39">
        <v>-2.9342894914354236</v>
      </c>
      <c r="BS10" s="40">
        <v>3.3431224000970428E-3</v>
      </c>
      <c r="BT10" s="39">
        <v>-5.1067779074326816E-2</v>
      </c>
      <c r="BU10" s="39">
        <v>-1.0165888346026317E-2</v>
      </c>
      <c r="BV10" s="39">
        <v>0.96984711461098594</v>
      </c>
      <c r="BX10" s="36" t="s">
        <v>349</v>
      </c>
      <c r="BY10" s="33">
        <v>0.75946907481308423</v>
      </c>
      <c r="BZ10" s="39">
        <v>0.35591902498165967</v>
      </c>
      <c r="CA10" s="39">
        <v>2.1338254532817382</v>
      </c>
      <c r="CB10" s="40">
        <v>3.2857071523320291E-2</v>
      </c>
      <c r="CC10" s="39">
        <v>6.1867785849031298E-2</v>
      </c>
      <c r="CD10" s="39">
        <v>1.4570703637771372</v>
      </c>
      <c r="CE10" s="39">
        <v>2.1371412571117578</v>
      </c>
      <c r="CG10" s="36" t="s">
        <v>350</v>
      </c>
      <c r="CH10" s="33">
        <v>1.5216737772151137</v>
      </c>
      <c r="CI10" s="39">
        <v>0.38038614389174769</v>
      </c>
      <c r="CJ10" s="39">
        <v>4.0003396591863236</v>
      </c>
      <c r="CK10" s="40">
        <v>6.3251632067995445E-5</v>
      </c>
      <c r="CL10" s="39">
        <v>0.77611693518728819</v>
      </c>
      <c r="CM10" s="39">
        <v>2.2672306192429392</v>
      </c>
      <c r="CN10" s="39">
        <v>4.579884489684356</v>
      </c>
      <c r="CP10" s="36" t="s">
        <v>10</v>
      </c>
      <c r="CQ10" s="33">
        <v>-0.3729288251702777</v>
      </c>
      <c r="CR10" s="39">
        <v>7.6324830065097951E-2</v>
      </c>
      <c r="CS10" s="39">
        <v>-4.8860747525045811</v>
      </c>
      <c r="CT10" s="40">
        <v>1.0286615577115299E-6</v>
      </c>
      <c r="CU10" s="39">
        <v>-0.52252549209786969</v>
      </c>
      <c r="CV10" s="39">
        <v>-0.22333215824268571</v>
      </c>
      <c r="CW10" s="39">
        <v>0.68871425021902011</v>
      </c>
      <c r="CY10" s="36" t="s">
        <v>331</v>
      </c>
      <c r="CZ10" s="33">
        <v>0.44028324164298038</v>
      </c>
      <c r="DA10" s="39">
        <v>0.78954036782976167</v>
      </c>
      <c r="DB10" s="39">
        <v>0.55764500408408879</v>
      </c>
      <c r="DC10" s="40">
        <v>0.57708681876378254</v>
      </c>
      <c r="DD10" s="39">
        <v>-1.1072158793033524</v>
      </c>
      <c r="DE10" s="39">
        <v>1.9877823625893134</v>
      </c>
      <c r="DF10" s="39">
        <v>1.5531470721444669</v>
      </c>
      <c r="DH10" s="36" t="s">
        <v>331</v>
      </c>
      <c r="DI10" s="67">
        <v>1.9879727964751122</v>
      </c>
      <c r="DJ10" s="68">
        <v>0.85323546050088517</v>
      </c>
      <c r="DK10" s="68">
        <v>2.3299228507311316</v>
      </c>
      <c r="DL10" s="66">
        <v>1.9810229052903416E-2</v>
      </c>
      <c r="DM10" s="68">
        <v>0.31563129389337719</v>
      </c>
      <c r="DN10" s="68">
        <v>3.6603142990568474</v>
      </c>
      <c r="DO10" s="68">
        <v>7.3007187081188203</v>
      </c>
      <c r="DQ10" s="36" t="s">
        <v>331</v>
      </c>
      <c r="DR10" s="33">
        <v>2.320221753568203</v>
      </c>
      <c r="DS10" s="39">
        <v>0.84177686788828887</v>
      </c>
      <c r="DT10" s="39">
        <v>2.7563382198762398</v>
      </c>
      <c r="DU10" s="40">
        <v>5.8452520421083953E-3</v>
      </c>
      <c r="DV10" s="39">
        <v>0.67033909250715684</v>
      </c>
      <c r="DW10" s="39">
        <v>3.9701044146292492</v>
      </c>
      <c r="DX10" s="39">
        <v>10.17793104837066</v>
      </c>
      <c r="DZ10" s="36" t="s">
        <v>331</v>
      </c>
      <c r="EA10" s="33">
        <v>2.0463828603470575</v>
      </c>
      <c r="EB10" s="39">
        <v>0.85258434923864679</v>
      </c>
      <c r="EC10" s="39">
        <v>2.4002116179759416</v>
      </c>
      <c r="ED10" s="40">
        <v>1.6385596085410681E-2</v>
      </c>
      <c r="EE10" s="39">
        <v>0.37531753583930993</v>
      </c>
      <c r="EF10" s="39">
        <v>3.7174481848548053</v>
      </c>
      <c r="EG10" s="39">
        <v>7.7398542784213378</v>
      </c>
      <c r="EI10" s="36" t="s">
        <v>331</v>
      </c>
      <c r="EJ10" s="33">
        <v>2.1895763875301033</v>
      </c>
      <c r="EK10" s="39">
        <v>0.84487653946029417</v>
      </c>
      <c r="EL10" s="39">
        <v>2.5915933101051678</v>
      </c>
      <c r="EM10" s="40">
        <v>9.5532630653729633E-3</v>
      </c>
      <c r="EN10" s="39">
        <v>0.53361837018792668</v>
      </c>
      <c r="EO10" s="39">
        <v>3.8455344048722799</v>
      </c>
      <c r="EP10" s="39">
        <v>8.931428848589924</v>
      </c>
      <c r="ER10" s="36" t="s">
        <v>331</v>
      </c>
      <c r="ES10" s="33">
        <v>2.3924847999682104</v>
      </c>
      <c r="ET10" s="39">
        <v>0.83604803632391234</v>
      </c>
      <c r="EU10" s="39">
        <v>2.8616594932606043</v>
      </c>
      <c r="EV10" s="40">
        <v>4.2142940300815557E-3</v>
      </c>
      <c r="EW10" s="39">
        <v>0.75383064877334216</v>
      </c>
      <c r="EX10" s="39">
        <v>4.0311389511630784</v>
      </c>
      <c r="EY10" s="39">
        <v>10.94064551158303</v>
      </c>
      <c r="FA10" s="36" t="s">
        <v>13</v>
      </c>
      <c r="FB10" s="44">
        <f>_xll.StatCorrelationCoeff( ST_JobInvolvement_23,ST_Attrition_2)</f>
        <v>-0.13001595678605382</v>
      </c>
      <c r="FC10" s="44"/>
      <c r="FD10" s="44">
        <f>_xll.StatCorrelationCoeff( ST_JobInvolvement_23,ST_BusinessTravelTravelRarely)</f>
        <v>2.6713532751027586E-2</v>
      </c>
      <c r="FE10" s="44">
        <f>_xll.StatCorrelationCoeff( ST_JobInvolvement_23,ST_BusinessTravelTravelFrequently)</f>
        <v>4.4236060326376305E-3</v>
      </c>
      <c r="FF10" s="44">
        <f>_xll.StatCorrelationCoeff( ST_JobInvolvement_23,ST_DistanceFromHome_10)</f>
        <v>8.7832798864442337E-3</v>
      </c>
      <c r="FG10" s="44">
        <f>_xll.StatCorrelationCoeff( ST_JobInvolvement_23,ST_EnvironmentSatisfaction_20)</f>
        <v>-8.277598171759229E-3</v>
      </c>
      <c r="FH10" s="44">
        <f>_xll.StatCorrelationCoeff( ST_JobInvolvement_23,ST_Gender_21)</f>
        <v>1.7959755383916615E-2</v>
      </c>
      <c r="FI10" s="44">
        <v>1</v>
      </c>
      <c r="FJ10" s="44"/>
      <c r="FK10" s="44"/>
      <c r="FL10" s="44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44"/>
      <c r="FX10" s="44"/>
      <c r="FY10" s="44"/>
      <c r="FZ10" s="44"/>
      <c r="GA10" s="44"/>
      <c r="GB10" s="44"/>
      <c r="GD10" s="38" t="s">
        <v>348</v>
      </c>
      <c r="GE10" s="35" t="s">
        <v>495</v>
      </c>
      <c r="GF10" s="35" t="s">
        <v>495</v>
      </c>
      <c r="GG10" s="35" t="s">
        <v>495</v>
      </c>
      <c r="GH10" s="35" t="s">
        <v>495</v>
      </c>
      <c r="GI10" s="35" t="s">
        <v>495</v>
      </c>
    </row>
    <row r="11" spans="1:191" ht="15" customHeight="1" thickTop="1" x14ac:dyDescent="0.25">
      <c r="A11" s="58">
        <v>36</v>
      </c>
      <c r="B11" s="59">
        <v>0</v>
      </c>
      <c r="C11" s="59">
        <v>1</v>
      </c>
      <c r="D11" s="59">
        <f t="shared" si="0"/>
        <v>1</v>
      </c>
      <c r="E11" s="59">
        <f t="shared" si="1"/>
        <v>0</v>
      </c>
      <c r="F11" s="59">
        <v>1299</v>
      </c>
      <c r="G11" s="59">
        <v>2</v>
      </c>
      <c r="H11" s="59">
        <f t="shared" si="2"/>
        <v>0</v>
      </c>
      <c r="I11" s="59">
        <f t="shared" si="3"/>
        <v>1</v>
      </c>
      <c r="J11" s="59">
        <v>27</v>
      </c>
      <c r="K11" s="59">
        <v>3</v>
      </c>
      <c r="L11" s="59">
        <v>3</v>
      </c>
      <c r="M11" s="59">
        <f t="shared" si="4"/>
        <v>0</v>
      </c>
      <c r="N11" s="59">
        <f t="shared" si="5"/>
        <v>0</v>
      </c>
      <c r="O11" s="59">
        <f t="shared" si="6"/>
        <v>1</v>
      </c>
      <c r="P11" s="59">
        <f t="shared" si="7"/>
        <v>0</v>
      </c>
      <c r="Q11" s="59">
        <f t="shared" si="8"/>
        <v>0</v>
      </c>
      <c r="R11" s="59">
        <v>1</v>
      </c>
      <c r="S11" s="59">
        <v>13</v>
      </c>
      <c r="T11" s="59">
        <v>3</v>
      </c>
      <c r="U11" s="59">
        <v>1</v>
      </c>
      <c r="V11" s="59">
        <v>94</v>
      </c>
      <c r="W11" s="59">
        <v>3</v>
      </c>
      <c r="X11" s="59">
        <v>2</v>
      </c>
      <c r="Y11" s="59">
        <v>5</v>
      </c>
      <c r="Z11" s="59">
        <f t="shared" si="9"/>
        <v>0</v>
      </c>
      <c r="AA11" s="59">
        <f>IF('Updated Dummy'!Y11=2,1,0)</f>
        <v>0</v>
      </c>
      <c r="AB11" s="59">
        <f t="shared" si="10"/>
        <v>0</v>
      </c>
      <c r="AC11" s="59">
        <f t="shared" si="11"/>
        <v>0</v>
      </c>
      <c r="AD11" s="59">
        <f t="shared" si="12"/>
        <v>1</v>
      </c>
      <c r="AE11" s="59">
        <f t="shared" si="13"/>
        <v>0</v>
      </c>
      <c r="AF11" s="59">
        <f t="shared" si="14"/>
        <v>0</v>
      </c>
      <c r="AG11" s="59">
        <f t="shared" si="15"/>
        <v>0</v>
      </c>
      <c r="AH11" s="59">
        <v>3</v>
      </c>
      <c r="AI11" s="59">
        <v>2</v>
      </c>
      <c r="AJ11" s="59">
        <f t="shared" si="16"/>
        <v>0</v>
      </c>
      <c r="AK11" s="59">
        <f t="shared" si="17"/>
        <v>1</v>
      </c>
      <c r="AL11" s="59">
        <v>5237</v>
      </c>
      <c r="AM11" s="59">
        <v>16577</v>
      </c>
      <c r="AN11" s="59">
        <v>6</v>
      </c>
      <c r="AO11" s="59">
        <v>0</v>
      </c>
      <c r="AP11" s="59">
        <v>13</v>
      </c>
      <c r="AQ11" s="59">
        <v>3</v>
      </c>
      <c r="AR11" s="59">
        <v>2</v>
      </c>
      <c r="AS11" s="59">
        <v>80</v>
      </c>
      <c r="AT11" s="59">
        <v>2</v>
      </c>
      <c r="AU11" s="59">
        <v>17</v>
      </c>
      <c r="AV11" s="59">
        <v>3</v>
      </c>
      <c r="AW11" s="59">
        <v>2</v>
      </c>
      <c r="AX11" s="59">
        <v>7</v>
      </c>
      <c r="AY11" s="59">
        <v>7</v>
      </c>
      <c r="AZ11" s="59">
        <v>7</v>
      </c>
      <c r="BA11" s="59">
        <v>7</v>
      </c>
      <c r="BB11" s="57">
        <f t="shared" si="18"/>
        <v>10474</v>
      </c>
      <c r="BD11" s="63">
        <f>_xll.StatCorrelationCoeff( ST_Education_11,ST_Age_1)</f>
        <v>0.20803373101424003</v>
      </c>
      <c r="BF11" s="36" t="s">
        <v>0</v>
      </c>
      <c r="BG11" s="33">
        <v>-2.5049235830451606E-2</v>
      </c>
      <c r="BH11" s="39">
        <v>1.2676086538972927E-2</v>
      </c>
      <c r="BI11" s="39">
        <v>-1.9761016740803354</v>
      </c>
      <c r="BJ11" s="40">
        <v>4.814326286976045E-2</v>
      </c>
      <c r="BK11" s="39">
        <v>-4.9894365446838541E-2</v>
      </c>
      <c r="BL11" s="39">
        <v>-2.0410621406467128E-4</v>
      </c>
      <c r="BM11" s="39">
        <v>0.97526189301700394</v>
      </c>
      <c r="BO11" s="36" t="s">
        <v>349</v>
      </c>
      <c r="BP11" s="33">
        <v>0.73625571598980377</v>
      </c>
      <c r="BQ11" s="39">
        <v>0.35198698038096865</v>
      </c>
      <c r="BR11" s="39">
        <v>2.0917129241340877</v>
      </c>
      <c r="BS11" s="40">
        <v>3.6464203685289132E-2</v>
      </c>
      <c r="BT11" s="39">
        <v>4.6361234443105248E-2</v>
      </c>
      <c r="BU11" s="39">
        <v>1.4261501975365023</v>
      </c>
      <c r="BV11" s="39">
        <v>2.0881024104955217</v>
      </c>
      <c r="BX11" s="36" t="s">
        <v>350</v>
      </c>
      <c r="BY11" s="33">
        <v>1.5162323907096917</v>
      </c>
      <c r="BZ11" s="39">
        <v>0.38098048076007107</v>
      </c>
      <c r="CA11" s="39">
        <v>3.9798164664099023</v>
      </c>
      <c r="CB11" s="40">
        <v>6.8968493159182742E-5</v>
      </c>
      <c r="CC11" s="39">
        <v>0.76951064841995243</v>
      </c>
      <c r="CD11" s="39">
        <v>2.2629541329994312</v>
      </c>
      <c r="CE11" s="39">
        <v>4.5550312473970216</v>
      </c>
      <c r="CG11" s="36" t="s">
        <v>10</v>
      </c>
      <c r="CH11" s="33">
        <v>-0.37308609531266762</v>
      </c>
      <c r="CI11" s="39">
        <v>7.6312496291636653E-2</v>
      </c>
      <c r="CJ11" s="39">
        <v>-4.8889253194768756</v>
      </c>
      <c r="CK11" s="40">
        <v>1.0138794639402704E-6</v>
      </c>
      <c r="CL11" s="39">
        <v>-0.52265858804427545</v>
      </c>
      <c r="CM11" s="39">
        <v>-0.22351360258105979</v>
      </c>
      <c r="CN11" s="39">
        <v>0.68860594454766966</v>
      </c>
      <c r="CP11" s="36" t="s">
        <v>13</v>
      </c>
      <c r="CQ11" s="33">
        <v>-0.51564482414291368</v>
      </c>
      <c r="CR11" s="39">
        <v>0.11468937028587593</v>
      </c>
      <c r="CS11" s="39">
        <v>-4.4960123406171988</v>
      </c>
      <c r="CT11" s="40">
        <v>6.9239719489022633E-6</v>
      </c>
      <c r="CU11" s="39">
        <v>-0.74043598990323045</v>
      </c>
      <c r="CV11" s="39">
        <v>-0.29085365838259686</v>
      </c>
      <c r="CW11" s="39">
        <v>0.59711543600255523</v>
      </c>
      <c r="CY11" s="36" t="s">
        <v>0</v>
      </c>
      <c r="CZ11" s="33">
        <v>-2.5097480631526146E-2</v>
      </c>
      <c r="DA11" s="39">
        <v>1.2579423330542527E-2</v>
      </c>
      <c r="DB11" s="39">
        <v>-1.9951217136154475</v>
      </c>
      <c r="DC11" s="40">
        <v>4.6029606682292945E-2</v>
      </c>
      <c r="DD11" s="39">
        <v>-4.97531503593895E-2</v>
      </c>
      <c r="DE11" s="39">
        <v>-4.4181090366279471E-4</v>
      </c>
      <c r="DF11" s="39">
        <v>0.97521484283595217</v>
      </c>
      <c r="DH11" s="36" t="s">
        <v>0</v>
      </c>
      <c r="DI11" s="67">
        <v>-2.5353259061926193E-2</v>
      </c>
      <c r="DJ11" s="68">
        <v>1.0853570512956118E-2</v>
      </c>
      <c r="DK11" s="68">
        <v>-2.3359371951987149</v>
      </c>
      <c r="DL11" s="66">
        <v>1.9494515054135464E-2</v>
      </c>
      <c r="DM11" s="68">
        <v>-4.6626257267320184E-2</v>
      </c>
      <c r="DN11" s="68">
        <v>-4.0802608565322016E-3</v>
      </c>
      <c r="DO11" s="68">
        <v>0.97496543581197703</v>
      </c>
      <c r="DQ11" s="36" t="s">
        <v>0</v>
      </c>
      <c r="DR11" s="33">
        <v>-2.4666975641834402E-2</v>
      </c>
      <c r="DS11" s="39">
        <v>1.0770592497372293E-2</v>
      </c>
      <c r="DT11" s="39">
        <v>-2.2902152920419576</v>
      </c>
      <c r="DU11" s="40">
        <v>2.2008839391393975E-2</v>
      </c>
      <c r="DV11" s="39">
        <v>-4.5777336936684093E-2</v>
      </c>
      <c r="DW11" s="39">
        <v>-3.5566143469847079E-3</v>
      </c>
      <c r="DX11" s="39">
        <v>0.97563476807528438</v>
      </c>
      <c r="DZ11" s="36" t="s">
        <v>0</v>
      </c>
      <c r="EA11" s="33">
        <v>-2.4383781330058515E-2</v>
      </c>
      <c r="EB11" s="39">
        <v>1.0804379696377618E-2</v>
      </c>
      <c r="EC11" s="39">
        <v>-2.2568423190674851</v>
      </c>
      <c r="ED11" s="40">
        <v>2.4017929341643596E-2</v>
      </c>
      <c r="EE11" s="39">
        <v>-4.5560365534958645E-2</v>
      </c>
      <c r="EF11" s="39">
        <v>-3.2071971251583856E-3</v>
      </c>
      <c r="EG11" s="39">
        <v>0.97591110141814275</v>
      </c>
      <c r="EI11" s="36" t="s">
        <v>0</v>
      </c>
      <c r="EJ11" s="33">
        <v>-2.5456157982705407E-2</v>
      </c>
      <c r="EK11" s="39">
        <v>1.082801579919182E-2</v>
      </c>
      <c r="EL11" s="39">
        <v>-2.3509531621301663</v>
      </c>
      <c r="EM11" s="40">
        <v>1.8725390773678408E-2</v>
      </c>
      <c r="EN11" s="39">
        <v>-4.6679068949121369E-2</v>
      </c>
      <c r="EO11" s="39">
        <v>-4.233247016289441E-3</v>
      </c>
      <c r="EP11" s="39">
        <v>0.97486511808221654</v>
      </c>
      <c r="ER11" s="36" t="s">
        <v>0</v>
      </c>
      <c r="ES11" s="33">
        <v>-2.5723043683319544E-2</v>
      </c>
      <c r="ET11" s="39">
        <v>1.0799235169900426E-2</v>
      </c>
      <c r="EU11" s="39">
        <v>-2.3819319867220488</v>
      </c>
      <c r="EV11" s="40">
        <v>1.7222077926932089E-2</v>
      </c>
      <c r="EW11" s="39">
        <v>-4.6889544616324379E-2</v>
      </c>
      <c r="EX11" s="39">
        <v>-4.5565427503147099E-3</v>
      </c>
      <c r="EY11" s="39">
        <v>0.97460497523791967</v>
      </c>
      <c r="FA11" s="36" t="s">
        <v>14</v>
      </c>
      <c r="FB11" s="44">
        <f>_xll.StatCorrelationCoeff( ST_JobLevel_24,ST_Attrition_2)</f>
        <v>-0.16910475093102884</v>
      </c>
      <c r="FC11" s="44"/>
      <c r="FD11" s="44">
        <f>_xll.StatCorrelationCoeff( ST_JobLevel_24,ST_BusinessTravelTravelRarely)</f>
        <v>2.3433289849135279E-2</v>
      </c>
      <c r="FE11" s="44">
        <f>_xll.StatCorrelationCoeff( ST_JobLevel_24,ST_BusinessTravelTravelFrequently)</f>
        <v>-2.1557268334050066E-2</v>
      </c>
      <c r="FF11" s="44">
        <f>_xll.StatCorrelationCoeff( ST_JobLevel_24,ST_DistanceFromHome_10)</f>
        <v>5.3027305544962305E-3</v>
      </c>
      <c r="FG11" s="44">
        <f>_xll.StatCorrelationCoeff( ST_JobLevel_24,ST_EnvironmentSatisfaction_20)</f>
        <v>1.2116994489139749E-3</v>
      </c>
      <c r="FH11" s="44">
        <f>_xll.StatCorrelationCoeff( ST_JobLevel_24,ST_Gender_21)</f>
        <v>-3.9403102676133159E-2</v>
      </c>
      <c r="FI11" s="44">
        <f>_xll.StatCorrelationCoeff( ST_JobLevel_24,ST_JobInvolvement_23)</f>
        <v>-1.2629882671190917E-2</v>
      </c>
      <c r="FJ11" s="44">
        <v>1</v>
      </c>
      <c r="FK11" s="44"/>
      <c r="FL11" s="44"/>
      <c r="FM11" s="44"/>
      <c r="FN11" s="44"/>
      <c r="FO11" s="44"/>
      <c r="FP11" s="44"/>
      <c r="FQ11" s="44"/>
      <c r="FR11" s="44"/>
      <c r="FS11" s="44"/>
      <c r="FT11" s="44"/>
      <c r="FU11" s="44"/>
      <c r="FV11" s="44"/>
      <c r="FW11" s="44"/>
      <c r="FX11" s="44"/>
      <c r="FY11" s="44"/>
      <c r="FZ11" s="44"/>
      <c r="GA11" s="44"/>
      <c r="GB11" s="44"/>
      <c r="GD11" s="36" t="s">
        <v>351</v>
      </c>
      <c r="GE11" s="45">
        <f>_xll.StatVariance(ST_DepartmentSales)</f>
        <v>0.21149284764960968</v>
      </c>
      <c r="GF11" s="45"/>
      <c r="GG11" s="45"/>
      <c r="GH11" s="45"/>
      <c r="GI11" s="45"/>
    </row>
    <row r="12" spans="1:191" ht="15" customHeight="1" x14ac:dyDescent="0.25">
      <c r="A12" s="58">
        <v>35</v>
      </c>
      <c r="B12" s="59">
        <v>0</v>
      </c>
      <c r="C12" s="59">
        <v>1</v>
      </c>
      <c r="D12" s="59">
        <f t="shared" si="0"/>
        <v>1</v>
      </c>
      <c r="E12" s="59">
        <f t="shared" si="1"/>
        <v>0</v>
      </c>
      <c r="F12" s="59">
        <v>809</v>
      </c>
      <c r="G12" s="59">
        <v>2</v>
      </c>
      <c r="H12" s="59">
        <f t="shared" si="2"/>
        <v>0</v>
      </c>
      <c r="I12" s="59">
        <f t="shared" si="3"/>
        <v>1</v>
      </c>
      <c r="J12" s="59">
        <v>16</v>
      </c>
      <c r="K12" s="59">
        <v>3</v>
      </c>
      <c r="L12" s="59">
        <v>3</v>
      </c>
      <c r="M12" s="59">
        <f t="shared" si="4"/>
        <v>0</v>
      </c>
      <c r="N12" s="59">
        <f t="shared" si="5"/>
        <v>0</v>
      </c>
      <c r="O12" s="59">
        <f t="shared" si="6"/>
        <v>1</v>
      </c>
      <c r="P12" s="59">
        <f t="shared" si="7"/>
        <v>0</v>
      </c>
      <c r="Q12" s="59">
        <f t="shared" si="8"/>
        <v>0</v>
      </c>
      <c r="R12" s="59">
        <v>1</v>
      </c>
      <c r="S12" s="59">
        <v>14</v>
      </c>
      <c r="T12" s="59">
        <v>1</v>
      </c>
      <c r="U12" s="59">
        <v>1</v>
      </c>
      <c r="V12" s="59">
        <v>84</v>
      </c>
      <c r="W12" s="59">
        <v>4</v>
      </c>
      <c r="X12" s="59">
        <v>1</v>
      </c>
      <c r="Y12" s="59">
        <v>3</v>
      </c>
      <c r="Z12" s="59">
        <f t="shared" si="9"/>
        <v>0</v>
      </c>
      <c r="AA12" s="59">
        <f>IF('Updated Dummy'!Y12=2,1,0)</f>
        <v>0</v>
      </c>
      <c r="AB12" s="59">
        <f t="shared" si="10"/>
        <v>1</v>
      </c>
      <c r="AC12" s="59">
        <f t="shared" si="11"/>
        <v>0</v>
      </c>
      <c r="AD12" s="59">
        <f t="shared" si="12"/>
        <v>0</v>
      </c>
      <c r="AE12" s="59">
        <f t="shared" si="13"/>
        <v>0</v>
      </c>
      <c r="AF12" s="59">
        <f t="shared" si="14"/>
        <v>0</v>
      </c>
      <c r="AG12" s="59">
        <f t="shared" si="15"/>
        <v>0</v>
      </c>
      <c r="AH12" s="59">
        <v>2</v>
      </c>
      <c r="AI12" s="59">
        <v>2</v>
      </c>
      <c r="AJ12" s="59">
        <f t="shared" si="16"/>
        <v>0</v>
      </c>
      <c r="AK12" s="59">
        <f t="shared" si="17"/>
        <v>1</v>
      </c>
      <c r="AL12" s="59">
        <v>2426</v>
      </c>
      <c r="AM12" s="59">
        <v>16479</v>
      </c>
      <c r="AN12" s="59">
        <v>0</v>
      </c>
      <c r="AO12" s="59">
        <v>0</v>
      </c>
      <c r="AP12" s="59">
        <v>13</v>
      </c>
      <c r="AQ12" s="59">
        <v>3</v>
      </c>
      <c r="AR12" s="59">
        <v>3</v>
      </c>
      <c r="AS12" s="59">
        <v>80</v>
      </c>
      <c r="AT12" s="59">
        <v>1</v>
      </c>
      <c r="AU12" s="59">
        <v>6</v>
      </c>
      <c r="AV12" s="59">
        <v>5</v>
      </c>
      <c r="AW12" s="59">
        <v>3</v>
      </c>
      <c r="AX12" s="59">
        <v>5</v>
      </c>
      <c r="AY12" s="59">
        <v>4</v>
      </c>
      <c r="AZ12" s="59">
        <v>0</v>
      </c>
      <c r="BA12" s="59">
        <v>3</v>
      </c>
      <c r="BB12" s="57">
        <f t="shared" si="18"/>
        <v>2426</v>
      </c>
      <c r="BD12" s="63">
        <f>_xll.StatCorrelationCoeff( ST_EducationFieldLifeSciences,ST_Age_1)</f>
        <v>1.6823698044466845E-2</v>
      </c>
      <c r="BF12" s="36" t="s">
        <v>349</v>
      </c>
      <c r="BG12" s="33">
        <v>0.74901953650913033</v>
      </c>
      <c r="BH12" s="39">
        <v>0.35249965498627867</v>
      </c>
      <c r="BI12" s="39">
        <v>2.1248801975090914</v>
      </c>
      <c r="BJ12" s="40">
        <v>3.3596610725358467E-2</v>
      </c>
      <c r="BK12" s="39">
        <v>5.812021273602419E-2</v>
      </c>
      <c r="BL12" s="39">
        <v>1.4399188602822366</v>
      </c>
      <c r="BM12" s="39">
        <v>2.1149253925989631</v>
      </c>
      <c r="BO12" s="36" t="s">
        <v>350</v>
      </c>
      <c r="BP12" s="33">
        <v>1.502258058703539</v>
      </c>
      <c r="BQ12" s="39">
        <v>0.37691467002083678</v>
      </c>
      <c r="BR12" s="39">
        <v>3.9856715012458666</v>
      </c>
      <c r="BS12" s="40">
        <v>6.7289553763671961E-5</v>
      </c>
      <c r="BT12" s="39">
        <v>0.7635053054626989</v>
      </c>
      <c r="BU12" s="39">
        <v>2.241010811944379</v>
      </c>
      <c r="BV12" s="39">
        <v>4.4918204216380531</v>
      </c>
      <c r="BX12" s="36" t="s">
        <v>10</v>
      </c>
      <c r="BY12" s="33">
        <v>-0.37254584153959652</v>
      </c>
      <c r="BZ12" s="39">
        <v>7.6422546857099635E-2</v>
      </c>
      <c r="CA12" s="39">
        <v>-4.8748158346019199</v>
      </c>
      <c r="CB12" s="40">
        <v>1.0891001054336158E-6</v>
      </c>
      <c r="CC12" s="39">
        <v>-0.52233403337951179</v>
      </c>
      <c r="CD12" s="39">
        <v>-0.22275764969968123</v>
      </c>
      <c r="CE12" s="39">
        <v>0.68897806701860409</v>
      </c>
      <c r="CG12" s="36" t="s">
        <v>13</v>
      </c>
      <c r="CH12" s="33">
        <v>-0.51650872117744318</v>
      </c>
      <c r="CI12" s="39">
        <v>0.11456912024617287</v>
      </c>
      <c r="CJ12" s="39">
        <v>-4.5082716884587137</v>
      </c>
      <c r="CK12" s="40">
        <v>6.5357849248215416E-6</v>
      </c>
      <c r="CL12" s="39">
        <v>-0.74106419685994196</v>
      </c>
      <c r="CM12" s="39">
        <v>-0.29195324549494439</v>
      </c>
      <c r="CN12" s="39">
        <v>0.5965998125029951</v>
      </c>
      <c r="CP12" s="36" t="s">
        <v>358</v>
      </c>
      <c r="CQ12" s="33">
        <v>-0.2946822513969346</v>
      </c>
      <c r="CR12" s="39">
        <v>0.42208165524871571</v>
      </c>
      <c r="CS12" s="39">
        <v>-0.69816408207385894</v>
      </c>
      <c r="CT12" s="40">
        <v>0.48507458604169496</v>
      </c>
      <c r="CU12" s="39">
        <v>-1.1219622956844173</v>
      </c>
      <c r="CV12" s="39">
        <v>0.53259779289054821</v>
      </c>
      <c r="CW12" s="39">
        <v>0.74476819892725454</v>
      </c>
      <c r="CY12" s="36" t="s">
        <v>349</v>
      </c>
      <c r="CZ12" s="33">
        <v>0.76390597585316145</v>
      </c>
      <c r="DA12" s="39">
        <v>0.3460461747880812</v>
      </c>
      <c r="DB12" s="39">
        <v>2.2075261381547642</v>
      </c>
      <c r="DC12" s="40">
        <v>2.7277322967793838E-2</v>
      </c>
      <c r="DD12" s="39">
        <v>8.5655473268522297E-2</v>
      </c>
      <c r="DE12" s="39">
        <v>1.4421564784378007</v>
      </c>
      <c r="DF12" s="39">
        <v>2.1466446085027497</v>
      </c>
      <c r="DH12" s="36" t="s">
        <v>349</v>
      </c>
      <c r="DI12" s="69">
        <v>0.81322602119957976</v>
      </c>
      <c r="DJ12" s="70">
        <v>0.35005793324994411</v>
      </c>
      <c r="DK12" s="70">
        <v>2.3231183868612115</v>
      </c>
      <c r="DL12" s="66">
        <v>2.0172793481548101E-2</v>
      </c>
      <c r="DM12" s="70">
        <v>0.12711247202968934</v>
      </c>
      <c r="DN12" s="70">
        <v>1.4993395703694703</v>
      </c>
      <c r="DO12" s="70">
        <v>2.2551714953132116</v>
      </c>
      <c r="DQ12" s="36" t="s">
        <v>349</v>
      </c>
      <c r="DR12" s="33">
        <v>0.76510854758071511</v>
      </c>
      <c r="DS12" s="39">
        <v>0.34824234756097039</v>
      </c>
      <c r="DT12" s="39">
        <v>2.1970577471103212</v>
      </c>
      <c r="DU12" s="40">
        <v>2.8016322247340852E-2</v>
      </c>
      <c r="DV12" s="39">
        <v>8.2553546361213148E-2</v>
      </c>
      <c r="DW12" s="39">
        <v>1.4476635488002172</v>
      </c>
      <c r="DX12" s="39">
        <v>2.1492276554563636</v>
      </c>
      <c r="DZ12" s="36" t="s">
        <v>349</v>
      </c>
      <c r="EA12" s="33">
        <v>0.79735561154568757</v>
      </c>
      <c r="EB12" s="39">
        <v>0.34883862738485116</v>
      </c>
      <c r="EC12" s="39">
        <v>2.285743461162105</v>
      </c>
      <c r="ED12" s="40">
        <v>2.2269271070525454E-2</v>
      </c>
      <c r="EE12" s="39">
        <v>0.11363190187137928</v>
      </c>
      <c r="EF12" s="39">
        <v>1.4810793212199957</v>
      </c>
      <c r="EG12" s="39">
        <v>2.2196635082726113</v>
      </c>
      <c r="EI12" s="36" t="s">
        <v>349</v>
      </c>
      <c r="EJ12" s="33">
        <v>0.7916188571141296</v>
      </c>
      <c r="EK12" s="39">
        <v>0.34481298992402704</v>
      </c>
      <c r="EL12" s="39">
        <v>2.2957918647106297</v>
      </c>
      <c r="EM12" s="40">
        <v>2.1687784821337486E-2</v>
      </c>
      <c r="EN12" s="39">
        <v>0.11578539686303657</v>
      </c>
      <c r="EO12" s="39">
        <v>1.4674523173652227</v>
      </c>
      <c r="EP12" s="39">
        <v>2.2069662990131538</v>
      </c>
      <c r="ER12" s="36" t="s">
        <v>349</v>
      </c>
      <c r="ES12" s="33">
        <v>0.78217416344666202</v>
      </c>
      <c r="ET12" s="39">
        <v>0.3454926261900067</v>
      </c>
      <c r="EU12" s="39">
        <v>2.2639388055028951</v>
      </c>
      <c r="EV12" s="40">
        <v>2.3577878796601448E-2</v>
      </c>
      <c r="EW12" s="39">
        <v>0.10500861611424894</v>
      </c>
      <c r="EX12" s="39">
        <v>1.4593397107790751</v>
      </c>
      <c r="EY12" s="39">
        <v>2.1862203023915572</v>
      </c>
      <c r="FA12" s="36" t="s">
        <v>358</v>
      </c>
      <c r="FB12" s="44">
        <f>_xll.StatCorrelationCoeff( ST_JobRoleSalesExec,ST_Attrition_2)</f>
        <v>1.9774368459259874E-2</v>
      </c>
      <c r="FC12" s="44"/>
      <c r="FD12" s="44">
        <f>_xll.StatCorrelationCoeff( ST_JobRoleSalesExec,ST_BusinessTravelTravelRarely)</f>
        <v>-1.1920091976733325E-2</v>
      </c>
      <c r="FE12" s="44">
        <f>_xll.StatCorrelationCoeff( ST_JobRoleSalesExec,ST_BusinessTravelTravelFrequently)</f>
        <v>-1.0174885520234021E-2</v>
      </c>
      <c r="FF12" s="44">
        <f>_xll.StatCorrelationCoeff( ST_JobRoleSalesExec,ST_DistanceFromHome_10)</f>
        <v>3.0760987219837388E-2</v>
      </c>
      <c r="FG12" s="44">
        <f>_xll.StatCorrelationCoeff( ST_JobRoleSalesExec,ST_EnvironmentSatisfaction_20)</f>
        <v>-2.4421374236232401E-2</v>
      </c>
      <c r="FH12" s="44">
        <f>_xll.StatCorrelationCoeff( ST_JobRoleSalesExec,ST_Gender_21)</f>
        <v>-5.348014173047793E-3</v>
      </c>
      <c r="FI12" s="44">
        <f>_xll.StatCorrelationCoeff( ST_JobRoleSalesExec,ST_JobInvolvement_23)</f>
        <v>-1.1413129955688486E-2</v>
      </c>
      <c r="FJ12" s="44">
        <f>_xll.StatCorrelationCoeff( ST_JobRoleSalesExec,ST_JobLevel_24)</f>
        <v>0.1274899815928848</v>
      </c>
      <c r="FK12" s="44">
        <v>1</v>
      </c>
      <c r="FL12" s="44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44"/>
      <c r="FX12" s="44"/>
      <c r="FY12" s="44"/>
      <c r="FZ12" s="44"/>
      <c r="GA12" s="44"/>
      <c r="GB12" s="44"/>
      <c r="GD12" s="36" t="s">
        <v>352</v>
      </c>
      <c r="GE12" s="45">
        <f>_xll.StatCovariance( ST_DepartmentRD,ST_DepartmentSales)</f>
        <v>-0.19848108065554115</v>
      </c>
      <c r="GF12" s="45">
        <f>_xll.StatVariance(ST_DepartmentRD)</f>
        <v>0.22651764586024828</v>
      </c>
      <c r="GG12" s="45"/>
      <c r="GH12" s="45"/>
      <c r="GI12" s="45"/>
    </row>
    <row r="13" spans="1:191" ht="15" customHeight="1" x14ac:dyDescent="0.25">
      <c r="A13" s="58">
        <v>29</v>
      </c>
      <c r="B13" s="59">
        <v>0</v>
      </c>
      <c r="C13" s="59">
        <v>1</v>
      </c>
      <c r="D13" s="59">
        <f t="shared" si="0"/>
        <v>1</v>
      </c>
      <c r="E13" s="59">
        <f t="shared" si="1"/>
        <v>0</v>
      </c>
      <c r="F13" s="59">
        <v>153</v>
      </c>
      <c r="G13" s="59">
        <v>2</v>
      </c>
      <c r="H13" s="59">
        <f t="shared" si="2"/>
        <v>0</v>
      </c>
      <c r="I13" s="59">
        <f t="shared" si="3"/>
        <v>1</v>
      </c>
      <c r="J13" s="59">
        <v>15</v>
      </c>
      <c r="K13" s="59">
        <v>2</v>
      </c>
      <c r="L13" s="59">
        <v>1</v>
      </c>
      <c r="M13" s="59">
        <f t="shared" si="4"/>
        <v>1</v>
      </c>
      <c r="N13" s="59">
        <f t="shared" si="5"/>
        <v>0</v>
      </c>
      <c r="O13" s="59">
        <f t="shared" si="6"/>
        <v>0</v>
      </c>
      <c r="P13" s="59">
        <f t="shared" si="7"/>
        <v>0</v>
      </c>
      <c r="Q13" s="59">
        <f t="shared" si="8"/>
        <v>0</v>
      </c>
      <c r="R13" s="59">
        <v>1</v>
      </c>
      <c r="S13" s="59">
        <v>15</v>
      </c>
      <c r="T13" s="59">
        <v>4</v>
      </c>
      <c r="U13" s="59">
        <v>0</v>
      </c>
      <c r="V13" s="59">
        <v>49</v>
      </c>
      <c r="W13" s="59">
        <v>2</v>
      </c>
      <c r="X13" s="59">
        <v>2</v>
      </c>
      <c r="Y13" s="59">
        <v>3</v>
      </c>
      <c r="Z13" s="59">
        <f t="shared" si="9"/>
        <v>0</v>
      </c>
      <c r="AA13" s="59">
        <f>IF('Updated Dummy'!Y13=2,1,0)</f>
        <v>0</v>
      </c>
      <c r="AB13" s="59">
        <f t="shared" si="10"/>
        <v>1</v>
      </c>
      <c r="AC13" s="59">
        <f t="shared" si="11"/>
        <v>0</v>
      </c>
      <c r="AD13" s="59">
        <f t="shared" si="12"/>
        <v>0</v>
      </c>
      <c r="AE13" s="59">
        <f t="shared" si="13"/>
        <v>0</v>
      </c>
      <c r="AF13" s="59">
        <f t="shared" si="14"/>
        <v>0</v>
      </c>
      <c r="AG13" s="59">
        <f t="shared" si="15"/>
        <v>0</v>
      </c>
      <c r="AH13" s="59">
        <v>3</v>
      </c>
      <c r="AI13" s="59">
        <v>1</v>
      </c>
      <c r="AJ13" s="59">
        <f t="shared" si="16"/>
        <v>1</v>
      </c>
      <c r="AK13" s="59">
        <f t="shared" si="17"/>
        <v>0</v>
      </c>
      <c r="AL13" s="59">
        <v>4193</v>
      </c>
      <c r="AM13" s="59">
        <v>12682</v>
      </c>
      <c r="AN13" s="59">
        <v>0</v>
      </c>
      <c r="AO13" s="59">
        <v>1</v>
      </c>
      <c r="AP13" s="59">
        <v>12</v>
      </c>
      <c r="AQ13" s="59">
        <v>3</v>
      </c>
      <c r="AR13" s="59">
        <v>4</v>
      </c>
      <c r="AS13" s="59">
        <v>80</v>
      </c>
      <c r="AT13" s="59">
        <v>0</v>
      </c>
      <c r="AU13" s="59">
        <v>10</v>
      </c>
      <c r="AV13" s="59">
        <v>3</v>
      </c>
      <c r="AW13" s="59">
        <v>3</v>
      </c>
      <c r="AX13" s="59">
        <v>9</v>
      </c>
      <c r="AY13" s="59">
        <v>5</v>
      </c>
      <c r="AZ13" s="59">
        <v>0</v>
      </c>
      <c r="BA13" s="59">
        <v>8</v>
      </c>
      <c r="BB13" s="57">
        <f t="shared" si="18"/>
        <v>8386</v>
      </c>
      <c r="BD13" s="63">
        <f>_xll.StatCorrelationCoeff( ST_EducationFieldHR,ST_Age_1)</f>
        <v>1.6959855492779648E-3</v>
      </c>
      <c r="BF13" s="36" t="s">
        <v>350</v>
      </c>
      <c r="BG13" s="33">
        <v>1.5136235604736117</v>
      </c>
      <c r="BH13" s="39">
        <v>0.37718207941034371</v>
      </c>
      <c r="BI13" s="39">
        <v>4.0129784608003902</v>
      </c>
      <c r="BJ13" s="40">
        <v>5.9957386170372828E-5</v>
      </c>
      <c r="BK13" s="39">
        <v>0.77434668482933799</v>
      </c>
      <c r="BL13" s="39">
        <v>2.2529004361178853</v>
      </c>
      <c r="BM13" s="39">
        <v>4.5431634314420961</v>
      </c>
      <c r="BO13" s="36" t="s">
        <v>10</v>
      </c>
      <c r="BP13" s="33">
        <v>-0.36854260500794139</v>
      </c>
      <c r="BQ13" s="39">
        <v>7.5976566450036517E-2</v>
      </c>
      <c r="BR13" s="39">
        <v>-4.8507404615382468</v>
      </c>
      <c r="BS13" s="40">
        <v>1.2300141176702084E-6</v>
      </c>
      <c r="BT13" s="39">
        <v>-0.51745667525001293</v>
      </c>
      <c r="BU13" s="39">
        <v>-0.21962853476586983</v>
      </c>
      <c r="BV13" s="39">
        <v>0.69174173730807598</v>
      </c>
      <c r="BX13" s="36" t="s">
        <v>13</v>
      </c>
      <c r="BY13" s="33">
        <v>-0.51997992262421422</v>
      </c>
      <c r="BZ13" s="39">
        <v>0.11480950286882875</v>
      </c>
      <c r="CA13" s="39">
        <v>-4.5290669294012851</v>
      </c>
      <c r="CB13" s="40">
        <v>5.9244731740459855E-6</v>
      </c>
      <c r="CC13" s="39">
        <v>-0.74500654824711854</v>
      </c>
      <c r="CD13" s="39">
        <v>-0.2949532970013099</v>
      </c>
      <c r="CE13" s="39">
        <v>0.59453248450247498</v>
      </c>
      <c r="CG13" s="36" t="s">
        <v>358</v>
      </c>
      <c r="CH13" s="33">
        <v>-0.27813185256506878</v>
      </c>
      <c r="CI13" s="39">
        <v>0.40708933423821309</v>
      </c>
      <c r="CJ13" s="39">
        <v>-0.68322068198012942</v>
      </c>
      <c r="CK13" s="40">
        <v>0.49446740573946868</v>
      </c>
      <c r="CL13" s="39">
        <v>-1.0760269476719664</v>
      </c>
      <c r="CM13" s="39">
        <v>0.51976324254182882</v>
      </c>
      <c r="CN13" s="39">
        <v>0.7571969765684512</v>
      </c>
      <c r="CP13" s="36" t="s">
        <v>359</v>
      </c>
      <c r="CQ13" s="33">
        <v>-0.77176279003055603</v>
      </c>
      <c r="CR13" s="39">
        <v>0.41903550808926188</v>
      </c>
      <c r="CS13" s="39">
        <v>-1.8417598870073728</v>
      </c>
      <c r="CT13" s="40">
        <v>6.5510279943338467E-2</v>
      </c>
      <c r="CU13" s="39">
        <v>-1.5930723858855091</v>
      </c>
      <c r="CV13" s="39">
        <v>4.9546805824397189E-2</v>
      </c>
      <c r="CW13" s="39">
        <v>0.46219759245791348</v>
      </c>
      <c r="CY13" s="36" t="s">
        <v>350</v>
      </c>
      <c r="CZ13" s="33">
        <v>1.4601207738565716</v>
      </c>
      <c r="DA13" s="39">
        <v>0.37081450035197927</v>
      </c>
      <c r="DB13" s="39">
        <v>3.9376043074653673</v>
      </c>
      <c r="DC13" s="40">
        <v>8.2299160554022421E-5</v>
      </c>
      <c r="DD13" s="39">
        <v>0.7333243531666922</v>
      </c>
      <c r="DE13" s="39">
        <v>2.1869171945464512</v>
      </c>
      <c r="DF13" s="39">
        <v>4.3064796070890115</v>
      </c>
      <c r="DH13" s="36" t="s">
        <v>350</v>
      </c>
      <c r="DI13" s="69">
        <v>1.5221929978864872</v>
      </c>
      <c r="DJ13" s="70">
        <v>0.37504344169712139</v>
      </c>
      <c r="DK13" s="70">
        <v>4.0587111482295537</v>
      </c>
      <c r="DL13" s="66">
        <v>4.9344304461795829E-5</v>
      </c>
      <c r="DM13" s="70">
        <v>0.78710785216012924</v>
      </c>
      <c r="DN13" s="70">
        <v>2.2572781436128451</v>
      </c>
      <c r="DO13" s="70">
        <v>4.5822630778365347</v>
      </c>
      <c r="DQ13" s="36" t="s">
        <v>350</v>
      </c>
      <c r="DR13" s="33">
        <v>1.479997741394913</v>
      </c>
      <c r="DS13" s="39">
        <v>0.37316867147466615</v>
      </c>
      <c r="DT13" s="39">
        <v>3.9660289154133559</v>
      </c>
      <c r="DU13" s="40">
        <v>7.3080000669856204E-5</v>
      </c>
      <c r="DV13" s="39">
        <v>0.74858714530456738</v>
      </c>
      <c r="DW13" s="39">
        <v>2.2114083374852589</v>
      </c>
      <c r="DX13" s="39">
        <v>4.3929357590004994</v>
      </c>
      <c r="DZ13" s="36" t="s">
        <v>350</v>
      </c>
      <c r="EA13" s="33">
        <v>1.5177775602999504</v>
      </c>
      <c r="EB13" s="39">
        <v>0.37408479464097583</v>
      </c>
      <c r="EC13" s="39">
        <v>4.0573088830210873</v>
      </c>
      <c r="ED13" s="40">
        <v>4.9641409804124237E-5</v>
      </c>
      <c r="EE13" s="39">
        <v>0.78457136280363771</v>
      </c>
      <c r="EF13" s="39">
        <v>2.2509837577962628</v>
      </c>
      <c r="EG13" s="39">
        <v>4.5620749836452648</v>
      </c>
      <c r="EI13" s="36" t="s">
        <v>350</v>
      </c>
      <c r="EJ13" s="33">
        <v>1.4825609737308847</v>
      </c>
      <c r="EK13" s="39">
        <v>0.36979639801871139</v>
      </c>
      <c r="EL13" s="39">
        <v>4.0091276758619712</v>
      </c>
      <c r="EM13" s="40">
        <v>6.0943460933993165E-5</v>
      </c>
      <c r="EN13" s="39">
        <v>0.7577600336142104</v>
      </c>
      <c r="EO13" s="39">
        <v>2.2073619138475591</v>
      </c>
      <c r="EP13" s="39">
        <v>4.4042103174712688</v>
      </c>
      <c r="ER13" s="36" t="s">
        <v>350</v>
      </c>
      <c r="ES13" s="33">
        <v>1.4677835440584541</v>
      </c>
      <c r="ET13" s="39">
        <v>0.37034446757238038</v>
      </c>
      <c r="EU13" s="39">
        <v>3.9632927519609553</v>
      </c>
      <c r="EV13" s="40">
        <v>7.3923039292767001E-5</v>
      </c>
      <c r="EW13" s="39">
        <v>0.74190838761658862</v>
      </c>
      <c r="EX13" s="39">
        <v>2.1936587005003196</v>
      </c>
      <c r="EY13" s="39">
        <v>4.3396059282981749</v>
      </c>
      <c r="FA13" s="36" t="s">
        <v>359</v>
      </c>
      <c r="FB13" s="44">
        <f>_xll.StatCorrelationCoeff( ST_JobRoleResearchScientist,ST_Attrition_2)</f>
        <v>-3.5957134043646449E-4</v>
      </c>
      <c r="FC13" s="44"/>
      <c r="FD13" s="44">
        <f>_xll.StatCorrelationCoeff( ST_JobRoleResearchScientist,ST_BusinessTravelTravelRarely)</f>
        <v>1.0587650190984909E-2</v>
      </c>
      <c r="FE13" s="44">
        <f>_xll.StatCorrelationCoeff( ST_JobRoleResearchScientist,ST_BusinessTravelTravelFrequently)</f>
        <v>-4.4609120297839124E-3</v>
      </c>
      <c r="FF13" s="44">
        <f>_xll.StatCorrelationCoeff( ST_JobRoleResearchScientist,ST_DistanceFromHome_10)</f>
        <v>-1.0985650729399336E-2</v>
      </c>
      <c r="FG13" s="44">
        <f>_xll.StatCorrelationCoeff( ST_JobRoleResearchScientist,ST_EnvironmentSatisfaction_20)</f>
        <v>1.9403931247543769E-3</v>
      </c>
      <c r="FH13" s="44">
        <f>_xll.StatCorrelationCoeff( ST_JobRoleResearchScientist,ST_Gender_21)</f>
        <v>9.7451457646946169E-3</v>
      </c>
      <c r="FI13" s="44">
        <f>_xll.StatCorrelationCoeff( ST_JobRoleResearchScientist,ST_JobInvolvement_23)</f>
        <v>4.7604470995712092E-2</v>
      </c>
      <c r="FJ13" s="44">
        <f>_xll.StatCorrelationCoeff( ST_JobRoleResearchScientist,ST_JobLevel_24)</f>
        <v>-0.38778833872285412</v>
      </c>
      <c r="FK13" s="44">
        <f>_xll.StatCorrelationCoeff( ST_JobRoleResearchScientist,ST_JobRoleSalesExec)</f>
        <v>-0.26577527017354541</v>
      </c>
      <c r="FL13" s="44">
        <v>1</v>
      </c>
      <c r="FM13" s="44"/>
      <c r="FN13" s="44"/>
      <c r="FO13" s="44"/>
      <c r="FP13" s="44"/>
      <c r="FQ13" s="44"/>
      <c r="FR13" s="44"/>
      <c r="FS13" s="44"/>
      <c r="FT13" s="44"/>
      <c r="FU13" s="44"/>
      <c r="FV13" s="44"/>
      <c r="FW13" s="44"/>
      <c r="FX13" s="44"/>
      <c r="FY13" s="44"/>
      <c r="FZ13" s="44"/>
      <c r="GA13" s="44"/>
      <c r="GB13" s="44"/>
      <c r="GD13" s="36" t="s">
        <v>14</v>
      </c>
      <c r="GE13" s="45">
        <f>_xll.StatCovariance( ST_JobLevel_24,ST_DepartmentSales)</f>
        <v>5.8189429618000804E-2</v>
      </c>
      <c r="GF13" s="45">
        <f>_xll.StatCovariance( ST_JobLevel_24,ST_DepartmentRD)</f>
        <v>-5.6808509653010222E-2</v>
      </c>
      <c r="GG13" s="45">
        <f>_xll.StatVariance(ST_JobLevel_24)</f>
        <v>1.2253159398544744</v>
      </c>
      <c r="GH13" s="45"/>
      <c r="GI13" s="45"/>
    </row>
    <row r="14" spans="1:191" ht="15" customHeight="1" x14ac:dyDescent="0.25">
      <c r="A14" s="58">
        <v>31</v>
      </c>
      <c r="B14" s="59">
        <v>0</v>
      </c>
      <c r="C14" s="59">
        <v>1</v>
      </c>
      <c r="D14" s="59">
        <f t="shared" si="0"/>
        <v>1</v>
      </c>
      <c r="E14" s="59">
        <f t="shared" si="1"/>
        <v>0</v>
      </c>
      <c r="F14" s="59">
        <v>670</v>
      </c>
      <c r="G14" s="59">
        <v>2</v>
      </c>
      <c r="H14" s="59">
        <f t="shared" si="2"/>
        <v>0</v>
      </c>
      <c r="I14" s="59">
        <f t="shared" si="3"/>
        <v>1</v>
      </c>
      <c r="J14" s="59">
        <v>26</v>
      </c>
      <c r="K14" s="59">
        <v>1</v>
      </c>
      <c r="L14" s="59">
        <v>1</v>
      </c>
      <c r="M14" s="59">
        <f t="shared" si="4"/>
        <v>1</v>
      </c>
      <c r="N14" s="59">
        <f t="shared" si="5"/>
        <v>0</v>
      </c>
      <c r="O14" s="59">
        <f t="shared" si="6"/>
        <v>0</v>
      </c>
      <c r="P14" s="59">
        <f t="shared" si="7"/>
        <v>0</v>
      </c>
      <c r="Q14" s="59">
        <f t="shared" si="8"/>
        <v>0</v>
      </c>
      <c r="R14" s="59">
        <v>1</v>
      </c>
      <c r="S14" s="59">
        <v>16</v>
      </c>
      <c r="T14" s="59">
        <v>1</v>
      </c>
      <c r="U14" s="59">
        <v>1</v>
      </c>
      <c r="V14" s="59">
        <v>31</v>
      </c>
      <c r="W14" s="59">
        <v>3</v>
      </c>
      <c r="X14" s="59">
        <v>1</v>
      </c>
      <c r="Y14" s="59">
        <v>2</v>
      </c>
      <c r="Z14" s="59">
        <f t="shared" si="9"/>
        <v>0</v>
      </c>
      <c r="AA14" s="59">
        <f>IF('Updated Dummy'!Y14=2,1,0)</f>
        <v>1</v>
      </c>
      <c r="AB14" s="59">
        <f t="shared" si="10"/>
        <v>0</v>
      </c>
      <c r="AC14" s="59">
        <f t="shared" si="11"/>
        <v>0</v>
      </c>
      <c r="AD14" s="59">
        <f t="shared" si="12"/>
        <v>0</v>
      </c>
      <c r="AE14" s="59">
        <f t="shared" si="13"/>
        <v>0</v>
      </c>
      <c r="AF14" s="59">
        <f t="shared" si="14"/>
        <v>0</v>
      </c>
      <c r="AG14" s="59">
        <f t="shared" si="15"/>
        <v>0</v>
      </c>
      <c r="AH14" s="59">
        <v>3</v>
      </c>
      <c r="AI14" s="59">
        <v>3</v>
      </c>
      <c r="AJ14" s="59">
        <f t="shared" si="16"/>
        <v>0</v>
      </c>
      <c r="AK14" s="59">
        <f t="shared" si="17"/>
        <v>0</v>
      </c>
      <c r="AL14" s="59">
        <v>2911</v>
      </c>
      <c r="AM14" s="59">
        <v>15170</v>
      </c>
      <c r="AN14" s="59">
        <v>1</v>
      </c>
      <c r="AO14" s="59">
        <v>0</v>
      </c>
      <c r="AP14" s="59">
        <v>17</v>
      </c>
      <c r="AQ14" s="59">
        <v>3</v>
      </c>
      <c r="AR14" s="59">
        <v>4</v>
      </c>
      <c r="AS14" s="59">
        <v>80</v>
      </c>
      <c r="AT14" s="59">
        <v>1</v>
      </c>
      <c r="AU14" s="59">
        <v>5</v>
      </c>
      <c r="AV14" s="59">
        <v>1</v>
      </c>
      <c r="AW14" s="59">
        <v>2</v>
      </c>
      <c r="AX14" s="59">
        <v>5</v>
      </c>
      <c r="AY14" s="59">
        <v>2</v>
      </c>
      <c r="AZ14" s="59">
        <v>4</v>
      </c>
      <c r="BA14" s="59">
        <v>3</v>
      </c>
      <c r="BB14" s="57">
        <f t="shared" si="18"/>
        <v>2911</v>
      </c>
      <c r="BD14" s="63">
        <f>_xll.StatCorrelationCoeff( ST_EducationFieldMedical,ST_Age_1)</f>
        <v>-6.3544884254895344E-3</v>
      </c>
      <c r="BF14" s="36" t="s">
        <v>10</v>
      </c>
      <c r="BG14" s="33">
        <v>-0.37333399149968804</v>
      </c>
      <c r="BH14" s="39">
        <v>7.6363200287684771E-2</v>
      </c>
      <c r="BI14" s="39">
        <v>-4.8889254260326789</v>
      </c>
      <c r="BJ14" s="40">
        <v>1.0138789152680516E-6</v>
      </c>
      <c r="BK14" s="39">
        <v>-0.52300586406355021</v>
      </c>
      <c r="BL14" s="39">
        <v>-0.22366211893582591</v>
      </c>
      <c r="BM14" s="39">
        <v>0.6884352629161935</v>
      </c>
      <c r="BO14" s="36" t="s">
        <v>13</v>
      </c>
      <c r="BP14" s="33">
        <v>-0.53178223533362079</v>
      </c>
      <c r="BQ14" s="39">
        <v>0.11389632593768699</v>
      </c>
      <c r="BR14" s="39">
        <v>-4.6690025420535548</v>
      </c>
      <c r="BS14" s="40">
        <v>3.0266563439962368E-6</v>
      </c>
      <c r="BT14" s="39">
        <v>-0.7550190341714873</v>
      </c>
      <c r="BU14" s="39">
        <v>-0.30854543649575428</v>
      </c>
      <c r="BV14" s="39">
        <v>0.58755687136020585</v>
      </c>
      <c r="BX14" s="36" t="s">
        <v>358</v>
      </c>
      <c r="BY14" s="33">
        <v>-0.22148070430673619</v>
      </c>
      <c r="BZ14" s="39">
        <v>0.40874583903502365</v>
      </c>
      <c r="CA14" s="39">
        <v>-0.54185433380707393</v>
      </c>
      <c r="CB14" s="40">
        <v>0.58791885786000453</v>
      </c>
      <c r="CC14" s="39">
        <v>-1.0226225488153826</v>
      </c>
      <c r="CD14" s="39">
        <v>0.57966114020191017</v>
      </c>
      <c r="CE14" s="39">
        <v>0.80133138424335149</v>
      </c>
      <c r="CG14" s="36" t="s">
        <v>359</v>
      </c>
      <c r="CH14" s="33">
        <v>-0.77962782551758625</v>
      </c>
      <c r="CI14" s="39">
        <v>0.41555714979262404</v>
      </c>
      <c r="CJ14" s="39">
        <v>-1.8761025430717406</v>
      </c>
      <c r="CK14" s="40">
        <v>6.0641200570815013E-2</v>
      </c>
      <c r="CL14" s="39">
        <v>-1.5941198391111293</v>
      </c>
      <c r="CM14" s="39">
        <v>3.4864188075956815E-2</v>
      </c>
      <c r="CN14" s="39">
        <v>0.45857665007694504</v>
      </c>
      <c r="CP14" s="36" t="s">
        <v>360</v>
      </c>
      <c r="CQ14" s="33">
        <v>1.0449246691450347E-2</v>
      </c>
      <c r="CR14" s="39">
        <v>0.41041742509386553</v>
      </c>
      <c r="CS14" s="39">
        <v>2.5460046412650549E-2</v>
      </c>
      <c r="CT14" s="40">
        <v>0.97968801649228077</v>
      </c>
      <c r="CU14" s="39">
        <v>-0.79396890649252616</v>
      </c>
      <c r="CV14" s="39">
        <v>0.81486739987542678</v>
      </c>
      <c r="CW14" s="39">
        <v>1.0105040307206647</v>
      </c>
      <c r="CY14" s="36" t="s">
        <v>10</v>
      </c>
      <c r="CZ14" s="33">
        <v>-0.36110750954989601</v>
      </c>
      <c r="DA14" s="39">
        <v>7.5444813684921744E-2</v>
      </c>
      <c r="DB14" s="39">
        <v>-4.7863794992983895</v>
      </c>
      <c r="DC14" s="40">
        <v>1.6981681842942464E-6</v>
      </c>
      <c r="DD14" s="39">
        <v>-0.5089793443723426</v>
      </c>
      <c r="DE14" s="39">
        <v>-0.21323567472744939</v>
      </c>
      <c r="DF14" s="39">
        <v>0.69690407059626358</v>
      </c>
      <c r="DH14" s="36" t="s">
        <v>10</v>
      </c>
      <c r="DI14" s="69">
        <v>-0.38120727418206218</v>
      </c>
      <c r="DJ14" s="70">
        <v>7.5893806967828686E-2</v>
      </c>
      <c r="DK14" s="70">
        <v>-5.0229035729312619</v>
      </c>
      <c r="DL14" s="66">
        <v>5.0896101333464117E-7</v>
      </c>
      <c r="DM14" s="70">
        <v>-0.52995913583900645</v>
      </c>
      <c r="DN14" s="70">
        <v>-0.23245541252511795</v>
      </c>
      <c r="DO14" s="70">
        <v>0.68303629915615649</v>
      </c>
      <c r="DQ14" s="36" t="s">
        <v>10</v>
      </c>
      <c r="DR14" s="33">
        <v>-0.38330535871182819</v>
      </c>
      <c r="DS14" s="39">
        <v>7.5666509703573651E-2</v>
      </c>
      <c r="DT14" s="39">
        <v>-5.0657200948403869</v>
      </c>
      <c r="DU14" s="40">
        <v>4.0685938218487649E-7</v>
      </c>
      <c r="DV14" s="39">
        <v>-0.5316117177308326</v>
      </c>
      <c r="DW14" s="39">
        <v>-0.23499899969282384</v>
      </c>
      <c r="DX14" s="39">
        <v>0.68160473356158302</v>
      </c>
      <c r="DZ14" s="36" t="s">
        <v>10</v>
      </c>
      <c r="EA14" s="33">
        <v>-0.37970885526342912</v>
      </c>
      <c r="EB14" s="39">
        <v>7.5768378160246425E-2</v>
      </c>
      <c r="EC14" s="39">
        <v>-5.0114422993239129</v>
      </c>
      <c r="ED14" s="40">
        <v>5.4023583051510116E-7</v>
      </c>
      <c r="EE14" s="39">
        <v>-0.52821487645751208</v>
      </c>
      <c r="EF14" s="39">
        <v>-0.23120283406934614</v>
      </c>
      <c r="EG14" s="39">
        <v>0.68406054084884926</v>
      </c>
      <c r="EI14" s="36" t="s">
        <v>10</v>
      </c>
      <c r="EJ14" s="33">
        <v>-0.38421488899880812</v>
      </c>
      <c r="EK14" s="39">
        <v>7.5393619388540237E-2</v>
      </c>
      <c r="EL14" s="39">
        <v>-5.0961194344412712</v>
      </c>
      <c r="EM14" s="40">
        <v>3.4668645332303072E-7</v>
      </c>
      <c r="EN14" s="39">
        <v>-0.53198638300034695</v>
      </c>
      <c r="EO14" s="39">
        <v>-0.23644339499726927</v>
      </c>
      <c r="EP14" s="39">
        <v>0.68098507525437624</v>
      </c>
      <c r="ER14" s="36" t="s">
        <v>10</v>
      </c>
      <c r="ES14" s="33">
        <v>-0.38306924813993171</v>
      </c>
      <c r="ET14" s="39">
        <v>7.5317364656208974E-2</v>
      </c>
      <c r="EU14" s="39">
        <v>-5.0860681316782168</v>
      </c>
      <c r="EV14" s="40">
        <v>3.6556277649424374E-7</v>
      </c>
      <c r="EW14" s="39">
        <v>-0.53069128286610123</v>
      </c>
      <c r="EX14" s="39">
        <v>-0.23544721341376212</v>
      </c>
      <c r="EY14" s="39">
        <v>0.68176568664564619</v>
      </c>
      <c r="FA14" s="36" t="s">
        <v>360</v>
      </c>
      <c r="FB14" s="44">
        <f>_xll.StatCorrelationCoeff( ST_JobRoleLabTechnician,ST_Attrition_2)</f>
        <v>9.8290485459603782E-2</v>
      </c>
      <c r="FC14" s="44"/>
      <c r="FD14" s="44">
        <f>_xll.StatCorrelationCoeff( ST_JobRoleLabTechnician,ST_BusinessTravelTravelRarely)</f>
        <v>-1.4814823377193947E-2</v>
      </c>
      <c r="FE14" s="44">
        <f>_xll.StatCorrelationCoeff( ST_JobRoleLabTechnician,ST_BusinessTravelTravelFrequently)</f>
        <v>1.0023442547495076E-2</v>
      </c>
      <c r="FF14" s="44">
        <f>_xll.StatCorrelationCoeff( ST_JobRoleLabTechnician,ST_DistanceFromHome_10)</f>
        <v>1.2368885752500485E-2</v>
      </c>
      <c r="FG14" s="44">
        <f>_xll.StatCorrelationCoeff( ST_JobRoleLabTechnician,ST_EnvironmentSatisfaction_20)</f>
        <v>-1.5329215134445295E-3</v>
      </c>
      <c r="FH14" s="44">
        <f>_xll.StatCorrelationCoeff( ST_JobRoleLabTechnician,ST_Gender_21)</f>
        <v>6.7793080681620599E-2</v>
      </c>
      <c r="FI14" s="44">
        <f>_xll.StatCorrelationCoeff( ST_JobRoleLabTechnician,ST_JobInvolvement_23)</f>
        <v>-2.2723562228166707E-2</v>
      </c>
      <c r="FJ14" s="44">
        <f>_xll.StatCorrelationCoeff( ST_JobRoleLabTechnician,ST_JobLevel_24)</f>
        <v>-0.34460816240740444</v>
      </c>
      <c r="FK14" s="44">
        <f>_xll.StatCorrelationCoeff( ST_JobRoleLabTechnician,ST_JobRoleSalesExec)</f>
        <v>-0.24687300207672788</v>
      </c>
      <c r="FL14" s="44">
        <f>_xll.StatCorrelationCoeff( ST_JobRoleLabTechnician,ST_JobRoleResearchScientist)</f>
        <v>-0.23024838409927961</v>
      </c>
      <c r="FM14" s="44">
        <v>1</v>
      </c>
      <c r="FN14" s="44"/>
      <c r="FO14" s="44"/>
      <c r="FP14" s="44"/>
      <c r="FQ14" s="44"/>
      <c r="FR14" s="44"/>
      <c r="FS14" s="44"/>
      <c r="FT14" s="44"/>
      <c r="FU14" s="44"/>
      <c r="FV14" s="44"/>
      <c r="FW14" s="44"/>
      <c r="FX14" s="44"/>
      <c r="FY14" s="44"/>
      <c r="FZ14" s="44"/>
      <c r="GA14" s="44"/>
      <c r="GB14" s="44"/>
      <c r="GD14" s="36" t="s">
        <v>18</v>
      </c>
      <c r="GE14" s="45">
        <f>_xll.StatCovariance( ST_MonthlyIncome_38,ST_DepartmentSales)</f>
        <v>138.51847756120833</v>
      </c>
      <c r="GF14" s="45">
        <f>_xll.StatCovariance( ST_MonthlyIncome_38,ST_DepartmentRD)</f>
        <v>-145.0190415989403</v>
      </c>
      <c r="GG14" s="45">
        <f>_xll.StatCovariance( ST_MonthlyIncome_38,ST_JobLevel_24)</f>
        <v>4952.4169220581307</v>
      </c>
      <c r="GH14" s="45">
        <f>_xll.StatVariance(ST_MonthlyIncome_38)</f>
        <v>22164857.071518421</v>
      </c>
      <c r="GI14" s="45"/>
    </row>
    <row r="15" spans="1:191" ht="15" customHeight="1" x14ac:dyDescent="0.25">
      <c r="A15" s="58">
        <v>34</v>
      </c>
      <c r="B15" s="59">
        <v>0</v>
      </c>
      <c r="C15" s="59">
        <v>1</v>
      </c>
      <c r="D15" s="59">
        <f t="shared" si="0"/>
        <v>1</v>
      </c>
      <c r="E15" s="59">
        <f t="shared" si="1"/>
        <v>0</v>
      </c>
      <c r="F15" s="59">
        <v>1346</v>
      </c>
      <c r="G15" s="59">
        <v>2</v>
      </c>
      <c r="H15" s="59">
        <f t="shared" si="2"/>
        <v>0</v>
      </c>
      <c r="I15" s="59">
        <f t="shared" si="3"/>
        <v>1</v>
      </c>
      <c r="J15" s="59">
        <v>19</v>
      </c>
      <c r="K15" s="59">
        <v>2</v>
      </c>
      <c r="L15" s="59">
        <v>3</v>
      </c>
      <c r="M15" s="59">
        <f t="shared" si="4"/>
        <v>0</v>
      </c>
      <c r="N15" s="59">
        <f t="shared" si="5"/>
        <v>0</v>
      </c>
      <c r="O15" s="59">
        <f t="shared" si="6"/>
        <v>1</v>
      </c>
      <c r="P15" s="59">
        <f t="shared" si="7"/>
        <v>0</v>
      </c>
      <c r="Q15" s="59">
        <f t="shared" si="8"/>
        <v>0</v>
      </c>
      <c r="R15" s="59">
        <v>1</v>
      </c>
      <c r="S15" s="59">
        <v>18</v>
      </c>
      <c r="T15" s="59">
        <v>2</v>
      </c>
      <c r="U15" s="59">
        <v>1</v>
      </c>
      <c r="V15" s="59">
        <v>93</v>
      </c>
      <c r="W15" s="59">
        <v>3</v>
      </c>
      <c r="X15" s="59">
        <v>1</v>
      </c>
      <c r="Y15" s="59">
        <v>3</v>
      </c>
      <c r="Z15" s="59">
        <f t="shared" si="9"/>
        <v>0</v>
      </c>
      <c r="AA15" s="59">
        <f>IF('Updated Dummy'!Y15=2,1,0)</f>
        <v>0</v>
      </c>
      <c r="AB15" s="59">
        <f t="shared" si="10"/>
        <v>1</v>
      </c>
      <c r="AC15" s="59">
        <f t="shared" si="11"/>
        <v>0</v>
      </c>
      <c r="AD15" s="59">
        <f t="shared" si="12"/>
        <v>0</v>
      </c>
      <c r="AE15" s="59">
        <f t="shared" si="13"/>
        <v>0</v>
      </c>
      <c r="AF15" s="59">
        <f t="shared" si="14"/>
        <v>0</v>
      </c>
      <c r="AG15" s="59">
        <f t="shared" si="15"/>
        <v>0</v>
      </c>
      <c r="AH15" s="59">
        <v>4</v>
      </c>
      <c r="AI15" s="59">
        <v>3</v>
      </c>
      <c r="AJ15" s="59">
        <f t="shared" si="16"/>
        <v>0</v>
      </c>
      <c r="AK15" s="59">
        <f t="shared" si="17"/>
        <v>0</v>
      </c>
      <c r="AL15" s="59">
        <v>2661</v>
      </c>
      <c r="AM15" s="59">
        <v>8758</v>
      </c>
      <c r="AN15" s="59">
        <v>0</v>
      </c>
      <c r="AO15" s="59">
        <v>0</v>
      </c>
      <c r="AP15" s="59">
        <v>11</v>
      </c>
      <c r="AQ15" s="59">
        <v>3</v>
      </c>
      <c r="AR15" s="59">
        <v>3</v>
      </c>
      <c r="AS15" s="59">
        <v>80</v>
      </c>
      <c r="AT15" s="59">
        <v>1</v>
      </c>
      <c r="AU15" s="59">
        <v>3</v>
      </c>
      <c r="AV15" s="59">
        <v>2</v>
      </c>
      <c r="AW15" s="59">
        <v>3</v>
      </c>
      <c r="AX15" s="59">
        <v>2</v>
      </c>
      <c r="AY15" s="59">
        <v>2</v>
      </c>
      <c r="AZ15" s="59">
        <v>1</v>
      </c>
      <c r="BA15" s="59">
        <v>2</v>
      </c>
      <c r="BB15" s="57">
        <f t="shared" si="18"/>
        <v>2661</v>
      </c>
      <c r="BD15" s="63">
        <f>_xll.StatCorrelationCoeff( ST_EducationFieldMarketing,ST_Age_1)</f>
        <v>3.8161964863394293E-2</v>
      </c>
      <c r="BF15" s="36" t="s">
        <v>13</v>
      </c>
      <c r="BG15" s="33">
        <v>-0.53226085072172125</v>
      </c>
      <c r="BH15" s="39">
        <v>0.11426002457949076</v>
      </c>
      <c r="BI15" s="39">
        <v>-4.658329566097958</v>
      </c>
      <c r="BJ15" s="40">
        <v>3.1878557413822506E-6</v>
      </c>
      <c r="BK15" s="39">
        <v>-0.75621049889752312</v>
      </c>
      <c r="BL15" s="39">
        <v>-0.30831120254591937</v>
      </c>
      <c r="BM15" s="39">
        <v>0.58727572488607005</v>
      </c>
      <c r="BO15" s="36" t="s">
        <v>358</v>
      </c>
      <c r="BP15" s="33">
        <v>-4.8288207157348342E-2</v>
      </c>
      <c r="BQ15" s="39">
        <v>0.40605414933608625</v>
      </c>
      <c r="BR15" s="39">
        <v>-0.11892061006223276</v>
      </c>
      <c r="BS15" s="40">
        <v>0.90533825316143224</v>
      </c>
      <c r="BT15" s="39">
        <v>-0.84415433985607746</v>
      </c>
      <c r="BU15" s="39">
        <v>0.74757792554138069</v>
      </c>
      <c r="BV15" s="39">
        <v>0.95285912667960593</v>
      </c>
      <c r="BX15" s="36" t="s">
        <v>359</v>
      </c>
      <c r="BY15" s="33">
        <v>-0.73594961149477234</v>
      </c>
      <c r="BZ15" s="39">
        <v>0.41600466546815607</v>
      </c>
      <c r="CA15" s="39">
        <v>-1.7690898025544071</v>
      </c>
      <c r="CB15" s="40">
        <v>7.6878889399653927E-2</v>
      </c>
      <c r="CC15" s="39">
        <v>-1.5513187558123582</v>
      </c>
      <c r="CD15" s="39">
        <v>7.9419532822813554E-2</v>
      </c>
      <c r="CE15" s="39">
        <v>0.4790503312107251</v>
      </c>
      <c r="CG15" s="36" t="s">
        <v>360</v>
      </c>
      <c r="CH15" s="33">
        <v>3.1202359611496415E-3</v>
      </c>
      <c r="CI15" s="39">
        <v>0.4072754983829478</v>
      </c>
      <c r="CJ15" s="39">
        <v>7.6612415270210683E-3</v>
      </c>
      <c r="CK15" s="40">
        <v>0.99388727346642858</v>
      </c>
      <c r="CL15" s="39">
        <v>-0.79513974086942807</v>
      </c>
      <c r="CM15" s="39">
        <v>0.80138021279172733</v>
      </c>
      <c r="CN15" s="39">
        <v>1.0031251089643647</v>
      </c>
      <c r="CP15" s="36" t="s">
        <v>361</v>
      </c>
      <c r="CQ15" s="33">
        <v>-1.3922270414370672</v>
      </c>
      <c r="CR15" s="39">
        <v>0.52821247717410436</v>
      </c>
      <c r="CS15" s="39">
        <v>-2.6357329703481702</v>
      </c>
      <c r="CT15" s="40">
        <v>8.3955771317492101E-3</v>
      </c>
      <c r="CU15" s="39">
        <v>-2.4275234966983117</v>
      </c>
      <c r="CV15" s="39">
        <v>-0.35693058617582274</v>
      </c>
      <c r="CW15" s="39">
        <v>0.24852122082011535</v>
      </c>
      <c r="CY15" s="36" t="s">
        <v>11</v>
      </c>
      <c r="CZ15" s="33">
        <v>0.3161887965135699</v>
      </c>
      <c r="DA15" s="39">
        <v>0.30146108960379825</v>
      </c>
      <c r="DB15" s="39">
        <v>1.0488544207450714</v>
      </c>
      <c r="DC15" s="40">
        <v>0.29424512595698737</v>
      </c>
      <c r="DD15" s="39">
        <v>-0.27467493910987462</v>
      </c>
      <c r="DE15" s="39">
        <v>0.90705253213701442</v>
      </c>
      <c r="DF15" s="39">
        <v>1.3718892390830295</v>
      </c>
      <c r="DH15" s="36" t="s">
        <v>11</v>
      </c>
      <c r="DI15" s="69">
        <v>0.29033239071139116</v>
      </c>
      <c r="DJ15" s="70">
        <v>0.1720455177229743</v>
      </c>
      <c r="DK15" s="70">
        <v>1.6875324306843089</v>
      </c>
      <c r="DL15" s="66">
        <v>9.1501019413552598E-2</v>
      </c>
      <c r="DM15" s="70">
        <v>-4.6876824025638475E-2</v>
      </c>
      <c r="DN15" s="70">
        <v>0.62754160544842086</v>
      </c>
      <c r="DO15" s="70">
        <v>1.33687177794377</v>
      </c>
      <c r="DQ15" s="36" t="s">
        <v>13</v>
      </c>
      <c r="DR15" s="33">
        <v>-0.51279042028565858</v>
      </c>
      <c r="DS15" s="39">
        <v>0.11320334483991144</v>
      </c>
      <c r="DT15" s="39">
        <v>-4.5298168619560704</v>
      </c>
      <c r="DU15" s="40">
        <v>5.9034836026317095E-6</v>
      </c>
      <c r="DV15" s="39">
        <v>-0.73466897617188498</v>
      </c>
      <c r="DW15" s="39">
        <v>-0.29091186439943217</v>
      </c>
      <c r="DX15" s="39">
        <v>0.59882227945768574</v>
      </c>
      <c r="DZ15" s="36" t="s">
        <v>11</v>
      </c>
      <c r="EA15" s="33">
        <v>0.2930608213348091</v>
      </c>
      <c r="EB15" s="39">
        <v>0.17184009050062646</v>
      </c>
      <c r="EC15" s="39">
        <v>1.7054275313812217</v>
      </c>
      <c r="ED15" s="40">
        <v>8.8114717266482456E-2</v>
      </c>
      <c r="EE15" s="39">
        <v>-4.3745756046418782E-2</v>
      </c>
      <c r="EF15" s="39">
        <v>0.62986739871603703</v>
      </c>
      <c r="EG15" s="39">
        <v>1.3405243204307873</v>
      </c>
      <c r="EI15" s="36" t="s">
        <v>11</v>
      </c>
      <c r="EJ15" s="33">
        <v>0.29315050018962846</v>
      </c>
      <c r="EK15" s="39">
        <v>0.17080370473101603</v>
      </c>
      <c r="EL15" s="39">
        <v>1.7163005957703659</v>
      </c>
      <c r="EM15" s="40">
        <v>8.6107039343955805E-2</v>
      </c>
      <c r="EN15" s="39">
        <v>-4.1624761083162931E-2</v>
      </c>
      <c r="EO15" s="39">
        <v>0.62792576146241985</v>
      </c>
      <c r="EP15" s="39">
        <v>1.3406445425073095</v>
      </c>
      <c r="ER15" s="36" t="s">
        <v>13</v>
      </c>
      <c r="ES15" s="33">
        <v>-0.52685419694128655</v>
      </c>
      <c r="ET15" s="39">
        <v>0.1123958515028075</v>
      </c>
      <c r="EU15" s="39">
        <v>-4.6874879267952911</v>
      </c>
      <c r="EV15" s="40">
        <v>2.7657901200406343E-6</v>
      </c>
      <c r="EW15" s="39">
        <v>-0.74715006588678923</v>
      </c>
      <c r="EX15" s="39">
        <v>-0.30655832799578386</v>
      </c>
      <c r="EY15" s="39">
        <v>0.59045952048875139</v>
      </c>
      <c r="FA15" s="36" t="s">
        <v>361</v>
      </c>
      <c r="FB15" s="44">
        <f>_xll.StatCorrelationCoeff( ST_JobRoleManufacturingDirector,ST_Attrition_2)</f>
        <v>-8.2993924081347731E-2</v>
      </c>
      <c r="FC15" s="44"/>
      <c r="FD15" s="44">
        <f>_xll.StatCorrelationCoeff( ST_JobRoleManufacturingDirector,ST_BusinessTravelTravelRarely)</f>
        <v>5.9826006896996394E-4</v>
      </c>
      <c r="FE15" s="44">
        <f>_xll.StatCorrelationCoeff( ST_JobRoleManufacturingDirector,ST_BusinessTravelTravelFrequently)</f>
        <v>9.7828383413752738E-3</v>
      </c>
      <c r="FF15" s="44">
        <f>_xll.StatCorrelationCoeff( ST_JobRoleManufacturingDirector,ST_DistanceFromHome_10)</f>
        <v>1.1847605945529166E-2</v>
      </c>
      <c r="FG15" s="44">
        <f>_xll.StatCorrelationCoeff( ST_JobRoleManufacturingDirector,ST_EnvironmentSatisfaction_20)</f>
        <v>5.9177559752468911E-2</v>
      </c>
      <c r="FH15" s="44">
        <f>_xll.StatCorrelationCoeff( ST_JobRoleManufacturingDirector,ST_Gender_21)</f>
        <v>-6.5197429675265178E-2</v>
      </c>
      <c r="FI15" s="44">
        <f>_xll.StatCorrelationCoeff( ST_JobRoleManufacturingDirector,ST_JobInvolvement_23)</f>
        <v>-2.1938571484758116E-2</v>
      </c>
      <c r="FJ15" s="44">
        <f>_xll.StatCorrelationCoeff( ST_JobRoleManufacturingDirector,ST_JobLevel_24)</f>
        <v>0.11489586431701659</v>
      </c>
      <c r="FK15" s="44">
        <f>_xll.StatCorrelationCoeff( ST_JobRoleManufacturingDirector,ST_JobRoleSalesExec)</f>
        <v>-0.1765923352894091</v>
      </c>
      <c r="FL15" s="44">
        <f>_xll.StatCorrelationCoeff( ST_JobRoleManufacturingDirector,ST_JobRoleResearchScientist)</f>
        <v>-0.16470047150829092</v>
      </c>
      <c r="FM15" s="44">
        <f>_xll.StatCorrelationCoeff( ST_JobRoleManufacturingDirector,ST_JobRoleLabTechnician)</f>
        <v>-0.15298676892758153</v>
      </c>
      <c r="FN15" s="44">
        <v>1</v>
      </c>
      <c r="FO15" s="44"/>
      <c r="FP15" s="44"/>
      <c r="FQ15" s="44"/>
      <c r="FR15" s="44"/>
      <c r="FS15" s="44"/>
      <c r="FT15" s="44"/>
      <c r="FU15" s="44"/>
      <c r="FV15" s="44"/>
      <c r="FW15" s="44"/>
      <c r="FX15" s="44"/>
      <c r="FY15" s="44"/>
      <c r="FZ15" s="44"/>
      <c r="GA15" s="44"/>
      <c r="GB15" s="44"/>
      <c r="GD15" s="36" t="s">
        <v>22</v>
      </c>
      <c r="GE15" s="45">
        <f>_xll.StatCovariance( ST_OverTime_41,ST_DepartmentSales)</f>
        <v>1.2151354755653503E-3</v>
      </c>
      <c r="GF15" s="45">
        <f>_xll.StatCovariance( ST_OverTime_41,ST_DepartmentRD)</f>
        <v>-6.5109774338602668E-4</v>
      </c>
      <c r="GG15" s="45">
        <f>_xll.StatCovariance( ST_OverTime_41,ST_JobLevel_24)</f>
        <v>2.7136790727180901E-4</v>
      </c>
      <c r="GH15" s="45">
        <f>_xll.StatCovariance( ST_OverTime_41,ST_MonthlyIncome_38)</f>
        <v>12.918027442426919</v>
      </c>
      <c r="GI15" s="45">
        <f>_xll.StatVariance(ST_OverTime_41)</f>
        <v>0.20304617422190238</v>
      </c>
    </row>
    <row r="16" spans="1:191" ht="15" customHeight="1" x14ac:dyDescent="0.25">
      <c r="A16" s="58">
        <v>28</v>
      </c>
      <c r="B16" s="59">
        <v>1</v>
      </c>
      <c r="C16" s="59">
        <v>1</v>
      </c>
      <c r="D16" s="59">
        <f t="shared" si="0"/>
        <v>1</v>
      </c>
      <c r="E16" s="59">
        <f t="shared" si="1"/>
        <v>0</v>
      </c>
      <c r="F16" s="59">
        <v>103</v>
      </c>
      <c r="G16" s="59">
        <v>2</v>
      </c>
      <c r="H16" s="59">
        <f t="shared" si="2"/>
        <v>0</v>
      </c>
      <c r="I16" s="59">
        <f t="shared" si="3"/>
        <v>1</v>
      </c>
      <c r="J16" s="59">
        <v>24</v>
      </c>
      <c r="K16" s="59">
        <v>3</v>
      </c>
      <c r="L16" s="59">
        <v>1</v>
      </c>
      <c r="M16" s="59">
        <f t="shared" si="4"/>
        <v>1</v>
      </c>
      <c r="N16" s="59">
        <f t="shared" si="5"/>
        <v>0</v>
      </c>
      <c r="O16" s="59">
        <f t="shared" si="6"/>
        <v>0</v>
      </c>
      <c r="P16" s="59">
        <f t="shared" si="7"/>
        <v>0</v>
      </c>
      <c r="Q16" s="59">
        <f t="shared" si="8"/>
        <v>0</v>
      </c>
      <c r="R16" s="59">
        <v>1</v>
      </c>
      <c r="S16" s="59">
        <v>19</v>
      </c>
      <c r="T16" s="59">
        <v>3</v>
      </c>
      <c r="U16" s="59">
        <v>1</v>
      </c>
      <c r="V16" s="59">
        <v>50</v>
      </c>
      <c r="W16" s="59">
        <v>2</v>
      </c>
      <c r="X16" s="59">
        <v>1</v>
      </c>
      <c r="Y16" s="59">
        <v>3</v>
      </c>
      <c r="Z16" s="59">
        <f t="shared" si="9"/>
        <v>0</v>
      </c>
      <c r="AA16" s="59">
        <f>IF('Updated Dummy'!Y16=2,1,0)</f>
        <v>0</v>
      </c>
      <c r="AB16" s="59">
        <f t="shared" si="10"/>
        <v>1</v>
      </c>
      <c r="AC16" s="59">
        <f t="shared" si="11"/>
        <v>0</v>
      </c>
      <c r="AD16" s="59">
        <f t="shared" si="12"/>
        <v>0</v>
      </c>
      <c r="AE16" s="59">
        <f t="shared" si="13"/>
        <v>0</v>
      </c>
      <c r="AF16" s="59">
        <f t="shared" si="14"/>
        <v>0</v>
      </c>
      <c r="AG16" s="59">
        <f t="shared" si="15"/>
        <v>0</v>
      </c>
      <c r="AH16" s="59">
        <v>3</v>
      </c>
      <c r="AI16" s="59">
        <v>1</v>
      </c>
      <c r="AJ16" s="59">
        <f t="shared" si="16"/>
        <v>1</v>
      </c>
      <c r="AK16" s="59">
        <f t="shared" si="17"/>
        <v>0</v>
      </c>
      <c r="AL16" s="59">
        <v>2028</v>
      </c>
      <c r="AM16" s="59">
        <v>12947</v>
      </c>
      <c r="AN16" s="59">
        <v>5</v>
      </c>
      <c r="AO16" s="59">
        <v>1</v>
      </c>
      <c r="AP16" s="59">
        <v>14</v>
      </c>
      <c r="AQ16" s="59">
        <v>3</v>
      </c>
      <c r="AR16" s="59">
        <v>2</v>
      </c>
      <c r="AS16" s="59">
        <v>80</v>
      </c>
      <c r="AT16" s="59">
        <v>0</v>
      </c>
      <c r="AU16" s="59">
        <v>6</v>
      </c>
      <c r="AV16" s="59">
        <v>4</v>
      </c>
      <c r="AW16" s="59">
        <v>3</v>
      </c>
      <c r="AX16" s="59">
        <v>4</v>
      </c>
      <c r="AY16" s="59">
        <v>2</v>
      </c>
      <c r="AZ16" s="59">
        <v>0</v>
      </c>
      <c r="BA16" s="59">
        <v>3</v>
      </c>
      <c r="BB16" s="57">
        <f t="shared" si="18"/>
        <v>2028</v>
      </c>
      <c r="BD16" s="63">
        <f>_xll.StatCorrelationCoeff( ST_EducationFieldTechnical,ST_Age_1)</f>
        <v>-2.760438784107215E-2</v>
      </c>
      <c r="BF16" s="36" t="s">
        <v>14</v>
      </c>
      <c r="BG16" s="33">
        <v>-5.9601475152507341E-2</v>
      </c>
      <c r="BH16" s="39">
        <v>0.28940319026865591</v>
      </c>
      <c r="BI16" s="39">
        <v>-0.20594615801290472</v>
      </c>
      <c r="BJ16" s="64">
        <v>0.8368329693122234</v>
      </c>
      <c r="BK16" s="39">
        <v>-0.62683172807907295</v>
      </c>
      <c r="BL16" s="39">
        <v>0.50762877777405824</v>
      </c>
      <c r="BM16" s="39">
        <v>0.94213992494779397</v>
      </c>
      <c r="BO16" s="36" t="s">
        <v>359</v>
      </c>
      <c r="BP16" s="33">
        <v>-0.57126414429051886</v>
      </c>
      <c r="BQ16" s="39">
        <v>0.41274810484721758</v>
      </c>
      <c r="BR16" s="39">
        <v>-1.3840503144211345</v>
      </c>
      <c r="BS16" s="40">
        <v>0.16634304903893105</v>
      </c>
      <c r="BT16" s="39">
        <v>-1.3802504297910652</v>
      </c>
      <c r="BU16" s="39">
        <v>0.23772214121002755</v>
      </c>
      <c r="BV16" s="39">
        <v>0.56481098462672552</v>
      </c>
      <c r="BX16" s="36" t="s">
        <v>360</v>
      </c>
      <c r="BY16" s="33">
        <v>5.8588961379089054E-2</v>
      </c>
      <c r="BZ16" s="39">
        <v>0.40874141974425499</v>
      </c>
      <c r="CA16" s="39">
        <v>0.14333991748560135</v>
      </c>
      <c r="CB16" s="40">
        <v>0.88602173171759135</v>
      </c>
      <c r="CC16" s="39">
        <v>-0.7425442213196507</v>
      </c>
      <c r="CD16" s="39">
        <v>0.85972214407782888</v>
      </c>
      <c r="CE16" s="39">
        <v>1.0603393107462782</v>
      </c>
      <c r="CG16" s="36" t="s">
        <v>361</v>
      </c>
      <c r="CH16" s="33">
        <v>-1.3732549930284819</v>
      </c>
      <c r="CI16" s="39">
        <v>0.51244950842801962</v>
      </c>
      <c r="CJ16" s="39">
        <v>-2.6797859505047685</v>
      </c>
      <c r="CK16" s="40">
        <v>7.3669251463559515E-3</v>
      </c>
      <c r="CL16" s="39">
        <v>-2.3776560295474001</v>
      </c>
      <c r="CM16" s="39">
        <v>-0.36885395650956343</v>
      </c>
      <c r="CN16" s="39">
        <v>0.25328118784063641</v>
      </c>
      <c r="CP16" s="36" t="s">
        <v>365</v>
      </c>
      <c r="CQ16" s="33">
        <v>-1.4495440016053258</v>
      </c>
      <c r="CR16" s="39">
        <v>0.54203578223210713</v>
      </c>
      <c r="CS16" s="39">
        <v>-2.6742588757445005</v>
      </c>
      <c r="CT16" s="40">
        <v>7.4894612823590556E-3</v>
      </c>
      <c r="CU16" s="39">
        <v>-2.5119341347802555</v>
      </c>
      <c r="CV16" s="39">
        <v>-0.3871538684303959</v>
      </c>
      <c r="CW16" s="39">
        <v>0.23467727615994602</v>
      </c>
      <c r="CY16" s="36" t="s">
        <v>13</v>
      </c>
      <c r="CZ16" s="33">
        <v>-0.49739427934264613</v>
      </c>
      <c r="DA16" s="39">
        <v>0.11287881876025228</v>
      </c>
      <c r="DB16" s="39">
        <v>-4.406444759127762</v>
      </c>
      <c r="DC16" s="40">
        <v>1.0508109099749419E-5</v>
      </c>
      <c r="DD16" s="39">
        <v>-0.71863676411274058</v>
      </c>
      <c r="DE16" s="39">
        <v>-0.27615179457255168</v>
      </c>
      <c r="DF16" s="39">
        <v>0.60811317007652987</v>
      </c>
      <c r="DH16" s="36" t="s">
        <v>13</v>
      </c>
      <c r="DI16" s="69">
        <v>-0.51335426123637073</v>
      </c>
      <c r="DJ16" s="70">
        <v>0.11355691289535408</v>
      </c>
      <c r="DK16" s="70">
        <v>-4.5206782057332013</v>
      </c>
      <c r="DL16" s="66">
        <v>6.1641829232073064E-6</v>
      </c>
      <c r="DM16" s="70">
        <v>-0.73592581051126471</v>
      </c>
      <c r="DN16" s="70">
        <v>-0.29078271196147676</v>
      </c>
      <c r="DO16" s="70">
        <v>0.59848473410421787</v>
      </c>
      <c r="DQ16" s="36" t="s">
        <v>14</v>
      </c>
      <c r="DR16" s="33">
        <v>-1.1548846373825283</v>
      </c>
      <c r="DS16" s="39">
        <v>0.38525564194874712</v>
      </c>
      <c r="DT16" s="39">
        <v>-2.9977098623157077</v>
      </c>
      <c r="DU16" s="40">
        <v>2.7201650230657126E-3</v>
      </c>
      <c r="DV16" s="39">
        <v>-1.9099856956020727</v>
      </c>
      <c r="DW16" s="39">
        <v>-0.39978357916298402</v>
      </c>
      <c r="DX16" s="39">
        <v>0.31509388486208223</v>
      </c>
      <c r="DZ16" s="36" t="s">
        <v>13</v>
      </c>
      <c r="EA16" s="33">
        <v>-0.52105682231592099</v>
      </c>
      <c r="EB16" s="39">
        <v>0.11328605625861472</v>
      </c>
      <c r="EC16" s="39">
        <v>-4.5994788725492217</v>
      </c>
      <c r="ED16" s="40">
        <v>4.2354914358000428E-6</v>
      </c>
      <c r="EE16" s="39">
        <v>-0.74309749258280577</v>
      </c>
      <c r="EF16" s="39">
        <v>-0.29901615204903614</v>
      </c>
      <c r="EG16" s="39">
        <v>0.59389257727299616</v>
      </c>
      <c r="EI16" s="36" t="s">
        <v>13</v>
      </c>
      <c r="EJ16" s="33">
        <v>-0.53228882606293793</v>
      </c>
      <c r="EK16" s="39">
        <v>0.11237521606335071</v>
      </c>
      <c r="EL16" s="39">
        <v>-4.7367101457928582</v>
      </c>
      <c r="EM16" s="40">
        <v>2.1721548881803443E-6</v>
      </c>
      <c r="EN16" s="39">
        <v>-0.7525442495471053</v>
      </c>
      <c r="EO16" s="39">
        <v>-0.31203340257877055</v>
      </c>
      <c r="EP16" s="39">
        <v>0.5872592958770827</v>
      </c>
      <c r="ER16" s="36" t="s">
        <v>14</v>
      </c>
      <c r="ES16" s="33">
        <v>-1.296778748781936</v>
      </c>
      <c r="ET16" s="39">
        <v>0.37740217867159387</v>
      </c>
      <c r="EU16" s="39">
        <v>-3.4360658789687619</v>
      </c>
      <c r="EV16" s="40">
        <v>5.9022743121106558E-4</v>
      </c>
      <c r="EW16" s="39">
        <v>-2.03648701897826</v>
      </c>
      <c r="EX16" s="39">
        <v>-0.55707047858561198</v>
      </c>
      <c r="EY16" s="39">
        <v>0.2734111018812897</v>
      </c>
      <c r="FA16" s="36" t="s">
        <v>365</v>
      </c>
      <c r="FB16" s="44">
        <f>_xll.StatCorrelationCoeff( ST_JobRoleHealthcareRep,ST_Attrition_2)</f>
        <v>-7.8696049646155633E-2</v>
      </c>
      <c r="FC16" s="44"/>
      <c r="FD16" s="44">
        <f>_xll.StatCorrelationCoeff( ST_JobRoleHealthcareRep,ST_BusinessTravelTravelRarely)</f>
        <v>-1.5502675658571843E-2</v>
      </c>
      <c r="FE16" s="44">
        <f>_xll.StatCorrelationCoeff( ST_JobRoleHealthcareRep,ST_BusinessTravelTravelFrequently)</f>
        <v>8.0287107396034701E-3</v>
      </c>
      <c r="FF16" s="44">
        <f>_xll.StatCorrelationCoeff( ST_JobRoleHealthcareRep,ST_DistanceFromHome_10)</f>
        <v>2.2915977152155449E-2</v>
      </c>
      <c r="FG16" s="44">
        <f>_xll.StatCorrelationCoeff( ST_JobRoleHealthcareRep,ST_EnvironmentSatisfaction_20)</f>
        <v>1.409010383655775E-2</v>
      </c>
      <c r="FH16" s="44">
        <f>_xll.StatCorrelationCoeff( ST_JobRoleHealthcareRep,ST_Gender_21)</f>
        <v>6.8233316136638179E-3</v>
      </c>
      <c r="FI16" s="44">
        <f>_xll.StatCorrelationCoeff( ST_JobRoleHealthcareRep,ST_JobInvolvement_23)</f>
        <v>1.2718838989454707E-3</v>
      </c>
      <c r="FJ16" s="44">
        <f>_xll.StatCorrelationCoeff( ST_JobRoleHealthcareRep,ST_JobLevel_24)</f>
        <v>0.11570441896957712</v>
      </c>
      <c r="FK16" s="44">
        <f>_xll.StatCorrelationCoeff( ST_JobRoleHealthcareRep,ST_JobRoleSalesExec)</f>
        <v>-0.16697103803730792</v>
      </c>
      <c r="FL16" s="44">
        <f>_xll.StatCorrelationCoeff( ST_JobRoleHealthcareRep,ST_JobRoleResearchScientist)</f>
        <v>-0.15572707981863626</v>
      </c>
      <c r="FM16" s="44">
        <f>_xll.StatCorrelationCoeff( ST_JobRoleHealthcareRep,ST_JobRoleLabTechnician)</f>
        <v>-0.14465157602649453</v>
      </c>
      <c r="FN16" s="44">
        <f>_xll.StatCorrelationCoeff( ST_JobRoleHealthcareRep,ST_JobRoleManufacturingDirector)</f>
        <v>-0.10347166113317018</v>
      </c>
      <c r="FO16" s="44">
        <v>1</v>
      </c>
      <c r="FP16" s="44"/>
      <c r="FQ16" s="44"/>
      <c r="FR16" s="44"/>
      <c r="FS16" s="44"/>
      <c r="FT16" s="44"/>
      <c r="FU16" s="44"/>
      <c r="FV16" s="44"/>
      <c r="FW16" s="44"/>
      <c r="FX16" s="44"/>
      <c r="FY16" s="44"/>
      <c r="FZ16" s="44"/>
      <c r="GA16" s="44"/>
      <c r="GB16" s="44"/>
    </row>
    <row r="17" spans="1:184" ht="15" customHeight="1" x14ac:dyDescent="0.25">
      <c r="A17" s="58">
        <v>29</v>
      </c>
      <c r="B17" s="59">
        <v>0</v>
      </c>
      <c r="C17" s="59">
        <v>1</v>
      </c>
      <c r="D17" s="59">
        <f t="shared" si="0"/>
        <v>1</v>
      </c>
      <c r="E17" s="59">
        <f t="shared" si="1"/>
        <v>0</v>
      </c>
      <c r="F17" s="59">
        <v>1389</v>
      </c>
      <c r="G17" s="59">
        <v>2</v>
      </c>
      <c r="H17" s="59">
        <f t="shared" si="2"/>
        <v>0</v>
      </c>
      <c r="I17" s="59">
        <f t="shared" si="3"/>
        <v>1</v>
      </c>
      <c r="J17" s="59">
        <v>21</v>
      </c>
      <c r="K17" s="59">
        <v>4</v>
      </c>
      <c r="L17" s="59">
        <v>1</v>
      </c>
      <c r="M17" s="59">
        <f t="shared" si="4"/>
        <v>1</v>
      </c>
      <c r="N17" s="59">
        <f t="shared" si="5"/>
        <v>0</v>
      </c>
      <c r="O17" s="59">
        <f t="shared" si="6"/>
        <v>0</v>
      </c>
      <c r="P17" s="59">
        <f t="shared" si="7"/>
        <v>0</v>
      </c>
      <c r="Q17" s="59">
        <f t="shared" si="8"/>
        <v>0</v>
      </c>
      <c r="R17" s="59">
        <v>1</v>
      </c>
      <c r="S17" s="59">
        <v>20</v>
      </c>
      <c r="T17" s="59">
        <v>2</v>
      </c>
      <c r="U17" s="59">
        <v>0</v>
      </c>
      <c r="V17" s="59">
        <v>51</v>
      </c>
      <c r="W17" s="59">
        <v>4</v>
      </c>
      <c r="X17" s="59">
        <v>3</v>
      </c>
      <c r="Y17" s="59">
        <v>4</v>
      </c>
      <c r="Z17" s="59">
        <f t="shared" si="9"/>
        <v>0</v>
      </c>
      <c r="AA17" s="59">
        <f>IF('Updated Dummy'!Y17=2,1,0)</f>
        <v>0</v>
      </c>
      <c r="AB17" s="59">
        <f t="shared" si="10"/>
        <v>0</v>
      </c>
      <c r="AC17" s="59">
        <f t="shared" si="11"/>
        <v>1</v>
      </c>
      <c r="AD17" s="59">
        <f t="shared" si="12"/>
        <v>0</v>
      </c>
      <c r="AE17" s="59">
        <f t="shared" si="13"/>
        <v>0</v>
      </c>
      <c r="AF17" s="59">
        <f t="shared" si="14"/>
        <v>0</v>
      </c>
      <c r="AG17" s="59">
        <f t="shared" si="15"/>
        <v>0</v>
      </c>
      <c r="AH17" s="59">
        <v>1</v>
      </c>
      <c r="AI17" s="59">
        <v>3</v>
      </c>
      <c r="AJ17" s="59">
        <f t="shared" si="16"/>
        <v>0</v>
      </c>
      <c r="AK17" s="59">
        <f t="shared" si="17"/>
        <v>0</v>
      </c>
      <c r="AL17" s="59">
        <v>9980</v>
      </c>
      <c r="AM17" s="59">
        <v>10195</v>
      </c>
      <c r="AN17" s="59">
        <v>1</v>
      </c>
      <c r="AO17" s="59">
        <v>0</v>
      </c>
      <c r="AP17" s="59">
        <v>11</v>
      </c>
      <c r="AQ17" s="59">
        <v>3</v>
      </c>
      <c r="AR17" s="59">
        <v>3</v>
      </c>
      <c r="AS17" s="59">
        <v>80</v>
      </c>
      <c r="AT17" s="59">
        <v>1</v>
      </c>
      <c r="AU17" s="59">
        <v>10</v>
      </c>
      <c r="AV17" s="59">
        <v>1</v>
      </c>
      <c r="AW17" s="59">
        <v>3</v>
      </c>
      <c r="AX17" s="59">
        <v>10</v>
      </c>
      <c r="AY17" s="59">
        <v>9</v>
      </c>
      <c r="AZ17" s="59">
        <v>8</v>
      </c>
      <c r="BA17" s="59">
        <v>8</v>
      </c>
      <c r="BB17" s="57">
        <f t="shared" si="18"/>
        <v>29940</v>
      </c>
      <c r="BD17" s="63">
        <f>_xll.StatCorrelationCoeff( ST_EnvironmentSatisfaction_20,ST_Age_1)</f>
        <v>1.0146427861437251E-2</v>
      </c>
      <c r="BF17" s="36" t="s">
        <v>358</v>
      </c>
      <c r="BG17" s="33">
        <v>-8.8836204474364563E-2</v>
      </c>
      <c r="BH17" s="39">
        <v>0.42949544192149136</v>
      </c>
      <c r="BI17" s="39">
        <v>-0.20683852680001941</v>
      </c>
      <c r="BJ17" s="65">
        <v>0.83613596666993795</v>
      </c>
      <c r="BK17" s="39">
        <v>-0.93064727064048758</v>
      </c>
      <c r="BL17" s="39">
        <v>0.75297486169175842</v>
      </c>
      <c r="BM17" s="39">
        <v>0.91499543345890511</v>
      </c>
      <c r="BO17" s="36" t="s">
        <v>360</v>
      </c>
      <c r="BP17" s="33">
        <v>0.22219820425822745</v>
      </c>
      <c r="BQ17" s="39">
        <v>0.40608032910876735</v>
      </c>
      <c r="BR17" s="39">
        <v>0.54717795551902337</v>
      </c>
      <c r="BS17" s="40">
        <v>0.58425647955911453</v>
      </c>
      <c r="BT17" s="39">
        <v>-0.57371924079495651</v>
      </c>
      <c r="BU17" s="39">
        <v>1.0181156493114114</v>
      </c>
      <c r="BV17" s="39">
        <v>1.2488188745547157</v>
      </c>
      <c r="BX17" s="36" t="s">
        <v>361</v>
      </c>
      <c r="BY17" s="33">
        <v>-1.332759532131345</v>
      </c>
      <c r="BZ17" s="39">
        <v>0.51307518262996366</v>
      </c>
      <c r="CA17" s="39">
        <v>-2.5975911079927405</v>
      </c>
      <c r="CB17" s="40">
        <v>9.388021153068582E-3</v>
      </c>
      <c r="CC17" s="39">
        <v>-2.338386890086074</v>
      </c>
      <c r="CD17" s="39">
        <v>-0.32713217417661622</v>
      </c>
      <c r="CE17" s="39">
        <v>0.26374843387311081</v>
      </c>
      <c r="CG17" s="36" t="s">
        <v>365</v>
      </c>
      <c r="CH17" s="33">
        <v>-1.4294122562182381</v>
      </c>
      <c r="CI17" s="39">
        <v>0.52480455142262161</v>
      </c>
      <c r="CJ17" s="39">
        <v>-2.72370400055304</v>
      </c>
      <c r="CK17" s="40">
        <v>6.4554334109987455E-3</v>
      </c>
      <c r="CL17" s="39">
        <v>-2.4580291770065763</v>
      </c>
      <c r="CM17" s="39">
        <v>-0.40079533542989965</v>
      </c>
      <c r="CN17" s="39">
        <v>0.23944961591658898</v>
      </c>
      <c r="CP17" s="36" t="s">
        <v>362</v>
      </c>
      <c r="CQ17" s="33">
        <v>-1.6755643228853383</v>
      </c>
      <c r="CR17" s="39">
        <v>0.84155877998927675</v>
      </c>
      <c r="CS17" s="39">
        <v>-1.9910247064461599</v>
      </c>
      <c r="CT17" s="40">
        <v>4.6478171119262557E-2</v>
      </c>
      <c r="CU17" s="39">
        <v>-3.3250195316643207</v>
      </c>
      <c r="CV17" s="39">
        <v>-2.6109114106355857E-2</v>
      </c>
      <c r="CW17" s="39">
        <v>0.18720250700916605</v>
      </c>
      <c r="CY17" s="36" t="s">
        <v>14</v>
      </c>
      <c r="CZ17" s="33">
        <v>-0.10444482792883049</v>
      </c>
      <c r="DA17" s="39">
        <v>0.28866910489811887</v>
      </c>
      <c r="DB17" s="39">
        <v>-0.36181505452650575</v>
      </c>
      <c r="DC17" s="40">
        <v>0.7174902413938542</v>
      </c>
      <c r="DD17" s="39">
        <v>-0.67023627352914339</v>
      </c>
      <c r="DE17" s="39">
        <v>0.46134661767148244</v>
      </c>
      <c r="DF17" s="39">
        <v>0.90082449638909867</v>
      </c>
      <c r="DH17" s="36" t="s">
        <v>14</v>
      </c>
      <c r="DI17" s="69">
        <v>-1.1070656189393595</v>
      </c>
      <c r="DJ17" s="70">
        <v>0.38732133715267941</v>
      </c>
      <c r="DK17" s="70">
        <v>-2.8582613782079398</v>
      </c>
      <c r="DL17" s="66">
        <v>4.2596935447647422E-3</v>
      </c>
      <c r="DM17" s="70">
        <v>-1.8662154397586113</v>
      </c>
      <c r="DN17" s="70">
        <v>-0.34791579812010787</v>
      </c>
      <c r="DO17" s="70">
        <v>0.33052743288667691</v>
      </c>
      <c r="DQ17" s="36" t="s">
        <v>358</v>
      </c>
      <c r="DR17" s="33">
        <v>0.14502368306628136</v>
      </c>
      <c r="DS17" s="39">
        <v>0.45377578943149699</v>
      </c>
      <c r="DT17" s="39">
        <v>0.31959325826521306</v>
      </c>
      <c r="DU17" s="40">
        <v>0.74927668567925543</v>
      </c>
      <c r="DV17" s="39">
        <v>-0.74437686421945271</v>
      </c>
      <c r="DW17" s="39">
        <v>1.0344242303520155</v>
      </c>
      <c r="DX17" s="39">
        <v>1.1560669491539948</v>
      </c>
      <c r="DZ17" s="36" t="s">
        <v>14</v>
      </c>
      <c r="EA17" s="33">
        <v>-1.1041399185786416</v>
      </c>
      <c r="EB17" s="39">
        <v>0.38807360830374699</v>
      </c>
      <c r="EC17" s="39">
        <v>-2.8451816741797762</v>
      </c>
      <c r="ED17" s="40">
        <v>4.4386099439275295E-3</v>
      </c>
      <c r="EE17" s="39">
        <v>-1.8647641908539856</v>
      </c>
      <c r="EF17" s="39">
        <v>-0.34351564630329745</v>
      </c>
      <c r="EG17" s="39">
        <v>0.33149587310845557</v>
      </c>
      <c r="EI17" s="36" t="s">
        <v>14</v>
      </c>
      <c r="EJ17" s="33">
        <v>-1.2870287866134742</v>
      </c>
      <c r="EK17" s="39">
        <v>0.37811841632501902</v>
      </c>
      <c r="EL17" s="39">
        <v>-3.4037717578590079</v>
      </c>
      <c r="EM17" s="40">
        <v>6.6462263568567437E-4</v>
      </c>
      <c r="EN17" s="39">
        <v>-2.0281408826105114</v>
      </c>
      <c r="EO17" s="39">
        <v>-0.54591669061643688</v>
      </c>
      <c r="EP17" s="39">
        <v>0.27608988758992076</v>
      </c>
      <c r="ER17" s="36" t="s">
        <v>358</v>
      </c>
      <c r="ES17" s="33">
        <v>0.17042357388691337</v>
      </c>
      <c r="ET17" s="39">
        <v>0.44980007051092702</v>
      </c>
      <c r="EU17" s="39">
        <v>0.37888738810852024</v>
      </c>
      <c r="EV17" s="40">
        <v>0.70477149003758255</v>
      </c>
      <c r="EW17" s="39">
        <v>-0.71118456431450361</v>
      </c>
      <c r="EX17" s="39">
        <v>1.0520317120883302</v>
      </c>
      <c r="EY17" s="39">
        <v>1.1858070218490699</v>
      </c>
      <c r="FA17" s="36" t="s">
        <v>362</v>
      </c>
      <c r="FB17" s="44">
        <f>_xll.StatCorrelationCoeff( ST_JobRoleManager,ST_Attrition_2)</f>
        <v>-8.3316384164499796E-2</v>
      </c>
      <c r="FC17" s="44"/>
      <c r="FD17" s="44">
        <f>_xll.StatCorrelationCoeff( ST_JobRoleManager,ST_BusinessTravelTravelRarely)</f>
        <v>2.7293867483417882E-2</v>
      </c>
      <c r="FE17" s="44">
        <f>_xll.StatCorrelationCoeff( ST_JobRoleManager,ST_BusinessTravelTravelFrequently)</f>
        <v>-4.2582678584064414E-2</v>
      </c>
      <c r="FF17" s="44">
        <f>_xll.StatCorrelationCoeff( ST_JobRoleManager,ST_DistanceFromHome_10)</f>
        <v>-3.9189607063388511E-2</v>
      </c>
      <c r="FG17" s="44">
        <f>_xll.StatCorrelationCoeff( ST_JobRoleManager,ST_EnvironmentSatisfaction_20)</f>
        <v>1.0729647255769182E-2</v>
      </c>
      <c r="FH17" s="44">
        <f>_xll.StatCorrelationCoeff( ST_JobRoleManager,ST_Gender_21)</f>
        <v>-3.3879963522644489E-2</v>
      </c>
      <c r="FI17" s="44">
        <f>_xll.StatCorrelationCoeff( ST_JobRoleManager,ST_JobInvolvement_23)</f>
        <v>1.7112423408461943E-2</v>
      </c>
      <c r="FJ17" s="44">
        <f>_xll.StatCorrelationCoeff( ST_JobRoleManager,ST_JobLevel_24)</f>
        <v>0.55274411623799258</v>
      </c>
      <c r="FK17" s="44">
        <f>_xll.StatCorrelationCoeff( ST_JobRoleManager,ST_JobRoleSalesExec)</f>
        <v>-0.14576485501629197</v>
      </c>
      <c r="FL17" s="44">
        <f>_xll.StatCorrelationCoeff( ST_JobRoleManager,ST_JobRoleResearchScientist)</f>
        <v>-0.13594893748460901</v>
      </c>
      <c r="FM17" s="44">
        <f>_xll.StatCorrelationCoeff( ST_JobRoleManager,ST_JobRoleLabTechnician)</f>
        <v>-0.12628007979843972</v>
      </c>
      <c r="FN17" s="44">
        <f>_xll.StatCorrelationCoeff( ST_JobRoleManager,ST_JobRoleManufacturingDirector)</f>
        <v>-9.0330226491143445E-2</v>
      </c>
      <c r="FO17" s="44">
        <f>_xll.StatCorrelationCoeff( ST_JobRoleManager,ST_JobRoleHealthcareRep)</f>
        <v>-8.5408756040592948E-2</v>
      </c>
      <c r="FP17" s="44">
        <v>1</v>
      </c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</row>
    <row r="18" spans="1:184" ht="15" customHeight="1" x14ac:dyDescent="0.25">
      <c r="A18" s="58">
        <v>32</v>
      </c>
      <c r="B18" s="59">
        <v>0</v>
      </c>
      <c r="C18" s="59">
        <v>1</v>
      </c>
      <c r="D18" s="59">
        <f t="shared" si="0"/>
        <v>1</v>
      </c>
      <c r="E18" s="59">
        <f t="shared" si="1"/>
        <v>0</v>
      </c>
      <c r="F18" s="59">
        <v>334</v>
      </c>
      <c r="G18" s="59">
        <v>2</v>
      </c>
      <c r="H18" s="59">
        <f t="shared" si="2"/>
        <v>0</v>
      </c>
      <c r="I18" s="59">
        <f t="shared" si="3"/>
        <v>1</v>
      </c>
      <c r="J18" s="59">
        <v>5</v>
      </c>
      <c r="K18" s="59">
        <v>2</v>
      </c>
      <c r="L18" s="59">
        <v>1</v>
      </c>
      <c r="M18" s="59">
        <f t="shared" si="4"/>
        <v>1</v>
      </c>
      <c r="N18" s="59">
        <f t="shared" si="5"/>
        <v>0</v>
      </c>
      <c r="O18" s="59">
        <f t="shared" si="6"/>
        <v>0</v>
      </c>
      <c r="P18" s="59">
        <f t="shared" si="7"/>
        <v>0</v>
      </c>
      <c r="Q18" s="59">
        <f t="shared" si="8"/>
        <v>0</v>
      </c>
      <c r="R18" s="59">
        <v>1</v>
      </c>
      <c r="S18" s="59">
        <v>21</v>
      </c>
      <c r="T18" s="59">
        <v>1</v>
      </c>
      <c r="U18" s="59">
        <v>1</v>
      </c>
      <c r="V18" s="59">
        <v>80</v>
      </c>
      <c r="W18" s="59">
        <v>4</v>
      </c>
      <c r="X18" s="59">
        <v>1</v>
      </c>
      <c r="Y18" s="59">
        <v>2</v>
      </c>
      <c r="Z18" s="59">
        <f t="shared" si="9"/>
        <v>0</v>
      </c>
      <c r="AA18" s="59">
        <f>IF('Updated Dummy'!Y18=2,1,0)</f>
        <v>1</v>
      </c>
      <c r="AB18" s="59">
        <f t="shared" si="10"/>
        <v>0</v>
      </c>
      <c r="AC18" s="59">
        <f t="shared" si="11"/>
        <v>0</v>
      </c>
      <c r="AD18" s="59">
        <f t="shared" si="12"/>
        <v>0</v>
      </c>
      <c r="AE18" s="59">
        <f t="shared" si="13"/>
        <v>0</v>
      </c>
      <c r="AF18" s="59">
        <f t="shared" si="14"/>
        <v>0</v>
      </c>
      <c r="AG18" s="59">
        <f t="shared" si="15"/>
        <v>0</v>
      </c>
      <c r="AH18" s="59">
        <v>2</v>
      </c>
      <c r="AI18" s="59">
        <v>3</v>
      </c>
      <c r="AJ18" s="59">
        <f t="shared" si="16"/>
        <v>0</v>
      </c>
      <c r="AK18" s="59">
        <f t="shared" si="17"/>
        <v>0</v>
      </c>
      <c r="AL18" s="59">
        <v>3298</v>
      </c>
      <c r="AM18" s="59">
        <v>15053</v>
      </c>
      <c r="AN18" s="59">
        <v>0</v>
      </c>
      <c r="AO18" s="59">
        <v>1</v>
      </c>
      <c r="AP18" s="59">
        <v>12</v>
      </c>
      <c r="AQ18" s="59">
        <v>3</v>
      </c>
      <c r="AR18" s="59">
        <v>4</v>
      </c>
      <c r="AS18" s="59">
        <v>80</v>
      </c>
      <c r="AT18" s="59">
        <v>2</v>
      </c>
      <c r="AU18" s="59">
        <v>7</v>
      </c>
      <c r="AV18" s="59">
        <v>5</v>
      </c>
      <c r="AW18" s="59">
        <v>2</v>
      </c>
      <c r="AX18" s="59">
        <v>6</v>
      </c>
      <c r="AY18" s="59">
        <v>2</v>
      </c>
      <c r="AZ18" s="59">
        <v>0</v>
      </c>
      <c r="BA18" s="59">
        <v>5</v>
      </c>
      <c r="BB18" s="57">
        <f t="shared" si="18"/>
        <v>3298</v>
      </c>
      <c r="BD18" s="63">
        <f>_xll.StatCorrelationCoeff( ST_Gender_21,ST_Age_1)</f>
        <v>-3.6310550115792872E-2</v>
      </c>
      <c r="BF18" s="36" t="s">
        <v>359</v>
      </c>
      <c r="BG18" s="33">
        <v>-0.5485933597193029</v>
      </c>
      <c r="BH18" s="39">
        <v>0.41821114890552785</v>
      </c>
      <c r="BI18" s="39">
        <v>-1.3117616810431514</v>
      </c>
      <c r="BJ18" s="40">
        <v>0.18960055777010676</v>
      </c>
      <c r="BK18" s="39">
        <v>-1.3682872115741374</v>
      </c>
      <c r="BL18" s="39">
        <v>0.27110049213553167</v>
      </c>
      <c r="BM18" s="39">
        <v>0.5777619422785194</v>
      </c>
      <c r="BO18" s="36" t="s">
        <v>361</v>
      </c>
      <c r="BP18" s="33">
        <v>-1.1777963564867648</v>
      </c>
      <c r="BQ18" s="39">
        <v>0.51025372437372352</v>
      </c>
      <c r="BR18" s="39">
        <v>-2.3082562659045194</v>
      </c>
      <c r="BS18" s="40">
        <v>2.0984887351010117E-2</v>
      </c>
      <c r="BT18" s="39">
        <v>-2.177893656259263</v>
      </c>
      <c r="BU18" s="39">
        <v>-0.17769905671426667</v>
      </c>
      <c r="BV18" s="39">
        <v>0.30795661802818808</v>
      </c>
      <c r="BX18" s="36" t="s">
        <v>365</v>
      </c>
      <c r="BY18" s="33">
        <v>-1.3983512056514276</v>
      </c>
      <c r="BZ18" s="39">
        <v>0.5250009746807579</v>
      </c>
      <c r="CA18" s="39">
        <v>-2.6635211610830543</v>
      </c>
      <c r="CB18" s="40">
        <v>7.732754811947018E-3</v>
      </c>
      <c r="CC18" s="39">
        <v>-2.4273531160257131</v>
      </c>
      <c r="CD18" s="39">
        <v>-0.369349295277142</v>
      </c>
      <c r="CE18" s="39">
        <v>0.24700388699615905</v>
      </c>
      <c r="CG18" s="36" t="s">
        <v>362</v>
      </c>
      <c r="CH18" s="33">
        <v>-1.5971624136062719</v>
      </c>
      <c r="CI18" s="39">
        <v>0.65773046282232517</v>
      </c>
      <c r="CJ18" s="39">
        <v>-2.428293205020243</v>
      </c>
      <c r="CK18" s="40">
        <v>1.5170073575390131E-2</v>
      </c>
      <c r="CL18" s="39">
        <v>-2.886314120738029</v>
      </c>
      <c r="CM18" s="39">
        <v>-0.30801070647451456</v>
      </c>
      <c r="CN18" s="39">
        <v>0.20247023040136169</v>
      </c>
      <c r="CP18" s="36" t="s">
        <v>363</v>
      </c>
      <c r="CQ18" s="33">
        <v>0.45465186189259382</v>
      </c>
      <c r="CR18" s="39">
        <v>0.46341607175697758</v>
      </c>
      <c r="CS18" s="39">
        <v>0.98108781633067776</v>
      </c>
      <c r="CT18" s="40">
        <v>0.32654943809011927</v>
      </c>
      <c r="CU18" s="39">
        <v>-0.45364363875108221</v>
      </c>
      <c r="CV18" s="39">
        <v>1.3629473625362698</v>
      </c>
      <c r="CW18" s="39">
        <v>1.5756247525206131</v>
      </c>
      <c r="CY18" s="36" t="s">
        <v>358</v>
      </c>
      <c r="CZ18" s="33">
        <v>-0.26255632187731076</v>
      </c>
      <c r="DA18" s="39">
        <v>0.42795267732977732</v>
      </c>
      <c r="DB18" s="39">
        <v>-0.61351718492693696</v>
      </c>
      <c r="DC18" s="40">
        <v>0.53953442337974833</v>
      </c>
      <c r="DD18" s="39">
        <v>-1.1013435694436744</v>
      </c>
      <c r="DE18" s="39">
        <v>0.57623092568905276</v>
      </c>
      <c r="DF18" s="39">
        <v>0.76908304694771079</v>
      </c>
      <c r="DH18" s="36" t="s">
        <v>358</v>
      </c>
      <c r="DI18" s="69">
        <v>0.19098192610774384</v>
      </c>
      <c r="DJ18" s="70">
        <v>0.45435540501713439</v>
      </c>
      <c r="DK18" s="70">
        <v>0.42033598367899161</v>
      </c>
      <c r="DL18" s="66">
        <v>0.67424002642493908</v>
      </c>
      <c r="DM18" s="70">
        <v>-0.69955466772583952</v>
      </c>
      <c r="DN18" s="70">
        <v>1.0815185199413273</v>
      </c>
      <c r="DO18" s="70">
        <v>1.2104375745652887</v>
      </c>
      <c r="DQ18" s="36" t="s">
        <v>359</v>
      </c>
      <c r="DR18" s="33">
        <v>-1.0195402041697115</v>
      </c>
      <c r="DS18" s="39">
        <v>0.41837175515429492</v>
      </c>
      <c r="DT18" s="39">
        <v>-2.436924079145129</v>
      </c>
      <c r="DU18" s="40">
        <v>1.4812789006539262E-2</v>
      </c>
      <c r="DV18" s="39">
        <v>-1.8395488442721295</v>
      </c>
      <c r="DW18" s="39">
        <v>-0.19953156406729344</v>
      </c>
      <c r="DX18" s="39">
        <v>0.36076077834592152</v>
      </c>
      <c r="DZ18" s="36" t="s">
        <v>358</v>
      </c>
      <c r="EA18" s="33">
        <v>0.15781842113264818</v>
      </c>
      <c r="EB18" s="39">
        <v>0.45286995027647731</v>
      </c>
      <c r="EC18" s="39">
        <v>0.34848508062038552</v>
      </c>
      <c r="ED18" s="40">
        <v>0.72747591642339282</v>
      </c>
      <c r="EE18" s="39">
        <v>-0.72980668140924732</v>
      </c>
      <c r="EF18" s="39">
        <v>1.0454435236745436</v>
      </c>
      <c r="EG18" s="39">
        <v>1.1709535549825782</v>
      </c>
      <c r="EI18" s="36" t="s">
        <v>358</v>
      </c>
      <c r="EJ18" s="33">
        <v>0.19124337994906931</v>
      </c>
      <c r="EK18" s="39">
        <v>0.45114041927403986</v>
      </c>
      <c r="EL18" s="39">
        <v>0.42391098597818344</v>
      </c>
      <c r="EM18" s="40">
        <v>0.67163073184015998</v>
      </c>
      <c r="EN18" s="39">
        <v>-0.69299184182804874</v>
      </c>
      <c r="EO18" s="39">
        <v>1.0754786017261875</v>
      </c>
      <c r="EP18" s="39">
        <v>1.2107540894940625</v>
      </c>
      <c r="ER18" s="36" t="s">
        <v>359</v>
      </c>
      <c r="ES18" s="33">
        <v>-1.0567175099065518</v>
      </c>
      <c r="ET18" s="39">
        <v>0.41295763554892939</v>
      </c>
      <c r="EU18" s="39">
        <v>-2.5589005237835014</v>
      </c>
      <c r="EV18" s="40">
        <v>1.0500378348397454E-2</v>
      </c>
      <c r="EW18" s="39">
        <v>-1.8661144755824535</v>
      </c>
      <c r="EX18" s="39">
        <v>-0.2473205442306502</v>
      </c>
      <c r="EY18" s="39">
        <v>0.34759491662504999</v>
      </c>
      <c r="FA18" s="36" t="s">
        <v>363</v>
      </c>
      <c r="FB18" s="44">
        <f>_xll.StatCorrelationCoeff( ST_JobRoleSalesRep,ST_Attrition_2)</f>
        <v>0.15723427011479579</v>
      </c>
      <c r="FC18" s="44"/>
      <c r="FD18" s="44">
        <f>_xll.StatCorrelationCoeff( ST_JobRoleSalesRep,ST_BusinessTravelTravelRarely)</f>
        <v>-2.5257288681668356E-2</v>
      </c>
      <c r="FE18" s="44">
        <f>_xll.StatCorrelationCoeff( ST_JobRoleSalesRep,ST_BusinessTravelTravelFrequently)</f>
        <v>5.5468923526577889E-2</v>
      </c>
      <c r="FF18" s="44">
        <f>_xll.StatCorrelationCoeff( ST_JobRoleSalesRep,ST_DistanceFromHome_10)</f>
        <v>-1.599418292826945E-2</v>
      </c>
      <c r="FG18" s="44">
        <f>_xll.StatCorrelationCoeff( ST_JobRoleSalesRep,ST_EnvironmentSatisfaction_20)</f>
        <v>2.9486023460434181E-3</v>
      </c>
      <c r="FH18" s="44">
        <f>_xll.StatCorrelationCoeff( ST_JobRoleSalesRep,ST_Gender_21)</f>
        <v>-2.8877416702383203E-2</v>
      </c>
      <c r="FI18" s="44">
        <f>_xll.StatCorrelationCoeff( ST_JobRoleSalesRep,ST_JobInvolvement_23)</f>
        <v>-2.7281699678110706E-2</v>
      </c>
      <c r="FJ18" s="44">
        <f>_xll.StatCorrelationCoeff( ST_JobRoleSalesRep,ST_JobLevel_24)</f>
        <v>-0.21655936441039295</v>
      </c>
      <c r="FK18" s="44">
        <f>_xll.StatCorrelationCoeff( ST_JobRoleSalesRep,ST_JobRoleSalesExec)</f>
        <v>-0.13058599528454504</v>
      </c>
      <c r="FL18" s="44">
        <f>_xll.StatCorrelationCoeff( ST_JobRoleSalesRep,ST_JobRoleResearchScientist)</f>
        <v>-0.12179223385032878</v>
      </c>
      <c r="FM18" s="44">
        <f>_xll.StatCorrelationCoeff( ST_JobRoleSalesRep,ST_JobRoleLabTechnician)</f>
        <v>-0.11313021855129146</v>
      </c>
      <c r="FN18" s="44">
        <f>_xll.StatCorrelationCoeff( ST_JobRoleSalesRep,ST_JobRoleManufacturingDirector)</f>
        <v>-8.0923913581955775E-2</v>
      </c>
      <c r="FO18" s="44">
        <f>_xll.StatCorrelationCoeff( ST_JobRoleSalesRep,ST_JobRoleHealthcareRep)</f>
        <v>-7.6514928185732578E-2</v>
      </c>
      <c r="FP18" s="44">
        <f>_xll.StatCorrelationCoeff( ST_JobRoleSalesRep,ST_JobRoleManager)</f>
        <v>-6.6797137663378151E-2</v>
      </c>
      <c r="FQ18" s="44">
        <v>1</v>
      </c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</row>
    <row r="19" spans="1:184" ht="15" customHeight="1" x14ac:dyDescent="0.25">
      <c r="A19" s="58">
        <v>22</v>
      </c>
      <c r="B19" s="59">
        <v>0</v>
      </c>
      <c r="C19" s="59">
        <v>3</v>
      </c>
      <c r="D19" s="59">
        <f t="shared" si="0"/>
        <v>0</v>
      </c>
      <c r="E19" s="59">
        <f t="shared" si="1"/>
        <v>0</v>
      </c>
      <c r="F19" s="59">
        <v>1123</v>
      </c>
      <c r="G19" s="59">
        <v>2</v>
      </c>
      <c r="H19" s="59">
        <f t="shared" si="2"/>
        <v>0</v>
      </c>
      <c r="I19" s="59">
        <f t="shared" si="3"/>
        <v>1</v>
      </c>
      <c r="J19" s="59">
        <v>16</v>
      </c>
      <c r="K19" s="59">
        <v>2</v>
      </c>
      <c r="L19" s="59">
        <v>3</v>
      </c>
      <c r="M19" s="59">
        <f t="shared" si="4"/>
        <v>0</v>
      </c>
      <c r="N19" s="59">
        <f t="shared" si="5"/>
        <v>0</v>
      </c>
      <c r="O19" s="59">
        <f t="shared" si="6"/>
        <v>1</v>
      </c>
      <c r="P19" s="59">
        <f t="shared" si="7"/>
        <v>0</v>
      </c>
      <c r="Q19" s="59">
        <f t="shared" si="8"/>
        <v>0</v>
      </c>
      <c r="R19" s="59">
        <v>1</v>
      </c>
      <c r="S19" s="59">
        <v>22</v>
      </c>
      <c r="T19" s="59">
        <v>4</v>
      </c>
      <c r="U19" s="59">
        <v>1</v>
      </c>
      <c r="V19" s="59">
        <v>96</v>
      </c>
      <c r="W19" s="59">
        <v>4</v>
      </c>
      <c r="X19" s="59">
        <v>1</v>
      </c>
      <c r="Y19" s="59">
        <v>3</v>
      </c>
      <c r="Z19" s="59">
        <f t="shared" si="9"/>
        <v>0</v>
      </c>
      <c r="AA19" s="59">
        <f>IF('Updated Dummy'!Y19=2,1,0)</f>
        <v>0</v>
      </c>
      <c r="AB19" s="59">
        <f t="shared" si="10"/>
        <v>1</v>
      </c>
      <c r="AC19" s="59">
        <f t="shared" si="11"/>
        <v>0</v>
      </c>
      <c r="AD19" s="59">
        <f t="shared" si="12"/>
        <v>0</v>
      </c>
      <c r="AE19" s="59">
        <f t="shared" si="13"/>
        <v>0</v>
      </c>
      <c r="AF19" s="59">
        <f t="shared" si="14"/>
        <v>0</v>
      </c>
      <c r="AG19" s="59">
        <f t="shared" si="15"/>
        <v>0</v>
      </c>
      <c r="AH19" s="59">
        <v>4</v>
      </c>
      <c r="AI19" s="59">
        <v>3</v>
      </c>
      <c r="AJ19" s="59">
        <f t="shared" si="16"/>
        <v>0</v>
      </c>
      <c r="AK19" s="59">
        <f t="shared" si="17"/>
        <v>0</v>
      </c>
      <c r="AL19" s="59">
        <v>2935</v>
      </c>
      <c r="AM19" s="59">
        <v>7324</v>
      </c>
      <c r="AN19" s="59">
        <v>1</v>
      </c>
      <c r="AO19" s="59">
        <v>1</v>
      </c>
      <c r="AP19" s="59">
        <v>13</v>
      </c>
      <c r="AQ19" s="59">
        <v>3</v>
      </c>
      <c r="AR19" s="59">
        <v>2</v>
      </c>
      <c r="AS19" s="59">
        <v>80</v>
      </c>
      <c r="AT19" s="59">
        <v>2</v>
      </c>
      <c r="AU19" s="59">
        <v>1</v>
      </c>
      <c r="AV19" s="59">
        <v>2</v>
      </c>
      <c r="AW19" s="59">
        <v>2</v>
      </c>
      <c r="AX19" s="59">
        <v>1</v>
      </c>
      <c r="AY19" s="59">
        <v>0</v>
      </c>
      <c r="AZ19" s="59">
        <v>0</v>
      </c>
      <c r="BA19" s="59">
        <v>0</v>
      </c>
      <c r="BB19" s="57">
        <f t="shared" si="18"/>
        <v>2935</v>
      </c>
      <c r="BD19" s="63">
        <f>_xll.StatCorrelationCoeff( ST_HourlyRate_22,ST_Age_1)</f>
        <v>2.4286542550967342E-2</v>
      </c>
      <c r="BF19" s="36" t="s">
        <v>360</v>
      </c>
      <c r="BG19" s="33">
        <v>0.25019510470332318</v>
      </c>
      <c r="BH19" s="39">
        <v>0.41028085438169704</v>
      </c>
      <c r="BI19" s="39">
        <v>0.60981423342401175</v>
      </c>
      <c r="BJ19" s="40">
        <v>0.54198487177195509</v>
      </c>
      <c r="BK19" s="39">
        <v>-0.55395536988480298</v>
      </c>
      <c r="BL19" s="39">
        <v>1.0543455792914493</v>
      </c>
      <c r="BM19" s="39">
        <v>1.2842759605260696</v>
      </c>
      <c r="BO19" s="36" t="s">
        <v>365</v>
      </c>
      <c r="BP19" s="33">
        <v>-1.2845515764108444</v>
      </c>
      <c r="BQ19" s="39">
        <v>0.52594992370112748</v>
      </c>
      <c r="BR19" s="39">
        <v>-2.4423457795590333</v>
      </c>
      <c r="BS19" s="40">
        <v>1.4592162734623937E-2</v>
      </c>
      <c r="BT19" s="39">
        <v>-2.3154134268650539</v>
      </c>
      <c r="BU19" s="39">
        <v>-0.25368972595663464</v>
      </c>
      <c r="BV19" s="39">
        <v>0.27677466809874934</v>
      </c>
      <c r="BX19" s="36" t="s">
        <v>362</v>
      </c>
      <c r="BY19" s="33">
        <v>-1.5491209723689907</v>
      </c>
      <c r="BZ19" s="39">
        <v>0.65808164536878544</v>
      </c>
      <c r="CA19" s="39">
        <v>-2.3539951057301889</v>
      </c>
      <c r="CB19" s="40">
        <v>1.8572855625042628E-2</v>
      </c>
      <c r="CC19" s="39">
        <v>-2.8389609972918102</v>
      </c>
      <c r="CD19" s="39">
        <v>-0.25928094744617125</v>
      </c>
      <c r="CE19" s="39">
        <v>0.21243462768529325</v>
      </c>
      <c r="CG19" s="36" t="s">
        <v>363</v>
      </c>
      <c r="CH19" s="33">
        <v>0.44597583589062012</v>
      </c>
      <c r="CI19" s="39">
        <v>0.45956307290502391</v>
      </c>
      <c r="CJ19" s="39">
        <v>0.97043444563873438</v>
      </c>
      <c r="CK19" s="40">
        <v>0.33182998602289238</v>
      </c>
      <c r="CL19" s="39">
        <v>-0.45476778700322668</v>
      </c>
      <c r="CM19" s="39">
        <v>1.3467194587844669</v>
      </c>
      <c r="CN19" s="39">
        <v>1.5620137214072902</v>
      </c>
      <c r="CP19" s="36" t="s">
        <v>364</v>
      </c>
      <c r="CQ19" s="33">
        <v>-2.7266536466728408</v>
      </c>
      <c r="CR19" s="39">
        <v>0.99657385017902711</v>
      </c>
      <c r="CS19" s="39">
        <v>-2.7360276874443552</v>
      </c>
      <c r="CT19" s="40">
        <v>6.2185793521050137E-3</v>
      </c>
      <c r="CU19" s="39">
        <v>-4.6799383930237344</v>
      </c>
      <c r="CV19" s="39">
        <v>-0.77336890032194772</v>
      </c>
      <c r="CW19" s="39">
        <v>6.5437902028199463E-2</v>
      </c>
      <c r="CY19" s="36" t="s">
        <v>359</v>
      </c>
      <c r="CZ19" s="33">
        <v>-0.73745455263305437</v>
      </c>
      <c r="DA19" s="39">
        <v>0.4169767351759972</v>
      </c>
      <c r="DB19" s="39">
        <v>-1.7685748158630246</v>
      </c>
      <c r="DC19" s="40">
        <v>7.6964856602407261E-2</v>
      </c>
      <c r="DD19" s="39">
        <v>-1.5547289535780089</v>
      </c>
      <c r="DE19" s="39">
        <v>7.9819848311900143E-2</v>
      </c>
      <c r="DF19" s="39">
        <v>0.47832993087599474</v>
      </c>
      <c r="DH19" s="36" t="s">
        <v>359</v>
      </c>
      <c r="DI19" s="69">
        <v>-0.99364075815571362</v>
      </c>
      <c r="DJ19" s="70">
        <v>0.41975654135670554</v>
      </c>
      <c r="DK19" s="70">
        <v>-2.3671834986636364</v>
      </c>
      <c r="DL19" s="66">
        <v>1.7924043458079852E-2</v>
      </c>
      <c r="DM19" s="70">
        <v>-1.8163635792148565</v>
      </c>
      <c r="DN19" s="70">
        <v>-0.17091793709657077</v>
      </c>
      <c r="DO19" s="70">
        <v>0.37022632981462328</v>
      </c>
      <c r="DQ19" s="36" t="s">
        <v>360</v>
      </c>
      <c r="DR19" s="33">
        <v>-0.18722769099317349</v>
      </c>
      <c r="DS19" s="39">
        <v>0.40710849233219371</v>
      </c>
      <c r="DT19" s="39">
        <v>-0.45989630410460419</v>
      </c>
      <c r="DU19" s="40">
        <v>0.64559065317592657</v>
      </c>
      <c r="DV19" s="39">
        <v>-0.9851603359642731</v>
      </c>
      <c r="DW19" s="39">
        <v>0.61070495397792612</v>
      </c>
      <c r="DX19" s="39">
        <v>0.82925490101615695</v>
      </c>
      <c r="DZ19" s="36" t="s">
        <v>359</v>
      </c>
      <c r="EA19" s="33">
        <v>-0.98842047291657709</v>
      </c>
      <c r="EB19" s="39">
        <v>0.41791655258227067</v>
      </c>
      <c r="EC19" s="39">
        <v>-2.3651144392563812</v>
      </c>
      <c r="ED19" s="40">
        <v>1.8024500318555514E-2</v>
      </c>
      <c r="EE19" s="39">
        <v>-1.8075369159778276</v>
      </c>
      <c r="EF19" s="39">
        <v>-0.16930402985532655</v>
      </c>
      <c r="EG19" s="39">
        <v>0.37216407023765202</v>
      </c>
      <c r="EI19" s="36" t="s">
        <v>359</v>
      </c>
      <c r="EJ19" s="33">
        <v>-1.0440255926830575</v>
      </c>
      <c r="EK19" s="39">
        <v>0.41362290864251872</v>
      </c>
      <c r="EL19" s="39">
        <v>-2.5241000217069116</v>
      </c>
      <c r="EM19" s="40">
        <v>1.1599492007258405E-2</v>
      </c>
      <c r="EN19" s="39">
        <v>-1.8547264936223942</v>
      </c>
      <c r="EO19" s="39">
        <v>-0.23332469174372084</v>
      </c>
      <c r="EP19" s="39">
        <v>0.35203467747476896</v>
      </c>
      <c r="ER19" s="36" t="s">
        <v>360</v>
      </c>
      <c r="ES19" s="33">
        <v>-0.21130270805262033</v>
      </c>
      <c r="ET19" s="39">
        <v>0.40156167869059911</v>
      </c>
      <c r="EU19" s="39">
        <v>-0.5262023725511612</v>
      </c>
      <c r="EV19" s="40">
        <v>0.59874760574378172</v>
      </c>
      <c r="EW19" s="39">
        <v>-0.99836359828619459</v>
      </c>
      <c r="EX19" s="39">
        <v>0.57575818218095398</v>
      </c>
      <c r="EY19" s="39">
        <v>0.80952897884736041</v>
      </c>
      <c r="FA19" s="36" t="s">
        <v>364</v>
      </c>
      <c r="FB19" s="44">
        <f>_xll.StatCorrelationCoeff( ST_JobResearchDirector,ST_Attrition_2)</f>
        <v>-8.8869841749782741E-2</v>
      </c>
      <c r="FC19" s="44"/>
      <c r="FD19" s="44">
        <f>_xll.StatCorrelationCoeff( ST_JobResearchDirector,ST_BusinessTravelTravelRarely)</f>
        <v>3.4600489255977307E-2</v>
      </c>
      <c r="FE19" s="44">
        <f>_xll.StatCorrelationCoeff( ST_JobResearchDirector,ST_BusinessTravelTravelFrequently)</f>
        <v>-2.357902998962123E-2</v>
      </c>
      <c r="FF19" s="44">
        <f>_xll.StatCorrelationCoeff( ST_JobResearchDirector,ST_DistanceFromHome_10)</f>
        <v>-2.2350600007147791E-2</v>
      </c>
      <c r="FG19" s="44">
        <f>_xll.StatCorrelationCoeff( ST_JobResearchDirector,ST_EnvironmentSatisfaction_20)</f>
        <v>-4.8689218086008464E-2</v>
      </c>
      <c r="FH19" s="44">
        <f>_xll.StatCorrelationCoeff( ST_JobResearchDirector,ST_Gender_21)</f>
        <v>-6.1212763359302204E-3</v>
      </c>
      <c r="FI19" s="44">
        <f>_xll.StatCorrelationCoeff( ST_JobResearchDirector,ST_JobInvolvement_23)</f>
        <v>1.519993345676063E-2</v>
      </c>
      <c r="FJ19" s="44">
        <f>_xll.StatCorrelationCoeff( ST_JobResearchDirector,ST_JobLevel_24)</f>
        <v>0.41431854803522022</v>
      </c>
      <c r="FK19" s="44">
        <f>_xll.StatCorrelationCoeff( ST_JobResearchDirector,ST_JobRoleSalesExec)</f>
        <v>-0.12806586321783622</v>
      </c>
      <c r="FL19" s="44">
        <f>_xll.StatCorrelationCoeff( ST_JobResearchDirector,ST_JobRoleResearchScientist)</f>
        <v>-0.11944180941673237</v>
      </c>
      <c r="FM19" s="44">
        <f>_xll.StatCorrelationCoeff( ST_JobResearchDirector,ST_JobRoleLabTechnician)</f>
        <v>-0.11094695922962139</v>
      </c>
      <c r="FN19" s="44">
        <f>_xll.StatCorrelationCoeff( ST_JobResearchDirector,ST_JobRoleManufacturingDirector)</f>
        <v>-7.9362192134435752E-2</v>
      </c>
      <c r="FO19" s="44">
        <f>_xll.StatCorrelationCoeff( ST_JobResearchDirector,ST_JobRoleHealthcareRep)</f>
        <v>-7.5038294158610422E-2</v>
      </c>
      <c r="FP19" s="44">
        <f>_xll.StatCorrelationCoeff( ST_JobResearchDirector,ST_JobRoleManager)</f>
        <v>-6.5508043773767857E-2</v>
      </c>
      <c r="FQ19" s="44">
        <f>_xll.StatCorrelationCoeff( ST_JobResearchDirector,ST_JobRoleSalesRep)</f>
        <v>-5.8686526971022668E-2</v>
      </c>
      <c r="FR19" s="44">
        <v>1</v>
      </c>
      <c r="FS19" s="44"/>
      <c r="FT19" s="44"/>
      <c r="FU19" s="44"/>
      <c r="FV19" s="44"/>
      <c r="FW19" s="44"/>
      <c r="FX19" s="44"/>
      <c r="FY19" s="44"/>
      <c r="FZ19" s="44"/>
      <c r="GA19" s="44"/>
      <c r="GB19" s="44"/>
    </row>
    <row r="20" spans="1:184" ht="15" customHeight="1" x14ac:dyDescent="0.25">
      <c r="A20" s="58">
        <v>53</v>
      </c>
      <c r="B20" s="59">
        <v>0</v>
      </c>
      <c r="C20" s="59">
        <v>1</v>
      </c>
      <c r="D20" s="59">
        <f t="shared" si="0"/>
        <v>1</v>
      </c>
      <c r="E20" s="59">
        <f t="shared" si="1"/>
        <v>0</v>
      </c>
      <c r="F20" s="59">
        <v>1219</v>
      </c>
      <c r="G20" s="59">
        <v>1</v>
      </c>
      <c r="H20" s="59">
        <f t="shared" si="2"/>
        <v>1</v>
      </c>
      <c r="I20" s="59">
        <f t="shared" si="3"/>
        <v>0</v>
      </c>
      <c r="J20" s="59">
        <v>2</v>
      </c>
      <c r="K20" s="59">
        <v>4</v>
      </c>
      <c r="L20" s="59">
        <v>1</v>
      </c>
      <c r="M20" s="59">
        <f t="shared" si="4"/>
        <v>1</v>
      </c>
      <c r="N20" s="59">
        <f t="shared" si="5"/>
        <v>0</v>
      </c>
      <c r="O20" s="59">
        <f t="shared" si="6"/>
        <v>0</v>
      </c>
      <c r="P20" s="59">
        <f t="shared" si="7"/>
        <v>0</v>
      </c>
      <c r="Q20" s="59">
        <f t="shared" si="8"/>
        <v>0</v>
      </c>
      <c r="R20" s="59">
        <v>1</v>
      </c>
      <c r="S20" s="59">
        <v>23</v>
      </c>
      <c r="T20" s="59">
        <v>1</v>
      </c>
      <c r="U20" s="59">
        <v>0</v>
      </c>
      <c r="V20" s="59">
        <v>78</v>
      </c>
      <c r="W20" s="59">
        <v>2</v>
      </c>
      <c r="X20" s="59">
        <v>4</v>
      </c>
      <c r="Y20" s="59">
        <v>6</v>
      </c>
      <c r="Z20" s="59">
        <f t="shared" si="9"/>
        <v>0</v>
      </c>
      <c r="AA20" s="59">
        <f>IF('Updated Dummy'!Y20=2,1,0)</f>
        <v>0</v>
      </c>
      <c r="AB20" s="59">
        <f t="shared" si="10"/>
        <v>0</v>
      </c>
      <c r="AC20" s="59">
        <f t="shared" si="11"/>
        <v>0</v>
      </c>
      <c r="AD20" s="59">
        <f t="shared" si="12"/>
        <v>0</v>
      </c>
      <c r="AE20" s="59">
        <f t="shared" si="13"/>
        <v>1</v>
      </c>
      <c r="AF20" s="59">
        <f t="shared" si="14"/>
        <v>0</v>
      </c>
      <c r="AG20" s="59">
        <f t="shared" si="15"/>
        <v>0</v>
      </c>
      <c r="AH20" s="59">
        <v>4</v>
      </c>
      <c r="AI20" s="59">
        <v>2</v>
      </c>
      <c r="AJ20" s="59">
        <f t="shared" si="16"/>
        <v>0</v>
      </c>
      <c r="AK20" s="59">
        <f t="shared" si="17"/>
        <v>1</v>
      </c>
      <c r="AL20" s="59">
        <v>15427</v>
      </c>
      <c r="AM20" s="59">
        <v>22021</v>
      </c>
      <c r="AN20" s="59">
        <v>2</v>
      </c>
      <c r="AO20" s="59">
        <v>0</v>
      </c>
      <c r="AP20" s="59">
        <v>16</v>
      </c>
      <c r="AQ20" s="59">
        <v>3</v>
      </c>
      <c r="AR20" s="59">
        <v>3</v>
      </c>
      <c r="AS20" s="59">
        <v>80</v>
      </c>
      <c r="AT20" s="59">
        <v>0</v>
      </c>
      <c r="AU20" s="59">
        <v>31</v>
      </c>
      <c r="AV20" s="59">
        <v>3</v>
      </c>
      <c r="AW20" s="59">
        <v>3</v>
      </c>
      <c r="AX20" s="59">
        <v>25</v>
      </c>
      <c r="AY20" s="59">
        <v>8</v>
      </c>
      <c r="AZ20" s="59">
        <v>3</v>
      </c>
      <c r="BA20" s="59">
        <v>7</v>
      </c>
      <c r="BB20" s="57">
        <f t="shared" si="18"/>
        <v>61708</v>
      </c>
      <c r="BD20" s="63">
        <f>_xll.StatCorrelationCoeff( ST_JobInvolvement_23,ST_Age_1)</f>
        <v>2.9819958629590554E-2</v>
      </c>
      <c r="BF20" s="36" t="s">
        <v>361</v>
      </c>
      <c r="BG20" s="33">
        <v>-1.1909937285524832</v>
      </c>
      <c r="BH20" s="39">
        <v>0.53143798822969068</v>
      </c>
      <c r="BI20" s="39">
        <v>-2.2410775197307284</v>
      </c>
      <c r="BJ20" s="40">
        <v>2.5021054085145211E-2</v>
      </c>
      <c r="BK20" s="39">
        <v>-2.2326121854826768</v>
      </c>
      <c r="BL20" s="39">
        <v>-0.14937527162228958</v>
      </c>
      <c r="BM20" s="39">
        <v>0.30391910086929225</v>
      </c>
      <c r="BO20" s="36" t="s">
        <v>362</v>
      </c>
      <c r="BP20" s="33">
        <v>-1.3850513995132965</v>
      </c>
      <c r="BQ20" s="39">
        <v>0.6535730772681404</v>
      </c>
      <c r="BR20" s="39">
        <v>-2.1191989812411651</v>
      </c>
      <c r="BS20" s="40">
        <v>3.4073654362617223E-2</v>
      </c>
      <c r="BT20" s="39">
        <v>-2.6660546309588513</v>
      </c>
      <c r="BU20" s="39">
        <v>-0.10404816806774142</v>
      </c>
      <c r="BV20" s="39">
        <v>0.25031093360088108</v>
      </c>
      <c r="BX20" s="36" t="s">
        <v>363</v>
      </c>
      <c r="BY20" s="33">
        <v>0.4986589678215782</v>
      </c>
      <c r="BZ20" s="39">
        <v>0.46037512704704625</v>
      </c>
      <c r="CA20" s="39">
        <v>1.0831579260593278</v>
      </c>
      <c r="CB20" s="40">
        <v>0.27873833125739855</v>
      </c>
      <c r="CC20" s="39">
        <v>-0.40367628119063242</v>
      </c>
      <c r="CD20" s="39">
        <v>1.4009942168337888</v>
      </c>
      <c r="CE20" s="39">
        <v>1.6465117642636111</v>
      </c>
      <c r="CG20" s="36" t="s">
        <v>364</v>
      </c>
      <c r="CH20" s="33">
        <v>-2.6526061838613102</v>
      </c>
      <c r="CI20" s="39">
        <v>0.86495266436654017</v>
      </c>
      <c r="CJ20" s="39">
        <v>-3.0667645677512101</v>
      </c>
      <c r="CK20" s="40">
        <v>2.1638921799251865E-3</v>
      </c>
      <c r="CL20" s="39">
        <v>-4.3479134060197291</v>
      </c>
      <c r="CM20" s="39">
        <v>-0.95729896170289153</v>
      </c>
      <c r="CN20" s="39">
        <v>7.0467322739248051E-2</v>
      </c>
      <c r="CP20" s="36" t="s">
        <v>16</v>
      </c>
      <c r="CQ20" s="33">
        <v>-0.38808742283152964</v>
      </c>
      <c r="CR20" s="39">
        <v>7.5186601165367586E-2</v>
      </c>
      <c r="CS20" s="39">
        <v>-5.1616566890416937</v>
      </c>
      <c r="CT20" s="40">
        <v>2.4477388538279854E-7</v>
      </c>
      <c r="CU20" s="39">
        <v>-0.53545316111565011</v>
      </c>
      <c r="CV20" s="39">
        <v>-0.24072168454740916</v>
      </c>
      <c r="CW20" s="39">
        <v>0.67835303712850414</v>
      </c>
      <c r="CY20" s="36" t="s">
        <v>360</v>
      </c>
      <c r="CZ20" s="33">
        <v>4.3638682734730129E-2</v>
      </c>
      <c r="DA20" s="39">
        <v>0.40724909385941671</v>
      </c>
      <c r="DB20" s="39">
        <v>0.10715476938493643</v>
      </c>
      <c r="DC20" s="40">
        <v>0.91466619755830769</v>
      </c>
      <c r="DD20" s="39">
        <v>-0.75456954122972664</v>
      </c>
      <c r="DE20" s="39">
        <v>0.84184690669918694</v>
      </c>
      <c r="DF20" s="39">
        <v>1.0446048529248158</v>
      </c>
      <c r="DH20" s="36" t="s">
        <v>360</v>
      </c>
      <c r="DI20" s="69">
        <v>-0.17174870661319644</v>
      </c>
      <c r="DJ20" s="70">
        <v>0.40767511597533124</v>
      </c>
      <c r="DK20" s="70">
        <v>-0.42128817748000369</v>
      </c>
      <c r="DL20" s="66">
        <v>0.67354466218171227</v>
      </c>
      <c r="DM20" s="70">
        <v>-0.97079193392484564</v>
      </c>
      <c r="DN20" s="70">
        <v>0.62729452069845282</v>
      </c>
      <c r="DO20" s="70">
        <v>0.84219078355357513</v>
      </c>
      <c r="DQ20" s="36" t="s">
        <v>361</v>
      </c>
      <c r="DR20" s="33">
        <v>-0.96407290185466155</v>
      </c>
      <c r="DS20" s="39">
        <v>0.55714288952257496</v>
      </c>
      <c r="DT20" s="39">
        <v>-1.7303871591734603</v>
      </c>
      <c r="DU20" s="40">
        <v>8.3561126499560823E-2</v>
      </c>
      <c r="DV20" s="39">
        <v>-2.0560729653189083</v>
      </c>
      <c r="DW20" s="39">
        <v>0.12792716160958528</v>
      </c>
      <c r="DX20" s="39">
        <v>0.38133657233745022</v>
      </c>
      <c r="DZ20" s="36" t="s">
        <v>360</v>
      </c>
      <c r="EA20" s="33">
        <v>-0.1823625470664752</v>
      </c>
      <c r="EB20" s="39">
        <v>0.40605906340628189</v>
      </c>
      <c r="EC20" s="39">
        <v>-0.44910350119192533</v>
      </c>
      <c r="ED20" s="40">
        <v>0.65335699488263632</v>
      </c>
      <c r="EE20" s="39">
        <v>-0.97823831134278771</v>
      </c>
      <c r="EF20" s="39">
        <v>0.6135132172098372</v>
      </c>
      <c r="EG20" s="39">
        <v>0.83329917547297427</v>
      </c>
      <c r="EI20" s="36" t="s">
        <v>360</v>
      </c>
      <c r="EJ20" s="33">
        <v>-0.21238414320032159</v>
      </c>
      <c r="EK20" s="39">
        <v>0.40185089554421588</v>
      </c>
      <c r="EL20" s="39">
        <v>-0.52851479380852306</v>
      </c>
      <c r="EM20" s="40">
        <v>0.59714208189663998</v>
      </c>
      <c r="EN20" s="39">
        <v>-1.0000118984669846</v>
      </c>
      <c r="EO20" s="39">
        <v>0.57524361206634145</v>
      </c>
      <c r="EP20" s="39">
        <v>0.80865399895882895</v>
      </c>
      <c r="ER20" s="36" t="s">
        <v>361</v>
      </c>
      <c r="ES20" s="33">
        <v>-0.91022378853569863</v>
      </c>
      <c r="ET20" s="39">
        <v>0.55122497866001086</v>
      </c>
      <c r="EU20" s="39">
        <v>-1.6512745680509411</v>
      </c>
      <c r="EV20" s="40">
        <v>9.8682522852008292E-2</v>
      </c>
      <c r="EW20" s="39">
        <v>-1.9906247467093201</v>
      </c>
      <c r="EX20" s="39">
        <v>0.17017716963792273</v>
      </c>
      <c r="EY20" s="39">
        <v>0.40243415380567438</v>
      </c>
      <c r="FA20" s="36" t="s">
        <v>16</v>
      </c>
      <c r="FB20" s="44">
        <f>_xll.StatCorrelationCoeff( ST_JobSatisfaction_34,ST_Attrition_2)</f>
        <v>-0.10348112606902207</v>
      </c>
      <c r="FC20" s="44"/>
      <c r="FD20" s="44">
        <f>_xll.StatCorrelationCoeff( ST_JobSatisfaction_34,ST_BusinessTravelTravelRarely)</f>
        <v>-3.6561923611355775E-2</v>
      </c>
      <c r="FE20" s="44">
        <f>_xll.StatCorrelationCoeff( ST_JobSatisfaction_34,ST_BusinessTravelTravelFrequently)</f>
        <v>2.7116918112133712E-2</v>
      </c>
      <c r="FF20" s="44">
        <f>_xll.StatCorrelationCoeff( ST_JobSatisfaction_34,ST_DistanceFromHome_10)</f>
        <v>-3.6688391677204219E-3</v>
      </c>
      <c r="FG20" s="44">
        <f>_xll.StatCorrelationCoeff( ST_JobSatisfaction_34,ST_EnvironmentSatisfaction_20)</f>
        <v>-6.7843525990751901E-3</v>
      </c>
      <c r="FH20" s="44">
        <f>_xll.StatCorrelationCoeff( ST_JobSatisfaction_34,ST_Gender_21)</f>
        <v>3.3251697422464713E-2</v>
      </c>
      <c r="FI20" s="44">
        <f>_xll.StatCorrelationCoeff( ST_JobSatisfaction_34,ST_JobInvolvement_23)</f>
        <v>-2.1475910335307023E-2</v>
      </c>
      <c r="FJ20" s="44">
        <f>_xll.StatCorrelationCoeff( ST_JobSatisfaction_34,ST_JobLevel_24)</f>
        <v>-1.9437080267456805E-3</v>
      </c>
      <c r="FK20" s="44">
        <f>_xll.StatCorrelationCoeff( ST_JobSatisfaction_34,ST_JobRoleSalesExec)</f>
        <v>1.2603740166983422E-2</v>
      </c>
      <c r="FL20" s="44">
        <f>_xll.StatCorrelationCoeff( ST_JobSatisfaction_34,ST_JobRoleResearchScientist)</f>
        <v>2.0503061478235135E-2</v>
      </c>
      <c r="FM20" s="44">
        <f>_xll.StatCorrelationCoeff( ST_JobSatisfaction_34,ST_JobRoleLabTechnician)</f>
        <v>-1.5710233114792155E-2</v>
      </c>
      <c r="FN20" s="44">
        <f>_xll.StatCorrelationCoeff( ST_JobSatisfaction_34,ST_JobRoleManufacturingDirector)</f>
        <v>-1.3746616636257753E-2</v>
      </c>
      <c r="FO20" s="44">
        <f>_xll.StatCorrelationCoeff( ST_JobSatisfaction_34,ST_JobRoleHealthcareRep)</f>
        <v>1.6366828977822555E-2</v>
      </c>
      <c r="FP20" s="44">
        <f>_xll.StatCorrelationCoeff( ST_JobSatisfaction_34,ST_JobRoleManager)</f>
        <v>-5.6196166247865619E-3</v>
      </c>
      <c r="FQ20" s="44">
        <f>_xll.StatCorrelationCoeff( ST_JobSatisfaction_34,ST_JobRoleSalesRep)</f>
        <v>1.4130556178143477E-3</v>
      </c>
      <c r="FR20" s="44">
        <f>_xll.StatCorrelationCoeff( ST_JobSatisfaction_34,ST_JobResearchDirector)</f>
        <v>-6.2173082178825822E-3</v>
      </c>
      <c r="FS20" s="44">
        <v>1</v>
      </c>
      <c r="FT20" s="44"/>
      <c r="FU20" s="44"/>
      <c r="FV20" s="44"/>
      <c r="FW20" s="44"/>
      <c r="FX20" s="44"/>
      <c r="FY20" s="44"/>
      <c r="FZ20" s="44"/>
      <c r="GA20" s="44"/>
      <c r="GB20" s="44"/>
    </row>
    <row r="21" spans="1:184" ht="15" customHeight="1" x14ac:dyDescent="0.25">
      <c r="A21" s="58">
        <v>38</v>
      </c>
      <c r="B21" s="59">
        <v>0</v>
      </c>
      <c r="C21" s="59">
        <v>1</v>
      </c>
      <c r="D21" s="59">
        <f t="shared" si="0"/>
        <v>1</v>
      </c>
      <c r="E21" s="59">
        <f t="shared" si="1"/>
        <v>0</v>
      </c>
      <c r="F21" s="59">
        <v>371</v>
      </c>
      <c r="G21" s="59">
        <v>2</v>
      </c>
      <c r="H21" s="59">
        <f t="shared" si="2"/>
        <v>0</v>
      </c>
      <c r="I21" s="59">
        <f t="shared" si="3"/>
        <v>1</v>
      </c>
      <c r="J21" s="59">
        <v>2</v>
      </c>
      <c r="K21" s="59">
        <v>3</v>
      </c>
      <c r="L21" s="59">
        <v>1</v>
      </c>
      <c r="M21" s="59">
        <f t="shared" si="4"/>
        <v>1</v>
      </c>
      <c r="N21" s="59">
        <f t="shared" si="5"/>
        <v>0</v>
      </c>
      <c r="O21" s="59">
        <f t="shared" si="6"/>
        <v>0</v>
      </c>
      <c r="P21" s="59">
        <f t="shared" si="7"/>
        <v>0</v>
      </c>
      <c r="Q21" s="59">
        <f t="shared" si="8"/>
        <v>0</v>
      </c>
      <c r="R21" s="59">
        <v>1</v>
      </c>
      <c r="S21" s="59">
        <v>24</v>
      </c>
      <c r="T21" s="59">
        <v>4</v>
      </c>
      <c r="U21" s="59">
        <v>1</v>
      </c>
      <c r="V21" s="59">
        <v>45</v>
      </c>
      <c r="W21" s="59">
        <v>3</v>
      </c>
      <c r="X21" s="59">
        <v>1</v>
      </c>
      <c r="Y21" s="59">
        <v>2</v>
      </c>
      <c r="Z21" s="59">
        <f t="shared" si="9"/>
        <v>0</v>
      </c>
      <c r="AA21" s="59">
        <f>IF('Updated Dummy'!Y21=2,1,0)</f>
        <v>1</v>
      </c>
      <c r="AB21" s="59">
        <f t="shared" si="10"/>
        <v>0</v>
      </c>
      <c r="AC21" s="59">
        <f t="shared" si="11"/>
        <v>0</v>
      </c>
      <c r="AD21" s="59">
        <f t="shared" si="12"/>
        <v>0</v>
      </c>
      <c r="AE21" s="59">
        <f t="shared" si="13"/>
        <v>0</v>
      </c>
      <c r="AF21" s="59">
        <f t="shared" si="14"/>
        <v>0</v>
      </c>
      <c r="AG21" s="59">
        <f t="shared" si="15"/>
        <v>0</v>
      </c>
      <c r="AH21" s="59">
        <v>4</v>
      </c>
      <c r="AI21" s="59">
        <v>1</v>
      </c>
      <c r="AJ21" s="59">
        <f t="shared" si="16"/>
        <v>1</v>
      </c>
      <c r="AK21" s="59">
        <f t="shared" si="17"/>
        <v>0</v>
      </c>
      <c r="AL21" s="59">
        <v>3944</v>
      </c>
      <c r="AM21" s="59">
        <v>4306</v>
      </c>
      <c r="AN21" s="59">
        <v>5</v>
      </c>
      <c r="AO21" s="59">
        <v>1</v>
      </c>
      <c r="AP21" s="59">
        <v>11</v>
      </c>
      <c r="AQ21" s="59">
        <v>3</v>
      </c>
      <c r="AR21" s="59">
        <v>3</v>
      </c>
      <c r="AS21" s="59">
        <v>80</v>
      </c>
      <c r="AT21" s="59">
        <v>0</v>
      </c>
      <c r="AU21" s="59">
        <v>6</v>
      </c>
      <c r="AV21" s="59">
        <v>3</v>
      </c>
      <c r="AW21" s="59">
        <v>3</v>
      </c>
      <c r="AX21" s="59">
        <v>3</v>
      </c>
      <c r="AY21" s="59">
        <v>2</v>
      </c>
      <c r="AZ21" s="59">
        <v>1</v>
      </c>
      <c r="BA21" s="59">
        <v>2</v>
      </c>
      <c r="BB21" s="57">
        <f t="shared" si="18"/>
        <v>3944</v>
      </c>
      <c r="BD21" s="63">
        <f>_xll.StatCorrelationCoeff( ST_JobLevel_24,ST_Age_1)</f>
        <v>0.50960422843238773</v>
      </c>
      <c r="BF21" s="36" t="s">
        <v>365</v>
      </c>
      <c r="BG21" s="33">
        <v>-1.2929558367886396</v>
      </c>
      <c r="BH21" s="39">
        <v>0.54807137733467082</v>
      </c>
      <c r="BI21" s="39">
        <v>-2.3591011869228069</v>
      </c>
      <c r="BJ21" s="40">
        <v>1.8319259863341486E-2</v>
      </c>
      <c r="BK21" s="39">
        <v>-2.3671757363645947</v>
      </c>
      <c r="BL21" s="39">
        <v>-0.21873593721268469</v>
      </c>
      <c r="BM21" s="39">
        <v>0.27445832891476007</v>
      </c>
      <c r="BO21" s="36" t="s">
        <v>363</v>
      </c>
      <c r="BP21" s="33">
        <v>0.69037243529571446</v>
      </c>
      <c r="BQ21" s="39">
        <v>0.45470783303490264</v>
      </c>
      <c r="BR21" s="39">
        <v>1.5182769795010824</v>
      </c>
      <c r="BS21" s="40">
        <v>0.12894458848006374</v>
      </c>
      <c r="BT21" s="39">
        <v>-0.20085491745269468</v>
      </c>
      <c r="BU21" s="39">
        <v>1.5815997880441235</v>
      </c>
      <c r="BV21" s="39">
        <v>1.9944582015666401</v>
      </c>
      <c r="BX21" s="36" t="s">
        <v>364</v>
      </c>
      <c r="BY21" s="33">
        <v>-2.6463369904012408</v>
      </c>
      <c r="BZ21" s="39">
        <v>0.86679029181232192</v>
      </c>
      <c r="CA21" s="39">
        <v>-3.0530302604891513</v>
      </c>
      <c r="CB21" s="40">
        <v>2.2654309243943516E-3</v>
      </c>
      <c r="CC21" s="39">
        <v>-4.3452459623533919</v>
      </c>
      <c r="CD21" s="39">
        <v>-0.94742801844908997</v>
      </c>
      <c r="CE21" s="39">
        <v>7.0910483697550222E-2</v>
      </c>
      <c r="CG21" s="36" t="s">
        <v>16</v>
      </c>
      <c r="CH21" s="33">
        <v>-0.38824874454763447</v>
      </c>
      <c r="CI21" s="39">
        <v>7.5174235552429886E-2</v>
      </c>
      <c r="CJ21" s="39">
        <v>-5.1646517147068609</v>
      </c>
      <c r="CK21" s="40">
        <v>2.4088702810232121E-7</v>
      </c>
      <c r="CL21" s="39">
        <v>-0.53559024623039708</v>
      </c>
      <c r="CM21" s="39">
        <v>-0.24090724286487189</v>
      </c>
      <c r="CN21" s="39">
        <v>0.67824361287892088</v>
      </c>
      <c r="CP21" s="36" t="s">
        <v>366</v>
      </c>
      <c r="CQ21" s="33">
        <v>1.1927504628550747</v>
      </c>
      <c r="CR21" s="39">
        <v>0.24415510884482253</v>
      </c>
      <c r="CS21" s="39">
        <v>4.8852160763637764</v>
      </c>
      <c r="CT21" s="40">
        <v>1.0331548734310303E-6</v>
      </c>
      <c r="CU21" s="39">
        <v>0.71420644951922252</v>
      </c>
      <c r="CV21" s="39">
        <v>1.6712944761909267</v>
      </c>
      <c r="CW21" s="39">
        <v>3.2961346470128725</v>
      </c>
      <c r="CY21" s="36" t="s">
        <v>361</v>
      </c>
      <c r="CZ21" s="33">
        <v>-1.2674840861916232</v>
      </c>
      <c r="DA21" s="39">
        <v>0.53273684049103942</v>
      </c>
      <c r="DB21" s="39">
        <v>-2.3791936090309531</v>
      </c>
      <c r="DC21" s="40">
        <v>1.7350560262532122E-2</v>
      </c>
      <c r="DD21" s="39">
        <v>-2.3116482935540605</v>
      </c>
      <c r="DE21" s="39">
        <v>-0.22331987882918591</v>
      </c>
      <c r="DF21" s="39">
        <v>0.2815390594864271</v>
      </c>
      <c r="DH21" s="36" t="s">
        <v>361</v>
      </c>
      <c r="DI21" s="69">
        <v>-0.86521753565719162</v>
      </c>
      <c r="DJ21" s="70">
        <v>0.5574815680257077</v>
      </c>
      <c r="DK21" s="70">
        <v>-1.5520110175504367</v>
      </c>
      <c r="DL21" s="66">
        <v>0.12065958741050697</v>
      </c>
      <c r="DM21" s="70">
        <v>-1.9578814089875787</v>
      </c>
      <c r="DN21" s="70">
        <v>0.22744633767319544</v>
      </c>
      <c r="DO21" s="70">
        <v>0.42095996886283721</v>
      </c>
      <c r="DQ21" s="36" t="s">
        <v>365</v>
      </c>
      <c r="DR21" s="33">
        <v>-0.94901005538204075</v>
      </c>
      <c r="DS21" s="39">
        <v>0.56564257913219695</v>
      </c>
      <c r="DT21" s="39">
        <v>-1.6777556895345507</v>
      </c>
      <c r="DU21" s="40">
        <v>9.3394802832349022E-2</v>
      </c>
      <c r="DV21" s="39">
        <v>-2.0576695104811469</v>
      </c>
      <c r="DW21" s="39">
        <v>0.15964939971706527</v>
      </c>
      <c r="DX21" s="39">
        <v>0.38712406521299625</v>
      </c>
      <c r="DZ21" s="36" t="s">
        <v>361</v>
      </c>
      <c r="EA21" s="33">
        <v>-0.92544933367676585</v>
      </c>
      <c r="EB21" s="39">
        <v>0.55656984240837282</v>
      </c>
      <c r="EC21" s="39">
        <v>-1.6627730487016481</v>
      </c>
      <c r="ED21" s="40">
        <v>9.6357873472976641E-2</v>
      </c>
      <c r="EE21" s="39">
        <v>-2.0163262247971767</v>
      </c>
      <c r="EF21" s="39">
        <v>0.1654275574436449</v>
      </c>
      <c r="EG21" s="39">
        <v>0.39635328417850785</v>
      </c>
      <c r="EI21" s="36" t="s">
        <v>361</v>
      </c>
      <c r="EJ21" s="33">
        <v>-0.85506614148652949</v>
      </c>
      <c r="EK21" s="39">
        <v>0.55229395314728269</v>
      </c>
      <c r="EL21" s="39">
        <v>-1.5482084071604985</v>
      </c>
      <c r="EM21" s="40">
        <v>0.12157212792779992</v>
      </c>
      <c r="EN21" s="39">
        <v>-1.9375622896552036</v>
      </c>
      <c r="EO21" s="39">
        <v>0.22743000668214464</v>
      </c>
      <c r="EP21" s="39">
        <v>0.4252550631500418</v>
      </c>
      <c r="ER21" s="36" t="s">
        <v>365</v>
      </c>
      <c r="ES21" s="33">
        <v>-0.90232626692160067</v>
      </c>
      <c r="ET21" s="39">
        <v>0.56321828250309858</v>
      </c>
      <c r="EU21" s="39">
        <v>-1.6020898023967047</v>
      </c>
      <c r="EV21" s="40">
        <v>0.10913575269495124</v>
      </c>
      <c r="EW21" s="39">
        <v>-2.0062341006276738</v>
      </c>
      <c r="EX21" s="39">
        <v>0.20158156678447259</v>
      </c>
      <c r="EY21" s="39">
        <v>0.40562496941676118</v>
      </c>
      <c r="FA21" s="36" t="s">
        <v>366</v>
      </c>
      <c r="FB21" s="44">
        <f>_xll.StatCorrelationCoeff( ST_MaritalStatusSingle,ST_Attrition_2)</f>
        <v>0.17541855360922307</v>
      </c>
      <c r="FC21" s="44"/>
      <c r="FD21" s="44">
        <f>_xll.StatCorrelationCoeff( ST_MaritalStatusSingle,ST_BusinessTravelTravelRarely)</f>
        <v>-2.0808076108798795E-2</v>
      </c>
      <c r="FE21" s="44">
        <f>_xll.StatCorrelationCoeff( ST_MaritalStatusSingle,ST_BusinessTravelTravelFrequently)</f>
        <v>2.7733911579581678E-2</v>
      </c>
      <c r="FF21" s="44">
        <f>_xll.StatCorrelationCoeff( ST_MaritalStatusSingle,ST_DistanceFromHome_10)</f>
        <v>-2.7445259295222339E-2</v>
      </c>
      <c r="FG21" s="44">
        <f>_xll.StatCorrelationCoeff( ST_MaritalStatusSingle,ST_EnvironmentSatisfaction_20)</f>
        <v>9.0354910173754376E-3</v>
      </c>
      <c r="FH21" s="44">
        <f>_xll.StatCorrelationCoeff( ST_MaritalStatusSingle,ST_Gender_21)</f>
        <v>-3.2752023379647055E-2</v>
      </c>
      <c r="FI21" s="44">
        <f>_xll.StatCorrelationCoeff( ST_MaritalStatusSingle,ST_JobInvolvement_23)</f>
        <v>-4.5253286721766997E-2</v>
      </c>
      <c r="FJ21" s="44">
        <f>_xll.StatCorrelationCoeff( ST_MaritalStatusSingle,ST_JobLevel_24)</f>
        <v>-8.7071633900435944E-2</v>
      </c>
      <c r="FK21" s="44">
        <f>_xll.StatCorrelationCoeff( ST_MaritalStatusSingle,ST_JobRoleSalesExec)</f>
        <v>6.2101573854397418E-3</v>
      </c>
      <c r="FL21" s="44">
        <f>_xll.StatCorrelationCoeff( ST_MaritalStatusSingle,ST_JobRoleResearchScientist)</f>
        <v>5.3521622074212259E-2</v>
      </c>
      <c r="FM21" s="44">
        <f>_xll.StatCorrelationCoeff( ST_MaritalStatusSingle,ST_JobRoleLabTechnician)</f>
        <v>1.9872552609057931E-2</v>
      </c>
      <c r="FN21" s="44">
        <f>_xll.StatCorrelationCoeff( ST_MaritalStatusSingle,ST_JobRoleManufacturingDirector)</f>
        <v>-2.1331291979097385E-2</v>
      </c>
      <c r="FO21" s="44">
        <f>_xll.StatCorrelationCoeff( ST_MaritalStatusSingle,ST_JobRoleHealthcareRep)</f>
        <v>-3.0125984073538111E-2</v>
      </c>
      <c r="FP21" s="44">
        <f>_xll.StatCorrelationCoeff( ST_MaritalStatusSingle,ST_JobRoleManager)</f>
        <v>-5.5175985431068171E-2</v>
      </c>
      <c r="FQ21" s="44">
        <f>_xll.StatCorrelationCoeff( ST_MaritalStatusSingle,ST_JobRoleSalesRep)</f>
        <v>7.2439209020991865E-2</v>
      </c>
      <c r="FR21" s="44">
        <f>_xll.StatCorrelationCoeff( ST_MaritalStatusSingle,ST_JobResearchDirector)</f>
        <v>-4.2298518008864416E-2</v>
      </c>
      <c r="FS21" s="44">
        <f>_xll.StatCorrelationCoeff( ST_MaritalStatusSingle,ST_JobSatisfaction_34)</f>
        <v>2.4571362098382586E-2</v>
      </c>
      <c r="FT21" s="44">
        <v>1</v>
      </c>
      <c r="FU21" s="44"/>
      <c r="FV21" s="44"/>
      <c r="FW21" s="44"/>
      <c r="FX21" s="44"/>
      <c r="FY21" s="44"/>
      <c r="FZ21" s="44"/>
      <c r="GA21" s="44"/>
      <c r="GB21" s="44"/>
    </row>
    <row r="22" spans="1:184" ht="15" customHeight="1" x14ac:dyDescent="0.25">
      <c r="A22" s="58">
        <v>24</v>
      </c>
      <c r="B22" s="59">
        <v>0</v>
      </c>
      <c r="C22" s="59">
        <v>3</v>
      </c>
      <c r="D22" s="59">
        <f t="shared" si="0"/>
        <v>0</v>
      </c>
      <c r="E22" s="59">
        <f t="shared" si="1"/>
        <v>0</v>
      </c>
      <c r="F22" s="59">
        <v>673</v>
      </c>
      <c r="G22" s="59">
        <v>2</v>
      </c>
      <c r="H22" s="59">
        <f t="shared" si="2"/>
        <v>0</v>
      </c>
      <c r="I22" s="59">
        <f t="shared" si="3"/>
        <v>1</v>
      </c>
      <c r="J22" s="59">
        <v>11</v>
      </c>
      <c r="K22" s="59">
        <v>2</v>
      </c>
      <c r="L22" s="59">
        <v>6</v>
      </c>
      <c r="M22" s="59">
        <f t="shared" si="4"/>
        <v>0</v>
      </c>
      <c r="N22" s="59">
        <f t="shared" si="5"/>
        <v>0</v>
      </c>
      <c r="O22" s="59">
        <f t="shared" si="6"/>
        <v>0</v>
      </c>
      <c r="P22" s="59">
        <f t="shared" si="7"/>
        <v>0</v>
      </c>
      <c r="Q22" s="59">
        <f t="shared" si="8"/>
        <v>0</v>
      </c>
      <c r="R22" s="59">
        <v>1</v>
      </c>
      <c r="S22" s="59">
        <v>26</v>
      </c>
      <c r="T22" s="59">
        <v>1</v>
      </c>
      <c r="U22" s="59">
        <v>0</v>
      </c>
      <c r="V22" s="59">
        <v>96</v>
      </c>
      <c r="W22" s="59">
        <v>4</v>
      </c>
      <c r="X22" s="59">
        <v>2</v>
      </c>
      <c r="Y22" s="59">
        <v>4</v>
      </c>
      <c r="Z22" s="59">
        <f t="shared" si="9"/>
        <v>0</v>
      </c>
      <c r="AA22" s="59">
        <f>IF('Updated Dummy'!Y22=2,1,0)</f>
        <v>0</v>
      </c>
      <c r="AB22" s="59">
        <f t="shared" si="10"/>
        <v>0</v>
      </c>
      <c r="AC22" s="59">
        <f t="shared" si="11"/>
        <v>1</v>
      </c>
      <c r="AD22" s="59">
        <f t="shared" si="12"/>
        <v>0</v>
      </c>
      <c r="AE22" s="59">
        <f t="shared" si="13"/>
        <v>0</v>
      </c>
      <c r="AF22" s="59">
        <f t="shared" si="14"/>
        <v>0</v>
      </c>
      <c r="AG22" s="59">
        <f t="shared" si="15"/>
        <v>0</v>
      </c>
      <c r="AH22" s="59">
        <v>3</v>
      </c>
      <c r="AI22" s="59">
        <v>3</v>
      </c>
      <c r="AJ22" s="59">
        <f t="shared" si="16"/>
        <v>0</v>
      </c>
      <c r="AK22" s="59">
        <f t="shared" si="17"/>
        <v>0</v>
      </c>
      <c r="AL22" s="59">
        <v>4011</v>
      </c>
      <c r="AM22" s="59">
        <v>8232</v>
      </c>
      <c r="AN22" s="59">
        <v>0</v>
      </c>
      <c r="AO22" s="59">
        <v>0</v>
      </c>
      <c r="AP22" s="59">
        <v>18</v>
      </c>
      <c r="AQ22" s="59">
        <v>3</v>
      </c>
      <c r="AR22" s="59">
        <v>4</v>
      </c>
      <c r="AS22" s="59">
        <v>80</v>
      </c>
      <c r="AT22" s="59">
        <v>1</v>
      </c>
      <c r="AU22" s="59">
        <v>5</v>
      </c>
      <c r="AV22" s="59">
        <v>5</v>
      </c>
      <c r="AW22" s="59">
        <v>2</v>
      </c>
      <c r="AX22" s="59">
        <v>4</v>
      </c>
      <c r="AY22" s="59">
        <v>2</v>
      </c>
      <c r="AZ22" s="59">
        <v>1</v>
      </c>
      <c r="BA22" s="59">
        <v>3</v>
      </c>
      <c r="BB22" s="57">
        <f t="shared" si="18"/>
        <v>8022</v>
      </c>
      <c r="BD22" s="63">
        <f>_xll.StatCorrelationCoeff( ST_JobRoleSalesExec,ST_Age_1)</f>
        <v>-2.0014187410554323E-3</v>
      </c>
      <c r="BF22" s="36" t="s">
        <v>362</v>
      </c>
      <c r="BG22" s="33">
        <v>-1.6146914470145677</v>
      </c>
      <c r="BH22" s="39">
        <v>0.84531025028799955</v>
      </c>
      <c r="BI22" s="39">
        <v>-1.9101761116281719</v>
      </c>
      <c r="BJ22" s="40">
        <v>5.6110541822351978E-2</v>
      </c>
      <c r="BK22" s="39">
        <v>-3.2714995375790465</v>
      </c>
      <c r="BL22" s="39">
        <v>4.2116643549911403E-2</v>
      </c>
      <c r="BM22" s="39">
        <v>0.19895204821962026</v>
      </c>
      <c r="BO22" s="36" t="s">
        <v>364</v>
      </c>
      <c r="BP22" s="33">
        <v>-2.5654647504787218</v>
      </c>
      <c r="BQ22" s="39">
        <v>0.86582946382414061</v>
      </c>
      <c r="BR22" s="39">
        <v>-2.9630139163291349</v>
      </c>
      <c r="BS22" s="40">
        <v>3.0464279571817965E-3</v>
      </c>
      <c r="BT22" s="39">
        <v>-4.2624904995740369</v>
      </c>
      <c r="BU22" s="39">
        <v>-0.86843900138340624</v>
      </c>
      <c r="BV22" s="39">
        <v>7.6883441521152437E-2</v>
      </c>
      <c r="BX22" s="36" t="s">
        <v>16</v>
      </c>
      <c r="BY22" s="33">
        <v>-0.3837814849764713</v>
      </c>
      <c r="BZ22" s="39">
        <v>7.53205413785938E-2</v>
      </c>
      <c r="CA22" s="39">
        <v>-5.0953096984183723</v>
      </c>
      <c r="CB22" s="40">
        <v>3.4817160865507901E-7</v>
      </c>
      <c r="CC22" s="39">
        <v>-0.53140974607851521</v>
      </c>
      <c r="CD22" s="39">
        <v>-0.23615322387442744</v>
      </c>
      <c r="CE22" s="39">
        <v>0.6812802808921774</v>
      </c>
      <c r="CG22" s="36" t="s">
        <v>366</v>
      </c>
      <c r="CH22" s="33">
        <v>1.1935334616433295</v>
      </c>
      <c r="CI22" s="39">
        <v>0.24411628631217003</v>
      </c>
      <c r="CJ22" s="39">
        <v>4.8892004694724367</v>
      </c>
      <c r="CK22" s="40">
        <v>1.0124634972630275E-6</v>
      </c>
      <c r="CL22" s="39">
        <v>0.7150655404714763</v>
      </c>
      <c r="CM22" s="39">
        <v>1.6720013828151827</v>
      </c>
      <c r="CN22" s="39">
        <v>3.2987165271199963</v>
      </c>
      <c r="CP22" s="36" t="s">
        <v>367</v>
      </c>
      <c r="CQ22" s="33">
        <v>0.3575122221834886</v>
      </c>
      <c r="CR22" s="39">
        <v>0.24295633570406341</v>
      </c>
      <c r="CS22" s="39">
        <v>1.4715081257191898</v>
      </c>
      <c r="CT22" s="40">
        <v>0.14115375164155664</v>
      </c>
      <c r="CU22" s="39">
        <v>-0.11868219579647565</v>
      </c>
      <c r="CV22" s="39">
        <v>0.83370664016345286</v>
      </c>
      <c r="CW22" s="39">
        <v>1.4297680412286189</v>
      </c>
      <c r="CY22" s="36" t="s">
        <v>365</v>
      </c>
      <c r="CZ22" s="33">
        <v>-1.3930030268003126</v>
      </c>
      <c r="DA22" s="39">
        <v>0.54166031192483244</v>
      </c>
      <c r="DB22" s="39">
        <v>-2.5717280667106053</v>
      </c>
      <c r="DC22" s="40">
        <v>1.0119234018518108E-2</v>
      </c>
      <c r="DD22" s="39">
        <v>-2.4546572381729841</v>
      </c>
      <c r="DE22" s="39">
        <v>-0.33134881542764116</v>
      </c>
      <c r="DF22" s="39">
        <v>0.24832844679488736</v>
      </c>
      <c r="DH22" s="36" t="s">
        <v>365</v>
      </c>
      <c r="DI22" s="69">
        <v>-0.96901386686647062</v>
      </c>
      <c r="DJ22" s="70">
        <v>0.56652178759050242</v>
      </c>
      <c r="DK22" s="70">
        <v>-1.7104617829224611</v>
      </c>
      <c r="DL22" s="66">
        <v>8.7180514659451758E-2</v>
      </c>
      <c r="DM22" s="70">
        <v>-2.0793965705438553</v>
      </c>
      <c r="DN22" s="70">
        <v>0.14136883681091417</v>
      </c>
      <c r="DO22" s="70">
        <v>0.37945704882950704</v>
      </c>
      <c r="DQ22" s="36" t="s">
        <v>362</v>
      </c>
      <c r="DR22" s="33">
        <v>-3.9597516522380092</v>
      </c>
      <c r="DS22" s="39">
        <v>1.1243679799722186</v>
      </c>
      <c r="DT22" s="39">
        <v>-3.5217577543749052</v>
      </c>
      <c r="DU22" s="40">
        <v>4.2869568847980766E-4</v>
      </c>
      <c r="DV22" s="39">
        <v>-6.1635128929835581</v>
      </c>
      <c r="DW22" s="39">
        <v>-1.7559904114924607</v>
      </c>
      <c r="DX22" s="39">
        <v>1.9067849161305342E-2</v>
      </c>
      <c r="DZ22" s="36" t="s">
        <v>365</v>
      </c>
      <c r="EA22" s="33">
        <v>-0.96029135781951103</v>
      </c>
      <c r="EB22" s="39">
        <v>0.56517799371245725</v>
      </c>
      <c r="EC22" s="39">
        <v>-1.6990954504645375</v>
      </c>
      <c r="ED22" s="40">
        <v>8.9301200477641673E-2</v>
      </c>
      <c r="EE22" s="39">
        <v>-2.0680402254959271</v>
      </c>
      <c r="EF22" s="39">
        <v>0.1474575098569052</v>
      </c>
      <c r="EG22" s="39">
        <v>0.38278134338893943</v>
      </c>
      <c r="EI22" s="36" t="s">
        <v>365</v>
      </c>
      <c r="EJ22" s="33">
        <v>-0.8946573350047653</v>
      </c>
      <c r="EK22" s="39">
        <v>0.56384667313042436</v>
      </c>
      <c r="EL22" s="39">
        <v>-1.5867032256086764</v>
      </c>
      <c r="EM22" s="40">
        <v>0.11257987545067483</v>
      </c>
      <c r="EN22" s="39">
        <v>-1.999796814340397</v>
      </c>
      <c r="EO22" s="39">
        <v>0.21048214433086643</v>
      </c>
      <c r="EP22" s="39">
        <v>0.40874763815363879</v>
      </c>
      <c r="ER22" s="36" t="s">
        <v>362</v>
      </c>
      <c r="ES22" s="33">
        <v>-3.8644332813434157</v>
      </c>
      <c r="ET22" s="39">
        <v>1.1232441682881982</v>
      </c>
      <c r="EU22" s="39">
        <v>-3.4404214065341958</v>
      </c>
      <c r="EV22" s="40">
        <v>5.8080909405999748E-4</v>
      </c>
      <c r="EW22" s="39">
        <v>-6.0659918511882847</v>
      </c>
      <c r="EX22" s="39">
        <v>-1.6628747114985472</v>
      </c>
      <c r="EY22" s="39">
        <v>2.0974805883260592E-2</v>
      </c>
      <c r="FA22" s="36" t="s">
        <v>367</v>
      </c>
      <c r="FB22" s="44">
        <f>_xll.StatCorrelationCoeff( ST_MaritalStatusMarried,ST_Attrition_2)</f>
        <v>-9.098365120728194E-2</v>
      </c>
      <c r="FC22" s="44"/>
      <c r="FD22" s="44">
        <f>_xll.StatCorrelationCoeff( ST_MaritalStatusMarried,ST_BusinessTravelTravelRarely)</f>
        <v>5.5612529102295256E-2</v>
      </c>
      <c r="FE22" s="44">
        <f>_xll.StatCorrelationCoeff( ST_MaritalStatusMarried,ST_BusinessTravelTravelFrequently)</f>
        <v>-3.0785181006550182E-2</v>
      </c>
      <c r="FF22" s="44">
        <f>_xll.StatCorrelationCoeff( ST_MaritalStatusMarried,ST_DistanceFromHome_10)</f>
        <v>3.0232069479891824E-2</v>
      </c>
      <c r="FG22" s="44">
        <f>_xll.StatCorrelationCoeff( ST_MaritalStatusMarried,ST_EnvironmentSatisfaction_20)</f>
        <v>-2.2180172946198146E-2</v>
      </c>
      <c r="FH22" s="44">
        <f>_xll.StatCorrelationCoeff( ST_MaritalStatusMarried,ST_Gender_21)</f>
        <v>-7.803972272476329E-3</v>
      </c>
      <c r="FI22" s="44">
        <f>_xll.StatCorrelationCoeff( ST_MaritalStatusMarried,ST_JobInvolvement_23)</f>
        <v>2.8324424347787303E-2</v>
      </c>
      <c r="FJ22" s="44">
        <f>_xll.StatCorrelationCoeff( ST_MaritalStatusMarried,ST_JobLevel_24)</f>
        <v>5.0547074798450359E-2</v>
      </c>
      <c r="FK22" s="44">
        <f>_xll.StatCorrelationCoeff( ST_MaritalStatusMarried,ST_JobRoleSalesExec)</f>
        <v>5.7505907201347321E-3</v>
      </c>
      <c r="FL22" s="44">
        <f>_xll.StatCorrelationCoeff( ST_MaritalStatusMarried,ST_JobRoleResearchScientist)</f>
        <v>-3.9987225119182936E-2</v>
      </c>
      <c r="FM22" s="44">
        <f>_xll.StatCorrelationCoeff( ST_MaritalStatusMarried,ST_JobRoleLabTechnician)</f>
        <v>-9.232868682279927E-3</v>
      </c>
      <c r="FN22" s="44">
        <f>_xll.StatCorrelationCoeff( ST_MaritalStatusMarried,ST_JobRoleManufacturingDirector)</f>
        <v>2.8191614372287681E-3</v>
      </c>
      <c r="FO22" s="44">
        <f>_xll.StatCorrelationCoeff( ST_MaritalStatusMarried,ST_JobRoleHealthcareRep)</f>
        <v>4.9130436559253598E-3</v>
      </c>
      <c r="FP22" s="44">
        <f>_xll.StatCorrelationCoeff( ST_MaritalStatusMarried,ST_JobRoleManager)</f>
        <v>4.9982243757433154E-2</v>
      </c>
      <c r="FQ22" s="44">
        <f>_xll.StatCorrelationCoeff( ST_MaritalStatusMarried,ST_JobRoleSalesRep)</f>
        <v>-2.3658624460859111E-2</v>
      </c>
      <c r="FR22" s="44">
        <f>_xll.StatCorrelationCoeff( ST_MaritalStatusMarried,ST_JobResearchDirector)</f>
        <v>8.2710811724127278E-3</v>
      </c>
      <c r="FS22" s="44">
        <f>_xll.StatCorrelationCoeff( ST_MaritalStatusMarried,ST_JobSatisfaction_34)</f>
        <v>-1.031493915673341E-2</v>
      </c>
      <c r="FT22" s="44">
        <f>_xll.StatCorrelationCoeff( ST_MaritalStatusMarried,ST_MaritalStatusSingle)</f>
        <v>-0.62998078081059139</v>
      </c>
      <c r="FU22" s="44">
        <v>1</v>
      </c>
      <c r="FV22" s="44"/>
      <c r="FW22" s="44"/>
      <c r="FX22" s="44"/>
      <c r="FY22" s="44"/>
      <c r="FZ22" s="44"/>
      <c r="GA22" s="44"/>
      <c r="GB22" s="44"/>
    </row>
    <row r="23" spans="1:184" ht="15" customHeight="1" x14ac:dyDescent="0.25">
      <c r="A23" s="58">
        <v>36</v>
      </c>
      <c r="B23" s="59">
        <v>1</v>
      </c>
      <c r="C23" s="59">
        <v>1</v>
      </c>
      <c r="D23" s="59">
        <f t="shared" si="0"/>
        <v>1</v>
      </c>
      <c r="E23" s="59">
        <f t="shared" si="1"/>
        <v>0</v>
      </c>
      <c r="F23" s="59">
        <v>1218</v>
      </c>
      <c r="G23" s="59">
        <v>1</v>
      </c>
      <c r="H23" s="59">
        <f t="shared" si="2"/>
        <v>1</v>
      </c>
      <c r="I23" s="59">
        <f t="shared" si="3"/>
        <v>0</v>
      </c>
      <c r="J23" s="59">
        <v>9</v>
      </c>
      <c r="K23" s="59">
        <v>4</v>
      </c>
      <c r="L23" s="59">
        <v>1</v>
      </c>
      <c r="M23" s="59">
        <f t="shared" si="4"/>
        <v>1</v>
      </c>
      <c r="N23" s="59">
        <f t="shared" si="5"/>
        <v>0</v>
      </c>
      <c r="O23" s="59">
        <f t="shared" si="6"/>
        <v>0</v>
      </c>
      <c r="P23" s="59">
        <f t="shared" si="7"/>
        <v>0</v>
      </c>
      <c r="Q23" s="59">
        <f t="shared" si="8"/>
        <v>0</v>
      </c>
      <c r="R23" s="59">
        <v>1</v>
      </c>
      <c r="S23" s="59">
        <v>27</v>
      </c>
      <c r="T23" s="59">
        <v>3</v>
      </c>
      <c r="U23" s="59">
        <v>1</v>
      </c>
      <c r="V23" s="59">
        <v>82</v>
      </c>
      <c r="W23" s="59">
        <v>2</v>
      </c>
      <c r="X23" s="59">
        <v>1</v>
      </c>
      <c r="Y23" s="59">
        <v>7</v>
      </c>
      <c r="Z23" s="59">
        <f t="shared" si="9"/>
        <v>0</v>
      </c>
      <c r="AA23" s="59">
        <f>IF('Updated Dummy'!Y23=2,1,0)</f>
        <v>0</v>
      </c>
      <c r="AB23" s="59">
        <f t="shared" si="10"/>
        <v>0</v>
      </c>
      <c r="AC23" s="59">
        <f t="shared" si="11"/>
        <v>0</v>
      </c>
      <c r="AD23" s="59">
        <f t="shared" si="12"/>
        <v>0</v>
      </c>
      <c r="AE23" s="59">
        <f t="shared" si="13"/>
        <v>0</v>
      </c>
      <c r="AF23" s="59">
        <f t="shared" si="14"/>
        <v>1</v>
      </c>
      <c r="AG23" s="59">
        <f t="shared" si="15"/>
        <v>0</v>
      </c>
      <c r="AH23" s="59">
        <v>1</v>
      </c>
      <c r="AI23" s="59">
        <v>1</v>
      </c>
      <c r="AJ23" s="59">
        <f t="shared" si="16"/>
        <v>1</v>
      </c>
      <c r="AK23" s="59">
        <f t="shared" si="17"/>
        <v>0</v>
      </c>
      <c r="AL23" s="59">
        <v>3407</v>
      </c>
      <c r="AM23" s="59">
        <v>6986</v>
      </c>
      <c r="AN23" s="59">
        <v>7</v>
      </c>
      <c r="AO23" s="59">
        <v>0</v>
      </c>
      <c r="AP23" s="59">
        <v>23</v>
      </c>
      <c r="AQ23" s="59">
        <v>4</v>
      </c>
      <c r="AR23" s="59">
        <v>2</v>
      </c>
      <c r="AS23" s="59">
        <v>80</v>
      </c>
      <c r="AT23" s="59">
        <v>0</v>
      </c>
      <c r="AU23" s="59">
        <v>10</v>
      </c>
      <c r="AV23" s="59">
        <v>4</v>
      </c>
      <c r="AW23" s="59">
        <v>3</v>
      </c>
      <c r="AX23" s="59">
        <v>5</v>
      </c>
      <c r="AY23" s="59">
        <v>3</v>
      </c>
      <c r="AZ23" s="59">
        <v>0</v>
      </c>
      <c r="BA23" s="59">
        <v>3</v>
      </c>
      <c r="BB23" s="57">
        <f t="shared" si="18"/>
        <v>3407</v>
      </c>
      <c r="BD23" s="63">
        <f>_xll.StatCorrelationCoeff( ST_JobRoleResearchScientist,ST_Age_1)</f>
        <v>-0.14651767985522052</v>
      </c>
      <c r="BF23" s="36" t="s">
        <v>363</v>
      </c>
      <c r="BG23" s="33">
        <v>0.70888981290503073</v>
      </c>
      <c r="BH23" s="39">
        <v>0.45893461907643779</v>
      </c>
      <c r="BI23" s="39">
        <v>1.5446422724256539</v>
      </c>
      <c r="BJ23" s="40">
        <v>0.12243281526537908</v>
      </c>
      <c r="BK23" s="39">
        <v>-0.19062204048478737</v>
      </c>
      <c r="BL23" s="39">
        <v>1.6084016662948488</v>
      </c>
      <c r="BM23" s="39">
        <v>2.0317344007991505</v>
      </c>
      <c r="BO23" s="36" t="s">
        <v>16</v>
      </c>
      <c r="BP23" s="33">
        <v>-0.36643003760240705</v>
      </c>
      <c r="BQ23" s="39">
        <v>7.4634863352240219E-2</v>
      </c>
      <c r="BR23" s="39">
        <v>-4.9096363434476418</v>
      </c>
      <c r="BS23" s="40">
        <v>9.1245441669052241E-7</v>
      </c>
      <c r="BT23" s="39">
        <v>-0.51271436977279783</v>
      </c>
      <c r="BU23" s="39">
        <v>-0.22014570543201623</v>
      </c>
      <c r="BV23" s="39">
        <v>0.69320463304421753</v>
      </c>
      <c r="BX23" s="36" t="s">
        <v>366</v>
      </c>
      <c r="BY23" s="33">
        <v>0.91071147407963926</v>
      </c>
      <c r="BZ23" s="39">
        <v>0.32050417805001036</v>
      </c>
      <c r="CA23" s="39">
        <v>2.8414964186130982</v>
      </c>
      <c r="CB23" s="40">
        <v>4.490235630242978E-3</v>
      </c>
      <c r="CC23" s="39">
        <v>0.28252328510161895</v>
      </c>
      <c r="CD23" s="39">
        <v>1.5388996630576597</v>
      </c>
      <c r="CE23" s="39">
        <v>2.4860906933982063</v>
      </c>
      <c r="CG23" s="36" t="s">
        <v>367</v>
      </c>
      <c r="CH23" s="33">
        <v>0.35795611821331536</v>
      </c>
      <c r="CI23" s="39">
        <v>0.24297495795429122</v>
      </c>
      <c r="CJ23" s="39">
        <v>1.473222266307191</v>
      </c>
      <c r="CK23" s="40">
        <v>0.1406911130015307</v>
      </c>
      <c r="CL23" s="39">
        <v>-0.11827479937709545</v>
      </c>
      <c r="CM23" s="39">
        <v>0.83418703580372622</v>
      </c>
      <c r="CN23" s="39">
        <v>1.4304028504699204</v>
      </c>
      <c r="CP23" s="36" t="s">
        <v>18</v>
      </c>
      <c r="CQ23" s="33">
        <v>7.4169762685095845E-6</v>
      </c>
      <c r="CR23" s="39">
        <v>4.9671118130856381E-5</v>
      </c>
      <c r="CS23" s="39">
        <v>0.14932170942820103</v>
      </c>
      <c r="CT23" s="40">
        <v>0.88129978566494449</v>
      </c>
      <c r="CU23" s="39">
        <v>-8.9938415267968929E-5</v>
      </c>
      <c r="CV23" s="39">
        <v>1.0477236780498809E-4</v>
      </c>
      <c r="CW23" s="39">
        <v>1.0000074170037743</v>
      </c>
      <c r="CY23" s="36" t="s">
        <v>362</v>
      </c>
      <c r="CZ23" s="33">
        <v>-1.6603532330931388</v>
      </c>
      <c r="DA23" s="39">
        <v>0.84324193056488106</v>
      </c>
      <c r="DB23" s="39">
        <v>-1.9690117069734439</v>
      </c>
      <c r="DC23" s="40">
        <v>4.895174674431102E-2</v>
      </c>
      <c r="DD23" s="39">
        <v>-3.3131074170003059</v>
      </c>
      <c r="DE23" s="39">
        <v>-7.5990491859718734E-3</v>
      </c>
      <c r="DF23" s="39">
        <v>0.19007182858222069</v>
      </c>
      <c r="DH23" s="36" t="s">
        <v>362</v>
      </c>
      <c r="DI23" s="69">
        <v>-3.8050815185964693</v>
      </c>
      <c r="DJ23" s="70">
        <v>1.1213681309738521</v>
      </c>
      <c r="DK23" s="70">
        <v>-3.3932492046942215</v>
      </c>
      <c r="DL23" s="66">
        <v>6.9068772190172822E-4</v>
      </c>
      <c r="DM23" s="70">
        <v>-6.0029630553052193</v>
      </c>
      <c r="DN23" s="70">
        <v>-1.6071999818877192</v>
      </c>
      <c r="DO23" s="70">
        <v>2.2257382701503011E-2</v>
      </c>
      <c r="DQ23" s="36" t="s">
        <v>363</v>
      </c>
      <c r="DR23" s="33">
        <v>0.10072430362674432</v>
      </c>
      <c r="DS23" s="39">
        <v>0.45990289528619627</v>
      </c>
      <c r="DT23" s="39">
        <v>0.21901211029355203</v>
      </c>
      <c r="DU23" s="40">
        <v>0.82664061412091527</v>
      </c>
      <c r="DV23" s="39">
        <v>-0.80068537113420035</v>
      </c>
      <c r="DW23" s="39">
        <v>1.002133978387689</v>
      </c>
      <c r="DX23" s="39">
        <v>1.1059716873448171</v>
      </c>
      <c r="DZ23" s="36" t="s">
        <v>362</v>
      </c>
      <c r="EA23" s="33">
        <v>-3.9004699560559781</v>
      </c>
      <c r="EB23" s="39">
        <v>1.1381588020385092</v>
      </c>
      <c r="EC23" s="39">
        <v>-3.426999772852442</v>
      </c>
      <c r="ED23" s="40">
        <v>6.1028958048003901E-4</v>
      </c>
      <c r="EE23" s="39">
        <v>-6.1312612080514555</v>
      </c>
      <c r="EF23" s="39">
        <v>-1.6696787040605003</v>
      </c>
      <c r="EG23" s="39">
        <v>2.0232400871886803E-2</v>
      </c>
      <c r="EI23" s="36" t="s">
        <v>362</v>
      </c>
      <c r="EJ23" s="33">
        <v>-3.8847877510741502</v>
      </c>
      <c r="EK23" s="39">
        <v>1.1368457340262303</v>
      </c>
      <c r="EL23" s="39">
        <v>-3.4171635031921728</v>
      </c>
      <c r="EM23" s="40">
        <v>6.3277264358774232E-4</v>
      </c>
      <c r="EN23" s="39">
        <v>-6.1130053897655614</v>
      </c>
      <c r="EO23" s="39">
        <v>-1.6565701123827385</v>
      </c>
      <c r="EP23" s="39">
        <v>2.0552190478882199E-2</v>
      </c>
      <c r="ER23" s="36" t="s">
        <v>363</v>
      </c>
      <c r="ES23" s="33">
        <v>0.13764150752795529</v>
      </c>
      <c r="ET23" s="39">
        <v>0.45494877521906918</v>
      </c>
      <c r="EU23" s="39">
        <v>0.30254286861565344</v>
      </c>
      <c r="EV23" s="40">
        <v>0.76223825914726007</v>
      </c>
      <c r="EW23" s="39">
        <v>-0.75405809190142037</v>
      </c>
      <c r="EX23" s="39">
        <v>1.0293411069573308</v>
      </c>
      <c r="EY23" s="39">
        <v>1.1475640834396021</v>
      </c>
      <c r="FA23" s="36" t="s">
        <v>18</v>
      </c>
      <c r="FB23" s="44">
        <f>_xll.StatCorrelationCoeff( ST_MonthlyIncome_38,ST_Attrition_2)</f>
        <v>-0.15983958238498774</v>
      </c>
      <c r="FC23" s="44"/>
      <c r="FD23" s="44">
        <f>_xll.StatCorrelationCoeff( ST_MonthlyIncome_38,ST_BusinessTravelTravelRarely)</f>
        <v>3.8779138933194172E-2</v>
      </c>
      <c r="FE23" s="44">
        <f>_xll.StatCorrelationCoeff( ST_MonthlyIncome_38,ST_BusinessTravelTravelFrequently)</f>
        <v>-3.1657921708427475E-2</v>
      </c>
      <c r="FF23" s="44">
        <f>_xll.StatCorrelationCoeff( ST_MonthlyIncome_38,ST_DistanceFromHome_10)</f>
        <v>-1.7014444745275872E-2</v>
      </c>
      <c r="FG23" s="44">
        <f>_xll.StatCorrelationCoeff( ST_MonthlyIncome_38,ST_EnvironmentSatisfaction_20)</f>
        <v>-6.2590877547802209E-3</v>
      </c>
      <c r="FH23" s="44">
        <f>_xll.StatCorrelationCoeff( ST_MonthlyIncome_38,ST_Gender_21)</f>
        <v>-3.1858491796653961E-2</v>
      </c>
      <c r="FI23" s="44">
        <f>_xll.StatCorrelationCoeff( ST_MonthlyIncome_38,ST_JobInvolvement_23)</f>
        <v>-1.5271490778732858E-2</v>
      </c>
      <c r="FJ23" s="44">
        <f>_xll.StatCorrelationCoeff( ST_MonthlyIncome_38,ST_JobLevel_24)</f>
        <v>0.95029991347985387</v>
      </c>
      <c r="FK23" s="44">
        <f>_xll.StatCorrelationCoeff( ST_MonthlyIncome_38,ST_JobRoleSalesExec)</f>
        <v>4.7791633023390095E-2</v>
      </c>
      <c r="FL23" s="44">
        <f>_xll.StatCorrelationCoeff( ST_MonthlyIncome_38,ST_JobRoleResearchScientist)</f>
        <v>-0.34518002662919178</v>
      </c>
      <c r="FM23" s="44">
        <f>_xll.StatCorrelationCoeff( ST_MonthlyIncome_38,ST_JobRoleLabTechnician)</f>
        <v>-0.32090579889313992</v>
      </c>
      <c r="FN23" s="44">
        <f>_xll.StatCorrelationCoeff( ST_MonthlyIncome_38,ST_JobRoleManufacturingDirector)</f>
        <v>5.568392518199114E-2</v>
      </c>
      <c r="FO23" s="44">
        <f>_xll.StatCorrelationCoeff( ST_MonthlyIncome_38,ST_JobRoleHealthcareRep)</f>
        <v>6.8176850032415262E-2</v>
      </c>
      <c r="FP23" s="44">
        <f>_xll.StatCorrelationCoeff( ST_MonthlyIncome_38,ST_JobRoleManager)</f>
        <v>0.61957311231900691</v>
      </c>
      <c r="FQ23" s="44">
        <f>_xll.StatCorrelationCoeff( ST_MonthlyIncome_38,ST_JobRoleSalesRep)</f>
        <v>-0.20151353520068996</v>
      </c>
      <c r="FR23" s="44">
        <f>_xll.StatCorrelationCoeff( ST_MonthlyIncome_38,ST_JobResearchDirector)</f>
        <v>0.48581843463229246</v>
      </c>
      <c r="FS23" s="44">
        <f>_xll.StatCorrelationCoeff( ST_MonthlyIncome_38,ST_JobSatisfaction_34)</f>
        <v>-7.1567423559127296E-3</v>
      </c>
      <c r="FT23" s="44">
        <f>_xll.StatCorrelationCoeff( ST_MonthlyIncome_38,ST_MaritalStatusSingle)</f>
        <v>-8.9361353739253926E-2</v>
      </c>
      <c r="FU23" s="44">
        <f>_xll.StatCorrelationCoeff( ST_MonthlyIncome_38,ST_MaritalStatusMarried)</f>
        <v>5.6767392738403727E-2</v>
      </c>
      <c r="FV23" s="44">
        <v>1</v>
      </c>
      <c r="FW23" s="44"/>
      <c r="FX23" s="44"/>
      <c r="FY23" s="44"/>
      <c r="FZ23" s="44"/>
      <c r="GA23" s="44"/>
      <c r="GB23" s="44"/>
    </row>
    <row r="24" spans="1:184" ht="15" customHeight="1" x14ac:dyDescent="0.25">
      <c r="A24" s="58">
        <v>34</v>
      </c>
      <c r="B24" s="59">
        <v>0</v>
      </c>
      <c r="C24" s="59">
        <v>1</v>
      </c>
      <c r="D24" s="59">
        <f t="shared" si="0"/>
        <v>1</v>
      </c>
      <c r="E24" s="59">
        <f t="shared" si="1"/>
        <v>0</v>
      </c>
      <c r="F24" s="59">
        <v>419</v>
      </c>
      <c r="G24" s="59">
        <v>2</v>
      </c>
      <c r="H24" s="59">
        <f t="shared" si="2"/>
        <v>0</v>
      </c>
      <c r="I24" s="59">
        <f t="shared" si="3"/>
        <v>1</v>
      </c>
      <c r="J24" s="59">
        <v>7</v>
      </c>
      <c r="K24" s="59">
        <v>4</v>
      </c>
      <c r="L24" s="59">
        <v>1</v>
      </c>
      <c r="M24" s="59">
        <f t="shared" si="4"/>
        <v>1</v>
      </c>
      <c r="N24" s="59">
        <f t="shared" si="5"/>
        <v>0</v>
      </c>
      <c r="O24" s="59">
        <f t="shared" si="6"/>
        <v>0</v>
      </c>
      <c r="P24" s="59">
        <f t="shared" si="7"/>
        <v>0</v>
      </c>
      <c r="Q24" s="59">
        <f t="shared" si="8"/>
        <v>0</v>
      </c>
      <c r="R24" s="59">
        <v>1</v>
      </c>
      <c r="S24" s="59">
        <v>28</v>
      </c>
      <c r="T24" s="59">
        <v>1</v>
      </c>
      <c r="U24" s="59">
        <v>0</v>
      </c>
      <c r="V24" s="59">
        <v>53</v>
      </c>
      <c r="W24" s="59">
        <v>3</v>
      </c>
      <c r="X24" s="59">
        <v>3</v>
      </c>
      <c r="Y24" s="59">
        <v>8</v>
      </c>
      <c r="Z24" s="59">
        <f t="shared" si="9"/>
        <v>0</v>
      </c>
      <c r="AA24" s="59">
        <f>IF('Updated Dummy'!Y24=2,1,0)</f>
        <v>0</v>
      </c>
      <c r="AB24" s="59">
        <f t="shared" si="10"/>
        <v>0</v>
      </c>
      <c r="AC24" s="59">
        <f t="shared" si="11"/>
        <v>0</v>
      </c>
      <c r="AD24" s="59">
        <f t="shared" si="12"/>
        <v>0</v>
      </c>
      <c r="AE24" s="59">
        <f t="shared" si="13"/>
        <v>0</v>
      </c>
      <c r="AF24" s="59">
        <f t="shared" si="14"/>
        <v>0</v>
      </c>
      <c r="AG24" s="59">
        <f t="shared" si="15"/>
        <v>1</v>
      </c>
      <c r="AH24" s="59">
        <v>2</v>
      </c>
      <c r="AI24" s="59">
        <v>1</v>
      </c>
      <c r="AJ24" s="59">
        <f t="shared" si="16"/>
        <v>1</v>
      </c>
      <c r="AK24" s="59">
        <f t="shared" si="17"/>
        <v>0</v>
      </c>
      <c r="AL24" s="59">
        <v>11994</v>
      </c>
      <c r="AM24" s="59">
        <v>21293</v>
      </c>
      <c r="AN24" s="59">
        <v>0</v>
      </c>
      <c r="AO24" s="59">
        <v>0</v>
      </c>
      <c r="AP24" s="59">
        <v>11</v>
      </c>
      <c r="AQ24" s="59">
        <v>3</v>
      </c>
      <c r="AR24" s="59">
        <v>3</v>
      </c>
      <c r="AS24" s="59">
        <v>80</v>
      </c>
      <c r="AT24" s="59">
        <v>0</v>
      </c>
      <c r="AU24" s="59">
        <v>13</v>
      </c>
      <c r="AV24" s="59">
        <v>4</v>
      </c>
      <c r="AW24" s="59">
        <v>3</v>
      </c>
      <c r="AX24" s="59">
        <v>12</v>
      </c>
      <c r="AY24" s="59">
        <v>6</v>
      </c>
      <c r="AZ24" s="59">
        <v>2</v>
      </c>
      <c r="BA24" s="59">
        <v>11</v>
      </c>
      <c r="BB24" s="57">
        <f t="shared" si="18"/>
        <v>35982</v>
      </c>
      <c r="BD24" s="63">
        <f>_xll.StatCorrelationCoeff( ST_JobRoleLabTechnician,ST_Age_1)</f>
        <v>-0.14317552140370401</v>
      </c>
      <c r="BF24" s="36" t="s">
        <v>364</v>
      </c>
      <c r="BG24" s="33">
        <v>-2.7443045212925679</v>
      </c>
      <c r="BH24" s="39">
        <v>0.99855329932787429</v>
      </c>
      <c r="BI24" s="39">
        <v>-2.7482804604819369</v>
      </c>
      <c r="BJ24" s="40">
        <v>5.9908739934735333E-3</v>
      </c>
      <c r="BK24" s="39">
        <v>-4.7014689879752014</v>
      </c>
      <c r="BL24" s="39">
        <v>-0.7871400546099343</v>
      </c>
      <c r="BM24" s="39">
        <v>6.4292999811552121E-2</v>
      </c>
      <c r="BO24" s="36" t="s">
        <v>22</v>
      </c>
      <c r="BP24" s="33">
        <v>1.7286101392213122</v>
      </c>
      <c r="BQ24" s="39">
        <v>0.17489693185463959</v>
      </c>
      <c r="BR24" s="39">
        <v>9.8835932734257188</v>
      </c>
      <c r="BS24" s="40">
        <v>0</v>
      </c>
      <c r="BT24" s="39">
        <v>1.3858121527862186</v>
      </c>
      <c r="BU24" s="39">
        <v>2.0714081256564056</v>
      </c>
      <c r="BV24" s="39">
        <v>5.632819630333902</v>
      </c>
      <c r="BX24" s="36" t="s">
        <v>367</v>
      </c>
      <c r="BY24" s="33">
        <v>0.26570498571918988</v>
      </c>
      <c r="BZ24" s="39">
        <v>0.25257703509710261</v>
      </c>
      <c r="CA24" s="39">
        <v>1.0519760263122904</v>
      </c>
      <c r="CB24" s="40">
        <v>0.29281054887017666</v>
      </c>
      <c r="CC24" s="39">
        <v>-0.22934600307113123</v>
      </c>
      <c r="CD24" s="39">
        <v>0.76075597450951093</v>
      </c>
      <c r="CE24" s="39">
        <v>1.3043501999841396</v>
      </c>
      <c r="CG24" s="36" t="s">
        <v>22</v>
      </c>
      <c r="CH24" s="33">
        <v>1.7476022330959469</v>
      </c>
      <c r="CI24" s="39">
        <v>0.17638127139447035</v>
      </c>
      <c r="CJ24" s="39">
        <v>9.9080940923001819</v>
      </c>
      <c r="CK24" s="40">
        <v>0</v>
      </c>
      <c r="CL24" s="39">
        <v>1.401894941162785</v>
      </c>
      <c r="CM24" s="39">
        <v>2.0933095250291087</v>
      </c>
      <c r="CN24" s="39">
        <v>5.740821009378184</v>
      </c>
      <c r="CP24" s="36" t="s">
        <v>22</v>
      </c>
      <c r="CQ24" s="33">
        <v>1.7471290082888491</v>
      </c>
      <c r="CR24" s="39">
        <v>0.17642221195236824</v>
      </c>
      <c r="CS24" s="39">
        <v>9.9031124763391567</v>
      </c>
      <c r="CT24" s="40">
        <v>0</v>
      </c>
      <c r="CU24" s="39">
        <v>1.4013414728622073</v>
      </c>
      <c r="CV24" s="39">
        <v>2.0929165437154911</v>
      </c>
      <c r="CW24" s="39">
        <v>5.7381049531667134</v>
      </c>
      <c r="CY24" s="36" t="s">
        <v>363</v>
      </c>
      <c r="CZ24" s="33">
        <v>0.49392774438345322</v>
      </c>
      <c r="DA24" s="39">
        <v>0.4579842604558228</v>
      </c>
      <c r="DB24" s="39">
        <v>1.0784819196446982</v>
      </c>
      <c r="DC24" s="40">
        <v>0.28081874619526781</v>
      </c>
      <c r="DD24" s="39">
        <v>-0.40372140610995944</v>
      </c>
      <c r="DE24" s="39">
        <v>1.3915768948768659</v>
      </c>
      <c r="DF24" s="39">
        <v>1.6387401483360493</v>
      </c>
      <c r="DH24" s="36" t="s">
        <v>363</v>
      </c>
      <c r="DI24" s="69">
        <v>0.16279137028328583</v>
      </c>
      <c r="DJ24" s="70">
        <v>0.46132947257883272</v>
      </c>
      <c r="DK24" s="70">
        <v>0.35287442047281681</v>
      </c>
      <c r="DL24" s="66">
        <v>0.72418258830346982</v>
      </c>
      <c r="DM24" s="70">
        <v>-0.74141439597122627</v>
      </c>
      <c r="DN24" s="70">
        <v>1.0669971365377979</v>
      </c>
      <c r="DO24" s="70">
        <v>1.1767911504716144</v>
      </c>
      <c r="DQ24" s="36" t="s">
        <v>364</v>
      </c>
      <c r="DR24" s="33">
        <v>-4.6908586921227915</v>
      </c>
      <c r="DS24" s="39">
        <v>1.2281218612098057</v>
      </c>
      <c r="DT24" s="39">
        <v>-3.8195384678698674</v>
      </c>
      <c r="DU24" s="40">
        <v>1.3370160814352161E-4</v>
      </c>
      <c r="DV24" s="39">
        <v>-7.0979775400940106</v>
      </c>
      <c r="DW24" s="39">
        <v>-2.2837398441515724</v>
      </c>
      <c r="DX24" s="39">
        <v>9.1788010071499615E-3</v>
      </c>
      <c r="DZ24" s="36" t="s">
        <v>363</v>
      </c>
      <c r="EA24" s="33">
        <v>0.14910906521224448</v>
      </c>
      <c r="EB24" s="39">
        <v>0.45968168430915612</v>
      </c>
      <c r="EC24" s="39">
        <v>0.32437460595441536</v>
      </c>
      <c r="ED24" s="40">
        <v>0.74565444278725446</v>
      </c>
      <c r="EE24" s="39">
        <v>-0.75186703603370142</v>
      </c>
      <c r="EF24" s="39">
        <v>1.0500851664581905</v>
      </c>
      <c r="EG24" s="39">
        <v>1.1607995851584816</v>
      </c>
      <c r="EI24" s="36" t="s">
        <v>363</v>
      </c>
      <c r="EJ24" s="33">
        <v>0.17276035914079152</v>
      </c>
      <c r="EK24" s="39">
        <v>0.45550951729744465</v>
      </c>
      <c r="EL24" s="39">
        <v>0.37926838535841212</v>
      </c>
      <c r="EM24" s="40">
        <v>0.70448857382730679</v>
      </c>
      <c r="EN24" s="39">
        <v>-0.72003829476219994</v>
      </c>
      <c r="EO24" s="39">
        <v>1.0655590130437831</v>
      </c>
      <c r="EP24" s="39">
        <v>1.1885812383233469</v>
      </c>
      <c r="ER24" s="36" t="s">
        <v>364</v>
      </c>
      <c r="ES24" s="33">
        <v>-4.5715367411797931</v>
      </c>
      <c r="ET24" s="39">
        <v>1.2232947267695626</v>
      </c>
      <c r="EU24" s="39">
        <v>-3.7370689508751176</v>
      </c>
      <c r="EV24" s="40">
        <v>1.8617788189390083E-4</v>
      </c>
      <c r="EW24" s="39">
        <v>-6.9691944056481354</v>
      </c>
      <c r="EX24" s="39">
        <v>-2.1738790767114504</v>
      </c>
      <c r="EY24" s="39">
        <v>1.0342054438655704E-2</v>
      </c>
      <c r="FA24" s="36" t="s">
        <v>20</v>
      </c>
      <c r="FB24" s="44">
        <f>_xll.StatCorrelationCoeff( ST_NumCompaniesWorked_40,ST_Attrition_2)</f>
        <v>4.349373905781375E-2</v>
      </c>
      <c r="FC24" s="44"/>
      <c r="FD24" s="44">
        <f>_xll.StatCorrelationCoeff( ST_NumCompaniesWorked_40,ST_BusinessTravelTravelRarely)</f>
        <v>3.2400606407753461E-2</v>
      </c>
      <c r="FE24" s="44">
        <f>_xll.StatCorrelationCoeff( ST_NumCompaniesWorked_40,ST_BusinessTravelTravelFrequently)</f>
        <v>-3.9718031381930058E-2</v>
      </c>
      <c r="FF24" s="44">
        <f>_xll.StatCorrelationCoeff( ST_NumCompaniesWorked_40,ST_DistanceFromHome_10)</f>
        <v>-2.9250804197292993E-2</v>
      </c>
      <c r="FG24" s="44">
        <f>_xll.StatCorrelationCoeff( ST_NumCompaniesWorked_40,ST_EnvironmentSatisfaction_20)</f>
        <v>1.2594323218943299E-2</v>
      </c>
      <c r="FH24" s="44">
        <f>_xll.StatCorrelationCoeff( ST_NumCompaniesWorked_40,ST_Gender_21)</f>
        <v>-3.9147449560278012E-2</v>
      </c>
      <c r="FI24" s="44">
        <f>_xll.StatCorrelationCoeff( ST_NumCompaniesWorked_40,ST_JobInvolvement_23)</f>
        <v>1.5012413243110952E-2</v>
      </c>
      <c r="FJ24" s="44">
        <f>_xll.StatCorrelationCoeff( ST_NumCompaniesWorked_40,ST_JobLevel_24)</f>
        <v>0.14250112381048838</v>
      </c>
      <c r="FK24" s="44">
        <f>_xll.StatCorrelationCoeff( ST_NumCompaniesWorked_40,ST_JobRoleSalesExec)</f>
        <v>5.9132619494187732E-3</v>
      </c>
      <c r="FL24" s="44">
        <f>_xll.StatCorrelationCoeff( ST_NumCompaniesWorked_40,ST_JobRoleResearchScientist)</f>
        <v>-4.398122357724777E-2</v>
      </c>
      <c r="FM24" s="44">
        <f>_xll.StatCorrelationCoeff( ST_NumCompaniesWorked_40,ST_JobRoleLabTechnician)</f>
        <v>-2.1120991534694229E-2</v>
      </c>
      <c r="FN24" s="44">
        <f>_xll.StatCorrelationCoeff( ST_NumCompaniesWorked_40,ST_JobRoleManufacturingDirector)</f>
        <v>9.5804966584329011E-3</v>
      </c>
      <c r="FO24" s="44">
        <f>_xll.StatCorrelationCoeff( ST_NumCompaniesWorked_40,ST_JobRoleHealthcareRep)</f>
        <v>2.6955086217482369E-2</v>
      </c>
      <c r="FP24" s="44">
        <f>_xll.StatCorrelationCoeff( ST_NumCompaniesWorked_40,ST_JobRoleManager)</f>
        <v>4.2124574059406887E-2</v>
      </c>
      <c r="FQ24" s="44">
        <f>_xll.StatCorrelationCoeff( ST_NumCompaniesWorked_40,ST_JobRoleSalesRep)</f>
        <v>-0.10449447297076056</v>
      </c>
      <c r="FR24" s="44">
        <f>_xll.StatCorrelationCoeff( ST_NumCompaniesWorked_40,ST_JobResearchDirector)</f>
        <v>9.7925217907781775E-2</v>
      </c>
      <c r="FS24" s="44">
        <f>_xll.StatCorrelationCoeff( ST_NumCompaniesWorked_40,ST_JobSatisfaction_34)</f>
        <v>-5.5699426012746009E-2</v>
      </c>
      <c r="FT24" s="44">
        <f>_xll.StatCorrelationCoeff( ST_NumCompaniesWorked_40,ST_MaritalStatusSingle)</f>
        <v>-1.9160847395579609E-2</v>
      </c>
      <c r="FU24" s="44">
        <f>_xll.StatCorrelationCoeff( ST_NumCompaniesWorked_40,ST_MaritalStatusMarried)</f>
        <v>-1.614207832367669E-2</v>
      </c>
      <c r="FV24" s="44">
        <f>_xll.StatCorrelationCoeff( ST_NumCompaniesWorked_40,ST_MonthlyIncome_38)</f>
        <v>0.14951521598969761</v>
      </c>
      <c r="FW24" s="44">
        <v>1</v>
      </c>
      <c r="FX24" s="44"/>
      <c r="FY24" s="44"/>
      <c r="FZ24" s="44"/>
      <c r="GA24" s="44"/>
      <c r="GB24" s="44"/>
    </row>
    <row r="25" spans="1:184" ht="15" customHeight="1" x14ac:dyDescent="0.25">
      <c r="A25" s="58">
        <v>21</v>
      </c>
      <c r="B25" s="59">
        <v>0</v>
      </c>
      <c r="C25" s="59">
        <v>1</v>
      </c>
      <c r="D25" s="59">
        <f t="shared" si="0"/>
        <v>1</v>
      </c>
      <c r="E25" s="59">
        <f t="shared" si="1"/>
        <v>0</v>
      </c>
      <c r="F25" s="59">
        <v>391</v>
      </c>
      <c r="G25" s="59">
        <v>2</v>
      </c>
      <c r="H25" s="59">
        <f t="shared" si="2"/>
        <v>0</v>
      </c>
      <c r="I25" s="59">
        <f t="shared" si="3"/>
        <v>1</v>
      </c>
      <c r="J25" s="59">
        <v>15</v>
      </c>
      <c r="K25" s="59">
        <v>2</v>
      </c>
      <c r="L25" s="59">
        <v>1</v>
      </c>
      <c r="M25" s="59">
        <f t="shared" si="4"/>
        <v>1</v>
      </c>
      <c r="N25" s="59">
        <f t="shared" si="5"/>
        <v>0</v>
      </c>
      <c r="O25" s="59">
        <f t="shared" si="6"/>
        <v>0</v>
      </c>
      <c r="P25" s="59">
        <f t="shared" si="7"/>
        <v>0</v>
      </c>
      <c r="Q25" s="59">
        <f t="shared" si="8"/>
        <v>0</v>
      </c>
      <c r="R25" s="59">
        <v>1</v>
      </c>
      <c r="S25" s="59">
        <v>30</v>
      </c>
      <c r="T25" s="59">
        <v>3</v>
      </c>
      <c r="U25" s="59">
        <v>1</v>
      </c>
      <c r="V25" s="59">
        <v>96</v>
      </c>
      <c r="W25" s="59">
        <v>3</v>
      </c>
      <c r="X25" s="59">
        <v>1</v>
      </c>
      <c r="Y25" s="59">
        <v>2</v>
      </c>
      <c r="Z25" s="59">
        <f t="shared" si="9"/>
        <v>0</v>
      </c>
      <c r="AA25" s="59">
        <f>IF('Updated Dummy'!Y25=2,1,0)</f>
        <v>1</v>
      </c>
      <c r="AB25" s="59">
        <f t="shared" si="10"/>
        <v>0</v>
      </c>
      <c r="AC25" s="59">
        <f t="shared" si="11"/>
        <v>0</v>
      </c>
      <c r="AD25" s="59">
        <f t="shared" si="12"/>
        <v>0</v>
      </c>
      <c r="AE25" s="59">
        <f t="shared" si="13"/>
        <v>0</v>
      </c>
      <c r="AF25" s="59">
        <f t="shared" si="14"/>
        <v>0</v>
      </c>
      <c r="AG25" s="59">
        <f t="shared" si="15"/>
        <v>0</v>
      </c>
      <c r="AH25" s="59">
        <v>4</v>
      </c>
      <c r="AI25" s="59">
        <v>1</v>
      </c>
      <c r="AJ25" s="59">
        <f t="shared" si="16"/>
        <v>1</v>
      </c>
      <c r="AK25" s="59">
        <f t="shared" si="17"/>
        <v>0</v>
      </c>
      <c r="AL25" s="59">
        <v>1232</v>
      </c>
      <c r="AM25" s="59">
        <v>19281</v>
      </c>
      <c r="AN25" s="59">
        <v>1</v>
      </c>
      <c r="AO25" s="59">
        <v>0</v>
      </c>
      <c r="AP25" s="59">
        <v>14</v>
      </c>
      <c r="AQ25" s="59">
        <v>3</v>
      </c>
      <c r="AR25" s="59">
        <v>4</v>
      </c>
      <c r="AS25" s="59">
        <v>80</v>
      </c>
      <c r="AT25" s="59">
        <v>0</v>
      </c>
      <c r="AU25" s="59">
        <v>0</v>
      </c>
      <c r="AV25" s="59">
        <v>6</v>
      </c>
      <c r="AW25" s="59">
        <v>3</v>
      </c>
      <c r="AX25" s="59">
        <v>0</v>
      </c>
      <c r="AY25" s="59">
        <v>0</v>
      </c>
      <c r="AZ25" s="59">
        <v>0</v>
      </c>
      <c r="BA25" s="59">
        <v>0</v>
      </c>
      <c r="BB25" s="57">
        <f t="shared" si="18"/>
        <v>1232</v>
      </c>
      <c r="BD25" s="63">
        <f>_xll.StatCorrelationCoeff( ST_JobRoleManufacturingDirector,ST_Age_1)</f>
        <v>4.9726341544495907E-2</v>
      </c>
      <c r="BF25" s="36" t="s">
        <v>16</v>
      </c>
      <c r="BG25" s="33">
        <v>-0.3703273117891055</v>
      </c>
      <c r="BH25" s="39">
        <v>7.4893658190408011E-2</v>
      </c>
      <c r="BI25" s="39">
        <v>-4.9447085472523371</v>
      </c>
      <c r="BJ25" s="40">
        <v>7.62578669322167E-7</v>
      </c>
      <c r="BK25" s="39">
        <v>-0.51711888184230514</v>
      </c>
      <c r="BL25" s="39">
        <v>-0.22353574173590579</v>
      </c>
      <c r="BM25" s="39">
        <v>0.69050828214398363</v>
      </c>
      <c r="BO25" s="36" t="s">
        <v>27</v>
      </c>
      <c r="BP25" s="33">
        <v>-0.51260452476009855</v>
      </c>
      <c r="BQ25" s="39">
        <v>0.1081812564436512</v>
      </c>
      <c r="BR25" s="39">
        <v>-4.7383857574911872</v>
      </c>
      <c r="BS25" s="40">
        <v>2.1542742276725591E-6</v>
      </c>
      <c r="BT25" s="39">
        <v>-0.72463978738965484</v>
      </c>
      <c r="BU25" s="39">
        <v>-0.30056926213054219</v>
      </c>
      <c r="BV25" s="39">
        <v>0.59893360818747843</v>
      </c>
      <c r="BX25" s="36" t="s">
        <v>22</v>
      </c>
      <c r="BY25" s="33">
        <v>1.750682646441154</v>
      </c>
      <c r="BZ25" s="39">
        <v>0.17658794477983281</v>
      </c>
      <c r="CA25" s="39">
        <v>9.9139420226215265</v>
      </c>
      <c r="CB25" s="40">
        <v>0</v>
      </c>
      <c r="CC25" s="39">
        <v>1.4045702746726816</v>
      </c>
      <c r="CD25" s="39">
        <v>2.0967950182096264</v>
      </c>
      <c r="CE25" s="39">
        <v>5.7585323761880778</v>
      </c>
      <c r="CG25" s="36" t="s">
        <v>31</v>
      </c>
      <c r="CH25" s="33">
        <v>7.9016545415337286E-2</v>
      </c>
      <c r="CI25" s="39">
        <v>2.9333975494580868E-2</v>
      </c>
      <c r="CJ25" s="39">
        <v>2.6936868966136123</v>
      </c>
      <c r="CK25" s="40">
        <v>7.066651386191225E-3</v>
      </c>
      <c r="CL25" s="39">
        <v>2.1521953445958787E-2</v>
      </c>
      <c r="CM25" s="39">
        <v>0.13651113738471579</v>
      </c>
      <c r="CN25" s="39">
        <v>1.082222227738431</v>
      </c>
      <c r="CP25" s="36" t="s">
        <v>31</v>
      </c>
      <c r="CQ25" s="33">
        <v>7.7944864526149932E-2</v>
      </c>
      <c r="CR25" s="39">
        <v>3.0179933974579461E-2</v>
      </c>
      <c r="CS25" s="39">
        <v>2.5826718041133834</v>
      </c>
      <c r="CT25" s="40">
        <v>9.8038535668678595E-3</v>
      </c>
      <c r="CU25" s="39">
        <v>1.8792193935974186E-2</v>
      </c>
      <c r="CV25" s="39">
        <v>0.13709753511632566</v>
      </c>
      <c r="CW25" s="39">
        <v>1.0810630521032405</v>
      </c>
      <c r="CY25" s="36" t="s">
        <v>364</v>
      </c>
      <c r="CZ25" s="33">
        <v>-2.7227913445897802</v>
      </c>
      <c r="DA25" s="39">
        <v>0.99736316035844574</v>
      </c>
      <c r="DB25" s="39">
        <v>-2.7299898901531785</v>
      </c>
      <c r="DC25" s="40">
        <v>6.3336267836637816E-3</v>
      </c>
      <c r="DD25" s="39">
        <v>-4.6776231388923337</v>
      </c>
      <c r="DE25" s="39">
        <v>-0.76795955028722651</v>
      </c>
      <c r="DF25" s="39">
        <v>6.5691131683433102E-2</v>
      </c>
      <c r="DH25" s="36" t="s">
        <v>364</v>
      </c>
      <c r="DI25" s="69">
        <v>-4.4354917973328964</v>
      </c>
      <c r="DJ25" s="70">
        <v>1.2097685086889516</v>
      </c>
      <c r="DK25" s="70">
        <v>-3.6663971375314777</v>
      </c>
      <c r="DL25" s="66">
        <v>2.4599180176498869E-4</v>
      </c>
      <c r="DM25" s="70">
        <v>-6.8066380743632413</v>
      </c>
      <c r="DN25" s="70">
        <v>-2.0643455203025516</v>
      </c>
      <c r="DO25" s="70">
        <v>1.1849237051268837E-2</v>
      </c>
      <c r="DQ25" s="36" t="s">
        <v>366</v>
      </c>
      <c r="DR25" s="33">
        <v>1.1549080588154146</v>
      </c>
      <c r="DS25" s="39">
        <v>0.24312861606947336</v>
      </c>
      <c r="DT25" s="39">
        <v>4.750193858239224</v>
      </c>
      <c r="DU25" s="40">
        <v>2.0322173597264737E-6</v>
      </c>
      <c r="DV25" s="39">
        <v>0.67837597131924676</v>
      </c>
      <c r="DW25" s="39">
        <v>1.6314401463115824</v>
      </c>
      <c r="DX25" s="39">
        <v>3.1737316074695774</v>
      </c>
      <c r="DZ25" s="36" t="s">
        <v>364</v>
      </c>
      <c r="EA25" s="33">
        <v>-4.6532855953070813</v>
      </c>
      <c r="EB25" s="39">
        <v>1.2323264978521471</v>
      </c>
      <c r="EC25" s="39">
        <v>-3.7760168294826166</v>
      </c>
      <c r="ED25" s="40">
        <v>1.5935622870055788E-4</v>
      </c>
      <c r="EE25" s="39">
        <v>-7.0686455310972898</v>
      </c>
      <c r="EF25" s="39">
        <v>-2.2379256595168728</v>
      </c>
      <c r="EG25" s="39">
        <v>9.5302379290353022E-3</v>
      </c>
      <c r="EI25" s="36" t="s">
        <v>364</v>
      </c>
      <c r="EJ25" s="33">
        <v>-4.5755529586010342</v>
      </c>
      <c r="EK25" s="39">
        <v>1.2326283676235121</v>
      </c>
      <c r="EL25" s="39">
        <v>-3.7120295774326753</v>
      </c>
      <c r="EM25" s="40">
        <v>2.0560395382651642E-4</v>
      </c>
      <c r="EN25" s="39">
        <v>-6.9915045591431184</v>
      </c>
      <c r="EO25" s="39">
        <v>-2.1596013580589504</v>
      </c>
      <c r="EP25" s="39">
        <v>1.0300601796578638E-2</v>
      </c>
      <c r="ER25" s="36" t="s">
        <v>366</v>
      </c>
      <c r="ES25" s="33">
        <v>1.160658507519817</v>
      </c>
      <c r="ET25" s="39">
        <v>0.24211263169736855</v>
      </c>
      <c r="EU25" s="39">
        <v>4.7938783671997562</v>
      </c>
      <c r="EV25" s="40">
        <v>1.6358748087252906E-6</v>
      </c>
      <c r="EW25" s="39">
        <v>0.68611774939297465</v>
      </c>
      <c r="EX25" s="39">
        <v>1.6351992656466594</v>
      </c>
      <c r="EY25" s="39">
        <v>3.1920345629468794</v>
      </c>
      <c r="FA25" s="36" t="s">
        <v>22</v>
      </c>
      <c r="FB25" s="44">
        <f>_xll.StatCorrelationCoeff( ST_OverTime_41,ST_Attrition_2)</f>
        <v>0.24611799424579706</v>
      </c>
      <c r="FC25" s="44"/>
      <c r="FD25" s="44">
        <f>_xll.StatCorrelationCoeff( ST_OverTime_41,ST_BusinessTravelTravelRarely)</f>
        <v>-5.3858455449971388E-4</v>
      </c>
      <c r="FE25" s="44">
        <f>_xll.StatCorrelationCoeff( ST_OverTime_41,ST_BusinessTravelTravelFrequently)</f>
        <v>2.939174564294739E-2</v>
      </c>
      <c r="FF25" s="44">
        <f>_xll.StatCorrelationCoeff( ST_OverTime_41,ST_DistanceFromHome_10)</f>
        <v>2.5513634949946084E-2</v>
      </c>
      <c r="FG25" s="44">
        <f>_xll.StatCorrelationCoeff( ST_OverTime_41,ST_EnvironmentSatisfaction_20)</f>
        <v>7.0131726774094391E-2</v>
      </c>
      <c r="FH25" s="44">
        <f>_xll.StatCorrelationCoeff( ST_OverTime_41,ST_Gender_21)</f>
        <v>-4.1924347951987379E-2</v>
      </c>
      <c r="FI25" s="44">
        <f>_xll.StatCorrelationCoeff( ST_OverTime_41,ST_JobInvolvement_23)</f>
        <v>-3.5067105694045505E-3</v>
      </c>
      <c r="FJ25" s="44">
        <f>_xll.StatCorrelationCoeff( ST_OverTime_41,ST_JobLevel_24)</f>
        <v>5.4404777488093023E-4</v>
      </c>
      <c r="FK25" s="44">
        <f>_xll.StatCorrelationCoeff( ST_OverTime_41,ST_JobRoleSalesExec)</f>
        <v>6.3405836697605295E-3</v>
      </c>
      <c r="FL25" s="44">
        <f>_xll.StatCorrelationCoeff( ST_OverTime_41,ST_JobRoleResearchScientist)</f>
        <v>5.4377813871314629E-2</v>
      </c>
      <c r="FM25" s="44">
        <f>_xll.StatCorrelationCoeff( ST_OverTime_41,ST_JobRoleLabTechnician)</f>
        <v>-4.4773784057389306E-2</v>
      </c>
      <c r="FN25" s="44">
        <f>_xll.StatCorrelationCoeff( ST_OverTime_41,ST_JobRoleManufacturingDirector)</f>
        <v>-1.0301780148617509E-2</v>
      </c>
      <c r="FO25" s="44">
        <f>_xll.StatCorrelationCoeff( ST_OverTime_41,ST_JobRoleHealthcareRep)</f>
        <v>-3.8221960397742688E-4</v>
      </c>
      <c r="FP25" s="44">
        <f>_xll.StatCorrelationCoeff( ST_OverTime_41,ST_JobRoleManager)</f>
        <v>-1.1085552552484914E-2</v>
      </c>
      <c r="FQ25" s="44">
        <f>_xll.StatCorrelationCoeff( ST_OverTime_41,ST_JobRoleSalesRep)</f>
        <v>3.3471378054063272E-3</v>
      </c>
      <c r="FR25" s="44">
        <f>_xll.StatCorrelationCoeff( ST_OverTime_41,ST_JobResearchDirector)</f>
        <v>2.4002501484605056E-3</v>
      </c>
      <c r="FS25" s="44">
        <f>_xll.StatCorrelationCoeff( ST_OverTime_41,ST_JobSatisfaction_34)</f>
        <v>2.4539481060031575E-2</v>
      </c>
      <c r="FT25" s="44">
        <f>_xll.StatCorrelationCoeff( ST_OverTime_41,ST_MaritalStatusSingle)</f>
        <v>-6.4983951524356645E-3</v>
      </c>
      <c r="FU25" s="44">
        <f>_xll.StatCorrelationCoeff( ST_OverTime_41,ST_MaritalStatusMarried)</f>
        <v>-1.3502214628886485E-2</v>
      </c>
      <c r="FV25" s="44">
        <f>_xll.StatCorrelationCoeff( ST_OverTime_41,ST_MonthlyIncome_38)</f>
        <v>6.089285402589904E-3</v>
      </c>
      <c r="FW25" s="44">
        <f>_xll.StatCorrelationCoeff( ST_OverTime_41,ST_NumCompaniesWorked_40)</f>
        <v>-2.0785821366833976E-2</v>
      </c>
      <c r="FX25" s="44">
        <v>1</v>
      </c>
      <c r="FY25" s="44"/>
      <c r="FZ25" s="44"/>
      <c r="GA25" s="44"/>
      <c r="GB25" s="44"/>
    </row>
    <row r="26" spans="1:184" ht="15" customHeight="1" x14ac:dyDescent="0.25">
      <c r="A26" s="58">
        <v>34</v>
      </c>
      <c r="B26" s="59">
        <v>1</v>
      </c>
      <c r="C26" s="59">
        <v>1</v>
      </c>
      <c r="D26" s="59">
        <f t="shared" si="0"/>
        <v>1</v>
      </c>
      <c r="E26" s="59">
        <f t="shared" si="1"/>
        <v>0</v>
      </c>
      <c r="F26" s="59">
        <v>699</v>
      </c>
      <c r="G26" s="59">
        <v>2</v>
      </c>
      <c r="H26" s="59">
        <f t="shared" si="2"/>
        <v>0</v>
      </c>
      <c r="I26" s="59">
        <f t="shared" si="3"/>
        <v>1</v>
      </c>
      <c r="J26" s="59">
        <v>6</v>
      </c>
      <c r="K26" s="59">
        <v>1</v>
      </c>
      <c r="L26" s="59">
        <v>3</v>
      </c>
      <c r="M26" s="59">
        <f t="shared" si="4"/>
        <v>0</v>
      </c>
      <c r="N26" s="59">
        <f t="shared" si="5"/>
        <v>0</v>
      </c>
      <c r="O26" s="59">
        <f t="shared" si="6"/>
        <v>1</v>
      </c>
      <c r="P26" s="59">
        <f t="shared" si="7"/>
        <v>0</v>
      </c>
      <c r="Q26" s="59">
        <f t="shared" si="8"/>
        <v>0</v>
      </c>
      <c r="R26" s="59">
        <v>1</v>
      </c>
      <c r="S26" s="59">
        <v>31</v>
      </c>
      <c r="T26" s="59">
        <v>2</v>
      </c>
      <c r="U26" s="59">
        <v>1</v>
      </c>
      <c r="V26" s="59">
        <v>83</v>
      </c>
      <c r="W26" s="59">
        <v>3</v>
      </c>
      <c r="X26" s="59">
        <v>1</v>
      </c>
      <c r="Y26" s="59">
        <v>2</v>
      </c>
      <c r="Z26" s="59">
        <f t="shared" si="9"/>
        <v>0</v>
      </c>
      <c r="AA26" s="59">
        <f>IF('Updated Dummy'!Y26=2,1,0)</f>
        <v>1</v>
      </c>
      <c r="AB26" s="59">
        <f t="shared" si="10"/>
        <v>0</v>
      </c>
      <c r="AC26" s="59">
        <f t="shared" si="11"/>
        <v>0</v>
      </c>
      <c r="AD26" s="59">
        <f t="shared" si="12"/>
        <v>0</v>
      </c>
      <c r="AE26" s="59">
        <f t="shared" si="13"/>
        <v>0</v>
      </c>
      <c r="AF26" s="59">
        <f t="shared" si="14"/>
        <v>0</v>
      </c>
      <c r="AG26" s="59">
        <f t="shared" si="15"/>
        <v>0</v>
      </c>
      <c r="AH26" s="59">
        <v>1</v>
      </c>
      <c r="AI26" s="59">
        <v>1</v>
      </c>
      <c r="AJ26" s="59">
        <f t="shared" si="16"/>
        <v>1</v>
      </c>
      <c r="AK26" s="59">
        <f t="shared" si="17"/>
        <v>0</v>
      </c>
      <c r="AL26" s="59">
        <v>2960</v>
      </c>
      <c r="AM26" s="59">
        <v>17102</v>
      </c>
      <c r="AN26" s="59">
        <v>2</v>
      </c>
      <c r="AO26" s="59">
        <v>0</v>
      </c>
      <c r="AP26" s="59">
        <v>11</v>
      </c>
      <c r="AQ26" s="59">
        <v>3</v>
      </c>
      <c r="AR26" s="59">
        <v>3</v>
      </c>
      <c r="AS26" s="59">
        <v>80</v>
      </c>
      <c r="AT26" s="59">
        <v>0</v>
      </c>
      <c r="AU26" s="59">
        <v>8</v>
      </c>
      <c r="AV26" s="59">
        <v>2</v>
      </c>
      <c r="AW26" s="59">
        <v>3</v>
      </c>
      <c r="AX26" s="59">
        <v>4</v>
      </c>
      <c r="AY26" s="59">
        <v>2</v>
      </c>
      <c r="AZ26" s="59">
        <v>1</v>
      </c>
      <c r="BA26" s="59">
        <v>3</v>
      </c>
      <c r="BB26" s="57">
        <f t="shared" si="18"/>
        <v>2960</v>
      </c>
      <c r="BD26" s="63">
        <f>_xll.StatCorrelationCoeff( ST_JobRoleHealthcareRep,ST_Age_1)</f>
        <v>9.8824685388301761E-2</v>
      </c>
      <c r="BF26" s="36" t="s">
        <v>18</v>
      </c>
      <c r="BG26" s="33">
        <v>4.7303697963898975E-5</v>
      </c>
      <c r="BH26" s="39">
        <v>7.3722284929793392E-5</v>
      </c>
      <c r="BI26" s="39">
        <v>0.6416472035416001</v>
      </c>
      <c r="BJ26" s="64">
        <v>0.52110227671628451</v>
      </c>
      <c r="BK26" s="39">
        <v>-9.719198049849606E-5</v>
      </c>
      <c r="BL26" s="39">
        <v>1.9179937642629401E-4</v>
      </c>
      <c r="BM26" s="39">
        <v>1.0000473048168015</v>
      </c>
      <c r="BO26" s="36" t="s">
        <v>31</v>
      </c>
      <c r="BP26" s="33">
        <v>7.4612239350544979E-2</v>
      </c>
      <c r="BQ26" s="39">
        <v>2.9319076652680787E-2</v>
      </c>
      <c r="BR26" s="39">
        <v>2.5448359180752993</v>
      </c>
      <c r="BS26" s="40">
        <v>1.093290980522954E-2</v>
      </c>
      <c r="BT26" s="39">
        <v>1.7146849111290635E-2</v>
      </c>
      <c r="BU26" s="39">
        <v>0.13207762958979932</v>
      </c>
      <c r="BV26" s="39">
        <v>1.0774662708502001</v>
      </c>
      <c r="BX26" s="36" t="s">
        <v>27</v>
      </c>
      <c r="BY26" s="33">
        <v>-0.19253211911167625</v>
      </c>
      <c r="BZ26" s="39">
        <v>0.14442094956870705</v>
      </c>
      <c r="CA26" s="39">
        <v>-1.3331315137218422</v>
      </c>
      <c r="CB26" s="40">
        <v>0.18248864925828179</v>
      </c>
      <c r="CC26" s="39">
        <v>-0.47559718026634201</v>
      </c>
      <c r="CD26" s="39">
        <v>9.0532942042989534E-2</v>
      </c>
      <c r="CE26" s="39">
        <v>0.82486782375636725</v>
      </c>
      <c r="CG26" s="36" t="s">
        <v>32</v>
      </c>
      <c r="CH26" s="33">
        <v>-0.11362435183128101</v>
      </c>
      <c r="CI26" s="39">
        <v>4.2588222815862359E-2</v>
      </c>
      <c r="CJ26" s="39">
        <v>-2.6679758937712852</v>
      </c>
      <c r="CK26" s="40">
        <v>7.6309733050938799E-3</v>
      </c>
      <c r="CL26" s="39">
        <v>-0.19709726855037124</v>
      </c>
      <c r="CM26" s="39">
        <v>-3.0151435112190789E-2</v>
      </c>
      <c r="CN26" s="39">
        <v>0.89259319391139413</v>
      </c>
      <c r="CP26" s="36" t="s">
        <v>32</v>
      </c>
      <c r="CQ26" s="33">
        <v>-0.11351024010052667</v>
      </c>
      <c r="CR26" s="39">
        <v>4.2587133818785754E-2</v>
      </c>
      <c r="CS26" s="39">
        <v>-2.6653646282825396</v>
      </c>
      <c r="CT26" s="40">
        <v>7.6904887280007106E-3</v>
      </c>
      <c r="CU26" s="39">
        <v>-0.19698102238534676</v>
      </c>
      <c r="CV26" s="39">
        <v>-3.0039457815706591E-2</v>
      </c>
      <c r="CW26" s="39">
        <v>0.89269505507727742</v>
      </c>
      <c r="CY26" s="36" t="s">
        <v>366</v>
      </c>
      <c r="CZ26" s="33">
        <v>0.79387736171840251</v>
      </c>
      <c r="DA26" s="39">
        <v>0.31715050747310197</v>
      </c>
      <c r="DB26" s="39">
        <v>2.5031565235181987</v>
      </c>
      <c r="DC26" s="40">
        <v>1.2309109316739342E-2</v>
      </c>
      <c r="DD26" s="39">
        <v>0.17226236707112264</v>
      </c>
      <c r="DE26" s="39">
        <v>1.4154923563656823</v>
      </c>
      <c r="DF26" s="39">
        <v>2.2119563754951721</v>
      </c>
      <c r="DH26" s="36" t="s">
        <v>366</v>
      </c>
      <c r="DI26" s="69">
        <v>1.1727123242313018</v>
      </c>
      <c r="DJ26" s="70">
        <v>0.24399110002522847</v>
      </c>
      <c r="DK26" s="70">
        <v>4.8063733640696089</v>
      </c>
      <c r="DL26" s="66">
        <v>1.5369275732091126E-6</v>
      </c>
      <c r="DM26" s="70">
        <v>0.69448976818185404</v>
      </c>
      <c r="DN26" s="70">
        <v>1.6509348802807495</v>
      </c>
      <c r="DO26" s="70">
        <v>3.2307435895785019</v>
      </c>
      <c r="DQ26" s="36" t="s">
        <v>367</v>
      </c>
      <c r="DR26" s="33">
        <v>0.31290263115264216</v>
      </c>
      <c r="DS26" s="39">
        <v>0.2427780836555811</v>
      </c>
      <c r="DT26" s="39">
        <v>1.2888421658214577</v>
      </c>
      <c r="DU26" s="40">
        <v>0.19745296360796183</v>
      </c>
      <c r="DV26" s="39">
        <v>-0.16294241281229677</v>
      </c>
      <c r="DW26" s="39">
        <v>0.78874767511758104</v>
      </c>
      <c r="DX26" s="39">
        <v>1.3673883835147072</v>
      </c>
      <c r="DZ26" s="36" t="s">
        <v>366</v>
      </c>
      <c r="EA26" s="33">
        <v>1.1567928099503899</v>
      </c>
      <c r="EB26" s="39">
        <v>0.2434111183744051</v>
      </c>
      <c r="EC26" s="39">
        <v>4.7524238731406596</v>
      </c>
      <c r="ED26" s="40">
        <v>2.0099245550131428E-6</v>
      </c>
      <c r="EE26" s="39">
        <v>0.67970701793655586</v>
      </c>
      <c r="EF26" s="39">
        <v>1.633878601964224</v>
      </c>
      <c r="EG26" s="39">
        <v>3.1797189422644938</v>
      </c>
      <c r="EI26" s="36" t="s">
        <v>366</v>
      </c>
      <c r="EJ26" s="33">
        <v>1.1718583234845328</v>
      </c>
      <c r="EK26" s="39">
        <v>0.24204996874976648</v>
      </c>
      <c r="EL26" s="39">
        <v>4.8413901044375303</v>
      </c>
      <c r="EM26" s="40">
        <v>1.2893397394186934E-6</v>
      </c>
      <c r="EN26" s="39">
        <v>0.69744038473499048</v>
      </c>
      <c r="EO26" s="39">
        <v>1.6462762622340752</v>
      </c>
      <c r="EP26" s="39">
        <v>3.2279857099236393</v>
      </c>
      <c r="ER26" s="36" t="s">
        <v>367</v>
      </c>
      <c r="ES26" s="33">
        <v>0.31464320312943039</v>
      </c>
      <c r="ET26" s="39">
        <v>0.24213630086846205</v>
      </c>
      <c r="EU26" s="39">
        <v>1.2994466422461659</v>
      </c>
      <c r="EV26" s="40">
        <v>0.19379069367229529</v>
      </c>
      <c r="EW26" s="39">
        <v>-0.15994394657275524</v>
      </c>
      <c r="EX26" s="39">
        <v>0.78923035283161602</v>
      </c>
      <c r="EY26" s="39">
        <v>1.3697704939323563</v>
      </c>
      <c r="FA26" s="36" t="s">
        <v>27</v>
      </c>
      <c r="FB26" s="44">
        <f>_xll.StatCorrelationCoeff( ST_StockOptionLevel_46,ST_Attrition_2)</f>
        <v>-0.13714491893332414</v>
      </c>
      <c r="FC26" s="44"/>
      <c r="FD26" s="44">
        <f>_xll.StatCorrelationCoeff( ST_StockOptionLevel_46,ST_BusinessTravelTravelRarely)</f>
        <v>-5.3027044206382986E-3</v>
      </c>
      <c r="FE26" s="44">
        <f>_xll.StatCorrelationCoeff( ST_StockOptionLevel_46,ST_BusinessTravelTravelFrequently)</f>
        <v>-1.6142113874364275E-2</v>
      </c>
      <c r="FF26" s="44">
        <f>_xll.StatCorrelationCoeff( ST_StockOptionLevel_46,ST_DistanceFromHome_10)</f>
        <v>4.4871998853181376E-2</v>
      </c>
      <c r="FG26" s="44">
        <f>_xll.StatCorrelationCoeff( ST_StockOptionLevel_46,ST_EnvironmentSatisfaction_20)</f>
        <v>3.4321577550576604E-3</v>
      </c>
      <c r="FH26" s="44">
        <f>_xll.StatCorrelationCoeff( ST_StockOptionLevel_46,ST_Gender_21)</f>
        <v>1.2715713764063028E-2</v>
      </c>
      <c r="FI26" s="44">
        <f>_xll.StatCorrelationCoeff( ST_StockOptionLevel_46,ST_JobInvolvement_23)</f>
        <v>2.1522640378023941E-2</v>
      </c>
      <c r="FJ26" s="44">
        <f>_xll.StatCorrelationCoeff( ST_StockOptionLevel_46,ST_JobLevel_24)</f>
        <v>1.3983910528615516E-2</v>
      </c>
      <c r="FK26" s="44">
        <f>_xll.StatCorrelationCoeff( ST_StockOptionLevel_46,ST_JobRoleSalesExec)</f>
        <v>1.5755961392389491E-2</v>
      </c>
      <c r="FL26" s="44">
        <f>_xll.StatCorrelationCoeff( ST_StockOptionLevel_46,ST_JobRoleResearchScientist)</f>
        <v>-1.1634532312436904E-2</v>
      </c>
      <c r="FM26" s="44">
        <f>_xll.StatCorrelationCoeff( ST_StockOptionLevel_46,ST_JobRoleLabTechnician)</f>
        <v>1.3386178923933839E-2</v>
      </c>
      <c r="FN26" s="44">
        <f>_xll.StatCorrelationCoeff( ST_StockOptionLevel_46,ST_JobRoleManufacturingDirector)</f>
        <v>7.7345938897134371E-3</v>
      </c>
      <c r="FO26" s="44">
        <f>_xll.StatCorrelationCoeff( ST_StockOptionLevel_46,ST_JobRoleHealthcareRep)</f>
        <v>1.4021368103569194E-2</v>
      </c>
      <c r="FP26" s="44">
        <f>_xll.StatCorrelationCoeff( ST_StockOptionLevel_46,ST_JobRoleManager)</f>
        <v>-1.5637365339166695E-2</v>
      </c>
      <c r="FQ26" s="44">
        <f>_xll.StatCorrelationCoeff( ST_StockOptionLevel_46,ST_JobRoleSalesRep)</f>
        <v>-4.8067495018851915E-2</v>
      </c>
      <c r="FR26" s="44">
        <f>_xll.StatCorrelationCoeff( ST_StockOptionLevel_46,ST_JobResearchDirector)</f>
        <v>1.5806776160170875E-2</v>
      </c>
      <c r="FS26" s="44">
        <f>_xll.StatCorrelationCoeff( ST_StockOptionLevel_46,ST_JobSatisfaction_34)</f>
        <v>1.069022612075585E-2</v>
      </c>
      <c r="FT26" s="44">
        <f>_xll.StatCorrelationCoeff( ST_StockOptionLevel_46,ST_MaritalStatusSingle)</f>
        <v>-0.63895687352153707</v>
      </c>
      <c r="FU26" s="44">
        <f>_xll.StatCorrelationCoeff( ST_StockOptionLevel_46,ST_MaritalStatusMarried)</f>
        <v>0.22557423304867164</v>
      </c>
      <c r="FV26" s="44">
        <f>_xll.StatCorrelationCoeff( ST_StockOptionLevel_46,ST_MonthlyIncome_38)</f>
        <v>5.4076766968122244E-3</v>
      </c>
      <c r="FW26" s="44">
        <f>_xll.StatCorrelationCoeff( ST_StockOptionLevel_46,ST_NumCompaniesWorked_40)</f>
        <v>3.0075475096897532E-2</v>
      </c>
      <c r="FX26" s="44">
        <f>_xll.StatCorrelationCoeff( ST_StockOptionLevel_46,ST_OverTime_41)</f>
        <v>-4.4867072191976266E-4</v>
      </c>
      <c r="FY26" s="44">
        <v>1</v>
      </c>
      <c r="FZ26" s="44"/>
      <c r="GA26" s="44"/>
      <c r="GB26" s="44"/>
    </row>
    <row r="27" spans="1:184" ht="15" customHeight="1" x14ac:dyDescent="0.25">
      <c r="A27" s="58">
        <v>53</v>
      </c>
      <c r="B27" s="59">
        <v>0</v>
      </c>
      <c r="C27" s="59">
        <v>1</v>
      </c>
      <c r="D27" s="59">
        <f t="shared" si="0"/>
        <v>1</v>
      </c>
      <c r="E27" s="59">
        <f t="shared" si="1"/>
        <v>0</v>
      </c>
      <c r="F27" s="59">
        <v>1282</v>
      </c>
      <c r="G27" s="59">
        <v>2</v>
      </c>
      <c r="H27" s="59">
        <f t="shared" si="2"/>
        <v>0</v>
      </c>
      <c r="I27" s="59">
        <f t="shared" si="3"/>
        <v>1</v>
      </c>
      <c r="J27" s="59">
        <v>5</v>
      </c>
      <c r="K27" s="59">
        <v>3</v>
      </c>
      <c r="L27" s="59">
        <v>6</v>
      </c>
      <c r="M27" s="59">
        <f t="shared" si="4"/>
        <v>0</v>
      </c>
      <c r="N27" s="59">
        <f t="shared" si="5"/>
        <v>0</v>
      </c>
      <c r="O27" s="59">
        <f t="shared" si="6"/>
        <v>0</v>
      </c>
      <c r="P27" s="59">
        <f t="shared" si="7"/>
        <v>0</v>
      </c>
      <c r="Q27" s="59">
        <f t="shared" si="8"/>
        <v>0</v>
      </c>
      <c r="R27" s="59">
        <v>1</v>
      </c>
      <c r="S27" s="59">
        <v>32</v>
      </c>
      <c r="T27" s="59">
        <v>3</v>
      </c>
      <c r="U27" s="59">
        <v>0</v>
      </c>
      <c r="V27" s="59">
        <v>58</v>
      </c>
      <c r="W27" s="59">
        <v>3</v>
      </c>
      <c r="X27" s="59">
        <v>5</v>
      </c>
      <c r="Y27" s="59">
        <v>6</v>
      </c>
      <c r="Z27" s="59">
        <f t="shared" si="9"/>
        <v>0</v>
      </c>
      <c r="AA27" s="59">
        <f>IF('Updated Dummy'!Y27=2,1,0)</f>
        <v>0</v>
      </c>
      <c r="AB27" s="59">
        <f t="shared" si="10"/>
        <v>0</v>
      </c>
      <c r="AC27" s="59">
        <f t="shared" si="11"/>
        <v>0</v>
      </c>
      <c r="AD27" s="59">
        <f t="shared" si="12"/>
        <v>0</v>
      </c>
      <c r="AE27" s="59">
        <f t="shared" si="13"/>
        <v>1</v>
      </c>
      <c r="AF27" s="59">
        <f t="shared" si="14"/>
        <v>0</v>
      </c>
      <c r="AG27" s="59">
        <f t="shared" si="15"/>
        <v>0</v>
      </c>
      <c r="AH27" s="59">
        <v>3</v>
      </c>
      <c r="AI27" s="59">
        <v>3</v>
      </c>
      <c r="AJ27" s="59">
        <f t="shared" si="16"/>
        <v>0</v>
      </c>
      <c r="AK27" s="59">
        <f t="shared" si="17"/>
        <v>0</v>
      </c>
      <c r="AL27" s="59">
        <v>19094</v>
      </c>
      <c r="AM27" s="59">
        <v>10735</v>
      </c>
      <c r="AN27" s="59">
        <v>4</v>
      </c>
      <c r="AO27" s="59">
        <v>0</v>
      </c>
      <c r="AP27" s="59">
        <v>11</v>
      </c>
      <c r="AQ27" s="59">
        <v>3</v>
      </c>
      <c r="AR27" s="59">
        <v>4</v>
      </c>
      <c r="AS27" s="59">
        <v>80</v>
      </c>
      <c r="AT27" s="59">
        <v>1</v>
      </c>
      <c r="AU27" s="59">
        <v>26</v>
      </c>
      <c r="AV27" s="59">
        <v>3</v>
      </c>
      <c r="AW27" s="59">
        <v>2</v>
      </c>
      <c r="AX27" s="59">
        <v>14</v>
      </c>
      <c r="AY27" s="59">
        <v>13</v>
      </c>
      <c r="AZ27" s="59">
        <v>4</v>
      </c>
      <c r="BA27" s="59">
        <v>8</v>
      </c>
      <c r="BB27" s="57">
        <f t="shared" si="18"/>
        <v>95470</v>
      </c>
      <c r="BD27" s="63">
        <f>_xll.StatCorrelationCoeff( ST_JobRoleManager,ST_Age_1)</f>
        <v>0.29424775427812883</v>
      </c>
      <c r="BF27" s="36" t="s">
        <v>22</v>
      </c>
      <c r="BG27" s="33">
        <v>1.7355547798409774</v>
      </c>
      <c r="BH27" s="39">
        <v>0.17544572451012291</v>
      </c>
      <c r="BI27" s="39">
        <v>9.8922603254480492</v>
      </c>
      <c r="BJ27" s="40">
        <v>0</v>
      </c>
      <c r="BK27" s="39">
        <v>1.3916811598011365</v>
      </c>
      <c r="BL27" s="39">
        <v>2.0794283998808183</v>
      </c>
      <c r="BM27" s="39">
        <v>5.6720736832250429</v>
      </c>
      <c r="BO27" s="36" t="s">
        <v>32</v>
      </c>
      <c r="BP27" s="33">
        <v>-0.11893956661308092</v>
      </c>
      <c r="BQ27" s="39">
        <v>4.2359187164820934E-2</v>
      </c>
      <c r="BR27" s="39">
        <v>-2.807881231296609</v>
      </c>
      <c r="BS27" s="40">
        <v>4.9868614957937485E-3</v>
      </c>
      <c r="BT27" s="39">
        <v>-0.20196357345612995</v>
      </c>
      <c r="BU27" s="39">
        <v>-3.5915559770031885E-2</v>
      </c>
      <c r="BV27" s="39">
        <v>0.8878614556155392</v>
      </c>
      <c r="BX27" s="36" t="s">
        <v>31</v>
      </c>
      <c r="BY27" s="33">
        <v>7.788132199707376E-2</v>
      </c>
      <c r="BZ27" s="39">
        <v>2.9391047751545808E-2</v>
      </c>
      <c r="CA27" s="39">
        <v>2.6498314267472014</v>
      </c>
      <c r="CB27" s="40">
        <v>8.0531941539876417E-3</v>
      </c>
      <c r="CC27" s="39">
        <v>2.027486840404398E-2</v>
      </c>
      <c r="CD27" s="39">
        <v>0.13548777559010355</v>
      </c>
      <c r="CE27" s="39">
        <v>1.0809943608052517</v>
      </c>
      <c r="CG27" s="36" t="s">
        <v>34</v>
      </c>
      <c r="CH27" s="33">
        <v>-0.11706117415202515</v>
      </c>
      <c r="CI27" s="39">
        <v>4.3817735617985333E-2</v>
      </c>
      <c r="CJ27" s="39">
        <v>-2.6715477762839135</v>
      </c>
      <c r="CK27" s="40">
        <v>7.5502323594833776E-3</v>
      </c>
      <c r="CL27" s="39">
        <v>-0.2029439359632764</v>
      </c>
      <c r="CM27" s="39">
        <v>-3.1178412340773898E-2</v>
      </c>
      <c r="CN27" s="39">
        <v>0.88953077520806856</v>
      </c>
      <c r="CP27" s="36" t="s">
        <v>34</v>
      </c>
      <c r="CQ27" s="33">
        <v>-0.11677037739025378</v>
      </c>
      <c r="CR27" s="39">
        <v>4.3854789017756919E-2</v>
      </c>
      <c r="CS27" s="39">
        <v>-2.6626596548662711</v>
      </c>
      <c r="CT27" s="40">
        <v>7.7525782672407395E-3</v>
      </c>
      <c r="CU27" s="39">
        <v>-0.20272576386505736</v>
      </c>
      <c r="CV27" s="39">
        <v>-3.0814990915450216E-2</v>
      </c>
      <c r="CW27" s="39">
        <v>0.88978948549122816</v>
      </c>
      <c r="CY27" s="36" t="s">
        <v>367</v>
      </c>
      <c r="CZ27" s="33">
        <v>0.1936190543363617</v>
      </c>
      <c r="DA27" s="39">
        <v>0.24961466291831405</v>
      </c>
      <c r="DB27" s="39">
        <v>0.77567179777304662</v>
      </c>
      <c r="DC27" s="40">
        <v>0.43794279579655937</v>
      </c>
      <c r="DD27" s="39">
        <v>-0.29562568498353381</v>
      </c>
      <c r="DE27" s="39">
        <v>0.68286379365625727</v>
      </c>
      <c r="DF27" s="39">
        <v>1.2136338663253989</v>
      </c>
      <c r="DH27" s="36" t="s">
        <v>367</v>
      </c>
      <c r="DI27" s="69">
        <v>0.33325034541648291</v>
      </c>
      <c r="DJ27" s="70">
        <v>0.24333046150696003</v>
      </c>
      <c r="DK27" s="70">
        <v>1.3695381307898884</v>
      </c>
      <c r="DL27" s="66">
        <v>0.17083112407455259</v>
      </c>
      <c r="DM27" s="70">
        <v>-0.14367735913715873</v>
      </c>
      <c r="DN27" s="70">
        <v>0.81017804997012455</v>
      </c>
      <c r="DO27" s="70">
        <v>1.3954966109238556</v>
      </c>
      <c r="DQ27" s="36" t="s">
        <v>18</v>
      </c>
      <c r="DR27" s="33">
        <v>-3.2282011153427691E-4</v>
      </c>
      <c r="DS27" s="39">
        <v>1.1386224983229186E-4</v>
      </c>
      <c r="DT27" s="39">
        <v>-2.8351812124717357</v>
      </c>
      <c r="DU27" s="40">
        <v>4.5799698721498139E-3</v>
      </c>
      <c r="DV27" s="39">
        <v>-5.4599012120556891E-4</v>
      </c>
      <c r="DW27" s="39">
        <v>-9.9650101862984854E-5</v>
      </c>
      <c r="DX27" s="39">
        <v>0.99967723198927139</v>
      </c>
      <c r="DZ27" s="36" t="s">
        <v>367</v>
      </c>
      <c r="EA27" s="33">
        <v>0.31771695139504058</v>
      </c>
      <c r="EB27" s="39">
        <v>0.24279143206831177</v>
      </c>
      <c r="EC27" s="39">
        <v>1.3086003434653648</v>
      </c>
      <c r="ED27" s="40">
        <v>0.19066976452766538</v>
      </c>
      <c r="EE27" s="39">
        <v>-0.15815425545885048</v>
      </c>
      <c r="EF27" s="39">
        <v>0.7935881582489317</v>
      </c>
      <c r="EG27" s="39">
        <v>1.373987300994054</v>
      </c>
      <c r="EI27" s="36" t="s">
        <v>367</v>
      </c>
      <c r="EJ27" s="33">
        <v>0.31024755439535517</v>
      </c>
      <c r="EK27" s="39">
        <v>0.24198385474233058</v>
      </c>
      <c r="EL27" s="39">
        <v>1.2821002241067414</v>
      </c>
      <c r="EM27" s="40">
        <v>0.19980749037273426</v>
      </c>
      <c r="EN27" s="39">
        <v>-0.16404080089961276</v>
      </c>
      <c r="EO27" s="39">
        <v>0.78453590969032305</v>
      </c>
      <c r="EP27" s="39">
        <v>1.3637626777928789</v>
      </c>
      <c r="ER27" s="36" t="s">
        <v>18</v>
      </c>
      <c r="ES27" s="33">
        <v>-3.4706463021674284E-4</v>
      </c>
      <c r="ET27" s="39">
        <v>1.1346702820082087E-4</v>
      </c>
      <c r="EU27" s="39">
        <v>-3.0587267131248619</v>
      </c>
      <c r="EV27" s="40">
        <v>2.2227981984173084E-3</v>
      </c>
      <c r="EW27" s="39">
        <v>-5.6946000549035181E-4</v>
      </c>
      <c r="EX27" s="39">
        <v>-1.2466925494313393E-4</v>
      </c>
      <c r="EY27" s="39">
        <v>0.99965299558974507</v>
      </c>
      <c r="FA27" s="36" t="s">
        <v>31</v>
      </c>
      <c r="FB27" s="44">
        <f>_xll.StatCorrelationCoeff( ST_YearsAtCompany_50,ST_Attrition_2)</f>
        <v>-0.13439221398997619</v>
      </c>
      <c r="FC27" s="44"/>
      <c r="FD27" s="44">
        <f>_xll.StatCorrelationCoeff( ST_YearsAtCompany_50,ST_BusinessTravelTravelRarely)</f>
        <v>-1.62739279363809E-2</v>
      </c>
      <c r="FE27" s="44">
        <f>_xll.StatCorrelationCoeff( ST_YearsAtCompany_50,ST_BusinessTravelTravelFrequently)</f>
        <v>1.299146046502936E-2</v>
      </c>
      <c r="FF27" s="44">
        <f>_xll.StatCorrelationCoeff( ST_YearsAtCompany_50,ST_DistanceFromHome_10)</f>
        <v>9.507719899011273E-3</v>
      </c>
      <c r="FG27" s="44">
        <f>_xll.StatCorrelationCoeff( ST_YearsAtCompany_50,ST_EnvironmentSatisfaction_20)</f>
        <v>1.4575491911166178E-3</v>
      </c>
      <c r="FH27" s="44">
        <f>_xll.StatCorrelationCoeff( ST_YearsAtCompany_50,ST_Gender_21)</f>
        <v>-2.9747085935033959E-2</v>
      </c>
      <c r="FI27" s="44">
        <f>_xll.StatCorrelationCoeff( ST_YearsAtCompany_50,ST_JobInvolvement_23)</f>
        <v>-2.1355426979629832E-2</v>
      </c>
      <c r="FJ27" s="44">
        <f>_xll.StatCorrelationCoeff( ST_YearsAtCompany_50,ST_JobLevel_24)</f>
        <v>0.53473868737563535</v>
      </c>
      <c r="FK27" s="44">
        <f>_xll.StatCorrelationCoeff( ST_YearsAtCompany_50,ST_JobRoleSalesExec)</f>
        <v>4.2602316229502966E-2</v>
      </c>
      <c r="FL27" s="44">
        <f>_xll.StatCorrelationCoeff( ST_YearsAtCompany_50,ST_JobRoleResearchScientist)</f>
        <v>-0.15406210222503477</v>
      </c>
      <c r="FM27" s="44">
        <f>_xll.StatCorrelationCoeff( ST_YearsAtCompany_50,ST_JobRoleLabTechnician)</f>
        <v>-0.15018106832844591</v>
      </c>
      <c r="FN27" s="44">
        <f>_xll.StatCorrelationCoeff( ST_YearsAtCompany_50,ST_JobRoleManufacturingDirector)</f>
        <v>3.1967710124539042E-2</v>
      </c>
      <c r="FO27" s="44">
        <f>_xll.StatCorrelationCoeff( ST_YearsAtCompany_50,ST_JobRoleHealthcareRep)</f>
        <v>6.9757717240751679E-2</v>
      </c>
      <c r="FP27" s="44">
        <f>_xll.StatCorrelationCoeff( ST_YearsAtCompany_50,ST_JobRoleManager)</f>
        <v>0.33096516896105799</v>
      </c>
      <c r="FQ27" s="44">
        <f>_xll.StatCorrelationCoeff( ST_YearsAtCompany_50,ST_JobRoleSalesRep)</f>
        <v>-0.16346437473717482</v>
      </c>
      <c r="FR27" s="44">
        <f>_xll.StatCorrelationCoeff( ST_YearsAtCompany_50,ST_JobResearchDirector)</f>
        <v>0.15391834691890333</v>
      </c>
      <c r="FS27" s="44">
        <f>_xll.StatCorrelationCoeff( ST_YearsAtCompany_50,ST_JobSatisfaction_34)</f>
        <v>-3.8026279482880621E-3</v>
      </c>
      <c r="FT27" s="44">
        <f>_xll.StatCorrelationCoeff( ST_YearsAtCompany_50,ST_MaritalStatusSingle)</f>
        <v>-7.093537705465304E-2</v>
      </c>
      <c r="FU27" s="44">
        <f>_xll.StatCorrelationCoeff( ST_YearsAtCompany_50,ST_MaritalStatusMarried)</f>
        <v>4.4924691333670115E-2</v>
      </c>
      <c r="FV27" s="44">
        <f>_xll.StatCorrelationCoeff( ST_YearsAtCompany_50,ST_MonthlyIncome_38)</f>
        <v>0.51428482573319645</v>
      </c>
      <c r="FW27" s="44">
        <f>_xll.StatCorrelationCoeff( ST_YearsAtCompany_50,ST_NumCompaniesWorked_40)</f>
        <v>-0.11842134024259048</v>
      </c>
      <c r="FX27" s="44">
        <f>_xll.StatCorrelationCoeff( ST_YearsAtCompany_50,ST_OverTime_41)</f>
        <v>-1.1687120468355161E-2</v>
      </c>
      <c r="FY27" s="44">
        <f>_xll.StatCorrelationCoeff( ST_YearsAtCompany_50,ST_StockOptionLevel_46)</f>
        <v>1.5058008028094431E-2</v>
      </c>
      <c r="FZ27" s="44">
        <v>1</v>
      </c>
      <c r="GA27" s="44"/>
      <c r="GB27" s="44"/>
    </row>
    <row r="28" spans="1:184" ht="15" customHeight="1" x14ac:dyDescent="0.25">
      <c r="A28" s="58">
        <v>32</v>
      </c>
      <c r="B28" s="59">
        <v>1</v>
      </c>
      <c r="C28" s="59">
        <v>2</v>
      </c>
      <c r="D28" s="59">
        <f t="shared" si="0"/>
        <v>0</v>
      </c>
      <c r="E28" s="59">
        <f t="shared" si="1"/>
        <v>1</v>
      </c>
      <c r="F28" s="59">
        <v>1125</v>
      </c>
      <c r="G28" s="59">
        <v>2</v>
      </c>
      <c r="H28" s="59">
        <f t="shared" si="2"/>
        <v>0</v>
      </c>
      <c r="I28" s="59">
        <f t="shared" si="3"/>
        <v>1</v>
      </c>
      <c r="J28" s="59">
        <v>16</v>
      </c>
      <c r="K28" s="59">
        <v>1</v>
      </c>
      <c r="L28" s="59">
        <v>1</v>
      </c>
      <c r="M28" s="59">
        <f t="shared" si="4"/>
        <v>1</v>
      </c>
      <c r="N28" s="59">
        <f t="shared" si="5"/>
        <v>0</v>
      </c>
      <c r="O28" s="59">
        <f t="shared" si="6"/>
        <v>0</v>
      </c>
      <c r="P28" s="59">
        <f t="shared" si="7"/>
        <v>0</v>
      </c>
      <c r="Q28" s="59">
        <f t="shared" si="8"/>
        <v>0</v>
      </c>
      <c r="R28" s="59">
        <v>1</v>
      </c>
      <c r="S28" s="59">
        <v>33</v>
      </c>
      <c r="T28" s="59">
        <v>2</v>
      </c>
      <c r="U28" s="59">
        <v>0</v>
      </c>
      <c r="V28" s="59">
        <v>72</v>
      </c>
      <c r="W28" s="59">
        <v>1</v>
      </c>
      <c r="X28" s="59">
        <v>1</v>
      </c>
      <c r="Y28" s="59">
        <v>2</v>
      </c>
      <c r="Z28" s="59">
        <f t="shared" si="9"/>
        <v>0</v>
      </c>
      <c r="AA28" s="59">
        <f>IF('Updated Dummy'!Y28=2,1,0)</f>
        <v>1</v>
      </c>
      <c r="AB28" s="59">
        <f t="shared" si="10"/>
        <v>0</v>
      </c>
      <c r="AC28" s="59">
        <f t="shared" si="11"/>
        <v>0</v>
      </c>
      <c r="AD28" s="59">
        <f t="shared" si="12"/>
        <v>0</v>
      </c>
      <c r="AE28" s="59">
        <f t="shared" si="13"/>
        <v>0</v>
      </c>
      <c r="AF28" s="59">
        <f t="shared" si="14"/>
        <v>0</v>
      </c>
      <c r="AG28" s="59">
        <f t="shared" si="15"/>
        <v>0</v>
      </c>
      <c r="AH28" s="59">
        <v>1</v>
      </c>
      <c r="AI28" s="59">
        <v>1</v>
      </c>
      <c r="AJ28" s="59">
        <f t="shared" si="16"/>
        <v>1</v>
      </c>
      <c r="AK28" s="59">
        <f t="shared" si="17"/>
        <v>0</v>
      </c>
      <c r="AL28" s="59">
        <v>3919</v>
      </c>
      <c r="AM28" s="59">
        <v>4681</v>
      </c>
      <c r="AN28" s="59">
        <v>1</v>
      </c>
      <c r="AO28" s="59">
        <v>1</v>
      </c>
      <c r="AP28" s="59">
        <v>22</v>
      </c>
      <c r="AQ28" s="59">
        <v>4</v>
      </c>
      <c r="AR28" s="59">
        <v>2</v>
      </c>
      <c r="AS28" s="59">
        <v>80</v>
      </c>
      <c r="AT28" s="59">
        <v>0</v>
      </c>
      <c r="AU28" s="59">
        <v>10</v>
      </c>
      <c r="AV28" s="59">
        <v>5</v>
      </c>
      <c r="AW28" s="59">
        <v>3</v>
      </c>
      <c r="AX28" s="59">
        <v>10</v>
      </c>
      <c r="AY28" s="59">
        <v>2</v>
      </c>
      <c r="AZ28" s="59">
        <v>6</v>
      </c>
      <c r="BA28" s="59">
        <v>7</v>
      </c>
      <c r="BB28" s="57">
        <f t="shared" si="18"/>
        <v>3919</v>
      </c>
      <c r="BD28" s="63">
        <f>_xll.StatCorrelationCoeff( ST_JobRoleSalesRep,ST_Age_1)</f>
        <v>-0.17578530885734334</v>
      </c>
      <c r="BF28" s="36" t="s">
        <v>27</v>
      </c>
      <c r="BG28" s="33">
        <v>-0.5159318811054534</v>
      </c>
      <c r="BH28" s="39">
        <v>0.10832738416326217</v>
      </c>
      <c r="BI28" s="39">
        <v>-4.7627096794646411</v>
      </c>
      <c r="BJ28" s="40">
        <v>1.9101055419579183E-6</v>
      </c>
      <c r="BK28" s="39">
        <v>-0.72825355406544723</v>
      </c>
      <c r="BL28" s="39">
        <v>-0.30361020814545958</v>
      </c>
      <c r="BM28" s="39">
        <v>0.59694405445852028</v>
      </c>
      <c r="BO28" s="36" t="s">
        <v>34</v>
      </c>
      <c r="BP28" s="33">
        <v>-0.10805479311425534</v>
      </c>
      <c r="BQ28" s="39">
        <v>4.3412613075028569E-2</v>
      </c>
      <c r="BR28" s="39">
        <v>-2.4890184087170208</v>
      </c>
      <c r="BS28" s="40">
        <v>1.2809633290039368E-2</v>
      </c>
      <c r="BT28" s="39">
        <v>-0.19314351474131133</v>
      </c>
      <c r="BU28" s="39">
        <v>-2.2966071487199341E-2</v>
      </c>
      <c r="BV28" s="39">
        <v>0.89757841396642746</v>
      </c>
      <c r="BX28" s="36" t="s">
        <v>32</v>
      </c>
      <c r="BY28" s="33">
        <v>-0.11402302024401184</v>
      </c>
      <c r="BZ28" s="39">
        <v>4.2645992965351431E-2</v>
      </c>
      <c r="CA28" s="39">
        <v>-2.6737100561042646</v>
      </c>
      <c r="CB28" s="40">
        <v>7.5017279069438114E-3</v>
      </c>
      <c r="CC28" s="39">
        <v>-0.19760916645610066</v>
      </c>
      <c r="CD28" s="39">
        <v>-3.0436874031923036E-2</v>
      </c>
      <c r="CE28" s="39">
        <v>0.89223741612295848</v>
      </c>
      <c r="CY28" s="36" t="s">
        <v>18</v>
      </c>
      <c r="CZ28" s="33">
        <v>4.5679603481992312E-5</v>
      </c>
      <c r="DA28" s="39">
        <v>8.0053544053121701E-5</v>
      </c>
      <c r="DB28" s="39">
        <v>0.57061313177690631</v>
      </c>
      <c r="DC28" s="40">
        <v>0.56826191499244105</v>
      </c>
      <c r="DD28" s="39">
        <v>-1.112253428621262E-4</v>
      </c>
      <c r="DE28" s="39">
        <v>2.0258454982611084E-4</v>
      </c>
      <c r="DF28" s="39">
        <v>1.000045680646811</v>
      </c>
      <c r="DH28" s="36" t="s">
        <v>18</v>
      </c>
      <c r="DI28" s="69">
        <v>-2.9699067921071015E-4</v>
      </c>
      <c r="DJ28" s="70">
        <v>1.1476497057403741E-4</v>
      </c>
      <c r="DK28" s="70">
        <v>-2.5878164541428164</v>
      </c>
      <c r="DL28" s="66">
        <v>9.6586431362515324E-3</v>
      </c>
      <c r="DM28" s="70">
        <v>-5.2193002153582346E-4</v>
      </c>
      <c r="DN28" s="70">
        <v>-7.2051336885596817E-5</v>
      </c>
      <c r="DO28" s="70">
        <v>0.99970305341815546</v>
      </c>
      <c r="DQ28" s="36" t="s">
        <v>22</v>
      </c>
      <c r="DR28" s="33">
        <v>1.6907357408147805</v>
      </c>
      <c r="DS28" s="39">
        <v>0.1731410216683191</v>
      </c>
      <c r="DT28" s="39">
        <v>9.7650789196200467</v>
      </c>
      <c r="DU28" s="40">
        <v>0</v>
      </c>
      <c r="DV28" s="39">
        <v>1.3513793383448751</v>
      </c>
      <c r="DW28" s="39">
        <v>2.0300921432846861</v>
      </c>
      <c r="DX28" s="39">
        <v>5.423469505462557</v>
      </c>
      <c r="DZ28" s="36" t="s">
        <v>18</v>
      </c>
      <c r="EA28" s="33">
        <v>-3.1347203036096187E-4</v>
      </c>
      <c r="EB28" s="39">
        <v>1.1490625828379665E-4</v>
      </c>
      <c r="EC28" s="39">
        <v>-2.7280675138402422</v>
      </c>
      <c r="ED28" s="40">
        <v>6.3706567755099641E-3</v>
      </c>
      <c r="EE28" s="39">
        <v>-5.3868829659720334E-4</v>
      </c>
      <c r="EF28" s="39">
        <v>-8.8255764124720422E-5</v>
      </c>
      <c r="EG28" s="39">
        <v>0.99968657709686248</v>
      </c>
      <c r="EI28" s="36" t="s">
        <v>18</v>
      </c>
      <c r="EJ28" s="33">
        <v>-3.5375781415116067E-4</v>
      </c>
      <c r="EK28" s="39">
        <v>1.1403657628740174E-4</v>
      </c>
      <c r="EL28" s="39">
        <v>-3.1021434145795403</v>
      </c>
      <c r="EM28" s="40">
        <v>1.9212485654067635E-3</v>
      </c>
      <c r="EN28" s="39">
        <v>-5.7726950367446806E-4</v>
      </c>
      <c r="EO28" s="39">
        <v>-1.3024612462785327E-4</v>
      </c>
      <c r="EP28" s="39">
        <v>0.99964630475076655</v>
      </c>
      <c r="ER28" s="36" t="s">
        <v>22</v>
      </c>
      <c r="ES28" s="33">
        <v>1.6969703221010075</v>
      </c>
      <c r="ET28" s="39">
        <v>0.17243115255744054</v>
      </c>
      <c r="EU28" s="39">
        <v>9.8414369847450285</v>
      </c>
      <c r="EV28" s="40">
        <v>0</v>
      </c>
      <c r="EW28" s="39">
        <v>1.3590052630884242</v>
      </c>
      <c r="EX28" s="39">
        <v>2.0349353811135908</v>
      </c>
      <c r="EY28" s="39">
        <v>5.4573881914820745</v>
      </c>
      <c r="FA28" s="36" t="s">
        <v>32</v>
      </c>
      <c r="FB28" s="44">
        <f>_xll.StatCorrelationCoeff( ST_YearsInCurrentRole_51,ST_Attrition_2)</f>
        <v>-0.16054500426769938</v>
      </c>
      <c r="FC28" s="44"/>
      <c r="FD28" s="44">
        <f>_xll.StatCorrelationCoeff( ST_YearsInCurrentRole_51,ST_BusinessTravelTravelRarely)</f>
        <v>-9.1471606461613064E-3</v>
      </c>
      <c r="FE28" s="44">
        <f>_xll.StatCorrelationCoeff( ST_YearsInCurrentRole_51,ST_BusinessTravelTravelFrequently)</f>
        <v>1.6797056070952294E-3</v>
      </c>
      <c r="FF28" s="44">
        <f>_xll.StatCorrelationCoeff( ST_YearsInCurrentRole_51,ST_DistanceFromHome_10)</f>
        <v>1.884499910894567E-2</v>
      </c>
      <c r="FG28" s="44">
        <f>_xll.StatCorrelationCoeff( ST_YearsInCurrentRole_51,ST_EnvironmentSatisfaction_20)</f>
        <v>1.8007460142878566E-2</v>
      </c>
      <c r="FH28" s="44">
        <f>_xll.StatCorrelationCoeff( ST_YearsInCurrentRole_51,ST_Gender_21)</f>
        <v>-4.1482728525767273E-2</v>
      </c>
      <c r="FI28" s="44">
        <f>_xll.StatCorrelationCoeff( ST_YearsInCurrentRole_51,ST_JobInvolvement_23)</f>
        <v>8.71696349761171E-3</v>
      </c>
      <c r="FJ28" s="44">
        <f>_xll.StatCorrelationCoeff( ST_YearsInCurrentRole_51,ST_JobLevel_24)</f>
        <v>0.38944673287667153</v>
      </c>
      <c r="FK28" s="44">
        <f>_xll.StatCorrelationCoeff( ST_YearsInCurrentRole_51,ST_JobRoleSalesExec)</f>
        <v>9.2349152338361509E-2</v>
      </c>
      <c r="FL28" s="44">
        <f>_xll.StatCorrelationCoeff( ST_YearsInCurrentRole_51,ST_JobRoleResearchScientist)</f>
        <v>-0.13131431270616276</v>
      </c>
      <c r="FM28" s="44">
        <f>_xll.StatCorrelationCoeff( ST_YearsInCurrentRole_51,ST_JobRoleLabTechnician)</f>
        <v>-0.13132168883477707</v>
      </c>
      <c r="FN28" s="44">
        <f>_xll.StatCorrelationCoeff( ST_YearsInCurrentRole_51,ST_JobRoleManufacturingDirector)</f>
        <v>6.7876996988002508E-2</v>
      </c>
      <c r="FO28" s="44">
        <f>_xll.StatCorrelationCoeff( ST_YearsInCurrentRole_51,ST_JobRoleHealthcareRep)</f>
        <v>5.4695026433329706E-2</v>
      </c>
      <c r="FP28" s="44">
        <f>_xll.StatCorrelationCoeff( ST_YearsInCurrentRole_51,ST_JobRoleManager)</f>
        <v>0.16749855700219848</v>
      </c>
      <c r="FQ28" s="44">
        <f>_xll.StatCorrelationCoeff( ST_YearsInCurrentRole_51,ST_JobRoleSalesRep)</f>
        <v>-0.14975087955776517</v>
      </c>
      <c r="FR28" s="44">
        <f>_xll.StatCorrelationCoeff( ST_YearsInCurrentRole_51,ST_JobResearchDirector)</f>
        <v>0.1363321763957262</v>
      </c>
      <c r="FS28" s="44">
        <f>_xll.StatCorrelationCoeff( ST_YearsInCurrentRole_51,ST_JobSatisfaction_34)</f>
        <v>-2.3047852298301056E-3</v>
      </c>
      <c r="FT28" s="44">
        <f>_xll.StatCorrelationCoeff( ST_YearsInCurrentRole_51,ST_MaritalStatusSingle)</f>
        <v>-8.6485602127329822E-2</v>
      </c>
      <c r="FU28" s="44">
        <f>_xll.StatCorrelationCoeff( ST_YearsInCurrentRole_51,ST_MaritalStatusMarried)</f>
        <v>6.5487762246479272E-2</v>
      </c>
      <c r="FV28" s="44">
        <f>_xll.StatCorrelationCoeff( ST_YearsInCurrentRole_51,ST_MonthlyIncome_38)</f>
        <v>0.36381766692870654</v>
      </c>
      <c r="FW28" s="44">
        <f>_xll.StatCorrelationCoeff( ST_YearsInCurrentRole_51,ST_NumCompaniesWorked_40)</f>
        <v>-9.0753933700808184E-2</v>
      </c>
      <c r="FX28" s="44">
        <f>_xll.StatCorrelationCoeff( ST_YearsInCurrentRole_51,ST_OverTime_41)</f>
        <v>-2.9758008947989519E-2</v>
      </c>
      <c r="FY28" s="44">
        <f>_xll.StatCorrelationCoeff( ST_YearsInCurrentRole_51,ST_StockOptionLevel_46)</f>
        <v>5.0817872753931077E-2</v>
      </c>
      <c r="FZ28" s="44">
        <f>_xll.StatCorrelationCoeff( ST_YearsInCurrentRole_51,ST_YearsAtCompany_50)</f>
        <v>0.75875373661346168</v>
      </c>
      <c r="GA28" s="44">
        <v>1</v>
      </c>
      <c r="GB28" s="44"/>
    </row>
    <row r="29" spans="1:184" ht="15" customHeight="1" x14ac:dyDescent="0.25">
      <c r="A29" s="58">
        <v>42</v>
      </c>
      <c r="B29" s="59">
        <v>0</v>
      </c>
      <c r="C29" s="59">
        <v>1</v>
      </c>
      <c r="D29" s="59">
        <f t="shared" si="0"/>
        <v>1</v>
      </c>
      <c r="E29" s="59">
        <f t="shared" si="1"/>
        <v>0</v>
      </c>
      <c r="F29" s="59">
        <v>691</v>
      </c>
      <c r="G29" s="59">
        <v>1</v>
      </c>
      <c r="H29" s="59">
        <f t="shared" si="2"/>
        <v>1</v>
      </c>
      <c r="I29" s="59">
        <f t="shared" si="3"/>
        <v>0</v>
      </c>
      <c r="J29" s="59">
        <v>8</v>
      </c>
      <c r="K29" s="59">
        <v>4</v>
      </c>
      <c r="L29" s="59">
        <v>4</v>
      </c>
      <c r="M29" s="59">
        <f t="shared" si="4"/>
        <v>0</v>
      </c>
      <c r="N29" s="59">
        <f t="shared" si="5"/>
        <v>0</v>
      </c>
      <c r="O29" s="59">
        <f t="shared" si="6"/>
        <v>0</v>
      </c>
      <c r="P29" s="59">
        <f t="shared" si="7"/>
        <v>1</v>
      </c>
      <c r="Q29" s="59">
        <f t="shared" si="8"/>
        <v>0</v>
      </c>
      <c r="R29" s="59">
        <v>1</v>
      </c>
      <c r="S29" s="59">
        <v>35</v>
      </c>
      <c r="T29" s="59">
        <v>3</v>
      </c>
      <c r="U29" s="59">
        <v>1</v>
      </c>
      <c r="V29" s="59">
        <v>48</v>
      </c>
      <c r="W29" s="59">
        <v>3</v>
      </c>
      <c r="X29" s="59">
        <v>2</v>
      </c>
      <c r="Y29" s="59">
        <v>1</v>
      </c>
      <c r="Z29" s="59">
        <f t="shared" si="9"/>
        <v>1</v>
      </c>
      <c r="AA29" s="59">
        <f>IF('Updated Dummy'!Y29=2,1,0)</f>
        <v>0</v>
      </c>
      <c r="AB29" s="59">
        <f t="shared" si="10"/>
        <v>0</v>
      </c>
      <c r="AC29" s="59">
        <f t="shared" si="11"/>
        <v>0</v>
      </c>
      <c r="AD29" s="59">
        <f t="shared" si="12"/>
        <v>0</v>
      </c>
      <c r="AE29" s="59">
        <f t="shared" si="13"/>
        <v>0</v>
      </c>
      <c r="AF29" s="59">
        <f t="shared" si="14"/>
        <v>0</v>
      </c>
      <c r="AG29" s="59">
        <f t="shared" si="15"/>
        <v>0</v>
      </c>
      <c r="AH29" s="59">
        <v>2</v>
      </c>
      <c r="AI29" s="59">
        <v>2</v>
      </c>
      <c r="AJ29" s="59">
        <f t="shared" si="16"/>
        <v>0</v>
      </c>
      <c r="AK29" s="59">
        <f t="shared" si="17"/>
        <v>1</v>
      </c>
      <c r="AL29" s="59">
        <v>6825</v>
      </c>
      <c r="AM29" s="59">
        <v>21173</v>
      </c>
      <c r="AN29" s="59">
        <v>0</v>
      </c>
      <c r="AO29" s="59">
        <v>0</v>
      </c>
      <c r="AP29" s="59">
        <v>11</v>
      </c>
      <c r="AQ29" s="59">
        <v>3</v>
      </c>
      <c r="AR29" s="59">
        <v>4</v>
      </c>
      <c r="AS29" s="59">
        <v>80</v>
      </c>
      <c r="AT29" s="59">
        <v>1</v>
      </c>
      <c r="AU29" s="59">
        <v>10</v>
      </c>
      <c r="AV29" s="59">
        <v>2</v>
      </c>
      <c r="AW29" s="59">
        <v>3</v>
      </c>
      <c r="AX29" s="59">
        <v>9</v>
      </c>
      <c r="AY29" s="59">
        <v>7</v>
      </c>
      <c r="AZ29" s="59">
        <v>4</v>
      </c>
      <c r="BA29" s="59">
        <v>2</v>
      </c>
      <c r="BB29" s="57">
        <f t="shared" si="18"/>
        <v>13650</v>
      </c>
      <c r="BD29" s="63">
        <f>_xll.StatCorrelationCoeff( ST_JobResearchDirector,ST_Age_1)</f>
        <v>0.18589108823909367</v>
      </c>
      <c r="BF29" s="36" t="s">
        <v>28</v>
      </c>
      <c r="BG29" s="33">
        <v>-2.2769439231967586E-2</v>
      </c>
      <c r="BH29" s="39">
        <v>2.566198136162735E-2</v>
      </c>
      <c r="BI29" s="39">
        <v>-0.88728297753403351</v>
      </c>
      <c r="BJ29" s="64">
        <v>0.37492656790493717</v>
      </c>
      <c r="BK29" s="39">
        <v>-7.3066922700757195E-2</v>
      </c>
      <c r="BL29" s="39">
        <v>2.7528044236822022E-2</v>
      </c>
      <c r="BM29" s="39">
        <v>0.9774878281388919</v>
      </c>
      <c r="BX29" s="36" t="s">
        <v>34</v>
      </c>
      <c r="BY29" s="33">
        <v>-0.115977778009915</v>
      </c>
      <c r="BZ29" s="39">
        <v>4.3838974063266645E-2</v>
      </c>
      <c r="CA29" s="39">
        <v>-2.6455404235176796</v>
      </c>
      <c r="CB29" s="40">
        <v>8.1560541412926124E-3</v>
      </c>
      <c r="CC29" s="39">
        <v>-0.20190216717391762</v>
      </c>
      <c r="CD29" s="39">
        <v>-3.0053388845912382E-2</v>
      </c>
      <c r="CE29" s="39">
        <v>0.89049501164892308</v>
      </c>
      <c r="CG29" s="37"/>
      <c r="CH29" s="41">
        <v>1</v>
      </c>
      <c r="CI29" s="41">
        <v>0</v>
      </c>
      <c r="CJ29" s="34" t="s">
        <v>340</v>
      </c>
      <c r="CP29" s="37"/>
      <c r="CQ29" s="41">
        <v>1</v>
      </c>
      <c r="CR29" s="41">
        <v>0</v>
      </c>
      <c r="CS29" s="34" t="s">
        <v>340</v>
      </c>
      <c r="CY29" s="36" t="s">
        <v>22</v>
      </c>
      <c r="CZ29" s="33">
        <v>1.6944308913174417</v>
      </c>
      <c r="DA29" s="39">
        <v>0.17300154218129768</v>
      </c>
      <c r="DB29" s="39">
        <v>9.7943109058632309</v>
      </c>
      <c r="DC29" s="40">
        <v>0</v>
      </c>
      <c r="DD29" s="39">
        <v>1.3553478686420983</v>
      </c>
      <c r="DE29" s="39">
        <v>2.0335139139927851</v>
      </c>
      <c r="DF29" s="39">
        <v>5.4435471135784992</v>
      </c>
      <c r="DH29" s="36" t="s">
        <v>22</v>
      </c>
      <c r="DI29" s="69">
        <v>1.7096517268495497</v>
      </c>
      <c r="DJ29" s="70">
        <v>0.17428075399584747</v>
      </c>
      <c r="DK29" s="70">
        <v>9.8097563135989478</v>
      </c>
      <c r="DL29" s="66">
        <v>0</v>
      </c>
      <c r="DM29" s="70">
        <v>1.3680614490176888</v>
      </c>
      <c r="DN29" s="70">
        <v>2.0512420046814106</v>
      </c>
      <c r="DO29" s="70">
        <v>5.5270362240679942</v>
      </c>
      <c r="DQ29" s="36" t="s">
        <v>34</v>
      </c>
      <c r="DR29" s="33">
        <v>-8.450547595237265E-2</v>
      </c>
      <c r="DS29" s="39">
        <v>2.876684748124448E-2</v>
      </c>
      <c r="DT29" s="39">
        <v>-2.9375994713174203</v>
      </c>
      <c r="DU29" s="40">
        <v>3.3076404358745037E-3</v>
      </c>
      <c r="DV29" s="39">
        <v>-0.14088849701561182</v>
      </c>
      <c r="DW29" s="39">
        <v>-2.8122454889133473E-2</v>
      </c>
      <c r="DX29" s="39">
        <v>0.91896662314559319</v>
      </c>
      <c r="DZ29" s="36" t="s">
        <v>22</v>
      </c>
      <c r="EA29" s="33">
        <v>1.7076239815033729</v>
      </c>
      <c r="EB29" s="39">
        <v>0.17404031059997857</v>
      </c>
      <c r="EC29" s="39">
        <v>9.8116578602772453</v>
      </c>
      <c r="ED29" s="40">
        <v>0</v>
      </c>
      <c r="EE29" s="39">
        <v>1.366504972727415</v>
      </c>
      <c r="EF29" s="39">
        <v>2.0487429902793308</v>
      </c>
      <c r="EG29" s="39">
        <v>5.5158401573089098</v>
      </c>
      <c r="EI29" s="36" t="s">
        <v>22</v>
      </c>
      <c r="EJ29" s="33">
        <v>1.7161756844856202</v>
      </c>
      <c r="EK29" s="39">
        <v>0.17334349799749432</v>
      </c>
      <c r="EL29" s="39">
        <v>9.9004329802461211</v>
      </c>
      <c r="EM29" s="40">
        <v>0</v>
      </c>
      <c r="EN29" s="39">
        <v>1.3764224284105313</v>
      </c>
      <c r="EO29" s="39">
        <v>2.0559289405607091</v>
      </c>
      <c r="EP29" s="39">
        <v>5.5632122513713069</v>
      </c>
      <c r="ER29" s="36" t="s">
        <v>556</v>
      </c>
      <c r="ES29" s="33">
        <v>1.4680598534555497E-4</v>
      </c>
      <c r="ET29" s="39">
        <v>3.2411985111494865E-5</v>
      </c>
      <c r="EU29" s="39">
        <v>4.5293734660358842</v>
      </c>
      <c r="EV29" s="40">
        <v>5.9158850229668047E-6</v>
      </c>
      <c r="EW29" s="39">
        <v>8.3278494527025041E-5</v>
      </c>
      <c r="EX29" s="39">
        <v>2.1033347616408491E-4</v>
      </c>
      <c r="EY29" s="39">
        <v>1.0001468167618717</v>
      </c>
      <c r="FA29" s="36" t="s">
        <v>34</v>
      </c>
      <c r="FB29" s="44">
        <f>_xll.StatCorrelationCoeff( ST_YearsWithCurrManager_53,ST_Attrition_2)</f>
        <v>-0.15619931590162839</v>
      </c>
      <c r="FC29" s="44"/>
      <c r="FD29" s="44">
        <f>_xll.StatCorrelationCoeff( ST_YearsWithCurrManager_53,ST_BusinessTravelTravelRarely)</f>
        <v>-2.2023119780281063E-2</v>
      </c>
      <c r="FE29" s="44">
        <f>_xll.StatCorrelationCoeff( ST_YearsWithCurrManager_53,ST_BusinessTravelTravelFrequently)</f>
        <v>1.2627923126774961E-2</v>
      </c>
      <c r="FF29" s="44">
        <f>_xll.StatCorrelationCoeff( ST_YearsWithCurrManager_53,ST_DistanceFromHome_10)</f>
        <v>1.4406048430629941E-2</v>
      </c>
      <c r="FG29" s="44">
        <f>_xll.StatCorrelationCoeff( ST_YearsWithCurrManager_53,ST_EnvironmentSatisfaction_20)</f>
        <v>-4.9987226281075084E-3</v>
      </c>
      <c r="FH29" s="44">
        <f>_xll.StatCorrelationCoeff( ST_YearsWithCurrManager_53,ST_Gender_21)</f>
        <v>-3.0598909280602143E-2</v>
      </c>
      <c r="FI29" s="44">
        <f>_xll.StatCorrelationCoeff( ST_YearsWithCurrManager_53,ST_JobInvolvement_23)</f>
        <v>2.5975807949088905E-2</v>
      </c>
      <c r="FJ29" s="44">
        <f>_xll.StatCorrelationCoeff( ST_YearsWithCurrManager_53,ST_JobLevel_24)</f>
        <v>0.37528060776572636</v>
      </c>
      <c r="FK29" s="44">
        <f>_xll.StatCorrelationCoeff( ST_YearsWithCurrManager_53,ST_JobRoleSalesExec)</f>
        <v>8.3028414186729918E-2</v>
      </c>
      <c r="FL29" s="44">
        <f>_xll.StatCorrelationCoeff( ST_YearsWithCurrManager_53,ST_JobRoleResearchScientist)</f>
        <v>-0.12760811597969007</v>
      </c>
      <c r="FM29" s="44">
        <f>_xll.StatCorrelationCoeff( ST_YearsWithCurrManager_53,ST_JobRoleLabTechnician)</f>
        <v>-0.10707198382501858</v>
      </c>
      <c r="FN29" s="44">
        <f>_xll.StatCorrelationCoeff( ST_YearsWithCurrManager_53,ST_JobRoleManufacturingDirector)</f>
        <v>7.6206992797720613E-2</v>
      </c>
      <c r="FO29" s="44">
        <f>_xll.StatCorrelationCoeff( ST_YearsWithCurrManager_53,ST_JobRoleHealthcareRep)</f>
        <v>3.9407143641178262E-2</v>
      </c>
      <c r="FP29" s="44">
        <f>_xll.StatCorrelationCoeff( ST_YearsWithCurrManager_53,ST_JobRoleManager)</f>
        <v>0.16469508215870729</v>
      </c>
      <c r="FQ29" s="44">
        <f>_xll.StatCorrelationCoeff( ST_YearsWithCurrManager_53,ST_JobRoleSalesRep)</f>
        <v>-0.16874339091823704</v>
      </c>
      <c r="FR29" s="44">
        <f>_xll.StatCorrelationCoeff( ST_YearsWithCurrManager_53,ST_JobResearchDirector)</f>
        <v>0.13127892281218523</v>
      </c>
      <c r="FS29" s="44">
        <f>_xll.StatCorrelationCoeff( ST_YearsWithCurrManager_53,ST_JobSatisfaction_34)</f>
        <v>-2.7656213884289963E-2</v>
      </c>
      <c r="FT29" s="44">
        <f>_xll.StatCorrelationCoeff( ST_YearsWithCurrManager_53,ST_MaritalStatusSingle)</f>
        <v>-4.7792885443822958E-2</v>
      </c>
      <c r="FU29" s="44">
        <f>_xll.StatCorrelationCoeff( ST_YearsWithCurrManager_53,ST_MaritalStatusMarried)</f>
        <v>3.2971928347060309E-2</v>
      </c>
      <c r="FV29" s="44">
        <f>_xll.StatCorrelationCoeff( ST_YearsWithCurrManager_53,ST_MonthlyIncome_38)</f>
        <v>0.34407888325872066</v>
      </c>
      <c r="FW29" s="44">
        <f>_xll.StatCorrelationCoeff( ST_YearsWithCurrManager_53,ST_NumCompaniesWorked_40)</f>
        <v>-0.11031915543773214</v>
      </c>
      <c r="FX29" s="44">
        <f>_xll.StatCorrelationCoeff( ST_YearsWithCurrManager_53,ST_OverTime_41)</f>
        <v>-4.1585998653857828E-2</v>
      </c>
      <c r="FY29" s="44">
        <f>_xll.StatCorrelationCoeff( ST_YearsWithCurrManager_53,ST_StockOptionLevel_46)</f>
        <v>2.469822656302997E-2</v>
      </c>
      <c r="FZ29" s="44">
        <f>_xll.StatCorrelationCoeff( ST_YearsWithCurrManager_53,ST_YearsAtCompany_50)</f>
        <v>0.76921242510069898</v>
      </c>
      <c r="GA29" s="44">
        <f>_xll.StatCorrelationCoeff( ST_YearsWithCurrManager_53,ST_YearsInCurrentRole_51)</f>
        <v>0.71436476163859031</v>
      </c>
      <c r="GB29" s="44">
        <v>1</v>
      </c>
    </row>
    <row r="30" spans="1:184" ht="15" customHeight="1" thickBot="1" x14ac:dyDescent="0.3">
      <c r="A30" s="58">
        <v>44</v>
      </c>
      <c r="B30" s="59">
        <v>0</v>
      </c>
      <c r="C30" s="59">
        <v>1</v>
      </c>
      <c r="D30" s="59">
        <f t="shared" si="0"/>
        <v>1</v>
      </c>
      <c r="E30" s="59">
        <f t="shared" si="1"/>
        <v>0</v>
      </c>
      <c r="F30" s="59">
        <v>477</v>
      </c>
      <c r="G30" s="59">
        <v>2</v>
      </c>
      <c r="H30" s="59">
        <f t="shared" si="2"/>
        <v>0</v>
      </c>
      <c r="I30" s="59">
        <f t="shared" si="3"/>
        <v>1</v>
      </c>
      <c r="J30" s="59">
        <v>7</v>
      </c>
      <c r="K30" s="59">
        <v>4</v>
      </c>
      <c r="L30" s="59">
        <v>3</v>
      </c>
      <c r="M30" s="59">
        <f t="shared" si="4"/>
        <v>0</v>
      </c>
      <c r="N30" s="59">
        <f t="shared" si="5"/>
        <v>0</v>
      </c>
      <c r="O30" s="59">
        <f t="shared" si="6"/>
        <v>1</v>
      </c>
      <c r="P30" s="59">
        <f t="shared" si="7"/>
        <v>0</v>
      </c>
      <c r="Q30" s="59">
        <f t="shared" si="8"/>
        <v>0</v>
      </c>
      <c r="R30" s="59">
        <v>1</v>
      </c>
      <c r="S30" s="59">
        <v>36</v>
      </c>
      <c r="T30" s="59">
        <v>1</v>
      </c>
      <c r="U30" s="59">
        <v>0</v>
      </c>
      <c r="V30" s="59">
        <v>42</v>
      </c>
      <c r="W30" s="59">
        <v>2</v>
      </c>
      <c r="X30" s="59">
        <v>3</v>
      </c>
      <c r="Y30" s="59">
        <v>5</v>
      </c>
      <c r="Z30" s="59">
        <f t="shared" si="9"/>
        <v>0</v>
      </c>
      <c r="AA30" s="59">
        <f>IF('Updated Dummy'!Y30=2,1,0)</f>
        <v>0</v>
      </c>
      <c r="AB30" s="59">
        <f t="shared" si="10"/>
        <v>0</v>
      </c>
      <c r="AC30" s="59">
        <f t="shared" si="11"/>
        <v>0</v>
      </c>
      <c r="AD30" s="59">
        <f t="shared" si="12"/>
        <v>1</v>
      </c>
      <c r="AE30" s="59">
        <f t="shared" si="13"/>
        <v>0</v>
      </c>
      <c r="AF30" s="59">
        <f t="shared" si="14"/>
        <v>0</v>
      </c>
      <c r="AG30" s="59">
        <f t="shared" si="15"/>
        <v>0</v>
      </c>
      <c r="AH30" s="59">
        <v>4</v>
      </c>
      <c r="AI30" s="59">
        <v>2</v>
      </c>
      <c r="AJ30" s="59">
        <f t="shared" si="16"/>
        <v>0</v>
      </c>
      <c r="AK30" s="59">
        <f t="shared" si="17"/>
        <v>1</v>
      </c>
      <c r="AL30" s="59">
        <v>10248</v>
      </c>
      <c r="AM30" s="59">
        <v>2094</v>
      </c>
      <c r="AN30" s="59">
        <v>3</v>
      </c>
      <c r="AO30" s="59">
        <v>0</v>
      </c>
      <c r="AP30" s="59">
        <v>14</v>
      </c>
      <c r="AQ30" s="59">
        <v>3</v>
      </c>
      <c r="AR30" s="59">
        <v>4</v>
      </c>
      <c r="AS30" s="59">
        <v>80</v>
      </c>
      <c r="AT30" s="59">
        <v>1</v>
      </c>
      <c r="AU30" s="59">
        <v>24</v>
      </c>
      <c r="AV30" s="59">
        <v>4</v>
      </c>
      <c r="AW30" s="59">
        <v>3</v>
      </c>
      <c r="AX30" s="59">
        <v>22</v>
      </c>
      <c r="AY30" s="59">
        <v>6</v>
      </c>
      <c r="AZ30" s="59">
        <v>5</v>
      </c>
      <c r="BA30" s="59">
        <v>17</v>
      </c>
      <c r="BB30" s="57">
        <f t="shared" si="18"/>
        <v>30744</v>
      </c>
      <c r="BD30" s="63">
        <f>_xll.StatCorrelationCoeff( ST_JobSatisfaction_34,ST_Age_1)</f>
        <v>-4.8918771486873569E-3</v>
      </c>
      <c r="BF30" s="36" t="s">
        <v>31</v>
      </c>
      <c r="BG30" s="33">
        <v>8.1951704580190687E-2</v>
      </c>
      <c r="BH30" s="39">
        <v>3.2036798843099228E-2</v>
      </c>
      <c r="BI30" s="39">
        <v>2.5580491041427256</v>
      </c>
      <c r="BJ30" s="40">
        <v>1.0526122751544076E-2</v>
      </c>
      <c r="BK30" s="39">
        <v>1.9159578847716199E-2</v>
      </c>
      <c r="BL30" s="39">
        <v>0.14474383031266519</v>
      </c>
      <c r="BM30" s="39">
        <v>1.085403388551393</v>
      </c>
      <c r="BO30" s="37"/>
      <c r="BP30" s="41">
        <v>1</v>
      </c>
      <c r="BQ30" s="41">
        <v>0</v>
      </c>
      <c r="BR30" s="34" t="s">
        <v>340</v>
      </c>
      <c r="CG30" s="38" t="s">
        <v>323</v>
      </c>
      <c r="CH30" s="35"/>
      <c r="CI30" s="35"/>
      <c r="CJ30" s="35" t="s">
        <v>341</v>
      </c>
      <c r="CP30" s="38" t="s">
        <v>323</v>
      </c>
      <c r="CQ30" s="35"/>
      <c r="CR30" s="35"/>
      <c r="CS30" s="35" t="s">
        <v>341</v>
      </c>
      <c r="CY30" s="36" t="s">
        <v>27</v>
      </c>
      <c r="CZ30" s="33">
        <v>-0.23127019316740127</v>
      </c>
      <c r="DA30" s="39">
        <v>0.14410324760549562</v>
      </c>
      <c r="DB30" s="39">
        <v>-1.6048923047212531</v>
      </c>
      <c r="DC30" s="40">
        <v>0.10851750735647436</v>
      </c>
      <c r="DD30" s="39">
        <v>-0.51371255847417263</v>
      </c>
      <c r="DE30" s="39">
        <v>5.1172172139370142E-2</v>
      </c>
      <c r="DF30" s="39">
        <v>0.79352503202543001</v>
      </c>
      <c r="DH30" s="36" t="s">
        <v>31</v>
      </c>
      <c r="DI30" s="67">
        <v>5.037045167274349E-2</v>
      </c>
      <c r="DJ30" s="68">
        <v>3.077233967203287E-2</v>
      </c>
      <c r="DK30" s="68">
        <v>1.6368742906644231</v>
      </c>
      <c r="DL30" s="66">
        <v>0.10165673882611559</v>
      </c>
      <c r="DM30" s="68">
        <v>-9.9433340844409315E-3</v>
      </c>
      <c r="DN30" s="68">
        <v>0.11068423742992792</v>
      </c>
      <c r="DO30" s="68">
        <v>1.0516606136563929</v>
      </c>
      <c r="DQ30" s="36" t="s">
        <v>556</v>
      </c>
      <c r="DR30" s="33">
        <v>1.4131036169214481E-4</v>
      </c>
      <c r="DS30" s="39">
        <v>3.2658814481611073E-5</v>
      </c>
      <c r="DT30" s="39">
        <v>4.3268674609028217</v>
      </c>
      <c r="DU30" s="40">
        <v>1.5124490603923846E-5</v>
      </c>
      <c r="DV30" s="39">
        <v>7.7299085308187102E-5</v>
      </c>
      <c r="DW30" s="39">
        <v>2.0532163807610252E-4</v>
      </c>
      <c r="DX30" s="39">
        <v>1.0001413203464715</v>
      </c>
      <c r="DZ30" s="36" t="s">
        <v>32</v>
      </c>
      <c r="EA30" s="33">
        <v>-4.6265168386796694E-2</v>
      </c>
      <c r="EB30" s="39">
        <v>3.9177407382730851E-2</v>
      </c>
      <c r="EC30" s="39">
        <v>-1.1809144983695394</v>
      </c>
      <c r="ED30" s="40">
        <v>0.23763669114019659</v>
      </c>
      <c r="EE30" s="39">
        <v>-0.12305288685694915</v>
      </c>
      <c r="EF30" s="39">
        <v>3.0522550083355769E-2</v>
      </c>
      <c r="EG30" s="39">
        <v>0.95478874882785059</v>
      </c>
      <c r="EI30" s="36" t="s">
        <v>556</v>
      </c>
      <c r="EJ30" s="33">
        <v>1.4778577028419133E-4</v>
      </c>
      <c r="EK30" s="39">
        <v>3.2726961556878938E-5</v>
      </c>
      <c r="EL30" s="39">
        <v>4.5157192496267031</v>
      </c>
      <c r="EM30" s="40">
        <v>6.3102220362321049E-6</v>
      </c>
      <c r="EN30" s="39">
        <v>8.3640925632708603E-5</v>
      </c>
      <c r="EO30" s="39">
        <v>2.1193061493567404E-4</v>
      </c>
      <c r="EP30" s="39">
        <v>1.0001477966911392</v>
      </c>
    </row>
    <row r="31" spans="1:184" ht="15" customHeight="1" thickTop="1" thickBot="1" x14ac:dyDescent="0.3">
      <c r="A31" s="58">
        <v>46</v>
      </c>
      <c r="B31" s="59">
        <v>0</v>
      </c>
      <c r="C31" s="59">
        <v>1</v>
      </c>
      <c r="D31" s="59">
        <f t="shared" si="0"/>
        <v>1</v>
      </c>
      <c r="E31" s="59">
        <f t="shared" si="1"/>
        <v>0</v>
      </c>
      <c r="F31" s="59">
        <v>705</v>
      </c>
      <c r="G31" s="59">
        <v>1</v>
      </c>
      <c r="H31" s="59">
        <f t="shared" si="2"/>
        <v>1</v>
      </c>
      <c r="I31" s="59">
        <f t="shared" si="3"/>
        <v>0</v>
      </c>
      <c r="J31" s="59">
        <v>2</v>
      </c>
      <c r="K31" s="59">
        <v>4</v>
      </c>
      <c r="L31" s="59">
        <v>4</v>
      </c>
      <c r="M31" s="59">
        <f t="shared" si="4"/>
        <v>0</v>
      </c>
      <c r="N31" s="59">
        <f t="shared" si="5"/>
        <v>0</v>
      </c>
      <c r="O31" s="59">
        <f t="shared" si="6"/>
        <v>0</v>
      </c>
      <c r="P31" s="59">
        <f t="shared" si="7"/>
        <v>1</v>
      </c>
      <c r="Q31" s="59">
        <f t="shared" si="8"/>
        <v>0</v>
      </c>
      <c r="R31" s="59">
        <v>1</v>
      </c>
      <c r="S31" s="59">
        <v>38</v>
      </c>
      <c r="T31" s="59">
        <v>2</v>
      </c>
      <c r="U31" s="59">
        <v>0</v>
      </c>
      <c r="V31" s="59">
        <v>83</v>
      </c>
      <c r="W31" s="59">
        <v>3</v>
      </c>
      <c r="X31" s="59">
        <v>5</v>
      </c>
      <c r="Y31" s="59">
        <v>6</v>
      </c>
      <c r="Z31" s="59">
        <f t="shared" si="9"/>
        <v>0</v>
      </c>
      <c r="AA31" s="59">
        <f>IF('Updated Dummy'!Y31=2,1,0)</f>
        <v>0</v>
      </c>
      <c r="AB31" s="59">
        <f t="shared" si="10"/>
        <v>0</v>
      </c>
      <c r="AC31" s="59">
        <f t="shared" si="11"/>
        <v>0</v>
      </c>
      <c r="AD31" s="59">
        <f t="shared" si="12"/>
        <v>0</v>
      </c>
      <c r="AE31" s="59">
        <f t="shared" si="13"/>
        <v>1</v>
      </c>
      <c r="AF31" s="59">
        <f t="shared" si="14"/>
        <v>0</v>
      </c>
      <c r="AG31" s="59">
        <f t="shared" si="15"/>
        <v>0</v>
      </c>
      <c r="AH31" s="59">
        <v>1</v>
      </c>
      <c r="AI31" s="59">
        <v>1</v>
      </c>
      <c r="AJ31" s="59">
        <f t="shared" si="16"/>
        <v>1</v>
      </c>
      <c r="AK31" s="59">
        <f t="shared" si="17"/>
        <v>0</v>
      </c>
      <c r="AL31" s="59">
        <v>18947</v>
      </c>
      <c r="AM31" s="59">
        <v>22822</v>
      </c>
      <c r="AN31" s="59">
        <v>3</v>
      </c>
      <c r="AO31" s="59">
        <v>0</v>
      </c>
      <c r="AP31" s="59">
        <v>12</v>
      </c>
      <c r="AQ31" s="59">
        <v>3</v>
      </c>
      <c r="AR31" s="59">
        <v>4</v>
      </c>
      <c r="AS31" s="59">
        <v>80</v>
      </c>
      <c r="AT31" s="59">
        <v>0</v>
      </c>
      <c r="AU31" s="59">
        <v>22</v>
      </c>
      <c r="AV31" s="59">
        <v>2</v>
      </c>
      <c r="AW31" s="59">
        <v>2</v>
      </c>
      <c r="AX31" s="59">
        <v>2</v>
      </c>
      <c r="AY31" s="59">
        <v>2</v>
      </c>
      <c r="AZ31" s="59">
        <v>2</v>
      </c>
      <c r="BA31" s="59">
        <v>1</v>
      </c>
      <c r="BB31" s="57">
        <f t="shared" si="18"/>
        <v>94735</v>
      </c>
      <c r="BD31" s="63">
        <f>_xll.StatCorrelationCoeff( ST_MaritalStatusSingle,ST_Age_1)</f>
        <v>-0.1191851739236897</v>
      </c>
      <c r="BF31" s="36" t="s">
        <v>32</v>
      </c>
      <c r="BG31" s="33">
        <v>-0.11944315285737926</v>
      </c>
      <c r="BH31" s="39">
        <v>4.256945176194455E-2</v>
      </c>
      <c r="BI31" s="39">
        <v>-2.8058419339136718</v>
      </c>
      <c r="BJ31" s="40">
        <v>5.0185303751433263E-3</v>
      </c>
      <c r="BK31" s="39">
        <v>-0.20287927831079058</v>
      </c>
      <c r="BL31" s="39">
        <v>-3.6007027403967939E-2</v>
      </c>
      <c r="BM31" s="39">
        <v>0.8874144533611884</v>
      </c>
      <c r="BO31" s="38" t="s">
        <v>323</v>
      </c>
      <c r="BP31" s="35"/>
      <c r="BQ31" s="35"/>
      <c r="BR31" s="35" t="s">
        <v>341</v>
      </c>
      <c r="BX31" s="37"/>
      <c r="BY31" s="41">
        <v>1</v>
      </c>
      <c r="BZ31" s="41">
        <v>0</v>
      </c>
      <c r="CA31" s="34" t="s">
        <v>340</v>
      </c>
      <c r="CG31" s="42">
        <v>1</v>
      </c>
      <c r="CH31" s="39">
        <v>81</v>
      </c>
      <c r="CI31" s="39">
        <v>156</v>
      </c>
      <c r="CJ31" s="43">
        <v>0.34177215189873417</v>
      </c>
      <c r="CP31" s="42">
        <v>1</v>
      </c>
      <c r="CQ31" s="39">
        <v>81</v>
      </c>
      <c r="CR31" s="39">
        <v>156</v>
      </c>
      <c r="CS31" s="43">
        <v>0.34177215189873417</v>
      </c>
      <c r="CY31" s="36" t="s">
        <v>28</v>
      </c>
      <c r="CZ31" s="33">
        <v>-1.2333103878284783E-2</v>
      </c>
      <c r="DA31" s="39">
        <v>2.5385510924998481E-2</v>
      </c>
      <c r="DB31" s="39">
        <v>-0.48583240710509834</v>
      </c>
      <c r="DC31" s="40">
        <v>0.62708599537877419</v>
      </c>
      <c r="DD31" s="39">
        <v>-6.2088705291281805E-2</v>
      </c>
      <c r="DE31" s="39">
        <v>3.7422497534712239E-2</v>
      </c>
      <c r="DF31" s="39">
        <v>0.9877426371535929</v>
      </c>
      <c r="DH31" s="36" t="s">
        <v>32</v>
      </c>
      <c r="DI31" s="67">
        <v>-7.936420393540855E-2</v>
      </c>
      <c r="DJ31" s="68">
        <v>4.3523503429565666E-2</v>
      </c>
      <c r="DK31" s="68">
        <v>-1.8234792165535134</v>
      </c>
      <c r="DL31" s="66">
        <v>6.8230842056769658E-2</v>
      </c>
      <c r="DM31" s="68">
        <v>-0.16467027065735726</v>
      </c>
      <c r="DN31" s="68">
        <v>5.9418627865401585E-3</v>
      </c>
      <c r="DO31" s="68">
        <v>0.92370344674509985</v>
      </c>
      <c r="DZ31" s="36" t="s">
        <v>34</v>
      </c>
      <c r="EA31" s="33">
        <v>-5.3548963014471006E-2</v>
      </c>
      <c r="EB31" s="39">
        <v>3.8465101949088344E-2</v>
      </c>
      <c r="EC31" s="39">
        <v>-1.3921440552880209</v>
      </c>
      <c r="ED31" s="40">
        <v>0.16387877979620824</v>
      </c>
      <c r="EE31" s="39">
        <v>-0.12894056283468416</v>
      </c>
      <c r="EF31" s="39">
        <v>2.1842636805742145E-2</v>
      </c>
      <c r="EG31" s="39">
        <v>0.94785952980772192</v>
      </c>
      <c r="ER31" s="37"/>
      <c r="ES31" s="41">
        <v>1</v>
      </c>
      <c r="ET31" s="41">
        <v>0</v>
      </c>
      <c r="EU31" s="34" t="s">
        <v>340</v>
      </c>
      <c r="FA31" s="37"/>
      <c r="FB31" s="34" t="s">
        <v>1</v>
      </c>
      <c r="FC31" s="34"/>
      <c r="FD31" s="34" t="s">
        <v>349</v>
      </c>
      <c r="FE31" s="34" t="s">
        <v>350</v>
      </c>
      <c r="FF31" s="34" t="s">
        <v>5</v>
      </c>
      <c r="FG31" s="34" t="s">
        <v>10</v>
      </c>
      <c r="FH31" s="34" t="s">
        <v>11</v>
      </c>
      <c r="FI31" s="34" t="s">
        <v>13</v>
      </c>
      <c r="FJ31" s="34" t="s">
        <v>14</v>
      </c>
      <c r="FK31" s="34" t="s">
        <v>358</v>
      </c>
      <c r="FL31" s="34" t="s">
        <v>359</v>
      </c>
      <c r="FM31" s="34" t="s">
        <v>360</v>
      </c>
      <c r="FN31" s="34" t="s">
        <v>361</v>
      </c>
      <c r="FO31" s="34" t="s">
        <v>365</v>
      </c>
      <c r="FP31" s="34" t="s">
        <v>362</v>
      </c>
      <c r="FQ31" s="34" t="s">
        <v>363</v>
      </c>
      <c r="FR31" s="34" t="s">
        <v>364</v>
      </c>
      <c r="FS31" s="34" t="s">
        <v>16</v>
      </c>
      <c r="FT31" s="34" t="s">
        <v>366</v>
      </c>
      <c r="FU31" s="34" t="s">
        <v>367</v>
      </c>
      <c r="FV31" s="34" t="s">
        <v>18</v>
      </c>
      <c r="FW31" s="34" t="s">
        <v>20</v>
      </c>
      <c r="FX31" s="34" t="s">
        <v>22</v>
      </c>
      <c r="FY31" s="34" t="s">
        <v>27</v>
      </c>
      <c r="FZ31" s="34" t="s">
        <v>31</v>
      </c>
      <c r="GA31" s="34" t="s">
        <v>32</v>
      </c>
      <c r="GB31" s="34" t="s">
        <v>34</v>
      </c>
    </row>
    <row r="32" spans="1:184" ht="15" customHeight="1" thickTop="1" thickBot="1" x14ac:dyDescent="0.3">
      <c r="A32" s="58">
        <v>33</v>
      </c>
      <c r="B32" s="59">
        <v>0</v>
      </c>
      <c r="C32" s="59">
        <v>1</v>
      </c>
      <c r="D32" s="59">
        <f t="shared" si="0"/>
        <v>1</v>
      </c>
      <c r="E32" s="59">
        <f t="shared" si="1"/>
        <v>0</v>
      </c>
      <c r="F32" s="59">
        <v>924</v>
      </c>
      <c r="G32" s="59">
        <v>2</v>
      </c>
      <c r="H32" s="59">
        <f t="shared" si="2"/>
        <v>0</v>
      </c>
      <c r="I32" s="59">
        <f t="shared" si="3"/>
        <v>1</v>
      </c>
      <c r="J32" s="59">
        <v>2</v>
      </c>
      <c r="K32" s="59">
        <v>3</v>
      </c>
      <c r="L32" s="59">
        <v>3</v>
      </c>
      <c r="M32" s="59">
        <f t="shared" si="4"/>
        <v>0</v>
      </c>
      <c r="N32" s="59">
        <f t="shared" si="5"/>
        <v>0</v>
      </c>
      <c r="O32" s="59">
        <f t="shared" si="6"/>
        <v>1</v>
      </c>
      <c r="P32" s="59">
        <f t="shared" si="7"/>
        <v>0</v>
      </c>
      <c r="Q32" s="59">
        <f t="shared" si="8"/>
        <v>0</v>
      </c>
      <c r="R32" s="59">
        <v>1</v>
      </c>
      <c r="S32" s="59">
        <v>39</v>
      </c>
      <c r="T32" s="59">
        <v>3</v>
      </c>
      <c r="U32" s="59">
        <v>1</v>
      </c>
      <c r="V32" s="59">
        <v>78</v>
      </c>
      <c r="W32" s="59">
        <v>3</v>
      </c>
      <c r="X32" s="59">
        <v>1</v>
      </c>
      <c r="Y32" s="59">
        <v>3</v>
      </c>
      <c r="Z32" s="59">
        <f t="shared" si="9"/>
        <v>0</v>
      </c>
      <c r="AA32" s="59">
        <f>IF('Updated Dummy'!Y32=2,1,0)</f>
        <v>0</v>
      </c>
      <c r="AB32" s="59">
        <f t="shared" si="10"/>
        <v>1</v>
      </c>
      <c r="AC32" s="59">
        <f t="shared" si="11"/>
        <v>0</v>
      </c>
      <c r="AD32" s="59">
        <f t="shared" si="12"/>
        <v>0</v>
      </c>
      <c r="AE32" s="59">
        <f t="shared" si="13"/>
        <v>0</v>
      </c>
      <c r="AF32" s="59">
        <f t="shared" si="14"/>
        <v>0</v>
      </c>
      <c r="AG32" s="59">
        <f t="shared" si="15"/>
        <v>0</v>
      </c>
      <c r="AH32" s="59">
        <v>4</v>
      </c>
      <c r="AI32" s="59">
        <v>1</v>
      </c>
      <c r="AJ32" s="59">
        <f t="shared" si="16"/>
        <v>1</v>
      </c>
      <c r="AK32" s="59">
        <f t="shared" si="17"/>
        <v>0</v>
      </c>
      <c r="AL32" s="59">
        <v>2496</v>
      </c>
      <c r="AM32" s="59">
        <v>6670</v>
      </c>
      <c r="AN32" s="59">
        <v>4</v>
      </c>
      <c r="AO32" s="59">
        <v>0</v>
      </c>
      <c r="AP32" s="59">
        <v>11</v>
      </c>
      <c r="AQ32" s="59">
        <v>3</v>
      </c>
      <c r="AR32" s="59">
        <v>4</v>
      </c>
      <c r="AS32" s="59">
        <v>80</v>
      </c>
      <c r="AT32" s="59">
        <v>0</v>
      </c>
      <c r="AU32" s="59">
        <v>7</v>
      </c>
      <c r="AV32" s="59">
        <v>3</v>
      </c>
      <c r="AW32" s="59">
        <v>3</v>
      </c>
      <c r="AX32" s="59">
        <v>1</v>
      </c>
      <c r="AY32" s="59">
        <v>1</v>
      </c>
      <c r="AZ32" s="59">
        <v>0</v>
      </c>
      <c r="BA32" s="59">
        <v>0</v>
      </c>
      <c r="BB32" s="57">
        <f t="shared" si="18"/>
        <v>2496</v>
      </c>
      <c r="BD32" s="63">
        <f>_xll.StatCorrelationCoeff( ST_MaritalStatusMarried,ST_Age_1)</f>
        <v>8.3919210357203095E-2</v>
      </c>
      <c r="BF32" s="36" t="s">
        <v>34</v>
      </c>
      <c r="BG32" s="33">
        <v>-0.10539962339735273</v>
      </c>
      <c r="BH32" s="39">
        <v>4.3576670285557034E-2</v>
      </c>
      <c r="BI32" s="39">
        <v>-2.4187167745188227</v>
      </c>
      <c r="BJ32" s="40">
        <v>1.5575362113807056E-2</v>
      </c>
      <c r="BK32" s="39">
        <v>-0.19080989715704452</v>
      </c>
      <c r="BL32" s="39">
        <v>-1.9989349637660941E-2</v>
      </c>
      <c r="BM32" s="39">
        <v>0.89996480372265408</v>
      </c>
      <c r="BO32" s="42">
        <v>1</v>
      </c>
      <c r="BP32" s="39">
        <v>82</v>
      </c>
      <c r="BQ32" s="39">
        <v>155</v>
      </c>
      <c r="BR32" s="43">
        <v>0.34599156118143459</v>
      </c>
      <c r="BX32" s="38" t="s">
        <v>323</v>
      </c>
      <c r="BY32" s="35"/>
      <c r="BZ32" s="35"/>
      <c r="CA32" s="35" t="s">
        <v>341</v>
      </c>
      <c r="CG32" s="42">
        <v>0</v>
      </c>
      <c r="CH32" s="39">
        <v>30</v>
      </c>
      <c r="CI32" s="39">
        <v>1203</v>
      </c>
      <c r="CJ32" s="43">
        <v>0.97566909975669103</v>
      </c>
      <c r="CP32" s="42">
        <v>0</v>
      </c>
      <c r="CQ32" s="39">
        <v>30</v>
      </c>
      <c r="CR32" s="39">
        <v>1203</v>
      </c>
      <c r="CS32" s="43">
        <v>0.97566909975669103</v>
      </c>
      <c r="CY32" s="36" t="s">
        <v>31</v>
      </c>
      <c r="CZ32" s="33">
        <v>7.6416217756922478E-2</v>
      </c>
      <c r="DA32" s="39">
        <v>3.2175561550542291E-2</v>
      </c>
      <c r="DB32" s="39">
        <v>2.3749769724107441</v>
      </c>
      <c r="DC32" s="40">
        <v>1.7550045040551465E-2</v>
      </c>
      <c r="DD32" s="39">
        <v>1.3352117117859594E-2</v>
      </c>
      <c r="DE32" s="39">
        <v>0.13948031839598535</v>
      </c>
      <c r="DF32" s="39">
        <v>1.0794117510109096</v>
      </c>
      <c r="DH32" s="36" t="s">
        <v>34</v>
      </c>
      <c r="DI32" s="67">
        <v>-9.1648241157468988E-2</v>
      </c>
      <c r="DJ32" s="68">
        <v>4.4221609927988813E-2</v>
      </c>
      <c r="DK32" s="68">
        <v>-2.0724763595606417</v>
      </c>
      <c r="DL32" s="66">
        <v>3.8221038681322872E-2</v>
      </c>
      <c r="DM32" s="68">
        <v>-0.17832259661632704</v>
      </c>
      <c r="DN32" s="68">
        <v>-4.9738856986109165E-3</v>
      </c>
      <c r="DO32" s="68">
        <v>0.91242604703271657</v>
      </c>
      <c r="DQ32" s="37"/>
      <c r="DR32" s="41">
        <v>1</v>
      </c>
      <c r="DS32" s="41">
        <v>0</v>
      </c>
      <c r="DT32" s="34" t="s">
        <v>340</v>
      </c>
      <c r="DZ32" s="36" t="s">
        <v>556</v>
      </c>
      <c r="EA32" s="33">
        <v>1.3746284009099748E-4</v>
      </c>
      <c r="EB32" s="39">
        <v>3.3188941707620678E-5</v>
      </c>
      <c r="EC32" s="39">
        <v>4.1418265548200335</v>
      </c>
      <c r="ED32" s="40">
        <v>3.4455086550755354E-5</v>
      </c>
      <c r="EE32" s="39">
        <v>7.2412514344060951E-5</v>
      </c>
      <c r="EF32" s="39">
        <v>2.0251316583793402E-4</v>
      </c>
      <c r="EG32" s="39">
        <v>1.0001374722885401</v>
      </c>
      <c r="EI32" s="37"/>
      <c r="EJ32" s="41">
        <v>1</v>
      </c>
      <c r="EK32" s="41">
        <v>0</v>
      </c>
      <c r="EL32" s="34" t="s">
        <v>340</v>
      </c>
      <c r="ER32" s="38" t="s">
        <v>323</v>
      </c>
      <c r="ES32" s="35"/>
      <c r="ET32" s="35"/>
      <c r="EU32" s="35" t="s">
        <v>341</v>
      </c>
      <c r="FA32" s="38" t="s">
        <v>348</v>
      </c>
      <c r="FB32" s="35" t="s">
        <v>495</v>
      </c>
      <c r="FC32" s="35"/>
      <c r="FD32" s="35" t="s">
        <v>495</v>
      </c>
      <c r="FE32" s="35" t="s">
        <v>495</v>
      </c>
      <c r="FF32" s="35" t="s">
        <v>495</v>
      </c>
      <c r="FG32" s="35" t="s">
        <v>495</v>
      </c>
      <c r="FH32" s="35" t="s">
        <v>495</v>
      </c>
      <c r="FI32" s="35" t="s">
        <v>495</v>
      </c>
      <c r="FJ32" s="35" t="s">
        <v>495</v>
      </c>
      <c r="FK32" s="35" t="s">
        <v>495</v>
      </c>
      <c r="FL32" s="35" t="s">
        <v>495</v>
      </c>
      <c r="FM32" s="35" t="s">
        <v>495</v>
      </c>
      <c r="FN32" s="35" t="s">
        <v>495</v>
      </c>
      <c r="FO32" s="35" t="s">
        <v>495</v>
      </c>
      <c r="FP32" s="35" t="s">
        <v>495</v>
      </c>
      <c r="FQ32" s="35" t="s">
        <v>495</v>
      </c>
      <c r="FR32" s="35" t="s">
        <v>495</v>
      </c>
      <c r="FS32" s="35" t="s">
        <v>495</v>
      </c>
      <c r="FT32" s="35" t="s">
        <v>495</v>
      </c>
      <c r="FU32" s="35" t="s">
        <v>495</v>
      </c>
      <c r="FV32" s="35" t="s">
        <v>495</v>
      </c>
      <c r="FW32" s="35" t="s">
        <v>495</v>
      </c>
      <c r="FX32" s="35" t="s">
        <v>495</v>
      </c>
      <c r="FY32" s="35" t="s">
        <v>495</v>
      </c>
      <c r="FZ32" s="35" t="s">
        <v>495</v>
      </c>
      <c r="GA32" s="35" t="s">
        <v>495</v>
      </c>
      <c r="GB32" s="35" t="s">
        <v>495</v>
      </c>
    </row>
    <row r="33" spans="1:184" ht="15" customHeight="1" thickTop="1" thickBot="1" x14ac:dyDescent="0.3">
      <c r="A33" s="58">
        <v>44</v>
      </c>
      <c r="B33" s="59">
        <v>0</v>
      </c>
      <c r="C33" s="59">
        <v>1</v>
      </c>
      <c r="D33" s="59">
        <f t="shared" si="0"/>
        <v>1</v>
      </c>
      <c r="E33" s="59">
        <f t="shared" si="1"/>
        <v>0</v>
      </c>
      <c r="F33" s="59">
        <v>1459</v>
      </c>
      <c r="G33" s="59">
        <v>2</v>
      </c>
      <c r="H33" s="59">
        <f t="shared" si="2"/>
        <v>0</v>
      </c>
      <c r="I33" s="59">
        <f t="shared" si="3"/>
        <v>1</v>
      </c>
      <c r="J33" s="59">
        <v>10</v>
      </c>
      <c r="K33" s="59">
        <v>4</v>
      </c>
      <c r="L33" s="59">
        <v>6</v>
      </c>
      <c r="M33" s="59">
        <f t="shared" si="4"/>
        <v>0</v>
      </c>
      <c r="N33" s="59">
        <f t="shared" si="5"/>
        <v>0</v>
      </c>
      <c r="O33" s="59">
        <f t="shared" si="6"/>
        <v>0</v>
      </c>
      <c r="P33" s="59">
        <f t="shared" si="7"/>
        <v>0</v>
      </c>
      <c r="Q33" s="59">
        <f t="shared" si="8"/>
        <v>0</v>
      </c>
      <c r="R33" s="59">
        <v>1</v>
      </c>
      <c r="S33" s="59">
        <v>40</v>
      </c>
      <c r="T33" s="59">
        <v>4</v>
      </c>
      <c r="U33" s="59">
        <v>1</v>
      </c>
      <c r="V33" s="59">
        <v>41</v>
      </c>
      <c r="W33" s="59">
        <v>3</v>
      </c>
      <c r="X33" s="59">
        <v>2</v>
      </c>
      <c r="Y33" s="59">
        <v>5</v>
      </c>
      <c r="Z33" s="59">
        <f t="shared" si="9"/>
        <v>0</v>
      </c>
      <c r="AA33" s="59">
        <f>IF('Updated Dummy'!Y33=2,1,0)</f>
        <v>0</v>
      </c>
      <c r="AB33" s="59">
        <f t="shared" si="10"/>
        <v>0</v>
      </c>
      <c r="AC33" s="59">
        <f t="shared" si="11"/>
        <v>0</v>
      </c>
      <c r="AD33" s="59">
        <f t="shared" si="12"/>
        <v>1</v>
      </c>
      <c r="AE33" s="59">
        <f t="shared" si="13"/>
        <v>0</v>
      </c>
      <c r="AF33" s="59">
        <f t="shared" si="14"/>
        <v>0</v>
      </c>
      <c r="AG33" s="59">
        <f t="shared" si="15"/>
        <v>0</v>
      </c>
      <c r="AH33" s="59">
        <v>4</v>
      </c>
      <c r="AI33" s="59">
        <v>2</v>
      </c>
      <c r="AJ33" s="59">
        <f t="shared" si="16"/>
        <v>0</v>
      </c>
      <c r="AK33" s="59">
        <f t="shared" si="17"/>
        <v>1</v>
      </c>
      <c r="AL33" s="59">
        <v>6465</v>
      </c>
      <c r="AM33" s="59">
        <v>19121</v>
      </c>
      <c r="AN33" s="59">
        <v>2</v>
      </c>
      <c r="AO33" s="59">
        <v>1</v>
      </c>
      <c r="AP33" s="59">
        <v>13</v>
      </c>
      <c r="AQ33" s="59">
        <v>3</v>
      </c>
      <c r="AR33" s="59">
        <v>4</v>
      </c>
      <c r="AS33" s="59">
        <v>80</v>
      </c>
      <c r="AT33" s="59">
        <v>0</v>
      </c>
      <c r="AU33" s="59">
        <v>9</v>
      </c>
      <c r="AV33" s="59">
        <v>5</v>
      </c>
      <c r="AW33" s="59">
        <v>4</v>
      </c>
      <c r="AX33" s="59">
        <v>4</v>
      </c>
      <c r="AY33" s="59">
        <v>2</v>
      </c>
      <c r="AZ33" s="59">
        <v>1</v>
      </c>
      <c r="BA33" s="59">
        <v>3</v>
      </c>
      <c r="BB33" s="57">
        <f t="shared" si="18"/>
        <v>12930</v>
      </c>
      <c r="BD33" s="63">
        <f>_xll.StatCorrelationCoeff( ST_MonthlyIncome_38,ST_Age_1)</f>
        <v>0.4978545669265807</v>
      </c>
      <c r="BO33" s="42">
        <v>0</v>
      </c>
      <c r="BP33" s="39">
        <v>32</v>
      </c>
      <c r="BQ33" s="39">
        <v>1201</v>
      </c>
      <c r="BR33" s="43">
        <v>0.97404703974047036</v>
      </c>
      <c r="BX33" s="42">
        <v>1</v>
      </c>
      <c r="BY33" s="39">
        <v>78</v>
      </c>
      <c r="BZ33" s="39">
        <v>159</v>
      </c>
      <c r="CA33" s="43">
        <v>0.32911392405063289</v>
      </c>
      <c r="CY33" s="36" t="s">
        <v>32</v>
      </c>
      <c r="CZ33" s="33">
        <v>-0.11482552536181648</v>
      </c>
      <c r="DA33" s="39">
        <v>4.2545082305087065E-2</v>
      </c>
      <c r="DB33" s="39">
        <v>-2.6989141668222119</v>
      </c>
      <c r="DC33" s="40">
        <v>6.9566116015071788E-3</v>
      </c>
      <c r="DD33" s="39">
        <v>-0.19821388667978712</v>
      </c>
      <c r="DE33" s="39">
        <v>-3.1437164043845833E-2</v>
      </c>
      <c r="DF33" s="39">
        <v>0.89152167826028406</v>
      </c>
      <c r="DH33" s="36" t="s">
        <v>556</v>
      </c>
      <c r="DI33" s="71">
        <v>1.294331291417634E-4</v>
      </c>
      <c r="DJ33" s="72">
        <v>3.315422558712413E-5</v>
      </c>
      <c r="DK33" s="72">
        <v>3.9039708166801645</v>
      </c>
      <c r="DL33" s="73">
        <v>9.4627196280283599E-5</v>
      </c>
      <c r="DM33" s="72">
        <v>6.4450846991000104E-5</v>
      </c>
      <c r="DN33" s="72">
        <v>1.944154112925267E-4</v>
      </c>
      <c r="DO33" s="72">
        <v>1.0001294415059707</v>
      </c>
      <c r="DQ33" s="38" t="s">
        <v>323</v>
      </c>
      <c r="DR33" s="35"/>
      <c r="DS33" s="35"/>
      <c r="DT33" s="35" t="s">
        <v>341</v>
      </c>
      <c r="EI33" s="38" t="s">
        <v>323</v>
      </c>
      <c r="EJ33" s="35"/>
      <c r="EK33" s="35"/>
      <c r="EL33" s="35" t="s">
        <v>341</v>
      </c>
      <c r="ER33" s="42">
        <v>1</v>
      </c>
      <c r="ES33" s="39">
        <v>75</v>
      </c>
      <c r="ET33" s="39">
        <v>162</v>
      </c>
      <c r="EU33" s="43">
        <v>0.31645569620253167</v>
      </c>
      <c r="FA33" s="36" t="s">
        <v>0</v>
      </c>
      <c r="FB33" s="45"/>
      <c r="FC33" s="45"/>
      <c r="FD33" s="45"/>
      <c r="FE33" s="45"/>
      <c r="FF33" s="45"/>
      <c r="FG33" s="45"/>
      <c r="FH33" s="45"/>
      <c r="FI33" s="45"/>
      <c r="FJ33" s="45"/>
      <c r="FK33" s="45"/>
      <c r="FL33" s="45"/>
      <c r="FM33" s="45"/>
      <c r="FN33" s="45"/>
      <c r="FO33" s="45"/>
      <c r="FP33" s="45"/>
      <c r="FQ33" s="45"/>
      <c r="FR33" s="45"/>
      <c r="FS33" s="45"/>
      <c r="FT33" s="45"/>
      <c r="FU33" s="45"/>
      <c r="FV33" s="45"/>
      <c r="FW33" s="45"/>
      <c r="FX33" s="45"/>
      <c r="FY33" s="45"/>
      <c r="FZ33" s="45"/>
      <c r="GA33" s="45"/>
      <c r="GB33" s="45"/>
    </row>
    <row r="34" spans="1:184" ht="15" customHeight="1" thickTop="1" x14ac:dyDescent="0.25">
      <c r="A34" s="58">
        <v>30</v>
      </c>
      <c r="B34" s="59">
        <v>0</v>
      </c>
      <c r="C34" s="59">
        <v>1</v>
      </c>
      <c r="D34" s="59">
        <f t="shared" si="0"/>
        <v>1</v>
      </c>
      <c r="E34" s="59">
        <f t="shared" si="1"/>
        <v>0</v>
      </c>
      <c r="F34" s="59">
        <v>125</v>
      </c>
      <c r="G34" s="59">
        <v>2</v>
      </c>
      <c r="H34" s="59">
        <f t="shared" si="2"/>
        <v>0</v>
      </c>
      <c r="I34" s="59">
        <f t="shared" si="3"/>
        <v>1</v>
      </c>
      <c r="J34" s="59">
        <v>9</v>
      </c>
      <c r="K34" s="59">
        <v>2</v>
      </c>
      <c r="L34" s="59">
        <v>3</v>
      </c>
      <c r="M34" s="59">
        <f t="shared" si="4"/>
        <v>0</v>
      </c>
      <c r="N34" s="59">
        <f t="shared" si="5"/>
        <v>0</v>
      </c>
      <c r="O34" s="59">
        <f t="shared" si="6"/>
        <v>1</v>
      </c>
      <c r="P34" s="59">
        <f t="shared" si="7"/>
        <v>0</v>
      </c>
      <c r="Q34" s="59">
        <f t="shared" si="8"/>
        <v>0</v>
      </c>
      <c r="R34" s="59">
        <v>1</v>
      </c>
      <c r="S34" s="59">
        <v>41</v>
      </c>
      <c r="T34" s="59">
        <v>4</v>
      </c>
      <c r="U34" s="59">
        <v>1</v>
      </c>
      <c r="V34" s="59">
        <v>83</v>
      </c>
      <c r="W34" s="59">
        <v>2</v>
      </c>
      <c r="X34" s="59">
        <v>1</v>
      </c>
      <c r="Y34" s="59">
        <v>3</v>
      </c>
      <c r="Z34" s="59">
        <f t="shared" si="9"/>
        <v>0</v>
      </c>
      <c r="AA34" s="59">
        <f>IF('Updated Dummy'!Y34=2,1,0)</f>
        <v>0</v>
      </c>
      <c r="AB34" s="59">
        <f t="shared" si="10"/>
        <v>1</v>
      </c>
      <c r="AC34" s="59">
        <f t="shared" si="11"/>
        <v>0</v>
      </c>
      <c r="AD34" s="59">
        <f t="shared" si="12"/>
        <v>0</v>
      </c>
      <c r="AE34" s="59">
        <f t="shared" si="13"/>
        <v>0</v>
      </c>
      <c r="AF34" s="59">
        <f t="shared" si="14"/>
        <v>0</v>
      </c>
      <c r="AG34" s="59">
        <f t="shared" si="15"/>
        <v>0</v>
      </c>
      <c r="AH34" s="59">
        <v>3</v>
      </c>
      <c r="AI34" s="59">
        <v>1</v>
      </c>
      <c r="AJ34" s="59">
        <f t="shared" si="16"/>
        <v>1</v>
      </c>
      <c r="AK34" s="59">
        <f t="shared" si="17"/>
        <v>0</v>
      </c>
      <c r="AL34" s="59">
        <v>2206</v>
      </c>
      <c r="AM34" s="59">
        <v>16117</v>
      </c>
      <c r="AN34" s="59">
        <v>1</v>
      </c>
      <c r="AO34" s="59">
        <v>0</v>
      </c>
      <c r="AP34" s="59">
        <v>13</v>
      </c>
      <c r="AQ34" s="59">
        <v>3</v>
      </c>
      <c r="AR34" s="59">
        <v>1</v>
      </c>
      <c r="AS34" s="59">
        <v>80</v>
      </c>
      <c r="AT34" s="59">
        <v>0</v>
      </c>
      <c r="AU34" s="59">
        <v>10</v>
      </c>
      <c r="AV34" s="59">
        <v>5</v>
      </c>
      <c r="AW34" s="59">
        <v>3</v>
      </c>
      <c r="AX34" s="59">
        <v>10</v>
      </c>
      <c r="AY34" s="59">
        <v>0</v>
      </c>
      <c r="AZ34" s="59">
        <v>1</v>
      </c>
      <c r="BA34" s="59">
        <v>8</v>
      </c>
      <c r="BB34" s="57">
        <f t="shared" si="18"/>
        <v>2206</v>
      </c>
      <c r="BD34" s="63">
        <f>_xll.StatCorrelationCoeff( ST_MonthlyRate_39,ST_Age_1)</f>
        <v>2.8051167133922781E-2</v>
      </c>
      <c r="BF34" s="37"/>
      <c r="BG34" s="41">
        <v>1</v>
      </c>
      <c r="BH34" s="41">
        <v>0</v>
      </c>
      <c r="BI34" s="34" t="s">
        <v>340</v>
      </c>
      <c r="BX34" s="42">
        <v>0</v>
      </c>
      <c r="BY34" s="39">
        <v>30</v>
      </c>
      <c r="BZ34" s="39">
        <v>1203</v>
      </c>
      <c r="CA34" s="43">
        <v>0.97566909975669103</v>
      </c>
      <c r="CG34" s="37"/>
      <c r="CH34" s="48" t="s">
        <v>340</v>
      </c>
      <c r="CP34" s="37"/>
      <c r="CQ34" s="48" t="s">
        <v>340</v>
      </c>
      <c r="CY34" s="36" t="s">
        <v>34</v>
      </c>
      <c r="CZ34" s="33">
        <v>-0.100805634334804</v>
      </c>
      <c r="DA34" s="39">
        <v>4.3629871706933852E-2</v>
      </c>
      <c r="DB34" s="39">
        <v>-2.3104728570353212</v>
      </c>
      <c r="DC34" s="40">
        <v>2.0861989569697315E-2</v>
      </c>
      <c r="DD34" s="39">
        <v>-0.18632018288039434</v>
      </c>
      <c r="DE34" s="39">
        <v>-1.5291085789213649E-2</v>
      </c>
      <c r="DF34" s="39">
        <v>0.90410874350659631</v>
      </c>
      <c r="DQ34" s="42">
        <v>1</v>
      </c>
      <c r="DR34" s="39">
        <v>78</v>
      </c>
      <c r="DS34" s="39">
        <v>159</v>
      </c>
      <c r="DT34" s="43">
        <v>0.32911392405063289</v>
      </c>
      <c r="DZ34" s="37"/>
      <c r="EA34" s="41">
        <v>1</v>
      </c>
      <c r="EB34" s="41">
        <v>0</v>
      </c>
      <c r="EC34" s="34" t="s">
        <v>340</v>
      </c>
      <c r="EI34" s="42">
        <v>1</v>
      </c>
      <c r="EJ34" s="39">
        <v>74</v>
      </c>
      <c r="EK34" s="39">
        <v>163</v>
      </c>
      <c r="EL34" s="43">
        <v>0.31223628691983124</v>
      </c>
      <c r="ER34" s="42">
        <v>0</v>
      </c>
      <c r="ES34" s="39">
        <v>27</v>
      </c>
      <c r="ET34" s="39">
        <v>1206</v>
      </c>
      <c r="EU34" s="43">
        <v>0.97810218978102192</v>
      </c>
      <c r="FA34" s="36" t="s">
        <v>1</v>
      </c>
      <c r="FB34" s="45">
        <f>_xll.StatVariance(ST_Attrition_2)</f>
        <v>0.13532321029160591</v>
      </c>
      <c r="FC34" s="45"/>
      <c r="FD34" s="45"/>
      <c r="FE34" s="45"/>
      <c r="FF34" s="45"/>
      <c r="FG34" s="45"/>
      <c r="FH34" s="45"/>
      <c r="FI34" s="45"/>
      <c r="FJ34" s="45"/>
      <c r="FK34" s="45"/>
      <c r="FL34" s="45"/>
      <c r="FM34" s="45"/>
      <c r="FN34" s="45"/>
      <c r="FO34" s="45"/>
      <c r="FP34" s="45"/>
      <c r="FQ34" s="45"/>
      <c r="FR34" s="45"/>
      <c r="FS34" s="45"/>
      <c r="FT34" s="45"/>
      <c r="FU34" s="45"/>
      <c r="FV34" s="45"/>
      <c r="FW34" s="45"/>
      <c r="FX34" s="45"/>
      <c r="FY34" s="45"/>
      <c r="FZ34" s="45"/>
      <c r="GA34" s="45"/>
      <c r="GB34" s="45"/>
    </row>
    <row r="35" spans="1:184" ht="15" customHeight="1" thickBot="1" x14ac:dyDescent="0.3">
      <c r="A35" s="58">
        <v>39</v>
      </c>
      <c r="B35" s="59">
        <v>1</v>
      </c>
      <c r="C35" s="59">
        <v>1</v>
      </c>
      <c r="D35" s="59">
        <f t="shared" si="0"/>
        <v>1</v>
      </c>
      <c r="E35" s="59">
        <f t="shared" si="1"/>
        <v>0</v>
      </c>
      <c r="F35" s="59">
        <v>895</v>
      </c>
      <c r="G35" s="59">
        <v>1</v>
      </c>
      <c r="H35" s="59">
        <f t="shared" si="2"/>
        <v>1</v>
      </c>
      <c r="I35" s="59">
        <f t="shared" si="3"/>
        <v>0</v>
      </c>
      <c r="J35" s="59">
        <v>5</v>
      </c>
      <c r="K35" s="59">
        <v>3</v>
      </c>
      <c r="L35" s="59">
        <v>5</v>
      </c>
      <c r="M35" s="59">
        <f t="shared" si="4"/>
        <v>0</v>
      </c>
      <c r="N35" s="59">
        <f t="shared" si="5"/>
        <v>0</v>
      </c>
      <c r="O35" s="59">
        <f t="shared" si="6"/>
        <v>0</v>
      </c>
      <c r="P35" s="59">
        <f t="shared" si="7"/>
        <v>0</v>
      </c>
      <c r="Q35" s="59">
        <f t="shared" si="8"/>
        <v>1</v>
      </c>
      <c r="R35" s="59">
        <v>1</v>
      </c>
      <c r="S35" s="59">
        <v>42</v>
      </c>
      <c r="T35" s="59">
        <v>4</v>
      </c>
      <c r="U35" s="59">
        <v>1</v>
      </c>
      <c r="V35" s="59">
        <v>56</v>
      </c>
      <c r="W35" s="59">
        <v>3</v>
      </c>
      <c r="X35" s="59">
        <v>2</v>
      </c>
      <c r="Y35" s="59">
        <v>7</v>
      </c>
      <c r="Z35" s="59">
        <f t="shared" si="9"/>
        <v>0</v>
      </c>
      <c r="AA35" s="59">
        <f>IF('Updated Dummy'!Y35=2,1,0)</f>
        <v>0</v>
      </c>
      <c r="AB35" s="59">
        <f t="shared" si="10"/>
        <v>0</v>
      </c>
      <c r="AC35" s="59">
        <f t="shared" si="11"/>
        <v>0</v>
      </c>
      <c r="AD35" s="59">
        <f t="shared" si="12"/>
        <v>0</v>
      </c>
      <c r="AE35" s="59">
        <f t="shared" si="13"/>
        <v>0</v>
      </c>
      <c r="AF35" s="59">
        <f t="shared" si="14"/>
        <v>1</v>
      </c>
      <c r="AG35" s="59">
        <f t="shared" si="15"/>
        <v>0</v>
      </c>
      <c r="AH35" s="59">
        <v>4</v>
      </c>
      <c r="AI35" s="59">
        <v>2</v>
      </c>
      <c r="AJ35" s="59">
        <f t="shared" si="16"/>
        <v>0</v>
      </c>
      <c r="AK35" s="59">
        <f t="shared" si="17"/>
        <v>1</v>
      </c>
      <c r="AL35" s="59">
        <v>2086</v>
      </c>
      <c r="AM35" s="59">
        <v>3335</v>
      </c>
      <c r="AN35" s="59">
        <v>3</v>
      </c>
      <c r="AO35" s="59">
        <v>0</v>
      </c>
      <c r="AP35" s="59">
        <v>14</v>
      </c>
      <c r="AQ35" s="59">
        <v>3</v>
      </c>
      <c r="AR35" s="59">
        <v>3</v>
      </c>
      <c r="AS35" s="59">
        <v>80</v>
      </c>
      <c r="AT35" s="59">
        <v>1</v>
      </c>
      <c r="AU35" s="59">
        <v>19</v>
      </c>
      <c r="AV35" s="59">
        <v>6</v>
      </c>
      <c r="AW35" s="59">
        <v>4</v>
      </c>
      <c r="AX35" s="59">
        <v>1</v>
      </c>
      <c r="AY35" s="59">
        <v>0</v>
      </c>
      <c r="AZ35" s="59">
        <v>0</v>
      </c>
      <c r="BA35" s="59">
        <v>0</v>
      </c>
      <c r="BB35" s="57">
        <f t="shared" si="18"/>
        <v>4172</v>
      </c>
      <c r="BD35" s="63">
        <f>_xll.StatCorrelationCoeff( ST_NumCompaniesWorked_40,ST_Age_1)</f>
        <v>0.29963475798369266</v>
      </c>
      <c r="BF35" s="38" t="s">
        <v>323</v>
      </c>
      <c r="BG35" s="35"/>
      <c r="BH35" s="35"/>
      <c r="BI35" s="35" t="s">
        <v>341</v>
      </c>
      <c r="BO35" s="37"/>
      <c r="BP35" s="48" t="s">
        <v>340</v>
      </c>
      <c r="CG35" s="38" t="s">
        <v>324</v>
      </c>
      <c r="CH35" s="49"/>
      <c r="CP35" s="38" t="s">
        <v>324</v>
      </c>
      <c r="CQ35" s="49"/>
      <c r="CY35" s="36" t="s">
        <v>555</v>
      </c>
      <c r="CZ35" s="33">
        <v>-4.5916105729379382E-6</v>
      </c>
      <c r="DA35" s="39">
        <v>4.8375605294381725E-5</v>
      </c>
      <c r="DB35" s="39">
        <v>-9.4915826789069679E-2</v>
      </c>
      <c r="DC35" s="40">
        <v>0.92438168531531262</v>
      </c>
      <c r="DD35" s="39">
        <v>-9.9407796949926115E-5</v>
      </c>
      <c r="DE35" s="39">
        <v>9.0224575804050242E-5</v>
      </c>
      <c r="DF35" s="39">
        <v>0.99999540839996848</v>
      </c>
      <c r="DH35" s="37"/>
      <c r="DI35" s="41">
        <v>1</v>
      </c>
      <c r="DJ35" s="41">
        <v>0</v>
      </c>
      <c r="DK35" s="34" t="s">
        <v>340</v>
      </c>
      <c r="DQ35" s="42">
        <v>0</v>
      </c>
      <c r="DR35" s="39">
        <v>29</v>
      </c>
      <c r="DS35" s="39">
        <v>1204</v>
      </c>
      <c r="DT35" s="43">
        <v>0.97648012976480125</v>
      </c>
      <c r="DZ35" s="38" t="s">
        <v>323</v>
      </c>
      <c r="EA35" s="35"/>
      <c r="EB35" s="35"/>
      <c r="EC35" s="35" t="s">
        <v>341</v>
      </c>
      <c r="EI35" s="42">
        <v>0</v>
      </c>
      <c r="EJ35" s="39">
        <v>28</v>
      </c>
      <c r="EK35" s="39">
        <v>1205</v>
      </c>
      <c r="EL35" s="43">
        <v>0.97729115977291159</v>
      </c>
      <c r="FA35" s="36" t="s">
        <v>349</v>
      </c>
      <c r="FB35" s="45">
        <f>_xll.StatCovariance( ST_BusinessTravelTravelRarely,ST_Attrition_2)</f>
        <v>-8.2757950014588234E-3</v>
      </c>
      <c r="FC35" s="45"/>
      <c r="FD35" s="45">
        <f>_xll.StatVariance(ST_BusinessTravelTravelRarely)</f>
        <v>0.20624007261175206</v>
      </c>
      <c r="FE35" s="45"/>
      <c r="FF35" s="45"/>
      <c r="FG35" s="45"/>
      <c r="FH35" s="45"/>
      <c r="FI35" s="45"/>
      <c r="FJ35" s="45"/>
      <c r="FK35" s="45"/>
      <c r="FL35" s="45"/>
      <c r="FM35" s="45"/>
      <c r="FN35" s="45"/>
      <c r="FO35" s="45"/>
      <c r="FP35" s="45"/>
      <c r="FQ35" s="45"/>
      <c r="FR35" s="45"/>
      <c r="FS35" s="45"/>
      <c r="FT35" s="45"/>
      <c r="FU35" s="45"/>
      <c r="FV35" s="45"/>
      <c r="FW35" s="45"/>
      <c r="FX35" s="45"/>
      <c r="FY35" s="45"/>
      <c r="FZ35" s="45"/>
      <c r="GA35" s="45"/>
      <c r="GB35" s="45"/>
    </row>
    <row r="36" spans="1:184" ht="15" customHeight="1" thickTop="1" thickBot="1" x14ac:dyDescent="0.3">
      <c r="A36" s="58">
        <v>24</v>
      </c>
      <c r="B36" s="59">
        <v>1</v>
      </c>
      <c r="C36" s="59">
        <v>1</v>
      </c>
      <c r="D36" s="59">
        <f t="shared" si="0"/>
        <v>1</v>
      </c>
      <c r="E36" s="59">
        <f t="shared" si="1"/>
        <v>0</v>
      </c>
      <c r="F36" s="59">
        <v>813</v>
      </c>
      <c r="G36" s="59">
        <v>2</v>
      </c>
      <c r="H36" s="59">
        <f t="shared" si="2"/>
        <v>0</v>
      </c>
      <c r="I36" s="59">
        <f t="shared" si="3"/>
        <v>1</v>
      </c>
      <c r="J36" s="59">
        <v>1</v>
      </c>
      <c r="K36" s="59">
        <v>3</v>
      </c>
      <c r="L36" s="59">
        <v>3</v>
      </c>
      <c r="M36" s="59">
        <f t="shared" si="4"/>
        <v>0</v>
      </c>
      <c r="N36" s="59">
        <f t="shared" si="5"/>
        <v>0</v>
      </c>
      <c r="O36" s="59">
        <f t="shared" si="6"/>
        <v>1</v>
      </c>
      <c r="P36" s="59">
        <f t="shared" si="7"/>
        <v>0</v>
      </c>
      <c r="Q36" s="59">
        <f t="shared" si="8"/>
        <v>0</v>
      </c>
      <c r="R36" s="59">
        <v>1</v>
      </c>
      <c r="S36" s="59">
        <v>45</v>
      </c>
      <c r="T36" s="59">
        <v>2</v>
      </c>
      <c r="U36" s="59">
        <v>1</v>
      </c>
      <c r="V36" s="59">
        <v>61</v>
      </c>
      <c r="W36" s="59">
        <v>3</v>
      </c>
      <c r="X36" s="59">
        <v>1</v>
      </c>
      <c r="Y36" s="59">
        <v>2</v>
      </c>
      <c r="Z36" s="59">
        <f t="shared" si="9"/>
        <v>0</v>
      </c>
      <c r="AA36" s="59">
        <f>IF('Updated Dummy'!Y36=2,1,0)</f>
        <v>1</v>
      </c>
      <c r="AB36" s="59">
        <f t="shared" si="10"/>
        <v>0</v>
      </c>
      <c r="AC36" s="59">
        <f t="shared" si="11"/>
        <v>0</v>
      </c>
      <c r="AD36" s="59">
        <f t="shared" si="12"/>
        <v>0</v>
      </c>
      <c r="AE36" s="59">
        <f t="shared" si="13"/>
        <v>0</v>
      </c>
      <c r="AF36" s="59">
        <f t="shared" si="14"/>
        <v>0</v>
      </c>
      <c r="AG36" s="59">
        <f t="shared" si="15"/>
        <v>0</v>
      </c>
      <c r="AH36" s="59">
        <v>4</v>
      </c>
      <c r="AI36" s="59">
        <v>2</v>
      </c>
      <c r="AJ36" s="59">
        <f t="shared" si="16"/>
        <v>0</v>
      </c>
      <c r="AK36" s="59">
        <f t="shared" si="17"/>
        <v>1</v>
      </c>
      <c r="AL36" s="59">
        <v>2293</v>
      </c>
      <c r="AM36" s="59">
        <v>3020</v>
      </c>
      <c r="AN36" s="59">
        <v>2</v>
      </c>
      <c r="AO36" s="59">
        <v>1</v>
      </c>
      <c r="AP36" s="59">
        <v>16</v>
      </c>
      <c r="AQ36" s="59">
        <v>3</v>
      </c>
      <c r="AR36" s="59">
        <v>1</v>
      </c>
      <c r="AS36" s="59">
        <v>80</v>
      </c>
      <c r="AT36" s="59">
        <v>1</v>
      </c>
      <c r="AU36" s="59">
        <v>6</v>
      </c>
      <c r="AV36" s="59">
        <v>2</v>
      </c>
      <c r="AW36" s="59">
        <v>2</v>
      </c>
      <c r="AX36" s="59">
        <v>2</v>
      </c>
      <c r="AY36" s="59">
        <v>0</v>
      </c>
      <c r="AZ36" s="59">
        <v>2</v>
      </c>
      <c r="BA36" s="59">
        <v>0</v>
      </c>
      <c r="BB36" s="57">
        <f t="shared" si="18"/>
        <v>2293</v>
      </c>
      <c r="BD36" s="63">
        <f>_xll.StatCorrelationCoeff( ST_OverTime_41,ST_Age_1)</f>
        <v>2.8062357084124055E-2</v>
      </c>
      <c r="BF36" s="42">
        <v>1</v>
      </c>
      <c r="BG36" s="39">
        <v>82</v>
      </c>
      <c r="BH36" s="39">
        <v>155</v>
      </c>
      <c r="BI36" s="43">
        <v>0.34599156118143459</v>
      </c>
      <c r="BO36" s="38" t="s">
        <v>324</v>
      </c>
      <c r="BP36" s="49"/>
      <c r="BX36" s="37"/>
      <c r="BY36" s="48" t="s">
        <v>340</v>
      </c>
      <c r="CG36" s="36" t="s">
        <v>341</v>
      </c>
      <c r="CH36" s="43">
        <v>0.87346938775510208</v>
      </c>
      <c r="CP36" s="36" t="s">
        <v>341</v>
      </c>
      <c r="CQ36" s="43">
        <v>0.87346938775510208</v>
      </c>
      <c r="DH36" s="38" t="s">
        <v>323</v>
      </c>
      <c r="DI36" s="35"/>
      <c r="DJ36" s="35"/>
      <c r="DK36" s="35" t="s">
        <v>341</v>
      </c>
      <c r="DZ36" s="42">
        <v>1</v>
      </c>
      <c r="EA36" s="39">
        <v>85</v>
      </c>
      <c r="EB36" s="39">
        <v>152</v>
      </c>
      <c r="EC36" s="43">
        <v>0.35864978902953587</v>
      </c>
      <c r="ER36" s="37"/>
      <c r="ES36" s="48" t="s">
        <v>340</v>
      </c>
      <c r="FA36" s="36" t="s">
        <v>350</v>
      </c>
      <c r="FB36" s="45">
        <f>_xll.StatCovariance( ST_BusinessTravelTravelFrequently,ST_Attrition_2)</f>
        <v>1.6569650324390971E-2</v>
      </c>
      <c r="FC36" s="45"/>
      <c r="FD36" s="45">
        <f>_xll.StatCovariance( ST_BusinessTravelTravelFrequently,ST_BusinessTravelTravelRarely)</f>
        <v>-0.13379039839216722</v>
      </c>
      <c r="FE36" s="45">
        <f>_xll.StatVariance(ST_BusinessTravelTravelFrequently)</f>
        <v>0.153031587039169</v>
      </c>
      <c r="FF36" s="45"/>
      <c r="FG36" s="45"/>
      <c r="FH36" s="45"/>
      <c r="FI36" s="45"/>
      <c r="FJ36" s="45"/>
      <c r="FK36" s="45"/>
      <c r="FL36" s="45"/>
      <c r="FM36" s="45"/>
      <c r="FN36" s="45"/>
      <c r="FO36" s="45"/>
      <c r="FP36" s="45"/>
      <c r="FQ36" s="45"/>
      <c r="FR36" s="45"/>
      <c r="FS36" s="45"/>
      <c r="FT36" s="45"/>
      <c r="FU36" s="45"/>
      <c r="FV36" s="45"/>
      <c r="FW36" s="45"/>
      <c r="FX36" s="45"/>
      <c r="FY36" s="45"/>
      <c r="FZ36" s="45"/>
      <c r="GA36" s="45"/>
      <c r="GB36" s="45"/>
    </row>
    <row r="37" spans="1:184" ht="15" customHeight="1" thickTop="1" thickBot="1" x14ac:dyDescent="0.3">
      <c r="A37" s="58">
        <v>43</v>
      </c>
      <c r="B37" s="59">
        <v>0</v>
      </c>
      <c r="C37" s="59">
        <v>1</v>
      </c>
      <c r="D37" s="59">
        <f t="shared" si="0"/>
        <v>1</v>
      </c>
      <c r="E37" s="59">
        <f t="shared" si="1"/>
        <v>0</v>
      </c>
      <c r="F37" s="59">
        <v>1273</v>
      </c>
      <c r="G37" s="59">
        <v>2</v>
      </c>
      <c r="H37" s="59">
        <f t="shared" si="2"/>
        <v>0</v>
      </c>
      <c r="I37" s="59">
        <f t="shared" si="3"/>
        <v>1</v>
      </c>
      <c r="J37" s="59">
        <v>2</v>
      </c>
      <c r="K37" s="59">
        <v>2</v>
      </c>
      <c r="L37" s="59">
        <v>3</v>
      </c>
      <c r="M37" s="59">
        <f t="shared" si="4"/>
        <v>0</v>
      </c>
      <c r="N37" s="59">
        <f t="shared" si="5"/>
        <v>0</v>
      </c>
      <c r="O37" s="59">
        <f t="shared" si="6"/>
        <v>1</v>
      </c>
      <c r="P37" s="59">
        <f t="shared" si="7"/>
        <v>0</v>
      </c>
      <c r="Q37" s="59">
        <f t="shared" si="8"/>
        <v>0</v>
      </c>
      <c r="R37" s="59">
        <v>1</v>
      </c>
      <c r="S37" s="59">
        <v>46</v>
      </c>
      <c r="T37" s="59">
        <v>4</v>
      </c>
      <c r="U37" s="59">
        <v>0</v>
      </c>
      <c r="V37" s="59">
        <v>72</v>
      </c>
      <c r="W37" s="59">
        <v>4</v>
      </c>
      <c r="X37" s="59">
        <v>1</v>
      </c>
      <c r="Y37" s="59">
        <v>2</v>
      </c>
      <c r="Z37" s="59">
        <f t="shared" si="9"/>
        <v>0</v>
      </c>
      <c r="AA37" s="59">
        <f>IF('Updated Dummy'!Y37=2,1,0)</f>
        <v>1</v>
      </c>
      <c r="AB37" s="59">
        <f t="shared" si="10"/>
        <v>0</v>
      </c>
      <c r="AC37" s="59">
        <f t="shared" si="11"/>
        <v>0</v>
      </c>
      <c r="AD37" s="59">
        <f t="shared" si="12"/>
        <v>0</v>
      </c>
      <c r="AE37" s="59">
        <f t="shared" si="13"/>
        <v>0</v>
      </c>
      <c r="AF37" s="59">
        <f t="shared" si="14"/>
        <v>0</v>
      </c>
      <c r="AG37" s="59">
        <f t="shared" si="15"/>
        <v>0</v>
      </c>
      <c r="AH37" s="59">
        <v>3</v>
      </c>
      <c r="AI37" s="59">
        <v>3</v>
      </c>
      <c r="AJ37" s="59">
        <f t="shared" si="16"/>
        <v>0</v>
      </c>
      <c r="AK37" s="59">
        <f t="shared" si="17"/>
        <v>0</v>
      </c>
      <c r="AL37" s="59">
        <v>2645</v>
      </c>
      <c r="AM37" s="59">
        <v>21923</v>
      </c>
      <c r="AN37" s="59">
        <v>1</v>
      </c>
      <c r="AO37" s="59">
        <v>0</v>
      </c>
      <c r="AP37" s="59">
        <v>12</v>
      </c>
      <c r="AQ37" s="59">
        <v>3</v>
      </c>
      <c r="AR37" s="59">
        <v>4</v>
      </c>
      <c r="AS37" s="59">
        <v>80</v>
      </c>
      <c r="AT37" s="59">
        <v>2</v>
      </c>
      <c r="AU37" s="59">
        <v>6</v>
      </c>
      <c r="AV37" s="59">
        <v>3</v>
      </c>
      <c r="AW37" s="59">
        <v>2</v>
      </c>
      <c r="AX37" s="59">
        <v>5</v>
      </c>
      <c r="AY37" s="59">
        <v>3</v>
      </c>
      <c r="AZ37" s="59">
        <v>1</v>
      </c>
      <c r="BA37" s="59">
        <v>4</v>
      </c>
      <c r="BB37" s="57">
        <f t="shared" si="18"/>
        <v>2645</v>
      </c>
      <c r="BD37" s="63">
        <f>_xll.StatCorrelationCoeff( ST_PercentSalaryHike_42,ST_Age_1)</f>
        <v>3.6335849148617649E-3</v>
      </c>
      <c r="BF37" s="42">
        <v>0</v>
      </c>
      <c r="BG37" s="39">
        <v>32</v>
      </c>
      <c r="BH37" s="39">
        <v>1201</v>
      </c>
      <c r="BI37" s="43">
        <v>0.97404703974047036</v>
      </c>
      <c r="BO37" s="36" t="s">
        <v>341</v>
      </c>
      <c r="BP37" s="43">
        <v>0.8727891156462585</v>
      </c>
      <c r="BX37" s="38" t="s">
        <v>324</v>
      </c>
      <c r="BY37" s="49"/>
      <c r="CG37" s="36" t="s">
        <v>342</v>
      </c>
      <c r="CH37" s="43">
        <v>0.83877551020408159</v>
      </c>
      <c r="CP37" s="36" t="s">
        <v>342</v>
      </c>
      <c r="CQ37" s="43">
        <v>0.83877551020408159</v>
      </c>
      <c r="CY37" s="37"/>
      <c r="CZ37" s="41">
        <v>1</v>
      </c>
      <c r="DA37" s="41">
        <v>0</v>
      </c>
      <c r="DB37" s="34" t="s">
        <v>340</v>
      </c>
      <c r="DH37" s="42">
        <v>1</v>
      </c>
      <c r="DI37" s="39">
        <v>84</v>
      </c>
      <c r="DJ37" s="39">
        <v>153</v>
      </c>
      <c r="DK37" s="43">
        <v>0.35443037974683544</v>
      </c>
      <c r="DQ37" s="37"/>
      <c r="DR37" s="48" t="s">
        <v>340</v>
      </c>
      <c r="DZ37" s="42">
        <v>0</v>
      </c>
      <c r="EA37" s="39">
        <v>31</v>
      </c>
      <c r="EB37" s="39">
        <v>1202</v>
      </c>
      <c r="EC37" s="43">
        <v>0.97485806974858069</v>
      </c>
      <c r="EI37" s="37"/>
      <c r="EJ37" s="48" t="s">
        <v>340</v>
      </c>
      <c r="ER37" s="38" t="s">
        <v>324</v>
      </c>
      <c r="ES37" s="49"/>
      <c r="FA37" s="36" t="s">
        <v>5</v>
      </c>
      <c r="FB37" s="45">
        <f>_xll.StatCovariance( ST_DistanceFromHome_10,ST_Attrition_2)</f>
        <v>0.2323849349133808</v>
      </c>
      <c r="FC37" s="45"/>
      <c r="FD37" s="45">
        <f>_xll.StatCovariance( ST_DistanceFromHome_10,ST_BusinessTravelTravelRarely)</f>
        <v>-7.4060747512075156E-2</v>
      </c>
      <c r="FE37" s="45">
        <f>_xll.StatCovariance( ST_DistanceFromHome_10,ST_BusinessTravelTravelFrequently)</f>
        <v>1.6114900691386203E-2</v>
      </c>
      <c r="FF37" s="45">
        <f>_xll.StatVariance(ST_DistanceFromHome_10)</f>
        <v>65.721250978267591</v>
      </c>
      <c r="FG37" s="45"/>
      <c r="FH37" s="45"/>
      <c r="FI37" s="45"/>
      <c r="FJ37" s="45"/>
      <c r="FK37" s="45"/>
      <c r="FL37" s="45"/>
      <c r="FM37" s="45"/>
      <c r="FN37" s="45"/>
      <c r="FO37" s="45"/>
      <c r="FP37" s="45"/>
      <c r="FQ37" s="45"/>
      <c r="FR37" s="45"/>
      <c r="FS37" s="45"/>
      <c r="FT37" s="45"/>
      <c r="FU37" s="45"/>
      <c r="FV37" s="45"/>
      <c r="FW37" s="45"/>
      <c r="FX37" s="45"/>
      <c r="FY37" s="45"/>
      <c r="FZ37" s="45"/>
      <c r="GA37" s="45"/>
      <c r="GB37" s="45"/>
    </row>
    <row r="38" spans="1:184" ht="15" customHeight="1" thickTop="1" thickBot="1" x14ac:dyDescent="0.3">
      <c r="A38" s="58">
        <v>50</v>
      </c>
      <c r="B38" s="59">
        <v>1</v>
      </c>
      <c r="C38" s="59">
        <v>1</v>
      </c>
      <c r="D38" s="59">
        <f t="shared" si="0"/>
        <v>1</v>
      </c>
      <c r="E38" s="59">
        <f t="shared" si="1"/>
        <v>0</v>
      </c>
      <c r="F38" s="59">
        <v>869</v>
      </c>
      <c r="G38" s="59">
        <v>1</v>
      </c>
      <c r="H38" s="59">
        <f t="shared" si="2"/>
        <v>1</v>
      </c>
      <c r="I38" s="59">
        <f t="shared" si="3"/>
        <v>0</v>
      </c>
      <c r="J38" s="59">
        <v>3</v>
      </c>
      <c r="K38" s="59">
        <v>2</v>
      </c>
      <c r="L38" s="59">
        <v>4</v>
      </c>
      <c r="M38" s="59">
        <f t="shared" si="4"/>
        <v>0</v>
      </c>
      <c r="N38" s="59">
        <f t="shared" si="5"/>
        <v>0</v>
      </c>
      <c r="O38" s="59">
        <f t="shared" si="6"/>
        <v>0</v>
      </c>
      <c r="P38" s="59">
        <f t="shared" si="7"/>
        <v>1</v>
      </c>
      <c r="Q38" s="59">
        <f t="shared" si="8"/>
        <v>0</v>
      </c>
      <c r="R38" s="59">
        <v>1</v>
      </c>
      <c r="S38" s="59">
        <v>47</v>
      </c>
      <c r="T38" s="59">
        <v>1</v>
      </c>
      <c r="U38" s="59">
        <v>1</v>
      </c>
      <c r="V38" s="59">
        <v>86</v>
      </c>
      <c r="W38" s="59">
        <v>2</v>
      </c>
      <c r="X38" s="59">
        <v>1</v>
      </c>
      <c r="Y38" s="59">
        <v>7</v>
      </c>
      <c r="Z38" s="59">
        <f t="shared" si="9"/>
        <v>0</v>
      </c>
      <c r="AA38" s="59">
        <f>IF('Updated Dummy'!Y38=2,1,0)</f>
        <v>0</v>
      </c>
      <c r="AB38" s="59">
        <f t="shared" si="10"/>
        <v>0</v>
      </c>
      <c r="AC38" s="59">
        <f t="shared" si="11"/>
        <v>0</v>
      </c>
      <c r="AD38" s="59">
        <f t="shared" si="12"/>
        <v>0</v>
      </c>
      <c r="AE38" s="59">
        <f t="shared" si="13"/>
        <v>0</v>
      </c>
      <c r="AF38" s="59">
        <f t="shared" si="14"/>
        <v>1</v>
      </c>
      <c r="AG38" s="59">
        <f t="shared" si="15"/>
        <v>0</v>
      </c>
      <c r="AH38" s="59">
        <v>3</v>
      </c>
      <c r="AI38" s="59">
        <v>2</v>
      </c>
      <c r="AJ38" s="59">
        <f t="shared" si="16"/>
        <v>0</v>
      </c>
      <c r="AK38" s="59">
        <f t="shared" si="17"/>
        <v>1</v>
      </c>
      <c r="AL38" s="59">
        <v>2683</v>
      </c>
      <c r="AM38" s="59">
        <v>3810</v>
      </c>
      <c r="AN38" s="59">
        <v>1</v>
      </c>
      <c r="AO38" s="59">
        <v>1</v>
      </c>
      <c r="AP38" s="59">
        <v>14</v>
      </c>
      <c r="AQ38" s="59">
        <v>3</v>
      </c>
      <c r="AR38" s="59">
        <v>3</v>
      </c>
      <c r="AS38" s="59">
        <v>80</v>
      </c>
      <c r="AT38" s="59">
        <v>0</v>
      </c>
      <c r="AU38" s="59">
        <v>3</v>
      </c>
      <c r="AV38" s="59">
        <v>2</v>
      </c>
      <c r="AW38" s="59">
        <v>3</v>
      </c>
      <c r="AX38" s="59">
        <v>3</v>
      </c>
      <c r="AY38" s="59">
        <v>2</v>
      </c>
      <c r="AZ38" s="59">
        <v>0</v>
      </c>
      <c r="BA38" s="59">
        <v>2</v>
      </c>
      <c r="BB38" s="57">
        <f t="shared" si="18"/>
        <v>2683</v>
      </c>
      <c r="BD38" s="63">
        <f>_xll.StatCorrelationCoeff( ST_PerformanceRating_43,ST_Age_1)</f>
        <v>1.903895512758374E-3</v>
      </c>
      <c r="BO38" s="36" t="s">
        <v>342</v>
      </c>
      <c r="BP38" s="43">
        <v>0.83877551020408159</v>
      </c>
      <c r="BX38" s="36" t="s">
        <v>341</v>
      </c>
      <c r="BY38" s="43">
        <v>0.87142857142857144</v>
      </c>
      <c r="CG38" s="36" t="s">
        <v>329</v>
      </c>
      <c r="CH38" s="43">
        <v>0.21518987341772197</v>
      </c>
      <c r="CP38" s="36" t="s">
        <v>329</v>
      </c>
      <c r="CQ38" s="43">
        <v>0.21518987341772197</v>
      </c>
      <c r="CY38" s="38" t="s">
        <v>323</v>
      </c>
      <c r="CZ38" s="35"/>
      <c r="DA38" s="35"/>
      <c r="DB38" s="35" t="s">
        <v>341</v>
      </c>
      <c r="DH38" s="42">
        <v>0</v>
      </c>
      <c r="DI38" s="39">
        <v>30</v>
      </c>
      <c r="DJ38" s="39">
        <v>1203</v>
      </c>
      <c r="DK38" s="43">
        <v>0.97566909975669103</v>
      </c>
      <c r="DQ38" s="38" t="s">
        <v>324</v>
      </c>
      <c r="DR38" s="49"/>
      <c r="EI38" s="38" t="s">
        <v>324</v>
      </c>
      <c r="EJ38" s="49"/>
      <c r="ER38" s="36" t="s">
        <v>341</v>
      </c>
      <c r="ES38" s="43">
        <v>0.87142857142857144</v>
      </c>
      <c r="FA38" s="36" t="s">
        <v>10</v>
      </c>
      <c r="FB38" s="45">
        <f>_xll.StatCovariance( ST_EnvironmentSatisfaction_20,ST_Attrition_2)</f>
        <v>-4.1565135244022527E-2</v>
      </c>
      <c r="FC38" s="45"/>
      <c r="FD38" s="45">
        <f>_xll.StatCovariance( ST_EnvironmentSatisfaction_20,ST_BusinessTravelTravelRarely)</f>
        <v>4.2173166066972008E-3</v>
      </c>
      <c r="FE38" s="45">
        <f>_xll.StatCovariance( ST_EnvironmentSatisfaction_20,ST_BusinessTravelTravelFrequently)</f>
        <v>-5.3981837799790518E-3</v>
      </c>
      <c r="FF38" s="45">
        <f>_xll.StatCovariance( ST_EnvironmentSatisfaction_20,ST_DistanceFromHome_10)</f>
        <v>-0.14245101716656708</v>
      </c>
      <c r="FG38" s="45">
        <f>_xll.StatVariance(ST_EnvironmentSatisfaction_20)</f>
        <v>1.1948287279513548</v>
      </c>
      <c r="FH38" s="45"/>
      <c r="FI38" s="45"/>
      <c r="FJ38" s="45"/>
      <c r="FK38" s="45"/>
      <c r="FL38" s="45"/>
      <c r="FM38" s="45"/>
      <c r="FN38" s="45"/>
      <c r="FO38" s="45"/>
      <c r="FP38" s="45"/>
      <c r="FQ38" s="45"/>
      <c r="FR38" s="45"/>
      <c r="FS38" s="45"/>
      <c r="FT38" s="45"/>
      <c r="FU38" s="45"/>
      <c r="FV38" s="45"/>
      <c r="FW38" s="45"/>
      <c r="FX38" s="45"/>
      <c r="FY38" s="45"/>
      <c r="FZ38" s="45"/>
      <c r="GA38" s="45"/>
      <c r="GB38" s="45"/>
    </row>
    <row r="39" spans="1:184" ht="15" customHeight="1" thickTop="1" x14ac:dyDescent="0.25">
      <c r="A39" s="58">
        <v>35</v>
      </c>
      <c r="B39" s="59">
        <v>0</v>
      </c>
      <c r="C39" s="59">
        <v>1</v>
      </c>
      <c r="D39" s="59">
        <f t="shared" si="0"/>
        <v>1</v>
      </c>
      <c r="E39" s="59">
        <f t="shared" si="1"/>
        <v>0</v>
      </c>
      <c r="F39" s="59">
        <v>890</v>
      </c>
      <c r="G39" s="59">
        <v>1</v>
      </c>
      <c r="H39" s="59">
        <f t="shared" si="2"/>
        <v>1</v>
      </c>
      <c r="I39" s="59">
        <f t="shared" si="3"/>
        <v>0</v>
      </c>
      <c r="J39" s="59">
        <v>2</v>
      </c>
      <c r="K39" s="59">
        <v>3</v>
      </c>
      <c r="L39" s="59">
        <v>4</v>
      </c>
      <c r="M39" s="59">
        <f t="shared" si="4"/>
        <v>0</v>
      </c>
      <c r="N39" s="59">
        <f t="shared" si="5"/>
        <v>0</v>
      </c>
      <c r="O39" s="59">
        <f t="shared" si="6"/>
        <v>0</v>
      </c>
      <c r="P39" s="59">
        <f t="shared" si="7"/>
        <v>1</v>
      </c>
      <c r="Q39" s="59">
        <f t="shared" si="8"/>
        <v>0</v>
      </c>
      <c r="R39" s="59">
        <v>1</v>
      </c>
      <c r="S39" s="59">
        <v>49</v>
      </c>
      <c r="T39" s="59">
        <v>4</v>
      </c>
      <c r="U39" s="59">
        <v>0</v>
      </c>
      <c r="V39" s="59">
        <v>97</v>
      </c>
      <c r="W39" s="59">
        <v>3</v>
      </c>
      <c r="X39" s="59">
        <v>1</v>
      </c>
      <c r="Y39" s="59">
        <v>7</v>
      </c>
      <c r="Z39" s="59">
        <f t="shared" si="9"/>
        <v>0</v>
      </c>
      <c r="AA39" s="59">
        <f>IF('Updated Dummy'!Y39=2,1,0)</f>
        <v>0</v>
      </c>
      <c r="AB39" s="59">
        <f t="shared" si="10"/>
        <v>0</v>
      </c>
      <c r="AC39" s="59">
        <f t="shared" si="11"/>
        <v>0</v>
      </c>
      <c r="AD39" s="59">
        <f t="shared" si="12"/>
        <v>0</v>
      </c>
      <c r="AE39" s="59">
        <f t="shared" si="13"/>
        <v>0</v>
      </c>
      <c r="AF39" s="59">
        <f t="shared" si="14"/>
        <v>1</v>
      </c>
      <c r="AG39" s="59">
        <f t="shared" si="15"/>
        <v>0</v>
      </c>
      <c r="AH39" s="59">
        <v>4</v>
      </c>
      <c r="AI39" s="59">
        <v>2</v>
      </c>
      <c r="AJ39" s="59">
        <f t="shared" si="16"/>
        <v>0</v>
      </c>
      <c r="AK39" s="59">
        <f t="shared" si="17"/>
        <v>1</v>
      </c>
      <c r="AL39" s="59">
        <v>2014</v>
      </c>
      <c r="AM39" s="59">
        <v>9687</v>
      </c>
      <c r="AN39" s="59">
        <v>1</v>
      </c>
      <c r="AO39" s="59">
        <v>0</v>
      </c>
      <c r="AP39" s="59">
        <v>13</v>
      </c>
      <c r="AQ39" s="59">
        <v>3</v>
      </c>
      <c r="AR39" s="59">
        <v>1</v>
      </c>
      <c r="AS39" s="59">
        <v>80</v>
      </c>
      <c r="AT39" s="59">
        <v>0</v>
      </c>
      <c r="AU39" s="59">
        <v>2</v>
      </c>
      <c r="AV39" s="59">
        <v>3</v>
      </c>
      <c r="AW39" s="59">
        <v>3</v>
      </c>
      <c r="AX39" s="59">
        <v>2</v>
      </c>
      <c r="AY39" s="59">
        <v>2</v>
      </c>
      <c r="AZ39" s="59">
        <v>2</v>
      </c>
      <c r="BA39" s="59">
        <v>2</v>
      </c>
      <c r="BB39" s="57">
        <f t="shared" si="18"/>
        <v>2014</v>
      </c>
      <c r="BD39" s="63">
        <f>_xll.StatCorrelationCoeff( ST_RelationshipSatisfaction_44,ST_Age_1)</f>
        <v>5.3534719671228664E-2</v>
      </c>
      <c r="BF39" s="37"/>
      <c r="BG39" s="48" t="s">
        <v>340</v>
      </c>
      <c r="BO39" s="36" t="s">
        <v>329</v>
      </c>
      <c r="BP39" s="43">
        <v>0.21097046413502127</v>
      </c>
      <c r="BX39" s="36" t="s">
        <v>342</v>
      </c>
      <c r="BY39" s="43">
        <v>0.83877551020408159</v>
      </c>
      <c r="CY39" s="42">
        <v>1</v>
      </c>
      <c r="CZ39" s="39">
        <v>79</v>
      </c>
      <c r="DA39" s="39">
        <v>158</v>
      </c>
      <c r="DB39" s="43">
        <v>0.33333333333333331</v>
      </c>
      <c r="DQ39" s="36" t="s">
        <v>341</v>
      </c>
      <c r="DR39" s="43">
        <v>0.87210884353741491</v>
      </c>
      <c r="DZ39" s="37"/>
      <c r="EA39" s="48" t="s">
        <v>340</v>
      </c>
      <c r="EI39" s="36" t="s">
        <v>341</v>
      </c>
      <c r="EJ39" s="43">
        <v>0.87006802721088439</v>
      </c>
      <c r="ER39" s="36" t="s">
        <v>342</v>
      </c>
      <c r="ES39" s="43">
        <v>0.83877551020408159</v>
      </c>
      <c r="FA39" s="36" t="s">
        <v>11</v>
      </c>
      <c r="FB39" s="45">
        <f>_xll.StatCovariance( ST_Gender_21,ST_Attrition_2)</f>
        <v>5.3097345132741541E-3</v>
      </c>
      <c r="FC39" s="45"/>
      <c r="FD39" s="45">
        <f>_xll.StatCovariance( ST_Gender_21,ST_BusinessTravelTravelRarely)</f>
        <v>-3.2675289312457884E-3</v>
      </c>
      <c r="FE39" s="45">
        <f>_xll.StatCovariance( ST_Gender_21,ST_BusinessTravelTravelFrequently)</f>
        <v>-4.2205582028590804E-3</v>
      </c>
      <c r="FF39" s="45">
        <f>_xll.StatCovariance( ST_Gender_21,ST_DistanceFromHome_10)</f>
        <v>-7.3519400953028623E-3</v>
      </c>
      <c r="FG39" s="45">
        <f>_xll.StatCovariance( ST_Gender_21,ST_EnvironmentSatisfaction_20)</f>
        <v>2.7229407760379228E-4</v>
      </c>
      <c r="FH39" s="45">
        <f>_xll.StatVariance(ST_Gender_21)</f>
        <v>0.24016337644656899</v>
      </c>
      <c r="FI39" s="45"/>
      <c r="FJ39" s="45"/>
      <c r="FK39" s="45"/>
      <c r="FL39" s="45"/>
      <c r="FM39" s="45"/>
      <c r="FN39" s="45"/>
      <c r="FO39" s="45"/>
      <c r="FP39" s="45"/>
      <c r="FQ39" s="45"/>
      <c r="FR39" s="45"/>
      <c r="FS39" s="45"/>
      <c r="FT39" s="45"/>
      <c r="FU39" s="45"/>
      <c r="FV39" s="45"/>
      <c r="FW39" s="45"/>
      <c r="FX39" s="45"/>
      <c r="FY39" s="45"/>
      <c r="FZ39" s="45"/>
      <c r="GA39" s="45"/>
      <c r="GB39" s="45"/>
    </row>
    <row r="40" spans="1:184" ht="15" customHeight="1" thickBot="1" x14ac:dyDescent="0.3">
      <c r="A40" s="58">
        <v>36</v>
      </c>
      <c r="B40" s="59">
        <v>0</v>
      </c>
      <c r="C40" s="59">
        <v>1</v>
      </c>
      <c r="D40" s="59">
        <f t="shared" si="0"/>
        <v>1</v>
      </c>
      <c r="E40" s="59">
        <f t="shared" si="1"/>
        <v>0</v>
      </c>
      <c r="F40" s="59">
        <v>852</v>
      </c>
      <c r="G40" s="59">
        <v>2</v>
      </c>
      <c r="H40" s="59">
        <f t="shared" si="2"/>
        <v>0</v>
      </c>
      <c r="I40" s="59">
        <f t="shared" si="3"/>
        <v>1</v>
      </c>
      <c r="J40" s="59">
        <v>5</v>
      </c>
      <c r="K40" s="59">
        <v>4</v>
      </c>
      <c r="L40" s="59">
        <v>1</v>
      </c>
      <c r="M40" s="59">
        <f t="shared" si="4"/>
        <v>1</v>
      </c>
      <c r="N40" s="59">
        <f t="shared" si="5"/>
        <v>0</v>
      </c>
      <c r="O40" s="59">
        <f t="shared" si="6"/>
        <v>0</v>
      </c>
      <c r="P40" s="59">
        <f t="shared" si="7"/>
        <v>0</v>
      </c>
      <c r="Q40" s="59">
        <f t="shared" si="8"/>
        <v>0</v>
      </c>
      <c r="R40" s="59">
        <v>1</v>
      </c>
      <c r="S40" s="59">
        <v>51</v>
      </c>
      <c r="T40" s="59">
        <v>2</v>
      </c>
      <c r="U40" s="59">
        <v>0</v>
      </c>
      <c r="V40" s="59">
        <v>82</v>
      </c>
      <c r="W40" s="59">
        <v>2</v>
      </c>
      <c r="X40" s="59">
        <v>1</v>
      </c>
      <c r="Y40" s="59">
        <v>2</v>
      </c>
      <c r="Z40" s="59">
        <f t="shared" si="9"/>
        <v>0</v>
      </c>
      <c r="AA40" s="59">
        <f>IF('Updated Dummy'!Y40=2,1,0)</f>
        <v>1</v>
      </c>
      <c r="AB40" s="59">
        <f t="shared" si="10"/>
        <v>0</v>
      </c>
      <c r="AC40" s="59">
        <f t="shared" si="11"/>
        <v>0</v>
      </c>
      <c r="AD40" s="59">
        <f t="shared" si="12"/>
        <v>0</v>
      </c>
      <c r="AE40" s="59">
        <f t="shared" si="13"/>
        <v>0</v>
      </c>
      <c r="AF40" s="59">
        <f t="shared" si="14"/>
        <v>0</v>
      </c>
      <c r="AG40" s="59">
        <f t="shared" si="15"/>
        <v>0</v>
      </c>
      <c r="AH40" s="59">
        <v>1</v>
      </c>
      <c r="AI40" s="59">
        <v>2</v>
      </c>
      <c r="AJ40" s="59">
        <f t="shared" si="16"/>
        <v>0</v>
      </c>
      <c r="AK40" s="59">
        <f t="shared" si="17"/>
        <v>1</v>
      </c>
      <c r="AL40" s="59">
        <v>3419</v>
      </c>
      <c r="AM40" s="59">
        <v>13072</v>
      </c>
      <c r="AN40" s="59">
        <v>9</v>
      </c>
      <c r="AO40" s="59">
        <v>1</v>
      </c>
      <c r="AP40" s="59">
        <v>14</v>
      </c>
      <c r="AQ40" s="59">
        <v>3</v>
      </c>
      <c r="AR40" s="59">
        <v>4</v>
      </c>
      <c r="AS40" s="59">
        <v>80</v>
      </c>
      <c r="AT40" s="59">
        <v>1</v>
      </c>
      <c r="AU40" s="59">
        <v>6</v>
      </c>
      <c r="AV40" s="59">
        <v>3</v>
      </c>
      <c r="AW40" s="59">
        <v>4</v>
      </c>
      <c r="AX40" s="59">
        <v>1</v>
      </c>
      <c r="AY40" s="59">
        <v>1</v>
      </c>
      <c r="AZ40" s="59">
        <v>0</v>
      </c>
      <c r="BA40" s="59">
        <v>0</v>
      </c>
      <c r="BB40" s="57">
        <f t="shared" si="18"/>
        <v>3419</v>
      </c>
      <c r="BD40" s="63" t="e">
        <f>_xll.StatCorrelationCoeff( ST_StandardHours_45,ST_Age_1)</f>
        <v>#NUM!</v>
      </c>
      <c r="BF40" s="38" t="s">
        <v>324</v>
      </c>
      <c r="BG40" s="49"/>
      <c r="BX40" s="36" t="s">
        <v>329</v>
      </c>
      <c r="BY40" s="43">
        <v>0.20253164556962056</v>
      </c>
      <c r="CY40" s="42">
        <v>0</v>
      </c>
      <c r="CZ40" s="39">
        <v>36</v>
      </c>
      <c r="DA40" s="39">
        <v>1197</v>
      </c>
      <c r="DB40" s="43">
        <v>0.97080291970802923</v>
      </c>
      <c r="DH40" s="37"/>
      <c r="DI40" s="48" t="s">
        <v>340</v>
      </c>
      <c r="DQ40" s="36" t="s">
        <v>342</v>
      </c>
      <c r="DR40" s="43">
        <v>0.83877551020408159</v>
      </c>
      <c r="DZ40" s="38" t="s">
        <v>324</v>
      </c>
      <c r="EA40" s="49"/>
      <c r="EI40" s="36" t="s">
        <v>342</v>
      </c>
      <c r="EJ40" s="43">
        <v>0.83877551020408159</v>
      </c>
      <c r="ER40" s="36" t="s">
        <v>329</v>
      </c>
      <c r="ES40" s="43">
        <v>0.20253164556962056</v>
      </c>
      <c r="FA40" s="36" t="s">
        <v>13</v>
      </c>
      <c r="FB40" s="45">
        <f>_xll.StatCovariance( ST_JobInvolvement_23,ST_Attrition_2)</f>
        <v>-3.4032591933982691E-2</v>
      </c>
      <c r="FC40" s="45"/>
      <c r="FD40" s="45">
        <f>_xll.StatCovariance( ST_JobInvolvement_23,ST_BusinessTravelTravelRarely)</f>
        <v>8.632370579273187E-3</v>
      </c>
      <c r="FE40" s="45">
        <f>_xll.StatCovariance( ST_JobInvolvement_23,ST_BusinessTravelTravelFrequently)</f>
        <v>1.2313434563751237E-3</v>
      </c>
      <c r="FF40" s="45">
        <f>_xll.StatCovariance( ST_JobInvolvement_23,ST_DistanceFromHome_10)</f>
        <v>5.0666611096446525E-2</v>
      </c>
      <c r="FG40" s="45">
        <f>_xll.StatCovariance( ST_JobInvolvement_23,ST_EnvironmentSatisfaction_20)</f>
        <v>-6.438273062799006E-3</v>
      </c>
      <c r="FH40" s="45">
        <f>_xll.StatCovariance( ST_JobInvolvement_23,ST_Gender_21)</f>
        <v>6.2627637848874989E-3</v>
      </c>
      <c r="FI40" s="45">
        <f>_xll.StatVariance(ST_JobInvolvement_23)</f>
        <v>0.50631926017513573</v>
      </c>
      <c r="FJ40" s="45"/>
      <c r="FK40" s="45"/>
      <c r="FL40" s="45"/>
      <c r="FM40" s="45"/>
      <c r="FN40" s="45"/>
      <c r="FO40" s="45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5"/>
      <c r="GA40" s="45"/>
      <c r="GB40" s="45"/>
    </row>
    <row r="41" spans="1:184" ht="15" customHeight="1" thickTop="1" thickBot="1" x14ac:dyDescent="0.3">
      <c r="A41" s="58">
        <v>33</v>
      </c>
      <c r="B41" s="59">
        <v>0</v>
      </c>
      <c r="C41" s="59">
        <v>2</v>
      </c>
      <c r="D41" s="59">
        <f t="shared" si="0"/>
        <v>0</v>
      </c>
      <c r="E41" s="59">
        <f t="shared" si="1"/>
        <v>1</v>
      </c>
      <c r="F41" s="59">
        <v>1141</v>
      </c>
      <c r="G41" s="59">
        <v>1</v>
      </c>
      <c r="H41" s="59">
        <f t="shared" si="2"/>
        <v>1</v>
      </c>
      <c r="I41" s="59">
        <f t="shared" si="3"/>
        <v>0</v>
      </c>
      <c r="J41" s="59">
        <v>1</v>
      </c>
      <c r="K41" s="59">
        <v>3</v>
      </c>
      <c r="L41" s="59">
        <v>1</v>
      </c>
      <c r="M41" s="59">
        <f t="shared" si="4"/>
        <v>1</v>
      </c>
      <c r="N41" s="59">
        <f t="shared" si="5"/>
        <v>0</v>
      </c>
      <c r="O41" s="59">
        <f t="shared" si="6"/>
        <v>0</v>
      </c>
      <c r="P41" s="59">
        <f t="shared" si="7"/>
        <v>0</v>
      </c>
      <c r="Q41" s="59">
        <f t="shared" si="8"/>
        <v>0</v>
      </c>
      <c r="R41" s="59">
        <v>1</v>
      </c>
      <c r="S41" s="59">
        <v>52</v>
      </c>
      <c r="T41" s="59">
        <v>3</v>
      </c>
      <c r="U41" s="59">
        <v>0</v>
      </c>
      <c r="V41" s="59">
        <v>42</v>
      </c>
      <c r="W41" s="59">
        <v>4</v>
      </c>
      <c r="X41" s="59">
        <v>2</v>
      </c>
      <c r="Y41" s="59">
        <v>1</v>
      </c>
      <c r="Z41" s="59">
        <f t="shared" si="9"/>
        <v>1</v>
      </c>
      <c r="AA41" s="59">
        <f>IF('Updated Dummy'!Y41=2,1,0)</f>
        <v>0</v>
      </c>
      <c r="AB41" s="59">
        <f t="shared" si="10"/>
        <v>0</v>
      </c>
      <c r="AC41" s="59">
        <f t="shared" si="11"/>
        <v>0</v>
      </c>
      <c r="AD41" s="59">
        <f t="shared" si="12"/>
        <v>0</v>
      </c>
      <c r="AE41" s="59">
        <f t="shared" si="13"/>
        <v>0</v>
      </c>
      <c r="AF41" s="59">
        <f t="shared" si="14"/>
        <v>0</v>
      </c>
      <c r="AG41" s="59">
        <f t="shared" si="15"/>
        <v>0</v>
      </c>
      <c r="AH41" s="59">
        <v>1</v>
      </c>
      <c r="AI41" s="59">
        <v>2</v>
      </c>
      <c r="AJ41" s="59">
        <f t="shared" si="16"/>
        <v>0</v>
      </c>
      <c r="AK41" s="59">
        <f t="shared" si="17"/>
        <v>1</v>
      </c>
      <c r="AL41" s="59">
        <v>5376</v>
      </c>
      <c r="AM41" s="59">
        <v>3193</v>
      </c>
      <c r="AN41" s="59">
        <v>2</v>
      </c>
      <c r="AO41" s="59">
        <v>0</v>
      </c>
      <c r="AP41" s="59">
        <v>19</v>
      </c>
      <c r="AQ41" s="59">
        <v>3</v>
      </c>
      <c r="AR41" s="59">
        <v>1</v>
      </c>
      <c r="AS41" s="59">
        <v>80</v>
      </c>
      <c r="AT41" s="59">
        <v>2</v>
      </c>
      <c r="AU41" s="59">
        <v>10</v>
      </c>
      <c r="AV41" s="59">
        <v>3</v>
      </c>
      <c r="AW41" s="59">
        <v>3</v>
      </c>
      <c r="AX41" s="59">
        <v>5</v>
      </c>
      <c r="AY41" s="59">
        <v>3</v>
      </c>
      <c r="AZ41" s="59">
        <v>1</v>
      </c>
      <c r="BA41" s="59">
        <v>3</v>
      </c>
      <c r="BB41" s="57">
        <f t="shared" si="18"/>
        <v>10752</v>
      </c>
      <c r="BD41" s="63">
        <f>_xll.StatCorrelationCoeff( ST_StockOptionLevel_46,ST_Age_1)</f>
        <v>3.7509712424777797E-2</v>
      </c>
      <c r="BF41" s="36" t="s">
        <v>341</v>
      </c>
      <c r="BG41" s="43">
        <v>0.8727891156462585</v>
      </c>
      <c r="DH41" s="38" t="s">
        <v>324</v>
      </c>
      <c r="DI41" s="49"/>
      <c r="DQ41" s="36" t="s">
        <v>329</v>
      </c>
      <c r="DR41" s="43">
        <v>0.20675105485232056</v>
      </c>
      <c r="DZ41" s="36" t="s">
        <v>341</v>
      </c>
      <c r="EA41" s="43">
        <v>0.8755102040816326</v>
      </c>
      <c r="EI41" s="36" t="s">
        <v>329</v>
      </c>
      <c r="EJ41" s="43">
        <v>0.19409282700421984</v>
      </c>
      <c r="FA41" s="36" t="s">
        <v>14</v>
      </c>
      <c r="FB41" s="45">
        <f>_xll.StatCovariance( ST_JobLevel_24,ST_Attrition_2)</f>
        <v>-6.8859838012809191E-2</v>
      </c>
      <c r="FC41" s="45"/>
      <c r="FD41" s="45">
        <f>_xll.StatCovariance( ST_JobLevel_24,ST_BusinessTravelTravelRarely)</f>
        <v>1.1779960452526942E-2</v>
      </c>
      <c r="FE41" s="45">
        <f>_xll.StatCovariance( ST_JobLevel_24,ST_BusinessTravelTravelFrequently)</f>
        <v>-9.3348707760843516E-3</v>
      </c>
      <c r="FF41" s="45">
        <f>_xll.StatCovariance( ST_JobLevel_24,ST_DistanceFromHome_10)</f>
        <v>4.7585705487096668E-2</v>
      </c>
      <c r="FG41" s="45">
        <f>_xll.StatCovariance( ST_JobLevel_24,ST_EnvironmentSatisfaction_20)</f>
        <v>1.4661276355334531E-3</v>
      </c>
      <c r="FH41" s="45">
        <f>_xll.StatCovariance( ST_JobLevel_24,ST_Gender_21)</f>
        <v>-2.1375085091899119E-2</v>
      </c>
      <c r="FI41" s="45">
        <f>_xll.StatCovariance( ST_JobLevel_24,ST_JobInvolvement_23)</f>
        <v>-9.9479955358591169E-3</v>
      </c>
      <c r="FJ41" s="45">
        <f>_xll.StatVariance(ST_JobLevel_24)</f>
        <v>1.2253159398544744</v>
      </c>
      <c r="FK41" s="45"/>
      <c r="FL41" s="45"/>
      <c r="FM41" s="45"/>
      <c r="FN41" s="45"/>
      <c r="FO41" s="45"/>
      <c r="FP41" s="45"/>
      <c r="FQ41" s="45"/>
      <c r="FR41" s="45"/>
      <c r="FS41" s="45"/>
      <c r="FT41" s="45"/>
      <c r="FU41" s="45"/>
      <c r="FV41" s="45"/>
      <c r="FW41" s="45"/>
      <c r="FX41" s="45"/>
      <c r="FY41" s="45"/>
      <c r="FZ41" s="45"/>
      <c r="GA41" s="45"/>
      <c r="GB41" s="45"/>
    </row>
    <row r="42" spans="1:184" ht="15" customHeight="1" thickTop="1" x14ac:dyDescent="0.25">
      <c r="A42" s="58">
        <v>35</v>
      </c>
      <c r="B42" s="59">
        <v>0</v>
      </c>
      <c r="C42" s="59">
        <v>1</v>
      </c>
      <c r="D42" s="59">
        <f t="shared" si="0"/>
        <v>1</v>
      </c>
      <c r="E42" s="59">
        <f t="shared" si="1"/>
        <v>0</v>
      </c>
      <c r="F42" s="59">
        <v>464</v>
      </c>
      <c r="G42" s="59">
        <v>2</v>
      </c>
      <c r="H42" s="59">
        <f t="shared" si="2"/>
        <v>0</v>
      </c>
      <c r="I42" s="59">
        <f t="shared" si="3"/>
        <v>1</v>
      </c>
      <c r="J42" s="59">
        <v>4</v>
      </c>
      <c r="K42" s="59">
        <v>2</v>
      </c>
      <c r="L42" s="59">
        <v>6</v>
      </c>
      <c r="M42" s="59">
        <f t="shared" si="4"/>
        <v>0</v>
      </c>
      <c r="N42" s="59">
        <f t="shared" si="5"/>
        <v>0</v>
      </c>
      <c r="O42" s="59">
        <f t="shared" si="6"/>
        <v>0</v>
      </c>
      <c r="P42" s="59">
        <f t="shared" si="7"/>
        <v>0</v>
      </c>
      <c r="Q42" s="59">
        <f t="shared" si="8"/>
        <v>0</v>
      </c>
      <c r="R42" s="59">
        <v>1</v>
      </c>
      <c r="S42" s="59">
        <v>53</v>
      </c>
      <c r="T42" s="59">
        <v>3</v>
      </c>
      <c r="U42" s="59">
        <v>1</v>
      </c>
      <c r="V42" s="59">
        <v>75</v>
      </c>
      <c r="W42" s="59">
        <v>3</v>
      </c>
      <c r="X42" s="59">
        <v>1</v>
      </c>
      <c r="Y42" s="59">
        <v>3</v>
      </c>
      <c r="Z42" s="59">
        <f t="shared" si="9"/>
        <v>0</v>
      </c>
      <c r="AA42" s="59">
        <f>IF('Updated Dummy'!Y42=2,1,0)</f>
        <v>0</v>
      </c>
      <c r="AB42" s="59">
        <f t="shared" si="10"/>
        <v>1</v>
      </c>
      <c r="AC42" s="59">
        <f t="shared" si="11"/>
        <v>0</v>
      </c>
      <c r="AD42" s="59">
        <f t="shared" si="12"/>
        <v>0</v>
      </c>
      <c r="AE42" s="59">
        <f t="shared" si="13"/>
        <v>0</v>
      </c>
      <c r="AF42" s="59">
        <f t="shared" si="14"/>
        <v>0</v>
      </c>
      <c r="AG42" s="59">
        <f t="shared" si="15"/>
        <v>0</v>
      </c>
      <c r="AH42" s="59">
        <v>4</v>
      </c>
      <c r="AI42" s="59">
        <v>3</v>
      </c>
      <c r="AJ42" s="59">
        <f t="shared" si="16"/>
        <v>0</v>
      </c>
      <c r="AK42" s="59">
        <f t="shared" si="17"/>
        <v>0</v>
      </c>
      <c r="AL42" s="59">
        <v>1951</v>
      </c>
      <c r="AM42" s="59">
        <v>10910</v>
      </c>
      <c r="AN42" s="59">
        <v>1</v>
      </c>
      <c r="AO42" s="59">
        <v>0</v>
      </c>
      <c r="AP42" s="59">
        <v>12</v>
      </c>
      <c r="AQ42" s="59">
        <v>3</v>
      </c>
      <c r="AR42" s="59">
        <v>3</v>
      </c>
      <c r="AS42" s="59">
        <v>80</v>
      </c>
      <c r="AT42" s="59">
        <v>1</v>
      </c>
      <c r="AU42" s="59">
        <v>1</v>
      </c>
      <c r="AV42" s="59">
        <v>3</v>
      </c>
      <c r="AW42" s="59">
        <v>3</v>
      </c>
      <c r="AX42" s="59">
        <v>1</v>
      </c>
      <c r="AY42" s="59">
        <v>0</v>
      </c>
      <c r="AZ42" s="59">
        <v>0</v>
      </c>
      <c r="BA42" s="59">
        <v>0</v>
      </c>
      <c r="BB42" s="57">
        <f t="shared" si="18"/>
        <v>1951</v>
      </c>
      <c r="BD42" s="63">
        <f>_xll.StatCorrelationCoeff( ST_TotalWorkingYears_47,ST_Age_1)</f>
        <v>0.68038053579119906</v>
      </c>
      <c r="BF42" s="36" t="s">
        <v>342</v>
      </c>
      <c r="BG42" s="43">
        <v>0.83877551020408159</v>
      </c>
      <c r="CY42" s="37"/>
      <c r="CZ42" s="48" t="s">
        <v>340</v>
      </c>
      <c r="DH42" s="36" t="s">
        <v>341</v>
      </c>
      <c r="DI42" s="43">
        <v>0.8755102040816326</v>
      </c>
      <c r="DZ42" s="36" t="s">
        <v>342</v>
      </c>
      <c r="EA42" s="43">
        <v>0.83877551020408159</v>
      </c>
      <c r="FA42" s="36" t="s">
        <v>358</v>
      </c>
      <c r="FB42" s="45">
        <f>_xll.StatCovariance( ST_JobRoleSalesExec,ST_Attrition_2)</f>
        <v>3.0230199636015194E-3</v>
      </c>
      <c r="FC42" s="45"/>
      <c r="FD42" s="45">
        <f>_xll.StatCovariance( ST_JobRoleSalesExec,ST_BusinessTravelTravelRarely)</f>
        <v>-2.2496677363933759E-3</v>
      </c>
      <c r="FE42" s="45">
        <f>_xll.StatCovariance( ST_JobRoleSalesExec,ST_BusinessTravelTravelFrequently)</f>
        <v>-1.6541402129265853E-3</v>
      </c>
      <c r="FF42" s="45">
        <f>_xll.StatCovariance( ST_JobRoleSalesExec,ST_DistanceFromHome_10)</f>
        <v>0.10363475546787816</v>
      </c>
      <c r="FG42" s="45">
        <f>_xll.StatCovariance( ST_JobRoleSalesExec,ST_EnvironmentSatisfaction_20)</f>
        <v>-1.1093668236525323E-2</v>
      </c>
      <c r="FH42" s="45">
        <f>_xll.StatCovariance( ST_JobRoleSalesExec,ST_Gender_21)</f>
        <v>-1.0891763104152394E-3</v>
      </c>
      <c r="FI42" s="45">
        <f>_xll.StatCovariance( ST_JobRoleSalesExec,ST_JobInvolvement_23)</f>
        <v>-3.3749646897560963E-3</v>
      </c>
      <c r="FJ42" s="45">
        <f>_xll.StatCovariance( ST_JobRoleSalesExec,ST_JobLevel_24)</f>
        <v>5.8647883932333389E-2</v>
      </c>
      <c r="FK42" s="45">
        <f>_xll.StatVariance(ST_JobRoleSalesExec)</f>
        <v>0.17270483414604348</v>
      </c>
      <c r="FL42" s="45"/>
      <c r="FM42" s="45"/>
      <c r="FN42" s="45"/>
      <c r="FO42" s="45"/>
      <c r="FP42" s="45"/>
      <c r="FQ42" s="45"/>
      <c r="FR42" s="45"/>
      <c r="FS42" s="45"/>
      <c r="FT42" s="45"/>
      <c r="FU42" s="45"/>
      <c r="FV42" s="45"/>
      <c r="FW42" s="45"/>
      <c r="FX42" s="45"/>
      <c r="FY42" s="45"/>
      <c r="FZ42" s="45"/>
      <c r="GA42" s="45"/>
      <c r="GB42" s="45"/>
    </row>
    <row r="43" spans="1:184" ht="15" customHeight="1" thickBot="1" x14ac:dyDescent="0.3">
      <c r="A43" s="58">
        <v>27</v>
      </c>
      <c r="B43" s="59">
        <v>0</v>
      </c>
      <c r="C43" s="59">
        <v>1</v>
      </c>
      <c r="D43" s="59">
        <f t="shared" si="0"/>
        <v>1</v>
      </c>
      <c r="E43" s="59">
        <f t="shared" si="1"/>
        <v>0</v>
      </c>
      <c r="F43" s="59">
        <v>1240</v>
      </c>
      <c r="G43" s="59">
        <v>2</v>
      </c>
      <c r="H43" s="59">
        <f t="shared" si="2"/>
        <v>0</v>
      </c>
      <c r="I43" s="59">
        <f t="shared" si="3"/>
        <v>1</v>
      </c>
      <c r="J43" s="59">
        <v>2</v>
      </c>
      <c r="K43" s="59">
        <v>4</v>
      </c>
      <c r="L43" s="59">
        <v>1</v>
      </c>
      <c r="M43" s="59">
        <f t="shared" si="4"/>
        <v>1</v>
      </c>
      <c r="N43" s="59">
        <f t="shared" si="5"/>
        <v>0</v>
      </c>
      <c r="O43" s="59">
        <f t="shared" si="6"/>
        <v>0</v>
      </c>
      <c r="P43" s="59">
        <f t="shared" si="7"/>
        <v>0</v>
      </c>
      <c r="Q43" s="59">
        <f t="shared" si="8"/>
        <v>0</v>
      </c>
      <c r="R43" s="59">
        <v>1</v>
      </c>
      <c r="S43" s="59">
        <v>54</v>
      </c>
      <c r="T43" s="59">
        <v>4</v>
      </c>
      <c r="U43" s="59">
        <v>0</v>
      </c>
      <c r="V43" s="59">
        <v>33</v>
      </c>
      <c r="W43" s="59">
        <v>3</v>
      </c>
      <c r="X43" s="59">
        <v>1</v>
      </c>
      <c r="Y43" s="59">
        <v>3</v>
      </c>
      <c r="Z43" s="59">
        <f t="shared" si="9"/>
        <v>0</v>
      </c>
      <c r="AA43" s="59">
        <f>IF('Updated Dummy'!Y43=2,1,0)</f>
        <v>0</v>
      </c>
      <c r="AB43" s="59">
        <f t="shared" si="10"/>
        <v>1</v>
      </c>
      <c r="AC43" s="59">
        <f t="shared" si="11"/>
        <v>0</v>
      </c>
      <c r="AD43" s="59">
        <f t="shared" si="12"/>
        <v>0</v>
      </c>
      <c r="AE43" s="59">
        <f t="shared" si="13"/>
        <v>0</v>
      </c>
      <c r="AF43" s="59">
        <f t="shared" si="14"/>
        <v>0</v>
      </c>
      <c r="AG43" s="59">
        <f t="shared" si="15"/>
        <v>0</v>
      </c>
      <c r="AH43" s="59">
        <v>1</v>
      </c>
      <c r="AI43" s="59">
        <v>3</v>
      </c>
      <c r="AJ43" s="59">
        <f t="shared" si="16"/>
        <v>0</v>
      </c>
      <c r="AK43" s="59">
        <f t="shared" si="17"/>
        <v>0</v>
      </c>
      <c r="AL43" s="59">
        <v>2341</v>
      </c>
      <c r="AM43" s="59">
        <v>19715</v>
      </c>
      <c r="AN43" s="59">
        <v>1</v>
      </c>
      <c r="AO43" s="59">
        <v>0</v>
      </c>
      <c r="AP43" s="59">
        <v>13</v>
      </c>
      <c r="AQ43" s="59">
        <v>3</v>
      </c>
      <c r="AR43" s="59">
        <v>4</v>
      </c>
      <c r="AS43" s="59">
        <v>80</v>
      </c>
      <c r="AT43" s="59">
        <v>1</v>
      </c>
      <c r="AU43" s="59">
        <v>1</v>
      </c>
      <c r="AV43" s="59">
        <v>6</v>
      </c>
      <c r="AW43" s="59">
        <v>3</v>
      </c>
      <c r="AX43" s="59">
        <v>1</v>
      </c>
      <c r="AY43" s="59">
        <v>0</v>
      </c>
      <c r="AZ43" s="59">
        <v>0</v>
      </c>
      <c r="BA43" s="59">
        <v>0</v>
      </c>
      <c r="BB43" s="57">
        <f t="shared" si="18"/>
        <v>2341</v>
      </c>
      <c r="BD43" s="63">
        <f>_xll.StatCorrelationCoeff( ST_TrainingTimesLastYear_48,ST_Age_1)</f>
        <v>-1.962081894269839E-2</v>
      </c>
      <c r="BF43" s="36" t="s">
        <v>329</v>
      </c>
      <c r="BG43" s="43">
        <v>0.21097046413502127</v>
      </c>
      <c r="CY43" s="38" t="s">
        <v>324</v>
      </c>
      <c r="CZ43" s="49"/>
      <c r="DH43" s="36" t="s">
        <v>342</v>
      </c>
      <c r="DI43" s="43">
        <v>0.83877551020408159</v>
      </c>
      <c r="DZ43" s="36" t="s">
        <v>329</v>
      </c>
      <c r="EA43" s="43">
        <v>0.22784810126582269</v>
      </c>
      <c r="FA43" s="36" t="s">
        <v>359</v>
      </c>
      <c r="FB43" s="45">
        <f>_xll.StatCovariance( ST_JobRoleResearchScientist,ST_Attrition_2)</f>
        <v>-5.2791708923171993E-5</v>
      </c>
      <c r="FC43" s="45"/>
      <c r="FD43" s="45">
        <f>_xll.StatCovariance( ST_JobRoleResearchScientist,ST_BusinessTravelTravelRarely)</f>
        <v>1.9190249278743634E-3</v>
      </c>
      <c r="FE43" s="45">
        <f>_xll.StatCovariance( ST_JobRoleResearchScientist,ST_BusinessTravelTravelFrequently)</f>
        <v>-6.9648008965333659E-4</v>
      </c>
      <c r="FF43" s="45">
        <f>_xll.StatCovariance( ST_JobRoleResearchScientist,ST_DistanceFromHome_10)</f>
        <v>-3.5544565000948804E-2</v>
      </c>
      <c r="FG43" s="45">
        <f>_xll.StatCovariance( ST_JobRoleResearchScientist,ST_EnvironmentSatisfaction_20)</f>
        <v>8.4651968343491836E-4</v>
      </c>
      <c r="FH43" s="45">
        <f>_xll.StatCovariance( ST_JobRoleResearchScientist,ST_Gender_21)</f>
        <v>1.9060585432266858E-3</v>
      </c>
      <c r="FI43" s="45">
        <f>_xll.StatCovariance( ST_JobRoleResearchScientist,ST_JobInvolvement_23)</f>
        <v>1.351930833599606E-2</v>
      </c>
      <c r="FJ43" s="45">
        <f>_xll.StatCovariance( ST_JobRoleResearchScientist,ST_JobLevel_24)</f>
        <v>-0.1713220618403988</v>
      </c>
      <c r="FK43" s="45">
        <f>_xll.StatCovariance( ST_JobRoleResearchScientist,ST_JobRoleSalesExec)</f>
        <v>-4.4082003121194757E-2</v>
      </c>
      <c r="FL43" s="45">
        <f>_xll.StatVariance(ST_JobRoleResearchScientist)</f>
        <v>0.15929018305756204</v>
      </c>
      <c r="FM43" s="45"/>
      <c r="FN43" s="45"/>
      <c r="FO43" s="45"/>
      <c r="FP43" s="45"/>
      <c r="FQ43" s="45"/>
      <c r="FR43" s="45"/>
      <c r="FS43" s="45"/>
      <c r="FT43" s="45"/>
      <c r="FU43" s="45"/>
      <c r="FV43" s="45"/>
      <c r="FW43" s="45"/>
      <c r="FX43" s="45"/>
      <c r="FY43" s="45"/>
      <c r="FZ43" s="45"/>
      <c r="GA43" s="45"/>
      <c r="GB43" s="45"/>
    </row>
    <row r="44" spans="1:184" ht="15" customHeight="1" thickTop="1" x14ac:dyDescent="0.25">
      <c r="A44" s="58">
        <v>26</v>
      </c>
      <c r="B44" s="59">
        <v>1</v>
      </c>
      <c r="C44" s="59">
        <v>1</v>
      </c>
      <c r="D44" s="59">
        <f t="shared" si="0"/>
        <v>1</v>
      </c>
      <c r="E44" s="59">
        <f t="shared" si="1"/>
        <v>0</v>
      </c>
      <c r="F44" s="59">
        <v>1357</v>
      </c>
      <c r="G44" s="59">
        <v>2</v>
      </c>
      <c r="H44" s="59">
        <f t="shared" si="2"/>
        <v>0</v>
      </c>
      <c r="I44" s="59">
        <f t="shared" si="3"/>
        <v>1</v>
      </c>
      <c r="J44" s="59">
        <v>25</v>
      </c>
      <c r="K44" s="59">
        <v>3</v>
      </c>
      <c r="L44" s="59">
        <v>1</v>
      </c>
      <c r="M44" s="59">
        <f t="shared" si="4"/>
        <v>1</v>
      </c>
      <c r="N44" s="59">
        <f t="shared" si="5"/>
        <v>0</v>
      </c>
      <c r="O44" s="59">
        <f t="shared" si="6"/>
        <v>0</v>
      </c>
      <c r="P44" s="59">
        <f t="shared" si="7"/>
        <v>0</v>
      </c>
      <c r="Q44" s="59">
        <f t="shared" si="8"/>
        <v>0</v>
      </c>
      <c r="R44" s="59">
        <v>1</v>
      </c>
      <c r="S44" s="59">
        <v>55</v>
      </c>
      <c r="T44" s="59">
        <v>1</v>
      </c>
      <c r="U44" s="59">
        <v>1</v>
      </c>
      <c r="V44" s="59">
        <v>48</v>
      </c>
      <c r="W44" s="59">
        <v>1</v>
      </c>
      <c r="X44" s="59">
        <v>1</v>
      </c>
      <c r="Y44" s="59">
        <v>3</v>
      </c>
      <c r="Z44" s="59">
        <f t="shared" si="9"/>
        <v>0</v>
      </c>
      <c r="AA44" s="59">
        <f>IF('Updated Dummy'!Y44=2,1,0)</f>
        <v>0</v>
      </c>
      <c r="AB44" s="59">
        <f t="shared" si="10"/>
        <v>1</v>
      </c>
      <c r="AC44" s="59">
        <f t="shared" si="11"/>
        <v>0</v>
      </c>
      <c r="AD44" s="59">
        <f t="shared" si="12"/>
        <v>0</v>
      </c>
      <c r="AE44" s="59">
        <f t="shared" si="13"/>
        <v>0</v>
      </c>
      <c r="AF44" s="59">
        <f t="shared" si="14"/>
        <v>0</v>
      </c>
      <c r="AG44" s="59">
        <f t="shared" si="15"/>
        <v>0</v>
      </c>
      <c r="AH44" s="59">
        <v>3</v>
      </c>
      <c r="AI44" s="59">
        <v>1</v>
      </c>
      <c r="AJ44" s="59">
        <f t="shared" si="16"/>
        <v>1</v>
      </c>
      <c r="AK44" s="59">
        <f t="shared" si="17"/>
        <v>0</v>
      </c>
      <c r="AL44" s="59">
        <v>2293</v>
      </c>
      <c r="AM44" s="59">
        <v>10558</v>
      </c>
      <c r="AN44" s="59">
        <v>1</v>
      </c>
      <c r="AO44" s="59">
        <v>0</v>
      </c>
      <c r="AP44" s="59">
        <v>12</v>
      </c>
      <c r="AQ44" s="59">
        <v>3</v>
      </c>
      <c r="AR44" s="59">
        <v>3</v>
      </c>
      <c r="AS44" s="59">
        <v>80</v>
      </c>
      <c r="AT44" s="59">
        <v>0</v>
      </c>
      <c r="AU44" s="59">
        <v>1</v>
      </c>
      <c r="AV44" s="59">
        <v>2</v>
      </c>
      <c r="AW44" s="59">
        <v>2</v>
      </c>
      <c r="AX44" s="59">
        <v>1</v>
      </c>
      <c r="AY44" s="59">
        <v>0</v>
      </c>
      <c r="AZ44" s="59">
        <v>0</v>
      </c>
      <c r="BA44" s="59">
        <v>1</v>
      </c>
      <c r="BB44" s="57">
        <f t="shared" si="18"/>
        <v>2293</v>
      </c>
      <c r="BD44" s="63">
        <f>_xll.StatCorrelationCoeff( ST_WorkLifeBalance_49,ST_Age_1)</f>
        <v>-2.1490027957098531E-2</v>
      </c>
      <c r="CY44" s="36" t="s">
        <v>341</v>
      </c>
      <c r="CZ44" s="43">
        <v>0.86802721088435375</v>
      </c>
      <c r="DH44" s="36" t="s">
        <v>329</v>
      </c>
      <c r="DI44" s="43">
        <v>0.22784810126582269</v>
      </c>
      <c r="FA44" s="36" t="s">
        <v>360</v>
      </c>
      <c r="FB44" s="45">
        <f>_xll.StatCovariance( ST_JobRoleLabTechnician,ST_Attrition_2)</f>
        <v>1.378002528445015E-2</v>
      </c>
      <c r="FC44" s="45"/>
      <c r="FD44" s="45">
        <f>_xll.StatCovariance( ST_JobRoleLabTechnician,ST_BusinessTravelTravelRarely)</f>
        <v>-2.5641025641024925E-3</v>
      </c>
      <c r="FE44" s="45">
        <f>_xll.StatCovariance( ST_JobRoleLabTechnician,ST_BusinessTravelTravelFrequently)</f>
        <v>1.4943758306589893E-3</v>
      </c>
      <c r="FF44" s="45">
        <f>_xll.StatCovariance( ST_JobRoleLabTechnician,ST_DistanceFromHome_10)</f>
        <v>3.8215177153230175E-2</v>
      </c>
      <c r="FG44" s="45">
        <f>_xll.StatCovariance( ST_JobRoleLabTechnician,ST_EnvironmentSatisfaction_20)</f>
        <v>-6.3859444390416346E-4</v>
      </c>
      <c r="FH44" s="45">
        <f>_xll.StatCovariance( ST_JobRoleLabTechnician,ST_Gender_21)</f>
        <v>1.2661674608577259E-2</v>
      </c>
      <c r="FI44" s="45">
        <f>_xll.StatCovariance( ST_JobRoleLabTechnician,ST_JobInvolvement_23)</f>
        <v>-6.1622743038672254E-3</v>
      </c>
      <c r="FJ44" s="45">
        <f>_xll.StatCovariance( ST_JobRoleLabTechnician,ST_JobLevel_24)</f>
        <v>-0.14537910467114046</v>
      </c>
      <c r="FK44" s="45">
        <f>_xll.StatCovariance( ST_JobRoleLabTechnician,ST_JobRoleSalesExec)</f>
        <v>-3.9100132905443188E-2</v>
      </c>
      <c r="FL44" s="45">
        <f>_xll.StatCovariance( ST_JobRoleLabTechnician,ST_JobRoleResearchScientist)</f>
        <v>-3.5022204933709937E-2</v>
      </c>
      <c r="FM44" s="45">
        <f>_xll.StatVariance(ST_JobRoleLabTechnician)</f>
        <v>0.14524619922849724</v>
      </c>
      <c r="FN44" s="45"/>
      <c r="FO44" s="45"/>
      <c r="FP44" s="45"/>
      <c r="FQ44" s="45"/>
      <c r="FR44" s="45"/>
      <c r="FS44" s="45"/>
      <c r="FT44" s="45"/>
      <c r="FU44" s="45"/>
      <c r="FV44" s="45"/>
      <c r="FW44" s="45"/>
      <c r="FX44" s="45"/>
      <c r="FY44" s="45"/>
      <c r="FZ44" s="45"/>
      <c r="GA44" s="45"/>
      <c r="GB44" s="45"/>
    </row>
    <row r="45" spans="1:184" ht="15" customHeight="1" x14ac:dyDescent="0.25">
      <c r="A45" s="58">
        <v>27</v>
      </c>
      <c r="B45" s="59">
        <v>0</v>
      </c>
      <c r="C45" s="59">
        <v>2</v>
      </c>
      <c r="D45" s="59">
        <f t="shared" si="0"/>
        <v>0</v>
      </c>
      <c r="E45" s="59">
        <f t="shared" si="1"/>
        <v>1</v>
      </c>
      <c r="F45" s="59">
        <v>994</v>
      </c>
      <c r="G45" s="59">
        <v>1</v>
      </c>
      <c r="H45" s="59">
        <f t="shared" si="2"/>
        <v>1</v>
      </c>
      <c r="I45" s="59">
        <f t="shared" si="3"/>
        <v>0</v>
      </c>
      <c r="J45" s="59">
        <v>8</v>
      </c>
      <c r="K45" s="59">
        <v>3</v>
      </c>
      <c r="L45" s="59">
        <v>1</v>
      </c>
      <c r="M45" s="59">
        <f t="shared" si="4"/>
        <v>1</v>
      </c>
      <c r="N45" s="59">
        <f t="shared" si="5"/>
        <v>0</v>
      </c>
      <c r="O45" s="59">
        <f t="shared" si="6"/>
        <v>0</v>
      </c>
      <c r="P45" s="59">
        <f t="shared" si="7"/>
        <v>0</v>
      </c>
      <c r="Q45" s="59">
        <f t="shared" si="8"/>
        <v>0</v>
      </c>
      <c r="R45" s="59">
        <v>1</v>
      </c>
      <c r="S45" s="59">
        <v>56</v>
      </c>
      <c r="T45" s="59">
        <v>4</v>
      </c>
      <c r="U45" s="59">
        <v>1</v>
      </c>
      <c r="V45" s="59">
        <v>37</v>
      </c>
      <c r="W45" s="59">
        <v>3</v>
      </c>
      <c r="X45" s="59">
        <v>3</v>
      </c>
      <c r="Y45" s="59">
        <v>1</v>
      </c>
      <c r="Z45" s="59">
        <f t="shared" si="9"/>
        <v>1</v>
      </c>
      <c r="AA45" s="59">
        <f>IF('Updated Dummy'!Y45=2,1,0)</f>
        <v>0</v>
      </c>
      <c r="AB45" s="59">
        <f t="shared" si="10"/>
        <v>0</v>
      </c>
      <c r="AC45" s="59">
        <f t="shared" si="11"/>
        <v>0</v>
      </c>
      <c r="AD45" s="59">
        <f t="shared" si="12"/>
        <v>0</v>
      </c>
      <c r="AE45" s="59">
        <f t="shared" si="13"/>
        <v>0</v>
      </c>
      <c r="AF45" s="59">
        <f t="shared" si="14"/>
        <v>0</v>
      </c>
      <c r="AG45" s="59">
        <f t="shared" si="15"/>
        <v>0</v>
      </c>
      <c r="AH45" s="59">
        <v>3</v>
      </c>
      <c r="AI45" s="59">
        <v>1</v>
      </c>
      <c r="AJ45" s="59">
        <f t="shared" si="16"/>
        <v>1</v>
      </c>
      <c r="AK45" s="59">
        <f t="shared" si="17"/>
        <v>0</v>
      </c>
      <c r="AL45" s="59">
        <v>8726</v>
      </c>
      <c r="AM45" s="59">
        <v>2975</v>
      </c>
      <c r="AN45" s="59">
        <v>1</v>
      </c>
      <c r="AO45" s="59">
        <v>0</v>
      </c>
      <c r="AP45" s="59">
        <v>15</v>
      </c>
      <c r="AQ45" s="59">
        <v>3</v>
      </c>
      <c r="AR45" s="59">
        <v>4</v>
      </c>
      <c r="AS45" s="59">
        <v>80</v>
      </c>
      <c r="AT45" s="59">
        <v>0</v>
      </c>
      <c r="AU45" s="59">
        <v>9</v>
      </c>
      <c r="AV45" s="59">
        <v>0</v>
      </c>
      <c r="AW45" s="59">
        <v>3</v>
      </c>
      <c r="AX45" s="59">
        <v>9</v>
      </c>
      <c r="AY45" s="59">
        <v>8</v>
      </c>
      <c r="AZ45" s="59">
        <v>1</v>
      </c>
      <c r="BA45" s="59">
        <v>7</v>
      </c>
      <c r="BB45" s="57">
        <f t="shared" si="18"/>
        <v>26178</v>
      </c>
      <c r="BD45" s="63">
        <f>_xll.StatCorrelationCoeff( ST_YearsAtCompany_50,ST_Age_1)</f>
        <v>0.31130876974509936</v>
      </c>
      <c r="CY45" s="36" t="s">
        <v>342</v>
      </c>
      <c r="CZ45" s="43">
        <v>0.83877551020408159</v>
      </c>
      <c r="FA45" s="36" t="s">
        <v>361</v>
      </c>
      <c r="FB45" s="45">
        <f>_xll.StatCovariance( ST_JobRoleManufacturingDirector,ST_Attrition_2)</f>
        <v>-9.1065697892500595E-3</v>
      </c>
      <c r="FC45" s="45"/>
      <c r="FD45" s="45">
        <f>_xll.StatCovariance( ST_JobRoleManufacturingDirector,ST_BusinessTravelTravelRarely)</f>
        <v>8.103990404878239E-5</v>
      </c>
      <c r="FE45" s="45">
        <f>_xll.StatCovariance( ST_JobRoleManufacturingDirector,ST_BusinessTravelTravelFrequently)</f>
        <v>1.1415049341724466E-3</v>
      </c>
      <c r="FF45" s="45">
        <f>_xll.StatCovariance( ST_JobRoleManufacturingDirector,ST_DistanceFromHome_10)</f>
        <v>2.8648763794149382E-2</v>
      </c>
      <c r="FG45" s="45">
        <f>_xll.StatCovariance( ST_JobRoleManufacturingDirector,ST_EnvironmentSatisfaction_20)</f>
        <v>1.9294443441093202E-2</v>
      </c>
      <c r="FH45" s="45">
        <f>_xll.StatCovariance( ST_JobRoleManufacturingDirector,ST_Gender_21)</f>
        <v>-9.5302927161334712E-3</v>
      </c>
      <c r="FI45" s="45">
        <f>_xll.StatCovariance( ST_JobRoleManufacturingDirector,ST_JobInvolvement_23)</f>
        <v>-4.6563213440582651E-3</v>
      </c>
      <c r="FJ45" s="45">
        <f>_xll.StatCovariance( ST_JobRoleManufacturingDirector,ST_JobLevel_24)</f>
        <v>3.79359367981369E-2</v>
      </c>
      <c r="FK45" s="45">
        <f>_xll.StatCovariance( ST_JobRoleManufacturingDirector,ST_JobRoleSalesExec)</f>
        <v>-2.1890035796483118E-2</v>
      </c>
      <c r="FL45" s="45">
        <f>_xll.StatCovariance( ST_JobRoleManufacturingDirector,ST_JobRoleResearchScientist)</f>
        <v>-1.9607025928138174E-2</v>
      </c>
      <c r="FM45" s="45">
        <f>_xll.StatCovariance( ST_JobRoleManufacturingDirector,ST_JobRoleLabTechnician)</f>
        <v>-1.739116340886283E-2</v>
      </c>
      <c r="FN45" s="45">
        <f>_xll.StatVariance(ST_JobRoleManufacturingDirector)</f>
        <v>8.8970237516379322E-2</v>
      </c>
      <c r="FO45" s="45"/>
      <c r="FP45" s="45"/>
      <c r="FQ45" s="45"/>
      <c r="FR45" s="45"/>
      <c r="FS45" s="45"/>
      <c r="FT45" s="45"/>
      <c r="FU45" s="45"/>
      <c r="FV45" s="45"/>
      <c r="FW45" s="45"/>
      <c r="FX45" s="45"/>
      <c r="FY45" s="45"/>
      <c r="FZ45" s="45"/>
      <c r="GA45" s="45"/>
      <c r="GB45" s="45"/>
    </row>
    <row r="46" spans="1:184" ht="15" customHeight="1" x14ac:dyDescent="0.25">
      <c r="A46" s="58">
        <v>30</v>
      </c>
      <c r="B46" s="59">
        <v>0</v>
      </c>
      <c r="C46" s="59">
        <v>2</v>
      </c>
      <c r="D46" s="59">
        <f t="shared" si="0"/>
        <v>0</v>
      </c>
      <c r="E46" s="59">
        <f t="shared" si="1"/>
        <v>1</v>
      </c>
      <c r="F46" s="59">
        <v>721</v>
      </c>
      <c r="G46" s="59">
        <v>2</v>
      </c>
      <c r="H46" s="59">
        <f t="shared" si="2"/>
        <v>0</v>
      </c>
      <c r="I46" s="59">
        <f t="shared" si="3"/>
        <v>1</v>
      </c>
      <c r="J46" s="59">
        <v>1</v>
      </c>
      <c r="K46" s="59">
        <v>2</v>
      </c>
      <c r="L46" s="59">
        <v>3</v>
      </c>
      <c r="M46" s="59">
        <f t="shared" si="4"/>
        <v>0</v>
      </c>
      <c r="N46" s="59">
        <f t="shared" si="5"/>
        <v>0</v>
      </c>
      <c r="O46" s="59">
        <f t="shared" si="6"/>
        <v>1</v>
      </c>
      <c r="P46" s="59">
        <f t="shared" si="7"/>
        <v>0</v>
      </c>
      <c r="Q46" s="59">
        <f t="shared" si="8"/>
        <v>0</v>
      </c>
      <c r="R46" s="59">
        <v>1</v>
      </c>
      <c r="S46" s="59">
        <v>57</v>
      </c>
      <c r="T46" s="59">
        <v>3</v>
      </c>
      <c r="U46" s="59">
        <v>0</v>
      </c>
      <c r="V46" s="59">
        <v>58</v>
      </c>
      <c r="W46" s="59">
        <v>3</v>
      </c>
      <c r="X46" s="59">
        <v>2</v>
      </c>
      <c r="Y46" s="59">
        <v>3</v>
      </c>
      <c r="Z46" s="59">
        <f t="shared" si="9"/>
        <v>0</v>
      </c>
      <c r="AA46" s="59">
        <f>IF('Updated Dummy'!Y46=2,1,0)</f>
        <v>0</v>
      </c>
      <c r="AB46" s="59">
        <f t="shared" si="10"/>
        <v>1</v>
      </c>
      <c r="AC46" s="59">
        <f t="shared" si="11"/>
        <v>0</v>
      </c>
      <c r="AD46" s="59">
        <f t="shared" si="12"/>
        <v>0</v>
      </c>
      <c r="AE46" s="59">
        <f t="shared" si="13"/>
        <v>0</v>
      </c>
      <c r="AF46" s="59">
        <f t="shared" si="14"/>
        <v>0</v>
      </c>
      <c r="AG46" s="59">
        <f t="shared" si="15"/>
        <v>0</v>
      </c>
      <c r="AH46" s="59">
        <v>4</v>
      </c>
      <c r="AI46" s="59">
        <v>1</v>
      </c>
      <c r="AJ46" s="59">
        <f t="shared" si="16"/>
        <v>1</v>
      </c>
      <c r="AK46" s="59">
        <f t="shared" si="17"/>
        <v>0</v>
      </c>
      <c r="AL46" s="59">
        <v>4011</v>
      </c>
      <c r="AM46" s="59">
        <v>10781</v>
      </c>
      <c r="AN46" s="59">
        <v>1</v>
      </c>
      <c r="AO46" s="59">
        <v>0</v>
      </c>
      <c r="AP46" s="59">
        <v>23</v>
      </c>
      <c r="AQ46" s="59">
        <v>4</v>
      </c>
      <c r="AR46" s="59">
        <v>4</v>
      </c>
      <c r="AS46" s="59">
        <v>80</v>
      </c>
      <c r="AT46" s="59">
        <v>0</v>
      </c>
      <c r="AU46" s="59">
        <v>12</v>
      </c>
      <c r="AV46" s="59">
        <v>2</v>
      </c>
      <c r="AW46" s="59">
        <v>3</v>
      </c>
      <c r="AX46" s="59">
        <v>12</v>
      </c>
      <c r="AY46" s="59">
        <v>8</v>
      </c>
      <c r="AZ46" s="59">
        <v>3</v>
      </c>
      <c r="BA46" s="59">
        <v>7</v>
      </c>
      <c r="BB46" s="57">
        <f t="shared" si="18"/>
        <v>8022</v>
      </c>
      <c r="BD46" s="63">
        <f>_xll.StatCorrelationCoeff( ST_YearsInCurrentRole_51,ST_Age_1)</f>
        <v>0.21290105556556688</v>
      </c>
      <c r="CY46" s="36" t="s">
        <v>329</v>
      </c>
      <c r="CZ46" s="43">
        <v>0.18143459915611843</v>
      </c>
      <c r="FA46" s="36" t="s">
        <v>365</v>
      </c>
      <c r="FB46" s="45">
        <f>_xll.StatCovariance( ST_JobRoleHealthcareRep,ST_Attrition_2)</f>
        <v>-8.2507884024952127E-3</v>
      </c>
      <c r="FC46" s="45"/>
      <c r="FD46" s="45">
        <f>_xll.StatCovariance( ST_JobRoleHealthcareRep,ST_BusinessTravelTravelRarely)</f>
        <v>-2.006548024247168E-3</v>
      </c>
      <c r="FE46" s="45">
        <f>_xll.StatCovariance( ST_JobRoleHealthcareRep,ST_BusinessTravelTravelFrequently)</f>
        <v>8.951436258642331E-4</v>
      </c>
      <c r="FF46" s="45">
        <f>_xll.StatCovariance( ST_JobRoleHealthcareRep,ST_DistanceFromHome_10)</f>
        <v>5.2947768624127388E-2</v>
      </c>
      <c r="FG46" s="45">
        <f>_xll.StatCovariance( ST_JobRoleHealthcareRep,ST_EnvironmentSatisfaction_20)</f>
        <v>4.3895842884464934E-3</v>
      </c>
      <c r="FH46" s="45">
        <f>_xll.StatCovariance( ST_JobRoleHealthcareRep,ST_Gender_21)</f>
        <v>9.5302927161337154E-4</v>
      </c>
      <c r="FI46" s="45">
        <f>_xll.StatCovariance( ST_JobRoleHealthcareRep,ST_JobInvolvement_23)</f>
        <v>2.5793843745803652E-4</v>
      </c>
      <c r="FJ46" s="45">
        <f>_xll.StatCovariance( ST_JobRoleHealthcareRep,ST_JobLevel_24)</f>
        <v>3.6503151294554941E-2</v>
      </c>
      <c r="FK46" s="45">
        <f>_xll.StatCovariance( ST_JobRoleHealthcareRep,ST_JobRoleSalesExec)</f>
        <v>-1.9776515098891594E-2</v>
      </c>
      <c r="FL46" s="45">
        <f>_xll.StatCovariance( ST_JobRoleHealthcareRep,ST_JobRoleResearchScientist)</f>
        <v>-1.7713933769559136E-2</v>
      </c>
      <c r="FM46" s="45">
        <f>_xll.StatCovariance( ST_JobRoleHealthcareRep,ST_JobRoleLabTechnician)</f>
        <v>-1.5712016596972661E-2</v>
      </c>
      <c r="FN46" s="45">
        <f>_xll.StatCovariance( ST_JobRoleHealthcareRep,ST_JobRoleManufacturingDirector)</f>
        <v>-8.7963027280344823E-3</v>
      </c>
      <c r="FO46" s="45">
        <f>_xll.StatVariance(ST_JobRoleHealthcareRep)</f>
        <v>8.122930588164394E-2</v>
      </c>
      <c r="FP46" s="45"/>
      <c r="FQ46" s="45"/>
      <c r="FR46" s="45"/>
      <c r="FS46" s="45"/>
      <c r="FT46" s="45"/>
      <c r="FU46" s="45"/>
      <c r="FV46" s="45"/>
      <c r="FW46" s="45"/>
      <c r="FX46" s="45"/>
      <c r="FY46" s="45"/>
      <c r="FZ46" s="45"/>
      <c r="GA46" s="45"/>
      <c r="GB46" s="45"/>
    </row>
    <row r="47" spans="1:184" ht="15" customHeight="1" x14ac:dyDescent="0.25">
      <c r="A47" s="58">
        <v>41</v>
      </c>
      <c r="B47" s="59">
        <v>1</v>
      </c>
      <c r="C47" s="59">
        <v>1</v>
      </c>
      <c r="D47" s="59">
        <f t="shared" si="0"/>
        <v>1</v>
      </c>
      <c r="E47" s="59">
        <f t="shared" si="1"/>
        <v>0</v>
      </c>
      <c r="F47" s="59">
        <v>1360</v>
      </c>
      <c r="G47" s="59">
        <v>2</v>
      </c>
      <c r="H47" s="59">
        <f t="shared" si="2"/>
        <v>0</v>
      </c>
      <c r="I47" s="59">
        <f t="shared" si="3"/>
        <v>1</v>
      </c>
      <c r="J47" s="59">
        <v>12</v>
      </c>
      <c r="K47" s="59">
        <v>3</v>
      </c>
      <c r="L47" s="59">
        <v>5</v>
      </c>
      <c r="M47" s="59">
        <f t="shared" si="4"/>
        <v>0</v>
      </c>
      <c r="N47" s="59">
        <f t="shared" si="5"/>
        <v>0</v>
      </c>
      <c r="O47" s="59">
        <f t="shared" si="6"/>
        <v>0</v>
      </c>
      <c r="P47" s="59">
        <f t="shared" si="7"/>
        <v>0</v>
      </c>
      <c r="Q47" s="59">
        <f t="shared" si="8"/>
        <v>1</v>
      </c>
      <c r="R47" s="59">
        <v>1</v>
      </c>
      <c r="S47" s="59">
        <v>58</v>
      </c>
      <c r="T47" s="59">
        <v>2</v>
      </c>
      <c r="U47" s="59">
        <v>0</v>
      </c>
      <c r="V47" s="59">
        <v>49</v>
      </c>
      <c r="W47" s="59">
        <v>3</v>
      </c>
      <c r="X47" s="59">
        <v>5</v>
      </c>
      <c r="Y47" s="59">
        <v>8</v>
      </c>
      <c r="Z47" s="59">
        <f t="shared" si="9"/>
        <v>0</v>
      </c>
      <c r="AA47" s="59">
        <f>IF('Updated Dummy'!Y47=2,1,0)</f>
        <v>0</v>
      </c>
      <c r="AB47" s="59">
        <f t="shared" si="10"/>
        <v>0</v>
      </c>
      <c r="AC47" s="59">
        <f t="shared" si="11"/>
        <v>0</v>
      </c>
      <c r="AD47" s="59">
        <f t="shared" si="12"/>
        <v>0</v>
      </c>
      <c r="AE47" s="59">
        <f t="shared" si="13"/>
        <v>0</v>
      </c>
      <c r="AF47" s="59">
        <f t="shared" si="14"/>
        <v>0</v>
      </c>
      <c r="AG47" s="59">
        <f t="shared" si="15"/>
        <v>1</v>
      </c>
      <c r="AH47" s="59">
        <v>3</v>
      </c>
      <c r="AI47" s="59">
        <v>2</v>
      </c>
      <c r="AJ47" s="59">
        <f t="shared" si="16"/>
        <v>0</v>
      </c>
      <c r="AK47" s="59">
        <f t="shared" si="17"/>
        <v>1</v>
      </c>
      <c r="AL47" s="59">
        <v>19545</v>
      </c>
      <c r="AM47" s="59">
        <v>16280</v>
      </c>
      <c r="AN47" s="59">
        <v>1</v>
      </c>
      <c r="AO47" s="59">
        <v>0</v>
      </c>
      <c r="AP47" s="59">
        <v>12</v>
      </c>
      <c r="AQ47" s="59">
        <v>3</v>
      </c>
      <c r="AR47" s="59">
        <v>4</v>
      </c>
      <c r="AS47" s="59">
        <v>80</v>
      </c>
      <c r="AT47" s="59">
        <v>0</v>
      </c>
      <c r="AU47" s="59">
        <v>23</v>
      </c>
      <c r="AV47" s="59">
        <v>0</v>
      </c>
      <c r="AW47" s="59">
        <v>3</v>
      </c>
      <c r="AX47" s="59">
        <v>22</v>
      </c>
      <c r="AY47" s="59">
        <v>15</v>
      </c>
      <c r="AZ47" s="59">
        <v>15</v>
      </c>
      <c r="BA47" s="59">
        <v>8</v>
      </c>
      <c r="BB47" s="57">
        <f t="shared" si="18"/>
        <v>97725</v>
      </c>
      <c r="BD47" s="63">
        <f>_xll.StatCorrelationCoeff( ST_YearsSinceLastPromotion_52,ST_Age_1)</f>
        <v>0.21651336785165384</v>
      </c>
      <c r="FA47" s="36" t="s">
        <v>362</v>
      </c>
      <c r="FB47" s="45">
        <f>_xll.StatCovariance( ST_JobRoleManager,ST_Attrition_2)</f>
        <v>-7.790944832664376E-3</v>
      </c>
      <c r="FC47" s="45"/>
      <c r="FD47" s="45">
        <f>_xll.StatCovariance( ST_JobRoleManager,ST_BusinessTravelTravelRarely)</f>
        <v>3.1508314694155231E-3</v>
      </c>
      <c r="FE47" s="45">
        <f>_xll.StatCovariance( ST_JobRoleManager,ST_BusinessTravelTravelFrequently)</f>
        <v>-4.2344507578389607E-3</v>
      </c>
      <c r="FF47" s="45">
        <f>_xll.StatCovariance( ST_JobRoleManager,ST_DistanceFromHome_10)</f>
        <v>-8.0760200608494481E-2</v>
      </c>
      <c r="FG47" s="45">
        <f>_xll.StatCovariance( ST_JobRoleManager,ST_EnvironmentSatisfaction_20)</f>
        <v>2.9813422986621129E-3</v>
      </c>
      <c r="FH47" s="45">
        <f>_xll.StatCovariance( ST_JobRoleManager,ST_Gender_21)</f>
        <v>-4.2205582028591922E-3</v>
      </c>
      <c r="FI47" s="45">
        <f>_xll.StatCovariance( ST_JobRoleManager,ST_JobInvolvement_23)</f>
        <v>3.0952612494963994E-3</v>
      </c>
      <c r="FJ47" s="45">
        <f>_xll.StatCovariance( ST_JobRoleManager,ST_JobLevel_24)</f>
        <v>0.15553271002070471</v>
      </c>
      <c r="FK47" s="45">
        <f>_xll.StatCovariance( ST_JobRoleManager,ST_JobRoleSalesExec)</f>
        <v>-1.5398507939595386E-2</v>
      </c>
      <c r="FL47" s="45">
        <f>_xll.StatCovariance( ST_JobRoleManager,ST_JobRoleResearchScientist)</f>
        <v>-1.379252858393203E-2</v>
      </c>
      <c r="FM47" s="45">
        <f>_xll.StatCovariance( ST_JobRoleManager,ST_JobRoleLabTechnician)</f>
        <v>-1.2233783915200084E-2</v>
      </c>
      <c r="FN47" s="45">
        <f>_xll.StatCovariance( ST_JobRoleManager,ST_JobRoleManufacturingDirector)</f>
        <v>-6.84902960503462E-3</v>
      </c>
      <c r="FO47" s="45">
        <f>_xll.StatCovariance( ST_JobRoleManager,ST_JobRoleHealthcareRep)</f>
        <v>-6.187743987996935E-3</v>
      </c>
      <c r="FP47" s="45">
        <f>_xll.StatVariance(ST_JobRoleManager)</f>
        <v>6.4617051721981525E-2</v>
      </c>
      <c r="FQ47" s="45"/>
      <c r="FR47" s="45"/>
      <c r="FS47" s="45"/>
      <c r="FT47" s="45"/>
      <c r="FU47" s="45"/>
      <c r="FV47" s="45"/>
      <c r="FW47" s="45"/>
      <c r="FX47" s="45"/>
      <c r="FY47" s="45"/>
      <c r="FZ47" s="45"/>
      <c r="GA47" s="45"/>
      <c r="GB47" s="45"/>
    </row>
    <row r="48" spans="1:184" ht="15" customHeight="1" x14ac:dyDescent="0.25">
      <c r="A48" s="58">
        <v>34</v>
      </c>
      <c r="B48" s="59">
        <v>0</v>
      </c>
      <c r="C48" s="59">
        <v>3</v>
      </c>
      <c r="D48" s="59">
        <f t="shared" si="0"/>
        <v>0</v>
      </c>
      <c r="E48" s="59">
        <f t="shared" si="1"/>
        <v>0</v>
      </c>
      <c r="F48" s="59">
        <v>1065</v>
      </c>
      <c r="G48" s="59">
        <v>1</v>
      </c>
      <c r="H48" s="59">
        <f t="shared" si="2"/>
        <v>1</v>
      </c>
      <c r="I48" s="59">
        <f t="shared" si="3"/>
        <v>0</v>
      </c>
      <c r="J48" s="59">
        <v>23</v>
      </c>
      <c r="K48" s="59">
        <v>4</v>
      </c>
      <c r="L48" s="59">
        <v>4</v>
      </c>
      <c r="M48" s="59">
        <f t="shared" si="4"/>
        <v>0</v>
      </c>
      <c r="N48" s="59">
        <f t="shared" si="5"/>
        <v>0</v>
      </c>
      <c r="O48" s="59">
        <f t="shared" si="6"/>
        <v>0</v>
      </c>
      <c r="P48" s="59">
        <f t="shared" si="7"/>
        <v>1</v>
      </c>
      <c r="Q48" s="59">
        <f t="shared" si="8"/>
        <v>0</v>
      </c>
      <c r="R48" s="59">
        <v>1</v>
      </c>
      <c r="S48" s="59">
        <v>60</v>
      </c>
      <c r="T48" s="59">
        <v>2</v>
      </c>
      <c r="U48" s="59">
        <v>1</v>
      </c>
      <c r="V48" s="59">
        <v>72</v>
      </c>
      <c r="W48" s="59">
        <v>3</v>
      </c>
      <c r="X48" s="59">
        <v>2</v>
      </c>
      <c r="Y48" s="59">
        <v>1</v>
      </c>
      <c r="Z48" s="59">
        <f t="shared" si="9"/>
        <v>1</v>
      </c>
      <c r="AA48" s="59">
        <f>IF('Updated Dummy'!Y48=2,1,0)</f>
        <v>0</v>
      </c>
      <c r="AB48" s="59">
        <f t="shared" si="10"/>
        <v>0</v>
      </c>
      <c r="AC48" s="59">
        <f t="shared" si="11"/>
        <v>0</v>
      </c>
      <c r="AD48" s="59">
        <f t="shared" si="12"/>
        <v>0</v>
      </c>
      <c r="AE48" s="59">
        <f t="shared" si="13"/>
        <v>0</v>
      </c>
      <c r="AF48" s="59">
        <f t="shared" si="14"/>
        <v>0</v>
      </c>
      <c r="AG48" s="59">
        <f t="shared" si="15"/>
        <v>0</v>
      </c>
      <c r="AH48" s="59">
        <v>3</v>
      </c>
      <c r="AI48" s="59">
        <v>1</v>
      </c>
      <c r="AJ48" s="59">
        <f t="shared" si="16"/>
        <v>1</v>
      </c>
      <c r="AK48" s="59">
        <f t="shared" si="17"/>
        <v>0</v>
      </c>
      <c r="AL48" s="59">
        <v>4568</v>
      </c>
      <c r="AM48" s="59">
        <v>10034</v>
      </c>
      <c r="AN48" s="59">
        <v>0</v>
      </c>
      <c r="AO48" s="59">
        <v>0</v>
      </c>
      <c r="AP48" s="59">
        <v>20</v>
      </c>
      <c r="AQ48" s="59">
        <v>4</v>
      </c>
      <c r="AR48" s="59">
        <v>3</v>
      </c>
      <c r="AS48" s="59">
        <v>80</v>
      </c>
      <c r="AT48" s="59">
        <v>0</v>
      </c>
      <c r="AU48" s="59">
        <v>10</v>
      </c>
      <c r="AV48" s="59">
        <v>2</v>
      </c>
      <c r="AW48" s="59">
        <v>3</v>
      </c>
      <c r="AX48" s="59">
        <v>9</v>
      </c>
      <c r="AY48" s="59">
        <v>5</v>
      </c>
      <c r="AZ48" s="59">
        <v>8</v>
      </c>
      <c r="BA48" s="59">
        <v>7</v>
      </c>
      <c r="BB48" s="57">
        <f t="shared" si="18"/>
        <v>9136</v>
      </c>
      <c r="BD48" s="63">
        <f>_xll.StatCorrelationCoeff( ST_YearsWithCurrManager_53,ST_Age_1)</f>
        <v>0.20208860237515219</v>
      </c>
      <c r="FA48" s="36" t="s">
        <v>363</v>
      </c>
      <c r="FB48" s="45">
        <f>_xll.StatCovariance( ST_JobRoleSalesRep,ST_Attrition_2)</f>
        <v>1.3354913102068832E-2</v>
      </c>
      <c r="FC48" s="45"/>
      <c r="FD48" s="45">
        <f>_xll.StatCovariance( ST_JobRoleSalesRep,ST_BusinessTravelTravelRarely)</f>
        <v>-2.6483840643132155E-3</v>
      </c>
      <c r="FE48" s="45">
        <f>_xll.StatCovariance( ST_JobRoleSalesRep,ST_BusinessTravelTravelFrequently)</f>
        <v>5.0101184108768794E-3</v>
      </c>
      <c r="FF48" s="45">
        <f>_xll.StatCovariance( ST_JobRoleSalesRep,ST_DistanceFromHome_10)</f>
        <v>-2.9937992896273587E-2</v>
      </c>
      <c r="FG48" s="45">
        <f>_xll.StatCovariance( ST_JobRoleSalesRep,ST_EnvironmentSatisfaction_20)</f>
        <v>7.441778617505386E-4</v>
      </c>
      <c r="FH48" s="45">
        <f>_xll.StatCovariance( ST_JobRoleSalesRep,ST_Gender_21)</f>
        <v>-3.2675289312457433E-3</v>
      </c>
      <c r="FI48" s="45">
        <f>_xll.StatCovariance( ST_JobRoleSalesRep,ST_JobInvolvement_23)</f>
        <v>-4.4822013216450872E-3</v>
      </c>
      <c r="FJ48" s="45">
        <f>_xll.StatCovariance( ST_JobRoleSalesRep,ST_JobLevel_24)</f>
        <v>-5.5348865209800174E-2</v>
      </c>
      <c r="FK48" s="45">
        <f>_xll.StatCovariance( ST_JobRoleSalesRep,ST_JobRoleSalesExec)</f>
        <v>-1.2530158421435468E-2</v>
      </c>
      <c r="FL48" s="45">
        <f>_xll.StatCovariance( ST_JobRoleSalesRep,ST_JobRoleResearchScientist)</f>
        <v>-1.1223332083003168E-2</v>
      </c>
      <c r="FM48" s="45">
        <f>_xll.StatCovariance( ST_JobRoleSalesRep,ST_JobRoleLabTechnician)</f>
        <v>-9.954941813348734E-3</v>
      </c>
      <c r="FN48" s="45">
        <f>_xll.StatCovariance( ST_JobRoleSalesRep,ST_JobRoleManufacturingDirector)</f>
        <v>-5.5732299727244321E-3</v>
      </c>
      <c r="FO48" s="45">
        <f>_xll.StatCovariance( ST_JobRoleSalesRep,ST_JobRoleHealthcareRep)</f>
        <v>-5.0351250098404528E-3</v>
      </c>
      <c r="FP48" s="45">
        <f>_xll.StatCovariance( ST_JobRoleSalesRep,ST_JobRoleManager)</f>
        <v>-3.9204790152956893E-3</v>
      </c>
      <c r="FQ48" s="45">
        <f>_xll.StatVariance(ST_JobRoleSalesRep)</f>
        <v>5.3310827394265611E-2</v>
      </c>
      <c r="FR48" s="45"/>
      <c r="FS48" s="45"/>
      <c r="FT48" s="45"/>
      <c r="FU48" s="45"/>
      <c r="FV48" s="45"/>
      <c r="FW48" s="45"/>
      <c r="FX48" s="45"/>
      <c r="FY48" s="45"/>
      <c r="FZ48" s="45"/>
      <c r="GA48" s="45"/>
      <c r="GB48" s="45"/>
    </row>
    <row r="49" spans="1:184" ht="15" customHeight="1" x14ac:dyDescent="0.25">
      <c r="A49" s="58">
        <v>37</v>
      </c>
      <c r="B49" s="59">
        <v>0</v>
      </c>
      <c r="C49" s="59">
        <v>1</v>
      </c>
      <c r="D49" s="59">
        <f t="shared" si="0"/>
        <v>1</v>
      </c>
      <c r="E49" s="59">
        <f t="shared" si="1"/>
        <v>0</v>
      </c>
      <c r="F49" s="59">
        <v>408</v>
      </c>
      <c r="G49" s="59">
        <v>2</v>
      </c>
      <c r="H49" s="59">
        <f t="shared" si="2"/>
        <v>0</v>
      </c>
      <c r="I49" s="59">
        <f t="shared" si="3"/>
        <v>1</v>
      </c>
      <c r="J49" s="59">
        <v>19</v>
      </c>
      <c r="K49" s="59">
        <v>2</v>
      </c>
      <c r="L49" s="59">
        <v>1</v>
      </c>
      <c r="M49" s="59">
        <f t="shared" si="4"/>
        <v>1</v>
      </c>
      <c r="N49" s="59">
        <f t="shared" si="5"/>
        <v>0</v>
      </c>
      <c r="O49" s="59">
        <f t="shared" si="6"/>
        <v>0</v>
      </c>
      <c r="P49" s="59">
        <f t="shared" si="7"/>
        <v>0</v>
      </c>
      <c r="Q49" s="59">
        <f t="shared" si="8"/>
        <v>0</v>
      </c>
      <c r="R49" s="59">
        <v>1</v>
      </c>
      <c r="S49" s="59">
        <v>61</v>
      </c>
      <c r="T49" s="59">
        <v>2</v>
      </c>
      <c r="U49" s="59">
        <v>1</v>
      </c>
      <c r="V49" s="59">
        <v>73</v>
      </c>
      <c r="W49" s="59">
        <v>3</v>
      </c>
      <c r="X49" s="59">
        <v>1</v>
      </c>
      <c r="Y49" s="59">
        <v>2</v>
      </c>
      <c r="Z49" s="59">
        <f t="shared" si="9"/>
        <v>0</v>
      </c>
      <c r="AA49" s="59">
        <f>IF('Updated Dummy'!Y49=2,1,0)</f>
        <v>1</v>
      </c>
      <c r="AB49" s="59">
        <f t="shared" si="10"/>
        <v>0</v>
      </c>
      <c r="AC49" s="59">
        <f t="shared" si="11"/>
        <v>0</v>
      </c>
      <c r="AD49" s="59">
        <f t="shared" si="12"/>
        <v>0</v>
      </c>
      <c r="AE49" s="59">
        <f t="shared" si="13"/>
        <v>0</v>
      </c>
      <c r="AF49" s="59">
        <f t="shared" si="14"/>
        <v>0</v>
      </c>
      <c r="AG49" s="59">
        <f t="shared" si="15"/>
        <v>0</v>
      </c>
      <c r="AH49" s="59">
        <v>2</v>
      </c>
      <c r="AI49" s="59">
        <v>2</v>
      </c>
      <c r="AJ49" s="59">
        <f t="shared" si="16"/>
        <v>0</v>
      </c>
      <c r="AK49" s="59">
        <f t="shared" si="17"/>
        <v>1</v>
      </c>
      <c r="AL49" s="59">
        <v>3022</v>
      </c>
      <c r="AM49" s="59">
        <v>10227</v>
      </c>
      <c r="AN49" s="59">
        <v>4</v>
      </c>
      <c r="AO49" s="59">
        <v>0</v>
      </c>
      <c r="AP49" s="59">
        <v>21</v>
      </c>
      <c r="AQ49" s="59">
        <v>4</v>
      </c>
      <c r="AR49" s="59">
        <v>1</v>
      </c>
      <c r="AS49" s="59">
        <v>80</v>
      </c>
      <c r="AT49" s="59">
        <v>0</v>
      </c>
      <c r="AU49" s="59">
        <v>8</v>
      </c>
      <c r="AV49" s="59">
        <v>1</v>
      </c>
      <c r="AW49" s="59">
        <v>3</v>
      </c>
      <c r="AX49" s="59">
        <v>1</v>
      </c>
      <c r="AY49" s="59">
        <v>0</v>
      </c>
      <c r="AZ49" s="59">
        <v>0</v>
      </c>
      <c r="BA49" s="59">
        <v>0</v>
      </c>
      <c r="BB49" s="57">
        <f t="shared" si="18"/>
        <v>3022</v>
      </c>
      <c r="FA49" s="36" t="s">
        <v>364</v>
      </c>
      <c r="FB49" s="45">
        <f>_xll.StatCovariance( ST_JobResearchDirector,ST_Attrition_2)</f>
        <v>-7.4186243592060793E-3</v>
      </c>
      <c r="FC49" s="45"/>
      <c r="FD49" s="45">
        <f>_xll.StatCovariance( ST_JobResearchDirector,ST_BusinessTravelTravelRarely)</f>
        <v>3.5657557781450288E-3</v>
      </c>
      <c r="FE49" s="45">
        <f>_xll.StatCovariance( ST_JobResearchDirector,ST_BusinessTravelTravelFrequently)</f>
        <v>-2.09314495028788E-3</v>
      </c>
      <c r="FF49" s="45">
        <f>_xll.StatCovariance( ST_JobResearchDirector,ST_DistanceFromHome_10)</f>
        <v>-4.1117331888508024E-2</v>
      </c>
      <c r="FG49" s="45">
        <f>_xll.StatCovariance( ST_JobResearchDirector,ST_EnvironmentSatisfaction_20)</f>
        <v>-1.2077261129094605E-2</v>
      </c>
      <c r="FH49" s="45">
        <f>_xll.StatCovariance( ST_JobResearchDirector,ST_Gender_21)</f>
        <v>-6.8073519400957763E-4</v>
      </c>
      <c r="FI49" s="45">
        <f>_xll.StatCovariance( ST_JobResearchDirector,ST_JobInvolvement_23)</f>
        <v>2.4543513797621605E-3</v>
      </c>
      <c r="FJ49" s="45">
        <f>_xll.StatCovariance( ST_JobResearchDirector,ST_JobLevel_24)</f>
        <v>0.10407376020523956</v>
      </c>
      <c r="FK49" s="45">
        <f>_xll.StatCovariance( ST_JobResearchDirector,ST_JobRoleSalesExec)</f>
        <v>-1.2077261129094467E-2</v>
      </c>
      <c r="FL49" s="45">
        <f>_xll.StatCovariance( ST_JobResearchDirector,ST_JobRoleResearchScientist)</f>
        <v>-1.0817669477593456E-2</v>
      </c>
      <c r="FM49" s="45">
        <f>_xll.StatCovariance( ST_JobResearchDirector,ST_JobRoleLabTechnician)</f>
        <v>-9.5951246393725289E-3</v>
      </c>
      <c r="FN49" s="45">
        <f>_xll.StatCovariance( ST_JobResearchDirector,ST_JobRoleManufacturingDirector)</f>
        <v>-5.3717879255174572E-3</v>
      </c>
      <c r="FO49" s="45">
        <f>_xll.StatCovariance( ST_JobResearchDirector,ST_JobRoleHealthcareRep)</f>
        <v>-4.8531325396052784E-3</v>
      </c>
      <c r="FP49" s="45">
        <f>_xll.StatCovariance( ST_JobResearchDirector,ST_JobRoleManager)</f>
        <v>-3.7787749545018182E-3</v>
      </c>
      <c r="FQ49" s="45">
        <f>_xll.StatCovariance( ST_JobResearchDirector,ST_JobRoleSalesRep)</f>
        <v>-3.074885502192589E-3</v>
      </c>
      <c r="FR49" s="45">
        <f>_xll.StatVariance(ST_JobResearchDirector)</f>
        <v>5.1495070458408281E-2</v>
      </c>
      <c r="FS49" s="45"/>
      <c r="FT49" s="45"/>
      <c r="FU49" s="45"/>
      <c r="FV49" s="45"/>
      <c r="FW49" s="45"/>
      <c r="FX49" s="45"/>
      <c r="FY49" s="45"/>
      <c r="FZ49" s="45"/>
      <c r="GA49" s="45"/>
      <c r="GB49" s="45"/>
    </row>
    <row r="50" spans="1:184" ht="15" customHeight="1" x14ac:dyDescent="0.25">
      <c r="A50" s="58">
        <v>46</v>
      </c>
      <c r="B50" s="59">
        <v>0</v>
      </c>
      <c r="C50" s="59">
        <v>2</v>
      </c>
      <c r="D50" s="59">
        <f t="shared" si="0"/>
        <v>0</v>
      </c>
      <c r="E50" s="59">
        <f t="shared" si="1"/>
        <v>1</v>
      </c>
      <c r="F50" s="59">
        <v>1211</v>
      </c>
      <c r="G50" s="59">
        <v>1</v>
      </c>
      <c r="H50" s="59">
        <f t="shared" si="2"/>
        <v>1</v>
      </c>
      <c r="I50" s="59">
        <f t="shared" si="3"/>
        <v>0</v>
      </c>
      <c r="J50" s="59">
        <v>5</v>
      </c>
      <c r="K50" s="59">
        <v>4</v>
      </c>
      <c r="L50" s="59">
        <v>4</v>
      </c>
      <c r="M50" s="59">
        <f t="shared" si="4"/>
        <v>0</v>
      </c>
      <c r="N50" s="59">
        <f t="shared" si="5"/>
        <v>0</v>
      </c>
      <c r="O50" s="59">
        <f t="shared" si="6"/>
        <v>0</v>
      </c>
      <c r="P50" s="59">
        <f t="shared" si="7"/>
        <v>1</v>
      </c>
      <c r="Q50" s="59">
        <f t="shared" si="8"/>
        <v>0</v>
      </c>
      <c r="R50" s="59">
        <v>1</v>
      </c>
      <c r="S50" s="59">
        <v>62</v>
      </c>
      <c r="T50" s="59">
        <v>1</v>
      </c>
      <c r="U50" s="59">
        <v>1</v>
      </c>
      <c r="V50" s="59">
        <v>98</v>
      </c>
      <c r="W50" s="59">
        <v>3</v>
      </c>
      <c r="X50" s="59">
        <v>2</v>
      </c>
      <c r="Y50" s="59">
        <v>1</v>
      </c>
      <c r="Z50" s="59">
        <f t="shared" si="9"/>
        <v>1</v>
      </c>
      <c r="AA50" s="59">
        <f>IF('Updated Dummy'!Y50=2,1,0)</f>
        <v>0</v>
      </c>
      <c r="AB50" s="59">
        <f t="shared" si="10"/>
        <v>0</v>
      </c>
      <c r="AC50" s="59">
        <f t="shared" si="11"/>
        <v>0</v>
      </c>
      <c r="AD50" s="59">
        <f t="shared" si="12"/>
        <v>0</v>
      </c>
      <c r="AE50" s="59">
        <f t="shared" si="13"/>
        <v>0</v>
      </c>
      <c r="AF50" s="59">
        <f t="shared" si="14"/>
        <v>0</v>
      </c>
      <c r="AG50" s="59">
        <f t="shared" si="15"/>
        <v>0</v>
      </c>
      <c r="AH50" s="59">
        <v>4</v>
      </c>
      <c r="AI50" s="59">
        <v>1</v>
      </c>
      <c r="AJ50" s="59">
        <f t="shared" si="16"/>
        <v>1</v>
      </c>
      <c r="AK50" s="59">
        <f t="shared" si="17"/>
        <v>0</v>
      </c>
      <c r="AL50" s="59">
        <v>5772</v>
      </c>
      <c r="AM50" s="59">
        <v>20445</v>
      </c>
      <c r="AN50" s="59">
        <v>4</v>
      </c>
      <c r="AO50" s="59">
        <v>1</v>
      </c>
      <c r="AP50" s="59">
        <v>21</v>
      </c>
      <c r="AQ50" s="59">
        <v>4</v>
      </c>
      <c r="AR50" s="59">
        <v>3</v>
      </c>
      <c r="AS50" s="59">
        <v>80</v>
      </c>
      <c r="AT50" s="59">
        <v>0</v>
      </c>
      <c r="AU50" s="59">
        <v>14</v>
      </c>
      <c r="AV50" s="59">
        <v>4</v>
      </c>
      <c r="AW50" s="59">
        <v>3</v>
      </c>
      <c r="AX50" s="59">
        <v>9</v>
      </c>
      <c r="AY50" s="59">
        <v>6</v>
      </c>
      <c r="AZ50" s="59">
        <v>0</v>
      </c>
      <c r="BA50" s="59">
        <v>8</v>
      </c>
      <c r="BB50" s="57">
        <f t="shared" si="18"/>
        <v>11544</v>
      </c>
      <c r="BD50" s="34" t="s">
        <v>0</v>
      </c>
      <c r="FA50" s="36" t="s">
        <v>16</v>
      </c>
      <c r="FB50" s="45">
        <f>_xll.StatCovariance( ST_JobSatisfaction_34,ST_Attrition_2)</f>
        <v>-4.1981911893416546E-2</v>
      </c>
      <c r="FC50" s="45"/>
      <c r="FD50" s="45">
        <f>_xll.StatCovariance( ST_JobSatisfaction_34,ST_BusinessTravelTravelRarely)</f>
        <v>-1.8311776718856421E-2</v>
      </c>
      <c r="FE50" s="45">
        <f>_xll.StatCovariance( ST_JobSatisfaction_34,ST_BusinessTravelTravelFrequently)</f>
        <v>1.1698920548478108E-2</v>
      </c>
      <c r="FF50" s="45">
        <f>_xll.StatCovariance( ST_JobSatisfaction_34,ST_DistanceFromHome_10)</f>
        <v>-3.2801711562772611E-2</v>
      </c>
      <c r="FG50" s="45">
        <f>_xll.StatCovariance( ST_JobSatisfaction_34,ST_EnvironmentSatisfaction_20)</f>
        <v>-8.1785471166002984E-3</v>
      </c>
      <c r="FH50" s="45">
        <f>_xll.StatCovariance( ST_JobSatisfaction_34,ST_Gender_21)</f>
        <v>1.7971409121851811E-2</v>
      </c>
      <c r="FI50" s="45">
        <f>_xll.StatCovariance( ST_JobSatisfaction_34,ST_JobInvolvement_23)</f>
        <v>-1.685305844597897E-2</v>
      </c>
      <c r="FJ50" s="45">
        <f>_xll.StatCovariance( ST_JobSatisfaction_34,ST_JobLevel_24)</f>
        <v>-2.3728483905475196E-3</v>
      </c>
      <c r="FK50" s="45">
        <f>_xll.StatCovariance( ST_JobSatisfaction_34,ST_JobRoleSalesExec)</f>
        <v>5.7765243605950953E-3</v>
      </c>
      <c r="FL50" s="45">
        <f>_xll.StatCovariance( ST_JobSatisfaction_34,ST_JobRoleResearchScientist)</f>
        <v>9.0246037148691005E-3</v>
      </c>
      <c r="FM50" s="45">
        <f>_xll.StatCovariance( ST_JobSatisfaction_34,ST_JobRoleLabTechnician)</f>
        <v>-6.6031313818925366E-3</v>
      </c>
      <c r="FN50" s="45">
        <f>_xll.StatCovariance( ST_JobSatisfaction_34,ST_JobRoleManufacturingDirector)</f>
        <v>-4.5220266459204779E-3</v>
      </c>
      <c r="FO50" s="45">
        <f>_xll.StatCovariance( ST_JobSatisfaction_34,ST_JobRoleHealthcareRep)</f>
        <v>5.1444131090148913E-3</v>
      </c>
      <c r="FP50" s="45">
        <f>_xll.StatCovariance( ST_JobSatisfaction_34,ST_JobRoleManager)</f>
        <v>-1.5754157347077679E-3</v>
      </c>
      <c r="FQ50" s="45">
        <f>_xll.StatCovariance( ST_JobSatisfaction_34,ST_JobRoleSalesRep)</f>
        <v>3.5981717397651165E-4</v>
      </c>
      <c r="FR50" s="45">
        <f>_xll.StatCovariance( ST_JobSatisfaction_34,ST_JobResearchDirector)</f>
        <v>-1.5559661577360527E-3</v>
      </c>
      <c r="FS50" s="45">
        <f>_xll.StatVariance(ST_JobSatisfaction_34)</f>
        <v>1.2162695711368152</v>
      </c>
      <c r="FT50" s="45"/>
      <c r="FU50" s="45"/>
      <c r="FV50" s="45"/>
      <c r="FW50" s="45"/>
      <c r="FX50" s="45"/>
      <c r="FY50" s="45"/>
      <c r="FZ50" s="45"/>
      <c r="GA50" s="45"/>
      <c r="GB50" s="45"/>
    </row>
    <row r="51" spans="1:184" ht="15" customHeight="1" thickBot="1" x14ac:dyDescent="0.3">
      <c r="A51" s="58">
        <v>35</v>
      </c>
      <c r="B51" s="59">
        <v>0</v>
      </c>
      <c r="C51" s="59">
        <v>1</v>
      </c>
      <c r="D51" s="59">
        <f t="shared" si="0"/>
        <v>1</v>
      </c>
      <c r="E51" s="59">
        <f t="shared" si="1"/>
        <v>0</v>
      </c>
      <c r="F51" s="59">
        <v>1229</v>
      </c>
      <c r="G51" s="59">
        <v>2</v>
      </c>
      <c r="H51" s="59">
        <f t="shared" si="2"/>
        <v>0</v>
      </c>
      <c r="I51" s="59">
        <f t="shared" si="3"/>
        <v>1</v>
      </c>
      <c r="J51" s="59">
        <v>8</v>
      </c>
      <c r="K51" s="59">
        <v>1</v>
      </c>
      <c r="L51" s="59">
        <v>1</v>
      </c>
      <c r="M51" s="59">
        <f t="shared" si="4"/>
        <v>1</v>
      </c>
      <c r="N51" s="59">
        <f t="shared" si="5"/>
        <v>0</v>
      </c>
      <c r="O51" s="59">
        <f t="shared" si="6"/>
        <v>0</v>
      </c>
      <c r="P51" s="59">
        <f t="shared" si="7"/>
        <v>0</v>
      </c>
      <c r="Q51" s="59">
        <f t="shared" si="8"/>
        <v>0</v>
      </c>
      <c r="R51" s="59">
        <v>1</v>
      </c>
      <c r="S51" s="59">
        <v>63</v>
      </c>
      <c r="T51" s="59">
        <v>4</v>
      </c>
      <c r="U51" s="59">
        <v>1</v>
      </c>
      <c r="V51" s="59">
        <v>36</v>
      </c>
      <c r="W51" s="59">
        <v>4</v>
      </c>
      <c r="X51" s="59">
        <v>1</v>
      </c>
      <c r="Y51" s="59">
        <v>3</v>
      </c>
      <c r="Z51" s="59">
        <f t="shared" si="9"/>
        <v>0</v>
      </c>
      <c r="AA51" s="59">
        <f>IF('Updated Dummy'!Y51=2,1,0)</f>
        <v>0</v>
      </c>
      <c r="AB51" s="59">
        <f t="shared" si="10"/>
        <v>1</v>
      </c>
      <c r="AC51" s="59">
        <f t="shared" si="11"/>
        <v>0</v>
      </c>
      <c r="AD51" s="59">
        <f t="shared" si="12"/>
        <v>0</v>
      </c>
      <c r="AE51" s="59">
        <f t="shared" si="13"/>
        <v>0</v>
      </c>
      <c r="AF51" s="59">
        <f t="shared" si="14"/>
        <v>0</v>
      </c>
      <c r="AG51" s="59">
        <f t="shared" si="15"/>
        <v>0</v>
      </c>
      <c r="AH51" s="59">
        <v>4</v>
      </c>
      <c r="AI51" s="59">
        <v>2</v>
      </c>
      <c r="AJ51" s="59">
        <f t="shared" si="16"/>
        <v>0</v>
      </c>
      <c r="AK51" s="59">
        <f t="shared" si="17"/>
        <v>1</v>
      </c>
      <c r="AL51" s="59">
        <v>2269</v>
      </c>
      <c r="AM51" s="59">
        <v>4892</v>
      </c>
      <c r="AN51" s="59">
        <v>1</v>
      </c>
      <c r="AO51" s="59">
        <v>0</v>
      </c>
      <c r="AP51" s="59">
        <v>19</v>
      </c>
      <c r="AQ51" s="59">
        <v>3</v>
      </c>
      <c r="AR51" s="59">
        <v>4</v>
      </c>
      <c r="AS51" s="59">
        <v>80</v>
      </c>
      <c r="AT51" s="59">
        <v>0</v>
      </c>
      <c r="AU51" s="59">
        <v>1</v>
      </c>
      <c r="AV51" s="59">
        <v>2</v>
      </c>
      <c r="AW51" s="59">
        <v>3</v>
      </c>
      <c r="AX51" s="59">
        <v>1</v>
      </c>
      <c r="AY51" s="59">
        <v>0</v>
      </c>
      <c r="AZ51" s="59">
        <v>0</v>
      </c>
      <c r="BA51" s="59">
        <v>1</v>
      </c>
      <c r="BB51" s="57">
        <f t="shared" si="18"/>
        <v>2269</v>
      </c>
      <c r="BD51" s="35" t="s">
        <v>368</v>
      </c>
      <c r="FA51" s="36" t="s">
        <v>366</v>
      </c>
      <c r="FB51" s="45">
        <f>_xll.StatCovariance( ST_MaritalStatusSingle,ST_Attrition_2)</f>
        <v>3.0105166641197618E-2</v>
      </c>
      <c r="FC51" s="45"/>
      <c r="FD51" s="45">
        <f>_xll.StatCovariance( ST_MaritalStatusSingle,ST_BusinessTravelTravelRarely)</f>
        <v>-4.4085707802521698E-3</v>
      </c>
      <c r="FE51" s="45">
        <f>_xll.StatCovariance( ST_MaritalStatusSingle,ST_BusinessTravelTravelFrequently)</f>
        <v>5.0615208643021749E-3</v>
      </c>
      <c r="FF51" s="45">
        <f>_xll.StatCovariance( ST_MaritalStatusSingle,ST_DistanceFromHome_10)</f>
        <v>-0.10380053995730347</v>
      </c>
      <c r="FG51" s="45">
        <f>_xll.StatCovariance( ST_MaritalStatusSingle,ST_EnvironmentSatisfaction_20)</f>
        <v>4.6076974016291241E-3</v>
      </c>
      <c r="FH51" s="45">
        <f>_xll.StatCovariance( ST_MaritalStatusSingle,ST_Gender_21)</f>
        <v>-7.4880871341047603E-3</v>
      </c>
      <c r="FI51" s="45">
        <f>_xll.StatCovariance( ST_MaritalStatusSingle,ST_JobInvolvement_23)</f>
        <v>-1.5022482784809298E-2</v>
      </c>
      <c r="FJ51" s="45">
        <f>_xll.StatCovariance( ST_MaritalStatusSingle,ST_JobLevel_24)</f>
        <v>-4.4965569617908666E-2</v>
      </c>
      <c r="FK51" s="45">
        <f>_xll.StatCovariance( ST_MaritalStatusSingle,ST_JobRoleSalesExec)</f>
        <v>1.2040214315814719E-3</v>
      </c>
      <c r="FL51" s="45">
        <f>_xll.StatCovariance( ST_MaritalStatusSingle,ST_JobRoleResearchScientist)</f>
        <v>9.965592772166583E-3</v>
      </c>
      <c r="FM51" s="45">
        <f>_xll.StatCovariance( ST_MaritalStatusSingle,ST_JobRoleLabTechnician)</f>
        <v>3.533339816525774E-3</v>
      </c>
      <c r="FN51" s="45">
        <f>_xll.StatCovariance( ST_MaritalStatusSingle,ST_JobRoleManufacturingDirector)</f>
        <v>-2.9683759140144012E-3</v>
      </c>
      <c r="FO51" s="45">
        <f>_xll.StatCovariance( ST_MaritalStatusSingle,ST_JobRoleHealthcareRep)</f>
        <v>-4.0056866858384464E-3</v>
      </c>
      <c r="FP51" s="45">
        <f>_xll.StatCovariance( ST_MaritalStatusSingle,ST_JobRoleManager)</f>
        <v>-6.5433933954794623E-3</v>
      </c>
      <c r="FQ51" s="45">
        <f>_xll.StatCovariance( ST_MaritalStatusSingle,ST_JobRoleSalesRep)</f>
        <v>7.8029850469800554E-3</v>
      </c>
      <c r="FR51" s="45">
        <f>_xll.StatCovariance( ST_MaritalStatusSingle,ST_JobResearchDirector)</f>
        <v>-4.4780335551511492E-3</v>
      </c>
      <c r="FS51" s="45">
        <f>_xll.StatCovariance( ST_MaritalStatusSingle,ST_JobSatisfaction_34)</f>
        <v>1.2642225031605232E-2</v>
      </c>
      <c r="FT51" s="45">
        <f>_xll.StatVariance(ST_MaritalStatusSingle)</f>
        <v>0.21765002801665151</v>
      </c>
      <c r="FU51" s="45"/>
      <c r="FV51" s="45"/>
      <c r="FW51" s="45"/>
      <c r="FX51" s="45"/>
      <c r="FY51" s="45"/>
      <c r="FZ51" s="45"/>
      <c r="GA51" s="45"/>
      <c r="GB51" s="45"/>
    </row>
    <row r="52" spans="1:184" ht="15" customHeight="1" thickTop="1" x14ac:dyDescent="0.25">
      <c r="A52" s="58">
        <v>48</v>
      </c>
      <c r="B52" s="59">
        <v>1</v>
      </c>
      <c r="C52" s="59">
        <v>1</v>
      </c>
      <c r="D52" s="59">
        <f t="shared" si="0"/>
        <v>1</v>
      </c>
      <c r="E52" s="59">
        <f t="shared" si="1"/>
        <v>0</v>
      </c>
      <c r="F52" s="59">
        <v>626</v>
      </c>
      <c r="G52" s="59">
        <v>2</v>
      </c>
      <c r="H52" s="59">
        <f t="shared" si="2"/>
        <v>0</v>
      </c>
      <c r="I52" s="59">
        <f t="shared" si="3"/>
        <v>1</v>
      </c>
      <c r="J52" s="59">
        <v>1</v>
      </c>
      <c r="K52" s="59">
        <v>2</v>
      </c>
      <c r="L52" s="59">
        <v>1</v>
      </c>
      <c r="M52" s="59">
        <f t="shared" si="4"/>
        <v>1</v>
      </c>
      <c r="N52" s="59">
        <f t="shared" si="5"/>
        <v>0</v>
      </c>
      <c r="O52" s="59">
        <f t="shared" si="6"/>
        <v>0</v>
      </c>
      <c r="P52" s="59">
        <f t="shared" si="7"/>
        <v>0</v>
      </c>
      <c r="Q52" s="59">
        <f t="shared" si="8"/>
        <v>0</v>
      </c>
      <c r="R52" s="59">
        <v>1</v>
      </c>
      <c r="S52" s="59">
        <v>64</v>
      </c>
      <c r="T52" s="59">
        <v>1</v>
      </c>
      <c r="U52" s="59">
        <v>1</v>
      </c>
      <c r="V52" s="59">
        <v>98</v>
      </c>
      <c r="W52" s="59">
        <v>2</v>
      </c>
      <c r="X52" s="59">
        <v>3</v>
      </c>
      <c r="Y52" s="59">
        <v>3</v>
      </c>
      <c r="Z52" s="59">
        <f t="shared" si="9"/>
        <v>0</v>
      </c>
      <c r="AA52" s="59">
        <f>IF('Updated Dummy'!Y52=2,1,0)</f>
        <v>0</v>
      </c>
      <c r="AB52" s="59">
        <f t="shared" si="10"/>
        <v>1</v>
      </c>
      <c r="AC52" s="59">
        <f t="shared" si="11"/>
        <v>0</v>
      </c>
      <c r="AD52" s="59">
        <f t="shared" si="12"/>
        <v>0</v>
      </c>
      <c r="AE52" s="59">
        <f t="shared" si="13"/>
        <v>0</v>
      </c>
      <c r="AF52" s="59">
        <f t="shared" si="14"/>
        <v>0</v>
      </c>
      <c r="AG52" s="59">
        <f t="shared" si="15"/>
        <v>0</v>
      </c>
      <c r="AH52" s="59">
        <v>3</v>
      </c>
      <c r="AI52" s="59">
        <v>1</v>
      </c>
      <c r="AJ52" s="59">
        <f t="shared" si="16"/>
        <v>1</v>
      </c>
      <c r="AK52" s="59">
        <f t="shared" si="17"/>
        <v>0</v>
      </c>
      <c r="AL52" s="59">
        <v>5381</v>
      </c>
      <c r="AM52" s="59">
        <v>19294</v>
      </c>
      <c r="AN52" s="59">
        <v>9</v>
      </c>
      <c r="AO52" s="59">
        <v>1</v>
      </c>
      <c r="AP52" s="59">
        <v>13</v>
      </c>
      <c r="AQ52" s="59">
        <v>3</v>
      </c>
      <c r="AR52" s="59">
        <v>4</v>
      </c>
      <c r="AS52" s="59">
        <v>80</v>
      </c>
      <c r="AT52" s="59">
        <v>0</v>
      </c>
      <c r="AU52" s="59">
        <v>23</v>
      </c>
      <c r="AV52" s="59">
        <v>2</v>
      </c>
      <c r="AW52" s="59">
        <v>3</v>
      </c>
      <c r="AX52" s="59">
        <v>1</v>
      </c>
      <c r="AY52" s="59">
        <v>0</v>
      </c>
      <c r="AZ52" s="59">
        <v>0</v>
      </c>
      <c r="BA52" s="59">
        <v>0</v>
      </c>
      <c r="BB52" s="57">
        <f t="shared" si="18"/>
        <v>16143</v>
      </c>
      <c r="BD52" s="45">
        <f>_xll.StatVariance(ST_Age_1)</f>
        <v>83.455048786022274</v>
      </c>
      <c r="FA52" s="36" t="s">
        <v>367</v>
      </c>
      <c r="FB52" s="45">
        <f>_xll.StatCovariance( ST_MaritalStatusMarried,ST_Attrition_2)</f>
        <v>-1.668079076422941E-2</v>
      </c>
      <c r="FC52" s="45"/>
      <c r="FD52" s="45">
        <f>_xll.StatCovariance( ST_MaritalStatusMarried,ST_BusinessTravelTravelRarely)</f>
        <v>1.2587117896852356E-2</v>
      </c>
      <c r="FE52" s="45">
        <f>_xll.StatCovariance( ST_MaritalStatusMarried,ST_BusinessTravelTravelFrequently)</f>
        <v>-6.0020468364336667E-3</v>
      </c>
      <c r="FF52" s="45">
        <f>_xll.StatCovariance( ST_MaritalStatusMarried,ST_DistanceFromHome_10)</f>
        <v>0.12214843731910777</v>
      </c>
      <c r="FG52" s="45">
        <f>_xll.StatCovariance( ST_MaritalStatusMarried,ST_EnvironmentSatisfaction_20)</f>
        <v>-1.2083281236252141E-2</v>
      </c>
      <c r="FH52" s="45">
        <f>_xll.StatCovariance( ST_MaritalStatusMarried,ST_Gender_21)</f>
        <v>-1.9060585432266594E-3</v>
      </c>
      <c r="FI52" s="45">
        <f>_xll.StatCovariance( ST_MaritalStatusMarried,ST_JobInvolvement_23)</f>
        <v>1.004478033555143E-2</v>
      </c>
      <c r="FJ52" s="45">
        <f>_xll.StatCovariance( ST_MaritalStatusMarried,ST_JobLevel_24)</f>
        <v>2.7886062525758926E-2</v>
      </c>
      <c r="FK52" s="45">
        <f>_xll.StatCovariance( ST_MaritalStatusMarried,ST_JobRoleSalesExec)</f>
        <v>1.1910550469336814E-3</v>
      </c>
      <c r="FL52" s="45">
        <f>_xll.StatCovariance( ST_MaritalStatusMarried,ST_JobRoleResearchScientist)</f>
        <v>-7.9539508110937802E-3</v>
      </c>
      <c r="FM52" s="45">
        <f>_xll.StatCovariance( ST_MaritalStatusMarried,ST_JobRoleLabTechnician)</f>
        <v>-1.7537035236150098E-3</v>
      </c>
      <c r="FN52" s="45">
        <f>_xll.StatCovariance( ST_MaritalStatusMarried,ST_JobRoleManufacturingDirector)</f>
        <v>4.1909207522354601E-4</v>
      </c>
      <c r="FO52" s="45">
        <f>_xll.StatCovariance( ST_MaritalStatusMarried,ST_JobRoleHealthcareRep)</f>
        <v>6.9786934515125517E-4</v>
      </c>
      <c r="FP52" s="45">
        <f>_xll.StatCovariance( ST_MaritalStatusMarried,ST_JobRoleManager)</f>
        <v>6.3322265597867237E-3</v>
      </c>
      <c r="FQ52" s="45">
        <f>_xll.StatCovariance( ST_MaritalStatusMarried,ST_JobRoleSalesRep)</f>
        <v>-2.7224776908720823E-3</v>
      </c>
      <c r="FR52" s="45">
        <f>_xll.StatCovariance( ST_MaritalStatusMarried,ST_JobResearchDirector)</f>
        <v>9.3543203530560668E-4</v>
      </c>
      <c r="FS52" s="45">
        <f>_xll.StatCovariance( ST_MaritalStatusMarried,ST_JobSatisfaction_34)</f>
        <v>-5.6695516872508206E-3</v>
      </c>
      <c r="FT52" s="45">
        <f>_xll.StatCovariance( ST_MaritalStatusMarried,ST_MaritalStatusSingle)</f>
        <v>-0.14647846885520782</v>
      </c>
      <c r="FU52" s="45">
        <f>_xll.StatVariance(ST_MaritalStatusMarried)</f>
        <v>0.24839008442042471</v>
      </c>
      <c r="FV52" s="45"/>
      <c r="FW52" s="45"/>
      <c r="FX52" s="45"/>
      <c r="FY52" s="45"/>
      <c r="FZ52" s="45"/>
      <c r="GA52" s="45"/>
      <c r="GB52" s="45"/>
    </row>
    <row r="53" spans="1:184" ht="15" customHeight="1" x14ac:dyDescent="0.25">
      <c r="A53" s="58">
        <v>28</v>
      </c>
      <c r="B53" s="59">
        <v>1</v>
      </c>
      <c r="C53" s="59">
        <v>1</v>
      </c>
      <c r="D53" s="59">
        <f t="shared" si="0"/>
        <v>1</v>
      </c>
      <c r="E53" s="59">
        <f t="shared" si="1"/>
        <v>0</v>
      </c>
      <c r="F53" s="59">
        <v>1434</v>
      </c>
      <c r="G53" s="59">
        <v>2</v>
      </c>
      <c r="H53" s="59">
        <f t="shared" si="2"/>
        <v>0</v>
      </c>
      <c r="I53" s="59">
        <f t="shared" si="3"/>
        <v>1</v>
      </c>
      <c r="J53" s="59">
        <v>5</v>
      </c>
      <c r="K53" s="59">
        <v>4</v>
      </c>
      <c r="L53" s="59">
        <v>5</v>
      </c>
      <c r="M53" s="59">
        <f t="shared" si="4"/>
        <v>0</v>
      </c>
      <c r="N53" s="59">
        <f t="shared" si="5"/>
        <v>0</v>
      </c>
      <c r="O53" s="59">
        <f t="shared" si="6"/>
        <v>0</v>
      </c>
      <c r="P53" s="59">
        <f t="shared" si="7"/>
        <v>0</v>
      </c>
      <c r="Q53" s="59">
        <f t="shared" si="8"/>
        <v>1</v>
      </c>
      <c r="R53" s="59">
        <v>1</v>
      </c>
      <c r="S53" s="59">
        <v>65</v>
      </c>
      <c r="T53" s="59">
        <v>3</v>
      </c>
      <c r="U53" s="59">
        <v>1</v>
      </c>
      <c r="V53" s="59">
        <v>50</v>
      </c>
      <c r="W53" s="59">
        <v>3</v>
      </c>
      <c r="X53" s="59">
        <v>1</v>
      </c>
      <c r="Y53" s="59">
        <v>3</v>
      </c>
      <c r="Z53" s="59">
        <f t="shared" si="9"/>
        <v>0</v>
      </c>
      <c r="AA53" s="59">
        <f>IF('Updated Dummy'!Y53=2,1,0)</f>
        <v>0</v>
      </c>
      <c r="AB53" s="59">
        <f t="shared" si="10"/>
        <v>1</v>
      </c>
      <c r="AC53" s="59">
        <f t="shared" si="11"/>
        <v>0</v>
      </c>
      <c r="AD53" s="59">
        <f t="shared" si="12"/>
        <v>0</v>
      </c>
      <c r="AE53" s="59">
        <f t="shared" si="13"/>
        <v>0</v>
      </c>
      <c r="AF53" s="59">
        <f t="shared" si="14"/>
        <v>0</v>
      </c>
      <c r="AG53" s="59">
        <f t="shared" si="15"/>
        <v>0</v>
      </c>
      <c r="AH53" s="59">
        <v>3</v>
      </c>
      <c r="AI53" s="59">
        <v>1</v>
      </c>
      <c r="AJ53" s="59">
        <f t="shared" si="16"/>
        <v>1</v>
      </c>
      <c r="AK53" s="59">
        <f t="shared" si="17"/>
        <v>0</v>
      </c>
      <c r="AL53" s="59">
        <v>3441</v>
      </c>
      <c r="AM53" s="59">
        <v>11179</v>
      </c>
      <c r="AN53" s="59">
        <v>1</v>
      </c>
      <c r="AO53" s="59">
        <v>1</v>
      </c>
      <c r="AP53" s="59">
        <v>13</v>
      </c>
      <c r="AQ53" s="59">
        <v>3</v>
      </c>
      <c r="AR53" s="59">
        <v>3</v>
      </c>
      <c r="AS53" s="59">
        <v>80</v>
      </c>
      <c r="AT53" s="59">
        <v>0</v>
      </c>
      <c r="AU53" s="59">
        <v>2</v>
      </c>
      <c r="AV53" s="59">
        <v>3</v>
      </c>
      <c r="AW53" s="59">
        <v>2</v>
      </c>
      <c r="AX53" s="59">
        <v>2</v>
      </c>
      <c r="AY53" s="59">
        <v>2</v>
      </c>
      <c r="AZ53" s="59">
        <v>2</v>
      </c>
      <c r="BA53" s="59">
        <v>2</v>
      </c>
      <c r="BB53" s="57">
        <f t="shared" si="18"/>
        <v>3441</v>
      </c>
      <c r="BD53" s="45">
        <f>_xll.StatCovariance( ST_Attrition_2,ST_Age_1)</f>
        <v>-0.53501896333754606</v>
      </c>
      <c r="FA53" s="36" t="s">
        <v>18</v>
      </c>
      <c r="FB53" s="45">
        <f>_xll.StatCovariance( ST_MonthlyIncome_38,ST_Attrition_2)</f>
        <v>-276.82349647823696</v>
      </c>
      <c r="FC53" s="45"/>
      <c r="FD53" s="45">
        <f>_xll.StatCovariance( ST_MonthlyIncome_38,ST_BusinessTravelTravelRarely)</f>
        <v>82.911955006645343</v>
      </c>
      <c r="FE53" s="45">
        <f>_xll.StatCovariance( ST_MonthlyIncome_38,ST_BusinessTravelTravelFrequently)</f>
        <v>-58.304947601913497</v>
      </c>
      <c r="FF53" s="45">
        <f>_xll.StatCovariance( ST_MonthlyIncome_38,ST_DistanceFromHome_10)</f>
        <v>-649.38635519558511</v>
      </c>
      <c r="FG53" s="45">
        <f>_xll.StatCovariance( ST_MonthlyIncome_38,ST_EnvironmentSatisfaction_20)</f>
        <v>-32.210416174638979</v>
      </c>
      <c r="FH53" s="45">
        <f>_xll.StatCovariance( ST_MonthlyIncome_38,ST_Gender_21)</f>
        <v>-73.504016337644785</v>
      </c>
      <c r="FI53" s="45">
        <f>_xll.StatCovariance( ST_MonthlyIncome_38,ST_JobInvolvement_23)</f>
        <v>-51.159480511060799</v>
      </c>
      <c r="FJ53" s="45">
        <f>_xll.StatCovariance( ST_MonthlyIncome_38,ST_JobLevel_24)</f>
        <v>4952.4169220581307</v>
      </c>
      <c r="FK53" s="45">
        <f>_xll.StatCovariance( ST_MonthlyIncome_38,ST_JobRoleSalesExec)</f>
        <v>93.505376881862304</v>
      </c>
      <c r="FL53" s="45">
        <f>_xll.StatCovariance( ST_MonthlyIncome_38,ST_JobRoleResearchScientist)</f>
        <v>-648.59355848534085</v>
      </c>
      <c r="FM53" s="45">
        <f>_xll.StatCovariance( ST_MonthlyIncome_38,ST_JobRoleLabTechnician)</f>
        <v>-575.78775000810435</v>
      </c>
      <c r="FN53" s="45">
        <f>_xll.StatCovariance( ST_MonthlyIncome_38,ST_JobRoleManufacturingDirector)</f>
        <v>78.196026266190628</v>
      </c>
      <c r="FO53" s="45">
        <f>_xll.StatCovariance( ST_MonthlyIncome_38,ST_JobRoleHealthcareRep)</f>
        <v>91.479918774861773</v>
      </c>
      <c r="FP53" s="45">
        <f>_xll.StatCovariance( ST_MonthlyIncome_38,ST_JobRoleManager)</f>
        <v>741.47856239841246</v>
      </c>
      <c r="FQ53" s="45">
        <f>_xll.StatCovariance( ST_MonthlyIncome_38,ST_JobRoleSalesRep)</f>
        <v>-219.05057677257426</v>
      </c>
      <c r="FR53" s="45">
        <f>_xll.StatCovariance( ST_MonthlyIncome_38,ST_JobResearchDirector)</f>
        <v>519.02620598954456</v>
      </c>
      <c r="FS53" s="45">
        <f>_xll.StatCovariance( ST_MonthlyIncome_38,ST_JobSatisfaction_34)</f>
        <v>-37.158893319070387</v>
      </c>
      <c r="FT53" s="45">
        <f>_xll.StatCovariance( ST_MonthlyIncome_38,ST_MaritalStatusSingle)</f>
        <v>-196.27345642137038</v>
      </c>
      <c r="FU53" s="45">
        <f>_xll.StatCovariance( ST_MonthlyIncome_38,ST_MaritalStatusMarried)</f>
        <v>133.19825741052031</v>
      </c>
      <c r="FV53" s="45">
        <f>_xll.StatVariance(ST_MonthlyIncome_38)</f>
        <v>22164857.071518421</v>
      </c>
      <c r="FW53" s="45"/>
      <c r="FX53" s="45"/>
      <c r="FY53" s="45"/>
      <c r="FZ53" s="45"/>
      <c r="GA53" s="45"/>
      <c r="GB53" s="45"/>
    </row>
    <row r="54" spans="1:184" ht="15" customHeight="1" x14ac:dyDescent="0.25">
      <c r="A54" s="58">
        <v>44</v>
      </c>
      <c r="B54" s="59">
        <v>0</v>
      </c>
      <c r="C54" s="59">
        <v>1</v>
      </c>
      <c r="D54" s="59">
        <f t="shared" si="0"/>
        <v>1</v>
      </c>
      <c r="E54" s="59">
        <f t="shared" si="1"/>
        <v>0</v>
      </c>
      <c r="F54" s="59">
        <v>1488</v>
      </c>
      <c r="G54" s="59">
        <v>1</v>
      </c>
      <c r="H54" s="59">
        <f t="shared" si="2"/>
        <v>1</v>
      </c>
      <c r="I54" s="59">
        <f t="shared" si="3"/>
        <v>0</v>
      </c>
      <c r="J54" s="59">
        <v>1</v>
      </c>
      <c r="K54" s="59">
        <v>5</v>
      </c>
      <c r="L54" s="59">
        <v>4</v>
      </c>
      <c r="M54" s="59">
        <f t="shared" si="4"/>
        <v>0</v>
      </c>
      <c r="N54" s="59">
        <f t="shared" si="5"/>
        <v>0</v>
      </c>
      <c r="O54" s="59">
        <f t="shared" si="6"/>
        <v>0</v>
      </c>
      <c r="P54" s="59">
        <f t="shared" si="7"/>
        <v>1</v>
      </c>
      <c r="Q54" s="59">
        <f t="shared" si="8"/>
        <v>0</v>
      </c>
      <c r="R54" s="59">
        <v>1</v>
      </c>
      <c r="S54" s="59">
        <v>68</v>
      </c>
      <c r="T54" s="59">
        <v>2</v>
      </c>
      <c r="U54" s="59">
        <v>0</v>
      </c>
      <c r="V54" s="59">
        <v>75</v>
      </c>
      <c r="W54" s="59">
        <v>3</v>
      </c>
      <c r="X54" s="59">
        <v>2</v>
      </c>
      <c r="Y54" s="59">
        <v>1</v>
      </c>
      <c r="Z54" s="59">
        <f t="shared" si="9"/>
        <v>1</v>
      </c>
      <c r="AA54" s="59">
        <f>IF('Updated Dummy'!Y54=2,1,0)</f>
        <v>0</v>
      </c>
      <c r="AB54" s="59">
        <f t="shared" si="10"/>
        <v>0</v>
      </c>
      <c r="AC54" s="59">
        <f t="shared" si="11"/>
        <v>0</v>
      </c>
      <c r="AD54" s="59">
        <f t="shared" si="12"/>
        <v>0</v>
      </c>
      <c r="AE54" s="59">
        <f t="shared" si="13"/>
        <v>0</v>
      </c>
      <c r="AF54" s="59">
        <f t="shared" si="14"/>
        <v>0</v>
      </c>
      <c r="AG54" s="59">
        <f t="shared" si="15"/>
        <v>0</v>
      </c>
      <c r="AH54" s="59">
        <v>1</v>
      </c>
      <c r="AI54" s="59">
        <v>3</v>
      </c>
      <c r="AJ54" s="59">
        <f t="shared" si="16"/>
        <v>0</v>
      </c>
      <c r="AK54" s="59">
        <f t="shared" si="17"/>
        <v>0</v>
      </c>
      <c r="AL54" s="59">
        <v>5454</v>
      </c>
      <c r="AM54" s="59">
        <v>4009</v>
      </c>
      <c r="AN54" s="59">
        <v>5</v>
      </c>
      <c r="AO54" s="59">
        <v>1</v>
      </c>
      <c r="AP54" s="59">
        <v>21</v>
      </c>
      <c r="AQ54" s="59">
        <v>4</v>
      </c>
      <c r="AR54" s="59">
        <v>3</v>
      </c>
      <c r="AS54" s="59">
        <v>80</v>
      </c>
      <c r="AT54" s="59">
        <v>1</v>
      </c>
      <c r="AU54" s="59">
        <v>9</v>
      </c>
      <c r="AV54" s="59">
        <v>2</v>
      </c>
      <c r="AW54" s="59">
        <v>2</v>
      </c>
      <c r="AX54" s="59">
        <v>4</v>
      </c>
      <c r="AY54" s="59">
        <v>3</v>
      </c>
      <c r="AZ54" s="59">
        <v>1</v>
      </c>
      <c r="BA54" s="59">
        <v>3</v>
      </c>
      <c r="BB54" s="57">
        <f t="shared" si="18"/>
        <v>10908</v>
      </c>
      <c r="BD54" s="45">
        <f>_xll.StatCovariance( ST_BusinessTravelTravelRarely,ST_Age_1)</f>
        <v>0.11944633537553877</v>
      </c>
      <c r="FA54" s="36" t="s">
        <v>20</v>
      </c>
      <c r="FB54" s="45">
        <f>_xll.StatCovariance( ST_NumCompaniesWorked_40,ST_Attrition_2)</f>
        <v>3.9967491421347673E-2</v>
      </c>
      <c r="FC54" s="45"/>
      <c r="FD54" s="45">
        <f>_xll.StatCovariance( ST_NumCompaniesWorked_40,ST_BusinessTravelTravelRarely)</f>
        <v>3.6756458880352456E-2</v>
      </c>
      <c r="FE54" s="45">
        <f>_xll.StatCovariance( ST_NumCompaniesWorked_40,ST_BusinessTravelTravelFrequently)</f>
        <v>-3.8812557017361589E-2</v>
      </c>
      <c r="FF54" s="45">
        <f>_xll.StatCovariance( ST_NumCompaniesWorked_40,ST_DistanceFromHome_10)</f>
        <v>-0.59235863167595315</v>
      </c>
      <c r="FG54" s="45">
        <f>_xll.StatCovariance( ST_NumCompaniesWorked_40,ST_EnvironmentSatisfaction_20)</f>
        <v>3.4389167511797082E-2</v>
      </c>
      <c r="FH54" s="45">
        <f>_xll.StatCovariance( ST_NumCompaniesWorked_40,ST_Gender_21)</f>
        <v>-4.7923757658270762E-2</v>
      </c>
      <c r="FI54" s="45">
        <f>_xll.StatCovariance( ST_NumCompaniesWorked_40,ST_JobInvolvement_23)</f>
        <v>2.6684356520007634E-2</v>
      </c>
      <c r="FJ54" s="45">
        <f>_xll.StatCovariance( ST_NumCompaniesWorked_40,ST_JobLevel_24)</f>
        <v>0.3940363892323443</v>
      </c>
      <c r="FK54" s="45">
        <f>_xll.StatCovariance( ST_NumCompaniesWorked_40,ST_JobRoleSalesExec)</f>
        <v>6.1386569604014972E-3</v>
      </c>
      <c r="FL54" s="45">
        <f>_xll.StatCovariance( ST_NumCompaniesWorked_40,ST_JobRoleResearchScientist)</f>
        <v>-4.3848608197534569E-2</v>
      </c>
      <c r="FM54" s="45">
        <f>_xll.StatCovariance( ST_NumCompaniesWorked_40,ST_JobRoleLabTechnician)</f>
        <v>-2.0107620992576829E-2</v>
      </c>
      <c r="FN54" s="45">
        <f>_xll.StatCovariance( ST_NumCompaniesWorked_40,ST_JobRoleManufacturingDirector)</f>
        <v>7.138457833780123E-3</v>
      </c>
      <c r="FO54" s="45">
        <f>_xll.StatCovariance( ST_NumCompaniesWorked_40,ST_JobRoleHealthcareRep)</f>
        <v>1.9190712363910883E-2</v>
      </c>
      <c r="FP54" s="45">
        <f>_xll.StatCovariance( ST_NumCompaniesWorked_40,ST_JobRoleManager)</f>
        <v>2.6748725358080632E-2</v>
      </c>
      <c r="FQ54" s="45">
        <f>_xll.StatCovariance( ST_NumCompaniesWorked_40,ST_JobRoleSalesRep)</f>
        <v>-6.0269145098475647E-2</v>
      </c>
      <c r="FR54" s="45">
        <f>_xll.StatCovariance( ST_NumCompaniesWorked_40,ST_JobResearchDirector)</f>
        <v>5.5510018847566706E-2</v>
      </c>
      <c r="FS54" s="45">
        <f>_xll.StatCovariance( ST_NumCompaniesWorked_40,ST_JobSatisfaction_34)</f>
        <v>-0.15344743751823339</v>
      </c>
      <c r="FT54" s="45">
        <f>_xll.StatCovariance( ST_NumCompaniesWorked_40,ST_MaritalStatusSingle)</f>
        <v>-2.2329966704176633E-2</v>
      </c>
      <c r="FU54" s="45">
        <f>_xll.StatCovariance( ST_NumCompaniesWorked_40,ST_MaritalStatusMarried)</f>
        <v>-2.0096506948592729E-2</v>
      </c>
      <c r="FV54" s="45">
        <f>_xll.StatCovariance( ST_NumCompaniesWorked_40,ST_MonthlyIncome_38)</f>
        <v>1758.3764553609039</v>
      </c>
      <c r="FW54" s="45">
        <f>_xll.StatVariance(ST_NumCompaniesWorked_40)</f>
        <v>6.240048994410583</v>
      </c>
      <c r="FX54" s="45"/>
      <c r="FY54" s="45"/>
      <c r="FZ54" s="45"/>
      <c r="GA54" s="45"/>
      <c r="GB54" s="45"/>
    </row>
    <row r="55" spans="1:184" ht="15" customHeight="1" x14ac:dyDescent="0.25">
      <c r="A55" s="58">
        <v>35</v>
      </c>
      <c r="B55" s="59">
        <v>0</v>
      </c>
      <c r="C55" s="59">
        <v>3</v>
      </c>
      <c r="D55" s="59">
        <f t="shared" si="0"/>
        <v>0</v>
      </c>
      <c r="E55" s="59">
        <f t="shared" si="1"/>
        <v>0</v>
      </c>
      <c r="F55" s="59">
        <v>1097</v>
      </c>
      <c r="G55" s="59">
        <v>2</v>
      </c>
      <c r="H55" s="59">
        <f t="shared" si="2"/>
        <v>0</v>
      </c>
      <c r="I55" s="59">
        <f t="shared" si="3"/>
        <v>1</v>
      </c>
      <c r="J55" s="59">
        <v>11</v>
      </c>
      <c r="K55" s="59">
        <v>2</v>
      </c>
      <c r="L55" s="59">
        <v>3</v>
      </c>
      <c r="M55" s="59">
        <f t="shared" si="4"/>
        <v>0</v>
      </c>
      <c r="N55" s="59">
        <f t="shared" si="5"/>
        <v>0</v>
      </c>
      <c r="O55" s="59">
        <f t="shared" si="6"/>
        <v>1</v>
      </c>
      <c r="P55" s="59">
        <f t="shared" si="7"/>
        <v>0</v>
      </c>
      <c r="Q55" s="59">
        <f t="shared" si="8"/>
        <v>0</v>
      </c>
      <c r="R55" s="59">
        <v>1</v>
      </c>
      <c r="S55" s="59">
        <v>70</v>
      </c>
      <c r="T55" s="59">
        <v>3</v>
      </c>
      <c r="U55" s="59">
        <v>1</v>
      </c>
      <c r="V55" s="59">
        <v>79</v>
      </c>
      <c r="W55" s="59">
        <v>2</v>
      </c>
      <c r="X55" s="59">
        <v>3</v>
      </c>
      <c r="Y55" s="59">
        <v>5</v>
      </c>
      <c r="Z55" s="59">
        <f t="shared" si="9"/>
        <v>0</v>
      </c>
      <c r="AA55" s="59">
        <f>IF('Updated Dummy'!Y55=2,1,0)</f>
        <v>0</v>
      </c>
      <c r="AB55" s="59">
        <f t="shared" si="10"/>
        <v>0</v>
      </c>
      <c r="AC55" s="59">
        <f t="shared" si="11"/>
        <v>0</v>
      </c>
      <c r="AD55" s="59">
        <f t="shared" si="12"/>
        <v>1</v>
      </c>
      <c r="AE55" s="59">
        <f t="shared" si="13"/>
        <v>0</v>
      </c>
      <c r="AF55" s="59">
        <f t="shared" si="14"/>
        <v>0</v>
      </c>
      <c r="AG55" s="59">
        <f t="shared" si="15"/>
        <v>0</v>
      </c>
      <c r="AH55" s="59">
        <v>1</v>
      </c>
      <c r="AI55" s="59">
        <v>2</v>
      </c>
      <c r="AJ55" s="59">
        <f t="shared" si="16"/>
        <v>0</v>
      </c>
      <c r="AK55" s="59">
        <f t="shared" si="17"/>
        <v>1</v>
      </c>
      <c r="AL55" s="59">
        <v>9884</v>
      </c>
      <c r="AM55" s="59">
        <v>8302</v>
      </c>
      <c r="AN55" s="59">
        <v>2</v>
      </c>
      <c r="AO55" s="59">
        <v>1</v>
      </c>
      <c r="AP55" s="59">
        <v>13</v>
      </c>
      <c r="AQ55" s="59">
        <v>3</v>
      </c>
      <c r="AR55" s="59">
        <v>3</v>
      </c>
      <c r="AS55" s="59">
        <v>80</v>
      </c>
      <c r="AT55" s="59">
        <v>1</v>
      </c>
      <c r="AU55" s="59">
        <v>10</v>
      </c>
      <c r="AV55" s="59">
        <v>3</v>
      </c>
      <c r="AW55" s="59">
        <v>3</v>
      </c>
      <c r="AX55" s="59">
        <v>4</v>
      </c>
      <c r="AY55" s="59">
        <v>0</v>
      </c>
      <c r="AZ55" s="59">
        <v>2</v>
      </c>
      <c r="BA55" s="59">
        <v>3</v>
      </c>
      <c r="BB55" s="57">
        <f t="shared" si="18"/>
        <v>29652</v>
      </c>
      <c r="BD55" s="45">
        <f>_xll.StatCovariance( ST_BusinessTravelTravelFrequently,ST_Age_1)</f>
        <v>-8.8424260105676042E-2</v>
      </c>
      <c r="FA55" s="36" t="s">
        <v>22</v>
      </c>
      <c r="FB55" s="45">
        <f>_xll.StatCovariance( ST_OverTime_41,ST_Attrition_2)</f>
        <v>4.0796876953639642E-2</v>
      </c>
      <c r="FC55" s="45"/>
      <c r="FD55" s="45">
        <f>_xll.StatCovariance( ST_OverTime_41,ST_BusinessTravelTravelRarely)</f>
        <v>-1.1021426950631838E-4</v>
      </c>
      <c r="FE55" s="45">
        <f>_xll.StatCovariance( ST_OverTime_41,ST_BusinessTravelTravelFrequently)</f>
        <v>5.1809968371282888E-3</v>
      </c>
      <c r="FF55" s="45">
        <f>_xll.StatCovariance( ST_OverTime_41,ST_DistanceFromHome_10)</f>
        <v>9.3201446678058547E-2</v>
      </c>
      <c r="FG55" s="45">
        <f>_xll.StatCovariance( ST_OverTime_41,ST_EnvironmentSatisfaction_20)</f>
        <v>3.4543374872072513E-2</v>
      </c>
      <c r="FH55" s="45">
        <f>_xll.StatCovariance( ST_OverTime_41,ST_Gender_21)</f>
        <v>-9.2579986385296908E-3</v>
      </c>
      <c r="FI55" s="45">
        <f>_xll.StatCovariance( ST_OverTime_41,ST_JobInvolvement_23)</f>
        <v>-1.1243707830307804E-3</v>
      </c>
      <c r="FJ55" s="45">
        <f>_xll.StatCovariance( ST_OverTime_41,ST_JobLevel_24)</f>
        <v>2.7136790727180901E-4</v>
      </c>
      <c r="FK55" s="45">
        <f>_xll.StatCovariance( ST_OverTime_41,ST_JobRoleSalesExec)</f>
        <v>1.1873503656056968E-3</v>
      </c>
      <c r="FL55" s="45">
        <f>_xll.StatCovariance( ST_OverTime_41,ST_JobRoleResearchScientist)</f>
        <v>9.7794325354375201E-3</v>
      </c>
      <c r="FM55" s="45">
        <f>_xll.StatCovariance( ST_OverTime_41,ST_JobRoleLabTechnician)</f>
        <v>-7.6890660961457013E-3</v>
      </c>
      <c r="FN55" s="45">
        <f>_xll.StatCovariance( ST_OverTime_41,ST_JobRoleManufacturingDirector)</f>
        <v>-1.3846246463186109E-3</v>
      </c>
      <c r="FO55" s="45">
        <f>_xll.StatCovariance( ST_OverTime_41,ST_JobRoleHealthcareRep)</f>
        <v>-4.90870275952357E-5</v>
      </c>
      <c r="FP55" s="45">
        <f>_xll.StatCovariance( ST_OverTime_41,ST_JobRoleManager)</f>
        <v>-1.2697795251524749E-3</v>
      </c>
      <c r="FQ55" s="45">
        <f>_xll.StatCovariance( ST_OverTime_41,ST_JobRoleSalesRep)</f>
        <v>3.4824004482664331E-4</v>
      </c>
      <c r="FR55" s="45">
        <f>_xll.StatCovariance( ST_OverTime_41,ST_JobResearchDirector)</f>
        <v>2.4543513797622307E-4</v>
      </c>
      <c r="FS55" s="45">
        <f>_xll.StatCovariance( ST_OverTime_41,ST_JobSatisfaction_34)</f>
        <v>1.2194884761256441E-2</v>
      </c>
      <c r="FT55" s="45">
        <f>_xll.StatCovariance( ST_OverTime_41,ST_MaritalStatusSingle)</f>
        <v>-1.3661012396789659E-3</v>
      </c>
      <c r="FU55" s="45">
        <f>_xll.StatCovariance( ST_OverTime_41,ST_MaritalStatusMarried)</f>
        <v>-3.0322816669213436E-3</v>
      </c>
      <c r="FV55" s="45">
        <f>_xll.StatCovariance( ST_OverTime_41,ST_MonthlyIncome_38)</f>
        <v>12.918027442426919</v>
      </c>
      <c r="FW55" s="45">
        <f>_xll.StatCovariance( ST_OverTime_41,ST_NumCompaniesWorked_40)</f>
        <v>-2.3396914926624272E-2</v>
      </c>
      <c r="FX55" s="45">
        <f>_xll.StatVariance(ST_OverTime_41)</f>
        <v>0.20304617422190238</v>
      </c>
      <c r="FY55" s="45"/>
      <c r="FZ55" s="45"/>
      <c r="GA55" s="45"/>
      <c r="GB55" s="45"/>
    </row>
    <row r="56" spans="1:184" ht="15" customHeight="1" x14ac:dyDescent="0.25">
      <c r="A56" s="58">
        <v>26</v>
      </c>
      <c r="B56" s="59">
        <v>0</v>
      </c>
      <c r="C56" s="59">
        <v>1</v>
      </c>
      <c r="D56" s="59">
        <f t="shared" si="0"/>
        <v>1</v>
      </c>
      <c r="E56" s="59">
        <f t="shared" si="1"/>
        <v>0</v>
      </c>
      <c r="F56" s="59">
        <v>1443</v>
      </c>
      <c r="G56" s="59">
        <v>1</v>
      </c>
      <c r="H56" s="59">
        <f t="shared" si="2"/>
        <v>1</v>
      </c>
      <c r="I56" s="59">
        <f t="shared" si="3"/>
        <v>0</v>
      </c>
      <c r="J56" s="59">
        <v>23</v>
      </c>
      <c r="K56" s="59">
        <v>3</v>
      </c>
      <c r="L56" s="59">
        <v>4</v>
      </c>
      <c r="M56" s="59">
        <f t="shared" si="4"/>
        <v>0</v>
      </c>
      <c r="N56" s="59">
        <f t="shared" si="5"/>
        <v>0</v>
      </c>
      <c r="O56" s="59">
        <f t="shared" si="6"/>
        <v>0</v>
      </c>
      <c r="P56" s="59">
        <f t="shared" si="7"/>
        <v>1</v>
      </c>
      <c r="Q56" s="59">
        <f t="shared" si="8"/>
        <v>0</v>
      </c>
      <c r="R56" s="59">
        <v>1</v>
      </c>
      <c r="S56" s="59">
        <v>72</v>
      </c>
      <c r="T56" s="59">
        <v>3</v>
      </c>
      <c r="U56" s="59">
        <v>0</v>
      </c>
      <c r="V56" s="59">
        <v>47</v>
      </c>
      <c r="W56" s="59">
        <v>2</v>
      </c>
      <c r="X56" s="59">
        <v>2</v>
      </c>
      <c r="Y56" s="59">
        <v>1</v>
      </c>
      <c r="Z56" s="59">
        <f t="shared" si="9"/>
        <v>1</v>
      </c>
      <c r="AA56" s="59">
        <f>IF('Updated Dummy'!Y56=2,1,0)</f>
        <v>0</v>
      </c>
      <c r="AB56" s="59">
        <f t="shared" si="10"/>
        <v>0</v>
      </c>
      <c r="AC56" s="59">
        <f t="shared" si="11"/>
        <v>0</v>
      </c>
      <c r="AD56" s="59">
        <f t="shared" si="12"/>
        <v>0</v>
      </c>
      <c r="AE56" s="59">
        <f t="shared" si="13"/>
        <v>0</v>
      </c>
      <c r="AF56" s="59">
        <f t="shared" si="14"/>
        <v>0</v>
      </c>
      <c r="AG56" s="59">
        <f t="shared" si="15"/>
        <v>0</v>
      </c>
      <c r="AH56" s="59">
        <v>4</v>
      </c>
      <c r="AI56" s="59">
        <v>2</v>
      </c>
      <c r="AJ56" s="59">
        <f t="shared" si="16"/>
        <v>0</v>
      </c>
      <c r="AK56" s="59">
        <f t="shared" si="17"/>
        <v>1</v>
      </c>
      <c r="AL56" s="59">
        <v>4157</v>
      </c>
      <c r="AM56" s="59">
        <v>21436</v>
      </c>
      <c r="AN56" s="59">
        <v>7</v>
      </c>
      <c r="AO56" s="59">
        <v>1</v>
      </c>
      <c r="AP56" s="59">
        <v>19</v>
      </c>
      <c r="AQ56" s="59">
        <v>3</v>
      </c>
      <c r="AR56" s="59">
        <v>3</v>
      </c>
      <c r="AS56" s="59">
        <v>80</v>
      </c>
      <c r="AT56" s="59">
        <v>1</v>
      </c>
      <c r="AU56" s="59">
        <v>5</v>
      </c>
      <c r="AV56" s="59">
        <v>2</v>
      </c>
      <c r="AW56" s="59">
        <v>2</v>
      </c>
      <c r="AX56" s="59">
        <v>2</v>
      </c>
      <c r="AY56" s="59">
        <v>2</v>
      </c>
      <c r="AZ56" s="59">
        <v>0</v>
      </c>
      <c r="BA56" s="59">
        <v>0</v>
      </c>
      <c r="BB56" s="57">
        <f t="shared" si="18"/>
        <v>8314</v>
      </c>
      <c r="BD56" s="45">
        <f>_xll.StatCovariance( ST_DailyRate_6,ST_Age_1)</f>
        <v>39.298434309053697</v>
      </c>
      <c r="FA56" s="36" t="s">
        <v>27</v>
      </c>
      <c r="FB56" s="45">
        <f>_xll.StatCovariance( ST_StockOptionLevel_46,ST_Attrition_2)</f>
        <v>-4.2987732873952501E-2</v>
      </c>
      <c r="FC56" s="45"/>
      <c r="FD56" s="45">
        <f>_xll.StatCovariance( ST_StockOptionLevel_46,ST_BusinessTravelTravelRarely)</f>
        <v>-2.0519303705143952E-3</v>
      </c>
      <c r="FE56" s="45">
        <f>_xll.StatCovariance( ST_StockOptionLevel_46,ST_BusinessTravelTravelFrequently)</f>
        <v>-5.3805865436712015E-3</v>
      </c>
      <c r="FF56" s="45">
        <f>_xll.StatCovariance( ST_StockOptionLevel_46,ST_DistanceFromHome_10)</f>
        <v>0.30996096192050571</v>
      </c>
      <c r="FG56" s="45">
        <f>_xll.StatCovariance( ST_StockOptionLevel_46,ST_EnvironmentSatisfaction_20)</f>
        <v>3.1966769008489535E-3</v>
      </c>
      <c r="FH56" s="45">
        <f>_xll.StatCovariance( ST_StockOptionLevel_46,ST_Gender_21)</f>
        <v>5.3097345132742512E-3</v>
      </c>
      <c r="FI56" s="45">
        <f>_xll.StatCovariance( ST_StockOptionLevel_46,ST_JobInvolvement_23)</f>
        <v>1.3049276892513222E-2</v>
      </c>
      <c r="FJ56" s="45">
        <f>_xll.StatCovariance( ST_StockOptionLevel_46,ST_JobLevel_24)</f>
        <v>1.318959169780908E-2</v>
      </c>
      <c r="FK56" s="45">
        <f>_xll.StatCovariance( ST_StockOptionLevel_46,ST_JobRoleSalesExec)</f>
        <v>5.579250079882225E-3</v>
      </c>
      <c r="FL56" s="45">
        <f>_xll.StatCovariance( ST_StockOptionLevel_46,ST_JobRoleResearchScientist)</f>
        <v>-3.9565996582430606E-3</v>
      </c>
      <c r="FM56" s="45">
        <f>_xll.StatCovariance( ST_StockOptionLevel_46,ST_JobRoleLabTechnician)</f>
        <v>4.3469804531751886E-3</v>
      </c>
      <c r="FN56" s="45">
        <f>_xll.StatCovariance( ST_StockOptionLevel_46,ST_JobRoleManufacturingDirector)</f>
        <v>1.9657965296397467E-3</v>
      </c>
      <c r="FO56" s="45">
        <f>_xll.StatCovariance( ST_StockOptionLevel_46,ST_JobRoleHealthcareRep)</f>
        <v>3.4050652255456252E-3</v>
      </c>
      <c r="FP56" s="45">
        <f>_xll.StatCovariance( ST_StockOptionLevel_46,ST_JobRoleManager)</f>
        <v>-3.3870049040719045E-3</v>
      </c>
      <c r="FQ56" s="45">
        <f>_xll.StatCovariance( ST_StockOptionLevel_46,ST_JobRoleSalesRep)</f>
        <v>-9.456662174740664E-3</v>
      </c>
      <c r="FR56" s="45">
        <f>_xll.StatCovariance( ST_StockOptionLevel_46,ST_JobResearchDirector)</f>
        <v>3.0563620955529136E-3</v>
      </c>
      <c r="FS56" s="45">
        <f>_xll.StatCovariance( ST_StockOptionLevel_46,ST_JobSatisfaction_34)</f>
        <v>1.0045706505883392E-2</v>
      </c>
      <c r="FT56" s="45">
        <f>_xll.StatCovariance( ST_StockOptionLevel_46,ST_MaritalStatusSingle)</f>
        <v>-0.25399758269542871</v>
      </c>
      <c r="FU56" s="45">
        <f>_xll.StatCovariance( ST_StockOptionLevel_46,ST_MaritalStatusMarried)</f>
        <v>9.5793334352120493E-2</v>
      </c>
      <c r="FV56" s="45">
        <f>_xll.StatCovariance( ST_StockOptionLevel_46,ST_MonthlyIncome_38)</f>
        <v>21.693112071241011</v>
      </c>
      <c r="FW56" s="45">
        <f>_xll.StatCovariance( ST_StockOptionLevel_46,ST_NumCompaniesWorked_40)</f>
        <v>6.4015504091357492E-2</v>
      </c>
      <c r="FX56" s="45">
        <f>_xll.StatCovariance( ST_StockOptionLevel_46,ST_OverTime_41)</f>
        <v>-1.7226768174936384E-4</v>
      </c>
      <c r="FY56" s="45">
        <f>_xll.StatVariance(ST_StockOptionLevel_46)</f>
        <v>0.72603464803211704</v>
      </c>
      <c r="FZ56" s="45"/>
      <c r="GA56" s="45"/>
      <c r="GB56" s="45"/>
    </row>
    <row r="57" spans="1:184" ht="15" customHeight="1" x14ac:dyDescent="0.25">
      <c r="A57" s="58">
        <v>33</v>
      </c>
      <c r="B57" s="59">
        <v>0</v>
      </c>
      <c r="C57" s="59">
        <v>2</v>
      </c>
      <c r="D57" s="59">
        <f t="shared" si="0"/>
        <v>0</v>
      </c>
      <c r="E57" s="59">
        <f t="shared" si="1"/>
        <v>1</v>
      </c>
      <c r="F57" s="59">
        <v>515</v>
      </c>
      <c r="G57" s="59">
        <v>2</v>
      </c>
      <c r="H57" s="59">
        <f t="shared" si="2"/>
        <v>0</v>
      </c>
      <c r="I57" s="59">
        <f t="shared" si="3"/>
        <v>1</v>
      </c>
      <c r="J57" s="59">
        <v>1</v>
      </c>
      <c r="K57" s="59">
        <v>2</v>
      </c>
      <c r="L57" s="59">
        <v>1</v>
      </c>
      <c r="M57" s="59">
        <f t="shared" si="4"/>
        <v>1</v>
      </c>
      <c r="N57" s="59">
        <f t="shared" si="5"/>
        <v>0</v>
      </c>
      <c r="O57" s="59">
        <f t="shared" si="6"/>
        <v>0</v>
      </c>
      <c r="P57" s="59">
        <f t="shared" si="7"/>
        <v>0</v>
      </c>
      <c r="Q57" s="59">
        <f t="shared" si="8"/>
        <v>0</v>
      </c>
      <c r="R57" s="59">
        <v>1</v>
      </c>
      <c r="S57" s="59">
        <v>73</v>
      </c>
      <c r="T57" s="59">
        <v>1</v>
      </c>
      <c r="U57" s="59">
        <v>0</v>
      </c>
      <c r="V57" s="59">
        <v>98</v>
      </c>
      <c r="W57" s="59">
        <v>3</v>
      </c>
      <c r="X57" s="59">
        <v>3</v>
      </c>
      <c r="Y57" s="59">
        <v>8</v>
      </c>
      <c r="Z57" s="59">
        <f t="shared" si="9"/>
        <v>0</v>
      </c>
      <c r="AA57" s="59">
        <f>IF('Updated Dummy'!Y57=2,1,0)</f>
        <v>0</v>
      </c>
      <c r="AB57" s="59">
        <f t="shared" si="10"/>
        <v>0</v>
      </c>
      <c r="AC57" s="59">
        <f t="shared" si="11"/>
        <v>0</v>
      </c>
      <c r="AD57" s="59">
        <f t="shared" si="12"/>
        <v>0</v>
      </c>
      <c r="AE57" s="59">
        <f t="shared" si="13"/>
        <v>0</v>
      </c>
      <c r="AF57" s="59">
        <f t="shared" si="14"/>
        <v>0</v>
      </c>
      <c r="AG57" s="59">
        <f t="shared" si="15"/>
        <v>1</v>
      </c>
      <c r="AH57" s="59">
        <v>4</v>
      </c>
      <c r="AI57" s="59">
        <v>1</v>
      </c>
      <c r="AJ57" s="59">
        <f t="shared" si="16"/>
        <v>1</v>
      </c>
      <c r="AK57" s="59">
        <f t="shared" si="17"/>
        <v>0</v>
      </c>
      <c r="AL57" s="59">
        <v>13458</v>
      </c>
      <c r="AM57" s="59">
        <v>15146</v>
      </c>
      <c r="AN57" s="59">
        <v>1</v>
      </c>
      <c r="AO57" s="59">
        <v>1</v>
      </c>
      <c r="AP57" s="59">
        <v>12</v>
      </c>
      <c r="AQ57" s="59">
        <v>3</v>
      </c>
      <c r="AR57" s="59">
        <v>3</v>
      </c>
      <c r="AS57" s="59">
        <v>80</v>
      </c>
      <c r="AT57" s="59">
        <v>0</v>
      </c>
      <c r="AU57" s="59">
        <v>15</v>
      </c>
      <c r="AV57" s="59">
        <v>1</v>
      </c>
      <c r="AW57" s="59">
        <v>3</v>
      </c>
      <c r="AX57" s="59">
        <v>15</v>
      </c>
      <c r="AY57" s="59">
        <v>14</v>
      </c>
      <c r="AZ57" s="59">
        <v>8</v>
      </c>
      <c r="BA57" s="59">
        <v>12</v>
      </c>
      <c r="BB57" s="57">
        <f t="shared" si="18"/>
        <v>40374</v>
      </c>
      <c r="BD57" s="45">
        <f>_xll.StatCovariance( ST_DepartmentSales,ST_Age_1)</f>
        <v>-0.1157379493662675</v>
      </c>
      <c r="FA57" s="36" t="s">
        <v>31</v>
      </c>
      <c r="FB57" s="45">
        <f>_xll.StatCovariance( ST_YearsAtCompany_50,ST_Attrition_2)</f>
        <v>-0.30288270515830457</v>
      </c>
      <c r="FC57" s="45"/>
      <c r="FD57" s="45">
        <f>_xll.StatCovariance( ST_YearsAtCompany_50,ST_BusinessTravelTravelRarely)</f>
        <v>-4.527861519011965E-2</v>
      </c>
      <c r="FE57" s="45">
        <f>_xll.StatCovariance( ST_YearsAtCompany_50,ST_BusinessTravelTravelFrequently)</f>
        <v>3.1135994220697294E-2</v>
      </c>
      <c r="FF57" s="45">
        <f>_xll.StatCovariance( ST_YearsAtCompany_50,ST_DistanceFromHome_10)</f>
        <v>0.47221905780692069</v>
      </c>
      <c r="FG57" s="45">
        <f>_xll.StatCovariance( ST_YearsAtCompany_50,ST_EnvironmentSatisfaction_20)</f>
        <v>9.7609091287985464E-3</v>
      </c>
      <c r="FH57" s="45">
        <f>_xll.StatCovariance( ST_YearsAtCompany_50,ST_Gender_21)</f>
        <v>-8.9312457454050892E-2</v>
      </c>
      <c r="FI57" s="45">
        <f>_xll.StatCovariance( ST_YearsAtCompany_50,ST_JobInvolvement_23)</f>
        <v>-9.3096789430544169E-2</v>
      </c>
      <c r="FJ57" s="45">
        <f>_xll.StatCovariance( ST_YearsAtCompany_50,ST_JobLevel_24)</f>
        <v>3.6264347536155341</v>
      </c>
      <c r="FK57" s="45">
        <f>_xll.StatCovariance( ST_YearsAtCompany_50,ST_JobRoleSalesExec)</f>
        <v>0.10846751226017852</v>
      </c>
      <c r="FL57" s="45">
        <f>_xll.StatCovariance( ST_YearsAtCompany_50,ST_JobRoleResearchScientist)</f>
        <v>-0.3767077423208865</v>
      </c>
      <c r="FM57" s="45">
        <f>_xll.StatCovariance( ST_YearsAtCompany_50,ST_JobRoleLabTechnician)</f>
        <v>-0.35065642322279295</v>
      </c>
      <c r="FN57" s="45">
        <f>_xll.StatCovariance( ST_YearsAtCompany_50,ST_JobRoleManufacturingDirector)</f>
        <v>5.8418193690001438E-2</v>
      </c>
      <c r="FO57" s="45">
        <f>_xll.StatCovariance( ST_YearsAtCompany_50,ST_JobRoleHealthcareRep)</f>
        <v>0.12180436504077487</v>
      </c>
      <c r="FP57" s="45">
        <f>_xll.StatCovariance( ST_YearsAtCompany_50,ST_JobRoleManager)</f>
        <v>0.51543046081604904</v>
      </c>
      <c r="FQ57" s="45">
        <f>_xll.StatCovariance( ST_YearsAtCompany_50,ST_JobRoleSalesRep)</f>
        <v>-0.23123046359456248</v>
      </c>
      <c r="FR57" s="45">
        <f>_xll.StatCovariance( ST_YearsAtCompany_50,ST_JobResearchDirector)</f>
        <v>0.21398702435364866</v>
      </c>
      <c r="FS57" s="45">
        <f>_xll.StatCovariance( ST_YearsAtCompany_50,ST_JobSatisfaction_34)</f>
        <v>-2.5692891179617015E-2</v>
      </c>
      <c r="FT57" s="45">
        <f>_xll.StatCovariance( ST_YearsAtCompany_50,ST_MaritalStatusSingle)</f>
        <v>-0.20274794737500168</v>
      </c>
      <c r="FU57" s="45">
        <f>_xll.StatCovariance( ST_YearsAtCompany_50,ST_MaritalStatusMarried)</f>
        <v>0.1371723093594146</v>
      </c>
      <c r="FV57" s="45">
        <f>_xll.StatCovariance( ST_YearsAtCompany_50,ST_MonthlyIncome_38)</f>
        <v>14833.73099012238</v>
      </c>
      <c r="FW57" s="45">
        <f>_xll.StatCovariance( ST_YearsAtCompany_50,ST_NumCompaniesWorked_40)</f>
        <v>-1.8123338103110476</v>
      </c>
      <c r="FX57" s="45">
        <f>_xll.StatCovariance( ST_YearsAtCompany_50,ST_OverTime_41)</f>
        <v>-3.2264069685055789E-2</v>
      </c>
      <c r="FY57" s="45">
        <f>_xll.StatCovariance( ST_YearsAtCompany_50,ST_StockOptionLevel_46)</f>
        <v>7.8606854586626515E-2</v>
      </c>
      <c r="FZ57" s="45">
        <f>_xll.StatVariance(ST_YearsAtCompany_50)</f>
        <v>37.53431044303354</v>
      </c>
      <c r="GA57" s="45"/>
      <c r="GB57" s="45"/>
    </row>
    <row r="58" spans="1:184" ht="15" customHeight="1" x14ac:dyDescent="0.25">
      <c r="A58" s="58">
        <v>35</v>
      </c>
      <c r="B58" s="59">
        <v>0</v>
      </c>
      <c r="C58" s="59">
        <v>2</v>
      </c>
      <c r="D58" s="59">
        <f t="shared" si="0"/>
        <v>0</v>
      </c>
      <c r="E58" s="59">
        <f t="shared" si="1"/>
        <v>1</v>
      </c>
      <c r="F58" s="59">
        <v>853</v>
      </c>
      <c r="G58" s="59">
        <v>1</v>
      </c>
      <c r="H58" s="59">
        <f t="shared" si="2"/>
        <v>1</v>
      </c>
      <c r="I58" s="59">
        <f t="shared" si="3"/>
        <v>0</v>
      </c>
      <c r="J58" s="59">
        <v>18</v>
      </c>
      <c r="K58" s="59">
        <v>5</v>
      </c>
      <c r="L58" s="59">
        <v>1</v>
      </c>
      <c r="M58" s="59">
        <f t="shared" si="4"/>
        <v>1</v>
      </c>
      <c r="N58" s="59">
        <f t="shared" si="5"/>
        <v>0</v>
      </c>
      <c r="O58" s="59">
        <f t="shared" si="6"/>
        <v>0</v>
      </c>
      <c r="P58" s="59">
        <f t="shared" si="7"/>
        <v>0</v>
      </c>
      <c r="Q58" s="59">
        <f t="shared" si="8"/>
        <v>0</v>
      </c>
      <c r="R58" s="59">
        <v>1</v>
      </c>
      <c r="S58" s="59">
        <v>74</v>
      </c>
      <c r="T58" s="59">
        <v>2</v>
      </c>
      <c r="U58" s="59">
        <v>1</v>
      </c>
      <c r="V58" s="59">
        <v>71</v>
      </c>
      <c r="W58" s="59">
        <v>3</v>
      </c>
      <c r="X58" s="59">
        <v>3</v>
      </c>
      <c r="Y58" s="59">
        <v>1</v>
      </c>
      <c r="Z58" s="59">
        <f t="shared" si="9"/>
        <v>1</v>
      </c>
      <c r="AA58" s="59">
        <f>IF('Updated Dummy'!Y58=2,1,0)</f>
        <v>0</v>
      </c>
      <c r="AB58" s="59">
        <f t="shared" si="10"/>
        <v>0</v>
      </c>
      <c r="AC58" s="59">
        <f t="shared" si="11"/>
        <v>0</v>
      </c>
      <c r="AD58" s="59">
        <f t="shared" si="12"/>
        <v>0</v>
      </c>
      <c r="AE58" s="59">
        <f t="shared" si="13"/>
        <v>0</v>
      </c>
      <c r="AF58" s="59">
        <f t="shared" si="14"/>
        <v>0</v>
      </c>
      <c r="AG58" s="59">
        <f t="shared" si="15"/>
        <v>0</v>
      </c>
      <c r="AH58" s="59">
        <v>1</v>
      </c>
      <c r="AI58" s="59">
        <v>2</v>
      </c>
      <c r="AJ58" s="59">
        <f t="shared" si="16"/>
        <v>0</v>
      </c>
      <c r="AK58" s="59">
        <f t="shared" si="17"/>
        <v>1</v>
      </c>
      <c r="AL58" s="59">
        <v>9069</v>
      </c>
      <c r="AM58" s="59">
        <v>11031</v>
      </c>
      <c r="AN58" s="59">
        <v>1</v>
      </c>
      <c r="AO58" s="59">
        <v>0</v>
      </c>
      <c r="AP58" s="59">
        <v>22</v>
      </c>
      <c r="AQ58" s="59">
        <v>4</v>
      </c>
      <c r="AR58" s="59">
        <v>4</v>
      </c>
      <c r="AS58" s="59">
        <v>80</v>
      </c>
      <c r="AT58" s="59">
        <v>1</v>
      </c>
      <c r="AU58" s="59">
        <v>9</v>
      </c>
      <c r="AV58" s="59">
        <v>3</v>
      </c>
      <c r="AW58" s="59">
        <v>2</v>
      </c>
      <c r="AX58" s="59">
        <v>9</v>
      </c>
      <c r="AY58" s="59">
        <v>8</v>
      </c>
      <c r="AZ58" s="59">
        <v>1</v>
      </c>
      <c r="BA58" s="59">
        <v>8</v>
      </c>
      <c r="BB58" s="57">
        <f t="shared" si="18"/>
        <v>27207</v>
      </c>
      <c r="BD58" s="45">
        <f>_xll.StatCovariance( ST_DepartmentRD,ST_Age_1)</f>
        <v>7.7752925540536089E-2</v>
      </c>
      <c r="FA58" s="36" t="s">
        <v>32</v>
      </c>
      <c r="FB58" s="45">
        <f>_xll.StatCovariance( ST_YearsInCurrentRole_51,ST_Attrition_2)</f>
        <v>-0.21397729956516243</v>
      </c>
      <c r="FC58" s="45"/>
      <c r="FD58" s="45">
        <f>_xll.StatCovariance( ST_YearsInCurrentRole_51,ST_BusinessTravelTravelRarely)</f>
        <v>-1.5050730979934699E-2</v>
      </c>
      <c r="FE58" s="45">
        <f>_xll.StatCovariance( ST_YearsInCurrentRole_51,ST_BusinessTravelTravelFrequently)</f>
        <v>2.380720838369156E-3</v>
      </c>
      <c r="FF58" s="45">
        <f>_xll.StatCovariance( ST_YearsInCurrentRole_51,ST_DistanceFromHome_10)</f>
        <v>0.55352060497446054</v>
      </c>
      <c r="FG58" s="45">
        <f>_xll.StatCovariance( ST_YearsInCurrentRole_51,ST_EnvironmentSatisfaction_20)</f>
        <v>7.1316504818401197E-2</v>
      </c>
      <c r="FH58" s="45">
        <f>_xll.StatCovariance( ST_YearsInCurrentRole_51,ST_Gender_21)</f>
        <v>-7.3655547991831605E-2</v>
      </c>
      <c r="FI58" s="45">
        <f>_xll.StatCovariance( ST_YearsInCurrentRole_51,ST_JobInvolvement_23)</f>
        <v>2.2473060020468488E-2</v>
      </c>
      <c r="FJ58" s="45">
        <f>_xll.StatCovariance( ST_YearsInCurrentRole_51,ST_JobLevel_24)</f>
        <v>1.5619130974377451</v>
      </c>
      <c r="FK58" s="45">
        <f>_xll.StatCovariance( ST_YearsInCurrentRole_51,ST_JobRoleSalesExec)</f>
        <v>0.13904965662235377</v>
      </c>
      <c r="FL58" s="45">
        <f>_xll.StatCovariance( ST_YearsInCurrentRole_51,ST_JobRoleResearchScientist)</f>
        <v>-0.18988529380438143</v>
      </c>
      <c r="FM58" s="45">
        <f>_xll.StatCovariance( ST_YearsInCurrentRole_51,ST_JobRoleLabTechnician)</f>
        <v>-0.18133164770332771</v>
      </c>
      <c r="FN58" s="45">
        <f>_xll.StatCovariance( ST_YearsInCurrentRole_51,ST_JobRoleManufacturingDirector)</f>
        <v>7.3355005719102695E-2</v>
      </c>
      <c r="FO58" s="45">
        <f>_xll.StatCovariance( ST_YearsInCurrentRole_51,ST_JobRoleHealthcareRep)</f>
        <v>5.6479256099989585E-2</v>
      </c>
      <c r="FP58" s="45">
        <f>_xll.StatCovariance( ST_YearsInCurrentRole_51,ST_JobRoleManager)</f>
        <v>0.15426570900654205</v>
      </c>
      <c r="FQ58" s="45">
        <f>_xll.StatCovariance( ST_YearsInCurrentRole_51,ST_JobRoleSalesRep)</f>
        <v>-0.1252742621895587</v>
      </c>
      <c r="FR58" s="45">
        <f>_xll.StatCovariance( ST_YearsInCurrentRole_51,ST_JobResearchDirector)</f>
        <v>0.11208976442857606</v>
      </c>
      <c r="FS58" s="45">
        <f>_xll.StatCovariance( ST_YearsInCurrentRole_51,ST_JobSatisfaction_34)</f>
        <v>-9.209374696100267E-3</v>
      </c>
      <c r="FT58" s="45">
        <f>_xll.StatCovariance( ST_YearsInCurrentRole_51,ST_MaritalStatusSingle)</f>
        <v>-0.14618672520063195</v>
      </c>
      <c r="FU58" s="45">
        <f>_xll.StatCovariance( ST_YearsInCurrentRole_51,ST_MaritalStatusMarried)</f>
        <v>0.11825296490277556</v>
      </c>
      <c r="FV58" s="45">
        <f>_xll.StatCovariance( ST_YearsInCurrentRole_51,ST_MonthlyIncome_38)</f>
        <v>6205.8462589664705</v>
      </c>
      <c r="FW58" s="45">
        <f>_xll.StatCovariance( ST_YearsInCurrentRole_51,ST_NumCompaniesWorked_40)</f>
        <v>-0.82138017902872962</v>
      </c>
      <c r="FX58" s="45">
        <f>_xll.StatCovariance( ST_YearsInCurrentRole_51,ST_OverTime_41)</f>
        <v>-4.8583190934645179E-2</v>
      </c>
      <c r="FY58" s="45">
        <f>_xll.StatCovariance( ST_YearsInCurrentRole_51,ST_StockOptionLevel_46)</f>
        <v>0.15688445562023173</v>
      </c>
      <c r="FZ58" s="45">
        <f>_xll.StatCovariance( ST_YearsInCurrentRole_51,ST_YearsAtCompany_50)</f>
        <v>16.842238924160601</v>
      </c>
      <c r="GA58" s="45">
        <f>_xll.StatVariance(ST_YearsInCurrentRole_51)</f>
        <v>13.127121972001953</v>
      </c>
      <c r="GB58" s="45"/>
    </row>
    <row r="59" spans="1:184" ht="15" customHeight="1" x14ac:dyDescent="0.25">
      <c r="A59" s="58">
        <v>35</v>
      </c>
      <c r="B59" s="59">
        <v>0</v>
      </c>
      <c r="C59" s="59">
        <v>1</v>
      </c>
      <c r="D59" s="59">
        <f t="shared" si="0"/>
        <v>1</v>
      </c>
      <c r="E59" s="59">
        <f t="shared" si="1"/>
        <v>0</v>
      </c>
      <c r="F59" s="59">
        <v>1142</v>
      </c>
      <c r="G59" s="59">
        <v>2</v>
      </c>
      <c r="H59" s="59">
        <f t="shared" si="2"/>
        <v>0</v>
      </c>
      <c r="I59" s="59">
        <f t="shared" si="3"/>
        <v>1</v>
      </c>
      <c r="J59" s="59">
        <v>23</v>
      </c>
      <c r="K59" s="59">
        <v>4</v>
      </c>
      <c r="L59" s="59">
        <v>3</v>
      </c>
      <c r="M59" s="59">
        <f t="shared" si="4"/>
        <v>0</v>
      </c>
      <c r="N59" s="59">
        <f t="shared" si="5"/>
        <v>0</v>
      </c>
      <c r="O59" s="59">
        <f t="shared" si="6"/>
        <v>1</v>
      </c>
      <c r="P59" s="59">
        <f t="shared" si="7"/>
        <v>0</v>
      </c>
      <c r="Q59" s="59">
        <f t="shared" si="8"/>
        <v>0</v>
      </c>
      <c r="R59" s="59">
        <v>1</v>
      </c>
      <c r="S59" s="59">
        <v>75</v>
      </c>
      <c r="T59" s="59">
        <v>3</v>
      </c>
      <c r="U59" s="59">
        <v>0</v>
      </c>
      <c r="V59" s="59">
        <v>30</v>
      </c>
      <c r="W59" s="59">
        <v>3</v>
      </c>
      <c r="X59" s="59">
        <v>1</v>
      </c>
      <c r="Y59" s="59">
        <v>3</v>
      </c>
      <c r="Z59" s="59">
        <f t="shared" si="9"/>
        <v>0</v>
      </c>
      <c r="AA59" s="59">
        <f>IF('Updated Dummy'!Y59=2,1,0)</f>
        <v>0</v>
      </c>
      <c r="AB59" s="59">
        <f t="shared" si="10"/>
        <v>1</v>
      </c>
      <c r="AC59" s="59">
        <f t="shared" si="11"/>
        <v>0</v>
      </c>
      <c r="AD59" s="59">
        <f t="shared" si="12"/>
        <v>0</v>
      </c>
      <c r="AE59" s="59">
        <f t="shared" si="13"/>
        <v>0</v>
      </c>
      <c r="AF59" s="59">
        <f t="shared" si="14"/>
        <v>0</v>
      </c>
      <c r="AG59" s="59">
        <f t="shared" si="15"/>
        <v>0</v>
      </c>
      <c r="AH59" s="59">
        <v>1</v>
      </c>
      <c r="AI59" s="59">
        <v>2</v>
      </c>
      <c r="AJ59" s="59">
        <f t="shared" si="16"/>
        <v>0</v>
      </c>
      <c r="AK59" s="59">
        <f t="shared" si="17"/>
        <v>1</v>
      </c>
      <c r="AL59" s="59">
        <v>4014</v>
      </c>
      <c r="AM59" s="59">
        <v>16002</v>
      </c>
      <c r="AN59" s="59">
        <v>3</v>
      </c>
      <c r="AO59" s="59">
        <v>1</v>
      </c>
      <c r="AP59" s="59">
        <v>15</v>
      </c>
      <c r="AQ59" s="59">
        <v>3</v>
      </c>
      <c r="AR59" s="59">
        <v>3</v>
      </c>
      <c r="AS59" s="59">
        <v>80</v>
      </c>
      <c r="AT59" s="59">
        <v>1</v>
      </c>
      <c r="AU59" s="59">
        <v>4</v>
      </c>
      <c r="AV59" s="59">
        <v>3</v>
      </c>
      <c r="AW59" s="59">
        <v>3</v>
      </c>
      <c r="AX59" s="59">
        <v>2</v>
      </c>
      <c r="AY59" s="59">
        <v>2</v>
      </c>
      <c r="AZ59" s="59">
        <v>2</v>
      </c>
      <c r="BA59" s="59">
        <v>2</v>
      </c>
      <c r="BB59" s="57">
        <f t="shared" si="18"/>
        <v>4014</v>
      </c>
      <c r="BD59" s="45">
        <f>_xll.StatCovariance( ST_DistanceFromHome_10,ST_Age_1)</f>
        <v>-0.12487276735064175</v>
      </c>
      <c r="FA59" s="36" t="s">
        <v>34</v>
      </c>
      <c r="FB59" s="45">
        <f>_xll.StatCovariance( ST_YearsWithCurrManager_53,ST_Attrition_2)</f>
        <v>-0.20502493713618977</v>
      </c>
      <c r="FC59" s="45"/>
      <c r="FD59" s="45">
        <f>_xll.StatCovariance( ST_YearsWithCurrManager_53,ST_BusinessTravelTravelRarely)</f>
        <v>-3.5686732146909483E-2</v>
      </c>
      <c r="FE59" s="45">
        <f>_xll.StatCovariance( ST_YearsWithCurrManager_53,ST_BusinessTravelTravelFrequently)</f>
        <v>1.7626410673187147E-2</v>
      </c>
      <c r="FF59" s="45">
        <f>_xll.StatCovariance( ST_YearsWithCurrManager_53,ST_DistanceFromHome_10)</f>
        <v>0.41671505906651252</v>
      </c>
      <c r="FG59" s="45">
        <f>_xll.StatCovariance( ST_YearsWithCurrManager_53,ST_EnvironmentSatisfaction_20)</f>
        <v>-1.9496348573466174E-2</v>
      </c>
      <c r="FH59" s="45">
        <f>_xll.StatCovariance( ST_YearsWithCurrManager_53,ST_Gender_21)</f>
        <v>-5.3505786249149277E-2</v>
      </c>
      <c r="FI59" s="45">
        <f>_xll.StatCovariance( ST_YearsWithCurrManager_53,ST_JobInvolvement_23)</f>
        <v>6.5951200085207509E-2</v>
      </c>
      <c r="FJ59" s="45">
        <f>_xll.StatCovariance( ST_YearsWithCurrManager_53,ST_JobLevel_24)</f>
        <v>1.4822504086726489</v>
      </c>
      <c r="FK59" s="45">
        <f>_xll.StatCovariance( ST_YearsWithCurrManager_53,ST_JobRoleSalesExec)</f>
        <v>0.12311767457152864</v>
      </c>
      <c r="FL59" s="45">
        <f>_xll.StatCovariance( ST_YearsWithCurrManager_53,ST_JobRoleResearchScientist)</f>
        <v>-0.18172480700926044</v>
      </c>
      <c r="FM59" s="45">
        <f>_xll.StatCovariance( ST_YearsWithCurrManager_53,ST_JobRoleLabTechnician)</f>
        <v>-0.14560277480631428</v>
      </c>
      <c r="FN59" s="45">
        <f>_xll.StatCovariance( ST_YearsWithCurrManager_53,ST_JobRoleManufacturingDirector)</f>
        <v>8.1107051397822399E-2</v>
      </c>
      <c r="FO59" s="45">
        <f>_xll.StatCovariance( ST_YearsWithCurrManager_53,ST_JobRoleHealthcareRep)</f>
        <v>4.0074927179857646E-2</v>
      </c>
      <c r="FP59" s="45">
        <f>_xll.StatCovariance( ST_YearsWithCurrManager_53,ST_JobRoleManager)</f>
        <v>0.14938108667565211</v>
      </c>
      <c r="FQ59" s="45">
        <f>_xll.StatCovariance( ST_YearsWithCurrManager_53,ST_JobRoleSalesRep)</f>
        <v>-0.13901955608656127</v>
      </c>
      <c r="FR59" s="45">
        <f>_xll.StatCovariance( ST_YearsWithCurrManager_53,ST_JobResearchDirector)</f>
        <v>0.10629656900200435</v>
      </c>
      <c r="FS59" s="45">
        <f>_xll.StatCovariance( ST_YearsWithCurrManager_53,ST_JobSatisfaction_34)</f>
        <v>-0.10883010794515199</v>
      </c>
      <c r="FT59" s="45">
        <f>_xll.StatCovariance( ST_YearsWithCurrManager_53,ST_MaritalStatusSingle)</f>
        <v>-7.9558031517576247E-2</v>
      </c>
      <c r="FU59" s="45">
        <f>_xll.StatCovariance( ST_YearsWithCurrManager_53,ST_MaritalStatusMarried)</f>
        <v>5.8634454462520608E-2</v>
      </c>
      <c r="FV59" s="45">
        <f>_xll.StatCovariance( ST_YearsWithCurrManager_53,ST_MonthlyIncome_38)</f>
        <v>5780.0540749179272</v>
      </c>
      <c r="FW59" s="45">
        <f>_xll.StatCovariance( ST_YearsWithCurrManager_53,ST_NumCompaniesWorked_40)</f>
        <v>-0.98330068582913122</v>
      </c>
      <c r="FX59" s="45">
        <f>_xll.StatCovariance( ST_YearsWithCurrManager_53,ST_OverTime_41)</f>
        <v>-6.6863014777047911E-2</v>
      </c>
      <c r="FY59" s="45">
        <f>_xll.StatCovariance( ST_YearsWithCurrManager_53,ST_StockOptionLevel_46)</f>
        <v>7.5090648921242856E-2</v>
      </c>
      <c r="FZ59" s="45">
        <f>_xll.StatCovariance( ST_YearsWithCurrManager_53,ST_YearsAtCompany_50)</f>
        <v>16.815195676636833</v>
      </c>
      <c r="GA59" s="45">
        <f>_xll.StatCovariance( ST_YearsWithCurrManager_53,ST_YearsInCurrentRole_51)</f>
        <v>9.2351977142116244</v>
      </c>
      <c r="GB59" s="45">
        <f>_xll.StatVariance(ST_YearsWithCurrManager_53)</f>
        <v>12.731595374705385</v>
      </c>
    </row>
    <row r="60" spans="1:184" ht="15" customHeight="1" x14ac:dyDescent="0.25">
      <c r="A60" s="58">
        <v>31</v>
      </c>
      <c r="B60" s="59">
        <v>0</v>
      </c>
      <c r="C60" s="59">
        <v>1</v>
      </c>
      <c r="D60" s="59">
        <f t="shared" si="0"/>
        <v>1</v>
      </c>
      <c r="E60" s="59">
        <f t="shared" si="1"/>
        <v>0</v>
      </c>
      <c r="F60" s="59">
        <v>655</v>
      </c>
      <c r="G60" s="59">
        <v>2</v>
      </c>
      <c r="H60" s="59">
        <f t="shared" si="2"/>
        <v>0</v>
      </c>
      <c r="I60" s="59">
        <f t="shared" si="3"/>
        <v>1</v>
      </c>
      <c r="J60" s="59">
        <v>7</v>
      </c>
      <c r="K60" s="59">
        <v>4</v>
      </c>
      <c r="L60" s="59">
        <v>1</v>
      </c>
      <c r="M60" s="59">
        <f t="shared" si="4"/>
        <v>1</v>
      </c>
      <c r="N60" s="59">
        <f t="shared" si="5"/>
        <v>0</v>
      </c>
      <c r="O60" s="59">
        <f t="shared" si="6"/>
        <v>0</v>
      </c>
      <c r="P60" s="59">
        <f t="shared" si="7"/>
        <v>0</v>
      </c>
      <c r="Q60" s="59">
        <f t="shared" si="8"/>
        <v>0</v>
      </c>
      <c r="R60" s="59">
        <v>1</v>
      </c>
      <c r="S60" s="59">
        <v>76</v>
      </c>
      <c r="T60" s="59">
        <v>4</v>
      </c>
      <c r="U60" s="59">
        <v>1</v>
      </c>
      <c r="V60" s="59">
        <v>48</v>
      </c>
      <c r="W60" s="59">
        <v>3</v>
      </c>
      <c r="X60" s="59">
        <v>2</v>
      </c>
      <c r="Y60" s="59">
        <v>3</v>
      </c>
      <c r="Z60" s="59">
        <f t="shared" si="9"/>
        <v>0</v>
      </c>
      <c r="AA60" s="59">
        <f>IF('Updated Dummy'!Y60=2,1,0)</f>
        <v>0</v>
      </c>
      <c r="AB60" s="59">
        <f t="shared" si="10"/>
        <v>1</v>
      </c>
      <c r="AC60" s="59">
        <f t="shared" si="11"/>
        <v>0</v>
      </c>
      <c r="AD60" s="59">
        <f t="shared" si="12"/>
        <v>0</v>
      </c>
      <c r="AE60" s="59">
        <f t="shared" si="13"/>
        <v>0</v>
      </c>
      <c r="AF60" s="59">
        <f t="shared" si="14"/>
        <v>0</v>
      </c>
      <c r="AG60" s="59">
        <f t="shared" si="15"/>
        <v>0</v>
      </c>
      <c r="AH60" s="59">
        <v>4</v>
      </c>
      <c r="AI60" s="59">
        <v>3</v>
      </c>
      <c r="AJ60" s="59">
        <f t="shared" si="16"/>
        <v>0</v>
      </c>
      <c r="AK60" s="59">
        <f t="shared" si="17"/>
        <v>0</v>
      </c>
      <c r="AL60" s="59">
        <v>5915</v>
      </c>
      <c r="AM60" s="59">
        <v>9528</v>
      </c>
      <c r="AN60" s="59">
        <v>3</v>
      </c>
      <c r="AO60" s="59">
        <v>0</v>
      </c>
      <c r="AP60" s="59">
        <v>22</v>
      </c>
      <c r="AQ60" s="59">
        <v>4</v>
      </c>
      <c r="AR60" s="59">
        <v>4</v>
      </c>
      <c r="AS60" s="59">
        <v>80</v>
      </c>
      <c r="AT60" s="59">
        <v>1</v>
      </c>
      <c r="AU60" s="59">
        <v>10</v>
      </c>
      <c r="AV60" s="59">
        <v>3</v>
      </c>
      <c r="AW60" s="59">
        <v>2</v>
      </c>
      <c r="AX60" s="59">
        <v>7</v>
      </c>
      <c r="AY60" s="59">
        <v>7</v>
      </c>
      <c r="AZ60" s="59">
        <v>1</v>
      </c>
      <c r="BA60" s="59">
        <v>7</v>
      </c>
      <c r="BB60" s="57">
        <f t="shared" si="18"/>
        <v>11830</v>
      </c>
      <c r="BD60" s="45">
        <f>_xll.StatCovariance( ST_Education_11,ST_Age_1)</f>
        <v>1.9463904826736704</v>
      </c>
    </row>
    <row r="61" spans="1:184" ht="15" customHeight="1" x14ac:dyDescent="0.25">
      <c r="A61" s="58">
        <v>37</v>
      </c>
      <c r="B61" s="59">
        <v>0</v>
      </c>
      <c r="C61" s="59">
        <v>1</v>
      </c>
      <c r="D61" s="59">
        <f t="shared" si="0"/>
        <v>1</v>
      </c>
      <c r="E61" s="59">
        <f t="shared" si="1"/>
        <v>0</v>
      </c>
      <c r="F61" s="59">
        <v>1115</v>
      </c>
      <c r="G61" s="59">
        <v>2</v>
      </c>
      <c r="H61" s="59">
        <f t="shared" si="2"/>
        <v>0</v>
      </c>
      <c r="I61" s="59">
        <f t="shared" si="3"/>
        <v>1</v>
      </c>
      <c r="J61" s="59">
        <v>1</v>
      </c>
      <c r="K61" s="59">
        <v>4</v>
      </c>
      <c r="L61" s="59">
        <v>1</v>
      </c>
      <c r="M61" s="59">
        <f t="shared" si="4"/>
        <v>1</v>
      </c>
      <c r="N61" s="59">
        <f t="shared" si="5"/>
        <v>0</v>
      </c>
      <c r="O61" s="59">
        <f t="shared" si="6"/>
        <v>0</v>
      </c>
      <c r="P61" s="59">
        <f t="shared" si="7"/>
        <v>0</v>
      </c>
      <c r="Q61" s="59">
        <f t="shared" si="8"/>
        <v>0</v>
      </c>
      <c r="R61" s="59">
        <v>1</v>
      </c>
      <c r="S61" s="59">
        <v>77</v>
      </c>
      <c r="T61" s="59">
        <v>1</v>
      </c>
      <c r="U61" s="59">
        <v>1</v>
      </c>
      <c r="V61" s="59">
        <v>51</v>
      </c>
      <c r="W61" s="59">
        <v>2</v>
      </c>
      <c r="X61" s="59">
        <v>2</v>
      </c>
      <c r="Y61" s="59">
        <v>4</v>
      </c>
      <c r="Z61" s="59">
        <f t="shared" si="9"/>
        <v>0</v>
      </c>
      <c r="AA61" s="59">
        <f>IF('Updated Dummy'!Y61=2,1,0)</f>
        <v>0</v>
      </c>
      <c r="AB61" s="59">
        <f t="shared" si="10"/>
        <v>0</v>
      </c>
      <c r="AC61" s="59">
        <f t="shared" si="11"/>
        <v>1</v>
      </c>
      <c r="AD61" s="59">
        <f t="shared" si="12"/>
        <v>0</v>
      </c>
      <c r="AE61" s="59">
        <f t="shared" si="13"/>
        <v>0</v>
      </c>
      <c r="AF61" s="59">
        <f t="shared" si="14"/>
        <v>0</v>
      </c>
      <c r="AG61" s="59">
        <f t="shared" si="15"/>
        <v>0</v>
      </c>
      <c r="AH61" s="59">
        <v>3</v>
      </c>
      <c r="AI61" s="59">
        <v>3</v>
      </c>
      <c r="AJ61" s="59">
        <f t="shared" si="16"/>
        <v>0</v>
      </c>
      <c r="AK61" s="59">
        <f t="shared" si="17"/>
        <v>0</v>
      </c>
      <c r="AL61" s="59">
        <v>5993</v>
      </c>
      <c r="AM61" s="59">
        <v>2689</v>
      </c>
      <c r="AN61" s="59">
        <v>1</v>
      </c>
      <c r="AO61" s="59">
        <v>0</v>
      </c>
      <c r="AP61" s="59">
        <v>18</v>
      </c>
      <c r="AQ61" s="59">
        <v>3</v>
      </c>
      <c r="AR61" s="59">
        <v>3</v>
      </c>
      <c r="AS61" s="59">
        <v>80</v>
      </c>
      <c r="AT61" s="59">
        <v>1</v>
      </c>
      <c r="AU61" s="59">
        <v>7</v>
      </c>
      <c r="AV61" s="59">
        <v>2</v>
      </c>
      <c r="AW61" s="59">
        <v>4</v>
      </c>
      <c r="AX61" s="59">
        <v>7</v>
      </c>
      <c r="AY61" s="59">
        <v>5</v>
      </c>
      <c r="AZ61" s="59">
        <v>0</v>
      </c>
      <c r="BA61" s="59">
        <v>7</v>
      </c>
      <c r="BB61" s="57">
        <f t="shared" si="18"/>
        <v>11986</v>
      </c>
      <c r="BD61" s="45">
        <f>_xll.StatCovariance( ST_EducationFieldLifeSciences,ST_Age_1)</f>
        <v>7.5678303996889101E-2</v>
      </c>
    </row>
    <row r="62" spans="1:184" ht="15" customHeight="1" x14ac:dyDescent="0.25">
      <c r="A62" s="58">
        <v>32</v>
      </c>
      <c r="B62" s="59">
        <v>0</v>
      </c>
      <c r="C62" s="59">
        <v>1</v>
      </c>
      <c r="D62" s="59">
        <f t="shared" si="0"/>
        <v>1</v>
      </c>
      <c r="E62" s="59">
        <f t="shared" si="1"/>
        <v>0</v>
      </c>
      <c r="F62" s="59">
        <v>427</v>
      </c>
      <c r="G62" s="59">
        <v>2</v>
      </c>
      <c r="H62" s="59">
        <f t="shared" si="2"/>
        <v>0</v>
      </c>
      <c r="I62" s="59">
        <f t="shared" si="3"/>
        <v>1</v>
      </c>
      <c r="J62" s="59">
        <v>1</v>
      </c>
      <c r="K62" s="59">
        <v>3</v>
      </c>
      <c r="L62" s="59">
        <v>3</v>
      </c>
      <c r="M62" s="59">
        <f t="shared" si="4"/>
        <v>0</v>
      </c>
      <c r="N62" s="59">
        <f t="shared" si="5"/>
        <v>0</v>
      </c>
      <c r="O62" s="59">
        <f t="shared" si="6"/>
        <v>1</v>
      </c>
      <c r="P62" s="59">
        <f t="shared" si="7"/>
        <v>0</v>
      </c>
      <c r="Q62" s="59">
        <f t="shared" si="8"/>
        <v>0</v>
      </c>
      <c r="R62" s="59">
        <v>1</v>
      </c>
      <c r="S62" s="59">
        <v>78</v>
      </c>
      <c r="T62" s="59">
        <v>1</v>
      </c>
      <c r="U62" s="59">
        <v>1</v>
      </c>
      <c r="V62" s="59">
        <v>33</v>
      </c>
      <c r="W62" s="59">
        <v>3</v>
      </c>
      <c r="X62" s="59">
        <v>2</v>
      </c>
      <c r="Y62" s="59">
        <v>4</v>
      </c>
      <c r="Z62" s="59">
        <f t="shared" si="9"/>
        <v>0</v>
      </c>
      <c r="AA62" s="59">
        <f>IF('Updated Dummy'!Y62=2,1,0)</f>
        <v>0</v>
      </c>
      <c r="AB62" s="59">
        <f t="shared" si="10"/>
        <v>0</v>
      </c>
      <c r="AC62" s="59">
        <f t="shared" si="11"/>
        <v>1</v>
      </c>
      <c r="AD62" s="59">
        <f t="shared" si="12"/>
        <v>0</v>
      </c>
      <c r="AE62" s="59">
        <f t="shared" si="13"/>
        <v>0</v>
      </c>
      <c r="AF62" s="59">
        <f t="shared" si="14"/>
        <v>0</v>
      </c>
      <c r="AG62" s="59">
        <f t="shared" si="15"/>
        <v>0</v>
      </c>
      <c r="AH62" s="59">
        <v>4</v>
      </c>
      <c r="AI62" s="59">
        <v>2</v>
      </c>
      <c r="AJ62" s="59">
        <f t="shared" si="16"/>
        <v>0</v>
      </c>
      <c r="AK62" s="59">
        <f t="shared" si="17"/>
        <v>1</v>
      </c>
      <c r="AL62" s="59">
        <v>6162</v>
      </c>
      <c r="AM62" s="59">
        <v>10877</v>
      </c>
      <c r="AN62" s="59">
        <v>1</v>
      </c>
      <c r="AO62" s="59">
        <v>1</v>
      </c>
      <c r="AP62" s="59">
        <v>22</v>
      </c>
      <c r="AQ62" s="59">
        <v>4</v>
      </c>
      <c r="AR62" s="59">
        <v>2</v>
      </c>
      <c r="AS62" s="59">
        <v>80</v>
      </c>
      <c r="AT62" s="59">
        <v>1</v>
      </c>
      <c r="AU62" s="59">
        <v>9</v>
      </c>
      <c r="AV62" s="59">
        <v>3</v>
      </c>
      <c r="AW62" s="59">
        <v>3</v>
      </c>
      <c r="AX62" s="59">
        <v>9</v>
      </c>
      <c r="AY62" s="59">
        <v>8</v>
      </c>
      <c r="AZ62" s="59">
        <v>7</v>
      </c>
      <c r="BA62" s="59">
        <v>8</v>
      </c>
      <c r="BB62" s="57">
        <f t="shared" si="18"/>
        <v>12324</v>
      </c>
      <c r="BD62" s="45">
        <f>_xll.StatCovariance( ST_EducationFieldHR,ST_Age_1)</f>
        <v>2.081104735972041E-3</v>
      </c>
    </row>
    <row r="63" spans="1:184" ht="15" customHeight="1" x14ac:dyDescent="0.25">
      <c r="A63" s="58">
        <v>38</v>
      </c>
      <c r="B63" s="59">
        <v>0</v>
      </c>
      <c r="C63" s="59">
        <v>2</v>
      </c>
      <c r="D63" s="59">
        <f t="shared" si="0"/>
        <v>0</v>
      </c>
      <c r="E63" s="59">
        <f t="shared" si="1"/>
        <v>1</v>
      </c>
      <c r="F63" s="59">
        <v>653</v>
      </c>
      <c r="G63" s="59">
        <v>2</v>
      </c>
      <c r="H63" s="59">
        <f t="shared" si="2"/>
        <v>0</v>
      </c>
      <c r="I63" s="59">
        <f t="shared" si="3"/>
        <v>1</v>
      </c>
      <c r="J63" s="59">
        <v>29</v>
      </c>
      <c r="K63" s="59">
        <v>5</v>
      </c>
      <c r="L63" s="59">
        <v>1</v>
      </c>
      <c r="M63" s="59">
        <f t="shared" si="4"/>
        <v>1</v>
      </c>
      <c r="N63" s="59">
        <f t="shared" si="5"/>
        <v>0</v>
      </c>
      <c r="O63" s="59">
        <f t="shared" si="6"/>
        <v>0</v>
      </c>
      <c r="P63" s="59">
        <f t="shared" si="7"/>
        <v>0</v>
      </c>
      <c r="Q63" s="59">
        <f t="shared" si="8"/>
        <v>0</v>
      </c>
      <c r="R63" s="59">
        <v>1</v>
      </c>
      <c r="S63" s="59">
        <v>79</v>
      </c>
      <c r="T63" s="59">
        <v>4</v>
      </c>
      <c r="U63" s="59">
        <v>0</v>
      </c>
      <c r="V63" s="59">
        <v>50</v>
      </c>
      <c r="W63" s="59">
        <v>3</v>
      </c>
      <c r="X63" s="59">
        <v>2</v>
      </c>
      <c r="Y63" s="59">
        <v>3</v>
      </c>
      <c r="Z63" s="59">
        <f t="shared" si="9"/>
        <v>0</v>
      </c>
      <c r="AA63" s="59">
        <f>IF('Updated Dummy'!Y63=2,1,0)</f>
        <v>0</v>
      </c>
      <c r="AB63" s="59">
        <f t="shared" si="10"/>
        <v>1</v>
      </c>
      <c r="AC63" s="59">
        <f t="shared" si="11"/>
        <v>0</v>
      </c>
      <c r="AD63" s="59">
        <f t="shared" si="12"/>
        <v>0</v>
      </c>
      <c r="AE63" s="59">
        <f t="shared" si="13"/>
        <v>0</v>
      </c>
      <c r="AF63" s="59">
        <f t="shared" si="14"/>
        <v>0</v>
      </c>
      <c r="AG63" s="59">
        <f t="shared" si="15"/>
        <v>0</v>
      </c>
      <c r="AH63" s="59">
        <v>4</v>
      </c>
      <c r="AI63" s="59">
        <v>1</v>
      </c>
      <c r="AJ63" s="59">
        <f t="shared" si="16"/>
        <v>1</v>
      </c>
      <c r="AK63" s="59">
        <f t="shared" si="17"/>
        <v>0</v>
      </c>
      <c r="AL63" s="59">
        <v>2406</v>
      </c>
      <c r="AM63" s="59">
        <v>5456</v>
      </c>
      <c r="AN63" s="59">
        <v>1</v>
      </c>
      <c r="AO63" s="59">
        <v>0</v>
      </c>
      <c r="AP63" s="59">
        <v>11</v>
      </c>
      <c r="AQ63" s="59">
        <v>3</v>
      </c>
      <c r="AR63" s="59">
        <v>4</v>
      </c>
      <c r="AS63" s="59">
        <v>80</v>
      </c>
      <c r="AT63" s="59">
        <v>0</v>
      </c>
      <c r="AU63" s="59">
        <v>10</v>
      </c>
      <c r="AV63" s="59">
        <v>2</v>
      </c>
      <c r="AW63" s="59">
        <v>3</v>
      </c>
      <c r="AX63" s="59">
        <v>10</v>
      </c>
      <c r="AY63" s="59">
        <v>3</v>
      </c>
      <c r="AZ63" s="59">
        <v>9</v>
      </c>
      <c r="BA63" s="59">
        <v>9</v>
      </c>
      <c r="BB63" s="57">
        <f t="shared" si="18"/>
        <v>4812</v>
      </c>
      <c r="BD63" s="45">
        <f>_xll.StatCovariance( ST_EducationFieldMedical,ST_Age_1)</f>
        <v>-2.6989529644396978E-2</v>
      </c>
    </row>
    <row r="64" spans="1:184" ht="15" customHeight="1" x14ac:dyDescent="0.25">
      <c r="A64" s="58">
        <v>50</v>
      </c>
      <c r="B64" s="59">
        <v>0</v>
      </c>
      <c r="C64" s="59">
        <v>1</v>
      </c>
      <c r="D64" s="59">
        <f t="shared" si="0"/>
        <v>1</v>
      </c>
      <c r="E64" s="59">
        <f t="shared" si="1"/>
        <v>0</v>
      </c>
      <c r="F64" s="59">
        <v>989</v>
      </c>
      <c r="G64" s="59">
        <v>2</v>
      </c>
      <c r="H64" s="59">
        <f t="shared" si="2"/>
        <v>0</v>
      </c>
      <c r="I64" s="59">
        <f t="shared" si="3"/>
        <v>1</v>
      </c>
      <c r="J64" s="59">
        <v>7</v>
      </c>
      <c r="K64" s="59">
        <v>2</v>
      </c>
      <c r="L64" s="59">
        <v>3</v>
      </c>
      <c r="M64" s="59">
        <f t="shared" si="4"/>
        <v>0</v>
      </c>
      <c r="N64" s="59">
        <f t="shared" si="5"/>
        <v>0</v>
      </c>
      <c r="O64" s="59">
        <f t="shared" si="6"/>
        <v>1</v>
      </c>
      <c r="P64" s="59">
        <f t="shared" si="7"/>
        <v>0</v>
      </c>
      <c r="Q64" s="59">
        <f t="shared" si="8"/>
        <v>0</v>
      </c>
      <c r="R64" s="59">
        <v>1</v>
      </c>
      <c r="S64" s="59">
        <v>80</v>
      </c>
      <c r="T64" s="59">
        <v>2</v>
      </c>
      <c r="U64" s="59">
        <v>0</v>
      </c>
      <c r="V64" s="59">
        <v>43</v>
      </c>
      <c r="W64" s="59">
        <v>2</v>
      </c>
      <c r="X64" s="59">
        <v>5</v>
      </c>
      <c r="Y64" s="59">
        <v>8</v>
      </c>
      <c r="Z64" s="59">
        <f t="shared" si="9"/>
        <v>0</v>
      </c>
      <c r="AA64" s="59">
        <f>IF('Updated Dummy'!Y64=2,1,0)</f>
        <v>0</v>
      </c>
      <c r="AB64" s="59">
        <f t="shared" si="10"/>
        <v>0</v>
      </c>
      <c r="AC64" s="59">
        <f t="shared" si="11"/>
        <v>0</v>
      </c>
      <c r="AD64" s="59">
        <f t="shared" si="12"/>
        <v>0</v>
      </c>
      <c r="AE64" s="59">
        <f t="shared" si="13"/>
        <v>0</v>
      </c>
      <c r="AF64" s="59">
        <f t="shared" si="14"/>
        <v>0</v>
      </c>
      <c r="AG64" s="59">
        <f t="shared" si="15"/>
        <v>1</v>
      </c>
      <c r="AH64" s="59">
        <v>3</v>
      </c>
      <c r="AI64" s="59">
        <v>3</v>
      </c>
      <c r="AJ64" s="59">
        <f t="shared" si="16"/>
        <v>0</v>
      </c>
      <c r="AK64" s="59">
        <f t="shared" si="17"/>
        <v>0</v>
      </c>
      <c r="AL64" s="59">
        <v>18740</v>
      </c>
      <c r="AM64" s="59">
        <v>16701</v>
      </c>
      <c r="AN64" s="59">
        <v>5</v>
      </c>
      <c r="AO64" s="59">
        <v>1</v>
      </c>
      <c r="AP64" s="59">
        <v>12</v>
      </c>
      <c r="AQ64" s="59">
        <v>3</v>
      </c>
      <c r="AR64" s="59">
        <v>4</v>
      </c>
      <c r="AS64" s="59">
        <v>80</v>
      </c>
      <c r="AT64" s="59">
        <v>1</v>
      </c>
      <c r="AU64" s="59">
        <v>29</v>
      </c>
      <c r="AV64" s="59">
        <v>2</v>
      </c>
      <c r="AW64" s="59">
        <v>2</v>
      </c>
      <c r="AX64" s="59">
        <v>27</v>
      </c>
      <c r="AY64" s="59">
        <v>3</v>
      </c>
      <c r="AZ64" s="59">
        <v>13</v>
      </c>
      <c r="BA64" s="59">
        <v>8</v>
      </c>
      <c r="BB64" s="57">
        <f t="shared" si="18"/>
        <v>93700</v>
      </c>
      <c r="BD64" s="45">
        <f>_xll.StatCovariance( ST_EducationFieldMarketing,ST_Age_1)</f>
        <v>0.108314694155402</v>
      </c>
    </row>
    <row r="65" spans="1:56" ht="15" customHeight="1" x14ac:dyDescent="0.25">
      <c r="A65" s="58">
        <v>59</v>
      </c>
      <c r="B65" s="59">
        <v>0</v>
      </c>
      <c r="C65" s="59">
        <v>1</v>
      </c>
      <c r="D65" s="59">
        <f t="shared" si="0"/>
        <v>1</v>
      </c>
      <c r="E65" s="59">
        <f t="shared" si="1"/>
        <v>0</v>
      </c>
      <c r="F65" s="59">
        <v>1435</v>
      </c>
      <c r="G65" s="59">
        <v>1</v>
      </c>
      <c r="H65" s="59">
        <f t="shared" si="2"/>
        <v>1</v>
      </c>
      <c r="I65" s="59">
        <f t="shared" si="3"/>
        <v>0</v>
      </c>
      <c r="J65" s="59">
        <v>25</v>
      </c>
      <c r="K65" s="59">
        <v>3</v>
      </c>
      <c r="L65" s="59">
        <v>1</v>
      </c>
      <c r="M65" s="59">
        <f t="shared" si="4"/>
        <v>1</v>
      </c>
      <c r="N65" s="59">
        <f t="shared" si="5"/>
        <v>0</v>
      </c>
      <c r="O65" s="59">
        <f t="shared" si="6"/>
        <v>0</v>
      </c>
      <c r="P65" s="59">
        <f t="shared" si="7"/>
        <v>0</v>
      </c>
      <c r="Q65" s="59">
        <f t="shared" si="8"/>
        <v>0</v>
      </c>
      <c r="R65" s="59">
        <v>1</v>
      </c>
      <c r="S65" s="59">
        <v>81</v>
      </c>
      <c r="T65" s="59">
        <v>1</v>
      </c>
      <c r="U65" s="59">
        <v>0</v>
      </c>
      <c r="V65" s="59">
        <v>99</v>
      </c>
      <c r="W65" s="59">
        <v>3</v>
      </c>
      <c r="X65" s="59">
        <v>3</v>
      </c>
      <c r="Y65" s="59">
        <v>1</v>
      </c>
      <c r="Z65" s="59">
        <f t="shared" si="9"/>
        <v>1</v>
      </c>
      <c r="AA65" s="59">
        <f>IF('Updated Dummy'!Y65=2,1,0)</f>
        <v>0</v>
      </c>
      <c r="AB65" s="59">
        <f t="shared" si="10"/>
        <v>0</v>
      </c>
      <c r="AC65" s="59">
        <f t="shared" si="11"/>
        <v>0</v>
      </c>
      <c r="AD65" s="59">
        <f t="shared" si="12"/>
        <v>0</v>
      </c>
      <c r="AE65" s="59">
        <f t="shared" si="13"/>
        <v>0</v>
      </c>
      <c r="AF65" s="59">
        <f t="shared" si="14"/>
        <v>0</v>
      </c>
      <c r="AG65" s="59">
        <f t="shared" si="15"/>
        <v>0</v>
      </c>
      <c r="AH65" s="59">
        <v>1</v>
      </c>
      <c r="AI65" s="59">
        <v>1</v>
      </c>
      <c r="AJ65" s="59">
        <f t="shared" si="16"/>
        <v>1</v>
      </c>
      <c r="AK65" s="59">
        <f t="shared" si="17"/>
        <v>0</v>
      </c>
      <c r="AL65" s="59">
        <v>7637</v>
      </c>
      <c r="AM65" s="59">
        <v>2354</v>
      </c>
      <c r="AN65" s="59">
        <v>7</v>
      </c>
      <c r="AO65" s="59">
        <v>0</v>
      </c>
      <c r="AP65" s="59">
        <v>11</v>
      </c>
      <c r="AQ65" s="59">
        <v>3</v>
      </c>
      <c r="AR65" s="59">
        <v>4</v>
      </c>
      <c r="AS65" s="59">
        <v>80</v>
      </c>
      <c r="AT65" s="59">
        <v>0</v>
      </c>
      <c r="AU65" s="59">
        <v>28</v>
      </c>
      <c r="AV65" s="59">
        <v>3</v>
      </c>
      <c r="AW65" s="59">
        <v>2</v>
      </c>
      <c r="AX65" s="59">
        <v>21</v>
      </c>
      <c r="AY65" s="59">
        <v>16</v>
      </c>
      <c r="AZ65" s="59">
        <v>7</v>
      </c>
      <c r="BA65" s="59">
        <v>9</v>
      </c>
      <c r="BB65" s="57">
        <f t="shared" si="18"/>
        <v>22911</v>
      </c>
      <c r="BD65" s="45">
        <f>_xll.StatCovariance( ST_EducationFieldTechnical,ST_Age_1)</f>
        <v>-7.2119031411067028E-2</v>
      </c>
    </row>
    <row r="66" spans="1:56" ht="15" customHeight="1" x14ac:dyDescent="0.25">
      <c r="A66" s="58">
        <v>36</v>
      </c>
      <c r="B66" s="59">
        <v>0</v>
      </c>
      <c r="C66" s="59">
        <v>1</v>
      </c>
      <c r="D66" s="59">
        <f t="shared" si="0"/>
        <v>1</v>
      </c>
      <c r="E66" s="59">
        <f t="shared" si="1"/>
        <v>0</v>
      </c>
      <c r="F66" s="59">
        <v>1223</v>
      </c>
      <c r="G66" s="59">
        <v>2</v>
      </c>
      <c r="H66" s="59">
        <f t="shared" si="2"/>
        <v>0</v>
      </c>
      <c r="I66" s="59">
        <f t="shared" si="3"/>
        <v>1</v>
      </c>
      <c r="J66" s="59">
        <v>8</v>
      </c>
      <c r="K66" s="59">
        <v>3</v>
      </c>
      <c r="L66" s="59">
        <v>5</v>
      </c>
      <c r="M66" s="59">
        <f t="shared" si="4"/>
        <v>0</v>
      </c>
      <c r="N66" s="59">
        <f t="shared" si="5"/>
        <v>0</v>
      </c>
      <c r="O66" s="59">
        <f t="shared" si="6"/>
        <v>0</v>
      </c>
      <c r="P66" s="59">
        <f t="shared" si="7"/>
        <v>0</v>
      </c>
      <c r="Q66" s="59">
        <f t="shared" si="8"/>
        <v>1</v>
      </c>
      <c r="R66" s="59">
        <v>1</v>
      </c>
      <c r="S66" s="59">
        <v>83</v>
      </c>
      <c r="T66" s="59">
        <v>3</v>
      </c>
      <c r="U66" s="59">
        <v>0</v>
      </c>
      <c r="V66" s="59">
        <v>59</v>
      </c>
      <c r="W66" s="59">
        <v>3</v>
      </c>
      <c r="X66" s="59">
        <v>3</v>
      </c>
      <c r="Y66" s="59">
        <v>5</v>
      </c>
      <c r="Z66" s="59">
        <f t="shared" si="9"/>
        <v>0</v>
      </c>
      <c r="AA66" s="59">
        <f>IF('Updated Dummy'!Y66=2,1,0)</f>
        <v>0</v>
      </c>
      <c r="AB66" s="59">
        <f t="shared" si="10"/>
        <v>0</v>
      </c>
      <c r="AC66" s="59">
        <f t="shared" si="11"/>
        <v>0</v>
      </c>
      <c r="AD66" s="59">
        <f t="shared" si="12"/>
        <v>1</v>
      </c>
      <c r="AE66" s="59">
        <f t="shared" si="13"/>
        <v>0</v>
      </c>
      <c r="AF66" s="59">
        <f t="shared" si="14"/>
        <v>0</v>
      </c>
      <c r="AG66" s="59">
        <f t="shared" si="15"/>
        <v>0</v>
      </c>
      <c r="AH66" s="59">
        <v>3</v>
      </c>
      <c r="AI66" s="59">
        <v>3</v>
      </c>
      <c r="AJ66" s="59">
        <f t="shared" si="16"/>
        <v>0</v>
      </c>
      <c r="AK66" s="59">
        <f t="shared" si="17"/>
        <v>0</v>
      </c>
      <c r="AL66" s="59">
        <v>10096</v>
      </c>
      <c r="AM66" s="59">
        <v>8202</v>
      </c>
      <c r="AN66" s="59">
        <v>1</v>
      </c>
      <c r="AO66" s="59">
        <v>0</v>
      </c>
      <c r="AP66" s="59">
        <v>13</v>
      </c>
      <c r="AQ66" s="59">
        <v>3</v>
      </c>
      <c r="AR66" s="59">
        <v>2</v>
      </c>
      <c r="AS66" s="59">
        <v>80</v>
      </c>
      <c r="AT66" s="59">
        <v>3</v>
      </c>
      <c r="AU66" s="59">
        <v>17</v>
      </c>
      <c r="AV66" s="59">
        <v>2</v>
      </c>
      <c r="AW66" s="59">
        <v>3</v>
      </c>
      <c r="AX66" s="59">
        <v>17</v>
      </c>
      <c r="AY66" s="59">
        <v>14</v>
      </c>
      <c r="AZ66" s="59">
        <v>12</v>
      </c>
      <c r="BA66" s="59">
        <v>8</v>
      </c>
      <c r="BB66" s="57">
        <f t="shared" si="18"/>
        <v>30288</v>
      </c>
      <c r="BD66" s="45">
        <f>_xll.StatCovariance( ST_EnvironmentSatisfaction_20,ST_Age_1)</f>
        <v>0.10131932963791382</v>
      </c>
    </row>
    <row r="67" spans="1:56" ht="15" customHeight="1" x14ac:dyDescent="0.25">
      <c r="A67" s="58">
        <v>55</v>
      </c>
      <c r="B67" s="59">
        <v>0</v>
      </c>
      <c r="C67" s="59">
        <v>1</v>
      </c>
      <c r="D67" s="59">
        <f t="shared" ref="D67:D130" si="19">IF(C67=1,1,0)</f>
        <v>1</v>
      </c>
      <c r="E67" s="59">
        <f t="shared" ref="E67:E130" si="20">IF(C67=2,1,0)</f>
        <v>0</v>
      </c>
      <c r="F67" s="59">
        <v>836</v>
      </c>
      <c r="G67" s="59">
        <v>2</v>
      </c>
      <c r="H67" s="59">
        <f t="shared" ref="H67:H130" si="21">IF(G67=1,1,0)</f>
        <v>0</v>
      </c>
      <c r="I67" s="59">
        <f t="shared" ref="I67:I130" si="22">IF(G67=2,1,0)</f>
        <v>1</v>
      </c>
      <c r="J67" s="59">
        <v>8</v>
      </c>
      <c r="K67" s="59">
        <v>3</v>
      </c>
      <c r="L67" s="59">
        <v>3</v>
      </c>
      <c r="M67" s="59">
        <f t="shared" ref="M67:M130" si="23">IF(L67=1,1,0)</f>
        <v>0</v>
      </c>
      <c r="N67" s="59">
        <f t="shared" ref="N67:N130" si="24">IF(L67=2,1,0)</f>
        <v>0</v>
      </c>
      <c r="O67" s="59">
        <f t="shared" ref="O67:O130" si="25">IF(L67=3,1,0)</f>
        <v>1</v>
      </c>
      <c r="P67" s="59">
        <f t="shared" ref="P67:P130" si="26">IF(L67=4,1,0)</f>
        <v>0</v>
      </c>
      <c r="Q67" s="59">
        <f t="shared" ref="Q67:Q130" si="27">IF(L67=5,1,0)</f>
        <v>0</v>
      </c>
      <c r="R67" s="59">
        <v>1</v>
      </c>
      <c r="S67" s="59">
        <v>84</v>
      </c>
      <c r="T67" s="59">
        <v>4</v>
      </c>
      <c r="U67" s="59">
        <v>0</v>
      </c>
      <c r="V67" s="59">
        <v>33</v>
      </c>
      <c r="W67" s="59">
        <v>3</v>
      </c>
      <c r="X67" s="59">
        <v>4</v>
      </c>
      <c r="Y67" s="59">
        <v>6</v>
      </c>
      <c r="Z67" s="59">
        <f t="shared" ref="Z67:Z130" si="28">IF(Y67=1,1,0)</f>
        <v>0</v>
      </c>
      <c r="AA67" s="59">
        <f>IF('Updated Dummy'!Y67=2,1,0)</f>
        <v>0</v>
      </c>
      <c r="AB67" s="59">
        <f t="shared" ref="AB67:AB130" si="29">IF(Y67=3,1,0)</f>
        <v>0</v>
      </c>
      <c r="AC67" s="59">
        <f t="shared" ref="AC67:AC130" si="30">IF(Y67=4,1,0)</f>
        <v>0</v>
      </c>
      <c r="AD67" s="59">
        <f t="shared" ref="AD67:AD130" si="31">IF(Y67=5,1,0)</f>
        <v>0</v>
      </c>
      <c r="AE67" s="59">
        <f t="shared" ref="AE67:AE130" si="32">IF(Y67=6,1,0)</f>
        <v>1</v>
      </c>
      <c r="AF67" s="59">
        <f t="shared" ref="AF67:AF130" si="33">IF(Y67=7,1,0)</f>
        <v>0</v>
      </c>
      <c r="AG67" s="59">
        <f t="shared" ref="AG67:AG130" si="34">IF(Y67=8,1,0)</f>
        <v>0</v>
      </c>
      <c r="AH67" s="59">
        <v>3</v>
      </c>
      <c r="AI67" s="59">
        <v>3</v>
      </c>
      <c r="AJ67" s="59">
        <f t="shared" ref="AJ67:AJ130" si="35">IF(AI67=1,1,0)</f>
        <v>0</v>
      </c>
      <c r="AK67" s="59">
        <f t="shared" ref="AK67:AK130" si="36">IF(AI67=2,1,0)</f>
        <v>0</v>
      </c>
      <c r="AL67" s="59">
        <v>14756</v>
      </c>
      <c r="AM67" s="59">
        <v>19730</v>
      </c>
      <c r="AN67" s="59">
        <v>2</v>
      </c>
      <c r="AO67" s="59">
        <v>1</v>
      </c>
      <c r="AP67" s="59">
        <v>14</v>
      </c>
      <c r="AQ67" s="59">
        <v>3</v>
      </c>
      <c r="AR67" s="59">
        <v>3</v>
      </c>
      <c r="AS67" s="59">
        <v>80</v>
      </c>
      <c r="AT67" s="59">
        <v>3</v>
      </c>
      <c r="AU67" s="59">
        <v>21</v>
      </c>
      <c r="AV67" s="59">
        <v>2</v>
      </c>
      <c r="AW67" s="59">
        <v>3</v>
      </c>
      <c r="AX67" s="59">
        <v>5</v>
      </c>
      <c r="AY67" s="59">
        <v>0</v>
      </c>
      <c r="AZ67" s="59">
        <v>0</v>
      </c>
      <c r="BA67" s="59">
        <v>2</v>
      </c>
      <c r="BB67" s="57">
        <f t="shared" ref="BB67:BB130" si="37">X67*AL67</f>
        <v>59024</v>
      </c>
      <c r="BD67" s="45">
        <f>_xll.StatCovariance( ST_Gender_21,ST_Age_1)</f>
        <v>-0.1625595643294753</v>
      </c>
    </row>
    <row r="68" spans="1:56" ht="15" customHeight="1" x14ac:dyDescent="0.25">
      <c r="A68" s="58">
        <v>36</v>
      </c>
      <c r="B68" s="59">
        <v>0</v>
      </c>
      <c r="C68" s="59">
        <v>2</v>
      </c>
      <c r="D68" s="59">
        <f t="shared" si="19"/>
        <v>0</v>
      </c>
      <c r="E68" s="59">
        <f t="shared" si="20"/>
        <v>1</v>
      </c>
      <c r="F68" s="59">
        <v>1195</v>
      </c>
      <c r="G68" s="59">
        <v>2</v>
      </c>
      <c r="H68" s="59">
        <f t="shared" si="21"/>
        <v>0</v>
      </c>
      <c r="I68" s="59">
        <f t="shared" si="22"/>
        <v>1</v>
      </c>
      <c r="J68" s="59">
        <v>11</v>
      </c>
      <c r="K68" s="59">
        <v>3</v>
      </c>
      <c r="L68" s="59">
        <v>1</v>
      </c>
      <c r="M68" s="59">
        <f t="shared" si="23"/>
        <v>1</v>
      </c>
      <c r="N68" s="59">
        <f t="shared" si="24"/>
        <v>0</v>
      </c>
      <c r="O68" s="59">
        <f t="shared" si="25"/>
        <v>0</v>
      </c>
      <c r="P68" s="59">
        <f t="shared" si="26"/>
        <v>0</v>
      </c>
      <c r="Q68" s="59">
        <f t="shared" si="27"/>
        <v>0</v>
      </c>
      <c r="R68" s="59">
        <v>1</v>
      </c>
      <c r="S68" s="59">
        <v>85</v>
      </c>
      <c r="T68" s="59">
        <v>2</v>
      </c>
      <c r="U68" s="59">
        <v>1</v>
      </c>
      <c r="V68" s="59">
        <v>95</v>
      </c>
      <c r="W68" s="59">
        <v>2</v>
      </c>
      <c r="X68" s="59">
        <v>2</v>
      </c>
      <c r="Y68" s="59">
        <v>4</v>
      </c>
      <c r="Z68" s="59">
        <f t="shared" si="28"/>
        <v>0</v>
      </c>
      <c r="AA68" s="59">
        <f>IF('Updated Dummy'!Y68=2,1,0)</f>
        <v>0</v>
      </c>
      <c r="AB68" s="59">
        <f t="shared" si="29"/>
        <v>0</v>
      </c>
      <c r="AC68" s="59">
        <f t="shared" si="30"/>
        <v>1</v>
      </c>
      <c r="AD68" s="59">
        <f t="shared" si="31"/>
        <v>0</v>
      </c>
      <c r="AE68" s="59">
        <f t="shared" si="32"/>
        <v>0</v>
      </c>
      <c r="AF68" s="59">
        <f t="shared" si="33"/>
        <v>0</v>
      </c>
      <c r="AG68" s="59">
        <f t="shared" si="34"/>
        <v>0</v>
      </c>
      <c r="AH68" s="59">
        <v>2</v>
      </c>
      <c r="AI68" s="59">
        <v>1</v>
      </c>
      <c r="AJ68" s="59">
        <f t="shared" si="35"/>
        <v>1</v>
      </c>
      <c r="AK68" s="59">
        <f t="shared" si="36"/>
        <v>0</v>
      </c>
      <c r="AL68" s="59">
        <v>6499</v>
      </c>
      <c r="AM68" s="59">
        <v>22656</v>
      </c>
      <c r="AN68" s="59">
        <v>1</v>
      </c>
      <c r="AO68" s="59">
        <v>0</v>
      </c>
      <c r="AP68" s="59">
        <v>13</v>
      </c>
      <c r="AQ68" s="59">
        <v>3</v>
      </c>
      <c r="AR68" s="59">
        <v>3</v>
      </c>
      <c r="AS68" s="59">
        <v>80</v>
      </c>
      <c r="AT68" s="59">
        <v>0</v>
      </c>
      <c r="AU68" s="59">
        <v>6</v>
      </c>
      <c r="AV68" s="59">
        <v>3</v>
      </c>
      <c r="AW68" s="59">
        <v>3</v>
      </c>
      <c r="AX68" s="59">
        <v>6</v>
      </c>
      <c r="AY68" s="59">
        <v>5</v>
      </c>
      <c r="AZ68" s="59">
        <v>0</v>
      </c>
      <c r="BA68" s="59">
        <v>3</v>
      </c>
      <c r="BB68" s="57">
        <f t="shared" si="37"/>
        <v>12998</v>
      </c>
      <c r="BD68" s="45">
        <f>_xll.StatCovariance( ST_HourlyRate_22,ST_Age_1)</f>
        <v>4.5104217316606725</v>
      </c>
    </row>
    <row r="69" spans="1:56" ht="15" customHeight="1" x14ac:dyDescent="0.25">
      <c r="A69" s="58">
        <v>45</v>
      </c>
      <c r="B69" s="59">
        <v>0</v>
      </c>
      <c r="C69" s="59">
        <v>1</v>
      </c>
      <c r="D69" s="59">
        <f t="shared" si="19"/>
        <v>1</v>
      </c>
      <c r="E69" s="59">
        <f t="shared" si="20"/>
        <v>0</v>
      </c>
      <c r="F69" s="59">
        <v>1339</v>
      </c>
      <c r="G69" s="59">
        <v>2</v>
      </c>
      <c r="H69" s="59">
        <f t="shared" si="21"/>
        <v>0</v>
      </c>
      <c r="I69" s="59">
        <f t="shared" si="22"/>
        <v>1</v>
      </c>
      <c r="J69" s="59">
        <v>7</v>
      </c>
      <c r="K69" s="59">
        <v>3</v>
      </c>
      <c r="L69" s="59">
        <v>1</v>
      </c>
      <c r="M69" s="59">
        <f t="shared" si="23"/>
        <v>1</v>
      </c>
      <c r="N69" s="59">
        <f t="shared" si="24"/>
        <v>0</v>
      </c>
      <c r="O69" s="59">
        <f t="shared" si="25"/>
        <v>0</v>
      </c>
      <c r="P69" s="59">
        <f t="shared" si="26"/>
        <v>0</v>
      </c>
      <c r="Q69" s="59">
        <f t="shared" si="27"/>
        <v>0</v>
      </c>
      <c r="R69" s="59">
        <v>1</v>
      </c>
      <c r="S69" s="59">
        <v>86</v>
      </c>
      <c r="T69" s="59">
        <v>2</v>
      </c>
      <c r="U69" s="59">
        <v>1</v>
      </c>
      <c r="V69" s="59">
        <v>59</v>
      </c>
      <c r="W69" s="59">
        <v>3</v>
      </c>
      <c r="X69" s="59">
        <v>3</v>
      </c>
      <c r="Y69" s="59">
        <v>2</v>
      </c>
      <c r="Z69" s="59">
        <f t="shared" si="28"/>
        <v>0</v>
      </c>
      <c r="AA69" s="59">
        <f>IF('Updated Dummy'!Y69=2,1,0)</f>
        <v>1</v>
      </c>
      <c r="AB69" s="59">
        <f t="shared" si="29"/>
        <v>0</v>
      </c>
      <c r="AC69" s="59">
        <f t="shared" si="30"/>
        <v>0</v>
      </c>
      <c r="AD69" s="59">
        <f t="shared" si="31"/>
        <v>0</v>
      </c>
      <c r="AE69" s="59">
        <f t="shared" si="32"/>
        <v>0</v>
      </c>
      <c r="AF69" s="59">
        <f t="shared" si="33"/>
        <v>0</v>
      </c>
      <c r="AG69" s="59">
        <f t="shared" si="34"/>
        <v>0</v>
      </c>
      <c r="AH69" s="59">
        <v>1</v>
      </c>
      <c r="AI69" s="59">
        <v>3</v>
      </c>
      <c r="AJ69" s="59">
        <f t="shared" si="35"/>
        <v>0</v>
      </c>
      <c r="AK69" s="59">
        <f t="shared" si="36"/>
        <v>0</v>
      </c>
      <c r="AL69" s="59">
        <v>9724</v>
      </c>
      <c r="AM69" s="59">
        <v>18787</v>
      </c>
      <c r="AN69" s="59">
        <v>2</v>
      </c>
      <c r="AO69" s="59">
        <v>0</v>
      </c>
      <c r="AP69" s="59">
        <v>17</v>
      </c>
      <c r="AQ69" s="59">
        <v>3</v>
      </c>
      <c r="AR69" s="59">
        <v>3</v>
      </c>
      <c r="AS69" s="59">
        <v>80</v>
      </c>
      <c r="AT69" s="59">
        <v>1</v>
      </c>
      <c r="AU69" s="59">
        <v>25</v>
      </c>
      <c r="AV69" s="59">
        <v>2</v>
      </c>
      <c r="AW69" s="59">
        <v>3</v>
      </c>
      <c r="AX69" s="59">
        <v>1</v>
      </c>
      <c r="AY69" s="59">
        <v>0</v>
      </c>
      <c r="AZ69" s="59">
        <v>0</v>
      </c>
      <c r="BA69" s="59">
        <v>0</v>
      </c>
      <c r="BB69" s="57">
        <f t="shared" si="37"/>
        <v>29172</v>
      </c>
      <c r="BD69" s="45">
        <f>_xll.StatCovariance( ST_JobInvolvement_23,ST_Age_1)</f>
        <v>0.19384096729229475</v>
      </c>
    </row>
    <row r="70" spans="1:56" ht="15" customHeight="1" x14ac:dyDescent="0.25">
      <c r="A70" s="58">
        <v>35</v>
      </c>
      <c r="B70" s="59">
        <v>0</v>
      </c>
      <c r="C70" s="59">
        <v>2</v>
      </c>
      <c r="D70" s="59">
        <f t="shared" si="19"/>
        <v>0</v>
      </c>
      <c r="E70" s="59">
        <f t="shared" si="20"/>
        <v>1</v>
      </c>
      <c r="F70" s="59">
        <v>664</v>
      </c>
      <c r="G70" s="59">
        <v>2</v>
      </c>
      <c r="H70" s="59">
        <f t="shared" si="21"/>
        <v>0</v>
      </c>
      <c r="I70" s="59">
        <f t="shared" si="22"/>
        <v>1</v>
      </c>
      <c r="J70" s="59">
        <v>1</v>
      </c>
      <c r="K70" s="59">
        <v>3</v>
      </c>
      <c r="L70" s="59">
        <v>3</v>
      </c>
      <c r="M70" s="59">
        <f t="shared" si="23"/>
        <v>0</v>
      </c>
      <c r="N70" s="59">
        <f t="shared" si="24"/>
        <v>0</v>
      </c>
      <c r="O70" s="59">
        <f t="shared" si="25"/>
        <v>1</v>
      </c>
      <c r="P70" s="59">
        <f t="shared" si="26"/>
        <v>0</v>
      </c>
      <c r="Q70" s="59">
        <f t="shared" si="27"/>
        <v>0</v>
      </c>
      <c r="R70" s="59">
        <v>1</v>
      </c>
      <c r="S70" s="59">
        <v>88</v>
      </c>
      <c r="T70" s="59">
        <v>2</v>
      </c>
      <c r="U70" s="59">
        <v>1</v>
      </c>
      <c r="V70" s="59">
        <v>79</v>
      </c>
      <c r="W70" s="59">
        <v>3</v>
      </c>
      <c r="X70" s="59">
        <v>1</v>
      </c>
      <c r="Y70" s="59">
        <v>2</v>
      </c>
      <c r="Z70" s="59">
        <f t="shared" si="28"/>
        <v>0</v>
      </c>
      <c r="AA70" s="59">
        <f>IF('Updated Dummy'!Y70=2,1,0)</f>
        <v>1</v>
      </c>
      <c r="AB70" s="59">
        <f t="shared" si="29"/>
        <v>0</v>
      </c>
      <c r="AC70" s="59">
        <f t="shared" si="30"/>
        <v>0</v>
      </c>
      <c r="AD70" s="59">
        <f t="shared" si="31"/>
        <v>0</v>
      </c>
      <c r="AE70" s="59">
        <f t="shared" si="32"/>
        <v>0</v>
      </c>
      <c r="AF70" s="59">
        <f t="shared" si="33"/>
        <v>0</v>
      </c>
      <c r="AG70" s="59">
        <f t="shared" si="34"/>
        <v>0</v>
      </c>
      <c r="AH70" s="59">
        <v>1</v>
      </c>
      <c r="AI70" s="59">
        <v>2</v>
      </c>
      <c r="AJ70" s="59">
        <f t="shared" si="35"/>
        <v>0</v>
      </c>
      <c r="AK70" s="59">
        <f t="shared" si="36"/>
        <v>1</v>
      </c>
      <c r="AL70" s="59">
        <v>2194</v>
      </c>
      <c r="AM70" s="59">
        <v>5868</v>
      </c>
      <c r="AN70" s="59">
        <v>4</v>
      </c>
      <c r="AO70" s="59">
        <v>0</v>
      </c>
      <c r="AP70" s="59">
        <v>13</v>
      </c>
      <c r="AQ70" s="59">
        <v>3</v>
      </c>
      <c r="AR70" s="59">
        <v>4</v>
      </c>
      <c r="AS70" s="59">
        <v>80</v>
      </c>
      <c r="AT70" s="59">
        <v>1</v>
      </c>
      <c r="AU70" s="59">
        <v>5</v>
      </c>
      <c r="AV70" s="59">
        <v>2</v>
      </c>
      <c r="AW70" s="59">
        <v>2</v>
      </c>
      <c r="AX70" s="59">
        <v>3</v>
      </c>
      <c r="AY70" s="59">
        <v>2</v>
      </c>
      <c r="AZ70" s="59">
        <v>1</v>
      </c>
      <c r="BA70" s="59">
        <v>2</v>
      </c>
      <c r="BB70" s="57">
        <f t="shared" si="37"/>
        <v>2194</v>
      </c>
      <c r="BD70" s="45">
        <f>_xll.StatCovariance( ST_JobLevel_24,ST_Age_1)</f>
        <v>5.153275632921642</v>
      </c>
    </row>
    <row r="71" spans="1:56" ht="15" customHeight="1" x14ac:dyDescent="0.25">
      <c r="A71" s="58">
        <v>36</v>
      </c>
      <c r="B71" s="59">
        <v>1</v>
      </c>
      <c r="C71" s="59">
        <v>1</v>
      </c>
      <c r="D71" s="59">
        <f t="shared" si="19"/>
        <v>1</v>
      </c>
      <c r="E71" s="59">
        <f t="shared" si="20"/>
        <v>0</v>
      </c>
      <c r="F71" s="59">
        <v>318</v>
      </c>
      <c r="G71" s="59">
        <v>2</v>
      </c>
      <c r="H71" s="59">
        <f t="shared" si="21"/>
        <v>0</v>
      </c>
      <c r="I71" s="59">
        <f t="shared" si="22"/>
        <v>1</v>
      </c>
      <c r="J71" s="59">
        <v>9</v>
      </c>
      <c r="K71" s="59">
        <v>3</v>
      </c>
      <c r="L71" s="59">
        <v>3</v>
      </c>
      <c r="M71" s="59">
        <f t="shared" si="23"/>
        <v>0</v>
      </c>
      <c r="N71" s="59">
        <f t="shared" si="24"/>
        <v>0</v>
      </c>
      <c r="O71" s="59">
        <f t="shared" si="25"/>
        <v>1</v>
      </c>
      <c r="P71" s="59">
        <f t="shared" si="26"/>
        <v>0</v>
      </c>
      <c r="Q71" s="59">
        <f t="shared" si="27"/>
        <v>0</v>
      </c>
      <c r="R71" s="59">
        <v>1</v>
      </c>
      <c r="S71" s="59">
        <v>90</v>
      </c>
      <c r="T71" s="59">
        <v>4</v>
      </c>
      <c r="U71" s="59">
        <v>1</v>
      </c>
      <c r="V71" s="59">
        <v>79</v>
      </c>
      <c r="W71" s="59">
        <v>2</v>
      </c>
      <c r="X71" s="59">
        <v>1</v>
      </c>
      <c r="Y71" s="59">
        <v>2</v>
      </c>
      <c r="Z71" s="59">
        <f t="shared" si="28"/>
        <v>0</v>
      </c>
      <c r="AA71" s="59">
        <f>IF('Updated Dummy'!Y71=2,1,0)</f>
        <v>1</v>
      </c>
      <c r="AB71" s="59">
        <f t="shared" si="29"/>
        <v>0</v>
      </c>
      <c r="AC71" s="59">
        <f t="shared" si="30"/>
        <v>0</v>
      </c>
      <c r="AD71" s="59">
        <f t="shared" si="31"/>
        <v>0</v>
      </c>
      <c r="AE71" s="59">
        <f t="shared" si="32"/>
        <v>0</v>
      </c>
      <c r="AF71" s="59">
        <f t="shared" si="33"/>
        <v>0</v>
      </c>
      <c r="AG71" s="59">
        <f t="shared" si="34"/>
        <v>0</v>
      </c>
      <c r="AH71" s="59">
        <v>3</v>
      </c>
      <c r="AI71" s="59">
        <v>2</v>
      </c>
      <c r="AJ71" s="59">
        <f t="shared" si="35"/>
        <v>0</v>
      </c>
      <c r="AK71" s="59">
        <f t="shared" si="36"/>
        <v>1</v>
      </c>
      <c r="AL71" s="59">
        <v>3388</v>
      </c>
      <c r="AM71" s="59">
        <v>21777</v>
      </c>
      <c r="AN71" s="59">
        <v>0</v>
      </c>
      <c r="AO71" s="59">
        <v>1</v>
      </c>
      <c r="AP71" s="59">
        <v>17</v>
      </c>
      <c r="AQ71" s="59">
        <v>3</v>
      </c>
      <c r="AR71" s="59">
        <v>1</v>
      </c>
      <c r="AS71" s="59">
        <v>80</v>
      </c>
      <c r="AT71" s="59">
        <v>1</v>
      </c>
      <c r="AU71" s="59">
        <v>2</v>
      </c>
      <c r="AV71" s="59">
        <v>0</v>
      </c>
      <c r="AW71" s="59">
        <v>2</v>
      </c>
      <c r="AX71" s="59">
        <v>1</v>
      </c>
      <c r="AY71" s="59">
        <v>0</v>
      </c>
      <c r="AZ71" s="59">
        <v>0</v>
      </c>
      <c r="BA71" s="59">
        <v>0</v>
      </c>
      <c r="BB71" s="57">
        <f t="shared" si="37"/>
        <v>3388</v>
      </c>
      <c r="BD71" s="45">
        <f>_xll.StatCovariance( ST_JobRoleSalesExec,ST_Age_1)</f>
        <v>-7.5983014036111159E-3</v>
      </c>
    </row>
    <row r="72" spans="1:56" ht="15" customHeight="1" x14ac:dyDescent="0.25">
      <c r="A72" s="58">
        <v>59</v>
      </c>
      <c r="B72" s="59">
        <v>0</v>
      </c>
      <c r="C72" s="59">
        <v>2</v>
      </c>
      <c r="D72" s="59">
        <f t="shared" si="19"/>
        <v>0</v>
      </c>
      <c r="E72" s="59">
        <f t="shared" si="20"/>
        <v>1</v>
      </c>
      <c r="F72" s="59">
        <v>1225</v>
      </c>
      <c r="G72" s="59">
        <v>1</v>
      </c>
      <c r="H72" s="59">
        <f t="shared" si="21"/>
        <v>1</v>
      </c>
      <c r="I72" s="59">
        <f t="shared" si="22"/>
        <v>0</v>
      </c>
      <c r="J72" s="59">
        <v>1</v>
      </c>
      <c r="K72" s="59">
        <v>1</v>
      </c>
      <c r="L72" s="59">
        <v>1</v>
      </c>
      <c r="M72" s="59">
        <f t="shared" si="23"/>
        <v>1</v>
      </c>
      <c r="N72" s="59">
        <f t="shared" si="24"/>
        <v>0</v>
      </c>
      <c r="O72" s="59">
        <f t="shared" si="25"/>
        <v>0</v>
      </c>
      <c r="P72" s="59">
        <f t="shared" si="26"/>
        <v>0</v>
      </c>
      <c r="Q72" s="59">
        <f t="shared" si="27"/>
        <v>0</v>
      </c>
      <c r="R72" s="59">
        <v>1</v>
      </c>
      <c r="S72" s="59">
        <v>91</v>
      </c>
      <c r="T72" s="59">
        <v>1</v>
      </c>
      <c r="U72" s="59">
        <v>0</v>
      </c>
      <c r="V72" s="59">
        <v>57</v>
      </c>
      <c r="W72" s="59">
        <v>2</v>
      </c>
      <c r="X72" s="59">
        <v>2</v>
      </c>
      <c r="Y72" s="59">
        <v>1</v>
      </c>
      <c r="Z72" s="59">
        <f t="shared" si="28"/>
        <v>1</v>
      </c>
      <c r="AA72" s="59">
        <f>IF('Updated Dummy'!Y72=2,1,0)</f>
        <v>0</v>
      </c>
      <c r="AB72" s="59">
        <f t="shared" si="29"/>
        <v>0</v>
      </c>
      <c r="AC72" s="59">
        <f t="shared" si="30"/>
        <v>0</v>
      </c>
      <c r="AD72" s="59">
        <f t="shared" si="31"/>
        <v>0</v>
      </c>
      <c r="AE72" s="59">
        <f t="shared" si="32"/>
        <v>0</v>
      </c>
      <c r="AF72" s="59">
        <f t="shared" si="33"/>
        <v>0</v>
      </c>
      <c r="AG72" s="59">
        <f t="shared" si="34"/>
        <v>0</v>
      </c>
      <c r="AH72" s="59">
        <v>3</v>
      </c>
      <c r="AI72" s="59">
        <v>1</v>
      </c>
      <c r="AJ72" s="59">
        <f t="shared" si="35"/>
        <v>1</v>
      </c>
      <c r="AK72" s="59">
        <f t="shared" si="36"/>
        <v>0</v>
      </c>
      <c r="AL72" s="59">
        <v>5473</v>
      </c>
      <c r="AM72" s="59">
        <v>24668</v>
      </c>
      <c r="AN72" s="59">
        <v>7</v>
      </c>
      <c r="AO72" s="59">
        <v>0</v>
      </c>
      <c r="AP72" s="59">
        <v>11</v>
      </c>
      <c r="AQ72" s="59">
        <v>3</v>
      </c>
      <c r="AR72" s="59">
        <v>4</v>
      </c>
      <c r="AS72" s="59">
        <v>80</v>
      </c>
      <c r="AT72" s="59">
        <v>0</v>
      </c>
      <c r="AU72" s="59">
        <v>20</v>
      </c>
      <c r="AV72" s="59">
        <v>2</v>
      </c>
      <c r="AW72" s="59">
        <v>2</v>
      </c>
      <c r="AX72" s="59">
        <v>4</v>
      </c>
      <c r="AY72" s="59">
        <v>3</v>
      </c>
      <c r="AZ72" s="59">
        <v>1</v>
      </c>
      <c r="BA72" s="59">
        <v>3</v>
      </c>
      <c r="BB72" s="57">
        <f t="shared" si="37"/>
        <v>10946</v>
      </c>
      <c r="BD72" s="45">
        <f>_xll.StatCovariance( ST_JobRoleResearchScientist,ST_Age_1)</f>
        <v>-0.53420856429706831</v>
      </c>
    </row>
    <row r="73" spans="1:56" ht="15" customHeight="1" x14ac:dyDescent="0.25">
      <c r="A73" s="58">
        <v>29</v>
      </c>
      <c r="B73" s="59">
        <v>0</v>
      </c>
      <c r="C73" s="59">
        <v>1</v>
      </c>
      <c r="D73" s="59">
        <f t="shared" si="19"/>
        <v>1</v>
      </c>
      <c r="E73" s="59">
        <f t="shared" si="20"/>
        <v>0</v>
      </c>
      <c r="F73" s="59">
        <v>1328</v>
      </c>
      <c r="G73" s="59">
        <v>2</v>
      </c>
      <c r="H73" s="59">
        <f t="shared" si="21"/>
        <v>0</v>
      </c>
      <c r="I73" s="59">
        <f t="shared" si="22"/>
        <v>1</v>
      </c>
      <c r="J73" s="59">
        <v>2</v>
      </c>
      <c r="K73" s="59">
        <v>3</v>
      </c>
      <c r="L73" s="59">
        <v>1</v>
      </c>
      <c r="M73" s="59">
        <f t="shared" si="23"/>
        <v>1</v>
      </c>
      <c r="N73" s="59">
        <f t="shared" si="24"/>
        <v>0</v>
      </c>
      <c r="O73" s="59">
        <f t="shared" si="25"/>
        <v>0</v>
      </c>
      <c r="P73" s="59">
        <f t="shared" si="26"/>
        <v>0</v>
      </c>
      <c r="Q73" s="59">
        <f t="shared" si="27"/>
        <v>0</v>
      </c>
      <c r="R73" s="59">
        <v>1</v>
      </c>
      <c r="S73" s="59">
        <v>94</v>
      </c>
      <c r="T73" s="59">
        <v>3</v>
      </c>
      <c r="U73" s="59">
        <v>1</v>
      </c>
      <c r="V73" s="59">
        <v>76</v>
      </c>
      <c r="W73" s="59">
        <v>3</v>
      </c>
      <c r="X73" s="59">
        <v>1</v>
      </c>
      <c r="Y73" s="59">
        <v>2</v>
      </c>
      <c r="Z73" s="59">
        <f t="shared" si="28"/>
        <v>0</v>
      </c>
      <c r="AA73" s="59">
        <f>IF('Updated Dummy'!Y73=2,1,0)</f>
        <v>1</v>
      </c>
      <c r="AB73" s="59">
        <f t="shared" si="29"/>
        <v>0</v>
      </c>
      <c r="AC73" s="59">
        <f t="shared" si="30"/>
        <v>0</v>
      </c>
      <c r="AD73" s="59">
        <f t="shared" si="31"/>
        <v>0</v>
      </c>
      <c r="AE73" s="59">
        <f t="shared" si="32"/>
        <v>0</v>
      </c>
      <c r="AF73" s="59">
        <f t="shared" si="33"/>
        <v>0</v>
      </c>
      <c r="AG73" s="59">
        <f t="shared" si="34"/>
        <v>0</v>
      </c>
      <c r="AH73" s="59">
        <v>2</v>
      </c>
      <c r="AI73" s="59">
        <v>2</v>
      </c>
      <c r="AJ73" s="59">
        <f t="shared" si="35"/>
        <v>0</v>
      </c>
      <c r="AK73" s="59">
        <f t="shared" si="36"/>
        <v>1</v>
      </c>
      <c r="AL73" s="59">
        <v>2703</v>
      </c>
      <c r="AM73" s="59">
        <v>4956</v>
      </c>
      <c r="AN73" s="59">
        <v>0</v>
      </c>
      <c r="AO73" s="59">
        <v>0</v>
      </c>
      <c r="AP73" s="59">
        <v>23</v>
      </c>
      <c r="AQ73" s="59">
        <v>4</v>
      </c>
      <c r="AR73" s="59">
        <v>4</v>
      </c>
      <c r="AS73" s="59">
        <v>80</v>
      </c>
      <c r="AT73" s="59">
        <v>1</v>
      </c>
      <c r="AU73" s="59">
        <v>6</v>
      </c>
      <c r="AV73" s="59">
        <v>3</v>
      </c>
      <c r="AW73" s="59">
        <v>3</v>
      </c>
      <c r="AX73" s="59">
        <v>5</v>
      </c>
      <c r="AY73" s="59">
        <v>4</v>
      </c>
      <c r="AZ73" s="59">
        <v>0</v>
      </c>
      <c r="BA73" s="59">
        <v>4</v>
      </c>
      <c r="BB73" s="57">
        <f t="shared" si="37"/>
        <v>2703</v>
      </c>
      <c r="BD73" s="45">
        <f>_xll.StatCovariance( ST_JobRoleLabTechnician,ST_Age_1)</f>
        <v>-0.498479691400045</v>
      </c>
    </row>
    <row r="74" spans="1:56" ht="15" customHeight="1" x14ac:dyDescent="0.25">
      <c r="A74" s="58">
        <v>31</v>
      </c>
      <c r="B74" s="59">
        <v>0</v>
      </c>
      <c r="C74" s="59">
        <v>1</v>
      </c>
      <c r="D74" s="59">
        <f t="shared" si="19"/>
        <v>1</v>
      </c>
      <c r="E74" s="59">
        <f t="shared" si="20"/>
        <v>0</v>
      </c>
      <c r="F74" s="59">
        <v>1082</v>
      </c>
      <c r="G74" s="59">
        <v>2</v>
      </c>
      <c r="H74" s="59">
        <f t="shared" si="21"/>
        <v>0</v>
      </c>
      <c r="I74" s="59">
        <f t="shared" si="22"/>
        <v>1</v>
      </c>
      <c r="J74" s="59">
        <v>1</v>
      </c>
      <c r="K74" s="59">
        <v>4</v>
      </c>
      <c r="L74" s="59">
        <v>3</v>
      </c>
      <c r="M74" s="59">
        <f t="shared" si="23"/>
        <v>0</v>
      </c>
      <c r="N74" s="59">
        <f t="shared" si="24"/>
        <v>0</v>
      </c>
      <c r="O74" s="59">
        <f t="shared" si="25"/>
        <v>1</v>
      </c>
      <c r="P74" s="59">
        <f t="shared" si="26"/>
        <v>0</v>
      </c>
      <c r="Q74" s="59">
        <f t="shared" si="27"/>
        <v>0</v>
      </c>
      <c r="R74" s="59">
        <v>1</v>
      </c>
      <c r="S74" s="59">
        <v>95</v>
      </c>
      <c r="T74" s="59">
        <v>3</v>
      </c>
      <c r="U74" s="59">
        <v>1</v>
      </c>
      <c r="V74" s="59">
        <v>87</v>
      </c>
      <c r="W74" s="59">
        <v>3</v>
      </c>
      <c r="X74" s="59">
        <v>1</v>
      </c>
      <c r="Y74" s="59">
        <v>2</v>
      </c>
      <c r="Z74" s="59">
        <f t="shared" si="28"/>
        <v>0</v>
      </c>
      <c r="AA74" s="59">
        <f>IF('Updated Dummy'!Y74=2,1,0)</f>
        <v>1</v>
      </c>
      <c r="AB74" s="59">
        <f t="shared" si="29"/>
        <v>0</v>
      </c>
      <c r="AC74" s="59">
        <f t="shared" si="30"/>
        <v>0</v>
      </c>
      <c r="AD74" s="59">
        <f t="shared" si="31"/>
        <v>0</v>
      </c>
      <c r="AE74" s="59">
        <f t="shared" si="32"/>
        <v>0</v>
      </c>
      <c r="AF74" s="59">
        <f t="shared" si="33"/>
        <v>0</v>
      </c>
      <c r="AG74" s="59">
        <f t="shared" si="34"/>
        <v>0</v>
      </c>
      <c r="AH74" s="59">
        <v>2</v>
      </c>
      <c r="AI74" s="59">
        <v>1</v>
      </c>
      <c r="AJ74" s="59">
        <f t="shared" si="35"/>
        <v>1</v>
      </c>
      <c r="AK74" s="59">
        <f t="shared" si="36"/>
        <v>0</v>
      </c>
      <c r="AL74" s="59">
        <v>2501</v>
      </c>
      <c r="AM74" s="59">
        <v>18775</v>
      </c>
      <c r="AN74" s="59">
        <v>1</v>
      </c>
      <c r="AO74" s="59">
        <v>0</v>
      </c>
      <c r="AP74" s="59">
        <v>17</v>
      </c>
      <c r="AQ74" s="59">
        <v>3</v>
      </c>
      <c r="AR74" s="59">
        <v>2</v>
      </c>
      <c r="AS74" s="59">
        <v>80</v>
      </c>
      <c r="AT74" s="59">
        <v>0</v>
      </c>
      <c r="AU74" s="59">
        <v>1</v>
      </c>
      <c r="AV74" s="59">
        <v>4</v>
      </c>
      <c r="AW74" s="59">
        <v>3</v>
      </c>
      <c r="AX74" s="59">
        <v>1</v>
      </c>
      <c r="AY74" s="59">
        <v>1</v>
      </c>
      <c r="AZ74" s="59">
        <v>1</v>
      </c>
      <c r="BA74" s="59">
        <v>0</v>
      </c>
      <c r="BB74" s="57">
        <f t="shared" si="37"/>
        <v>2501</v>
      </c>
      <c r="BD74" s="45">
        <f>_xll.StatCovariance( ST_JobRoleManufacturingDirector,ST_Age_1)</f>
        <v>0.13549871956951615</v>
      </c>
    </row>
    <row r="75" spans="1:56" ht="15" customHeight="1" x14ac:dyDescent="0.25">
      <c r="A75" s="58">
        <v>32</v>
      </c>
      <c r="B75" s="59">
        <v>0</v>
      </c>
      <c r="C75" s="59">
        <v>1</v>
      </c>
      <c r="D75" s="59">
        <f t="shared" si="19"/>
        <v>1</v>
      </c>
      <c r="E75" s="59">
        <f t="shared" si="20"/>
        <v>0</v>
      </c>
      <c r="F75" s="59">
        <v>548</v>
      </c>
      <c r="G75" s="59">
        <v>2</v>
      </c>
      <c r="H75" s="59">
        <f t="shared" si="21"/>
        <v>0</v>
      </c>
      <c r="I75" s="59">
        <f t="shared" si="22"/>
        <v>1</v>
      </c>
      <c r="J75" s="59">
        <v>1</v>
      </c>
      <c r="K75" s="59">
        <v>3</v>
      </c>
      <c r="L75" s="59">
        <v>1</v>
      </c>
      <c r="M75" s="59">
        <f t="shared" si="23"/>
        <v>1</v>
      </c>
      <c r="N75" s="59">
        <f t="shared" si="24"/>
        <v>0</v>
      </c>
      <c r="O75" s="59">
        <f t="shared" si="25"/>
        <v>0</v>
      </c>
      <c r="P75" s="59">
        <f t="shared" si="26"/>
        <v>0</v>
      </c>
      <c r="Q75" s="59">
        <f t="shared" si="27"/>
        <v>0</v>
      </c>
      <c r="R75" s="59">
        <v>1</v>
      </c>
      <c r="S75" s="59">
        <v>96</v>
      </c>
      <c r="T75" s="59">
        <v>2</v>
      </c>
      <c r="U75" s="59">
        <v>1</v>
      </c>
      <c r="V75" s="59">
        <v>66</v>
      </c>
      <c r="W75" s="59">
        <v>3</v>
      </c>
      <c r="X75" s="59">
        <v>2</v>
      </c>
      <c r="Y75" s="59">
        <v>2</v>
      </c>
      <c r="Z75" s="59">
        <f t="shared" si="28"/>
        <v>0</v>
      </c>
      <c r="AA75" s="59">
        <f>IF('Updated Dummy'!Y75=2,1,0)</f>
        <v>1</v>
      </c>
      <c r="AB75" s="59">
        <f t="shared" si="29"/>
        <v>0</v>
      </c>
      <c r="AC75" s="59">
        <f t="shared" si="30"/>
        <v>0</v>
      </c>
      <c r="AD75" s="59">
        <f t="shared" si="31"/>
        <v>0</v>
      </c>
      <c r="AE75" s="59">
        <f t="shared" si="32"/>
        <v>0</v>
      </c>
      <c r="AF75" s="59">
        <f t="shared" si="33"/>
        <v>0</v>
      </c>
      <c r="AG75" s="59">
        <f t="shared" si="34"/>
        <v>0</v>
      </c>
      <c r="AH75" s="59">
        <v>2</v>
      </c>
      <c r="AI75" s="59">
        <v>2</v>
      </c>
      <c r="AJ75" s="59">
        <f t="shared" si="35"/>
        <v>0</v>
      </c>
      <c r="AK75" s="59">
        <f t="shared" si="36"/>
        <v>1</v>
      </c>
      <c r="AL75" s="59">
        <v>6220</v>
      </c>
      <c r="AM75" s="59">
        <v>7346</v>
      </c>
      <c r="AN75" s="59">
        <v>1</v>
      </c>
      <c r="AO75" s="59">
        <v>0</v>
      </c>
      <c r="AP75" s="59">
        <v>17</v>
      </c>
      <c r="AQ75" s="59">
        <v>3</v>
      </c>
      <c r="AR75" s="59">
        <v>2</v>
      </c>
      <c r="AS75" s="59">
        <v>80</v>
      </c>
      <c r="AT75" s="59">
        <v>2</v>
      </c>
      <c r="AU75" s="59">
        <v>10</v>
      </c>
      <c r="AV75" s="59">
        <v>3</v>
      </c>
      <c r="AW75" s="59">
        <v>3</v>
      </c>
      <c r="AX75" s="59">
        <v>10</v>
      </c>
      <c r="AY75" s="59">
        <v>4</v>
      </c>
      <c r="AZ75" s="59">
        <v>0</v>
      </c>
      <c r="BA75" s="59">
        <v>9</v>
      </c>
      <c r="BB75" s="57">
        <f t="shared" si="37"/>
        <v>12440</v>
      </c>
      <c r="BD75" s="45">
        <f>_xll.StatCovariance( ST_JobRoleHealthcareRep,ST_Age_1)</f>
        <v>0.25730493695095524</v>
      </c>
    </row>
    <row r="76" spans="1:56" ht="15" customHeight="1" x14ac:dyDescent="0.25">
      <c r="A76" s="58">
        <v>36</v>
      </c>
      <c r="B76" s="59">
        <v>0</v>
      </c>
      <c r="C76" s="59">
        <v>1</v>
      </c>
      <c r="D76" s="59">
        <f t="shared" si="19"/>
        <v>1</v>
      </c>
      <c r="E76" s="59">
        <f t="shared" si="20"/>
        <v>0</v>
      </c>
      <c r="F76" s="59">
        <v>132</v>
      </c>
      <c r="G76" s="59">
        <v>2</v>
      </c>
      <c r="H76" s="59">
        <f t="shared" si="21"/>
        <v>0</v>
      </c>
      <c r="I76" s="59">
        <f t="shared" si="22"/>
        <v>1</v>
      </c>
      <c r="J76" s="59">
        <v>6</v>
      </c>
      <c r="K76" s="59">
        <v>3</v>
      </c>
      <c r="L76" s="59">
        <v>1</v>
      </c>
      <c r="M76" s="59">
        <f t="shared" si="23"/>
        <v>1</v>
      </c>
      <c r="N76" s="59">
        <f t="shared" si="24"/>
        <v>0</v>
      </c>
      <c r="O76" s="59">
        <f t="shared" si="25"/>
        <v>0</v>
      </c>
      <c r="P76" s="59">
        <f t="shared" si="26"/>
        <v>0</v>
      </c>
      <c r="Q76" s="59">
        <f t="shared" si="27"/>
        <v>0</v>
      </c>
      <c r="R76" s="59">
        <v>1</v>
      </c>
      <c r="S76" s="59">
        <v>97</v>
      </c>
      <c r="T76" s="59">
        <v>2</v>
      </c>
      <c r="U76" s="59">
        <v>0</v>
      </c>
      <c r="V76" s="59">
        <v>55</v>
      </c>
      <c r="W76" s="59">
        <v>4</v>
      </c>
      <c r="X76" s="59">
        <v>1</v>
      </c>
      <c r="Y76" s="59">
        <v>3</v>
      </c>
      <c r="Z76" s="59">
        <f t="shared" si="28"/>
        <v>0</v>
      </c>
      <c r="AA76" s="59">
        <f>IF('Updated Dummy'!Y76=2,1,0)</f>
        <v>0</v>
      </c>
      <c r="AB76" s="59">
        <f t="shared" si="29"/>
        <v>1</v>
      </c>
      <c r="AC76" s="59">
        <f t="shared" si="30"/>
        <v>0</v>
      </c>
      <c r="AD76" s="59">
        <f t="shared" si="31"/>
        <v>0</v>
      </c>
      <c r="AE76" s="59">
        <f t="shared" si="32"/>
        <v>0</v>
      </c>
      <c r="AF76" s="59">
        <f t="shared" si="33"/>
        <v>0</v>
      </c>
      <c r="AG76" s="59">
        <f t="shared" si="34"/>
        <v>0</v>
      </c>
      <c r="AH76" s="59">
        <v>4</v>
      </c>
      <c r="AI76" s="59">
        <v>2</v>
      </c>
      <c r="AJ76" s="59">
        <f t="shared" si="35"/>
        <v>0</v>
      </c>
      <c r="AK76" s="59">
        <f t="shared" si="36"/>
        <v>1</v>
      </c>
      <c r="AL76" s="59">
        <v>3038</v>
      </c>
      <c r="AM76" s="59">
        <v>22002</v>
      </c>
      <c r="AN76" s="59">
        <v>3</v>
      </c>
      <c r="AO76" s="59">
        <v>0</v>
      </c>
      <c r="AP76" s="59">
        <v>12</v>
      </c>
      <c r="AQ76" s="59">
        <v>3</v>
      </c>
      <c r="AR76" s="59">
        <v>2</v>
      </c>
      <c r="AS76" s="59">
        <v>80</v>
      </c>
      <c r="AT76" s="59">
        <v>0</v>
      </c>
      <c r="AU76" s="59">
        <v>5</v>
      </c>
      <c r="AV76" s="59">
        <v>3</v>
      </c>
      <c r="AW76" s="59">
        <v>3</v>
      </c>
      <c r="AX76" s="59">
        <v>1</v>
      </c>
      <c r="AY76" s="59">
        <v>0</v>
      </c>
      <c r="AZ76" s="59">
        <v>0</v>
      </c>
      <c r="BA76" s="59">
        <v>0</v>
      </c>
      <c r="BB76" s="57">
        <f t="shared" si="37"/>
        <v>3038</v>
      </c>
      <c r="BD76" s="45">
        <f>_xll.StatCovariance( ST_JobRoleManager,ST_Age_1)</f>
        <v>0.6833025381697948</v>
      </c>
    </row>
    <row r="77" spans="1:56" ht="15" customHeight="1" x14ac:dyDescent="0.25">
      <c r="A77" s="58">
        <v>31</v>
      </c>
      <c r="B77" s="59">
        <v>0</v>
      </c>
      <c r="C77" s="59">
        <v>1</v>
      </c>
      <c r="D77" s="59">
        <f t="shared" si="19"/>
        <v>1</v>
      </c>
      <c r="E77" s="59">
        <f t="shared" si="20"/>
        <v>0</v>
      </c>
      <c r="F77" s="59">
        <v>746</v>
      </c>
      <c r="G77" s="59">
        <v>2</v>
      </c>
      <c r="H77" s="59">
        <f t="shared" si="21"/>
        <v>0</v>
      </c>
      <c r="I77" s="59">
        <f t="shared" si="22"/>
        <v>1</v>
      </c>
      <c r="J77" s="59">
        <v>8</v>
      </c>
      <c r="K77" s="59">
        <v>4</v>
      </c>
      <c r="L77" s="59">
        <v>1</v>
      </c>
      <c r="M77" s="59">
        <f t="shared" si="23"/>
        <v>1</v>
      </c>
      <c r="N77" s="59">
        <f t="shared" si="24"/>
        <v>0</v>
      </c>
      <c r="O77" s="59">
        <f t="shared" si="25"/>
        <v>0</v>
      </c>
      <c r="P77" s="59">
        <f t="shared" si="26"/>
        <v>0</v>
      </c>
      <c r="Q77" s="59">
        <f t="shared" si="27"/>
        <v>0</v>
      </c>
      <c r="R77" s="59">
        <v>1</v>
      </c>
      <c r="S77" s="59">
        <v>98</v>
      </c>
      <c r="T77" s="59">
        <v>3</v>
      </c>
      <c r="U77" s="59">
        <v>0</v>
      </c>
      <c r="V77" s="59">
        <v>61</v>
      </c>
      <c r="W77" s="59">
        <v>3</v>
      </c>
      <c r="X77" s="59">
        <v>2</v>
      </c>
      <c r="Y77" s="59">
        <v>4</v>
      </c>
      <c r="Z77" s="59">
        <f t="shared" si="28"/>
        <v>0</v>
      </c>
      <c r="AA77" s="59">
        <f>IF('Updated Dummy'!Y77=2,1,0)</f>
        <v>0</v>
      </c>
      <c r="AB77" s="59">
        <f t="shared" si="29"/>
        <v>0</v>
      </c>
      <c r="AC77" s="59">
        <f t="shared" si="30"/>
        <v>1</v>
      </c>
      <c r="AD77" s="59">
        <f t="shared" si="31"/>
        <v>0</v>
      </c>
      <c r="AE77" s="59">
        <f t="shared" si="32"/>
        <v>0</v>
      </c>
      <c r="AF77" s="59">
        <f t="shared" si="33"/>
        <v>0</v>
      </c>
      <c r="AG77" s="59">
        <f t="shared" si="34"/>
        <v>0</v>
      </c>
      <c r="AH77" s="59">
        <v>4</v>
      </c>
      <c r="AI77" s="59">
        <v>1</v>
      </c>
      <c r="AJ77" s="59">
        <f t="shared" si="35"/>
        <v>1</v>
      </c>
      <c r="AK77" s="59">
        <f t="shared" si="36"/>
        <v>0</v>
      </c>
      <c r="AL77" s="59">
        <v>4424</v>
      </c>
      <c r="AM77" s="59">
        <v>20682</v>
      </c>
      <c r="AN77" s="59">
        <v>1</v>
      </c>
      <c r="AO77" s="59">
        <v>0</v>
      </c>
      <c r="AP77" s="59">
        <v>23</v>
      </c>
      <c r="AQ77" s="59">
        <v>4</v>
      </c>
      <c r="AR77" s="59">
        <v>4</v>
      </c>
      <c r="AS77" s="59">
        <v>80</v>
      </c>
      <c r="AT77" s="59">
        <v>0</v>
      </c>
      <c r="AU77" s="59">
        <v>11</v>
      </c>
      <c r="AV77" s="59">
        <v>2</v>
      </c>
      <c r="AW77" s="59">
        <v>3</v>
      </c>
      <c r="AX77" s="59">
        <v>11</v>
      </c>
      <c r="AY77" s="59">
        <v>7</v>
      </c>
      <c r="AZ77" s="59">
        <v>1</v>
      </c>
      <c r="BA77" s="59">
        <v>8</v>
      </c>
      <c r="BB77" s="57">
        <f t="shared" si="37"/>
        <v>8848</v>
      </c>
      <c r="BD77" s="45">
        <f>_xll.StatCovariance( ST_JobRoleSalesRep,ST_Age_1)</f>
        <v>-0.3707802521961836</v>
      </c>
    </row>
    <row r="78" spans="1:56" ht="15" customHeight="1" x14ac:dyDescent="0.25">
      <c r="A78" s="58">
        <v>35</v>
      </c>
      <c r="B78" s="59">
        <v>0</v>
      </c>
      <c r="C78" s="59">
        <v>1</v>
      </c>
      <c r="D78" s="59">
        <f t="shared" si="19"/>
        <v>1</v>
      </c>
      <c r="E78" s="59">
        <f t="shared" si="20"/>
        <v>0</v>
      </c>
      <c r="F78" s="59">
        <v>776</v>
      </c>
      <c r="G78" s="59">
        <v>1</v>
      </c>
      <c r="H78" s="59">
        <f t="shared" si="21"/>
        <v>1</v>
      </c>
      <c r="I78" s="59">
        <f t="shared" si="22"/>
        <v>0</v>
      </c>
      <c r="J78" s="59">
        <v>1</v>
      </c>
      <c r="K78" s="59">
        <v>4</v>
      </c>
      <c r="L78" s="59">
        <v>4</v>
      </c>
      <c r="M78" s="59">
        <f t="shared" si="23"/>
        <v>0</v>
      </c>
      <c r="N78" s="59">
        <f t="shared" si="24"/>
        <v>0</v>
      </c>
      <c r="O78" s="59">
        <f t="shared" si="25"/>
        <v>0</v>
      </c>
      <c r="P78" s="59">
        <f t="shared" si="26"/>
        <v>1</v>
      </c>
      <c r="Q78" s="59">
        <f t="shared" si="27"/>
        <v>0</v>
      </c>
      <c r="R78" s="59">
        <v>1</v>
      </c>
      <c r="S78" s="59">
        <v>100</v>
      </c>
      <c r="T78" s="59">
        <v>3</v>
      </c>
      <c r="U78" s="59">
        <v>1</v>
      </c>
      <c r="V78" s="59">
        <v>32</v>
      </c>
      <c r="W78" s="59">
        <v>2</v>
      </c>
      <c r="X78" s="59">
        <v>2</v>
      </c>
      <c r="Y78" s="59">
        <v>1</v>
      </c>
      <c r="Z78" s="59">
        <f t="shared" si="28"/>
        <v>1</v>
      </c>
      <c r="AA78" s="59">
        <f>IF('Updated Dummy'!Y78=2,1,0)</f>
        <v>0</v>
      </c>
      <c r="AB78" s="59">
        <f t="shared" si="29"/>
        <v>0</v>
      </c>
      <c r="AC78" s="59">
        <f t="shared" si="30"/>
        <v>0</v>
      </c>
      <c r="AD78" s="59">
        <f t="shared" si="31"/>
        <v>0</v>
      </c>
      <c r="AE78" s="59">
        <f t="shared" si="32"/>
        <v>0</v>
      </c>
      <c r="AF78" s="59">
        <f t="shared" si="33"/>
        <v>0</v>
      </c>
      <c r="AG78" s="59">
        <f t="shared" si="34"/>
        <v>0</v>
      </c>
      <c r="AH78" s="59">
        <v>1</v>
      </c>
      <c r="AI78" s="59">
        <v>1</v>
      </c>
      <c r="AJ78" s="59">
        <f t="shared" si="35"/>
        <v>1</v>
      </c>
      <c r="AK78" s="59">
        <f t="shared" si="36"/>
        <v>0</v>
      </c>
      <c r="AL78" s="59">
        <v>4312</v>
      </c>
      <c r="AM78" s="59">
        <v>23016</v>
      </c>
      <c r="AN78" s="59">
        <v>0</v>
      </c>
      <c r="AO78" s="59">
        <v>0</v>
      </c>
      <c r="AP78" s="59">
        <v>14</v>
      </c>
      <c r="AQ78" s="59">
        <v>3</v>
      </c>
      <c r="AR78" s="59">
        <v>2</v>
      </c>
      <c r="AS78" s="59">
        <v>80</v>
      </c>
      <c r="AT78" s="59">
        <v>0</v>
      </c>
      <c r="AU78" s="59">
        <v>16</v>
      </c>
      <c r="AV78" s="59">
        <v>2</v>
      </c>
      <c r="AW78" s="59">
        <v>3</v>
      </c>
      <c r="AX78" s="59">
        <v>15</v>
      </c>
      <c r="AY78" s="59">
        <v>13</v>
      </c>
      <c r="AZ78" s="59">
        <v>2</v>
      </c>
      <c r="BA78" s="59">
        <v>8</v>
      </c>
      <c r="BB78" s="57">
        <f t="shared" si="37"/>
        <v>8624</v>
      </c>
      <c r="BD78" s="45">
        <f>_xll.StatCovariance( ST_JobResearchDirector,ST_Age_1)</f>
        <v>0.38536095173263352</v>
      </c>
    </row>
    <row r="79" spans="1:56" ht="15" customHeight="1" x14ac:dyDescent="0.25">
      <c r="A79" s="58">
        <v>45</v>
      </c>
      <c r="B79" s="59">
        <v>0</v>
      </c>
      <c r="C79" s="59">
        <v>1</v>
      </c>
      <c r="D79" s="59">
        <f t="shared" si="19"/>
        <v>1</v>
      </c>
      <c r="E79" s="59">
        <f t="shared" si="20"/>
        <v>0</v>
      </c>
      <c r="F79" s="59">
        <v>193</v>
      </c>
      <c r="G79" s="59">
        <v>2</v>
      </c>
      <c r="H79" s="59">
        <f t="shared" si="21"/>
        <v>0</v>
      </c>
      <c r="I79" s="59">
        <f t="shared" si="22"/>
        <v>1</v>
      </c>
      <c r="J79" s="59">
        <v>6</v>
      </c>
      <c r="K79" s="59">
        <v>4</v>
      </c>
      <c r="L79" s="59">
        <v>6</v>
      </c>
      <c r="M79" s="59">
        <f t="shared" si="23"/>
        <v>0</v>
      </c>
      <c r="N79" s="59">
        <f t="shared" si="24"/>
        <v>0</v>
      </c>
      <c r="O79" s="59">
        <f t="shared" si="25"/>
        <v>0</v>
      </c>
      <c r="P79" s="59">
        <f t="shared" si="26"/>
        <v>0</v>
      </c>
      <c r="Q79" s="59">
        <f t="shared" si="27"/>
        <v>0</v>
      </c>
      <c r="R79" s="59">
        <v>1</v>
      </c>
      <c r="S79" s="59">
        <v>101</v>
      </c>
      <c r="T79" s="59">
        <v>4</v>
      </c>
      <c r="U79" s="59">
        <v>1</v>
      </c>
      <c r="V79" s="59">
        <v>52</v>
      </c>
      <c r="W79" s="59">
        <v>3</v>
      </c>
      <c r="X79" s="59">
        <v>3</v>
      </c>
      <c r="Y79" s="59">
        <v>8</v>
      </c>
      <c r="Z79" s="59">
        <f t="shared" si="28"/>
        <v>0</v>
      </c>
      <c r="AA79" s="59">
        <f>IF('Updated Dummy'!Y79=2,1,0)</f>
        <v>0</v>
      </c>
      <c r="AB79" s="59">
        <f t="shared" si="29"/>
        <v>0</v>
      </c>
      <c r="AC79" s="59">
        <f t="shared" si="30"/>
        <v>0</v>
      </c>
      <c r="AD79" s="59">
        <f t="shared" si="31"/>
        <v>0</v>
      </c>
      <c r="AE79" s="59">
        <f t="shared" si="32"/>
        <v>0</v>
      </c>
      <c r="AF79" s="59">
        <f t="shared" si="33"/>
        <v>0</v>
      </c>
      <c r="AG79" s="59">
        <f t="shared" si="34"/>
        <v>1</v>
      </c>
      <c r="AH79" s="59">
        <v>1</v>
      </c>
      <c r="AI79" s="59">
        <v>2</v>
      </c>
      <c r="AJ79" s="59">
        <f t="shared" si="35"/>
        <v>0</v>
      </c>
      <c r="AK79" s="59">
        <f t="shared" si="36"/>
        <v>1</v>
      </c>
      <c r="AL79" s="59">
        <v>13245</v>
      </c>
      <c r="AM79" s="59">
        <v>15067</v>
      </c>
      <c r="AN79" s="59">
        <v>4</v>
      </c>
      <c r="AO79" s="59">
        <v>1</v>
      </c>
      <c r="AP79" s="59">
        <v>14</v>
      </c>
      <c r="AQ79" s="59">
        <v>3</v>
      </c>
      <c r="AR79" s="59">
        <v>2</v>
      </c>
      <c r="AS79" s="59">
        <v>80</v>
      </c>
      <c r="AT79" s="59">
        <v>0</v>
      </c>
      <c r="AU79" s="59">
        <v>17</v>
      </c>
      <c r="AV79" s="59">
        <v>3</v>
      </c>
      <c r="AW79" s="59">
        <v>4</v>
      </c>
      <c r="AX79" s="59">
        <v>0</v>
      </c>
      <c r="AY79" s="59">
        <v>0</v>
      </c>
      <c r="AZ79" s="59">
        <v>0</v>
      </c>
      <c r="BA79" s="59">
        <v>0</v>
      </c>
      <c r="BB79" s="57">
        <f t="shared" si="37"/>
        <v>39735</v>
      </c>
      <c r="BD79" s="45">
        <f>_xll.StatCovariance( ST_JobSatisfaction_34,ST_Age_1)</f>
        <v>-4.9285228046290014E-2</v>
      </c>
    </row>
    <row r="80" spans="1:56" ht="15" customHeight="1" x14ac:dyDescent="0.25">
      <c r="A80" s="58">
        <v>37</v>
      </c>
      <c r="B80" s="59">
        <v>0</v>
      </c>
      <c r="C80" s="59">
        <v>1</v>
      </c>
      <c r="D80" s="59">
        <f t="shared" si="19"/>
        <v>1</v>
      </c>
      <c r="E80" s="59">
        <f t="shared" si="20"/>
        <v>0</v>
      </c>
      <c r="F80" s="59">
        <v>397</v>
      </c>
      <c r="G80" s="59">
        <v>2</v>
      </c>
      <c r="H80" s="59">
        <f t="shared" si="21"/>
        <v>0</v>
      </c>
      <c r="I80" s="59">
        <f t="shared" si="22"/>
        <v>1</v>
      </c>
      <c r="J80" s="59">
        <v>7</v>
      </c>
      <c r="K80" s="59">
        <v>4</v>
      </c>
      <c r="L80" s="59">
        <v>3</v>
      </c>
      <c r="M80" s="59">
        <f t="shared" si="23"/>
        <v>0</v>
      </c>
      <c r="N80" s="59">
        <f t="shared" si="24"/>
        <v>0</v>
      </c>
      <c r="O80" s="59">
        <f t="shared" si="25"/>
        <v>1</v>
      </c>
      <c r="P80" s="59">
        <f t="shared" si="26"/>
        <v>0</v>
      </c>
      <c r="Q80" s="59">
        <f t="shared" si="27"/>
        <v>0</v>
      </c>
      <c r="R80" s="59">
        <v>1</v>
      </c>
      <c r="S80" s="59">
        <v>102</v>
      </c>
      <c r="T80" s="59">
        <v>1</v>
      </c>
      <c r="U80" s="59">
        <v>1</v>
      </c>
      <c r="V80" s="59">
        <v>30</v>
      </c>
      <c r="W80" s="59">
        <v>3</v>
      </c>
      <c r="X80" s="59">
        <v>3</v>
      </c>
      <c r="Y80" s="59">
        <v>8</v>
      </c>
      <c r="Z80" s="59">
        <f t="shared" si="28"/>
        <v>0</v>
      </c>
      <c r="AA80" s="59">
        <f>IF('Updated Dummy'!Y80=2,1,0)</f>
        <v>0</v>
      </c>
      <c r="AB80" s="59">
        <f t="shared" si="29"/>
        <v>0</v>
      </c>
      <c r="AC80" s="59">
        <f t="shared" si="30"/>
        <v>0</v>
      </c>
      <c r="AD80" s="59">
        <f t="shared" si="31"/>
        <v>0</v>
      </c>
      <c r="AE80" s="59">
        <f t="shared" si="32"/>
        <v>0</v>
      </c>
      <c r="AF80" s="59">
        <f t="shared" si="33"/>
        <v>0</v>
      </c>
      <c r="AG80" s="59">
        <f t="shared" si="34"/>
        <v>1</v>
      </c>
      <c r="AH80" s="59">
        <v>3</v>
      </c>
      <c r="AI80" s="59">
        <v>1</v>
      </c>
      <c r="AJ80" s="59">
        <f t="shared" si="35"/>
        <v>1</v>
      </c>
      <c r="AK80" s="59">
        <f t="shared" si="36"/>
        <v>0</v>
      </c>
      <c r="AL80" s="59">
        <v>13664</v>
      </c>
      <c r="AM80" s="59">
        <v>25258</v>
      </c>
      <c r="AN80" s="59">
        <v>4</v>
      </c>
      <c r="AO80" s="59">
        <v>0</v>
      </c>
      <c r="AP80" s="59">
        <v>13</v>
      </c>
      <c r="AQ80" s="59">
        <v>3</v>
      </c>
      <c r="AR80" s="59">
        <v>1</v>
      </c>
      <c r="AS80" s="59">
        <v>80</v>
      </c>
      <c r="AT80" s="59">
        <v>0</v>
      </c>
      <c r="AU80" s="59">
        <v>16</v>
      </c>
      <c r="AV80" s="59">
        <v>3</v>
      </c>
      <c r="AW80" s="59">
        <v>4</v>
      </c>
      <c r="AX80" s="59">
        <v>5</v>
      </c>
      <c r="AY80" s="59">
        <v>2</v>
      </c>
      <c r="AZ80" s="59">
        <v>0</v>
      </c>
      <c r="BA80" s="59">
        <v>2</v>
      </c>
      <c r="BB80" s="57">
        <f t="shared" si="37"/>
        <v>40992</v>
      </c>
      <c r="BD80" s="45">
        <f>_xll.StatCovariance( ST_MaritalStatusSingle,ST_Age_1)</f>
        <v>-0.50795811857758755</v>
      </c>
    </row>
    <row r="81" spans="1:56" ht="15" customHeight="1" x14ac:dyDescent="0.25">
      <c r="A81" s="58">
        <v>46</v>
      </c>
      <c r="B81" s="59">
        <v>0</v>
      </c>
      <c r="C81" s="59">
        <v>1</v>
      </c>
      <c r="D81" s="59">
        <f t="shared" si="19"/>
        <v>1</v>
      </c>
      <c r="E81" s="59">
        <f t="shared" si="20"/>
        <v>0</v>
      </c>
      <c r="F81" s="59">
        <v>945</v>
      </c>
      <c r="G81" s="59">
        <v>3</v>
      </c>
      <c r="H81" s="59">
        <f t="shared" si="21"/>
        <v>0</v>
      </c>
      <c r="I81" s="59">
        <f t="shared" si="22"/>
        <v>0</v>
      </c>
      <c r="J81" s="59">
        <v>5</v>
      </c>
      <c r="K81" s="59">
        <v>2</v>
      </c>
      <c r="L81" s="59">
        <v>3</v>
      </c>
      <c r="M81" s="59">
        <f t="shared" si="23"/>
        <v>0</v>
      </c>
      <c r="N81" s="59">
        <f t="shared" si="24"/>
        <v>0</v>
      </c>
      <c r="O81" s="59">
        <f t="shared" si="25"/>
        <v>1</v>
      </c>
      <c r="P81" s="59">
        <f t="shared" si="26"/>
        <v>0</v>
      </c>
      <c r="Q81" s="59">
        <f t="shared" si="27"/>
        <v>0</v>
      </c>
      <c r="R81" s="59">
        <v>1</v>
      </c>
      <c r="S81" s="59">
        <v>103</v>
      </c>
      <c r="T81" s="59">
        <v>2</v>
      </c>
      <c r="U81" s="59">
        <v>1</v>
      </c>
      <c r="V81" s="59">
        <v>80</v>
      </c>
      <c r="W81" s="59">
        <v>3</v>
      </c>
      <c r="X81" s="59">
        <v>2</v>
      </c>
      <c r="Y81" s="59">
        <v>9</v>
      </c>
      <c r="Z81" s="59">
        <f t="shared" si="28"/>
        <v>0</v>
      </c>
      <c r="AA81" s="59">
        <f>IF('Updated Dummy'!Y81=2,1,0)</f>
        <v>0</v>
      </c>
      <c r="AB81" s="59">
        <f t="shared" si="29"/>
        <v>0</v>
      </c>
      <c r="AC81" s="59">
        <f t="shared" si="30"/>
        <v>0</v>
      </c>
      <c r="AD81" s="59">
        <f t="shared" si="31"/>
        <v>0</v>
      </c>
      <c r="AE81" s="59">
        <f t="shared" si="32"/>
        <v>0</v>
      </c>
      <c r="AF81" s="59">
        <f t="shared" si="33"/>
        <v>0</v>
      </c>
      <c r="AG81" s="59">
        <f t="shared" si="34"/>
        <v>0</v>
      </c>
      <c r="AH81" s="59">
        <v>2</v>
      </c>
      <c r="AI81" s="59">
        <v>3</v>
      </c>
      <c r="AJ81" s="59">
        <f t="shared" si="35"/>
        <v>0</v>
      </c>
      <c r="AK81" s="59">
        <f t="shared" si="36"/>
        <v>0</v>
      </c>
      <c r="AL81" s="59">
        <v>5021</v>
      </c>
      <c r="AM81" s="59">
        <v>10425</v>
      </c>
      <c r="AN81" s="59">
        <v>8</v>
      </c>
      <c r="AO81" s="59">
        <v>1</v>
      </c>
      <c r="AP81" s="59">
        <v>22</v>
      </c>
      <c r="AQ81" s="59">
        <v>4</v>
      </c>
      <c r="AR81" s="59">
        <v>4</v>
      </c>
      <c r="AS81" s="59">
        <v>80</v>
      </c>
      <c r="AT81" s="59">
        <v>1</v>
      </c>
      <c r="AU81" s="59">
        <v>16</v>
      </c>
      <c r="AV81" s="59">
        <v>2</v>
      </c>
      <c r="AW81" s="59">
        <v>3</v>
      </c>
      <c r="AX81" s="59">
        <v>4</v>
      </c>
      <c r="AY81" s="59">
        <v>2</v>
      </c>
      <c r="AZ81" s="59">
        <v>0</v>
      </c>
      <c r="BA81" s="59">
        <v>2</v>
      </c>
      <c r="BB81" s="57">
        <f t="shared" si="37"/>
        <v>10042</v>
      </c>
      <c r="BD81" s="45">
        <f>_xll.StatCovariance( ST_MaritalStatusMarried,ST_Age_1)</f>
        <v>0.38208045641674027</v>
      </c>
    </row>
    <row r="82" spans="1:56" ht="15" customHeight="1" x14ac:dyDescent="0.25">
      <c r="A82" s="58">
        <v>30</v>
      </c>
      <c r="B82" s="59">
        <v>0</v>
      </c>
      <c r="C82" s="59">
        <v>1</v>
      </c>
      <c r="D82" s="59">
        <f t="shared" si="19"/>
        <v>1</v>
      </c>
      <c r="E82" s="59">
        <f t="shared" si="20"/>
        <v>0</v>
      </c>
      <c r="F82" s="59">
        <v>852</v>
      </c>
      <c r="G82" s="59">
        <v>2</v>
      </c>
      <c r="H82" s="59">
        <f t="shared" si="21"/>
        <v>0</v>
      </c>
      <c r="I82" s="59">
        <f t="shared" si="22"/>
        <v>1</v>
      </c>
      <c r="J82" s="59">
        <v>1</v>
      </c>
      <c r="K82" s="59">
        <v>1</v>
      </c>
      <c r="L82" s="59">
        <v>1</v>
      </c>
      <c r="M82" s="59">
        <f t="shared" si="23"/>
        <v>1</v>
      </c>
      <c r="N82" s="59">
        <f t="shared" si="24"/>
        <v>0</v>
      </c>
      <c r="O82" s="59">
        <f t="shared" si="25"/>
        <v>0</v>
      </c>
      <c r="P82" s="59">
        <f t="shared" si="26"/>
        <v>0</v>
      </c>
      <c r="Q82" s="59">
        <f t="shared" si="27"/>
        <v>0</v>
      </c>
      <c r="R82" s="59">
        <v>1</v>
      </c>
      <c r="S82" s="59">
        <v>104</v>
      </c>
      <c r="T82" s="59">
        <v>4</v>
      </c>
      <c r="U82" s="59">
        <v>1</v>
      </c>
      <c r="V82" s="59">
        <v>55</v>
      </c>
      <c r="W82" s="59">
        <v>2</v>
      </c>
      <c r="X82" s="59">
        <v>2</v>
      </c>
      <c r="Y82" s="59">
        <v>3</v>
      </c>
      <c r="Z82" s="59">
        <f t="shared" si="28"/>
        <v>0</v>
      </c>
      <c r="AA82" s="59">
        <f>IF('Updated Dummy'!Y82=2,1,0)</f>
        <v>0</v>
      </c>
      <c r="AB82" s="59">
        <f t="shared" si="29"/>
        <v>1</v>
      </c>
      <c r="AC82" s="59">
        <f t="shared" si="30"/>
        <v>0</v>
      </c>
      <c r="AD82" s="59">
        <f t="shared" si="31"/>
        <v>0</v>
      </c>
      <c r="AE82" s="59">
        <f t="shared" si="32"/>
        <v>0</v>
      </c>
      <c r="AF82" s="59">
        <f t="shared" si="33"/>
        <v>0</v>
      </c>
      <c r="AG82" s="59">
        <f t="shared" si="34"/>
        <v>0</v>
      </c>
      <c r="AH82" s="59">
        <v>4</v>
      </c>
      <c r="AI82" s="59">
        <v>2</v>
      </c>
      <c r="AJ82" s="59">
        <f t="shared" si="35"/>
        <v>0</v>
      </c>
      <c r="AK82" s="59">
        <f t="shared" si="36"/>
        <v>1</v>
      </c>
      <c r="AL82" s="59">
        <v>5126</v>
      </c>
      <c r="AM82" s="59">
        <v>15998</v>
      </c>
      <c r="AN82" s="59">
        <v>1</v>
      </c>
      <c r="AO82" s="59">
        <v>1</v>
      </c>
      <c r="AP82" s="59">
        <v>12</v>
      </c>
      <c r="AQ82" s="59">
        <v>3</v>
      </c>
      <c r="AR82" s="59">
        <v>3</v>
      </c>
      <c r="AS82" s="59">
        <v>80</v>
      </c>
      <c r="AT82" s="59">
        <v>2</v>
      </c>
      <c r="AU82" s="59">
        <v>10</v>
      </c>
      <c r="AV82" s="59">
        <v>1</v>
      </c>
      <c r="AW82" s="59">
        <v>2</v>
      </c>
      <c r="AX82" s="59">
        <v>10</v>
      </c>
      <c r="AY82" s="59">
        <v>8</v>
      </c>
      <c r="AZ82" s="59">
        <v>3</v>
      </c>
      <c r="BA82" s="59">
        <v>0</v>
      </c>
      <c r="BB82" s="57">
        <f t="shared" si="37"/>
        <v>10252</v>
      </c>
      <c r="BD82" s="45">
        <f>_xll.StatCovariance( ST_MonthlyIncome_38,ST_Age_1)</f>
        <v>21412.198982138831</v>
      </c>
    </row>
    <row r="83" spans="1:56" ht="15" customHeight="1" x14ac:dyDescent="0.25">
      <c r="A83" s="58">
        <v>35</v>
      </c>
      <c r="B83" s="59">
        <v>0</v>
      </c>
      <c r="C83" s="59">
        <v>1</v>
      </c>
      <c r="D83" s="59">
        <f t="shared" si="19"/>
        <v>1</v>
      </c>
      <c r="E83" s="59">
        <f t="shared" si="20"/>
        <v>0</v>
      </c>
      <c r="F83" s="59">
        <v>1214</v>
      </c>
      <c r="G83" s="59">
        <v>2</v>
      </c>
      <c r="H83" s="59">
        <f t="shared" si="21"/>
        <v>0</v>
      </c>
      <c r="I83" s="59">
        <f t="shared" si="22"/>
        <v>1</v>
      </c>
      <c r="J83" s="59">
        <v>1</v>
      </c>
      <c r="K83" s="59">
        <v>3</v>
      </c>
      <c r="L83" s="59">
        <v>3</v>
      </c>
      <c r="M83" s="59">
        <f t="shared" si="23"/>
        <v>0</v>
      </c>
      <c r="N83" s="59">
        <f t="shared" si="24"/>
        <v>0</v>
      </c>
      <c r="O83" s="59">
        <f t="shared" si="25"/>
        <v>1</v>
      </c>
      <c r="P83" s="59">
        <f t="shared" si="26"/>
        <v>0</v>
      </c>
      <c r="Q83" s="59">
        <f t="shared" si="27"/>
        <v>0</v>
      </c>
      <c r="R83" s="59">
        <v>1</v>
      </c>
      <c r="S83" s="59">
        <v>105</v>
      </c>
      <c r="T83" s="59">
        <v>2</v>
      </c>
      <c r="U83" s="59">
        <v>1</v>
      </c>
      <c r="V83" s="59">
        <v>30</v>
      </c>
      <c r="W83" s="59">
        <v>2</v>
      </c>
      <c r="X83" s="59">
        <v>1</v>
      </c>
      <c r="Y83" s="59">
        <v>2</v>
      </c>
      <c r="Z83" s="59">
        <f t="shared" si="28"/>
        <v>0</v>
      </c>
      <c r="AA83" s="59">
        <f>IF('Updated Dummy'!Y83=2,1,0)</f>
        <v>1</v>
      </c>
      <c r="AB83" s="59">
        <f t="shared" si="29"/>
        <v>0</v>
      </c>
      <c r="AC83" s="59">
        <f t="shared" si="30"/>
        <v>0</v>
      </c>
      <c r="AD83" s="59">
        <f t="shared" si="31"/>
        <v>0</v>
      </c>
      <c r="AE83" s="59">
        <f t="shared" si="32"/>
        <v>0</v>
      </c>
      <c r="AF83" s="59">
        <f t="shared" si="33"/>
        <v>0</v>
      </c>
      <c r="AG83" s="59">
        <f t="shared" si="34"/>
        <v>0</v>
      </c>
      <c r="AH83" s="59">
        <v>3</v>
      </c>
      <c r="AI83" s="59">
        <v>1</v>
      </c>
      <c r="AJ83" s="59">
        <f t="shared" si="35"/>
        <v>1</v>
      </c>
      <c r="AK83" s="59">
        <f t="shared" si="36"/>
        <v>0</v>
      </c>
      <c r="AL83" s="59">
        <v>2859</v>
      </c>
      <c r="AM83" s="59">
        <v>26278</v>
      </c>
      <c r="AN83" s="59">
        <v>1</v>
      </c>
      <c r="AO83" s="59">
        <v>0</v>
      </c>
      <c r="AP83" s="59">
        <v>18</v>
      </c>
      <c r="AQ83" s="59">
        <v>3</v>
      </c>
      <c r="AR83" s="59">
        <v>1</v>
      </c>
      <c r="AS83" s="59">
        <v>80</v>
      </c>
      <c r="AT83" s="59">
        <v>0</v>
      </c>
      <c r="AU83" s="59">
        <v>6</v>
      </c>
      <c r="AV83" s="59">
        <v>3</v>
      </c>
      <c r="AW83" s="59">
        <v>3</v>
      </c>
      <c r="AX83" s="59">
        <v>6</v>
      </c>
      <c r="AY83" s="59">
        <v>4</v>
      </c>
      <c r="AZ83" s="59">
        <v>0</v>
      </c>
      <c r="BA83" s="59">
        <v>4</v>
      </c>
      <c r="BB83" s="57">
        <f t="shared" si="37"/>
        <v>2859</v>
      </c>
      <c r="BD83" s="45">
        <f>_xll.StatCovariance( ST_MonthlyRate_39,ST_Age_1)</f>
        <v>1823.9888229764344</v>
      </c>
    </row>
    <row r="84" spans="1:56" ht="15" customHeight="1" x14ac:dyDescent="0.25">
      <c r="A84" s="58">
        <v>55</v>
      </c>
      <c r="B84" s="59">
        <v>0</v>
      </c>
      <c r="C84" s="59">
        <v>1</v>
      </c>
      <c r="D84" s="59">
        <f t="shared" si="19"/>
        <v>1</v>
      </c>
      <c r="E84" s="59">
        <f t="shared" si="20"/>
        <v>0</v>
      </c>
      <c r="F84" s="59">
        <v>111</v>
      </c>
      <c r="G84" s="59">
        <v>1</v>
      </c>
      <c r="H84" s="59">
        <f t="shared" si="21"/>
        <v>1</v>
      </c>
      <c r="I84" s="59">
        <f t="shared" si="22"/>
        <v>0</v>
      </c>
      <c r="J84" s="59">
        <v>1</v>
      </c>
      <c r="K84" s="59">
        <v>2</v>
      </c>
      <c r="L84" s="59">
        <v>1</v>
      </c>
      <c r="M84" s="59">
        <f t="shared" si="23"/>
        <v>1</v>
      </c>
      <c r="N84" s="59">
        <f t="shared" si="24"/>
        <v>0</v>
      </c>
      <c r="O84" s="59">
        <f t="shared" si="25"/>
        <v>0</v>
      </c>
      <c r="P84" s="59">
        <f t="shared" si="26"/>
        <v>0</v>
      </c>
      <c r="Q84" s="59">
        <f t="shared" si="27"/>
        <v>0</v>
      </c>
      <c r="R84" s="59">
        <v>1</v>
      </c>
      <c r="S84" s="59">
        <v>106</v>
      </c>
      <c r="T84" s="59">
        <v>1</v>
      </c>
      <c r="U84" s="59">
        <v>1</v>
      </c>
      <c r="V84" s="59">
        <v>70</v>
      </c>
      <c r="W84" s="59">
        <v>3</v>
      </c>
      <c r="X84" s="59">
        <v>3</v>
      </c>
      <c r="Y84" s="59">
        <v>1</v>
      </c>
      <c r="Z84" s="59">
        <f t="shared" si="28"/>
        <v>1</v>
      </c>
      <c r="AA84" s="59">
        <f>IF('Updated Dummy'!Y84=2,1,0)</f>
        <v>0</v>
      </c>
      <c r="AB84" s="59">
        <f t="shared" si="29"/>
        <v>0</v>
      </c>
      <c r="AC84" s="59">
        <f t="shared" si="30"/>
        <v>0</v>
      </c>
      <c r="AD84" s="59">
        <f t="shared" si="31"/>
        <v>0</v>
      </c>
      <c r="AE84" s="59">
        <f t="shared" si="32"/>
        <v>0</v>
      </c>
      <c r="AF84" s="59">
        <f t="shared" si="33"/>
        <v>0</v>
      </c>
      <c r="AG84" s="59">
        <f t="shared" si="34"/>
        <v>0</v>
      </c>
      <c r="AH84" s="59">
        <v>4</v>
      </c>
      <c r="AI84" s="59">
        <v>2</v>
      </c>
      <c r="AJ84" s="59">
        <f t="shared" si="35"/>
        <v>0</v>
      </c>
      <c r="AK84" s="59">
        <f t="shared" si="36"/>
        <v>1</v>
      </c>
      <c r="AL84" s="59">
        <v>10239</v>
      </c>
      <c r="AM84" s="59">
        <v>18092</v>
      </c>
      <c r="AN84" s="59">
        <v>3</v>
      </c>
      <c r="AO84" s="59">
        <v>0</v>
      </c>
      <c r="AP84" s="59">
        <v>14</v>
      </c>
      <c r="AQ84" s="59">
        <v>3</v>
      </c>
      <c r="AR84" s="59">
        <v>4</v>
      </c>
      <c r="AS84" s="59">
        <v>80</v>
      </c>
      <c r="AT84" s="59">
        <v>1</v>
      </c>
      <c r="AU84" s="59">
        <v>24</v>
      </c>
      <c r="AV84" s="59">
        <v>4</v>
      </c>
      <c r="AW84" s="59">
        <v>3</v>
      </c>
      <c r="AX84" s="59">
        <v>1</v>
      </c>
      <c r="AY84" s="59">
        <v>0</v>
      </c>
      <c r="AZ84" s="59">
        <v>1</v>
      </c>
      <c r="BA84" s="59">
        <v>0</v>
      </c>
      <c r="BB84" s="57">
        <f t="shared" si="37"/>
        <v>30717</v>
      </c>
      <c r="BD84" s="45">
        <f>_xll.StatCovariance( ST_NumCompaniesWorked_40,ST_Age_1)</f>
        <v>6.8377386625174408</v>
      </c>
    </row>
    <row r="85" spans="1:56" ht="15" customHeight="1" x14ac:dyDescent="0.25">
      <c r="A85" s="58">
        <v>38</v>
      </c>
      <c r="B85" s="59">
        <v>0</v>
      </c>
      <c r="C85" s="59">
        <v>3</v>
      </c>
      <c r="D85" s="59">
        <f t="shared" si="19"/>
        <v>0</v>
      </c>
      <c r="E85" s="59">
        <f t="shared" si="20"/>
        <v>0</v>
      </c>
      <c r="F85" s="59">
        <v>573</v>
      </c>
      <c r="G85" s="59">
        <v>2</v>
      </c>
      <c r="H85" s="59">
        <f t="shared" si="21"/>
        <v>0</v>
      </c>
      <c r="I85" s="59">
        <f t="shared" si="22"/>
        <v>1</v>
      </c>
      <c r="J85" s="59">
        <v>6</v>
      </c>
      <c r="K85" s="59">
        <v>3</v>
      </c>
      <c r="L85" s="59">
        <v>3</v>
      </c>
      <c r="M85" s="59">
        <f t="shared" si="23"/>
        <v>0</v>
      </c>
      <c r="N85" s="59">
        <f t="shared" si="24"/>
        <v>0</v>
      </c>
      <c r="O85" s="59">
        <f t="shared" si="25"/>
        <v>1</v>
      </c>
      <c r="P85" s="59">
        <f t="shared" si="26"/>
        <v>0</v>
      </c>
      <c r="Q85" s="59">
        <f t="shared" si="27"/>
        <v>0</v>
      </c>
      <c r="R85" s="59">
        <v>1</v>
      </c>
      <c r="S85" s="59">
        <v>107</v>
      </c>
      <c r="T85" s="59">
        <v>2</v>
      </c>
      <c r="U85" s="59">
        <v>0</v>
      </c>
      <c r="V85" s="59">
        <v>79</v>
      </c>
      <c r="W85" s="59">
        <v>1</v>
      </c>
      <c r="X85" s="59">
        <v>2</v>
      </c>
      <c r="Y85" s="59">
        <v>2</v>
      </c>
      <c r="Z85" s="59">
        <f t="shared" si="28"/>
        <v>0</v>
      </c>
      <c r="AA85" s="59">
        <f>IF('Updated Dummy'!Y85=2,1,0)</f>
        <v>1</v>
      </c>
      <c r="AB85" s="59">
        <f t="shared" si="29"/>
        <v>0</v>
      </c>
      <c r="AC85" s="59">
        <f t="shared" si="30"/>
        <v>0</v>
      </c>
      <c r="AD85" s="59">
        <f t="shared" si="31"/>
        <v>0</v>
      </c>
      <c r="AE85" s="59">
        <f t="shared" si="32"/>
        <v>0</v>
      </c>
      <c r="AF85" s="59">
        <f t="shared" si="33"/>
        <v>0</v>
      </c>
      <c r="AG85" s="59">
        <f t="shared" si="34"/>
        <v>0</v>
      </c>
      <c r="AH85" s="59">
        <v>4</v>
      </c>
      <c r="AI85" s="59">
        <v>3</v>
      </c>
      <c r="AJ85" s="59">
        <f t="shared" si="35"/>
        <v>0</v>
      </c>
      <c r="AK85" s="59">
        <f t="shared" si="36"/>
        <v>0</v>
      </c>
      <c r="AL85" s="59">
        <v>5329</v>
      </c>
      <c r="AM85" s="59">
        <v>15717</v>
      </c>
      <c r="AN85" s="59">
        <v>7</v>
      </c>
      <c r="AO85" s="59">
        <v>1</v>
      </c>
      <c r="AP85" s="59">
        <v>12</v>
      </c>
      <c r="AQ85" s="59">
        <v>3</v>
      </c>
      <c r="AR85" s="59">
        <v>4</v>
      </c>
      <c r="AS85" s="59">
        <v>80</v>
      </c>
      <c r="AT85" s="59">
        <v>3</v>
      </c>
      <c r="AU85" s="59">
        <v>17</v>
      </c>
      <c r="AV85" s="59">
        <v>3</v>
      </c>
      <c r="AW85" s="59">
        <v>3</v>
      </c>
      <c r="AX85" s="59">
        <v>13</v>
      </c>
      <c r="AY85" s="59">
        <v>11</v>
      </c>
      <c r="AZ85" s="59">
        <v>1</v>
      </c>
      <c r="BA85" s="59">
        <v>9</v>
      </c>
      <c r="BB85" s="57">
        <f t="shared" si="37"/>
        <v>10658</v>
      </c>
      <c r="BD85" s="45">
        <f>_xll.StatCovariance( ST_OverTime_41,ST_Age_1)</f>
        <v>0.11551752082725525</v>
      </c>
    </row>
    <row r="86" spans="1:56" ht="15" customHeight="1" x14ac:dyDescent="0.25">
      <c r="A86" s="58">
        <v>34</v>
      </c>
      <c r="B86" s="59">
        <v>0</v>
      </c>
      <c r="C86" s="59">
        <v>1</v>
      </c>
      <c r="D86" s="59">
        <f t="shared" si="19"/>
        <v>1</v>
      </c>
      <c r="E86" s="59">
        <f t="shared" si="20"/>
        <v>0</v>
      </c>
      <c r="F86" s="59">
        <v>1153</v>
      </c>
      <c r="G86" s="59">
        <v>2</v>
      </c>
      <c r="H86" s="59">
        <f t="shared" si="21"/>
        <v>0</v>
      </c>
      <c r="I86" s="59">
        <f t="shared" si="22"/>
        <v>1</v>
      </c>
      <c r="J86" s="59">
        <v>1</v>
      </c>
      <c r="K86" s="59">
        <v>2</v>
      </c>
      <c r="L86" s="59">
        <v>3</v>
      </c>
      <c r="M86" s="59">
        <f t="shared" si="23"/>
        <v>0</v>
      </c>
      <c r="N86" s="59">
        <f t="shared" si="24"/>
        <v>0</v>
      </c>
      <c r="O86" s="59">
        <f t="shared" si="25"/>
        <v>1</v>
      </c>
      <c r="P86" s="59">
        <f t="shared" si="26"/>
        <v>0</v>
      </c>
      <c r="Q86" s="59">
        <f t="shared" si="27"/>
        <v>0</v>
      </c>
      <c r="R86" s="59">
        <v>1</v>
      </c>
      <c r="S86" s="59">
        <v>110</v>
      </c>
      <c r="T86" s="59">
        <v>1</v>
      </c>
      <c r="U86" s="59">
        <v>1</v>
      </c>
      <c r="V86" s="59">
        <v>94</v>
      </c>
      <c r="W86" s="59">
        <v>3</v>
      </c>
      <c r="X86" s="59">
        <v>2</v>
      </c>
      <c r="Y86" s="59">
        <v>4</v>
      </c>
      <c r="Z86" s="59">
        <f t="shared" si="28"/>
        <v>0</v>
      </c>
      <c r="AA86" s="59">
        <f>IF('Updated Dummy'!Y86=2,1,0)</f>
        <v>0</v>
      </c>
      <c r="AB86" s="59">
        <f t="shared" si="29"/>
        <v>0</v>
      </c>
      <c r="AC86" s="59">
        <f t="shared" si="30"/>
        <v>1</v>
      </c>
      <c r="AD86" s="59">
        <f t="shared" si="31"/>
        <v>0</v>
      </c>
      <c r="AE86" s="59">
        <f t="shared" si="32"/>
        <v>0</v>
      </c>
      <c r="AF86" s="59">
        <f t="shared" si="33"/>
        <v>0</v>
      </c>
      <c r="AG86" s="59">
        <f t="shared" si="34"/>
        <v>0</v>
      </c>
      <c r="AH86" s="59">
        <v>2</v>
      </c>
      <c r="AI86" s="59">
        <v>2</v>
      </c>
      <c r="AJ86" s="59">
        <f t="shared" si="35"/>
        <v>0</v>
      </c>
      <c r="AK86" s="59">
        <f t="shared" si="36"/>
        <v>1</v>
      </c>
      <c r="AL86" s="59">
        <v>4325</v>
      </c>
      <c r="AM86" s="59">
        <v>17736</v>
      </c>
      <c r="AN86" s="59">
        <v>1</v>
      </c>
      <c r="AO86" s="59">
        <v>0</v>
      </c>
      <c r="AP86" s="59">
        <v>15</v>
      </c>
      <c r="AQ86" s="59">
        <v>3</v>
      </c>
      <c r="AR86" s="59">
        <v>3</v>
      </c>
      <c r="AS86" s="59">
        <v>80</v>
      </c>
      <c r="AT86" s="59">
        <v>0</v>
      </c>
      <c r="AU86" s="59">
        <v>5</v>
      </c>
      <c r="AV86" s="59">
        <v>2</v>
      </c>
      <c r="AW86" s="59">
        <v>3</v>
      </c>
      <c r="AX86" s="59">
        <v>5</v>
      </c>
      <c r="AY86" s="59">
        <v>2</v>
      </c>
      <c r="AZ86" s="59">
        <v>1</v>
      </c>
      <c r="BA86" s="59">
        <v>3</v>
      </c>
      <c r="BB86" s="57">
        <f t="shared" si="37"/>
        <v>8650</v>
      </c>
      <c r="BD86" s="45">
        <f>_xll.StatCovariance( ST_PercentSalaryHike_42,ST_Age_1)</f>
        <v>0.12148854095756842</v>
      </c>
    </row>
    <row r="87" spans="1:56" ht="15" customHeight="1" x14ac:dyDescent="0.25">
      <c r="A87" s="58">
        <v>56</v>
      </c>
      <c r="B87" s="59">
        <v>0</v>
      </c>
      <c r="C87" s="59">
        <v>1</v>
      </c>
      <c r="D87" s="59">
        <f t="shared" si="19"/>
        <v>1</v>
      </c>
      <c r="E87" s="59">
        <f t="shared" si="20"/>
        <v>0</v>
      </c>
      <c r="F87" s="59">
        <v>1400</v>
      </c>
      <c r="G87" s="59">
        <v>2</v>
      </c>
      <c r="H87" s="59">
        <f t="shared" si="21"/>
        <v>0</v>
      </c>
      <c r="I87" s="59">
        <f t="shared" si="22"/>
        <v>1</v>
      </c>
      <c r="J87" s="59">
        <v>7</v>
      </c>
      <c r="K87" s="59">
        <v>3</v>
      </c>
      <c r="L87" s="59">
        <v>1</v>
      </c>
      <c r="M87" s="59">
        <f t="shared" si="23"/>
        <v>1</v>
      </c>
      <c r="N87" s="59">
        <f t="shared" si="24"/>
        <v>0</v>
      </c>
      <c r="O87" s="59">
        <f t="shared" si="25"/>
        <v>0</v>
      </c>
      <c r="P87" s="59">
        <f t="shared" si="26"/>
        <v>0</v>
      </c>
      <c r="Q87" s="59">
        <f t="shared" si="27"/>
        <v>0</v>
      </c>
      <c r="R87" s="59">
        <v>1</v>
      </c>
      <c r="S87" s="59">
        <v>112</v>
      </c>
      <c r="T87" s="59">
        <v>4</v>
      </c>
      <c r="U87" s="59">
        <v>1</v>
      </c>
      <c r="V87" s="59">
        <v>49</v>
      </c>
      <c r="W87" s="59">
        <v>1</v>
      </c>
      <c r="X87" s="59">
        <v>3</v>
      </c>
      <c r="Y87" s="59">
        <v>4</v>
      </c>
      <c r="Z87" s="59">
        <f t="shared" si="28"/>
        <v>0</v>
      </c>
      <c r="AA87" s="59">
        <f>IF('Updated Dummy'!Y87=2,1,0)</f>
        <v>0</v>
      </c>
      <c r="AB87" s="59">
        <f t="shared" si="29"/>
        <v>0</v>
      </c>
      <c r="AC87" s="59">
        <f t="shared" si="30"/>
        <v>1</v>
      </c>
      <c r="AD87" s="59">
        <f t="shared" si="31"/>
        <v>0</v>
      </c>
      <c r="AE87" s="59">
        <f t="shared" si="32"/>
        <v>0</v>
      </c>
      <c r="AF87" s="59">
        <f t="shared" si="33"/>
        <v>0</v>
      </c>
      <c r="AG87" s="59">
        <f t="shared" si="34"/>
        <v>0</v>
      </c>
      <c r="AH87" s="59">
        <v>4</v>
      </c>
      <c r="AI87" s="59">
        <v>1</v>
      </c>
      <c r="AJ87" s="59">
        <f t="shared" si="35"/>
        <v>1</v>
      </c>
      <c r="AK87" s="59">
        <f t="shared" si="36"/>
        <v>0</v>
      </c>
      <c r="AL87" s="59">
        <v>7260</v>
      </c>
      <c r="AM87" s="59">
        <v>21698</v>
      </c>
      <c r="AN87" s="59">
        <v>4</v>
      </c>
      <c r="AO87" s="59">
        <v>0</v>
      </c>
      <c r="AP87" s="59">
        <v>11</v>
      </c>
      <c r="AQ87" s="59">
        <v>3</v>
      </c>
      <c r="AR87" s="59">
        <v>1</v>
      </c>
      <c r="AS87" s="59">
        <v>80</v>
      </c>
      <c r="AT87" s="59">
        <v>0</v>
      </c>
      <c r="AU87" s="59">
        <v>37</v>
      </c>
      <c r="AV87" s="59">
        <v>3</v>
      </c>
      <c r="AW87" s="59">
        <v>2</v>
      </c>
      <c r="AX87" s="59">
        <v>6</v>
      </c>
      <c r="AY87" s="59">
        <v>4</v>
      </c>
      <c r="AZ87" s="59">
        <v>0</v>
      </c>
      <c r="BA87" s="59">
        <v>2</v>
      </c>
      <c r="BB87" s="57">
        <f t="shared" si="37"/>
        <v>21780</v>
      </c>
      <c r="BD87" s="45">
        <f>_xll.StatCovariance( ST_PerformanceRating_43,ST_Age_1)</f>
        <v>6.2757301695351066E-3</v>
      </c>
    </row>
    <row r="88" spans="1:56" ht="15" customHeight="1" x14ac:dyDescent="0.25">
      <c r="A88" s="58">
        <v>23</v>
      </c>
      <c r="B88" s="59">
        <v>0</v>
      </c>
      <c r="C88" s="59">
        <v>1</v>
      </c>
      <c r="D88" s="59">
        <f t="shared" si="19"/>
        <v>1</v>
      </c>
      <c r="E88" s="59">
        <f t="shared" si="20"/>
        <v>0</v>
      </c>
      <c r="F88" s="59">
        <v>541</v>
      </c>
      <c r="G88" s="59">
        <v>1</v>
      </c>
      <c r="H88" s="59">
        <f t="shared" si="21"/>
        <v>1</v>
      </c>
      <c r="I88" s="59">
        <f t="shared" si="22"/>
        <v>0</v>
      </c>
      <c r="J88" s="59">
        <v>2</v>
      </c>
      <c r="K88" s="59">
        <v>1</v>
      </c>
      <c r="L88" s="59">
        <v>5</v>
      </c>
      <c r="M88" s="59">
        <f t="shared" si="23"/>
        <v>0</v>
      </c>
      <c r="N88" s="59">
        <f t="shared" si="24"/>
        <v>0</v>
      </c>
      <c r="O88" s="59">
        <f t="shared" si="25"/>
        <v>0</v>
      </c>
      <c r="P88" s="59">
        <f t="shared" si="26"/>
        <v>0</v>
      </c>
      <c r="Q88" s="59">
        <f t="shared" si="27"/>
        <v>1</v>
      </c>
      <c r="R88" s="59">
        <v>1</v>
      </c>
      <c r="S88" s="59">
        <v>113</v>
      </c>
      <c r="T88" s="59">
        <v>3</v>
      </c>
      <c r="U88" s="59">
        <v>1</v>
      </c>
      <c r="V88" s="59">
        <v>62</v>
      </c>
      <c r="W88" s="59">
        <v>3</v>
      </c>
      <c r="X88" s="59">
        <v>1</v>
      </c>
      <c r="Y88" s="59">
        <v>7</v>
      </c>
      <c r="Z88" s="59">
        <f t="shared" si="28"/>
        <v>0</v>
      </c>
      <c r="AA88" s="59">
        <f>IF('Updated Dummy'!Y88=2,1,0)</f>
        <v>0</v>
      </c>
      <c r="AB88" s="59">
        <f t="shared" si="29"/>
        <v>0</v>
      </c>
      <c r="AC88" s="59">
        <f t="shared" si="30"/>
        <v>0</v>
      </c>
      <c r="AD88" s="59">
        <f t="shared" si="31"/>
        <v>0</v>
      </c>
      <c r="AE88" s="59">
        <f t="shared" si="32"/>
        <v>0</v>
      </c>
      <c r="AF88" s="59">
        <f t="shared" si="33"/>
        <v>1</v>
      </c>
      <c r="AG88" s="59">
        <f t="shared" si="34"/>
        <v>0</v>
      </c>
      <c r="AH88" s="59">
        <v>1</v>
      </c>
      <c r="AI88" s="59">
        <v>3</v>
      </c>
      <c r="AJ88" s="59">
        <f t="shared" si="35"/>
        <v>0</v>
      </c>
      <c r="AK88" s="59">
        <f t="shared" si="36"/>
        <v>0</v>
      </c>
      <c r="AL88" s="59">
        <v>2322</v>
      </c>
      <c r="AM88" s="59">
        <v>9518</v>
      </c>
      <c r="AN88" s="59">
        <v>3</v>
      </c>
      <c r="AO88" s="59">
        <v>0</v>
      </c>
      <c r="AP88" s="59">
        <v>13</v>
      </c>
      <c r="AQ88" s="59">
        <v>3</v>
      </c>
      <c r="AR88" s="59">
        <v>3</v>
      </c>
      <c r="AS88" s="59">
        <v>80</v>
      </c>
      <c r="AT88" s="59">
        <v>1</v>
      </c>
      <c r="AU88" s="59">
        <v>3</v>
      </c>
      <c r="AV88" s="59">
        <v>3</v>
      </c>
      <c r="AW88" s="59">
        <v>3</v>
      </c>
      <c r="AX88" s="59">
        <v>0</v>
      </c>
      <c r="AY88" s="59">
        <v>0</v>
      </c>
      <c r="AZ88" s="59">
        <v>0</v>
      </c>
      <c r="BA88" s="59">
        <v>0</v>
      </c>
      <c r="BB88" s="57">
        <f t="shared" si="37"/>
        <v>2322</v>
      </c>
      <c r="BD88" s="45">
        <f>_xll.StatCovariance( ST_RelationshipSatisfaction_44,ST_Age_1)</f>
        <v>0.5287756491296326</v>
      </c>
    </row>
    <row r="89" spans="1:56" ht="15" customHeight="1" x14ac:dyDescent="0.25">
      <c r="A89" s="58">
        <v>51</v>
      </c>
      <c r="B89" s="59">
        <v>0</v>
      </c>
      <c r="C89" s="59">
        <v>1</v>
      </c>
      <c r="D89" s="59">
        <f t="shared" si="19"/>
        <v>1</v>
      </c>
      <c r="E89" s="59">
        <f t="shared" si="20"/>
        <v>0</v>
      </c>
      <c r="F89" s="59">
        <v>432</v>
      </c>
      <c r="G89" s="59">
        <v>2</v>
      </c>
      <c r="H89" s="59">
        <f t="shared" si="21"/>
        <v>0</v>
      </c>
      <c r="I89" s="59">
        <f t="shared" si="22"/>
        <v>1</v>
      </c>
      <c r="J89" s="59">
        <v>9</v>
      </c>
      <c r="K89" s="59">
        <v>4</v>
      </c>
      <c r="L89" s="59">
        <v>1</v>
      </c>
      <c r="M89" s="59">
        <f t="shared" si="23"/>
        <v>1</v>
      </c>
      <c r="N89" s="59">
        <f t="shared" si="24"/>
        <v>0</v>
      </c>
      <c r="O89" s="59">
        <f t="shared" si="25"/>
        <v>0</v>
      </c>
      <c r="P89" s="59">
        <f t="shared" si="26"/>
        <v>0</v>
      </c>
      <c r="Q89" s="59">
        <f t="shared" si="27"/>
        <v>0</v>
      </c>
      <c r="R89" s="59">
        <v>1</v>
      </c>
      <c r="S89" s="59">
        <v>116</v>
      </c>
      <c r="T89" s="59">
        <v>4</v>
      </c>
      <c r="U89" s="59">
        <v>1</v>
      </c>
      <c r="V89" s="59">
        <v>96</v>
      </c>
      <c r="W89" s="59">
        <v>3</v>
      </c>
      <c r="X89" s="59">
        <v>1</v>
      </c>
      <c r="Y89" s="59">
        <v>3</v>
      </c>
      <c r="Z89" s="59">
        <f t="shared" si="28"/>
        <v>0</v>
      </c>
      <c r="AA89" s="59">
        <f>IF('Updated Dummy'!Y89=2,1,0)</f>
        <v>0</v>
      </c>
      <c r="AB89" s="59">
        <f t="shared" si="29"/>
        <v>1</v>
      </c>
      <c r="AC89" s="59">
        <f t="shared" si="30"/>
        <v>0</v>
      </c>
      <c r="AD89" s="59">
        <f t="shared" si="31"/>
        <v>0</v>
      </c>
      <c r="AE89" s="59">
        <f t="shared" si="32"/>
        <v>0</v>
      </c>
      <c r="AF89" s="59">
        <f t="shared" si="33"/>
        <v>0</v>
      </c>
      <c r="AG89" s="59">
        <f t="shared" si="34"/>
        <v>0</v>
      </c>
      <c r="AH89" s="59">
        <v>4</v>
      </c>
      <c r="AI89" s="59">
        <v>2</v>
      </c>
      <c r="AJ89" s="59">
        <f t="shared" si="35"/>
        <v>0</v>
      </c>
      <c r="AK89" s="59">
        <f t="shared" si="36"/>
        <v>1</v>
      </c>
      <c r="AL89" s="59">
        <v>2075</v>
      </c>
      <c r="AM89" s="59">
        <v>18725</v>
      </c>
      <c r="AN89" s="59">
        <v>3</v>
      </c>
      <c r="AO89" s="59">
        <v>0</v>
      </c>
      <c r="AP89" s="59">
        <v>23</v>
      </c>
      <c r="AQ89" s="59">
        <v>4</v>
      </c>
      <c r="AR89" s="59">
        <v>2</v>
      </c>
      <c r="AS89" s="59">
        <v>80</v>
      </c>
      <c r="AT89" s="59">
        <v>2</v>
      </c>
      <c r="AU89" s="59">
        <v>10</v>
      </c>
      <c r="AV89" s="59">
        <v>4</v>
      </c>
      <c r="AW89" s="59">
        <v>3</v>
      </c>
      <c r="AX89" s="59">
        <v>4</v>
      </c>
      <c r="AY89" s="59">
        <v>2</v>
      </c>
      <c r="AZ89" s="59">
        <v>0</v>
      </c>
      <c r="BA89" s="59">
        <v>3</v>
      </c>
      <c r="BB89" s="57">
        <f t="shared" si="37"/>
        <v>2075</v>
      </c>
      <c r="BD89" s="45">
        <f>_xll.StatCovariance( ST_StandardHours_45,ST_Age_1)</f>
        <v>0</v>
      </c>
    </row>
    <row r="90" spans="1:56" ht="15" customHeight="1" x14ac:dyDescent="0.25">
      <c r="A90" s="58">
        <v>30</v>
      </c>
      <c r="B90" s="59">
        <v>0</v>
      </c>
      <c r="C90" s="59">
        <v>1</v>
      </c>
      <c r="D90" s="59">
        <f t="shared" si="19"/>
        <v>1</v>
      </c>
      <c r="E90" s="59">
        <f t="shared" si="20"/>
        <v>0</v>
      </c>
      <c r="F90" s="59">
        <v>288</v>
      </c>
      <c r="G90" s="59">
        <v>2</v>
      </c>
      <c r="H90" s="59">
        <f t="shared" si="21"/>
        <v>0</v>
      </c>
      <c r="I90" s="59">
        <f t="shared" si="22"/>
        <v>1</v>
      </c>
      <c r="J90" s="59">
        <v>2</v>
      </c>
      <c r="K90" s="59">
        <v>3</v>
      </c>
      <c r="L90" s="59">
        <v>1</v>
      </c>
      <c r="M90" s="59">
        <f t="shared" si="23"/>
        <v>1</v>
      </c>
      <c r="N90" s="59">
        <f t="shared" si="24"/>
        <v>0</v>
      </c>
      <c r="O90" s="59">
        <f t="shared" si="25"/>
        <v>0</v>
      </c>
      <c r="P90" s="59">
        <f t="shared" si="26"/>
        <v>0</v>
      </c>
      <c r="Q90" s="59">
        <f t="shared" si="27"/>
        <v>0</v>
      </c>
      <c r="R90" s="59">
        <v>1</v>
      </c>
      <c r="S90" s="59">
        <v>117</v>
      </c>
      <c r="T90" s="59">
        <v>3</v>
      </c>
      <c r="U90" s="59">
        <v>1</v>
      </c>
      <c r="V90" s="59">
        <v>99</v>
      </c>
      <c r="W90" s="59">
        <v>2</v>
      </c>
      <c r="X90" s="59">
        <v>2</v>
      </c>
      <c r="Y90" s="59">
        <v>5</v>
      </c>
      <c r="Z90" s="59">
        <f t="shared" si="28"/>
        <v>0</v>
      </c>
      <c r="AA90" s="59">
        <f>IF('Updated Dummy'!Y90=2,1,0)</f>
        <v>0</v>
      </c>
      <c r="AB90" s="59">
        <f t="shared" si="29"/>
        <v>0</v>
      </c>
      <c r="AC90" s="59">
        <f t="shared" si="30"/>
        <v>0</v>
      </c>
      <c r="AD90" s="59">
        <f t="shared" si="31"/>
        <v>1</v>
      </c>
      <c r="AE90" s="59">
        <f t="shared" si="32"/>
        <v>0</v>
      </c>
      <c r="AF90" s="59">
        <f t="shared" si="33"/>
        <v>0</v>
      </c>
      <c r="AG90" s="59">
        <f t="shared" si="34"/>
        <v>0</v>
      </c>
      <c r="AH90" s="59">
        <v>4</v>
      </c>
      <c r="AI90" s="59">
        <v>2</v>
      </c>
      <c r="AJ90" s="59">
        <f t="shared" si="35"/>
        <v>0</v>
      </c>
      <c r="AK90" s="59">
        <f t="shared" si="36"/>
        <v>1</v>
      </c>
      <c r="AL90" s="59">
        <v>4152</v>
      </c>
      <c r="AM90" s="59">
        <v>15830</v>
      </c>
      <c r="AN90" s="59">
        <v>1</v>
      </c>
      <c r="AO90" s="59">
        <v>0</v>
      </c>
      <c r="AP90" s="59">
        <v>19</v>
      </c>
      <c r="AQ90" s="59">
        <v>3</v>
      </c>
      <c r="AR90" s="59">
        <v>1</v>
      </c>
      <c r="AS90" s="59">
        <v>80</v>
      </c>
      <c r="AT90" s="59">
        <v>3</v>
      </c>
      <c r="AU90" s="59">
        <v>11</v>
      </c>
      <c r="AV90" s="59">
        <v>3</v>
      </c>
      <c r="AW90" s="59">
        <v>3</v>
      </c>
      <c r="AX90" s="59">
        <v>11</v>
      </c>
      <c r="AY90" s="59">
        <v>10</v>
      </c>
      <c r="AZ90" s="59">
        <v>10</v>
      </c>
      <c r="BA90" s="59">
        <v>8</v>
      </c>
      <c r="BB90" s="57">
        <f t="shared" si="37"/>
        <v>8304</v>
      </c>
      <c r="BD90" s="45">
        <f>_xll.StatCovariance( ST_StockOptionLevel_46,ST_Age_1)</f>
        <v>0.29197704949917319</v>
      </c>
    </row>
    <row r="91" spans="1:56" ht="15" customHeight="1" x14ac:dyDescent="0.25">
      <c r="A91" s="58">
        <v>46</v>
      </c>
      <c r="B91" s="59">
        <v>1</v>
      </c>
      <c r="C91" s="59">
        <v>1</v>
      </c>
      <c r="D91" s="59">
        <f t="shared" si="19"/>
        <v>1</v>
      </c>
      <c r="E91" s="59">
        <f t="shared" si="20"/>
        <v>0</v>
      </c>
      <c r="F91" s="59">
        <v>669</v>
      </c>
      <c r="G91" s="59">
        <v>1</v>
      </c>
      <c r="H91" s="59">
        <f t="shared" si="21"/>
        <v>1</v>
      </c>
      <c r="I91" s="59">
        <f t="shared" si="22"/>
        <v>0</v>
      </c>
      <c r="J91" s="59">
        <v>9</v>
      </c>
      <c r="K91" s="59">
        <v>2</v>
      </c>
      <c r="L91" s="59">
        <v>3</v>
      </c>
      <c r="M91" s="59">
        <f t="shared" si="23"/>
        <v>0</v>
      </c>
      <c r="N91" s="59">
        <f t="shared" si="24"/>
        <v>0</v>
      </c>
      <c r="O91" s="59">
        <f t="shared" si="25"/>
        <v>1</v>
      </c>
      <c r="P91" s="59">
        <f t="shared" si="26"/>
        <v>0</v>
      </c>
      <c r="Q91" s="59">
        <f t="shared" si="27"/>
        <v>0</v>
      </c>
      <c r="R91" s="59">
        <v>1</v>
      </c>
      <c r="S91" s="59">
        <v>118</v>
      </c>
      <c r="T91" s="59">
        <v>3</v>
      </c>
      <c r="U91" s="59">
        <v>1</v>
      </c>
      <c r="V91" s="59">
        <v>64</v>
      </c>
      <c r="W91" s="59">
        <v>2</v>
      </c>
      <c r="X91" s="59">
        <v>3</v>
      </c>
      <c r="Y91" s="59">
        <v>1</v>
      </c>
      <c r="Z91" s="59">
        <f t="shared" si="28"/>
        <v>1</v>
      </c>
      <c r="AA91" s="59">
        <f>IF('Updated Dummy'!Y91=2,1,0)</f>
        <v>0</v>
      </c>
      <c r="AB91" s="59">
        <f t="shared" si="29"/>
        <v>0</v>
      </c>
      <c r="AC91" s="59">
        <f t="shared" si="30"/>
        <v>0</v>
      </c>
      <c r="AD91" s="59">
        <f t="shared" si="31"/>
        <v>0</v>
      </c>
      <c r="AE91" s="59">
        <f t="shared" si="32"/>
        <v>0</v>
      </c>
      <c r="AF91" s="59">
        <f t="shared" si="33"/>
        <v>0</v>
      </c>
      <c r="AG91" s="59">
        <f t="shared" si="34"/>
        <v>0</v>
      </c>
      <c r="AH91" s="59">
        <v>4</v>
      </c>
      <c r="AI91" s="59">
        <v>1</v>
      </c>
      <c r="AJ91" s="59">
        <f t="shared" si="35"/>
        <v>1</v>
      </c>
      <c r="AK91" s="59">
        <f t="shared" si="36"/>
        <v>0</v>
      </c>
      <c r="AL91" s="59">
        <v>9619</v>
      </c>
      <c r="AM91" s="59">
        <v>13596</v>
      </c>
      <c r="AN91" s="59">
        <v>1</v>
      </c>
      <c r="AO91" s="59">
        <v>0</v>
      </c>
      <c r="AP91" s="59">
        <v>16</v>
      </c>
      <c r="AQ91" s="59">
        <v>3</v>
      </c>
      <c r="AR91" s="59">
        <v>4</v>
      </c>
      <c r="AS91" s="59">
        <v>80</v>
      </c>
      <c r="AT91" s="59">
        <v>0</v>
      </c>
      <c r="AU91" s="59">
        <v>9</v>
      </c>
      <c r="AV91" s="59">
        <v>3</v>
      </c>
      <c r="AW91" s="59">
        <v>3</v>
      </c>
      <c r="AX91" s="59">
        <v>9</v>
      </c>
      <c r="AY91" s="59">
        <v>8</v>
      </c>
      <c r="AZ91" s="59">
        <v>4</v>
      </c>
      <c r="BA91" s="59">
        <v>7</v>
      </c>
      <c r="BB91" s="57">
        <f t="shared" si="37"/>
        <v>28857</v>
      </c>
      <c r="BD91" s="45">
        <f>_xll.StatCovariance( ST_TotalWorkingYears_47,ST_Age_1)</f>
        <v>48.361684333365858</v>
      </c>
    </row>
    <row r="92" spans="1:56" ht="15" customHeight="1" x14ac:dyDescent="0.25">
      <c r="A92" s="58">
        <v>40</v>
      </c>
      <c r="B92" s="59">
        <v>0</v>
      </c>
      <c r="C92" s="59">
        <v>2</v>
      </c>
      <c r="D92" s="59">
        <f t="shared" si="19"/>
        <v>0</v>
      </c>
      <c r="E92" s="59">
        <f t="shared" si="20"/>
        <v>1</v>
      </c>
      <c r="F92" s="59">
        <v>530</v>
      </c>
      <c r="G92" s="59">
        <v>2</v>
      </c>
      <c r="H92" s="59">
        <f t="shared" si="21"/>
        <v>0</v>
      </c>
      <c r="I92" s="59">
        <f t="shared" si="22"/>
        <v>1</v>
      </c>
      <c r="J92" s="59">
        <v>1</v>
      </c>
      <c r="K92" s="59">
        <v>4</v>
      </c>
      <c r="L92" s="59">
        <v>1</v>
      </c>
      <c r="M92" s="59">
        <f t="shared" si="23"/>
        <v>1</v>
      </c>
      <c r="N92" s="59">
        <f t="shared" si="24"/>
        <v>0</v>
      </c>
      <c r="O92" s="59">
        <f t="shared" si="25"/>
        <v>0</v>
      </c>
      <c r="P92" s="59">
        <f t="shared" si="26"/>
        <v>0</v>
      </c>
      <c r="Q92" s="59">
        <f t="shared" si="27"/>
        <v>0</v>
      </c>
      <c r="R92" s="59">
        <v>1</v>
      </c>
      <c r="S92" s="59">
        <v>119</v>
      </c>
      <c r="T92" s="59">
        <v>3</v>
      </c>
      <c r="U92" s="59">
        <v>1</v>
      </c>
      <c r="V92" s="59">
        <v>78</v>
      </c>
      <c r="W92" s="59">
        <v>2</v>
      </c>
      <c r="X92" s="59">
        <v>4</v>
      </c>
      <c r="Y92" s="59">
        <v>5</v>
      </c>
      <c r="Z92" s="59">
        <f t="shared" si="28"/>
        <v>0</v>
      </c>
      <c r="AA92" s="59">
        <f>IF('Updated Dummy'!Y92=2,1,0)</f>
        <v>0</v>
      </c>
      <c r="AB92" s="59">
        <f t="shared" si="29"/>
        <v>0</v>
      </c>
      <c r="AC92" s="59">
        <f t="shared" si="30"/>
        <v>0</v>
      </c>
      <c r="AD92" s="59">
        <f t="shared" si="31"/>
        <v>1</v>
      </c>
      <c r="AE92" s="59">
        <f t="shared" si="32"/>
        <v>0</v>
      </c>
      <c r="AF92" s="59">
        <f t="shared" si="33"/>
        <v>0</v>
      </c>
      <c r="AG92" s="59">
        <f t="shared" si="34"/>
        <v>0</v>
      </c>
      <c r="AH92" s="59">
        <v>2</v>
      </c>
      <c r="AI92" s="59">
        <v>2</v>
      </c>
      <c r="AJ92" s="59">
        <f t="shared" si="35"/>
        <v>0</v>
      </c>
      <c r="AK92" s="59">
        <f t="shared" si="36"/>
        <v>1</v>
      </c>
      <c r="AL92" s="59">
        <v>13503</v>
      </c>
      <c r="AM92" s="59">
        <v>14115</v>
      </c>
      <c r="AN92" s="59">
        <v>1</v>
      </c>
      <c r="AO92" s="59">
        <v>0</v>
      </c>
      <c r="AP92" s="59">
        <v>22</v>
      </c>
      <c r="AQ92" s="59">
        <v>4</v>
      </c>
      <c r="AR92" s="59">
        <v>4</v>
      </c>
      <c r="AS92" s="59">
        <v>80</v>
      </c>
      <c r="AT92" s="59">
        <v>1</v>
      </c>
      <c r="AU92" s="59">
        <v>22</v>
      </c>
      <c r="AV92" s="59">
        <v>3</v>
      </c>
      <c r="AW92" s="59">
        <v>2</v>
      </c>
      <c r="AX92" s="59">
        <v>22</v>
      </c>
      <c r="AY92" s="59">
        <v>3</v>
      </c>
      <c r="AZ92" s="59">
        <v>11</v>
      </c>
      <c r="BA92" s="59">
        <v>11</v>
      </c>
      <c r="BB92" s="57">
        <f t="shared" si="37"/>
        <v>54012</v>
      </c>
      <c r="BD92" s="45">
        <f>_xll.StatCovariance( ST_TrainingTimesLastYear_48,ST_Age_1)</f>
        <v>-0.23109339038542598</v>
      </c>
    </row>
    <row r="93" spans="1:56" ht="15" customHeight="1" x14ac:dyDescent="0.25">
      <c r="A93" s="58">
        <v>51</v>
      </c>
      <c r="B93" s="59">
        <v>0</v>
      </c>
      <c r="C93" s="59">
        <v>1</v>
      </c>
      <c r="D93" s="59">
        <f t="shared" si="19"/>
        <v>1</v>
      </c>
      <c r="E93" s="59">
        <f t="shared" si="20"/>
        <v>0</v>
      </c>
      <c r="F93" s="59">
        <v>632</v>
      </c>
      <c r="G93" s="59">
        <v>1</v>
      </c>
      <c r="H93" s="59">
        <f t="shared" si="21"/>
        <v>1</v>
      </c>
      <c r="I93" s="59">
        <f t="shared" si="22"/>
        <v>0</v>
      </c>
      <c r="J93" s="59">
        <v>21</v>
      </c>
      <c r="K93" s="59">
        <v>4</v>
      </c>
      <c r="L93" s="59">
        <v>4</v>
      </c>
      <c r="M93" s="59">
        <f t="shared" si="23"/>
        <v>0</v>
      </c>
      <c r="N93" s="59">
        <f t="shared" si="24"/>
        <v>0</v>
      </c>
      <c r="O93" s="59">
        <f t="shared" si="25"/>
        <v>0</v>
      </c>
      <c r="P93" s="59">
        <f t="shared" si="26"/>
        <v>1</v>
      </c>
      <c r="Q93" s="59">
        <f t="shared" si="27"/>
        <v>0</v>
      </c>
      <c r="R93" s="59">
        <v>1</v>
      </c>
      <c r="S93" s="59">
        <v>120</v>
      </c>
      <c r="T93" s="59">
        <v>3</v>
      </c>
      <c r="U93" s="59">
        <v>1</v>
      </c>
      <c r="V93" s="59">
        <v>71</v>
      </c>
      <c r="W93" s="59">
        <v>3</v>
      </c>
      <c r="X93" s="59">
        <v>2</v>
      </c>
      <c r="Y93" s="59">
        <v>1</v>
      </c>
      <c r="Z93" s="59">
        <f t="shared" si="28"/>
        <v>1</v>
      </c>
      <c r="AA93" s="59">
        <f>IF('Updated Dummy'!Y93=2,1,0)</f>
        <v>0</v>
      </c>
      <c r="AB93" s="59">
        <f t="shared" si="29"/>
        <v>0</v>
      </c>
      <c r="AC93" s="59">
        <f t="shared" si="30"/>
        <v>0</v>
      </c>
      <c r="AD93" s="59">
        <f t="shared" si="31"/>
        <v>0</v>
      </c>
      <c r="AE93" s="59">
        <f t="shared" si="32"/>
        <v>0</v>
      </c>
      <c r="AF93" s="59">
        <f t="shared" si="33"/>
        <v>0</v>
      </c>
      <c r="AG93" s="59">
        <f t="shared" si="34"/>
        <v>0</v>
      </c>
      <c r="AH93" s="59">
        <v>4</v>
      </c>
      <c r="AI93" s="59">
        <v>1</v>
      </c>
      <c r="AJ93" s="59">
        <f t="shared" si="35"/>
        <v>1</v>
      </c>
      <c r="AK93" s="59">
        <f t="shared" si="36"/>
        <v>0</v>
      </c>
      <c r="AL93" s="59">
        <v>5441</v>
      </c>
      <c r="AM93" s="59">
        <v>8423</v>
      </c>
      <c r="AN93" s="59">
        <v>0</v>
      </c>
      <c r="AO93" s="59">
        <v>1</v>
      </c>
      <c r="AP93" s="59">
        <v>22</v>
      </c>
      <c r="AQ93" s="59">
        <v>4</v>
      </c>
      <c r="AR93" s="59">
        <v>4</v>
      </c>
      <c r="AS93" s="59">
        <v>80</v>
      </c>
      <c r="AT93" s="59">
        <v>0</v>
      </c>
      <c r="AU93" s="59">
        <v>11</v>
      </c>
      <c r="AV93" s="59">
        <v>2</v>
      </c>
      <c r="AW93" s="59">
        <v>1</v>
      </c>
      <c r="AX93" s="59">
        <v>10</v>
      </c>
      <c r="AY93" s="59">
        <v>7</v>
      </c>
      <c r="AZ93" s="59">
        <v>1</v>
      </c>
      <c r="BA93" s="59">
        <v>0</v>
      </c>
      <c r="BB93" s="57">
        <f t="shared" si="37"/>
        <v>10882</v>
      </c>
      <c r="BD93" s="45">
        <f>_xll.StatCovariance( ST_WorkLifeBalance_49,ST_Age_1)</f>
        <v>-0.138694933385199</v>
      </c>
    </row>
    <row r="94" spans="1:56" ht="15" customHeight="1" x14ac:dyDescent="0.25">
      <c r="A94" s="58">
        <v>30</v>
      </c>
      <c r="B94" s="59">
        <v>0</v>
      </c>
      <c r="C94" s="59">
        <v>1</v>
      </c>
      <c r="D94" s="59">
        <f t="shared" si="19"/>
        <v>1</v>
      </c>
      <c r="E94" s="59">
        <f t="shared" si="20"/>
        <v>0</v>
      </c>
      <c r="F94" s="59">
        <v>1334</v>
      </c>
      <c r="G94" s="59">
        <v>1</v>
      </c>
      <c r="H94" s="59">
        <f t="shared" si="21"/>
        <v>1</v>
      </c>
      <c r="I94" s="59">
        <f t="shared" si="22"/>
        <v>0</v>
      </c>
      <c r="J94" s="59">
        <v>4</v>
      </c>
      <c r="K94" s="59">
        <v>2</v>
      </c>
      <c r="L94" s="59">
        <v>3</v>
      </c>
      <c r="M94" s="59">
        <f t="shared" si="23"/>
        <v>0</v>
      </c>
      <c r="N94" s="59">
        <f t="shared" si="24"/>
        <v>0</v>
      </c>
      <c r="O94" s="59">
        <f t="shared" si="25"/>
        <v>1</v>
      </c>
      <c r="P94" s="59">
        <f t="shared" si="26"/>
        <v>0</v>
      </c>
      <c r="Q94" s="59">
        <f t="shared" si="27"/>
        <v>0</v>
      </c>
      <c r="R94" s="59">
        <v>1</v>
      </c>
      <c r="S94" s="59">
        <v>121</v>
      </c>
      <c r="T94" s="59">
        <v>3</v>
      </c>
      <c r="U94" s="59">
        <v>0</v>
      </c>
      <c r="V94" s="59">
        <v>63</v>
      </c>
      <c r="W94" s="59">
        <v>2</v>
      </c>
      <c r="X94" s="59">
        <v>2</v>
      </c>
      <c r="Y94" s="59">
        <v>1</v>
      </c>
      <c r="Z94" s="59">
        <f t="shared" si="28"/>
        <v>1</v>
      </c>
      <c r="AA94" s="59">
        <f>IF('Updated Dummy'!Y94=2,1,0)</f>
        <v>0</v>
      </c>
      <c r="AB94" s="59">
        <f t="shared" si="29"/>
        <v>0</v>
      </c>
      <c r="AC94" s="59">
        <f t="shared" si="30"/>
        <v>0</v>
      </c>
      <c r="AD94" s="59">
        <f t="shared" si="31"/>
        <v>0</v>
      </c>
      <c r="AE94" s="59">
        <f t="shared" si="32"/>
        <v>0</v>
      </c>
      <c r="AF94" s="59">
        <f t="shared" si="33"/>
        <v>0</v>
      </c>
      <c r="AG94" s="59">
        <f t="shared" si="34"/>
        <v>0</v>
      </c>
      <c r="AH94" s="59">
        <v>2</v>
      </c>
      <c r="AI94" s="59">
        <v>3</v>
      </c>
      <c r="AJ94" s="59">
        <f t="shared" si="35"/>
        <v>0</v>
      </c>
      <c r="AK94" s="59">
        <f t="shared" si="36"/>
        <v>0</v>
      </c>
      <c r="AL94" s="59">
        <v>5209</v>
      </c>
      <c r="AM94" s="59">
        <v>19760</v>
      </c>
      <c r="AN94" s="59">
        <v>1</v>
      </c>
      <c r="AO94" s="59">
        <v>1</v>
      </c>
      <c r="AP94" s="59">
        <v>12</v>
      </c>
      <c r="AQ94" s="59">
        <v>3</v>
      </c>
      <c r="AR94" s="59">
        <v>2</v>
      </c>
      <c r="AS94" s="59">
        <v>80</v>
      </c>
      <c r="AT94" s="59">
        <v>3</v>
      </c>
      <c r="AU94" s="59">
        <v>11</v>
      </c>
      <c r="AV94" s="59">
        <v>4</v>
      </c>
      <c r="AW94" s="59">
        <v>2</v>
      </c>
      <c r="AX94" s="59">
        <v>11</v>
      </c>
      <c r="AY94" s="59">
        <v>8</v>
      </c>
      <c r="AZ94" s="59">
        <v>2</v>
      </c>
      <c r="BA94" s="59">
        <v>7</v>
      </c>
      <c r="BB94" s="57">
        <f t="shared" si="37"/>
        <v>10418</v>
      </c>
      <c r="BD94" s="45">
        <f>_xll.StatCovariance( ST_YearsAtCompany_50,ST_Age_1)</f>
        <v>17.423358941943043</v>
      </c>
    </row>
    <row r="95" spans="1:56" ht="15" customHeight="1" x14ac:dyDescent="0.25">
      <c r="A95" s="58">
        <v>46</v>
      </c>
      <c r="B95" s="59">
        <v>0</v>
      </c>
      <c r="C95" s="59">
        <v>2</v>
      </c>
      <c r="D95" s="59">
        <f t="shared" si="19"/>
        <v>0</v>
      </c>
      <c r="E95" s="59">
        <f t="shared" si="20"/>
        <v>1</v>
      </c>
      <c r="F95" s="59">
        <v>638</v>
      </c>
      <c r="G95" s="59">
        <v>2</v>
      </c>
      <c r="H95" s="59">
        <f t="shared" si="21"/>
        <v>0</v>
      </c>
      <c r="I95" s="59">
        <f t="shared" si="22"/>
        <v>1</v>
      </c>
      <c r="J95" s="59">
        <v>1</v>
      </c>
      <c r="K95" s="59">
        <v>3</v>
      </c>
      <c r="L95" s="59">
        <v>3</v>
      </c>
      <c r="M95" s="59">
        <f t="shared" si="23"/>
        <v>0</v>
      </c>
      <c r="N95" s="59">
        <f t="shared" si="24"/>
        <v>0</v>
      </c>
      <c r="O95" s="59">
        <f t="shared" si="25"/>
        <v>1</v>
      </c>
      <c r="P95" s="59">
        <f t="shared" si="26"/>
        <v>0</v>
      </c>
      <c r="Q95" s="59">
        <f t="shared" si="27"/>
        <v>0</v>
      </c>
      <c r="R95" s="59">
        <v>1</v>
      </c>
      <c r="S95" s="59">
        <v>124</v>
      </c>
      <c r="T95" s="59">
        <v>3</v>
      </c>
      <c r="U95" s="59">
        <v>1</v>
      </c>
      <c r="V95" s="59">
        <v>40</v>
      </c>
      <c r="W95" s="59">
        <v>2</v>
      </c>
      <c r="X95" s="59">
        <v>3</v>
      </c>
      <c r="Y95" s="59">
        <v>5</v>
      </c>
      <c r="Z95" s="59">
        <f t="shared" si="28"/>
        <v>0</v>
      </c>
      <c r="AA95" s="59">
        <f>IF('Updated Dummy'!Y95=2,1,0)</f>
        <v>0</v>
      </c>
      <c r="AB95" s="59">
        <f t="shared" si="29"/>
        <v>0</v>
      </c>
      <c r="AC95" s="59">
        <f t="shared" si="30"/>
        <v>0</v>
      </c>
      <c r="AD95" s="59">
        <f t="shared" si="31"/>
        <v>1</v>
      </c>
      <c r="AE95" s="59">
        <f t="shared" si="32"/>
        <v>0</v>
      </c>
      <c r="AF95" s="59">
        <f t="shared" si="33"/>
        <v>0</v>
      </c>
      <c r="AG95" s="59">
        <f t="shared" si="34"/>
        <v>0</v>
      </c>
      <c r="AH95" s="59">
        <v>1</v>
      </c>
      <c r="AI95" s="59">
        <v>2</v>
      </c>
      <c r="AJ95" s="59">
        <f t="shared" si="35"/>
        <v>0</v>
      </c>
      <c r="AK95" s="59">
        <f t="shared" si="36"/>
        <v>1</v>
      </c>
      <c r="AL95" s="59">
        <v>10673</v>
      </c>
      <c r="AM95" s="59">
        <v>3142</v>
      </c>
      <c r="AN95" s="59">
        <v>2</v>
      </c>
      <c r="AO95" s="59">
        <v>1</v>
      </c>
      <c r="AP95" s="59">
        <v>13</v>
      </c>
      <c r="AQ95" s="59">
        <v>3</v>
      </c>
      <c r="AR95" s="59">
        <v>3</v>
      </c>
      <c r="AS95" s="59">
        <v>80</v>
      </c>
      <c r="AT95" s="59">
        <v>1</v>
      </c>
      <c r="AU95" s="59">
        <v>21</v>
      </c>
      <c r="AV95" s="59">
        <v>5</v>
      </c>
      <c r="AW95" s="59">
        <v>2</v>
      </c>
      <c r="AX95" s="59">
        <v>10</v>
      </c>
      <c r="AY95" s="59">
        <v>9</v>
      </c>
      <c r="AZ95" s="59">
        <v>9</v>
      </c>
      <c r="BA95" s="59">
        <v>5</v>
      </c>
      <c r="BB95" s="57">
        <f t="shared" si="37"/>
        <v>32019</v>
      </c>
      <c r="BD95" s="45">
        <f>_xll.StatCovariance( ST_YearsInCurrentRole_51,ST_Age_1)</f>
        <v>7.0467502998476395</v>
      </c>
    </row>
    <row r="96" spans="1:56" ht="15" customHeight="1" x14ac:dyDescent="0.25">
      <c r="A96" s="58">
        <v>32</v>
      </c>
      <c r="B96" s="59">
        <v>0</v>
      </c>
      <c r="C96" s="59">
        <v>1</v>
      </c>
      <c r="D96" s="59">
        <f t="shared" si="19"/>
        <v>1</v>
      </c>
      <c r="E96" s="59">
        <f t="shared" si="20"/>
        <v>0</v>
      </c>
      <c r="F96" s="59">
        <v>1093</v>
      </c>
      <c r="G96" s="59">
        <v>1</v>
      </c>
      <c r="H96" s="59">
        <f t="shared" si="21"/>
        <v>1</v>
      </c>
      <c r="I96" s="59">
        <f t="shared" si="22"/>
        <v>0</v>
      </c>
      <c r="J96" s="59">
        <v>6</v>
      </c>
      <c r="K96" s="59">
        <v>4</v>
      </c>
      <c r="L96" s="59">
        <v>3</v>
      </c>
      <c r="M96" s="59">
        <f t="shared" si="23"/>
        <v>0</v>
      </c>
      <c r="N96" s="59">
        <f t="shared" si="24"/>
        <v>0</v>
      </c>
      <c r="O96" s="59">
        <f t="shared" si="25"/>
        <v>1</v>
      </c>
      <c r="P96" s="59">
        <f t="shared" si="26"/>
        <v>0</v>
      </c>
      <c r="Q96" s="59">
        <f t="shared" si="27"/>
        <v>0</v>
      </c>
      <c r="R96" s="59">
        <v>1</v>
      </c>
      <c r="S96" s="59">
        <v>125</v>
      </c>
      <c r="T96" s="59">
        <v>2</v>
      </c>
      <c r="U96" s="59">
        <v>1</v>
      </c>
      <c r="V96" s="59">
        <v>87</v>
      </c>
      <c r="W96" s="59">
        <v>3</v>
      </c>
      <c r="X96" s="59">
        <v>2</v>
      </c>
      <c r="Y96" s="59">
        <v>1</v>
      </c>
      <c r="Z96" s="59">
        <f t="shared" si="28"/>
        <v>1</v>
      </c>
      <c r="AA96" s="59">
        <f>IF('Updated Dummy'!Y96=2,1,0)</f>
        <v>0</v>
      </c>
      <c r="AB96" s="59">
        <f t="shared" si="29"/>
        <v>0</v>
      </c>
      <c r="AC96" s="59">
        <f t="shared" si="30"/>
        <v>0</v>
      </c>
      <c r="AD96" s="59">
        <f t="shared" si="31"/>
        <v>0</v>
      </c>
      <c r="AE96" s="59">
        <f t="shared" si="32"/>
        <v>0</v>
      </c>
      <c r="AF96" s="59">
        <f t="shared" si="33"/>
        <v>0</v>
      </c>
      <c r="AG96" s="59">
        <f t="shared" si="34"/>
        <v>0</v>
      </c>
      <c r="AH96" s="59">
        <v>3</v>
      </c>
      <c r="AI96" s="59">
        <v>1</v>
      </c>
      <c r="AJ96" s="59">
        <f t="shared" si="35"/>
        <v>1</v>
      </c>
      <c r="AK96" s="59">
        <f t="shared" si="36"/>
        <v>0</v>
      </c>
      <c r="AL96" s="59">
        <v>5010</v>
      </c>
      <c r="AM96" s="59">
        <v>24301</v>
      </c>
      <c r="AN96" s="59">
        <v>1</v>
      </c>
      <c r="AO96" s="59">
        <v>0</v>
      </c>
      <c r="AP96" s="59">
        <v>16</v>
      </c>
      <c r="AQ96" s="59">
        <v>3</v>
      </c>
      <c r="AR96" s="59">
        <v>1</v>
      </c>
      <c r="AS96" s="59">
        <v>80</v>
      </c>
      <c r="AT96" s="59">
        <v>0</v>
      </c>
      <c r="AU96" s="59">
        <v>12</v>
      </c>
      <c r="AV96" s="59">
        <v>0</v>
      </c>
      <c r="AW96" s="59">
        <v>3</v>
      </c>
      <c r="AX96" s="59">
        <v>11</v>
      </c>
      <c r="AY96" s="59">
        <v>8</v>
      </c>
      <c r="AZ96" s="59">
        <v>5</v>
      </c>
      <c r="BA96" s="59">
        <v>7</v>
      </c>
      <c r="BB96" s="57">
        <f t="shared" si="37"/>
        <v>10020</v>
      </c>
      <c r="BD96" s="45">
        <f>_xll.StatCovariance( ST_YearsSinceLastPromotion_52,ST_Age_1)</f>
        <v>6.3737430710882146</v>
      </c>
    </row>
    <row r="97" spans="1:56" ht="15" customHeight="1" x14ac:dyDescent="0.25">
      <c r="A97" s="58">
        <v>54</v>
      </c>
      <c r="B97" s="59">
        <v>0</v>
      </c>
      <c r="C97" s="59">
        <v>1</v>
      </c>
      <c r="D97" s="59">
        <f t="shared" si="19"/>
        <v>1</v>
      </c>
      <c r="E97" s="59">
        <f t="shared" si="20"/>
        <v>0</v>
      </c>
      <c r="F97" s="59">
        <v>1217</v>
      </c>
      <c r="G97" s="59">
        <v>2</v>
      </c>
      <c r="H97" s="59">
        <f t="shared" si="21"/>
        <v>0</v>
      </c>
      <c r="I97" s="59">
        <f t="shared" si="22"/>
        <v>1</v>
      </c>
      <c r="J97" s="59">
        <v>2</v>
      </c>
      <c r="K97" s="59">
        <v>4</v>
      </c>
      <c r="L97" s="59">
        <v>5</v>
      </c>
      <c r="M97" s="59">
        <f t="shared" si="23"/>
        <v>0</v>
      </c>
      <c r="N97" s="59">
        <f t="shared" si="24"/>
        <v>0</v>
      </c>
      <c r="O97" s="59">
        <f t="shared" si="25"/>
        <v>0</v>
      </c>
      <c r="P97" s="59">
        <f t="shared" si="26"/>
        <v>0</v>
      </c>
      <c r="Q97" s="59">
        <f t="shared" si="27"/>
        <v>1</v>
      </c>
      <c r="R97" s="59">
        <v>1</v>
      </c>
      <c r="S97" s="59">
        <v>126</v>
      </c>
      <c r="T97" s="59">
        <v>1</v>
      </c>
      <c r="U97" s="59">
        <v>0</v>
      </c>
      <c r="V97" s="59">
        <v>60</v>
      </c>
      <c r="W97" s="59">
        <v>3</v>
      </c>
      <c r="X97" s="59">
        <v>3</v>
      </c>
      <c r="Y97" s="59">
        <v>8</v>
      </c>
      <c r="Z97" s="59">
        <f t="shared" si="28"/>
        <v>0</v>
      </c>
      <c r="AA97" s="59">
        <f>IF('Updated Dummy'!Y97=2,1,0)</f>
        <v>0</v>
      </c>
      <c r="AB97" s="59">
        <f t="shared" si="29"/>
        <v>0</v>
      </c>
      <c r="AC97" s="59">
        <f t="shared" si="30"/>
        <v>0</v>
      </c>
      <c r="AD97" s="59">
        <f t="shared" si="31"/>
        <v>0</v>
      </c>
      <c r="AE97" s="59">
        <f t="shared" si="32"/>
        <v>0</v>
      </c>
      <c r="AF97" s="59">
        <f t="shared" si="33"/>
        <v>0</v>
      </c>
      <c r="AG97" s="59">
        <f t="shared" si="34"/>
        <v>1</v>
      </c>
      <c r="AH97" s="59">
        <v>3</v>
      </c>
      <c r="AI97" s="59">
        <v>2</v>
      </c>
      <c r="AJ97" s="59">
        <f t="shared" si="35"/>
        <v>0</v>
      </c>
      <c r="AK97" s="59">
        <f t="shared" si="36"/>
        <v>1</v>
      </c>
      <c r="AL97" s="59">
        <v>13549</v>
      </c>
      <c r="AM97" s="59">
        <v>24001</v>
      </c>
      <c r="AN97" s="59">
        <v>9</v>
      </c>
      <c r="AO97" s="59">
        <v>0</v>
      </c>
      <c r="AP97" s="59">
        <v>12</v>
      </c>
      <c r="AQ97" s="59">
        <v>3</v>
      </c>
      <c r="AR97" s="59">
        <v>1</v>
      </c>
      <c r="AS97" s="59">
        <v>80</v>
      </c>
      <c r="AT97" s="59">
        <v>1</v>
      </c>
      <c r="AU97" s="59">
        <v>16</v>
      </c>
      <c r="AV97" s="59">
        <v>5</v>
      </c>
      <c r="AW97" s="59">
        <v>1</v>
      </c>
      <c r="AX97" s="59">
        <v>4</v>
      </c>
      <c r="AY97" s="59">
        <v>3</v>
      </c>
      <c r="AZ97" s="59">
        <v>0</v>
      </c>
      <c r="BA97" s="59">
        <v>3</v>
      </c>
      <c r="BB97" s="57">
        <f t="shared" si="37"/>
        <v>40647</v>
      </c>
      <c r="BD97" s="45">
        <f>_xll.StatCovariance( ST_YearsWithCurrManager_53,ST_Age_1)</f>
        <v>6.5873318421991094</v>
      </c>
    </row>
    <row r="98" spans="1:56" x14ac:dyDescent="0.25">
      <c r="A98" s="58">
        <v>24</v>
      </c>
      <c r="B98" s="59">
        <v>0</v>
      </c>
      <c r="C98" s="59">
        <v>1</v>
      </c>
      <c r="D98" s="59">
        <f t="shared" si="19"/>
        <v>1</v>
      </c>
      <c r="E98" s="59">
        <f t="shared" si="20"/>
        <v>0</v>
      </c>
      <c r="F98" s="59">
        <v>1353</v>
      </c>
      <c r="G98" s="59">
        <v>1</v>
      </c>
      <c r="H98" s="59">
        <f t="shared" si="21"/>
        <v>1</v>
      </c>
      <c r="I98" s="59">
        <f t="shared" si="22"/>
        <v>0</v>
      </c>
      <c r="J98" s="59">
        <v>3</v>
      </c>
      <c r="K98" s="59">
        <v>2</v>
      </c>
      <c r="L98" s="59">
        <v>6</v>
      </c>
      <c r="M98" s="59">
        <f t="shared" si="23"/>
        <v>0</v>
      </c>
      <c r="N98" s="59">
        <f t="shared" si="24"/>
        <v>0</v>
      </c>
      <c r="O98" s="59">
        <f t="shared" si="25"/>
        <v>0</v>
      </c>
      <c r="P98" s="59">
        <f t="shared" si="26"/>
        <v>0</v>
      </c>
      <c r="Q98" s="59">
        <f t="shared" si="27"/>
        <v>0</v>
      </c>
      <c r="R98" s="59">
        <v>1</v>
      </c>
      <c r="S98" s="59">
        <v>128</v>
      </c>
      <c r="T98" s="59">
        <v>1</v>
      </c>
      <c r="U98" s="59">
        <v>0</v>
      </c>
      <c r="V98" s="59">
        <v>33</v>
      </c>
      <c r="W98" s="59">
        <v>3</v>
      </c>
      <c r="X98" s="59">
        <v>2</v>
      </c>
      <c r="Y98" s="59">
        <v>1</v>
      </c>
      <c r="Z98" s="59">
        <f t="shared" si="28"/>
        <v>1</v>
      </c>
      <c r="AA98" s="59">
        <f>IF('Updated Dummy'!Y98=2,1,0)</f>
        <v>0</v>
      </c>
      <c r="AB98" s="59">
        <f t="shared" si="29"/>
        <v>0</v>
      </c>
      <c r="AC98" s="59">
        <f t="shared" si="30"/>
        <v>0</v>
      </c>
      <c r="AD98" s="59">
        <f t="shared" si="31"/>
        <v>0</v>
      </c>
      <c r="AE98" s="59">
        <f t="shared" si="32"/>
        <v>0</v>
      </c>
      <c r="AF98" s="59">
        <f t="shared" si="33"/>
        <v>0</v>
      </c>
      <c r="AG98" s="59">
        <f t="shared" si="34"/>
        <v>0</v>
      </c>
      <c r="AH98" s="59">
        <v>3</v>
      </c>
      <c r="AI98" s="59">
        <v>2</v>
      </c>
      <c r="AJ98" s="59">
        <f t="shared" si="35"/>
        <v>0</v>
      </c>
      <c r="AK98" s="59">
        <f t="shared" si="36"/>
        <v>1</v>
      </c>
      <c r="AL98" s="59">
        <v>4999</v>
      </c>
      <c r="AM98" s="59">
        <v>17519</v>
      </c>
      <c r="AN98" s="59">
        <v>0</v>
      </c>
      <c r="AO98" s="59">
        <v>0</v>
      </c>
      <c r="AP98" s="59">
        <v>21</v>
      </c>
      <c r="AQ98" s="59">
        <v>4</v>
      </c>
      <c r="AR98" s="59">
        <v>1</v>
      </c>
      <c r="AS98" s="59">
        <v>80</v>
      </c>
      <c r="AT98" s="59">
        <v>1</v>
      </c>
      <c r="AU98" s="59">
        <v>4</v>
      </c>
      <c r="AV98" s="59">
        <v>2</v>
      </c>
      <c r="AW98" s="59">
        <v>2</v>
      </c>
      <c r="AX98" s="59">
        <v>3</v>
      </c>
      <c r="AY98" s="59">
        <v>2</v>
      </c>
      <c r="AZ98" s="59">
        <v>0</v>
      </c>
      <c r="BA98" s="59">
        <v>2</v>
      </c>
      <c r="BB98" s="57">
        <f t="shared" si="37"/>
        <v>9998</v>
      </c>
    </row>
    <row r="99" spans="1:56" x14ac:dyDescent="0.25">
      <c r="A99" s="58">
        <v>28</v>
      </c>
      <c r="B99" s="59">
        <v>0</v>
      </c>
      <c r="C99" s="59">
        <v>3</v>
      </c>
      <c r="D99" s="59">
        <f t="shared" si="19"/>
        <v>0</v>
      </c>
      <c r="E99" s="59">
        <f t="shared" si="20"/>
        <v>0</v>
      </c>
      <c r="F99" s="59">
        <v>120</v>
      </c>
      <c r="G99" s="59">
        <v>1</v>
      </c>
      <c r="H99" s="59">
        <f t="shared" si="21"/>
        <v>1</v>
      </c>
      <c r="I99" s="59">
        <f t="shared" si="22"/>
        <v>0</v>
      </c>
      <c r="J99" s="59">
        <v>4</v>
      </c>
      <c r="K99" s="59">
        <v>3</v>
      </c>
      <c r="L99" s="59">
        <v>3</v>
      </c>
      <c r="M99" s="59">
        <f t="shared" si="23"/>
        <v>0</v>
      </c>
      <c r="N99" s="59">
        <f t="shared" si="24"/>
        <v>0</v>
      </c>
      <c r="O99" s="59">
        <f t="shared" si="25"/>
        <v>1</v>
      </c>
      <c r="P99" s="59">
        <f t="shared" si="26"/>
        <v>0</v>
      </c>
      <c r="Q99" s="59">
        <f t="shared" si="27"/>
        <v>0</v>
      </c>
      <c r="R99" s="59">
        <v>1</v>
      </c>
      <c r="S99" s="59">
        <v>129</v>
      </c>
      <c r="T99" s="59">
        <v>2</v>
      </c>
      <c r="U99" s="59">
        <v>1</v>
      </c>
      <c r="V99" s="59">
        <v>43</v>
      </c>
      <c r="W99" s="59">
        <v>3</v>
      </c>
      <c r="X99" s="59">
        <v>2</v>
      </c>
      <c r="Y99" s="59">
        <v>1</v>
      </c>
      <c r="Z99" s="59">
        <f t="shared" si="28"/>
        <v>1</v>
      </c>
      <c r="AA99" s="59">
        <f>IF('Updated Dummy'!Y99=2,1,0)</f>
        <v>0</v>
      </c>
      <c r="AB99" s="59">
        <f t="shared" si="29"/>
        <v>0</v>
      </c>
      <c r="AC99" s="59">
        <f t="shared" si="30"/>
        <v>0</v>
      </c>
      <c r="AD99" s="59">
        <f t="shared" si="31"/>
        <v>0</v>
      </c>
      <c r="AE99" s="59">
        <f t="shared" si="32"/>
        <v>0</v>
      </c>
      <c r="AF99" s="59">
        <f t="shared" si="33"/>
        <v>0</v>
      </c>
      <c r="AG99" s="59">
        <f t="shared" si="34"/>
        <v>0</v>
      </c>
      <c r="AH99" s="59">
        <v>3</v>
      </c>
      <c r="AI99" s="59">
        <v>2</v>
      </c>
      <c r="AJ99" s="59">
        <f t="shared" si="35"/>
        <v>0</v>
      </c>
      <c r="AK99" s="59">
        <f t="shared" si="36"/>
        <v>1</v>
      </c>
      <c r="AL99" s="59">
        <v>4221</v>
      </c>
      <c r="AM99" s="59">
        <v>8863</v>
      </c>
      <c r="AN99" s="59">
        <v>1</v>
      </c>
      <c r="AO99" s="59">
        <v>0</v>
      </c>
      <c r="AP99" s="59">
        <v>15</v>
      </c>
      <c r="AQ99" s="59">
        <v>3</v>
      </c>
      <c r="AR99" s="59">
        <v>2</v>
      </c>
      <c r="AS99" s="59">
        <v>80</v>
      </c>
      <c r="AT99" s="59">
        <v>0</v>
      </c>
      <c r="AU99" s="59">
        <v>5</v>
      </c>
      <c r="AV99" s="59">
        <v>3</v>
      </c>
      <c r="AW99" s="59">
        <v>4</v>
      </c>
      <c r="AX99" s="59">
        <v>5</v>
      </c>
      <c r="AY99" s="59">
        <v>4</v>
      </c>
      <c r="AZ99" s="59">
        <v>0</v>
      </c>
      <c r="BA99" s="59">
        <v>4</v>
      </c>
      <c r="BB99" s="57">
        <f t="shared" si="37"/>
        <v>8442</v>
      </c>
    </row>
    <row r="100" spans="1:56" x14ac:dyDescent="0.25">
      <c r="A100" s="58">
        <v>58</v>
      </c>
      <c r="B100" s="59">
        <v>0</v>
      </c>
      <c r="C100" s="59">
        <v>1</v>
      </c>
      <c r="D100" s="59">
        <f t="shared" si="19"/>
        <v>1</v>
      </c>
      <c r="E100" s="59">
        <f t="shared" si="20"/>
        <v>0</v>
      </c>
      <c r="F100" s="59">
        <v>682</v>
      </c>
      <c r="G100" s="59">
        <v>1</v>
      </c>
      <c r="H100" s="59">
        <f t="shared" si="21"/>
        <v>1</v>
      </c>
      <c r="I100" s="59">
        <f t="shared" si="22"/>
        <v>0</v>
      </c>
      <c r="J100" s="59">
        <v>10</v>
      </c>
      <c r="K100" s="59">
        <v>4</v>
      </c>
      <c r="L100" s="59">
        <v>3</v>
      </c>
      <c r="M100" s="59">
        <f t="shared" si="23"/>
        <v>0</v>
      </c>
      <c r="N100" s="59">
        <f t="shared" si="24"/>
        <v>0</v>
      </c>
      <c r="O100" s="59">
        <f t="shared" si="25"/>
        <v>1</v>
      </c>
      <c r="P100" s="59">
        <f t="shared" si="26"/>
        <v>0</v>
      </c>
      <c r="Q100" s="59">
        <f t="shared" si="27"/>
        <v>0</v>
      </c>
      <c r="R100" s="59">
        <v>1</v>
      </c>
      <c r="S100" s="59">
        <v>131</v>
      </c>
      <c r="T100" s="59">
        <v>4</v>
      </c>
      <c r="U100" s="59">
        <v>1</v>
      </c>
      <c r="V100" s="59">
        <v>37</v>
      </c>
      <c r="W100" s="59">
        <v>3</v>
      </c>
      <c r="X100" s="59">
        <v>4</v>
      </c>
      <c r="Y100" s="59">
        <v>1</v>
      </c>
      <c r="Z100" s="59">
        <f t="shared" si="28"/>
        <v>1</v>
      </c>
      <c r="AA100" s="59">
        <f>IF('Updated Dummy'!Y100=2,1,0)</f>
        <v>0</v>
      </c>
      <c r="AB100" s="59">
        <f t="shared" si="29"/>
        <v>0</v>
      </c>
      <c r="AC100" s="59">
        <f t="shared" si="30"/>
        <v>0</v>
      </c>
      <c r="AD100" s="59">
        <f t="shared" si="31"/>
        <v>0</v>
      </c>
      <c r="AE100" s="59">
        <f t="shared" si="32"/>
        <v>0</v>
      </c>
      <c r="AF100" s="59">
        <f t="shared" si="33"/>
        <v>0</v>
      </c>
      <c r="AG100" s="59">
        <f t="shared" si="34"/>
        <v>0</v>
      </c>
      <c r="AH100" s="59">
        <v>3</v>
      </c>
      <c r="AI100" s="59">
        <v>1</v>
      </c>
      <c r="AJ100" s="59">
        <f t="shared" si="35"/>
        <v>1</v>
      </c>
      <c r="AK100" s="59">
        <f t="shared" si="36"/>
        <v>0</v>
      </c>
      <c r="AL100" s="59">
        <v>13872</v>
      </c>
      <c r="AM100" s="59">
        <v>24409</v>
      </c>
      <c r="AN100" s="59">
        <v>0</v>
      </c>
      <c r="AO100" s="59">
        <v>0</v>
      </c>
      <c r="AP100" s="59">
        <v>13</v>
      </c>
      <c r="AQ100" s="59">
        <v>3</v>
      </c>
      <c r="AR100" s="59">
        <v>3</v>
      </c>
      <c r="AS100" s="59">
        <v>80</v>
      </c>
      <c r="AT100" s="59">
        <v>0</v>
      </c>
      <c r="AU100" s="59">
        <v>38</v>
      </c>
      <c r="AV100" s="59">
        <v>1</v>
      </c>
      <c r="AW100" s="59">
        <v>2</v>
      </c>
      <c r="AX100" s="59">
        <v>37</v>
      </c>
      <c r="AY100" s="59">
        <v>10</v>
      </c>
      <c r="AZ100" s="59">
        <v>1</v>
      </c>
      <c r="BA100" s="59">
        <v>8</v>
      </c>
      <c r="BB100" s="57">
        <f t="shared" si="37"/>
        <v>55488</v>
      </c>
    </row>
    <row r="101" spans="1:56" x14ac:dyDescent="0.25">
      <c r="A101" s="58">
        <v>44</v>
      </c>
      <c r="B101" s="59">
        <v>0</v>
      </c>
      <c r="C101" s="59">
        <v>3</v>
      </c>
      <c r="D101" s="59">
        <f t="shared" si="19"/>
        <v>0</v>
      </c>
      <c r="E101" s="59">
        <f t="shared" si="20"/>
        <v>0</v>
      </c>
      <c r="F101" s="59">
        <v>489</v>
      </c>
      <c r="G101" s="59">
        <v>2</v>
      </c>
      <c r="H101" s="59">
        <f t="shared" si="21"/>
        <v>0</v>
      </c>
      <c r="I101" s="59">
        <f t="shared" si="22"/>
        <v>1</v>
      </c>
      <c r="J101" s="59">
        <v>23</v>
      </c>
      <c r="K101" s="59">
        <v>3</v>
      </c>
      <c r="L101" s="59">
        <v>3</v>
      </c>
      <c r="M101" s="59">
        <f t="shared" si="23"/>
        <v>0</v>
      </c>
      <c r="N101" s="59">
        <f t="shared" si="24"/>
        <v>0</v>
      </c>
      <c r="O101" s="59">
        <f t="shared" si="25"/>
        <v>1</v>
      </c>
      <c r="P101" s="59">
        <f t="shared" si="26"/>
        <v>0</v>
      </c>
      <c r="Q101" s="59">
        <f t="shared" si="27"/>
        <v>0</v>
      </c>
      <c r="R101" s="59">
        <v>1</v>
      </c>
      <c r="S101" s="59">
        <v>132</v>
      </c>
      <c r="T101" s="59">
        <v>2</v>
      </c>
      <c r="U101" s="59">
        <v>1</v>
      </c>
      <c r="V101" s="59">
        <v>67</v>
      </c>
      <c r="W101" s="59">
        <v>3</v>
      </c>
      <c r="X101" s="59">
        <v>2</v>
      </c>
      <c r="Y101" s="59">
        <v>3</v>
      </c>
      <c r="Z101" s="59">
        <f t="shared" si="28"/>
        <v>0</v>
      </c>
      <c r="AA101" s="59">
        <f>IF('Updated Dummy'!Y101=2,1,0)</f>
        <v>0</v>
      </c>
      <c r="AB101" s="59">
        <f t="shared" si="29"/>
        <v>1</v>
      </c>
      <c r="AC101" s="59">
        <f t="shared" si="30"/>
        <v>0</v>
      </c>
      <c r="AD101" s="59">
        <f t="shared" si="31"/>
        <v>0</v>
      </c>
      <c r="AE101" s="59">
        <f t="shared" si="32"/>
        <v>0</v>
      </c>
      <c r="AF101" s="59">
        <f t="shared" si="33"/>
        <v>0</v>
      </c>
      <c r="AG101" s="59">
        <f t="shared" si="34"/>
        <v>0</v>
      </c>
      <c r="AH101" s="59">
        <v>2</v>
      </c>
      <c r="AI101" s="59">
        <v>2</v>
      </c>
      <c r="AJ101" s="59">
        <f t="shared" si="35"/>
        <v>0</v>
      </c>
      <c r="AK101" s="59">
        <f t="shared" si="36"/>
        <v>1</v>
      </c>
      <c r="AL101" s="59">
        <v>2042</v>
      </c>
      <c r="AM101" s="59">
        <v>25043</v>
      </c>
      <c r="AN101" s="59">
        <v>4</v>
      </c>
      <c r="AO101" s="59">
        <v>0</v>
      </c>
      <c r="AP101" s="59">
        <v>12</v>
      </c>
      <c r="AQ101" s="59">
        <v>3</v>
      </c>
      <c r="AR101" s="59">
        <v>3</v>
      </c>
      <c r="AS101" s="59">
        <v>80</v>
      </c>
      <c r="AT101" s="59">
        <v>1</v>
      </c>
      <c r="AU101" s="59">
        <v>17</v>
      </c>
      <c r="AV101" s="59">
        <v>3</v>
      </c>
      <c r="AW101" s="59">
        <v>4</v>
      </c>
      <c r="AX101" s="59">
        <v>3</v>
      </c>
      <c r="AY101" s="59">
        <v>2</v>
      </c>
      <c r="AZ101" s="59">
        <v>1</v>
      </c>
      <c r="BA101" s="59">
        <v>2</v>
      </c>
      <c r="BB101" s="57">
        <f t="shared" si="37"/>
        <v>4084</v>
      </c>
    </row>
    <row r="102" spans="1:56" x14ac:dyDescent="0.25">
      <c r="A102" s="58">
        <v>37</v>
      </c>
      <c r="B102" s="59">
        <v>1</v>
      </c>
      <c r="C102" s="59">
        <v>1</v>
      </c>
      <c r="D102" s="59">
        <f t="shared" si="19"/>
        <v>1</v>
      </c>
      <c r="E102" s="59">
        <f t="shared" si="20"/>
        <v>0</v>
      </c>
      <c r="F102" s="59">
        <v>807</v>
      </c>
      <c r="G102" s="59">
        <v>3</v>
      </c>
      <c r="H102" s="59">
        <f t="shared" si="21"/>
        <v>0</v>
      </c>
      <c r="I102" s="59">
        <f t="shared" si="22"/>
        <v>0</v>
      </c>
      <c r="J102" s="59">
        <v>6</v>
      </c>
      <c r="K102" s="59">
        <v>4</v>
      </c>
      <c r="L102" s="59">
        <v>2</v>
      </c>
      <c r="M102" s="59">
        <f t="shared" si="23"/>
        <v>0</v>
      </c>
      <c r="N102" s="59">
        <f t="shared" si="24"/>
        <v>1</v>
      </c>
      <c r="O102" s="59">
        <f t="shared" si="25"/>
        <v>0</v>
      </c>
      <c r="P102" s="59">
        <f t="shared" si="26"/>
        <v>0</v>
      </c>
      <c r="Q102" s="59">
        <f t="shared" si="27"/>
        <v>0</v>
      </c>
      <c r="R102" s="59">
        <v>1</v>
      </c>
      <c r="S102" s="59">
        <v>133</v>
      </c>
      <c r="T102" s="59">
        <v>3</v>
      </c>
      <c r="U102" s="59">
        <v>1</v>
      </c>
      <c r="V102" s="59">
        <v>63</v>
      </c>
      <c r="W102" s="59">
        <v>3</v>
      </c>
      <c r="X102" s="59">
        <v>1</v>
      </c>
      <c r="Y102" s="59">
        <v>9</v>
      </c>
      <c r="Z102" s="59">
        <f t="shared" si="28"/>
        <v>0</v>
      </c>
      <c r="AA102" s="59">
        <f>IF('Updated Dummy'!Y102=2,1,0)</f>
        <v>0</v>
      </c>
      <c r="AB102" s="59">
        <f t="shared" si="29"/>
        <v>0</v>
      </c>
      <c r="AC102" s="59">
        <f t="shared" si="30"/>
        <v>0</v>
      </c>
      <c r="AD102" s="59">
        <f t="shared" si="31"/>
        <v>0</v>
      </c>
      <c r="AE102" s="59">
        <f t="shared" si="32"/>
        <v>0</v>
      </c>
      <c r="AF102" s="59">
        <f t="shared" si="33"/>
        <v>0</v>
      </c>
      <c r="AG102" s="59">
        <f t="shared" si="34"/>
        <v>0</v>
      </c>
      <c r="AH102" s="59">
        <v>1</v>
      </c>
      <c r="AI102" s="59">
        <v>3</v>
      </c>
      <c r="AJ102" s="59">
        <f t="shared" si="35"/>
        <v>0</v>
      </c>
      <c r="AK102" s="59">
        <f t="shared" si="36"/>
        <v>0</v>
      </c>
      <c r="AL102" s="59">
        <v>2073</v>
      </c>
      <c r="AM102" s="59">
        <v>23648</v>
      </c>
      <c r="AN102" s="59">
        <v>4</v>
      </c>
      <c r="AO102" s="59">
        <v>1</v>
      </c>
      <c r="AP102" s="59">
        <v>22</v>
      </c>
      <c r="AQ102" s="59">
        <v>4</v>
      </c>
      <c r="AR102" s="59">
        <v>4</v>
      </c>
      <c r="AS102" s="59">
        <v>80</v>
      </c>
      <c r="AT102" s="59">
        <v>0</v>
      </c>
      <c r="AU102" s="59">
        <v>7</v>
      </c>
      <c r="AV102" s="59">
        <v>3</v>
      </c>
      <c r="AW102" s="59">
        <v>3</v>
      </c>
      <c r="AX102" s="59">
        <v>3</v>
      </c>
      <c r="AY102" s="59">
        <v>2</v>
      </c>
      <c r="AZ102" s="59">
        <v>0</v>
      </c>
      <c r="BA102" s="59">
        <v>2</v>
      </c>
      <c r="BB102" s="57">
        <f t="shared" si="37"/>
        <v>2073</v>
      </c>
    </row>
    <row r="103" spans="1:56" x14ac:dyDescent="0.25">
      <c r="A103" s="58">
        <v>32</v>
      </c>
      <c r="B103" s="59">
        <v>0</v>
      </c>
      <c r="C103" s="59">
        <v>1</v>
      </c>
      <c r="D103" s="59">
        <f t="shared" si="19"/>
        <v>1</v>
      </c>
      <c r="E103" s="59">
        <f t="shared" si="20"/>
        <v>0</v>
      </c>
      <c r="F103" s="59">
        <v>827</v>
      </c>
      <c r="G103" s="59">
        <v>2</v>
      </c>
      <c r="H103" s="59">
        <f t="shared" si="21"/>
        <v>0</v>
      </c>
      <c r="I103" s="59">
        <f t="shared" si="22"/>
        <v>1</v>
      </c>
      <c r="J103" s="59">
        <v>1</v>
      </c>
      <c r="K103" s="59">
        <v>1</v>
      </c>
      <c r="L103" s="59">
        <v>1</v>
      </c>
      <c r="M103" s="59">
        <f t="shared" si="23"/>
        <v>1</v>
      </c>
      <c r="N103" s="59">
        <f t="shared" si="24"/>
        <v>0</v>
      </c>
      <c r="O103" s="59">
        <f t="shared" si="25"/>
        <v>0</v>
      </c>
      <c r="P103" s="59">
        <f t="shared" si="26"/>
        <v>0</v>
      </c>
      <c r="Q103" s="59">
        <f t="shared" si="27"/>
        <v>0</v>
      </c>
      <c r="R103" s="59">
        <v>1</v>
      </c>
      <c r="S103" s="59">
        <v>134</v>
      </c>
      <c r="T103" s="59">
        <v>4</v>
      </c>
      <c r="U103" s="59">
        <v>1</v>
      </c>
      <c r="V103" s="59">
        <v>71</v>
      </c>
      <c r="W103" s="59">
        <v>3</v>
      </c>
      <c r="X103" s="59">
        <v>1</v>
      </c>
      <c r="Y103" s="59">
        <v>2</v>
      </c>
      <c r="Z103" s="59">
        <f t="shared" si="28"/>
        <v>0</v>
      </c>
      <c r="AA103" s="59">
        <f>IF('Updated Dummy'!Y103=2,1,0)</f>
        <v>1</v>
      </c>
      <c r="AB103" s="59">
        <f t="shared" si="29"/>
        <v>0</v>
      </c>
      <c r="AC103" s="59">
        <f t="shared" si="30"/>
        <v>0</v>
      </c>
      <c r="AD103" s="59">
        <f t="shared" si="31"/>
        <v>0</v>
      </c>
      <c r="AE103" s="59">
        <f t="shared" si="32"/>
        <v>0</v>
      </c>
      <c r="AF103" s="59">
        <f t="shared" si="33"/>
        <v>0</v>
      </c>
      <c r="AG103" s="59">
        <f t="shared" si="34"/>
        <v>0</v>
      </c>
      <c r="AH103" s="59">
        <v>1</v>
      </c>
      <c r="AI103" s="59">
        <v>1</v>
      </c>
      <c r="AJ103" s="59">
        <f t="shared" si="35"/>
        <v>1</v>
      </c>
      <c r="AK103" s="59">
        <f t="shared" si="36"/>
        <v>0</v>
      </c>
      <c r="AL103" s="59">
        <v>2956</v>
      </c>
      <c r="AM103" s="59">
        <v>15178</v>
      </c>
      <c r="AN103" s="59">
        <v>1</v>
      </c>
      <c r="AO103" s="59">
        <v>0</v>
      </c>
      <c r="AP103" s="59">
        <v>13</v>
      </c>
      <c r="AQ103" s="59">
        <v>3</v>
      </c>
      <c r="AR103" s="59">
        <v>4</v>
      </c>
      <c r="AS103" s="59">
        <v>80</v>
      </c>
      <c r="AT103" s="59">
        <v>0</v>
      </c>
      <c r="AU103" s="59">
        <v>1</v>
      </c>
      <c r="AV103" s="59">
        <v>2</v>
      </c>
      <c r="AW103" s="59">
        <v>3</v>
      </c>
      <c r="AX103" s="59">
        <v>1</v>
      </c>
      <c r="AY103" s="59">
        <v>0</v>
      </c>
      <c r="AZ103" s="59">
        <v>0</v>
      </c>
      <c r="BA103" s="59">
        <v>0</v>
      </c>
      <c r="BB103" s="57">
        <f t="shared" si="37"/>
        <v>2956</v>
      </c>
    </row>
    <row r="104" spans="1:56" x14ac:dyDescent="0.25">
      <c r="A104" s="58">
        <v>20</v>
      </c>
      <c r="B104" s="59">
        <v>1</v>
      </c>
      <c r="C104" s="59">
        <v>2</v>
      </c>
      <c r="D104" s="59">
        <f t="shared" si="19"/>
        <v>0</v>
      </c>
      <c r="E104" s="59">
        <f t="shared" si="20"/>
        <v>1</v>
      </c>
      <c r="F104" s="59">
        <v>871</v>
      </c>
      <c r="G104" s="59">
        <v>2</v>
      </c>
      <c r="H104" s="59">
        <f t="shared" si="21"/>
        <v>0</v>
      </c>
      <c r="I104" s="59">
        <f t="shared" si="22"/>
        <v>1</v>
      </c>
      <c r="J104" s="59">
        <v>6</v>
      </c>
      <c r="K104" s="59">
        <v>3</v>
      </c>
      <c r="L104" s="59">
        <v>1</v>
      </c>
      <c r="M104" s="59">
        <f t="shared" si="23"/>
        <v>1</v>
      </c>
      <c r="N104" s="59">
        <f t="shared" si="24"/>
        <v>0</v>
      </c>
      <c r="O104" s="59">
        <f t="shared" si="25"/>
        <v>0</v>
      </c>
      <c r="P104" s="59">
        <f t="shared" si="26"/>
        <v>0</v>
      </c>
      <c r="Q104" s="59">
        <f t="shared" si="27"/>
        <v>0</v>
      </c>
      <c r="R104" s="59">
        <v>1</v>
      </c>
      <c r="S104" s="59">
        <v>137</v>
      </c>
      <c r="T104" s="59">
        <v>4</v>
      </c>
      <c r="U104" s="59">
        <v>0</v>
      </c>
      <c r="V104" s="59">
        <v>66</v>
      </c>
      <c r="W104" s="59">
        <v>2</v>
      </c>
      <c r="X104" s="59">
        <v>1</v>
      </c>
      <c r="Y104" s="59">
        <v>3</v>
      </c>
      <c r="Z104" s="59">
        <f t="shared" si="28"/>
        <v>0</v>
      </c>
      <c r="AA104" s="59">
        <f>IF('Updated Dummy'!Y104=2,1,0)</f>
        <v>0</v>
      </c>
      <c r="AB104" s="59">
        <f t="shared" si="29"/>
        <v>1</v>
      </c>
      <c r="AC104" s="59">
        <f t="shared" si="30"/>
        <v>0</v>
      </c>
      <c r="AD104" s="59">
        <f t="shared" si="31"/>
        <v>0</v>
      </c>
      <c r="AE104" s="59">
        <f t="shared" si="32"/>
        <v>0</v>
      </c>
      <c r="AF104" s="59">
        <f t="shared" si="33"/>
        <v>0</v>
      </c>
      <c r="AG104" s="59">
        <f t="shared" si="34"/>
        <v>0</v>
      </c>
      <c r="AH104" s="59">
        <v>4</v>
      </c>
      <c r="AI104" s="59">
        <v>1</v>
      </c>
      <c r="AJ104" s="59">
        <f t="shared" si="35"/>
        <v>1</v>
      </c>
      <c r="AK104" s="59">
        <f t="shared" si="36"/>
        <v>0</v>
      </c>
      <c r="AL104" s="59">
        <v>2926</v>
      </c>
      <c r="AM104" s="59">
        <v>19783</v>
      </c>
      <c r="AN104" s="59">
        <v>1</v>
      </c>
      <c r="AO104" s="59">
        <v>1</v>
      </c>
      <c r="AP104" s="59">
        <v>18</v>
      </c>
      <c r="AQ104" s="59">
        <v>3</v>
      </c>
      <c r="AR104" s="59">
        <v>2</v>
      </c>
      <c r="AS104" s="59">
        <v>80</v>
      </c>
      <c r="AT104" s="59">
        <v>0</v>
      </c>
      <c r="AU104" s="59">
        <v>1</v>
      </c>
      <c r="AV104" s="59">
        <v>5</v>
      </c>
      <c r="AW104" s="59">
        <v>3</v>
      </c>
      <c r="AX104" s="59">
        <v>1</v>
      </c>
      <c r="AY104" s="59">
        <v>0</v>
      </c>
      <c r="AZ104" s="59">
        <v>1</v>
      </c>
      <c r="BA104" s="59">
        <v>0</v>
      </c>
      <c r="BB104" s="57">
        <f t="shared" si="37"/>
        <v>2926</v>
      </c>
    </row>
    <row r="105" spans="1:56" x14ac:dyDescent="0.25">
      <c r="A105" s="58">
        <v>34</v>
      </c>
      <c r="B105" s="59">
        <v>0</v>
      </c>
      <c r="C105" s="59">
        <v>1</v>
      </c>
      <c r="D105" s="59">
        <f t="shared" si="19"/>
        <v>1</v>
      </c>
      <c r="E105" s="59">
        <f t="shared" si="20"/>
        <v>0</v>
      </c>
      <c r="F105" s="59">
        <v>665</v>
      </c>
      <c r="G105" s="59">
        <v>2</v>
      </c>
      <c r="H105" s="59">
        <f t="shared" si="21"/>
        <v>0</v>
      </c>
      <c r="I105" s="59">
        <f t="shared" si="22"/>
        <v>1</v>
      </c>
      <c r="J105" s="59">
        <v>6</v>
      </c>
      <c r="K105" s="59">
        <v>4</v>
      </c>
      <c r="L105" s="59">
        <v>6</v>
      </c>
      <c r="M105" s="59">
        <f t="shared" si="23"/>
        <v>0</v>
      </c>
      <c r="N105" s="59">
        <f t="shared" si="24"/>
        <v>0</v>
      </c>
      <c r="O105" s="59">
        <f t="shared" si="25"/>
        <v>0</v>
      </c>
      <c r="P105" s="59">
        <f t="shared" si="26"/>
        <v>0</v>
      </c>
      <c r="Q105" s="59">
        <f t="shared" si="27"/>
        <v>0</v>
      </c>
      <c r="R105" s="59">
        <v>1</v>
      </c>
      <c r="S105" s="59">
        <v>138</v>
      </c>
      <c r="T105" s="59">
        <v>1</v>
      </c>
      <c r="U105" s="59">
        <v>0</v>
      </c>
      <c r="V105" s="59">
        <v>41</v>
      </c>
      <c r="W105" s="59">
        <v>3</v>
      </c>
      <c r="X105" s="59">
        <v>2</v>
      </c>
      <c r="Y105" s="59">
        <v>2</v>
      </c>
      <c r="Z105" s="59">
        <f t="shared" si="28"/>
        <v>0</v>
      </c>
      <c r="AA105" s="59">
        <f>IF('Updated Dummy'!Y105=2,1,0)</f>
        <v>1</v>
      </c>
      <c r="AB105" s="59">
        <f t="shared" si="29"/>
        <v>0</v>
      </c>
      <c r="AC105" s="59">
        <f t="shared" si="30"/>
        <v>0</v>
      </c>
      <c r="AD105" s="59">
        <f t="shared" si="31"/>
        <v>0</v>
      </c>
      <c r="AE105" s="59">
        <f t="shared" si="32"/>
        <v>0</v>
      </c>
      <c r="AF105" s="59">
        <f t="shared" si="33"/>
        <v>0</v>
      </c>
      <c r="AG105" s="59">
        <f t="shared" si="34"/>
        <v>0</v>
      </c>
      <c r="AH105" s="59">
        <v>3</v>
      </c>
      <c r="AI105" s="59">
        <v>1</v>
      </c>
      <c r="AJ105" s="59">
        <f t="shared" si="35"/>
        <v>1</v>
      </c>
      <c r="AK105" s="59">
        <f t="shared" si="36"/>
        <v>0</v>
      </c>
      <c r="AL105" s="59">
        <v>4809</v>
      </c>
      <c r="AM105" s="59">
        <v>12482</v>
      </c>
      <c r="AN105" s="59">
        <v>1</v>
      </c>
      <c r="AO105" s="59">
        <v>0</v>
      </c>
      <c r="AP105" s="59">
        <v>14</v>
      </c>
      <c r="AQ105" s="59">
        <v>3</v>
      </c>
      <c r="AR105" s="59">
        <v>3</v>
      </c>
      <c r="AS105" s="59">
        <v>80</v>
      </c>
      <c r="AT105" s="59">
        <v>0</v>
      </c>
      <c r="AU105" s="59">
        <v>16</v>
      </c>
      <c r="AV105" s="59">
        <v>3</v>
      </c>
      <c r="AW105" s="59">
        <v>3</v>
      </c>
      <c r="AX105" s="59">
        <v>16</v>
      </c>
      <c r="AY105" s="59">
        <v>13</v>
      </c>
      <c r="AZ105" s="59">
        <v>2</v>
      </c>
      <c r="BA105" s="59">
        <v>10</v>
      </c>
      <c r="BB105" s="57">
        <f t="shared" si="37"/>
        <v>9618</v>
      </c>
    </row>
    <row r="106" spans="1:56" x14ac:dyDescent="0.25">
      <c r="A106" s="58">
        <v>37</v>
      </c>
      <c r="B106" s="59">
        <v>0</v>
      </c>
      <c r="C106" s="59">
        <v>3</v>
      </c>
      <c r="D106" s="59">
        <f t="shared" si="19"/>
        <v>0</v>
      </c>
      <c r="E106" s="59">
        <f t="shared" si="20"/>
        <v>0</v>
      </c>
      <c r="F106" s="59">
        <v>1040</v>
      </c>
      <c r="G106" s="59">
        <v>2</v>
      </c>
      <c r="H106" s="59">
        <f t="shared" si="21"/>
        <v>0</v>
      </c>
      <c r="I106" s="59">
        <f t="shared" si="22"/>
        <v>1</v>
      </c>
      <c r="J106" s="59">
        <v>2</v>
      </c>
      <c r="K106" s="59">
        <v>2</v>
      </c>
      <c r="L106" s="59">
        <v>1</v>
      </c>
      <c r="M106" s="59">
        <f t="shared" si="23"/>
        <v>1</v>
      </c>
      <c r="N106" s="59">
        <f t="shared" si="24"/>
        <v>0</v>
      </c>
      <c r="O106" s="59">
        <f t="shared" si="25"/>
        <v>0</v>
      </c>
      <c r="P106" s="59">
        <f t="shared" si="26"/>
        <v>0</v>
      </c>
      <c r="Q106" s="59">
        <f t="shared" si="27"/>
        <v>0</v>
      </c>
      <c r="R106" s="59">
        <v>1</v>
      </c>
      <c r="S106" s="59">
        <v>139</v>
      </c>
      <c r="T106" s="59">
        <v>3</v>
      </c>
      <c r="U106" s="59">
        <v>1</v>
      </c>
      <c r="V106" s="59">
        <v>100</v>
      </c>
      <c r="W106" s="59">
        <v>2</v>
      </c>
      <c r="X106" s="59">
        <v>2</v>
      </c>
      <c r="Y106" s="59">
        <v>5</v>
      </c>
      <c r="Z106" s="59">
        <f t="shared" si="28"/>
        <v>0</v>
      </c>
      <c r="AA106" s="59">
        <f>IF('Updated Dummy'!Y106=2,1,0)</f>
        <v>0</v>
      </c>
      <c r="AB106" s="59">
        <f t="shared" si="29"/>
        <v>0</v>
      </c>
      <c r="AC106" s="59">
        <f t="shared" si="30"/>
        <v>0</v>
      </c>
      <c r="AD106" s="59">
        <f t="shared" si="31"/>
        <v>1</v>
      </c>
      <c r="AE106" s="59">
        <f t="shared" si="32"/>
        <v>0</v>
      </c>
      <c r="AF106" s="59">
        <f t="shared" si="33"/>
        <v>0</v>
      </c>
      <c r="AG106" s="59">
        <f t="shared" si="34"/>
        <v>0</v>
      </c>
      <c r="AH106" s="59">
        <v>4</v>
      </c>
      <c r="AI106" s="59">
        <v>3</v>
      </c>
      <c r="AJ106" s="59">
        <f t="shared" si="35"/>
        <v>0</v>
      </c>
      <c r="AK106" s="59">
        <f t="shared" si="36"/>
        <v>0</v>
      </c>
      <c r="AL106" s="59">
        <v>5163</v>
      </c>
      <c r="AM106" s="59">
        <v>15850</v>
      </c>
      <c r="AN106" s="59">
        <v>5</v>
      </c>
      <c r="AO106" s="59">
        <v>0</v>
      </c>
      <c r="AP106" s="59">
        <v>14</v>
      </c>
      <c r="AQ106" s="59">
        <v>3</v>
      </c>
      <c r="AR106" s="59">
        <v>4</v>
      </c>
      <c r="AS106" s="59">
        <v>80</v>
      </c>
      <c r="AT106" s="59">
        <v>1</v>
      </c>
      <c r="AU106" s="59">
        <v>17</v>
      </c>
      <c r="AV106" s="59">
        <v>2</v>
      </c>
      <c r="AW106" s="59">
        <v>4</v>
      </c>
      <c r="AX106" s="59">
        <v>1</v>
      </c>
      <c r="AY106" s="59">
        <v>0</v>
      </c>
      <c r="AZ106" s="59">
        <v>0</v>
      </c>
      <c r="BA106" s="59">
        <v>0</v>
      </c>
      <c r="BB106" s="57">
        <f t="shared" si="37"/>
        <v>10326</v>
      </c>
    </row>
    <row r="107" spans="1:56" x14ac:dyDescent="0.25">
      <c r="A107" s="58">
        <v>59</v>
      </c>
      <c r="B107" s="59">
        <v>0</v>
      </c>
      <c r="C107" s="59">
        <v>3</v>
      </c>
      <c r="D107" s="59">
        <f t="shared" si="19"/>
        <v>0</v>
      </c>
      <c r="E107" s="59">
        <f t="shared" si="20"/>
        <v>0</v>
      </c>
      <c r="F107" s="59">
        <v>1420</v>
      </c>
      <c r="G107" s="59">
        <v>3</v>
      </c>
      <c r="H107" s="59">
        <f t="shared" si="21"/>
        <v>0</v>
      </c>
      <c r="I107" s="59">
        <f t="shared" si="22"/>
        <v>0</v>
      </c>
      <c r="J107" s="59">
        <v>2</v>
      </c>
      <c r="K107" s="59">
        <v>4</v>
      </c>
      <c r="L107" s="59">
        <v>2</v>
      </c>
      <c r="M107" s="59">
        <f t="shared" si="23"/>
        <v>0</v>
      </c>
      <c r="N107" s="59">
        <f t="shared" si="24"/>
        <v>1</v>
      </c>
      <c r="O107" s="59">
        <f t="shared" si="25"/>
        <v>0</v>
      </c>
      <c r="P107" s="59">
        <f t="shared" si="26"/>
        <v>0</v>
      </c>
      <c r="Q107" s="59">
        <f t="shared" si="27"/>
        <v>0</v>
      </c>
      <c r="R107" s="59">
        <v>1</v>
      </c>
      <c r="S107" s="59">
        <v>140</v>
      </c>
      <c r="T107" s="59">
        <v>3</v>
      </c>
      <c r="U107" s="59">
        <v>0</v>
      </c>
      <c r="V107" s="59">
        <v>32</v>
      </c>
      <c r="W107" s="59">
        <v>2</v>
      </c>
      <c r="X107" s="59">
        <v>5</v>
      </c>
      <c r="Y107" s="59">
        <v>6</v>
      </c>
      <c r="Z107" s="59">
        <f t="shared" si="28"/>
        <v>0</v>
      </c>
      <c r="AA107" s="59">
        <f>IF('Updated Dummy'!Y107=2,1,0)</f>
        <v>0</v>
      </c>
      <c r="AB107" s="59">
        <f t="shared" si="29"/>
        <v>0</v>
      </c>
      <c r="AC107" s="59">
        <f t="shared" si="30"/>
        <v>0</v>
      </c>
      <c r="AD107" s="59">
        <f t="shared" si="31"/>
        <v>0</v>
      </c>
      <c r="AE107" s="59">
        <f t="shared" si="32"/>
        <v>1</v>
      </c>
      <c r="AF107" s="59">
        <f t="shared" si="33"/>
        <v>0</v>
      </c>
      <c r="AG107" s="59">
        <f t="shared" si="34"/>
        <v>0</v>
      </c>
      <c r="AH107" s="59">
        <v>4</v>
      </c>
      <c r="AI107" s="59">
        <v>2</v>
      </c>
      <c r="AJ107" s="59">
        <f t="shared" si="35"/>
        <v>0</v>
      </c>
      <c r="AK107" s="59">
        <f t="shared" si="36"/>
        <v>1</v>
      </c>
      <c r="AL107" s="59">
        <v>18844</v>
      </c>
      <c r="AM107" s="59">
        <v>21922</v>
      </c>
      <c r="AN107" s="59">
        <v>9</v>
      </c>
      <c r="AO107" s="59">
        <v>0</v>
      </c>
      <c r="AP107" s="59">
        <v>21</v>
      </c>
      <c r="AQ107" s="59">
        <v>4</v>
      </c>
      <c r="AR107" s="59">
        <v>4</v>
      </c>
      <c r="AS107" s="59">
        <v>80</v>
      </c>
      <c r="AT107" s="59">
        <v>1</v>
      </c>
      <c r="AU107" s="59">
        <v>30</v>
      </c>
      <c r="AV107" s="59">
        <v>3</v>
      </c>
      <c r="AW107" s="59">
        <v>3</v>
      </c>
      <c r="AX107" s="59">
        <v>3</v>
      </c>
      <c r="AY107" s="59">
        <v>2</v>
      </c>
      <c r="AZ107" s="59">
        <v>2</v>
      </c>
      <c r="BA107" s="59">
        <v>2</v>
      </c>
      <c r="BB107" s="57">
        <f t="shared" si="37"/>
        <v>94220</v>
      </c>
    </row>
    <row r="108" spans="1:56" x14ac:dyDescent="0.25">
      <c r="A108" s="58">
        <v>50</v>
      </c>
      <c r="B108" s="59">
        <v>0</v>
      </c>
      <c r="C108" s="59">
        <v>2</v>
      </c>
      <c r="D108" s="59">
        <f t="shared" si="19"/>
        <v>0</v>
      </c>
      <c r="E108" s="59">
        <f t="shared" si="20"/>
        <v>1</v>
      </c>
      <c r="F108" s="59">
        <v>1115</v>
      </c>
      <c r="G108" s="59">
        <v>2</v>
      </c>
      <c r="H108" s="59">
        <f t="shared" si="21"/>
        <v>0</v>
      </c>
      <c r="I108" s="59">
        <f t="shared" si="22"/>
        <v>1</v>
      </c>
      <c r="J108" s="59">
        <v>1</v>
      </c>
      <c r="K108" s="59">
        <v>3</v>
      </c>
      <c r="L108" s="59">
        <v>1</v>
      </c>
      <c r="M108" s="59">
        <f t="shared" si="23"/>
        <v>1</v>
      </c>
      <c r="N108" s="59">
        <f t="shared" si="24"/>
        <v>0</v>
      </c>
      <c r="O108" s="59">
        <f t="shared" si="25"/>
        <v>0</v>
      </c>
      <c r="P108" s="59">
        <f t="shared" si="26"/>
        <v>0</v>
      </c>
      <c r="Q108" s="59">
        <f t="shared" si="27"/>
        <v>0</v>
      </c>
      <c r="R108" s="59">
        <v>1</v>
      </c>
      <c r="S108" s="59">
        <v>141</v>
      </c>
      <c r="T108" s="59">
        <v>1</v>
      </c>
      <c r="U108" s="59">
        <v>0</v>
      </c>
      <c r="V108" s="59">
        <v>73</v>
      </c>
      <c r="W108" s="59">
        <v>3</v>
      </c>
      <c r="X108" s="59">
        <v>5</v>
      </c>
      <c r="Y108" s="59">
        <v>8</v>
      </c>
      <c r="Z108" s="59">
        <f t="shared" si="28"/>
        <v>0</v>
      </c>
      <c r="AA108" s="59">
        <f>IF('Updated Dummy'!Y108=2,1,0)</f>
        <v>0</v>
      </c>
      <c r="AB108" s="59">
        <f t="shared" si="29"/>
        <v>0</v>
      </c>
      <c r="AC108" s="59">
        <f t="shared" si="30"/>
        <v>0</v>
      </c>
      <c r="AD108" s="59">
        <f t="shared" si="31"/>
        <v>0</v>
      </c>
      <c r="AE108" s="59">
        <f t="shared" si="32"/>
        <v>0</v>
      </c>
      <c r="AF108" s="59">
        <f t="shared" si="33"/>
        <v>0</v>
      </c>
      <c r="AG108" s="59">
        <f t="shared" si="34"/>
        <v>1</v>
      </c>
      <c r="AH108" s="59">
        <v>2</v>
      </c>
      <c r="AI108" s="59">
        <v>2</v>
      </c>
      <c r="AJ108" s="59">
        <f t="shared" si="35"/>
        <v>0</v>
      </c>
      <c r="AK108" s="59">
        <f t="shared" si="36"/>
        <v>1</v>
      </c>
      <c r="AL108" s="59">
        <v>18172</v>
      </c>
      <c r="AM108" s="59">
        <v>9755</v>
      </c>
      <c r="AN108" s="59">
        <v>3</v>
      </c>
      <c r="AO108" s="59">
        <v>1</v>
      </c>
      <c r="AP108" s="59">
        <v>19</v>
      </c>
      <c r="AQ108" s="59">
        <v>3</v>
      </c>
      <c r="AR108" s="59">
        <v>1</v>
      </c>
      <c r="AS108" s="59">
        <v>80</v>
      </c>
      <c r="AT108" s="59">
        <v>0</v>
      </c>
      <c r="AU108" s="59">
        <v>28</v>
      </c>
      <c r="AV108" s="59">
        <v>1</v>
      </c>
      <c r="AW108" s="59">
        <v>2</v>
      </c>
      <c r="AX108" s="59">
        <v>8</v>
      </c>
      <c r="AY108" s="59">
        <v>3</v>
      </c>
      <c r="AZ108" s="59">
        <v>0</v>
      </c>
      <c r="BA108" s="59">
        <v>7</v>
      </c>
      <c r="BB108" s="57">
        <f t="shared" si="37"/>
        <v>90860</v>
      </c>
    </row>
    <row r="109" spans="1:56" x14ac:dyDescent="0.25">
      <c r="A109" s="58">
        <v>25</v>
      </c>
      <c r="B109" s="59">
        <v>1</v>
      </c>
      <c r="C109" s="59">
        <v>1</v>
      </c>
      <c r="D109" s="59">
        <f t="shared" si="19"/>
        <v>1</v>
      </c>
      <c r="E109" s="59">
        <f t="shared" si="20"/>
        <v>0</v>
      </c>
      <c r="F109" s="59">
        <v>240</v>
      </c>
      <c r="G109" s="59">
        <v>1</v>
      </c>
      <c r="H109" s="59">
        <f t="shared" si="21"/>
        <v>1</v>
      </c>
      <c r="I109" s="59">
        <f t="shared" si="22"/>
        <v>0</v>
      </c>
      <c r="J109" s="59">
        <v>5</v>
      </c>
      <c r="K109" s="59">
        <v>3</v>
      </c>
      <c r="L109" s="59">
        <v>4</v>
      </c>
      <c r="M109" s="59">
        <f t="shared" si="23"/>
        <v>0</v>
      </c>
      <c r="N109" s="59">
        <f t="shared" si="24"/>
        <v>0</v>
      </c>
      <c r="O109" s="59">
        <f t="shared" si="25"/>
        <v>0</v>
      </c>
      <c r="P109" s="59">
        <f t="shared" si="26"/>
        <v>1</v>
      </c>
      <c r="Q109" s="59">
        <f t="shared" si="27"/>
        <v>0</v>
      </c>
      <c r="R109" s="59">
        <v>1</v>
      </c>
      <c r="S109" s="59">
        <v>142</v>
      </c>
      <c r="T109" s="59">
        <v>3</v>
      </c>
      <c r="U109" s="59">
        <v>1</v>
      </c>
      <c r="V109" s="59">
        <v>46</v>
      </c>
      <c r="W109" s="59">
        <v>2</v>
      </c>
      <c r="X109" s="59">
        <v>2</v>
      </c>
      <c r="Y109" s="59">
        <v>1</v>
      </c>
      <c r="Z109" s="59">
        <f t="shared" si="28"/>
        <v>1</v>
      </c>
      <c r="AA109" s="59">
        <f>IF('Updated Dummy'!Y109=2,1,0)</f>
        <v>0</v>
      </c>
      <c r="AB109" s="59">
        <f t="shared" si="29"/>
        <v>0</v>
      </c>
      <c r="AC109" s="59">
        <f t="shared" si="30"/>
        <v>0</v>
      </c>
      <c r="AD109" s="59">
        <f t="shared" si="31"/>
        <v>0</v>
      </c>
      <c r="AE109" s="59">
        <f t="shared" si="32"/>
        <v>0</v>
      </c>
      <c r="AF109" s="59">
        <f t="shared" si="33"/>
        <v>0</v>
      </c>
      <c r="AG109" s="59">
        <f t="shared" si="34"/>
        <v>0</v>
      </c>
      <c r="AH109" s="59">
        <v>3</v>
      </c>
      <c r="AI109" s="59">
        <v>1</v>
      </c>
      <c r="AJ109" s="59">
        <f t="shared" si="35"/>
        <v>1</v>
      </c>
      <c r="AK109" s="59">
        <f t="shared" si="36"/>
        <v>0</v>
      </c>
      <c r="AL109" s="59">
        <v>5744</v>
      </c>
      <c r="AM109" s="59">
        <v>26959</v>
      </c>
      <c r="AN109" s="59">
        <v>1</v>
      </c>
      <c r="AO109" s="59">
        <v>1</v>
      </c>
      <c r="AP109" s="59">
        <v>11</v>
      </c>
      <c r="AQ109" s="59">
        <v>3</v>
      </c>
      <c r="AR109" s="59">
        <v>4</v>
      </c>
      <c r="AS109" s="59">
        <v>80</v>
      </c>
      <c r="AT109" s="59">
        <v>0</v>
      </c>
      <c r="AU109" s="59">
        <v>6</v>
      </c>
      <c r="AV109" s="59">
        <v>1</v>
      </c>
      <c r="AW109" s="59">
        <v>3</v>
      </c>
      <c r="AX109" s="59">
        <v>6</v>
      </c>
      <c r="AY109" s="59">
        <v>4</v>
      </c>
      <c r="AZ109" s="59">
        <v>0</v>
      </c>
      <c r="BA109" s="59">
        <v>3</v>
      </c>
      <c r="BB109" s="57">
        <f t="shared" si="37"/>
        <v>11488</v>
      </c>
    </row>
    <row r="110" spans="1:56" x14ac:dyDescent="0.25">
      <c r="A110" s="58">
        <v>25</v>
      </c>
      <c r="B110" s="59">
        <v>0</v>
      </c>
      <c r="C110" s="59">
        <v>1</v>
      </c>
      <c r="D110" s="59">
        <f t="shared" si="19"/>
        <v>1</v>
      </c>
      <c r="E110" s="59">
        <f t="shared" si="20"/>
        <v>0</v>
      </c>
      <c r="F110" s="59">
        <v>1280</v>
      </c>
      <c r="G110" s="59">
        <v>2</v>
      </c>
      <c r="H110" s="59">
        <f t="shared" si="21"/>
        <v>0</v>
      </c>
      <c r="I110" s="59">
        <f t="shared" si="22"/>
        <v>1</v>
      </c>
      <c r="J110" s="59">
        <v>7</v>
      </c>
      <c r="K110" s="59">
        <v>1</v>
      </c>
      <c r="L110" s="59">
        <v>3</v>
      </c>
      <c r="M110" s="59">
        <f t="shared" si="23"/>
        <v>0</v>
      </c>
      <c r="N110" s="59">
        <f t="shared" si="24"/>
        <v>0</v>
      </c>
      <c r="O110" s="59">
        <f t="shared" si="25"/>
        <v>1</v>
      </c>
      <c r="P110" s="59">
        <f t="shared" si="26"/>
        <v>0</v>
      </c>
      <c r="Q110" s="59">
        <f t="shared" si="27"/>
        <v>0</v>
      </c>
      <c r="R110" s="59">
        <v>1</v>
      </c>
      <c r="S110" s="59">
        <v>143</v>
      </c>
      <c r="T110" s="59">
        <v>4</v>
      </c>
      <c r="U110" s="59">
        <v>1</v>
      </c>
      <c r="V110" s="59">
        <v>64</v>
      </c>
      <c r="W110" s="59">
        <v>2</v>
      </c>
      <c r="X110" s="59">
        <v>1</v>
      </c>
      <c r="Y110" s="59">
        <v>2</v>
      </c>
      <c r="Z110" s="59">
        <f t="shared" si="28"/>
        <v>0</v>
      </c>
      <c r="AA110" s="59">
        <f>IF('Updated Dummy'!Y110=2,1,0)</f>
        <v>1</v>
      </c>
      <c r="AB110" s="59">
        <f t="shared" si="29"/>
        <v>0</v>
      </c>
      <c r="AC110" s="59">
        <f t="shared" si="30"/>
        <v>0</v>
      </c>
      <c r="AD110" s="59">
        <f t="shared" si="31"/>
        <v>0</v>
      </c>
      <c r="AE110" s="59">
        <f t="shared" si="32"/>
        <v>0</v>
      </c>
      <c r="AF110" s="59">
        <f t="shared" si="33"/>
        <v>0</v>
      </c>
      <c r="AG110" s="59">
        <f t="shared" si="34"/>
        <v>0</v>
      </c>
      <c r="AH110" s="59">
        <v>4</v>
      </c>
      <c r="AI110" s="59">
        <v>2</v>
      </c>
      <c r="AJ110" s="59">
        <f t="shared" si="35"/>
        <v>0</v>
      </c>
      <c r="AK110" s="59">
        <f t="shared" si="36"/>
        <v>1</v>
      </c>
      <c r="AL110" s="59">
        <v>2889</v>
      </c>
      <c r="AM110" s="59">
        <v>26897</v>
      </c>
      <c r="AN110" s="59">
        <v>1</v>
      </c>
      <c r="AO110" s="59">
        <v>0</v>
      </c>
      <c r="AP110" s="59">
        <v>11</v>
      </c>
      <c r="AQ110" s="59">
        <v>3</v>
      </c>
      <c r="AR110" s="59">
        <v>3</v>
      </c>
      <c r="AS110" s="59">
        <v>80</v>
      </c>
      <c r="AT110" s="59">
        <v>2</v>
      </c>
      <c r="AU110" s="59">
        <v>2</v>
      </c>
      <c r="AV110" s="59">
        <v>2</v>
      </c>
      <c r="AW110" s="59">
        <v>3</v>
      </c>
      <c r="AX110" s="59">
        <v>2</v>
      </c>
      <c r="AY110" s="59">
        <v>2</v>
      </c>
      <c r="AZ110" s="59">
        <v>2</v>
      </c>
      <c r="BA110" s="59">
        <v>1</v>
      </c>
      <c r="BB110" s="57">
        <f t="shared" si="37"/>
        <v>2889</v>
      </c>
    </row>
    <row r="111" spans="1:56" x14ac:dyDescent="0.25">
      <c r="A111" s="58">
        <v>22</v>
      </c>
      <c r="B111" s="59">
        <v>0</v>
      </c>
      <c r="C111" s="59">
        <v>1</v>
      </c>
      <c r="D111" s="59">
        <f t="shared" si="19"/>
        <v>1</v>
      </c>
      <c r="E111" s="59">
        <f t="shared" si="20"/>
        <v>0</v>
      </c>
      <c r="F111" s="59">
        <v>534</v>
      </c>
      <c r="G111" s="59">
        <v>2</v>
      </c>
      <c r="H111" s="59">
        <f t="shared" si="21"/>
        <v>0</v>
      </c>
      <c r="I111" s="59">
        <f t="shared" si="22"/>
        <v>1</v>
      </c>
      <c r="J111" s="59">
        <v>15</v>
      </c>
      <c r="K111" s="59">
        <v>3</v>
      </c>
      <c r="L111" s="59">
        <v>3</v>
      </c>
      <c r="M111" s="59">
        <f t="shared" si="23"/>
        <v>0</v>
      </c>
      <c r="N111" s="59">
        <f t="shared" si="24"/>
        <v>0</v>
      </c>
      <c r="O111" s="59">
        <f t="shared" si="25"/>
        <v>1</v>
      </c>
      <c r="P111" s="59">
        <f t="shared" si="26"/>
        <v>0</v>
      </c>
      <c r="Q111" s="59">
        <f t="shared" si="27"/>
        <v>0</v>
      </c>
      <c r="R111" s="59">
        <v>1</v>
      </c>
      <c r="S111" s="59">
        <v>144</v>
      </c>
      <c r="T111" s="59">
        <v>2</v>
      </c>
      <c r="U111" s="59">
        <v>0</v>
      </c>
      <c r="V111" s="59">
        <v>59</v>
      </c>
      <c r="W111" s="59">
        <v>3</v>
      </c>
      <c r="X111" s="59">
        <v>1</v>
      </c>
      <c r="Y111" s="59">
        <v>3</v>
      </c>
      <c r="Z111" s="59">
        <f t="shared" si="28"/>
        <v>0</v>
      </c>
      <c r="AA111" s="59">
        <f>IF('Updated Dummy'!Y111=2,1,0)</f>
        <v>0</v>
      </c>
      <c r="AB111" s="59">
        <f t="shared" si="29"/>
        <v>1</v>
      </c>
      <c r="AC111" s="59">
        <f t="shared" si="30"/>
        <v>0</v>
      </c>
      <c r="AD111" s="59">
        <f t="shared" si="31"/>
        <v>0</v>
      </c>
      <c r="AE111" s="59">
        <f t="shared" si="32"/>
        <v>0</v>
      </c>
      <c r="AF111" s="59">
        <f t="shared" si="33"/>
        <v>0</v>
      </c>
      <c r="AG111" s="59">
        <f t="shared" si="34"/>
        <v>0</v>
      </c>
      <c r="AH111" s="59">
        <v>4</v>
      </c>
      <c r="AI111" s="59">
        <v>1</v>
      </c>
      <c r="AJ111" s="59">
        <f t="shared" si="35"/>
        <v>1</v>
      </c>
      <c r="AK111" s="59">
        <f t="shared" si="36"/>
        <v>0</v>
      </c>
      <c r="AL111" s="59">
        <v>2871</v>
      </c>
      <c r="AM111" s="59">
        <v>23785</v>
      </c>
      <c r="AN111" s="59">
        <v>1</v>
      </c>
      <c r="AO111" s="59">
        <v>0</v>
      </c>
      <c r="AP111" s="59">
        <v>15</v>
      </c>
      <c r="AQ111" s="59">
        <v>3</v>
      </c>
      <c r="AR111" s="59">
        <v>3</v>
      </c>
      <c r="AS111" s="59">
        <v>80</v>
      </c>
      <c r="AT111" s="59">
        <v>0</v>
      </c>
      <c r="AU111" s="59">
        <v>1</v>
      </c>
      <c r="AV111" s="59">
        <v>5</v>
      </c>
      <c r="AW111" s="59">
        <v>3</v>
      </c>
      <c r="AX111" s="59">
        <v>0</v>
      </c>
      <c r="AY111" s="59">
        <v>0</v>
      </c>
      <c r="AZ111" s="59">
        <v>0</v>
      </c>
      <c r="BA111" s="59">
        <v>0</v>
      </c>
      <c r="BB111" s="57">
        <f t="shared" si="37"/>
        <v>2871</v>
      </c>
    </row>
    <row r="112" spans="1:56" x14ac:dyDescent="0.25">
      <c r="A112" s="58">
        <v>51</v>
      </c>
      <c r="B112" s="59">
        <v>0</v>
      </c>
      <c r="C112" s="59">
        <v>2</v>
      </c>
      <c r="D112" s="59">
        <f t="shared" si="19"/>
        <v>0</v>
      </c>
      <c r="E112" s="59">
        <f t="shared" si="20"/>
        <v>1</v>
      </c>
      <c r="F112" s="59">
        <v>1456</v>
      </c>
      <c r="G112" s="59">
        <v>2</v>
      </c>
      <c r="H112" s="59">
        <f t="shared" si="21"/>
        <v>0</v>
      </c>
      <c r="I112" s="59">
        <f t="shared" si="22"/>
        <v>1</v>
      </c>
      <c r="J112" s="59">
        <v>1</v>
      </c>
      <c r="K112" s="59">
        <v>4</v>
      </c>
      <c r="L112" s="59">
        <v>3</v>
      </c>
      <c r="M112" s="59">
        <f t="shared" si="23"/>
        <v>0</v>
      </c>
      <c r="N112" s="59">
        <f t="shared" si="24"/>
        <v>0</v>
      </c>
      <c r="O112" s="59">
        <f t="shared" si="25"/>
        <v>1</v>
      </c>
      <c r="P112" s="59">
        <f t="shared" si="26"/>
        <v>0</v>
      </c>
      <c r="Q112" s="59">
        <f t="shared" si="27"/>
        <v>0</v>
      </c>
      <c r="R112" s="59">
        <v>1</v>
      </c>
      <c r="S112" s="59">
        <v>145</v>
      </c>
      <c r="T112" s="59">
        <v>1</v>
      </c>
      <c r="U112" s="59">
        <v>0</v>
      </c>
      <c r="V112" s="59">
        <v>30</v>
      </c>
      <c r="W112" s="59">
        <v>2</v>
      </c>
      <c r="X112" s="59">
        <v>3</v>
      </c>
      <c r="Y112" s="59">
        <v>5</v>
      </c>
      <c r="Z112" s="59">
        <f t="shared" si="28"/>
        <v>0</v>
      </c>
      <c r="AA112" s="59">
        <f>IF('Updated Dummy'!Y112=2,1,0)</f>
        <v>0</v>
      </c>
      <c r="AB112" s="59">
        <f t="shared" si="29"/>
        <v>0</v>
      </c>
      <c r="AC112" s="59">
        <f t="shared" si="30"/>
        <v>0</v>
      </c>
      <c r="AD112" s="59">
        <f t="shared" si="31"/>
        <v>1</v>
      </c>
      <c r="AE112" s="59">
        <f t="shared" si="32"/>
        <v>0</v>
      </c>
      <c r="AF112" s="59">
        <f t="shared" si="33"/>
        <v>0</v>
      </c>
      <c r="AG112" s="59">
        <f t="shared" si="34"/>
        <v>0</v>
      </c>
      <c r="AH112" s="59">
        <v>1</v>
      </c>
      <c r="AI112" s="59">
        <v>1</v>
      </c>
      <c r="AJ112" s="59">
        <f t="shared" si="35"/>
        <v>1</v>
      </c>
      <c r="AK112" s="59">
        <f t="shared" si="36"/>
        <v>0</v>
      </c>
      <c r="AL112" s="59">
        <v>7484</v>
      </c>
      <c r="AM112" s="59">
        <v>25796</v>
      </c>
      <c r="AN112" s="59">
        <v>3</v>
      </c>
      <c r="AO112" s="59">
        <v>0</v>
      </c>
      <c r="AP112" s="59">
        <v>20</v>
      </c>
      <c r="AQ112" s="59">
        <v>4</v>
      </c>
      <c r="AR112" s="59">
        <v>3</v>
      </c>
      <c r="AS112" s="59">
        <v>80</v>
      </c>
      <c r="AT112" s="59">
        <v>0</v>
      </c>
      <c r="AU112" s="59">
        <v>23</v>
      </c>
      <c r="AV112" s="59">
        <v>1</v>
      </c>
      <c r="AW112" s="59">
        <v>2</v>
      </c>
      <c r="AX112" s="59">
        <v>13</v>
      </c>
      <c r="AY112" s="59">
        <v>12</v>
      </c>
      <c r="AZ112" s="59">
        <v>12</v>
      </c>
      <c r="BA112" s="59">
        <v>8</v>
      </c>
      <c r="BB112" s="57">
        <f t="shared" si="37"/>
        <v>22452</v>
      </c>
    </row>
    <row r="113" spans="1:54" x14ac:dyDescent="0.25">
      <c r="A113" s="58">
        <v>34</v>
      </c>
      <c r="B113" s="59">
        <v>1</v>
      </c>
      <c r="C113" s="59">
        <v>2</v>
      </c>
      <c r="D113" s="59">
        <f t="shared" si="19"/>
        <v>0</v>
      </c>
      <c r="E113" s="59">
        <f t="shared" si="20"/>
        <v>1</v>
      </c>
      <c r="F113" s="59">
        <v>658</v>
      </c>
      <c r="G113" s="59">
        <v>2</v>
      </c>
      <c r="H113" s="59">
        <f t="shared" si="21"/>
        <v>0</v>
      </c>
      <c r="I113" s="59">
        <f t="shared" si="22"/>
        <v>1</v>
      </c>
      <c r="J113" s="59">
        <v>7</v>
      </c>
      <c r="K113" s="59">
        <v>3</v>
      </c>
      <c r="L113" s="59">
        <v>1</v>
      </c>
      <c r="M113" s="59">
        <f t="shared" si="23"/>
        <v>1</v>
      </c>
      <c r="N113" s="59">
        <f t="shared" si="24"/>
        <v>0</v>
      </c>
      <c r="O113" s="59">
        <f t="shared" si="25"/>
        <v>0</v>
      </c>
      <c r="P113" s="59">
        <f t="shared" si="26"/>
        <v>0</v>
      </c>
      <c r="Q113" s="59">
        <f t="shared" si="27"/>
        <v>0</v>
      </c>
      <c r="R113" s="59">
        <v>1</v>
      </c>
      <c r="S113" s="59">
        <v>147</v>
      </c>
      <c r="T113" s="59">
        <v>1</v>
      </c>
      <c r="U113" s="59">
        <v>1</v>
      </c>
      <c r="V113" s="59">
        <v>66</v>
      </c>
      <c r="W113" s="59">
        <v>1</v>
      </c>
      <c r="X113" s="59">
        <v>2</v>
      </c>
      <c r="Y113" s="59">
        <v>3</v>
      </c>
      <c r="Z113" s="59">
        <f t="shared" si="28"/>
        <v>0</v>
      </c>
      <c r="AA113" s="59">
        <f>IF('Updated Dummy'!Y113=2,1,0)</f>
        <v>0</v>
      </c>
      <c r="AB113" s="59">
        <f t="shared" si="29"/>
        <v>1</v>
      </c>
      <c r="AC113" s="59">
        <f t="shared" si="30"/>
        <v>0</v>
      </c>
      <c r="AD113" s="59">
        <f t="shared" si="31"/>
        <v>0</v>
      </c>
      <c r="AE113" s="59">
        <f t="shared" si="32"/>
        <v>0</v>
      </c>
      <c r="AF113" s="59">
        <f t="shared" si="33"/>
        <v>0</v>
      </c>
      <c r="AG113" s="59">
        <f t="shared" si="34"/>
        <v>0</v>
      </c>
      <c r="AH113" s="59">
        <v>3</v>
      </c>
      <c r="AI113" s="59">
        <v>1</v>
      </c>
      <c r="AJ113" s="59">
        <f t="shared" si="35"/>
        <v>1</v>
      </c>
      <c r="AK113" s="59">
        <f t="shared" si="36"/>
        <v>0</v>
      </c>
      <c r="AL113" s="59">
        <v>6074</v>
      </c>
      <c r="AM113" s="59">
        <v>22887</v>
      </c>
      <c r="AN113" s="59">
        <v>1</v>
      </c>
      <c r="AO113" s="59">
        <v>1</v>
      </c>
      <c r="AP113" s="59">
        <v>24</v>
      </c>
      <c r="AQ113" s="59">
        <v>4</v>
      </c>
      <c r="AR113" s="59">
        <v>4</v>
      </c>
      <c r="AS113" s="59">
        <v>80</v>
      </c>
      <c r="AT113" s="59">
        <v>0</v>
      </c>
      <c r="AU113" s="59">
        <v>9</v>
      </c>
      <c r="AV113" s="59">
        <v>3</v>
      </c>
      <c r="AW113" s="59">
        <v>3</v>
      </c>
      <c r="AX113" s="59">
        <v>9</v>
      </c>
      <c r="AY113" s="59">
        <v>7</v>
      </c>
      <c r="AZ113" s="59">
        <v>0</v>
      </c>
      <c r="BA113" s="59">
        <v>6</v>
      </c>
      <c r="BB113" s="57">
        <f t="shared" si="37"/>
        <v>12148</v>
      </c>
    </row>
    <row r="114" spans="1:54" x14ac:dyDescent="0.25">
      <c r="A114" s="58">
        <v>54</v>
      </c>
      <c r="B114" s="59">
        <v>0</v>
      </c>
      <c r="C114" s="59">
        <v>3</v>
      </c>
      <c r="D114" s="59">
        <f t="shared" si="19"/>
        <v>0</v>
      </c>
      <c r="E114" s="59">
        <f t="shared" si="20"/>
        <v>0</v>
      </c>
      <c r="F114" s="59">
        <v>142</v>
      </c>
      <c r="G114" s="59">
        <v>3</v>
      </c>
      <c r="H114" s="59">
        <f t="shared" si="21"/>
        <v>0</v>
      </c>
      <c r="I114" s="59">
        <f t="shared" si="22"/>
        <v>0</v>
      </c>
      <c r="J114" s="59">
        <v>26</v>
      </c>
      <c r="K114" s="59">
        <v>3</v>
      </c>
      <c r="L114" s="59">
        <v>2</v>
      </c>
      <c r="M114" s="59">
        <f t="shared" si="23"/>
        <v>0</v>
      </c>
      <c r="N114" s="59">
        <f t="shared" si="24"/>
        <v>1</v>
      </c>
      <c r="O114" s="59">
        <f t="shared" si="25"/>
        <v>0</v>
      </c>
      <c r="P114" s="59">
        <f t="shared" si="26"/>
        <v>0</v>
      </c>
      <c r="Q114" s="59">
        <f t="shared" si="27"/>
        <v>0</v>
      </c>
      <c r="R114" s="59">
        <v>1</v>
      </c>
      <c r="S114" s="59">
        <v>148</v>
      </c>
      <c r="T114" s="59">
        <v>4</v>
      </c>
      <c r="U114" s="59">
        <v>0</v>
      </c>
      <c r="V114" s="59">
        <v>30</v>
      </c>
      <c r="W114" s="59">
        <v>4</v>
      </c>
      <c r="X114" s="59">
        <v>4</v>
      </c>
      <c r="Y114" s="59">
        <v>6</v>
      </c>
      <c r="Z114" s="59">
        <f t="shared" si="28"/>
        <v>0</v>
      </c>
      <c r="AA114" s="59">
        <f>IF('Updated Dummy'!Y114=2,1,0)</f>
        <v>0</v>
      </c>
      <c r="AB114" s="59">
        <f t="shared" si="29"/>
        <v>0</v>
      </c>
      <c r="AC114" s="59">
        <f t="shared" si="30"/>
        <v>0</v>
      </c>
      <c r="AD114" s="59">
        <f t="shared" si="31"/>
        <v>0</v>
      </c>
      <c r="AE114" s="59">
        <f t="shared" si="32"/>
        <v>1</v>
      </c>
      <c r="AF114" s="59">
        <f t="shared" si="33"/>
        <v>0</v>
      </c>
      <c r="AG114" s="59">
        <f t="shared" si="34"/>
        <v>0</v>
      </c>
      <c r="AH114" s="59">
        <v>4</v>
      </c>
      <c r="AI114" s="59">
        <v>1</v>
      </c>
      <c r="AJ114" s="59">
        <f t="shared" si="35"/>
        <v>1</v>
      </c>
      <c r="AK114" s="59">
        <f t="shared" si="36"/>
        <v>0</v>
      </c>
      <c r="AL114" s="59">
        <v>17328</v>
      </c>
      <c r="AM114" s="59">
        <v>13871</v>
      </c>
      <c r="AN114" s="59">
        <v>2</v>
      </c>
      <c r="AO114" s="59">
        <v>1</v>
      </c>
      <c r="AP114" s="59">
        <v>12</v>
      </c>
      <c r="AQ114" s="59">
        <v>3</v>
      </c>
      <c r="AR114" s="59">
        <v>3</v>
      </c>
      <c r="AS114" s="59">
        <v>80</v>
      </c>
      <c r="AT114" s="59">
        <v>0</v>
      </c>
      <c r="AU114" s="59">
        <v>23</v>
      </c>
      <c r="AV114" s="59">
        <v>3</v>
      </c>
      <c r="AW114" s="59">
        <v>3</v>
      </c>
      <c r="AX114" s="59">
        <v>5</v>
      </c>
      <c r="AY114" s="59">
        <v>3</v>
      </c>
      <c r="AZ114" s="59">
        <v>4</v>
      </c>
      <c r="BA114" s="59">
        <v>4</v>
      </c>
      <c r="BB114" s="57">
        <f t="shared" si="37"/>
        <v>69312</v>
      </c>
    </row>
    <row r="115" spans="1:54" x14ac:dyDescent="0.25">
      <c r="A115" s="58">
        <v>24</v>
      </c>
      <c r="B115" s="59">
        <v>0</v>
      </c>
      <c r="C115" s="59">
        <v>1</v>
      </c>
      <c r="D115" s="59">
        <f t="shared" si="19"/>
        <v>1</v>
      </c>
      <c r="E115" s="59">
        <f t="shared" si="20"/>
        <v>0</v>
      </c>
      <c r="F115" s="59">
        <v>1127</v>
      </c>
      <c r="G115" s="59">
        <v>2</v>
      </c>
      <c r="H115" s="59">
        <f t="shared" si="21"/>
        <v>0</v>
      </c>
      <c r="I115" s="59">
        <f t="shared" si="22"/>
        <v>1</v>
      </c>
      <c r="J115" s="59">
        <v>18</v>
      </c>
      <c r="K115" s="59">
        <v>1</v>
      </c>
      <c r="L115" s="59">
        <v>1</v>
      </c>
      <c r="M115" s="59">
        <f t="shared" si="23"/>
        <v>1</v>
      </c>
      <c r="N115" s="59">
        <f t="shared" si="24"/>
        <v>0</v>
      </c>
      <c r="O115" s="59">
        <f t="shared" si="25"/>
        <v>0</v>
      </c>
      <c r="P115" s="59">
        <f t="shared" si="26"/>
        <v>0</v>
      </c>
      <c r="Q115" s="59">
        <f t="shared" si="27"/>
        <v>0</v>
      </c>
      <c r="R115" s="59">
        <v>1</v>
      </c>
      <c r="S115" s="59">
        <v>150</v>
      </c>
      <c r="T115" s="59">
        <v>2</v>
      </c>
      <c r="U115" s="59">
        <v>1</v>
      </c>
      <c r="V115" s="59">
        <v>52</v>
      </c>
      <c r="W115" s="59">
        <v>3</v>
      </c>
      <c r="X115" s="59">
        <v>1</v>
      </c>
      <c r="Y115" s="59">
        <v>3</v>
      </c>
      <c r="Z115" s="59">
        <f t="shared" si="28"/>
        <v>0</v>
      </c>
      <c r="AA115" s="59">
        <f>IF('Updated Dummy'!Y115=2,1,0)</f>
        <v>0</v>
      </c>
      <c r="AB115" s="59">
        <f t="shared" si="29"/>
        <v>1</v>
      </c>
      <c r="AC115" s="59">
        <f t="shared" si="30"/>
        <v>0</v>
      </c>
      <c r="AD115" s="59">
        <f t="shared" si="31"/>
        <v>0</v>
      </c>
      <c r="AE115" s="59">
        <f t="shared" si="32"/>
        <v>0</v>
      </c>
      <c r="AF115" s="59">
        <f t="shared" si="33"/>
        <v>0</v>
      </c>
      <c r="AG115" s="59">
        <f t="shared" si="34"/>
        <v>0</v>
      </c>
      <c r="AH115" s="59">
        <v>3</v>
      </c>
      <c r="AI115" s="59">
        <v>2</v>
      </c>
      <c r="AJ115" s="59">
        <f t="shared" si="35"/>
        <v>0</v>
      </c>
      <c r="AK115" s="59">
        <f t="shared" si="36"/>
        <v>1</v>
      </c>
      <c r="AL115" s="59">
        <v>2774</v>
      </c>
      <c r="AM115" s="59">
        <v>13257</v>
      </c>
      <c r="AN115" s="59">
        <v>0</v>
      </c>
      <c r="AO115" s="59">
        <v>0</v>
      </c>
      <c r="AP115" s="59">
        <v>12</v>
      </c>
      <c r="AQ115" s="59">
        <v>3</v>
      </c>
      <c r="AR115" s="59">
        <v>3</v>
      </c>
      <c r="AS115" s="59">
        <v>80</v>
      </c>
      <c r="AT115" s="59">
        <v>1</v>
      </c>
      <c r="AU115" s="59">
        <v>6</v>
      </c>
      <c r="AV115" s="59">
        <v>2</v>
      </c>
      <c r="AW115" s="59">
        <v>3</v>
      </c>
      <c r="AX115" s="59">
        <v>5</v>
      </c>
      <c r="AY115" s="59">
        <v>3</v>
      </c>
      <c r="AZ115" s="59">
        <v>1</v>
      </c>
      <c r="BA115" s="59">
        <v>2</v>
      </c>
      <c r="BB115" s="57">
        <f t="shared" si="37"/>
        <v>2774</v>
      </c>
    </row>
    <row r="116" spans="1:54" x14ac:dyDescent="0.25">
      <c r="A116" s="58">
        <v>34</v>
      </c>
      <c r="B116" s="59">
        <v>0</v>
      </c>
      <c r="C116" s="59">
        <v>1</v>
      </c>
      <c r="D116" s="59">
        <f t="shared" si="19"/>
        <v>1</v>
      </c>
      <c r="E116" s="59">
        <f t="shared" si="20"/>
        <v>0</v>
      </c>
      <c r="F116" s="59">
        <v>1031</v>
      </c>
      <c r="G116" s="59">
        <v>2</v>
      </c>
      <c r="H116" s="59">
        <f t="shared" si="21"/>
        <v>0</v>
      </c>
      <c r="I116" s="59">
        <f t="shared" si="22"/>
        <v>1</v>
      </c>
      <c r="J116" s="59">
        <v>6</v>
      </c>
      <c r="K116" s="59">
        <v>4</v>
      </c>
      <c r="L116" s="59">
        <v>1</v>
      </c>
      <c r="M116" s="59">
        <f t="shared" si="23"/>
        <v>1</v>
      </c>
      <c r="N116" s="59">
        <f t="shared" si="24"/>
        <v>0</v>
      </c>
      <c r="O116" s="59">
        <f t="shared" si="25"/>
        <v>0</v>
      </c>
      <c r="P116" s="59">
        <f t="shared" si="26"/>
        <v>0</v>
      </c>
      <c r="Q116" s="59">
        <f t="shared" si="27"/>
        <v>0</v>
      </c>
      <c r="R116" s="59">
        <v>1</v>
      </c>
      <c r="S116" s="59">
        <v>151</v>
      </c>
      <c r="T116" s="59">
        <v>3</v>
      </c>
      <c r="U116" s="59">
        <v>0</v>
      </c>
      <c r="V116" s="59">
        <v>45</v>
      </c>
      <c r="W116" s="59">
        <v>2</v>
      </c>
      <c r="X116" s="59">
        <v>2</v>
      </c>
      <c r="Y116" s="59">
        <v>2</v>
      </c>
      <c r="Z116" s="59">
        <f t="shared" si="28"/>
        <v>0</v>
      </c>
      <c r="AA116" s="59">
        <f>IF('Updated Dummy'!Y116=2,1,0)</f>
        <v>1</v>
      </c>
      <c r="AB116" s="59">
        <f t="shared" si="29"/>
        <v>0</v>
      </c>
      <c r="AC116" s="59">
        <f t="shared" si="30"/>
        <v>0</v>
      </c>
      <c r="AD116" s="59">
        <f t="shared" si="31"/>
        <v>0</v>
      </c>
      <c r="AE116" s="59">
        <f t="shared" si="32"/>
        <v>0</v>
      </c>
      <c r="AF116" s="59">
        <f t="shared" si="33"/>
        <v>0</v>
      </c>
      <c r="AG116" s="59">
        <f t="shared" si="34"/>
        <v>0</v>
      </c>
      <c r="AH116" s="59">
        <v>2</v>
      </c>
      <c r="AI116" s="59">
        <v>3</v>
      </c>
      <c r="AJ116" s="59">
        <f t="shared" si="35"/>
        <v>0</v>
      </c>
      <c r="AK116" s="59">
        <f t="shared" si="36"/>
        <v>0</v>
      </c>
      <c r="AL116" s="59">
        <v>4505</v>
      </c>
      <c r="AM116" s="59">
        <v>15000</v>
      </c>
      <c r="AN116" s="59">
        <v>6</v>
      </c>
      <c r="AO116" s="59">
        <v>0</v>
      </c>
      <c r="AP116" s="59">
        <v>15</v>
      </c>
      <c r="AQ116" s="59">
        <v>3</v>
      </c>
      <c r="AR116" s="59">
        <v>3</v>
      </c>
      <c r="AS116" s="59">
        <v>80</v>
      </c>
      <c r="AT116" s="59">
        <v>1</v>
      </c>
      <c r="AU116" s="59">
        <v>12</v>
      </c>
      <c r="AV116" s="59">
        <v>3</v>
      </c>
      <c r="AW116" s="59">
        <v>3</v>
      </c>
      <c r="AX116" s="59">
        <v>1</v>
      </c>
      <c r="AY116" s="59">
        <v>0</v>
      </c>
      <c r="AZ116" s="59">
        <v>0</v>
      </c>
      <c r="BA116" s="59">
        <v>0</v>
      </c>
      <c r="BB116" s="57">
        <f t="shared" si="37"/>
        <v>9010</v>
      </c>
    </row>
    <row r="117" spans="1:54" x14ac:dyDescent="0.25">
      <c r="A117" s="58">
        <v>37</v>
      </c>
      <c r="B117" s="59">
        <v>0</v>
      </c>
      <c r="C117" s="59">
        <v>1</v>
      </c>
      <c r="D117" s="59">
        <f t="shared" si="19"/>
        <v>1</v>
      </c>
      <c r="E117" s="59">
        <f t="shared" si="20"/>
        <v>0</v>
      </c>
      <c r="F117" s="59">
        <v>1189</v>
      </c>
      <c r="G117" s="59">
        <v>1</v>
      </c>
      <c r="H117" s="59">
        <f t="shared" si="21"/>
        <v>1</v>
      </c>
      <c r="I117" s="59">
        <f t="shared" si="22"/>
        <v>0</v>
      </c>
      <c r="J117" s="59">
        <v>3</v>
      </c>
      <c r="K117" s="59">
        <v>3</v>
      </c>
      <c r="L117" s="59">
        <v>1</v>
      </c>
      <c r="M117" s="59">
        <f t="shared" si="23"/>
        <v>1</v>
      </c>
      <c r="N117" s="59">
        <f t="shared" si="24"/>
        <v>0</v>
      </c>
      <c r="O117" s="59">
        <f t="shared" si="25"/>
        <v>0</v>
      </c>
      <c r="P117" s="59">
        <f t="shared" si="26"/>
        <v>0</v>
      </c>
      <c r="Q117" s="59">
        <f t="shared" si="27"/>
        <v>0</v>
      </c>
      <c r="R117" s="59">
        <v>1</v>
      </c>
      <c r="S117" s="59">
        <v>152</v>
      </c>
      <c r="T117" s="59">
        <v>3</v>
      </c>
      <c r="U117" s="59">
        <v>1</v>
      </c>
      <c r="V117" s="59">
        <v>87</v>
      </c>
      <c r="W117" s="59">
        <v>3</v>
      </c>
      <c r="X117" s="59">
        <v>3</v>
      </c>
      <c r="Y117" s="59">
        <v>1</v>
      </c>
      <c r="Z117" s="59">
        <f t="shared" si="28"/>
        <v>1</v>
      </c>
      <c r="AA117" s="59">
        <f>IF('Updated Dummy'!Y117=2,1,0)</f>
        <v>0</v>
      </c>
      <c r="AB117" s="59">
        <f t="shared" si="29"/>
        <v>0</v>
      </c>
      <c r="AC117" s="59">
        <f t="shared" si="30"/>
        <v>0</v>
      </c>
      <c r="AD117" s="59">
        <f t="shared" si="31"/>
        <v>0</v>
      </c>
      <c r="AE117" s="59">
        <f t="shared" si="32"/>
        <v>0</v>
      </c>
      <c r="AF117" s="59">
        <f t="shared" si="33"/>
        <v>0</v>
      </c>
      <c r="AG117" s="59">
        <f t="shared" si="34"/>
        <v>0</v>
      </c>
      <c r="AH117" s="59">
        <v>4</v>
      </c>
      <c r="AI117" s="59">
        <v>1</v>
      </c>
      <c r="AJ117" s="59">
        <f t="shared" si="35"/>
        <v>1</v>
      </c>
      <c r="AK117" s="59">
        <f t="shared" si="36"/>
        <v>0</v>
      </c>
      <c r="AL117" s="59">
        <v>7428</v>
      </c>
      <c r="AM117" s="59">
        <v>14506</v>
      </c>
      <c r="AN117" s="59">
        <v>2</v>
      </c>
      <c r="AO117" s="59">
        <v>0</v>
      </c>
      <c r="AP117" s="59">
        <v>12</v>
      </c>
      <c r="AQ117" s="59">
        <v>3</v>
      </c>
      <c r="AR117" s="59">
        <v>1</v>
      </c>
      <c r="AS117" s="59">
        <v>80</v>
      </c>
      <c r="AT117" s="59">
        <v>0</v>
      </c>
      <c r="AU117" s="59">
        <v>12</v>
      </c>
      <c r="AV117" s="59">
        <v>3</v>
      </c>
      <c r="AW117" s="59">
        <v>3</v>
      </c>
      <c r="AX117" s="59">
        <v>5</v>
      </c>
      <c r="AY117" s="59">
        <v>3</v>
      </c>
      <c r="AZ117" s="59">
        <v>1</v>
      </c>
      <c r="BA117" s="59">
        <v>3</v>
      </c>
      <c r="BB117" s="57">
        <f t="shared" si="37"/>
        <v>22284</v>
      </c>
    </row>
    <row r="118" spans="1:54" x14ac:dyDescent="0.25">
      <c r="A118" s="58">
        <v>34</v>
      </c>
      <c r="B118" s="59">
        <v>0</v>
      </c>
      <c r="C118" s="59">
        <v>1</v>
      </c>
      <c r="D118" s="59">
        <f t="shared" si="19"/>
        <v>1</v>
      </c>
      <c r="E118" s="59">
        <f t="shared" si="20"/>
        <v>0</v>
      </c>
      <c r="F118" s="59">
        <v>1354</v>
      </c>
      <c r="G118" s="59">
        <v>2</v>
      </c>
      <c r="H118" s="59">
        <f t="shared" si="21"/>
        <v>0</v>
      </c>
      <c r="I118" s="59">
        <f t="shared" si="22"/>
        <v>1</v>
      </c>
      <c r="J118" s="59">
        <v>5</v>
      </c>
      <c r="K118" s="59">
        <v>3</v>
      </c>
      <c r="L118" s="59">
        <v>3</v>
      </c>
      <c r="M118" s="59">
        <f t="shared" si="23"/>
        <v>0</v>
      </c>
      <c r="N118" s="59">
        <f t="shared" si="24"/>
        <v>0</v>
      </c>
      <c r="O118" s="59">
        <f t="shared" si="25"/>
        <v>1</v>
      </c>
      <c r="P118" s="59">
        <f t="shared" si="26"/>
        <v>0</v>
      </c>
      <c r="Q118" s="59">
        <f t="shared" si="27"/>
        <v>0</v>
      </c>
      <c r="R118" s="59">
        <v>1</v>
      </c>
      <c r="S118" s="59">
        <v>153</v>
      </c>
      <c r="T118" s="59">
        <v>3</v>
      </c>
      <c r="U118" s="59">
        <v>0</v>
      </c>
      <c r="V118" s="59">
        <v>45</v>
      </c>
      <c r="W118" s="59">
        <v>2</v>
      </c>
      <c r="X118" s="59">
        <v>3</v>
      </c>
      <c r="Y118" s="59">
        <v>6</v>
      </c>
      <c r="Z118" s="59">
        <f t="shared" si="28"/>
        <v>0</v>
      </c>
      <c r="AA118" s="59">
        <f>IF('Updated Dummy'!Y118=2,1,0)</f>
        <v>0</v>
      </c>
      <c r="AB118" s="59">
        <f t="shared" si="29"/>
        <v>0</v>
      </c>
      <c r="AC118" s="59">
        <f t="shared" si="30"/>
        <v>0</v>
      </c>
      <c r="AD118" s="59">
        <f t="shared" si="31"/>
        <v>0</v>
      </c>
      <c r="AE118" s="59">
        <f t="shared" si="32"/>
        <v>1</v>
      </c>
      <c r="AF118" s="59">
        <f t="shared" si="33"/>
        <v>0</v>
      </c>
      <c r="AG118" s="59">
        <f t="shared" si="34"/>
        <v>0</v>
      </c>
      <c r="AH118" s="59">
        <v>1</v>
      </c>
      <c r="AI118" s="59">
        <v>1</v>
      </c>
      <c r="AJ118" s="59">
        <f t="shared" si="35"/>
        <v>1</v>
      </c>
      <c r="AK118" s="59">
        <f t="shared" si="36"/>
        <v>0</v>
      </c>
      <c r="AL118" s="59">
        <v>11631</v>
      </c>
      <c r="AM118" s="59">
        <v>5615</v>
      </c>
      <c r="AN118" s="59">
        <v>2</v>
      </c>
      <c r="AO118" s="59">
        <v>0</v>
      </c>
      <c r="AP118" s="59">
        <v>12</v>
      </c>
      <c r="AQ118" s="59">
        <v>3</v>
      </c>
      <c r="AR118" s="59">
        <v>4</v>
      </c>
      <c r="AS118" s="59">
        <v>80</v>
      </c>
      <c r="AT118" s="59">
        <v>0</v>
      </c>
      <c r="AU118" s="59">
        <v>14</v>
      </c>
      <c r="AV118" s="59">
        <v>6</v>
      </c>
      <c r="AW118" s="59">
        <v>3</v>
      </c>
      <c r="AX118" s="59">
        <v>11</v>
      </c>
      <c r="AY118" s="59">
        <v>10</v>
      </c>
      <c r="AZ118" s="59">
        <v>5</v>
      </c>
      <c r="BA118" s="59">
        <v>8</v>
      </c>
      <c r="BB118" s="57">
        <f t="shared" si="37"/>
        <v>34893</v>
      </c>
    </row>
    <row r="119" spans="1:54" x14ac:dyDescent="0.25">
      <c r="A119" s="58">
        <v>36</v>
      </c>
      <c r="B119" s="59">
        <v>0</v>
      </c>
      <c r="C119" s="59">
        <v>2</v>
      </c>
      <c r="D119" s="59">
        <f t="shared" si="19"/>
        <v>0</v>
      </c>
      <c r="E119" s="59">
        <f t="shared" si="20"/>
        <v>1</v>
      </c>
      <c r="F119" s="59">
        <v>1467</v>
      </c>
      <c r="G119" s="59">
        <v>1</v>
      </c>
      <c r="H119" s="59">
        <f t="shared" si="21"/>
        <v>1</v>
      </c>
      <c r="I119" s="59">
        <f t="shared" si="22"/>
        <v>0</v>
      </c>
      <c r="J119" s="59">
        <v>11</v>
      </c>
      <c r="K119" s="59">
        <v>2</v>
      </c>
      <c r="L119" s="59">
        <v>5</v>
      </c>
      <c r="M119" s="59">
        <f t="shared" si="23"/>
        <v>0</v>
      </c>
      <c r="N119" s="59">
        <f t="shared" si="24"/>
        <v>0</v>
      </c>
      <c r="O119" s="59">
        <f t="shared" si="25"/>
        <v>0</v>
      </c>
      <c r="P119" s="59">
        <f t="shared" si="26"/>
        <v>0</v>
      </c>
      <c r="Q119" s="59">
        <f t="shared" si="27"/>
        <v>1</v>
      </c>
      <c r="R119" s="59">
        <v>1</v>
      </c>
      <c r="S119" s="59">
        <v>154</v>
      </c>
      <c r="T119" s="59">
        <v>2</v>
      </c>
      <c r="U119" s="59">
        <v>0</v>
      </c>
      <c r="V119" s="59">
        <v>92</v>
      </c>
      <c r="W119" s="59">
        <v>3</v>
      </c>
      <c r="X119" s="59">
        <v>3</v>
      </c>
      <c r="Y119" s="59">
        <v>1</v>
      </c>
      <c r="Z119" s="59">
        <f t="shared" si="28"/>
        <v>1</v>
      </c>
      <c r="AA119" s="59">
        <f>IF('Updated Dummy'!Y119=2,1,0)</f>
        <v>0</v>
      </c>
      <c r="AB119" s="59">
        <f t="shared" si="29"/>
        <v>0</v>
      </c>
      <c r="AC119" s="59">
        <f t="shared" si="30"/>
        <v>0</v>
      </c>
      <c r="AD119" s="59">
        <f t="shared" si="31"/>
        <v>0</v>
      </c>
      <c r="AE119" s="59">
        <f t="shared" si="32"/>
        <v>0</v>
      </c>
      <c r="AF119" s="59">
        <f t="shared" si="33"/>
        <v>0</v>
      </c>
      <c r="AG119" s="59">
        <f t="shared" si="34"/>
        <v>0</v>
      </c>
      <c r="AH119" s="59">
        <v>4</v>
      </c>
      <c r="AI119" s="59">
        <v>2</v>
      </c>
      <c r="AJ119" s="59">
        <f t="shared" si="35"/>
        <v>0</v>
      </c>
      <c r="AK119" s="59">
        <f t="shared" si="36"/>
        <v>1</v>
      </c>
      <c r="AL119" s="59">
        <v>9738</v>
      </c>
      <c r="AM119" s="59">
        <v>22952</v>
      </c>
      <c r="AN119" s="59">
        <v>0</v>
      </c>
      <c r="AO119" s="59">
        <v>0</v>
      </c>
      <c r="AP119" s="59">
        <v>14</v>
      </c>
      <c r="AQ119" s="59">
        <v>3</v>
      </c>
      <c r="AR119" s="59">
        <v>3</v>
      </c>
      <c r="AS119" s="59">
        <v>80</v>
      </c>
      <c r="AT119" s="59">
        <v>1</v>
      </c>
      <c r="AU119" s="59">
        <v>10</v>
      </c>
      <c r="AV119" s="59">
        <v>6</v>
      </c>
      <c r="AW119" s="59">
        <v>3</v>
      </c>
      <c r="AX119" s="59">
        <v>9</v>
      </c>
      <c r="AY119" s="59">
        <v>7</v>
      </c>
      <c r="AZ119" s="59">
        <v>2</v>
      </c>
      <c r="BA119" s="59">
        <v>8</v>
      </c>
      <c r="BB119" s="57">
        <f t="shared" si="37"/>
        <v>29214</v>
      </c>
    </row>
    <row r="120" spans="1:54" x14ac:dyDescent="0.25">
      <c r="A120" s="58">
        <v>36</v>
      </c>
      <c r="B120" s="59">
        <v>0</v>
      </c>
      <c r="C120" s="59">
        <v>1</v>
      </c>
      <c r="D120" s="59">
        <f t="shared" si="19"/>
        <v>1</v>
      </c>
      <c r="E120" s="59">
        <f t="shared" si="20"/>
        <v>0</v>
      </c>
      <c r="F120" s="59">
        <v>922</v>
      </c>
      <c r="G120" s="59">
        <v>2</v>
      </c>
      <c r="H120" s="59">
        <f t="shared" si="21"/>
        <v>0</v>
      </c>
      <c r="I120" s="59">
        <f t="shared" si="22"/>
        <v>1</v>
      </c>
      <c r="J120" s="59">
        <v>3</v>
      </c>
      <c r="K120" s="59">
        <v>2</v>
      </c>
      <c r="L120" s="59">
        <v>1</v>
      </c>
      <c r="M120" s="59">
        <f t="shared" si="23"/>
        <v>1</v>
      </c>
      <c r="N120" s="59">
        <f t="shared" si="24"/>
        <v>0</v>
      </c>
      <c r="O120" s="59">
        <f t="shared" si="25"/>
        <v>0</v>
      </c>
      <c r="P120" s="59">
        <f t="shared" si="26"/>
        <v>0</v>
      </c>
      <c r="Q120" s="59">
        <f t="shared" si="27"/>
        <v>0</v>
      </c>
      <c r="R120" s="59">
        <v>1</v>
      </c>
      <c r="S120" s="59">
        <v>155</v>
      </c>
      <c r="T120" s="59">
        <v>1</v>
      </c>
      <c r="U120" s="59">
        <v>0</v>
      </c>
      <c r="V120" s="59">
        <v>39</v>
      </c>
      <c r="W120" s="59">
        <v>3</v>
      </c>
      <c r="X120" s="59">
        <v>1</v>
      </c>
      <c r="Y120" s="59">
        <v>3</v>
      </c>
      <c r="Z120" s="59">
        <f t="shared" si="28"/>
        <v>0</v>
      </c>
      <c r="AA120" s="59">
        <f>IF('Updated Dummy'!Y120=2,1,0)</f>
        <v>0</v>
      </c>
      <c r="AB120" s="59">
        <f t="shared" si="29"/>
        <v>1</v>
      </c>
      <c r="AC120" s="59">
        <f t="shared" si="30"/>
        <v>0</v>
      </c>
      <c r="AD120" s="59">
        <f t="shared" si="31"/>
        <v>0</v>
      </c>
      <c r="AE120" s="59">
        <f t="shared" si="32"/>
        <v>0</v>
      </c>
      <c r="AF120" s="59">
        <f t="shared" si="33"/>
        <v>0</v>
      </c>
      <c r="AG120" s="59">
        <f t="shared" si="34"/>
        <v>0</v>
      </c>
      <c r="AH120" s="59">
        <v>4</v>
      </c>
      <c r="AI120" s="59">
        <v>3</v>
      </c>
      <c r="AJ120" s="59">
        <f t="shared" si="35"/>
        <v>0</v>
      </c>
      <c r="AK120" s="59">
        <f t="shared" si="36"/>
        <v>0</v>
      </c>
      <c r="AL120" s="59">
        <v>2835</v>
      </c>
      <c r="AM120" s="59">
        <v>2561</v>
      </c>
      <c r="AN120" s="59">
        <v>5</v>
      </c>
      <c r="AO120" s="59">
        <v>0</v>
      </c>
      <c r="AP120" s="59">
        <v>22</v>
      </c>
      <c r="AQ120" s="59">
        <v>4</v>
      </c>
      <c r="AR120" s="59">
        <v>1</v>
      </c>
      <c r="AS120" s="59">
        <v>80</v>
      </c>
      <c r="AT120" s="59">
        <v>1</v>
      </c>
      <c r="AU120" s="59">
        <v>7</v>
      </c>
      <c r="AV120" s="59">
        <v>2</v>
      </c>
      <c r="AW120" s="59">
        <v>3</v>
      </c>
      <c r="AX120" s="59">
        <v>1</v>
      </c>
      <c r="AY120" s="59">
        <v>0</v>
      </c>
      <c r="AZ120" s="59">
        <v>0</v>
      </c>
      <c r="BA120" s="59">
        <v>0</v>
      </c>
      <c r="BB120" s="57">
        <f t="shared" si="37"/>
        <v>2835</v>
      </c>
    </row>
    <row r="121" spans="1:54" x14ac:dyDescent="0.25">
      <c r="A121" s="58">
        <v>43</v>
      </c>
      <c r="B121" s="59">
        <v>0</v>
      </c>
      <c r="C121" s="59">
        <v>2</v>
      </c>
      <c r="D121" s="59">
        <f t="shared" si="19"/>
        <v>0</v>
      </c>
      <c r="E121" s="59">
        <f t="shared" si="20"/>
        <v>1</v>
      </c>
      <c r="F121" s="59">
        <v>394</v>
      </c>
      <c r="G121" s="59">
        <v>1</v>
      </c>
      <c r="H121" s="59">
        <f t="shared" si="21"/>
        <v>1</v>
      </c>
      <c r="I121" s="59">
        <f t="shared" si="22"/>
        <v>0</v>
      </c>
      <c r="J121" s="59">
        <v>26</v>
      </c>
      <c r="K121" s="59">
        <v>2</v>
      </c>
      <c r="L121" s="59">
        <v>1</v>
      </c>
      <c r="M121" s="59">
        <f t="shared" si="23"/>
        <v>1</v>
      </c>
      <c r="N121" s="59">
        <f t="shared" si="24"/>
        <v>0</v>
      </c>
      <c r="O121" s="59">
        <f t="shared" si="25"/>
        <v>0</v>
      </c>
      <c r="P121" s="59">
        <f t="shared" si="26"/>
        <v>0</v>
      </c>
      <c r="Q121" s="59">
        <f t="shared" si="27"/>
        <v>0</v>
      </c>
      <c r="R121" s="59">
        <v>1</v>
      </c>
      <c r="S121" s="59">
        <v>158</v>
      </c>
      <c r="T121" s="59">
        <v>3</v>
      </c>
      <c r="U121" s="59">
        <v>1</v>
      </c>
      <c r="V121" s="59">
        <v>92</v>
      </c>
      <c r="W121" s="59">
        <v>3</v>
      </c>
      <c r="X121" s="59">
        <v>4</v>
      </c>
      <c r="Y121" s="59">
        <v>6</v>
      </c>
      <c r="Z121" s="59">
        <f t="shared" si="28"/>
        <v>0</v>
      </c>
      <c r="AA121" s="59">
        <f>IF('Updated Dummy'!Y121=2,1,0)</f>
        <v>0</v>
      </c>
      <c r="AB121" s="59">
        <f t="shared" si="29"/>
        <v>0</v>
      </c>
      <c r="AC121" s="59">
        <f t="shared" si="30"/>
        <v>0</v>
      </c>
      <c r="AD121" s="59">
        <f t="shared" si="31"/>
        <v>0</v>
      </c>
      <c r="AE121" s="59">
        <f t="shared" si="32"/>
        <v>1</v>
      </c>
      <c r="AF121" s="59">
        <f t="shared" si="33"/>
        <v>0</v>
      </c>
      <c r="AG121" s="59">
        <f t="shared" si="34"/>
        <v>0</v>
      </c>
      <c r="AH121" s="59">
        <v>4</v>
      </c>
      <c r="AI121" s="59">
        <v>2</v>
      </c>
      <c r="AJ121" s="59">
        <f t="shared" si="35"/>
        <v>0</v>
      </c>
      <c r="AK121" s="59">
        <f t="shared" si="36"/>
        <v>1</v>
      </c>
      <c r="AL121" s="59">
        <v>16959</v>
      </c>
      <c r="AM121" s="59">
        <v>19494</v>
      </c>
      <c r="AN121" s="59">
        <v>1</v>
      </c>
      <c r="AO121" s="59">
        <v>1</v>
      </c>
      <c r="AP121" s="59">
        <v>12</v>
      </c>
      <c r="AQ121" s="59">
        <v>3</v>
      </c>
      <c r="AR121" s="59">
        <v>4</v>
      </c>
      <c r="AS121" s="59">
        <v>80</v>
      </c>
      <c r="AT121" s="59">
        <v>2</v>
      </c>
      <c r="AU121" s="59">
        <v>25</v>
      </c>
      <c r="AV121" s="59">
        <v>3</v>
      </c>
      <c r="AW121" s="59">
        <v>4</v>
      </c>
      <c r="AX121" s="59">
        <v>25</v>
      </c>
      <c r="AY121" s="59">
        <v>12</v>
      </c>
      <c r="AZ121" s="59">
        <v>4</v>
      </c>
      <c r="BA121" s="59">
        <v>12</v>
      </c>
      <c r="BB121" s="57">
        <f t="shared" si="37"/>
        <v>67836</v>
      </c>
    </row>
    <row r="122" spans="1:54" x14ac:dyDescent="0.25">
      <c r="A122" s="58">
        <v>30</v>
      </c>
      <c r="B122" s="59">
        <v>0</v>
      </c>
      <c r="C122" s="59">
        <v>2</v>
      </c>
      <c r="D122" s="59">
        <f t="shared" si="19"/>
        <v>0</v>
      </c>
      <c r="E122" s="59">
        <f t="shared" si="20"/>
        <v>1</v>
      </c>
      <c r="F122" s="59">
        <v>1312</v>
      </c>
      <c r="G122" s="59">
        <v>2</v>
      </c>
      <c r="H122" s="59">
        <f t="shared" si="21"/>
        <v>0</v>
      </c>
      <c r="I122" s="59">
        <f t="shared" si="22"/>
        <v>1</v>
      </c>
      <c r="J122" s="59">
        <v>23</v>
      </c>
      <c r="K122" s="59">
        <v>3</v>
      </c>
      <c r="L122" s="59">
        <v>1</v>
      </c>
      <c r="M122" s="59">
        <f t="shared" si="23"/>
        <v>1</v>
      </c>
      <c r="N122" s="59">
        <f t="shared" si="24"/>
        <v>0</v>
      </c>
      <c r="O122" s="59">
        <f t="shared" si="25"/>
        <v>0</v>
      </c>
      <c r="P122" s="59">
        <f t="shared" si="26"/>
        <v>0</v>
      </c>
      <c r="Q122" s="59">
        <f t="shared" si="27"/>
        <v>0</v>
      </c>
      <c r="R122" s="59">
        <v>1</v>
      </c>
      <c r="S122" s="59">
        <v>159</v>
      </c>
      <c r="T122" s="59">
        <v>1</v>
      </c>
      <c r="U122" s="59">
        <v>1</v>
      </c>
      <c r="V122" s="59">
        <v>96</v>
      </c>
      <c r="W122" s="59">
        <v>1</v>
      </c>
      <c r="X122" s="59">
        <v>1</v>
      </c>
      <c r="Y122" s="59">
        <v>2</v>
      </c>
      <c r="Z122" s="59">
        <f t="shared" si="28"/>
        <v>0</v>
      </c>
      <c r="AA122" s="59">
        <f>IF('Updated Dummy'!Y122=2,1,0)</f>
        <v>1</v>
      </c>
      <c r="AB122" s="59">
        <f t="shared" si="29"/>
        <v>0</v>
      </c>
      <c r="AC122" s="59">
        <f t="shared" si="30"/>
        <v>0</v>
      </c>
      <c r="AD122" s="59">
        <f t="shared" si="31"/>
        <v>0</v>
      </c>
      <c r="AE122" s="59">
        <f t="shared" si="32"/>
        <v>0</v>
      </c>
      <c r="AF122" s="59">
        <f t="shared" si="33"/>
        <v>0</v>
      </c>
      <c r="AG122" s="59">
        <f t="shared" si="34"/>
        <v>0</v>
      </c>
      <c r="AH122" s="59">
        <v>3</v>
      </c>
      <c r="AI122" s="59">
        <v>3</v>
      </c>
      <c r="AJ122" s="59">
        <f t="shared" si="35"/>
        <v>0</v>
      </c>
      <c r="AK122" s="59">
        <f t="shared" si="36"/>
        <v>0</v>
      </c>
      <c r="AL122" s="59">
        <v>2613</v>
      </c>
      <c r="AM122" s="59">
        <v>22310</v>
      </c>
      <c r="AN122" s="59">
        <v>1</v>
      </c>
      <c r="AO122" s="59">
        <v>0</v>
      </c>
      <c r="AP122" s="59">
        <v>25</v>
      </c>
      <c r="AQ122" s="59">
        <v>4</v>
      </c>
      <c r="AR122" s="59">
        <v>3</v>
      </c>
      <c r="AS122" s="59">
        <v>80</v>
      </c>
      <c r="AT122" s="59">
        <v>3</v>
      </c>
      <c r="AU122" s="59">
        <v>10</v>
      </c>
      <c r="AV122" s="59">
        <v>2</v>
      </c>
      <c r="AW122" s="59">
        <v>2</v>
      </c>
      <c r="AX122" s="59">
        <v>10</v>
      </c>
      <c r="AY122" s="59">
        <v>7</v>
      </c>
      <c r="AZ122" s="59">
        <v>0</v>
      </c>
      <c r="BA122" s="59">
        <v>9</v>
      </c>
      <c r="BB122" s="57">
        <f t="shared" si="37"/>
        <v>2613</v>
      </c>
    </row>
    <row r="123" spans="1:54" x14ac:dyDescent="0.25">
      <c r="A123" s="58">
        <v>33</v>
      </c>
      <c r="B123" s="59">
        <v>0</v>
      </c>
      <c r="C123" s="59">
        <v>3</v>
      </c>
      <c r="D123" s="59">
        <f t="shared" si="19"/>
        <v>0</v>
      </c>
      <c r="E123" s="59">
        <f t="shared" si="20"/>
        <v>0</v>
      </c>
      <c r="F123" s="59">
        <v>750</v>
      </c>
      <c r="G123" s="59">
        <v>1</v>
      </c>
      <c r="H123" s="59">
        <f t="shared" si="21"/>
        <v>1</v>
      </c>
      <c r="I123" s="59">
        <f t="shared" si="22"/>
        <v>0</v>
      </c>
      <c r="J123" s="59">
        <v>22</v>
      </c>
      <c r="K123" s="59">
        <v>2</v>
      </c>
      <c r="L123" s="59">
        <v>4</v>
      </c>
      <c r="M123" s="59">
        <f t="shared" si="23"/>
        <v>0</v>
      </c>
      <c r="N123" s="59">
        <f t="shared" si="24"/>
        <v>0</v>
      </c>
      <c r="O123" s="59">
        <f t="shared" si="25"/>
        <v>0</v>
      </c>
      <c r="P123" s="59">
        <f t="shared" si="26"/>
        <v>1</v>
      </c>
      <c r="Q123" s="59">
        <f t="shared" si="27"/>
        <v>0</v>
      </c>
      <c r="R123" s="59">
        <v>1</v>
      </c>
      <c r="S123" s="59">
        <v>160</v>
      </c>
      <c r="T123" s="59">
        <v>3</v>
      </c>
      <c r="U123" s="59">
        <v>1</v>
      </c>
      <c r="V123" s="59">
        <v>95</v>
      </c>
      <c r="W123" s="59">
        <v>3</v>
      </c>
      <c r="X123" s="59">
        <v>2</v>
      </c>
      <c r="Y123" s="59">
        <v>1</v>
      </c>
      <c r="Z123" s="59">
        <f t="shared" si="28"/>
        <v>1</v>
      </c>
      <c r="AA123" s="59">
        <f>IF('Updated Dummy'!Y123=2,1,0)</f>
        <v>0</v>
      </c>
      <c r="AB123" s="59">
        <f t="shared" si="29"/>
        <v>0</v>
      </c>
      <c r="AC123" s="59">
        <f t="shared" si="30"/>
        <v>0</v>
      </c>
      <c r="AD123" s="59">
        <f t="shared" si="31"/>
        <v>0</v>
      </c>
      <c r="AE123" s="59">
        <f t="shared" si="32"/>
        <v>0</v>
      </c>
      <c r="AF123" s="59">
        <f t="shared" si="33"/>
        <v>0</v>
      </c>
      <c r="AG123" s="59">
        <f t="shared" si="34"/>
        <v>0</v>
      </c>
      <c r="AH123" s="59">
        <v>2</v>
      </c>
      <c r="AI123" s="59">
        <v>2</v>
      </c>
      <c r="AJ123" s="59">
        <f t="shared" si="35"/>
        <v>0</v>
      </c>
      <c r="AK123" s="59">
        <f t="shared" si="36"/>
        <v>1</v>
      </c>
      <c r="AL123" s="59">
        <v>6146</v>
      </c>
      <c r="AM123" s="59">
        <v>15480</v>
      </c>
      <c r="AN123" s="59">
        <v>0</v>
      </c>
      <c r="AO123" s="59">
        <v>0</v>
      </c>
      <c r="AP123" s="59">
        <v>13</v>
      </c>
      <c r="AQ123" s="59">
        <v>3</v>
      </c>
      <c r="AR123" s="59">
        <v>1</v>
      </c>
      <c r="AS123" s="59">
        <v>80</v>
      </c>
      <c r="AT123" s="59">
        <v>1</v>
      </c>
      <c r="AU123" s="59">
        <v>8</v>
      </c>
      <c r="AV123" s="59">
        <v>2</v>
      </c>
      <c r="AW123" s="59">
        <v>4</v>
      </c>
      <c r="AX123" s="59">
        <v>7</v>
      </c>
      <c r="AY123" s="59">
        <v>7</v>
      </c>
      <c r="AZ123" s="59">
        <v>0</v>
      </c>
      <c r="BA123" s="59">
        <v>7</v>
      </c>
      <c r="BB123" s="57">
        <f t="shared" si="37"/>
        <v>12292</v>
      </c>
    </row>
    <row r="124" spans="1:54" x14ac:dyDescent="0.25">
      <c r="A124" s="58">
        <v>56</v>
      </c>
      <c r="B124" s="59">
        <v>1</v>
      </c>
      <c r="C124" s="59">
        <v>1</v>
      </c>
      <c r="D124" s="59">
        <f t="shared" si="19"/>
        <v>1</v>
      </c>
      <c r="E124" s="59">
        <f t="shared" si="20"/>
        <v>0</v>
      </c>
      <c r="F124" s="59">
        <v>441</v>
      </c>
      <c r="G124" s="59">
        <v>2</v>
      </c>
      <c r="H124" s="59">
        <f t="shared" si="21"/>
        <v>0</v>
      </c>
      <c r="I124" s="59">
        <f t="shared" si="22"/>
        <v>1</v>
      </c>
      <c r="J124" s="59">
        <v>14</v>
      </c>
      <c r="K124" s="59">
        <v>4</v>
      </c>
      <c r="L124" s="59">
        <v>1</v>
      </c>
      <c r="M124" s="59">
        <f t="shared" si="23"/>
        <v>1</v>
      </c>
      <c r="N124" s="59">
        <f t="shared" si="24"/>
        <v>0</v>
      </c>
      <c r="O124" s="59">
        <f t="shared" si="25"/>
        <v>0</v>
      </c>
      <c r="P124" s="59">
        <f t="shared" si="26"/>
        <v>0</v>
      </c>
      <c r="Q124" s="59">
        <f t="shared" si="27"/>
        <v>0</v>
      </c>
      <c r="R124" s="59">
        <v>1</v>
      </c>
      <c r="S124" s="59">
        <v>161</v>
      </c>
      <c r="T124" s="59">
        <v>2</v>
      </c>
      <c r="U124" s="59">
        <v>0</v>
      </c>
      <c r="V124" s="59">
        <v>72</v>
      </c>
      <c r="W124" s="59">
        <v>3</v>
      </c>
      <c r="X124" s="59">
        <v>1</v>
      </c>
      <c r="Y124" s="59">
        <v>2</v>
      </c>
      <c r="Z124" s="59">
        <f t="shared" si="28"/>
        <v>0</v>
      </c>
      <c r="AA124" s="59">
        <f>IF('Updated Dummy'!Y124=2,1,0)</f>
        <v>1</v>
      </c>
      <c r="AB124" s="59">
        <f t="shared" si="29"/>
        <v>0</v>
      </c>
      <c r="AC124" s="59">
        <f t="shared" si="30"/>
        <v>0</v>
      </c>
      <c r="AD124" s="59">
        <f t="shared" si="31"/>
        <v>0</v>
      </c>
      <c r="AE124" s="59">
        <f t="shared" si="32"/>
        <v>0</v>
      </c>
      <c r="AF124" s="59">
        <f t="shared" si="33"/>
        <v>0</v>
      </c>
      <c r="AG124" s="59">
        <f t="shared" si="34"/>
        <v>0</v>
      </c>
      <c r="AH124" s="59">
        <v>2</v>
      </c>
      <c r="AI124" s="59">
        <v>2</v>
      </c>
      <c r="AJ124" s="59">
        <f t="shared" si="35"/>
        <v>0</v>
      </c>
      <c r="AK124" s="59">
        <f t="shared" si="36"/>
        <v>1</v>
      </c>
      <c r="AL124" s="59">
        <v>4963</v>
      </c>
      <c r="AM124" s="59">
        <v>4510</v>
      </c>
      <c r="AN124" s="59">
        <v>9</v>
      </c>
      <c r="AO124" s="59">
        <v>1</v>
      </c>
      <c r="AP124" s="59">
        <v>18</v>
      </c>
      <c r="AQ124" s="59">
        <v>3</v>
      </c>
      <c r="AR124" s="59">
        <v>1</v>
      </c>
      <c r="AS124" s="59">
        <v>80</v>
      </c>
      <c r="AT124" s="59">
        <v>3</v>
      </c>
      <c r="AU124" s="59">
        <v>7</v>
      </c>
      <c r="AV124" s="59">
        <v>2</v>
      </c>
      <c r="AW124" s="59">
        <v>3</v>
      </c>
      <c r="AX124" s="59">
        <v>5</v>
      </c>
      <c r="AY124" s="59">
        <v>4</v>
      </c>
      <c r="AZ124" s="59">
        <v>4</v>
      </c>
      <c r="BA124" s="59">
        <v>3</v>
      </c>
      <c r="BB124" s="57">
        <f t="shared" si="37"/>
        <v>4963</v>
      </c>
    </row>
    <row r="125" spans="1:54" x14ac:dyDescent="0.25">
      <c r="A125" s="58">
        <v>51</v>
      </c>
      <c r="B125" s="59">
        <v>0</v>
      </c>
      <c r="C125" s="59">
        <v>1</v>
      </c>
      <c r="D125" s="59">
        <f t="shared" si="19"/>
        <v>1</v>
      </c>
      <c r="E125" s="59">
        <f t="shared" si="20"/>
        <v>0</v>
      </c>
      <c r="F125" s="59">
        <v>684</v>
      </c>
      <c r="G125" s="59">
        <v>2</v>
      </c>
      <c r="H125" s="59">
        <f t="shared" si="21"/>
        <v>0</v>
      </c>
      <c r="I125" s="59">
        <f t="shared" si="22"/>
        <v>1</v>
      </c>
      <c r="J125" s="59">
        <v>6</v>
      </c>
      <c r="K125" s="59">
        <v>3</v>
      </c>
      <c r="L125" s="59">
        <v>1</v>
      </c>
      <c r="M125" s="59">
        <f t="shared" si="23"/>
        <v>1</v>
      </c>
      <c r="N125" s="59">
        <f t="shared" si="24"/>
        <v>0</v>
      </c>
      <c r="O125" s="59">
        <f t="shared" si="25"/>
        <v>0</v>
      </c>
      <c r="P125" s="59">
        <f t="shared" si="26"/>
        <v>0</v>
      </c>
      <c r="Q125" s="59">
        <f t="shared" si="27"/>
        <v>0</v>
      </c>
      <c r="R125" s="59">
        <v>1</v>
      </c>
      <c r="S125" s="59">
        <v>162</v>
      </c>
      <c r="T125" s="59">
        <v>1</v>
      </c>
      <c r="U125" s="59">
        <v>1</v>
      </c>
      <c r="V125" s="59">
        <v>51</v>
      </c>
      <c r="W125" s="59">
        <v>3</v>
      </c>
      <c r="X125" s="59">
        <v>5</v>
      </c>
      <c r="Y125" s="59">
        <v>8</v>
      </c>
      <c r="Z125" s="59">
        <f t="shared" si="28"/>
        <v>0</v>
      </c>
      <c r="AA125" s="59">
        <f>IF('Updated Dummy'!Y125=2,1,0)</f>
        <v>0</v>
      </c>
      <c r="AB125" s="59">
        <f t="shared" si="29"/>
        <v>0</v>
      </c>
      <c r="AC125" s="59">
        <f t="shared" si="30"/>
        <v>0</v>
      </c>
      <c r="AD125" s="59">
        <f t="shared" si="31"/>
        <v>0</v>
      </c>
      <c r="AE125" s="59">
        <f t="shared" si="32"/>
        <v>0</v>
      </c>
      <c r="AF125" s="59">
        <f t="shared" si="33"/>
        <v>0</v>
      </c>
      <c r="AG125" s="59">
        <f t="shared" si="34"/>
        <v>1</v>
      </c>
      <c r="AH125" s="59">
        <v>3</v>
      </c>
      <c r="AI125" s="59">
        <v>1</v>
      </c>
      <c r="AJ125" s="59">
        <f t="shared" si="35"/>
        <v>1</v>
      </c>
      <c r="AK125" s="59">
        <f t="shared" si="36"/>
        <v>0</v>
      </c>
      <c r="AL125" s="59">
        <v>19537</v>
      </c>
      <c r="AM125" s="59">
        <v>6462</v>
      </c>
      <c r="AN125" s="59">
        <v>7</v>
      </c>
      <c r="AO125" s="59">
        <v>0</v>
      </c>
      <c r="AP125" s="59">
        <v>13</v>
      </c>
      <c r="AQ125" s="59">
        <v>3</v>
      </c>
      <c r="AR125" s="59">
        <v>3</v>
      </c>
      <c r="AS125" s="59">
        <v>80</v>
      </c>
      <c r="AT125" s="59">
        <v>0</v>
      </c>
      <c r="AU125" s="59">
        <v>23</v>
      </c>
      <c r="AV125" s="59">
        <v>5</v>
      </c>
      <c r="AW125" s="59">
        <v>3</v>
      </c>
      <c r="AX125" s="59">
        <v>20</v>
      </c>
      <c r="AY125" s="59">
        <v>18</v>
      </c>
      <c r="AZ125" s="59">
        <v>15</v>
      </c>
      <c r="BA125" s="59">
        <v>15</v>
      </c>
      <c r="BB125" s="57">
        <f t="shared" si="37"/>
        <v>97685</v>
      </c>
    </row>
    <row r="126" spans="1:54" x14ac:dyDescent="0.25">
      <c r="A126" s="58">
        <v>31</v>
      </c>
      <c r="B126" s="59">
        <v>1</v>
      </c>
      <c r="C126" s="59">
        <v>1</v>
      </c>
      <c r="D126" s="59">
        <f t="shared" si="19"/>
        <v>1</v>
      </c>
      <c r="E126" s="59">
        <f t="shared" si="20"/>
        <v>0</v>
      </c>
      <c r="F126" s="59">
        <v>249</v>
      </c>
      <c r="G126" s="59">
        <v>1</v>
      </c>
      <c r="H126" s="59">
        <f t="shared" si="21"/>
        <v>1</v>
      </c>
      <c r="I126" s="59">
        <f t="shared" si="22"/>
        <v>0</v>
      </c>
      <c r="J126" s="59">
        <v>6</v>
      </c>
      <c r="K126" s="59">
        <v>4</v>
      </c>
      <c r="L126" s="59">
        <v>1</v>
      </c>
      <c r="M126" s="59">
        <f t="shared" si="23"/>
        <v>1</v>
      </c>
      <c r="N126" s="59">
        <f t="shared" si="24"/>
        <v>0</v>
      </c>
      <c r="O126" s="59">
        <f t="shared" si="25"/>
        <v>0</v>
      </c>
      <c r="P126" s="59">
        <f t="shared" si="26"/>
        <v>0</v>
      </c>
      <c r="Q126" s="59">
        <f t="shared" si="27"/>
        <v>0</v>
      </c>
      <c r="R126" s="59">
        <v>1</v>
      </c>
      <c r="S126" s="59">
        <v>163</v>
      </c>
      <c r="T126" s="59">
        <v>2</v>
      </c>
      <c r="U126" s="59">
        <v>1</v>
      </c>
      <c r="V126" s="59">
        <v>76</v>
      </c>
      <c r="W126" s="59">
        <v>1</v>
      </c>
      <c r="X126" s="59">
        <v>2</v>
      </c>
      <c r="Y126" s="59">
        <v>1</v>
      </c>
      <c r="Z126" s="59">
        <f t="shared" si="28"/>
        <v>1</v>
      </c>
      <c r="AA126" s="59">
        <f>IF('Updated Dummy'!Y126=2,1,0)</f>
        <v>0</v>
      </c>
      <c r="AB126" s="59">
        <f t="shared" si="29"/>
        <v>0</v>
      </c>
      <c r="AC126" s="59">
        <f t="shared" si="30"/>
        <v>0</v>
      </c>
      <c r="AD126" s="59">
        <f t="shared" si="31"/>
        <v>0</v>
      </c>
      <c r="AE126" s="59">
        <f t="shared" si="32"/>
        <v>0</v>
      </c>
      <c r="AF126" s="59">
        <f t="shared" si="33"/>
        <v>0</v>
      </c>
      <c r="AG126" s="59">
        <f t="shared" si="34"/>
        <v>0</v>
      </c>
      <c r="AH126" s="59">
        <v>3</v>
      </c>
      <c r="AI126" s="59">
        <v>2</v>
      </c>
      <c r="AJ126" s="59">
        <f t="shared" si="35"/>
        <v>0</v>
      </c>
      <c r="AK126" s="59">
        <f t="shared" si="36"/>
        <v>1</v>
      </c>
      <c r="AL126" s="59">
        <v>6172</v>
      </c>
      <c r="AM126" s="59">
        <v>20739</v>
      </c>
      <c r="AN126" s="59">
        <v>4</v>
      </c>
      <c r="AO126" s="59">
        <v>1</v>
      </c>
      <c r="AP126" s="59">
        <v>18</v>
      </c>
      <c r="AQ126" s="59">
        <v>3</v>
      </c>
      <c r="AR126" s="59">
        <v>2</v>
      </c>
      <c r="AS126" s="59">
        <v>80</v>
      </c>
      <c r="AT126" s="59">
        <v>0</v>
      </c>
      <c r="AU126" s="59">
        <v>12</v>
      </c>
      <c r="AV126" s="59">
        <v>3</v>
      </c>
      <c r="AW126" s="59">
        <v>2</v>
      </c>
      <c r="AX126" s="59">
        <v>7</v>
      </c>
      <c r="AY126" s="59">
        <v>7</v>
      </c>
      <c r="AZ126" s="59">
        <v>7</v>
      </c>
      <c r="BA126" s="59">
        <v>7</v>
      </c>
      <c r="BB126" s="57">
        <f t="shared" si="37"/>
        <v>12344</v>
      </c>
    </row>
    <row r="127" spans="1:54" x14ac:dyDescent="0.25">
      <c r="A127" s="58">
        <v>26</v>
      </c>
      <c r="B127" s="59">
        <v>0</v>
      </c>
      <c r="C127" s="59">
        <v>1</v>
      </c>
      <c r="D127" s="59">
        <f t="shared" si="19"/>
        <v>1</v>
      </c>
      <c r="E127" s="59">
        <f t="shared" si="20"/>
        <v>0</v>
      </c>
      <c r="F127" s="59">
        <v>841</v>
      </c>
      <c r="G127" s="59">
        <v>2</v>
      </c>
      <c r="H127" s="59">
        <f t="shared" si="21"/>
        <v>0</v>
      </c>
      <c r="I127" s="59">
        <f t="shared" si="22"/>
        <v>1</v>
      </c>
      <c r="J127" s="59">
        <v>6</v>
      </c>
      <c r="K127" s="59">
        <v>3</v>
      </c>
      <c r="L127" s="59">
        <v>6</v>
      </c>
      <c r="M127" s="59">
        <f t="shared" si="23"/>
        <v>0</v>
      </c>
      <c r="N127" s="59">
        <f t="shared" si="24"/>
        <v>0</v>
      </c>
      <c r="O127" s="59">
        <f t="shared" si="25"/>
        <v>0</v>
      </c>
      <c r="P127" s="59">
        <f t="shared" si="26"/>
        <v>0</v>
      </c>
      <c r="Q127" s="59">
        <f t="shared" si="27"/>
        <v>0</v>
      </c>
      <c r="R127" s="59">
        <v>1</v>
      </c>
      <c r="S127" s="59">
        <v>164</v>
      </c>
      <c r="T127" s="59">
        <v>3</v>
      </c>
      <c r="U127" s="59">
        <v>0</v>
      </c>
      <c r="V127" s="59">
        <v>46</v>
      </c>
      <c r="W127" s="59">
        <v>2</v>
      </c>
      <c r="X127" s="59">
        <v>1</v>
      </c>
      <c r="Y127" s="59">
        <v>2</v>
      </c>
      <c r="Z127" s="59">
        <f t="shared" si="28"/>
        <v>0</v>
      </c>
      <c r="AA127" s="59">
        <f>IF('Updated Dummy'!Y127=2,1,0)</f>
        <v>1</v>
      </c>
      <c r="AB127" s="59">
        <f t="shared" si="29"/>
        <v>0</v>
      </c>
      <c r="AC127" s="59">
        <f t="shared" si="30"/>
        <v>0</v>
      </c>
      <c r="AD127" s="59">
        <f t="shared" si="31"/>
        <v>0</v>
      </c>
      <c r="AE127" s="59">
        <f t="shared" si="32"/>
        <v>0</v>
      </c>
      <c r="AF127" s="59">
        <f t="shared" si="33"/>
        <v>0</v>
      </c>
      <c r="AG127" s="59">
        <f t="shared" si="34"/>
        <v>0</v>
      </c>
      <c r="AH127" s="59">
        <v>2</v>
      </c>
      <c r="AI127" s="59">
        <v>2</v>
      </c>
      <c r="AJ127" s="59">
        <f t="shared" si="35"/>
        <v>0</v>
      </c>
      <c r="AK127" s="59">
        <f t="shared" si="36"/>
        <v>1</v>
      </c>
      <c r="AL127" s="59">
        <v>2368</v>
      </c>
      <c r="AM127" s="59">
        <v>23300</v>
      </c>
      <c r="AN127" s="59">
        <v>1</v>
      </c>
      <c r="AO127" s="59">
        <v>0</v>
      </c>
      <c r="AP127" s="59">
        <v>19</v>
      </c>
      <c r="AQ127" s="59">
        <v>3</v>
      </c>
      <c r="AR127" s="59">
        <v>3</v>
      </c>
      <c r="AS127" s="59">
        <v>80</v>
      </c>
      <c r="AT127" s="59">
        <v>0</v>
      </c>
      <c r="AU127" s="59">
        <v>5</v>
      </c>
      <c r="AV127" s="59">
        <v>3</v>
      </c>
      <c r="AW127" s="59">
        <v>2</v>
      </c>
      <c r="AX127" s="59">
        <v>5</v>
      </c>
      <c r="AY127" s="59">
        <v>4</v>
      </c>
      <c r="AZ127" s="59">
        <v>4</v>
      </c>
      <c r="BA127" s="59">
        <v>3</v>
      </c>
      <c r="BB127" s="57">
        <f t="shared" si="37"/>
        <v>2368</v>
      </c>
    </row>
    <row r="128" spans="1:54" x14ac:dyDescent="0.25">
      <c r="A128" s="58">
        <v>58</v>
      </c>
      <c r="B128" s="59">
        <v>1</v>
      </c>
      <c r="C128" s="59">
        <v>1</v>
      </c>
      <c r="D128" s="59">
        <f t="shared" si="19"/>
        <v>1</v>
      </c>
      <c r="E128" s="59">
        <f t="shared" si="20"/>
        <v>0</v>
      </c>
      <c r="F128" s="59">
        <v>147</v>
      </c>
      <c r="G128" s="59">
        <v>2</v>
      </c>
      <c r="H128" s="59">
        <f t="shared" si="21"/>
        <v>0</v>
      </c>
      <c r="I128" s="59">
        <f t="shared" si="22"/>
        <v>1</v>
      </c>
      <c r="J128" s="59">
        <v>23</v>
      </c>
      <c r="K128" s="59">
        <v>4</v>
      </c>
      <c r="L128" s="59">
        <v>3</v>
      </c>
      <c r="M128" s="59">
        <f t="shared" si="23"/>
        <v>0</v>
      </c>
      <c r="N128" s="59">
        <f t="shared" si="24"/>
        <v>0</v>
      </c>
      <c r="O128" s="59">
        <f t="shared" si="25"/>
        <v>1</v>
      </c>
      <c r="P128" s="59">
        <f t="shared" si="26"/>
        <v>0</v>
      </c>
      <c r="Q128" s="59">
        <f t="shared" si="27"/>
        <v>0</v>
      </c>
      <c r="R128" s="59">
        <v>1</v>
      </c>
      <c r="S128" s="59">
        <v>165</v>
      </c>
      <c r="T128" s="59">
        <v>4</v>
      </c>
      <c r="U128" s="59">
        <v>0</v>
      </c>
      <c r="V128" s="59">
        <v>94</v>
      </c>
      <c r="W128" s="59">
        <v>3</v>
      </c>
      <c r="X128" s="59">
        <v>3</v>
      </c>
      <c r="Y128" s="59">
        <v>5</v>
      </c>
      <c r="Z128" s="59">
        <f t="shared" si="28"/>
        <v>0</v>
      </c>
      <c r="AA128" s="59">
        <f>IF('Updated Dummy'!Y128=2,1,0)</f>
        <v>0</v>
      </c>
      <c r="AB128" s="59">
        <f t="shared" si="29"/>
        <v>0</v>
      </c>
      <c r="AC128" s="59">
        <f t="shared" si="30"/>
        <v>0</v>
      </c>
      <c r="AD128" s="59">
        <f t="shared" si="31"/>
        <v>1</v>
      </c>
      <c r="AE128" s="59">
        <f t="shared" si="32"/>
        <v>0</v>
      </c>
      <c r="AF128" s="59">
        <f t="shared" si="33"/>
        <v>0</v>
      </c>
      <c r="AG128" s="59">
        <f t="shared" si="34"/>
        <v>0</v>
      </c>
      <c r="AH128" s="59">
        <v>4</v>
      </c>
      <c r="AI128" s="59">
        <v>2</v>
      </c>
      <c r="AJ128" s="59">
        <f t="shared" si="35"/>
        <v>0</v>
      </c>
      <c r="AK128" s="59">
        <f t="shared" si="36"/>
        <v>1</v>
      </c>
      <c r="AL128" s="59">
        <v>10312</v>
      </c>
      <c r="AM128" s="59">
        <v>3465</v>
      </c>
      <c r="AN128" s="59">
        <v>1</v>
      </c>
      <c r="AO128" s="59">
        <v>0</v>
      </c>
      <c r="AP128" s="59">
        <v>12</v>
      </c>
      <c r="AQ128" s="59">
        <v>3</v>
      </c>
      <c r="AR128" s="59">
        <v>4</v>
      </c>
      <c r="AS128" s="59">
        <v>80</v>
      </c>
      <c r="AT128" s="59">
        <v>1</v>
      </c>
      <c r="AU128" s="59">
        <v>40</v>
      </c>
      <c r="AV128" s="59">
        <v>3</v>
      </c>
      <c r="AW128" s="59">
        <v>2</v>
      </c>
      <c r="AX128" s="59">
        <v>40</v>
      </c>
      <c r="AY128" s="59">
        <v>10</v>
      </c>
      <c r="AZ128" s="59">
        <v>15</v>
      </c>
      <c r="BA128" s="59">
        <v>6</v>
      </c>
      <c r="BB128" s="57">
        <f t="shared" si="37"/>
        <v>30936</v>
      </c>
    </row>
    <row r="129" spans="1:54" x14ac:dyDescent="0.25">
      <c r="A129" s="58">
        <v>19</v>
      </c>
      <c r="B129" s="59">
        <v>1</v>
      </c>
      <c r="C129" s="59">
        <v>1</v>
      </c>
      <c r="D129" s="59">
        <f t="shared" si="19"/>
        <v>1</v>
      </c>
      <c r="E129" s="59">
        <f t="shared" si="20"/>
        <v>0</v>
      </c>
      <c r="F129" s="59">
        <v>528</v>
      </c>
      <c r="G129" s="59">
        <v>1</v>
      </c>
      <c r="H129" s="59">
        <f t="shared" si="21"/>
        <v>1</v>
      </c>
      <c r="I129" s="59">
        <f t="shared" si="22"/>
        <v>0</v>
      </c>
      <c r="J129" s="59">
        <v>22</v>
      </c>
      <c r="K129" s="59">
        <v>1</v>
      </c>
      <c r="L129" s="59">
        <v>4</v>
      </c>
      <c r="M129" s="59">
        <f t="shared" si="23"/>
        <v>0</v>
      </c>
      <c r="N129" s="59">
        <f t="shared" si="24"/>
        <v>0</v>
      </c>
      <c r="O129" s="59">
        <f t="shared" si="25"/>
        <v>0</v>
      </c>
      <c r="P129" s="59">
        <f t="shared" si="26"/>
        <v>1</v>
      </c>
      <c r="Q129" s="59">
        <f t="shared" si="27"/>
        <v>0</v>
      </c>
      <c r="R129" s="59">
        <v>1</v>
      </c>
      <c r="S129" s="59">
        <v>167</v>
      </c>
      <c r="T129" s="59">
        <v>4</v>
      </c>
      <c r="U129" s="59">
        <v>1</v>
      </c>
      <c r="V129" s="59">
        <v>50</v>
      </c>
      <c r="W129" s="59">
        <v>3</v>
      </c>
      <c r="X129" s="59">
        <v>1</v>
      </c>
      <c r="Y129" s="59">
        <v>7</v>
      </c>
      <c r="Z129" s="59">
        <f t="shared" si="28"/>
        <v>0</v>
      </c>
      <c r="AA129" s="59">
        <f>IF('Updated Dummy'!Y129=2,1,0)</f>
        <v>0</v>
      </c>
      <c r="AB129" s="59">
        <f t="shared" si="29"/>
        <v>0</v>
      </c>
      <c r="AC129" s="59">
        <f t="shared" si="30"/>
        <v>0</v>
      </c>
      <c r="AD129" s="59">
        <f t="shared" si="31"/>
        <v>0</v>
      </c>
      <c r="AE129" s="59">
        <f t="shared" si="32"/>
        <v>0</v>
      </c>
      <c r="AF129" s="59">
        <f t="shared" si="33"/>
        <v>1</v>
      </c>
      <c r="AG129" s="59">
        <f t="shared" si="34"/>
        <v>0</v>
      </c>
      <c r="AH129" s="59">
        <v>3</v>
      </c>
      <c r="AI129" s="59">
        <v>1</v>
      </c>
      <c r="AJ129" s="59">
        <f t="shared" si="35"/>
        <v>1</v>
      </c>
      <c r="AK129" s="59">
        <f t="shared" si="36"/>
        <v>0</v>
      </c>
      <c r="AL129" s="59">
        <v>1675</v>
      </c>
      <c r="AM129" s="59">
        <v>26820</v>
      </c>
      <c r="AN129" s="59">
        <v>1</v>
      </c>
      <c r="AO129" s="59">
        <v>1</v>
      </c>
      <c r="AP129" s="59">
        <v>19</v>
      </c>
      <c r="AQ129" s="59">
        <v>3</v>
      </c>
      <c r="AR129" s="59">
        <v>4</v>
      </c>
      <c r="AS129" s="59">
        <v>80</v>
      </c>
      <c r="AT129" s="59">
        <v>0</v>
      </c>
      <c r="AU129" s="59">
        <v>0</v>
      </c>
      <c r="AV129" s="59">
        <v>2</v>
      </c>
      <c r="AW129" s="59">
        <v>2</v>
      </c>
      <c r="AX129" s="59">
        <v>0</v>
      </c>
      <c r="AY129" s="59">
        <v>0</v>
      </c>
      <c r="AZ129" s="59">
        <v>0</v>
      </c>
      <c r="BA129" s="59">
        <v>0</v>
      </c>
      <c r="BB129" s="57">
        <f t="shared" si="37"/>
        <v>1675</v>
      </c>
    </row>
    <row r="130" spans="1:54" x14ac:dyDescent="0.25">
      <c r="A130" s="58">
        <v>22</v>
      </c>
      <c r="B130" s="59">
        <v>0</v>
      </c>
      <c r="C130" s="59">
        <v>1</v>
      </c>
      <c r="D130" s="59">
        <f t="shared" si="19"/>
        <v>1</v>
      </c>
      <c r="E130" s="59">
        <f t="shared" si="20"/>
        <v>0</v>
      </c>
      <c r="F130" s="59">
        <v>594</v>
      </c>
      <c r="G130" s="59">
        <v>2</v>
      </c>
      <c r="H130" s="59">
        <f t="shared" si="21"/>
        <v>0</v>
      </c>
      <c r="I130" s="59">
        <f t="shared" si="22"/>
        <v>1</v>
      </c>
      <c r="J130" s="59">
        <v>2</v>
      </c>
      <c r="K130" s="59">
        <v>1</v>
      </c>
      <c r="L130" s="59">
        <v>5</v>
      </c>
      <c r="M130" s="59">
        <f t="shared" si="23"/>
        <v>0</v>
      </c>
      <c r="N130" s="59">
        <f t="shared" si="24"/>
        <v>0</v>
      </c>
      <c r="O130" s="59">
        <f t="shared" si="25"/>
        <v>0</v>
      </c>
      <c r="P130" s="59">
        <f t="shared" si="26"/>
        <v>0</v>
      </c>
      <c r="Q130" s="59">
        <f t="shared" si="27"/>
        <v>1</v>
      </c>
      <c r="R130" s="59">
        <v>1</v>
      </c>
      <c r="S130" s="59">
        <v>169</v>
      </c>
      <c r="T130" s="59">
        <v>3</v>
      </c>
      <c r="U130" s="59">
        <v>1</v>
      </c>
      <c r="V130" s="59">
        <v>100</v>
      </c>
      <c r="W130" s="59">
        <v>3</v>
      </c>
      <c r="X130" s="59">
        <v>1</v>
      </c>
      <c r="Y130" s="59">
        <v>3</v>
      </c>
      <c r="Z130" s="59">
        <f t="shared" si="28"/>
        <v>0</v>
      </c>
      <c r="AA130" s="59">
        <f>IF('Updated Dummy'!Y130=2,1,0)</f>
        <v>0</v>
      </c>
      <c r="AB130" s="59">
        <f t="shared" si="29"/>
        <v>1</v>
      </c>
      <c r="AC130" s="59">
        <f t="shared" si="30"/>
        <v>0</v>
      </c>
      <c r="AD130" s="59">
        <f t="shared" si="31"/>
        <v>0</v>
      </c>
      <c r="AE130" s="59">
        <f t="shared" si="32"/>
        <v>0</v>
      </c>
      <c r="AF130" s="59">
        <f t="shared" si="33"/>
        <v>0</v>
      </c>
      <c r="AG130" s="59">
        <f t="shared" si="34"/>
        <v>0</v>
      </c>
      <c r="AH130" s="59">
        <v>4</v>
      </c>
      <c r="AI130" s="59">
        <v>2</v>
      </c>
      <c r="AJ130" s="59">
        <f t="shared" si="35"/>
        <v>0</v>
      </c>
      <c r="AK130" s="59">
        <f t="shared" si="36"/>
        <v>1</v>
      </c>
      <c r="AL130" s="59">
        <v>2523</v>
      </c>
      <c r="AM130" s="59">
        <v>19299</v>
      </c>
      <c r="AN130" s="59">
        <v>0</v>
      </c>
      <c r="AO130" s="59">
        <v>0</v>
      </c>
      <c r="AP130" s="59">
        <v>14</v>
      </c>
      <c r="AQ130" s="59">
        <v>3</v>
      </c>
      <c r="AR130" s="59">
        <v>3</v>
      </c>
      <c r="AS130" s="59">
        <v>80</v>
      </c>
      <c r="AT130" s="59">
        <v>1</v>
      </c>
      <c r="AU130" s="59">
        <v>3</v>
      </c>
      <c r="AV130" s="59">
        <v>2</v>
      </c>
      <c r="AW130" s="59">
        <v>3</v>
      </c>
      <c r="AX130" s="59">
        <v>2</v>
      </c>
      <c r="AY130" s="59">
        <v>1</v>
      </c>
      <c r="AZ130" s="59">
        <v>2</v>
      </c>
      <c r="BA130" s="59">
        <v>1</v>
      </c>
      <c r="BB130" s="57">
        <f t="shared" si="37"/>
        <v>2523</v>
      </c>
    </row>
    <row r="131" spans="1:54" x14ac:dyDescent="0.25">
      <c r="A131" s="58">
        <v>49</v>
      </c>
      <c r="B131" s="59">
        <v>0</v>
      </c>
      <c r="C131" s="59">
        <v>1</v>
      </c>
      <c r="D131" s="59">
        <f t="shared" ref="D131:D194" si="38">IF(C131=1,1,0)</f>
        <v>1</v>
      </c>
      <c r="E131" s="59">
        <f t="shared" ref="E131:E194" si="39">IF(C131=2,1,0)</f>
        <v>0</v>
      </c>
      <c r="F131" s="59">
        <v>470</v>
      </c>
      <c r="G131" s="59">
        <v>2</v>
      </c>
      <c r="H131" s="59">
        <f t="shared" ref="H131:H194" si="40">IF(G131=1,1,0)</f>
        <v>0</v>
      </c>
      <c r="I131" s="59">
        <f t="shared" ref="I131:I194" si="41">IF(G131=2,1,0)</f>
        <v>1</v>
      </c>
      <c r="J131" s="59">
        <v>20</v>
      </c>
      <c r="K131" s="59">
        <v>4</v>
      </c>
      <c r="L131" s="59">
        <v>3</v>
      </c>
      <c r="M131" s="59">
        <f t="shared" ref="M131:M194" si="42">IF(L131=1,1,0)</f>
        <v>0</v>
      </c>
      <c r="N131" s="59">
        <f t="shared" ref="N131:N194" si="43">IF(L131=2,1,0)</f>
        <v>0</v>
      </c>
      <c r="O131" s="59">
        <f t="shared" ref="O131:O194" si="44">IF(L131=3,1,0)</f>
        <v>1</v>
      </c>
      <c r="P131" s="59">
        <f t="shared" ref="P131:P194" si="45">IF(L131=4,1,0)</f>
        <v>0</v>
      </c>
      <c r="Q131" s="59">
        <f t="shared" ref="Q131:Q194" si="46">IF(L131=5,1,0)</f>
        <v>0</v>
      </c>
      <c r="R131" s="59">
        <v>1</v>
      </c>
      <c r="S131" s="59">
        <v>170</v>
      </c>
      <c r="T131" s="59">
        <v>3</v>
      </c>
      <c r="U131" s="59">
        <v>0</v>
      </c>
      <c r="V131" s="59">
        <v>96</v>
      </c>
      <c r="W131" s="59">
        <v>3</v>
      </c>
      <c r="X131" s="59">
        <v>2</v>
      </c>
      <c r="Y131" s="59">
        <v>4</v>
      </c>
      <c r="Z131" s="59">
        <f t="shared" ref="Z131:Z194" si="47">IF(Y131=1,1,0)</f>
        <v>0</v>
      </c>
      <c r="AA131" s="59">
        <f>IF('Updated Dummy'!Y131=2,1,0)</f>
        <v>0</v>
      </c>
      <c r="AB131" s="59">
        <f t="shared" ref="AB131:AB194" si="48">IF(Y131=3,1,0)</f>
        <v>0</v>
      </c>
      <c r="AC131" s="59">
        <f t="shared" ref="AC131:AC194" si="49">IF(Y131=4,1,0)</f>
        <v>1</v>
      </c>
      <c r="AD131" s="59">
        <f t="shared" ref="AD131:AD194" si="50">IF(Y131=5,1,0)</f>
        <v>0</v>
      </c>
      <c r="AE131" s="59">
        <f t="shared" ref="AE131:AE194" si="51">IF(Y131=6,1,0)</f>
        <v>0</v>
      </c>
      <c r="AF131" s="59">
        <f t="shared" ref="AF131:AF194" si="52">IF(Y131=7,1,0)</f>
        <v>0</v>
      </c>
      <c r="AG131" s="59">
        <f t="shared" ref="AG131:AG194" si="53">IF(Y131=8,1,0)</f>
        <v>0</v>
      </c>
      <c r="AH131" s="59">
        <v>1</v>
      </c>
      <c r="AI131" s="59">
        <v>2</v>
      </c>
      <c r="AJ131" s="59">
        <f t="shared" ref="AJ131:AJ194" si="54">IF(AI131=1,1,0)</f>
        <v>0</v>
      </c>
      <c r="AK131" s="59">
        <f t="shared" ref="AK131:AK194" si="55">IF(AI131=2,1,0)</f>
        <v>1</v>
      </c>
      <c r="AL131" s="59">
        <v>6567</v>
      </c>
      <c r="AM131" s="59">
        <v>5549</v>
      </c>
      <c r="AN131" s="59">
        <v>1</v>
      </c>
      <c r="AO131" s="59">
        <v>0</v>
      </c>
      <c r="AP131" s="59">
        <v>14</v>
      </c>
      <c r="AQ131" s="59">
        <v>3</v>
      </c>
      <c r="AR131" s="59">
        <v>3</v>
      </c>
      <c r="AS131" s="59">
        <v>80</v>
      </c>
      <c r="AT131" s="59">
        <v>0</v>
      </c>
      <c r="AU131" s="59">
        <v>16</v>
      </c>
      <c r="AV131" s="59">
        <v>2</v>
      </c>
      <c r="AW131" s="59">
        <v>2</v>
      </c>
      <c r="AX131" s="59">
        <v>15</v>
      </c>
      <c r="AY131" s="59">
        <v>11</v>
      </c>
      <c r="AZ131" s="59">
        <v>5</v>
      </c>
      <c r="BA131" s="59">
        <v>11</v>
      </c>
      <c r="BB131" s="57">
        <f t="shared" ref="BB131:BB194" si="56">X131*AL131</f>
        <v>13134</v>
      </c>
    </row>
    <row r="132" spans="1:54" x14ac:dyDescent="0.25">
      <c r="A132" s="58">
        <v>43</v>
      </c>
      <c r="B132" s="59">
        <v>0</v>
      </c>
      <c r="C132" s="59">
        <v>2</v>
      </c>
      <c r="D132" s="59">
        <f t="shared" si="38"/>
        <v>0</v>
      </c>
      <c r="E132" s="59">
        <f t="shared" si="39"/>
        <v>1</v>
      </c>
      <c r="F132" s="59">
        <v>957</v>
      </c>
      <c r="G132" s="59">
        <v>2</v>
      </c>
      <c r="H132" s="59">
        <f t="shared" si="40"/>
        <v>0</v>
      </c>
      <c r="I132" s="59">
        <f t="shared" si="41"/>
        <v>1</v>
      </c>
      <c r="J132" s="59">
        <v>28</v>
      </c>
      <c r="K132" s="59">
        <v>3</v>
      </c>
      <c r="L132" s="59">
        <v>3</v>
      </c>
      <c r="M132" s="59">
        <f t="shared" si="42"/>
        <v>0</v>
      </c>
      <c r="N132" s="59">
        <f t="shared" si="43"/>
        <v>0</v>
      </c>
      <c r="O132" s="59">
        <f t="shared" si="44"/>
        <v>1</v>
      </c>
      <c r="P132" s="59">
        <f t="shared" si="45"/>
        <v>0</v>
      </c>
      <c r="Q132" s="59">
        <f t="shared" si="46"/>
        <v>0</v>
      </c>
      <c r="R132" s="59">
        <v>1</v>
      </c>
      <c r="S132" s="59">
        <v>171</v>
      </c>
      <c r="T132" s="59">
        <v>2</v>
      </c>
      <c r="U132" s="59">
        <v>0</v>
      </c>
      <c r="V132" s="59">
        <v>72</v>
      </c>
      <c r="W132" s="59">
        <v>4</v>
      </c>
      <c r="X132" s="59">
        <v>1</v>
      </c>
      <c r="Y132" s="59">
        <v>2</v>
      </c>
      <c r="Z132" s="59">
        <f t="shared" si="47"/>
        <v>0</v>
      </c>
      <c r="AA132" s="59">
        <f>IF('Updated Dummy'!Y132=2,1,0)</f>
        <v>1</v>
      </c>
      <c r="AB132" s="59">
        <f t="shared" si="48"/>
        <v>0</v>
      </c>
      <c r="AC132" s="59">
        <f t="shared" si="49"/>
        <v>0</v>
      </c>
      <c r="AD132" s="59">
        <f t="shared" si="50"/>
        <v>0</v>
      </c>
      <c r="AE132" s="59">
        <f t="shared" si="51"/>
        <v>0</v>
      </c>
      <c r="AF132" s="59">
        <f t="shared" si="52"/>
        <v>0</v>
      </c>
      <c r="AG132" s="59">
        <f t="shared" si="53"/>
        <v>0</v>
      </c>
      <c r="AH132" s="59">
        <v>3</v>
      </c>
      <c r="AI132" s="59">
        <v>1</v>
      </c>
      <c r="AJ132" s="59">
        <f t="shared" si="54"/>
        <v>1</v>
      </c>
      <c r="AK132" s="59">
        <f t="shared" si="55"/>
        <v>0</v>
      </c>
      <c r="AL132" s="59">
        <v>4739</v>
      </c>
      <c r="AM132" s="59">
        <v>16090</v>
      </c>
      <c r="AN132" s="59">
        <v>4</v>
      </c>
      <c r="AO132" s="59">
        <v>0</v>
      </c>
      <c r="AP132" s="59">
        <v>12</v>
      </c>
      <c r="AQ132" s="59">
        <v>3</v>
      </c>
      <c r="AR132" s="59">
        <v>4</v>
      </c>
      <c r="AS132" s="59">
        <v>80</v>
      </c>
      <c r="AT132" s="59">
        <v>0</v>
      </c>
      <c r="AU132" s="59">
        <v>18</v>
      </c>
      <c r="AV132" s="59">
        <v>2</v>
      </c>
      <c r="AW132" s="59">
        <v>3</v>
      </c>
      <c r="AX132" s="59">
        <v>3</v>
      </c>
      <c r="AY132" s="59">
        <v>2</v>
      </c>
      <c r="AZ132" s="59">
        <v>1</v>
      </c>
      <c r="BA132" s="59">
        <v>2</v>
      </c>
      <c r="BB132" s="57">
        <f t="shared" si="56"/>
        <v>4739</v>
      </c>
    </row>
    <row r="133" spans="1:54" x14ac:dyDescent="0.25">
      <c r="A133" s="58">
        <v>50</v>
      </c>
      <c r="B133" s="59">
        <v>0</v>
      </c>
      <c r="C133" s="59">
        <v>2</v>
      </c>
      <c r="D133" s="59">
        <f t="shared" si="38"/>
        <v>0</v>
      </c>
      <c r="E133" s="59">
        <f t="shared" si="39"/>
        <v>1</v>
      </c>
      <c r="F133" s="59">
        <v>809</v>
      </c>
      <c r="G133" s="59">
        <v>1</v>
      </c>
      <c r="H133" s="59">
        <f t="shared" si="40"/>
        <v>1</v>
      </c>
      <c r="I133" s="59">
        <f t="shared" si="41"/>
        <v>0</v>
      </c>
      <c r="J133" s="59">
        <v>12</v>
      </c>
      <c r="K133" s="59">
        <v>3</v>
      </c>
      <c r="L133" s="59">
        <v>4</v>
      </c>
      <c r="M133" s="59">
        <f t="shared" si="42"/>
        <v>0</v>
      </c>
      <c r="N133" s="59">
        <f t="shared" si="43"/>
        <v>0</v>
      </c>
      <c r="O133" s="59">
        <f t="shared" si="44"/>
        <v>0</v>
      </c>
      <c r="P133" s="59">
        <f t="shared" si="45"/>
        <v>1</v>
      </c>
      <c r="Q133" s="59">
        <f t="shared" si="46"/>
        <v>0</v>
      </c>
      <c r="R133" s="59">
        <v>1</v>
      </c>
      <c r="S133" s="59">
        <v>174</v>
      </c>
      <c r="T133" s="59">
        <v>3</v>
      </c>
      <c r="U133" s="59">
        <v>0</v>
      </c>
      <c r="V133" s="59">
        <v>77</v>
      </c>
      <c r="W133" s="59">
        <v>3</v>
      </c>
      <c r="X133" s="59">
        <v>3</v>
      </c>
      <c r="Y133" s="59">
        <v>1</v>
      </c>
      <c r="Z133" s="59">
        <f t="shared" si="47"/>
        <v>1</v>
      </c>
      <c r="AA133" s="59">
        <f>IF('Updated Dummy'!Y133=2,1,0)</f>
        <v>0</v>
      </c>
      <c r="AB133" s="59">
        <f t="shared" si="48"/>
        <v>0</v>
      </c>
      <c r="AC133" s="59">
        <f t="shared" si="49"/>
        <v>0</v>
      </c>
      <c r="AD133" s="59">
        <f t="shared" si="50"/>
        <v>0</v>
      </c>
      <c r="AE133" s="59">
        <f t="shared" si="51"/>
        <v>0</v>
      </c>
      <c r="AF133" s="59">
        <f t="shared" si="52"/>
        <v>0</v>
      </c>
      <c r="AG133" s="59">
        <f t="shared" si="53"/>
        <v>0</v>
      </c>
      <c r="AH133" s="59">
        <v>4</v>
      </c>
      <c r="AI133" s="59">
        <v>1</v>
      </c>
      <c r="AJ133" s="59">
        <f t="shared" si="54"/>
        <v>1</v>
      </c>
      <c r="AK133" s="59">
        <f t="shared" si="55"/>
        <v>0</v>
      </c>
      <c r="AL133" s="59">
        <v>9208</v>
      </c>
      <c r="AM133" s="59">
        <v>6645</v>
      </c>
      <c r="AN133" s="59">
        <v>4</v>
      </c>
      <c r="AO133" s="59">
        <v>0</v>
      </c>
      <c r="AP133" s="59">
        <v>11</v>
      </c>
      <c r="AQ133" s="59">
        <v>3</v>
      </c>
      <c r="AR133" s="59">
        <v>4</v>
      </c>
      <c r="AS133" s="59">
        <v>80</v>
      </c>
      <c r="AT133" s="59">
        <v>0</v>
      </c>
      <c r="AU133" s="59">
        <v>16</v>
      </c>
      <c r="AV133" s="59">
        <v>3</v>
      </c>
      <c r="AW133" s="59">
        <v>3</v>
      </c>
      <c r="AX133" s="59">
        <v>2</v>
      </c>
      <c r="AY133" s="59">
        <v>2</v>
      </c>
      <c r="AZ133" s="59">
        <v>2</v>
      </c>
      <c r="BA133" s="59">
        <v>1</v>
      </c>
      <c r="BB133" s="57">
        <f t="shared" si="56"/>
        <v>27624</v>
      </c>
    </row>
    <row r="134" spans="1:54" x14ac:dyDescent="0.25">
      <c r="A134" s="58">
        <v>31</v>
      </c>
      <c r="B134" s="59">
        <v>1</v>
      </c>
      <c r="C134" s="59">
        <v>1</v>
      </c>
      <c r="D134" s="59">
        <f t="shared" si="38"/>
        <v>1</v>
      </c>
      <c r="E134" s="59">
        <f t="shared" si="39"/>
        <v>0</v>
      </c>
      <c r="F134" s="59">
        <v>542</v>
      </c>
      <c r="G134" s="59">
        <v>1</v>
      </c>
      <c r="H134" s="59">
        <f t="shared" si="40"/>
        <v>1</v>
      </c>
      <c r="I134" s="59">
        <f t="shared" si="41"/>
        <v>0</v>
      </c>
      <c r="J134" s="59">
        <v>20</v>
      </c>
      <c r="K134" s="59">
        <v>3</v>
      </c>
      <c r="L134" s="59">
        <v>1</v>
      </c>
      <c r="M134" s="59">
        <f t="shared" si="42"/>
        <v>1</v>
      </c>
      <c r="N134" s="59">
        <f t="shared" si="43"/>
        <v>0</v>
      </c>
      <c r="O134" s="59">
        <f t="shared" si="44"/>
        <v>0</v>
      </c>
      <c r="P134" s="59">
        <f t="shared" si="45"/>
        <v>0</v>
      </c>
      <c r="Q134" s="59">
        <f t="shared" si="46"/>
        <v>0</v>
      </c>
      <c r="R134" s="59">
        <v>1</v>
      </c>
      <c r="S134" s="59">
        <v>175</v>
      </c>
      <c r="T134" s="59">
        <v>2</v>
      </c>
      <c r="U134" s="59">
        <v>0</v>
      </c>
      <c r="V134" s="59">
        <v>71</v>
      </c>
      <c r="W134" s="59">
        <v>1</v>
      </c>
      <c r="X134" s="59">
        <v>2</v>
      </c>
      <c r="Y134" s="59">
        <v>1</v>
      </c>
      <c r="Z134" s="59">
        <f t="shared" si="47"/>
        <v>1</v>
      </c>
      <c r="AA134" s="59">
        <f>IF('Updated Dummy'!Y134=2,1,0)</f>
        <v>0</v>
      </c>
      <c r="AB134" s="59">
        <f t="shared" si="48"/>
        <v>0</v>
      </c>
      <c r="AC134" s="59">
        <f t="shared" si="49"/>
        <v>0</v>
      </c>
      <c r="AD134" s="59">
        <f t="shared" si="50"/>
        <v>0</v>
      </c>
      <c r="AE134" s="59">
        <f t="shared" si="51"/>
        <v>0</v>
      </c>
      <c r="AF134" s="59">
        <f t="shared" si="52"/>
        <v>0</v>
      </c>
      <c r="AG134" s="59">
        <f t="shared" si="53"/>
        <v>0</v>
      </c>
      <c r="AH134" s="59">
        <v>3</v>
      </c>
      <c r="AI134" s="59">
        <v>2</v>
      </c>
      <c r="AJ134" s="59">
        <f t="shared" si="54"/>
        <v>0</v>
      </c>
      <c r="AK134" s="59">
        <f t="shared" si="55"/>
        <v>1</v>
      </c>
      <c r="AL134" s="59">
        <v>4559</v>
      </c>
      <c r="AM134" s="59">
        <v>24788</v>
      </c>
      <c r="AN134" s="59">
        <v>3</v>
      </c>
      <c r="AO134" s="59">
        <v>1</v>
      </c>
      <c r="AP134" s="59">
        <v>11</v>
      </c>
      <c r="AQ134" s="59">
        <v>3</v>
      </c>
      <c r="AR134" s="59">
        <v>3</v>
      </c>
      <c r="AS134" s="59">
        <v>80</v>
      </c>
      <c r="AT134" s="59">
        <v>1</v>
      </c>
      <c r="AU134" s="59">
        <v>4</v>
      </c>
      <c r="AV134" s="59">
        <v>2</v>
      </c>
      <c r="AW134" s="59">
        <v>3</v>
      </c>
      <c r="AX134" s="59">
        <v>2</v>
      </c>
      <c r="AY134" s="59">
        <v>2</v>
      </c>
      <c r="AZ134" s="59">
        <v>2</v>
      </c>
      <c r="BA134" s="59">
        <v>2</v>
      </c>
      <c r="BB134" s="57">
        <f t="shared" si="56"/>
        <v>9118</v>
      </c>
    </row>
    <row r="135" spans="1:54" x14ac:dyDescent="0.25">
      <c r="A135" s="58">
        <v>41</v>
      </c>
      <c r="B135" s="59">
        <v>0</v>
      </c>
      <c r="C135" s="59">
        <v>1</v>
      </c>
      <c r="D135" s="59">
        <f t="shared" si="38"/>
        <v>1</v>
      </c>
      <c r="E135" s="59">
        <f t="shared" si="39"/>
        <v>0</v>
      </c>
      <c r="F135" s="59">
        <v>802</v>
      </c>
      <c r="G135" s="59">
        <v>1</v>
      </c>
      <c r="H135" s="59">
        <f t="shared" si="40"/>
        <v>1</v>
      </c>
      <c r="I135" s="59">
        <f t="shared" si="41"/>
        <v>0</v>
      </c>
      <c r="J135" s="59">
        <v>9</v>
      </c>
      <c r="K135" s="59">
        <v>1</v>
      </c>
      <c r="L135" s="59">
        <v>1</v>
      </c>
      <c r="M135" s="59">
        <f t="shared" si="42"/>
        <v>1</v>
      </c>
      <c r="N135" s="59">
        <f t="shared" si="43"/>
        <v>0</v>
      </c>
      <c r="O135" s="59">
        <f t="shared" si="44"/>
        <v>0</v>
      </c>
      <c r="P135" s="59">
        <f t="shared" si="45"/>
        <v>0</v>
      </c>
      <c r="Q135" s="59">
        <f t="shared" si="46"/>
        <v>0</v>
      </c>
      <c r="R135" s="59">
        <v>1</v>
      </c>
      <c r="S135" s="59">
        <v>176</v>
      </c>
      <c r="T135" s="59">
        <v>3</v>
      </c>
      <c r="U135" s="59">
        <v>1</v>
      </c>
      <c r="V135" s="59">
        <v>96</v>
      </c>
      <c r="W135" s="59">
        <v>3</v>
      </c>
      <c r="X135" s="59">
        <v>3</v>
      </c>
      <c r="Y135" s="59">
        <v>1</v>
      </c>
      <c r="Z135" s="59">
        <f t="shared" si="47"/>
        <v>1</v>
      </c>
      <c r="AA135" s="59">
        <f>IF('Updated Dummy'!Y135=2,1,0)</f>
        <v>0</v>
      </c>
      <c r="AB135" s="59">
        <f t="shared" si="48"/>
        <v>0</v>
      </c>
      <c r="AC135" s="59">
        <f t="shared" si="49"/>
        <v>0</v>
      </c>
      <c r="AD135" s="59">
        <f t="shared" si="50"/>
        <v>0</v>
      </c>
      <c r="AE135" s="59">
        <f t="shared" si="51"/>
        <v>0</v>
      </c>
      <c r="AF135" s="59">
        <f t="shared" si="52"/>
        <v>0</v>
      </c>
      <c r="AG135" s="59">
        <f t="shared" si="53"/>
        <v>0</v>
      </c>
      <c r="AH135" s="59">
        <v>3</v>
      </c>
      <c r="AI135" s="59">
        <v>3</v>
      </c>
      <c r="AJ135" s="59">
        <f t="shared" si="54"/>
        <v>0</v>
      </c>
      <c r="AK135" s="59">
        <f t="shared" si="55"/>
        <v>0</v>
      </c>
      <c r="AL135" s="59">
        <v>8189</v>
      </c>
      <c r="AM135" s="59">
        <v>21196</v>
      </c>
      <c r="AN135" s="59">
        <v>3</v>
      </c>
      <c r="AO135" s="59">
        <v>1</v>
      </c>
      <c r="AP135" s="59">
        <v>13</v>
      </c>
      <c r="AQ135" s="59">
        <v>3</v>
      </c>
      <c r="AR135" s="59">
        <v>3</v>
      </c>
      <c r="AS135" s="59">
        <v>80</v>
      </c>
      <c r="AT135" s="59">
        <v>1</v>
      </c>
      <c r="AU135" s="59">
        <v>12</v>
      </c>
      <c r="AV135" s="59">
        <v>2</v>
      </c>
      <c r="AW135" s="59">
        <v>3</v>
      </c>
      <c r="AX135" s="59">
        <v>9</v>
      </c>
      <c r="AY135" s="59">
        <v>7</v>
      </c>
      <c r="AZ135" s="59">
        <v>0</v>
      </c>
      <c r="BA135" s="59">
        <v>7</v>
      </c>
      <c r="BB135" s="57">
        <f t="shared" si="56"/>
        <v>24567</v>
      </c>
    </row>
    <row r="136" spans="1:54" x14ac:dyDescent="0.25">
      <c r="A136" s="58">
        <v>26</v>
      </c>
      <c r="B136" s="59">
        <v>0</v>
      </c>
      <c r="C136" s="59">
        <v>1</v>
      </c>
      <c r="D136" s="59">
        <f t="shared" si="38"/>
        <v>1</v>
      </c>
      <c r="E136" s="59">
        <f t="shared" si="39"/>
        <v>0</v>
      </c>
      <c r="F136" s="59">
        <v>1355</v>
      </c>
      <c r="G136" s="59">
        <v>3</v>
      </c>
      <c r="H136" s="59">
        <f t="shared" si="40"/>
        <v>0</v>
      </c>
      <c r="I136" s="59">
        <f t="shared" si="41"/>
        <v>0</v>
      </c>
      <c r="J136" s="59">
        <v>25</v>
      </c>
      <c r="K136" s="59">
        <v>1</v>
      </c>
      <c r="L136" s="59">
        <v>1</v>
      </c>
      <c r="M136" s="59">
        <f t="shared" si="42"/>
        <v>1</v>
      </c>
      <c r="N136" s="59">
        <f t="shared" si="43"/>
        <v>0</v>
      </c>
      <c r="O136" s="59">
        <f t="shared" si="44"/>
        <v>0</v>
      </c>
      <c r="P136" s="59">
        <f t="shared" si="45"/>
        <v>0</v>
      </c>
      <c r="Q136" s="59">
        <f t="shared" si="46"/>
        <v>0</v>
      </c>
      <c r="R136" s="59">
        <v>1</v>
      </c>
      <c r="S136" s="59">
        <v>177</v>
      </c>
      <c r="T136" s="59">
        <v>3</v>
      </c>
      <c r="U136" s="59">
        <v>0</v>
      </c>
      <c r="V136" s="59">
        <v>61</v>
      </c>
      <c r="W136" s="59">
        <v>3</v>
      </c>
      <c r="X136" s="59">
        <v>1</v>
      </c>
      <c r="Y136" s="59">
        <v>9</v>
      </c>
      <c r="Z136" s="59">
        <f t="shared" si="47"/>
        <v>0</v>
      </c>
      <c r="AA136" s="59">
        <f>IF('Updated Dummy'!Y136=2,1,0)</f>
        <v>0</v>
      </c>
      <c r="AB136" s="59">
        <f t="shared" si="48"/>
        <v>0</v>
      </c>
      <c r="AC136" s="59">
        <f t="shared" si="49"/>
        <v>0</v>
      </c>
      <c r="AD136" s="59">
        <f t="shared" si="50"/>
        <v>0</v>
      </c>
      <c r="AE136" s="59">
        <f t="shared" si="51"/>
        <v>0</v>
      </c>
      <c r="AF136" s="59">
        <f t="shared" si="52"/>
        <v>0</v>
      </c>
      <c r="AG136" s="59">
        <f t="shared" si="53"/>
        <v>0</v>
      </c>
      <c r="AH136" s="59">
        <v>3</v>
      </c>
      <c r="AI136" s="59">
        <v>2</v>
      </c>
      <c r="AJ136" s="59">
        <f t="shared" si="54"/>
        <v>0</v>
      </c>
      <c r="AK136" s="59">
        <f t="shared" si="55"/>
        <v>1</v>
      </c>
      <c r="AL136" s="59">
        <v>2942</v>
      </c>
      <c r="AM136" s="59">
        <v>8916</v>
      </c>
      <c r="AN136" s="59">
        <v>1</v>
      </c>
      <c r="AO136" s="59">
        <v>0</v>
      </c>
      <c r="AP136" s="59">
        <v>23</v>
      </c>
      <c r="AQ136" s="59">
        <v>4</v>
      </c>
      <c r="AR136" s="59">
        <v>4</v>
      </c>
      <c r="AS136" s="59">
        <v>80</v>
      </c>
      <c r="AT136" s="59">
        <v>1</v>
      </c>
      <c r="AU136" s="59">
        <v>8</v>
      </c>
      <c r="AV136" s="59">
        <v>3</v>
      </c>
      <c r="AW136" s="59">
        <v>3</v>
      </c>
      <c r="AX136" s="59">
        <v>8</v>
      </c>
      <c r="AY136" s="59">
        <v>7</v>
      </c>
      <c r="AZ136" s="59">
        <v>5</v>
      </c>
      <c r="BA136" s="59">
        <v>7</v>
      </c>
      <c r="BB136" s="57">
        <f t="shared" si="56"/>
        <v>2942</v>
      </c>
    </row>
    <row r="137" spans="1:54" x14ac:dyDescent="0.25">
      <c r="A137" s="58">
        <v>36</v>
      </c>
      <c r="B137" s="59">
        <v>0</v>
      </c>
      <c r="C137" s="59">
        <v>1</v>
      </c>
      <c r="D137" s="59">
        <f t="shared" si="38"/>
        <v>1</v>
      </c>
      <c r="E137" s="59">
        <f t="shared" si="39"/>
        <v>0</v>
      </c>
      <c r="F137" s="59">
        <v>216</v>
      </c>
      <c r="G137" s="59">
        <v>2</v>
      </c>
      <c r="H137" s="59">
        <f t="shared" si="40"/>
        <v>0</v>
      </c>
      <c r="I137" s="59">
        <f t="shared" si="41"/>
        <v>1</v>
      </c>
      <c r="J137" s="59">
        <v>6</v>
      </c>
      <c r="K137" s="59">
        <v>2</v>
      </c>
      <c r="L137" s="59">
        <v>3</v>
      </c>
      <c r="M137" s="59">
        <f t="shared" si="42"/>
        <v>0</v>
      </c>
      <c r="N137" s="59">
        <f t="shared" si="43"/>
        <v>0</v>
      </c>
      <c r="O137" s="59">
        <f t="shared" si="44"/>
        <v>1</v>
      </c>
      <c r="P137" s="59">
        <f t="shared" si="45"/>
        <v>0</v>
      </c>
      <c r="Q137" s="59">
        <f t="shared" si="46"/>
        <v>0</v>
      </c>
      <c r="R137" s="59">
        <v>1</v>
      </c>
      <c r="S137" s="59">
        <v>178</v>
      </c>
      <c r="T137" s="59">
        <v>2</v>
      </c>
      <c r="U137" s="59">
        <v>1</v>
      </c>
      <c r="V137" s="59">
        <v>84</v>
      </c>
      <c r="W137" s="59">
        <v>3</v>
      </c>
      <c r="X137" s="59">
        <v>2</v>
      </c>
      <c r="Y137" s="59">
        <v>4</v>
      </c>
      <c r="Z137" s="59">
        <f t="shared" si="47"/>
        <v>0</v>
      </c>
      <c r="AA137" s="59">
        <f>IF('Updated Dummy'!Y137=2,1,0)</f>
        <v>0</v>
      </c>
      <c r="AB137" s="59">
        <f t="shared" si="48"/>
        <v>0</v>
      </c>
      <c r="AC137" s="59">
        <f t="shared" si="49"/>
        <v>1</v>
      </c>
      <c r="AD137" s="59">
        <f t="shared" si="50"/>
        <v>0</v>
      </c>
      <c r="AE137" s="59">
        <f t="shared" si="51"/>
        <v>0</v>
      </c>
      <c r="AF137" s="59">
        <f t="shared" si="52"/>
        <v>0</v>
      </c>
      <c r="AG137" s="59">
        <f t="shared" si="53"/>
        <v>0</v>
      </c>
      <c r="AH137" s="59">
        <v>2</v>
      </c>
      <c r="AI137" s="59">
        <v>3</v>
      </c>
      <c r="AJ137" s="59">
        <f t="shared" si="54"/>
        <v>0</v>
      </c>
      <c r="AK137" s="59">
        <f t="shared" si="55"/>
        <v>0</v>
      </c>
      <c r="AL137" s="59">
        <v>4941</v>
      </c>
      <c r="AM137" s="59">
        <v>2819</v>
      </c>
      <c r="AN137" s="59">
        <v>6</v>
      </c>
      <c r="AO137" s="59">
        <v>0</v>
      </c>
      <c r="AP137" s="59">
        <v>20</v>
      </c>
      <c r="AQ137" s="59">
        <v>4</v>
      </c>
      <c r="AR137" s="59">
        <v>4</v>
      </c>
      <c r="AS137" s="59">
        <v>80</v>
      </c>
      <c r="AT137" s="59">
        <v>2</v>
      </c>
      <c r="AU137" s="59">
        <v>7</v>
      </c>
      <c r="AV137" s="59">
        <v>0</v>
      </c>
      <c r="AW137" s="59">
        <v>3</v>
      </c>
      <c r="AX137" s="59">
        <v>3</v>
      </c>
      <c r="AY137" s="59">
        <v>2</v>
      </c>
      <c r="AZ137" s="59">
        <v>0</v>
      </c>
      <c r="BA137" s="59">
        <v>1</v>
      </c>
      <c r="BB137" s="57">
        <f t="shared" si="56"/>
        <v>9882</v>
      </c>
    </row>
    <row r="138" spans="1:54" x14ac:dyDescent="0.25">
      <c r="A138" s="58">
        <v>51</v>
      </c>
      <c r="B138" s="59">
        <v>1</v>
      </c>
      <c r="C138" s="59">
        <v>2</v>
      </c>
      <c r="D138" s="59">
        <f t="shared" si="38"/>
        <v>0</v>
      </c>
      <c r="E138" s="59">
        <f t="shared" si="39"/>
        <v>1</v>
      </c>
      <c r="F138" s="59">
        <v>1150</v>
      </c>
      <c r="G138" s="59">
        <v>2</v>
      </c>
      <c r="H138" s="59">
        <f t="shared" si="40"/>
        <v>0</v>
      </c>
      <c r="I138" s="59">
        <f t="shared" si="41"/>
        <v>1</v>
      </c>
      <c r="J138" s="59">
        <v>8</v>
      </c>
      <c r="K138" s="59">
        <v>4</v>
      </c>
      <c r="L138" s="59">
        <v>1</v>
      </c>
      <c r="M138" s="59">
        <f t="shared" si="42"/>
        <v>1</v>
      </c>
      <c r="N138" s="59">
        <f t="shared" si="43"/>
        <v>0</v>
      </c>
      <c r="O138" s="59">
        <f t="shared" si="44"/>
        <v>0</v>
      </c>
      <c r="P138" s="59">
        <f t="shared" si="45"/>
        <v>0</v>
      </c>
      <c r="Q138" s="59">
        <f t="shared" si="46"/>
        <v>0</v>
      </c>
      <c r="R138" s="59">
        <v>1</v>
      </c>
      <c r="S138" s="59">
        <v>179</v>
      </c>
      <c r="T138" s="59">
        <v>1</v>
      </c>
      <c r="U138" s="59">
        <v>1</v>
      </c>
      <c r="V138" s="59">
        <v>53</v>
      </c>
      <c r="W138" s="59">
        <v>1</v>
      </c>
      <c r="X138" s="59">
        <v>3</v>
      </c>
      <c r="Y138" s="59">
        <v>4</v>
      </c>
      <c r="Z138" s="59">
        <f t="shared" si="47"/>
        <v>0</v>
      </c>
      <c r="AA138" s="59">
        <f>IF('Updated Dummy'!Y138=2,1,0)</f>
        <v>0</v>
      </c>
      <c r="AB138" s="59">
        <f t="shared" si="48"/>
        <v>0</v>
      </c>
      <c r="AC138" s="59">
        <f t="shared" si="49"/>
        <v>1</v>
      </c>
      <c r="AD138" s="59">
        <f t="shared" si="50"/>
        <v>0</v>
      </c>
      <c r="AE138" s="59">
        <f t="shared" si="51"/>
        <v>0</v>
      </c>
      <c r="AF138" s="59">
        <f t="shared" si="52"/>
        <v>0</v>
      </c>
      <c r="AG138" s="59">
        <f t="shared" si="53"/>
        <v>0</v>
      </c>
      <c r="AH138" s="59">
        <v>4</v>
      </c>
      <c r="AI138" s="59">
        <v>1</v>
      </c>
      <c r="AJ138" s="59">
        <f t="shared" si="54"/>
        <v>1</v>
      </c>
      <c r="AK138" s="59">
        <f t="shared" si="55"/>
        <v>0</v>
      </c>
      <c r="AL138" s="59">
        <v>10650</v>
      </c>
      <c r="AM138" s="59">
        <v>25150</v>
      </c>
      <c r="AN138" s="59">
        <v>2</v>
      </c>
      <c r="AO138" s="59">
        <v>0</v>
      </c>
      <c r="AP138" s="59">
        <v>15</v>
      </c>
      <c r="AQ138" s="59">
        <v>3</v>
      </c>
      <c r="AR138" s="59">
        <v>4</v>
      </c>
      <c r="AS138" s="59">
        <v>80</v>
      </c>
      <c r="AT138" s="59">
        <v>0</v>
      </c>
      <c r="AU138" s="59">
        <v>18</v>
      </c>
      <c r="AV138" s="59">
        <v>2</v>
      </c>
      <c r="AW138" s="59">
        <v>3</v>
      </c>
      <c r="AX138" s="59">
        <v>4</v>
      </c>
      <c r="AY138" s="59">
        <v>2</v>
      </c>
      <c r="AZ138" s="59">
        <v>0</v>
      </c>
      <c r="BA138" s="59">
        <v>3</v>
      </c>
      <c r="BB138" s="57">
        <f t="shared" si="56"/>
        <v>31950</v>
      </c>
    </row>
    <row r="139" spans="1:54" x14ac:dyDescent="0.25">
      <c r="A139" s="58">
        <v>39</v>
      </c>
      <c r="B139" s="59">
        <v>0</v>
      </c>
      <c r="C139" s="59">
        <v>1</v>
      </c>
      <c r="D139" s="59">
        <f t="shared" si="38"/>
        <v>1</v>
      </c>
      <c r="E139" s="59">
        <f t="shared" si="39"/>
        <v>0</v>
      </c>
      <c r="F139" s="59">
        <v>1329</v>
      </c>
      <c r="G139" s="59">
        <v>1</v>
      </c>
      <c r="H139" s="59">
        <f t="shared" si="40"/>
        <v>1</v>
      </c>
      <c r="I139" s="59">
        <f t="shared" si="41"/>
        <v>0</v>
      </c>
      <c r="J139" s="59">
        <v>4</v>
      </c>
      <c r="K139" s="59">
        <v>4</v>
      </c>
      <c r="L139" s="59">
        <v>1</v>
      </c>
      <c r="M139" s="59">
        <f t="shared" si="42"/>
        <v>1</v>
      </c>
      <c r="N139" s="59">
        <f t="shared" si="43"/>
        <v>0</v>
      </c>
      <c r="O139" s="59">
        <f t="shared" si="44"/>
        <v>0</v>
      </c>
      <c r="P139" s="59">
        <f t="shared" si="45"/>
        <v>0</v>
      </c>
      <c r="Q139" s="59">
        <f t="shared" si="46"/>
        <v>0</v>
      </c>
      <c r="R139" s="59">
        <v>1</v>
      </c>
      <c r="S139" s="59">
        <v>182</v>
      </c>
      <c r="T139" s="59">
        <v>4</v>
      </c>
      <c r="U139" s="59">
        <v>0</v>
      </c>
      <c r="V139" s="59">
        <v>47</v>
      </c>
      <c r="W139" s="59">
        <v>2</v>
      </c>
      <c r="X139" s="59">
        <v>2</v>
      </c>
      <c r="Y139" s="59">
        <v>1</v>
      </c>
      <c r="Z139" s="59">
        <f t="shared" si="47"/>
        <v>1</v>
      </c>
      <c r="AA139" s="59">
        <f>IF('Updated Dummy'!Y139=2,1,0)</f>
        <v>0</v>
      </c>
      <c r="AB139" s="59">
        <f t="shared" si="48"/>
        <v>0</v>
      </c>
      <c r="AC139" s="59">
        <f t="shared" si="49"/>
        <v>0</v>
      </c>
      <c r="AD139" s="59">
        <f t="shared" si="50"/>
        <v>0</v>
      </c>
      <c r="AE139" s="59">
        <f t="shared" si="51"/>
        <v>0</v>
      </c>
      <c r="AF139" s="59">
        <f t="shared" si="52"/>
        <v>0</v>
      </c>
      <c r="AG139" s="59">
        <f t="shared" si="53"/>
        <v>0</v>
      </c>
      <c r="AH139" s="59">
        <v>3</v>
      </c>
      <c r="AI139" s="59">
        <v>2</v>
      </c>
      <c r="AJ139" s="59">
        <f t="shared" si="54"/>
        <v>0</v>
      </c>
      <c r="AK139" s="59">
        <f t="shared" si="55"/>
        <v>1</v>
      </c>
      <c r="AL139" s="59">
        <v>5902</v>
      </c>
      <c r="AM139" s="59">
        <v>14590</v>
      </c>
      <c r="AN139" s="59">
        <v>4</v>
      </c>
      <c r="AO139" s="59">
        <v>0</v>
      </c>
      <c r="AP139" s="59">
        <v>14</v>
      </c>
      <c r="AQ139" s="59">
        <v>3</v>
      </c>
      <c r="AR139" s="59">
        <v>3</v>
      </c>
      <c r="AS139" s="59">
        <v>80</v>
      </c>
      <c r="AT139" s="59">
        <v>1</v>
      </c>
      <c r="AU139" s="59">
        <v>17</v>
      </c>
      <c r="AV139" s="59">
        <v>1</v>
      </c>
      <c r="AW139" s="59">
        <v>4</v>
      </c>
      <c r="AX139" s="59">
        <v>15</v>
      </c>
      <c r="AY139" s="59">
        <v>11</v>
      </c>
      <c r="AZ139" s="59">
        <v>5</v>
      </c>
      <c r="BA139" s="59">
        <v>9</v>
      </c>
      <c r="BB139" s="57">
        <f t="shared" si="56"/>
        <v>11804</v>
      </c>
    </row>
    <row r="140" spans="1:54" x14ac:dyDescent="0.25">
      <c r="A140" s="58">
        <v>25</v>
      </c>
      <c r="B140" s="59">
        <v>0</v>
      </c>
      <c r="C140" s="59">
        <v>1</v>
      </c>
      <c r="D140" s="59">
        <f t="shared" si="38"/>
        <v>1</v>
      </c>
      <c r="E140" s="59">
        <f t="shared" si="39"/>
        <v>0</v>
      </c>
      <c r="F140" s="59">
        <v>959</v>
      </c>
      <c r="G140" s="59">
        <v>1</v>
      </c>
      <c r="H140" s="59">
        <f t="shared" si="40"/>
        <v>1</v>
      </c>
      <c r="I140" s="59">
        <f t="shared" si="41"/>
        <v>0</v>
      </c>
      <c r="J140" s="59">
        <v>28</v>
      </c>
      <c r="K140" s="59">
        <v>3</v>
      </c>
      <c r="L140" s="59">
        <v>1</v>
      </c>
      <c r="M140" s="59">
        <f t="shared" si="42"/>
        <v>1</v>
      </c>
      <c r="N140" s="59">
        <f t="shared" si="43"/>
        <v>0</v>
      </c>
      <c r="O140" s="59">
        <f t="shared" si="44"/>
        <v>0</v>
      </c>
      <c r="P140" s="59">
        <f t="shared" si="45"/>
        <v>0</v>
      </c>
      <c r="Q140" s="59">
        <f t="shared" si="46"/>
        <v>0</v>
      </c>
      <c r="R140" s="59">
        <v>1</v>
      </c>
      <c r="S140" s="59">
        <v>183</v>
      </c>
      <c r="T140" s="59">
        <v>1</v>
      </c>
      <c r="U140" s="59">
        <v>1</v>
      </c>
      <c r="V140" s="59">
        <v>41</v>
      </c>
      <c r="W140" s="59">
        <v>2</v>
      </c>
      <c r="X140" s="59">
        <v>2</v>
      </c>
      <c r="Y140" s="59">
        <v>1</v>
      </c>
      <c r="Z140" s="59">
        <f t="shared" si="47"/>
        <v>1</v>
      </c>
      <c r="AA140" s="59">
        <f>IF('Updated Dummy'!Y140=2,1,0)</f>
        <v>0</v>
      </c>
      <c r="AB140" s="59">
        <f t="shared" si="48"/>
        <v>0</v>
      </c>
      <c r="AC140" s="59">
        <f t="shared" si="49"/>
        <v>0</v>
      </c>
      <c r="AD140" s="59">
        <f t="shared" si="50"/>
        <v>0</v>
      </c>
      <c r="AE140" s="59">
        <f t="shared" si="51"/>
        <v>0</v>
      </c>
      <c r="AF140" s="59">
        <f t="shared" si="52"/>
        <v>0</v>
      </c>
      <c r="AG140" s="59">
        <f t="shared" si="53"/>
        <v>0</v>
      </c>
      <c r="AH140" s="59">
        <v>3</v>
      </c>
      <c r="AI140" s="59">
        <v>2</v>
      </c>
      <c r="AJ140" s="59">
        <f t="shared" si="54"/>
        <v>0</v>
      </c>
      <c r="AK140" s="59">
        <f t="shared" si="55"/>
        <v>1</v>
      </c>
      <c r="AL140" s="59">
        <v>8639</v>
      </c>
      <c r="AM140" s="59">
        <v>24835</v>
      </c>
      <c r="AN140" s="59">
        <v>2</v>
      </c>
      <c r="AO140" s="59">
        <v>0</v>
      </c>
      <c r="AP140" s="59">
        <v>18</v>
      </c>
      <c r="AQ140" s="59">
        <v>3</v>
      </c>
      <c r="AR140" s="59">
        <v>4</v>
      </c>
      <c r="AS140" s="59">
        <v>80</v>
      </c>
      <c r="AT140" s="59">
        <v>0</v>
      </c>
      <c r="AU140" s="59">
        <v>6</v>
      </c>
      <c r="AV140" s="59">
        <v>3</v>
      </c>
      <c r="AW140" s="59">
        <v>3</v>
      </c>
      <c r="AX140" s="59">
        <v>2</v>
      </c>
      <c r="AY140" s="59">
        <v>2</v>
      </c>
      <c r="AZ140" s="59">
        <v>2</v>
      </c>
      <c r="BA140" s="59">
        <v>2</v>
      </c>
      <c r="BB140" s="57">
        <f t="shared" si="56"/>
        <v>17278</v>
      </c>
    </row>
    <row r="141" spans="1:54" x14ac:dyDescent="0.25">
      <c r="A141" s="58">
        <v>30</v>
      </c>
      <c r="B141" s="59">
        <v>0</v>
      </c>
      <c r="C141" s="59">
        <v>1</v>
      </c>
      <c r="D141" s="59">
        <f t="shared" si="38"/>
        <v>1</v>
      </c>
      <c r="E141" s="59">
        <f t="shared" si="39"/>
        <v>0</v>
      </c>
      <c r="F141" s="59">
        <v>1240</v>
      </c>
      <c r="G141" s="59">
        <v>3</v>
      </c>
      <c r="H141" s="59">
        <f t="shared" si="40"/>
        <v>0</v>
      </c>
      <c r="I141" s="59">
        <f t="shared" si="41"/>
        <v>0</v>
      </c>
      <c r="J141" s="59">
        <v>9</v>
      </c>
      <c r="K141" s="59">
        <v>3</v>
      </c>
      <c r="L141" s="59">
        <v>2</v>
      </c>
      <c r="M141" s="59">
        <f t="shared" si="42"/>
        <v>0</v>
      </c>
      <c r="N141" s="59">
        <f t="shared" si="43"/>
        <v>1</v>
      </c>
      <c r="O141" s="59">
        <f t="shared" si="44"/>
        <v>0</v>
      </c>
      <c r="P141" s="59">
        <f t="shared" si="45"/>
        <v>0</v>
      </c>
      <c r="Q141" s="59">
        <f t="shared" si="46"/>
        <v>0</v>
      </c>
      <c r="R141" s="59">
        <v>1</v>
      </c>
      <c r="S141" s="59">
        <v>184</v>
      </c>
      <c r="T141" s="59">
        <v>3</v>
      </c>
      <c r="U141" s="59">
        <v>1</v>
      </c>
      <c r="V141" s="59">
        <v>48</v>
      </c>
      <c r="W141" s="59">
        <v>3</v>
      </c>
      <c r="X141" s="59">
        <v>2</v>
      </c>
      <c r="Y141" s="59">
        <v>9</v>
      </c>
      <c r="Z141" s="59">
        <f t="shared" si="47"/>
        <v>0</v>
      </c>
      <c r="AA141" s="59">
        <f>IF('Updated Dummy'!Y141=2,1,0)</f>
        <v>0</v>
      </c>
      <c r="AB141" s="59">
        <f t="shared" si="48"/>
        <v>0</v>
      </c>
      <c r="AC141" s="59">
        <f t="shared" si="49"/>
        <v>0</v>
      </c>
      <c r="AD141" s="59">
        <f t="shared" si="50"/>
        <v>0</v>
      </c>
      <c r="AE141" s="59">
        <f t="shared" si="51"/>
        <v>0</v>
      </c>
      <c r="AF141" s="59">
        <f t="shared" si="52"/>
        <v>0</v>
      </c>
      <c r="AG141" s="59">
        <f t="shared" si="53"/>
        <v>0</v>
      </c>
      <c r="AH141" s="59">
        <v>4</v>
      </c>
      <c r="AI141" s="59">
        <v>2</v>
      </c>
      <c r="AJ141" s="59">
        <f t="shared" si="54"/>
        <v>0</v>
      </c>
      <c r="AK141" s="59">
        <f t="shared" si="55"/>
        <v>1</v>
      </c>
      <c r="AL141" s="59">
        <v>6347</v>
      </c>
      <c r="AM141" s="59">
        <v>13982</v>
      </c>
      <c r="AN141" s="59">
        <v>0</v>
      </c>
      <c r="AO141" s="59">
        <v>1</v>
      </c>
      <c r="AP141" s="59">
        <v>19</v>
      </c>
      <c r="AQ141" s="59">
        <v>3</v>
      </c>
      <c r="AR141" s="59">
        <v>4</v>
      </c>
      <c r="AS141" s="59">
        <v>80</v>
      </c>
      <c r="AT141" s="59">
        <v>0</v>
      </c>
      <c r="AU141" s="59">
        <v>12</v>
      </c>
      <c r="AV141" s="59">
        <v>2</v>
      </c>
      <c r="AW141" s="59">
        <v>1</v>
      </c>
      <c r="AX141" s="59">
        <v>11</v>
      </c>
      <c r="AY141" s="59">
        <v>9</v>
      </c>
      <c r="AZ141" s="59">
        <v>4</v>
      </c>
      <c r="BA141" s="59">
        <v>7</v>
      </c>
      <c r="BB141" s="57">
        <f t="shared" si="56"/>
        <v>12694</v>
      </c>
    </row>
    <row r="142" spans="1:54" x14ac:dyDescent="0.25">
      <c r="A142" s="58">
        <v>32</v>
      </c>
      <c r="B142" s="59">
        <v>1</v>
      </c>
      <c r="C142" s="59">
        <v>1</v>
      </c>
      <c r="D142" s="59">
        <f t="shared" si="38"/>
        <v>1</v>
      </c>
      <c r="E142" s="59">
        <f t="shared" si="39"/>
        <v>0</v>
      </c>
      <c r="F142" s="59">
        <v>1033</v>
      </c>
      <c r="G142" s="59">
        <v>2</v>
      </c>
      <c r="H142" s="59">
        <f t="shared" si="40"/>
        <v>0</v>
      </c>
      <c r="I142" s="59">
        <f t="shared" si="41"/>
        <v>1</v>
      </c>
      <c r="J142" s="59">
        <v>9</v>
      </c>
      <c r="K142" s="59">
        <v>3</v>
      </c>
      <c r="L142" s="59">
        <v>3</v>
      </c>
      <c r="M142" s="59">
        <f t="shared" si="42"/>
        <v>0</v>
      </c>
      <c r="N142" s="59">
        <f t="shared" si="43"/>
        <v>0</v>
      </c>
      <c r="O142" s="59">
        <f t="shared" si="44"/>
        <v>1</v>
      </c>
      <c r="P142" s="59">
        <f t="shared" si="45"/>
        <v>0</v>
      </c>
      <c r="Q142" s="59">
        <f t="shared" si="46"/>
        <v>0</v>
      </c>
      <c r="R142" s="59">
        <v>1</v>
      </c>
      <c r="S142" s="59">
        <v>190</v>
      </c>
      <c r="T142" s="59">
        <v>1</v>
      </c>
      <c r="U142" s="59">
        <v>0</v>
      </c>
      <c r="V142" s="59">
        <v>41</v>
      </c>
      <c r="W142" s="59">
        <v>3</v>
      </c>
      <c r="X142" s="59">
        <v>1</v>
      </c>
      <c r="Y142" s="59">
        <v>3</v>
      </c>
      <c r="Z142" s="59">
        <f t="shared" si="47"/>
        <v>0</v>
      </c>
      <c r="AA142" s="59">
        <f>IF('Updated Dummy'!Y142=2,1,0)</f>
        <v>0</v>
      </c>
      <c r="AB142" s="59">
        <f t="shared" si="48"/>
        <v>1</v>
      </c>
      <c r="AC142" s="59">
        <f t="shared" si="49"/>
        <v>0</v>
      </c>
      <c r="AD142" s="59">
        <f t="shared" si="50"/>
        <v>0</v>
      </c>
      <c r="AE142" s="59">
        <f t="shared" si="51"/>
        <v>0</v>
      </c>
      <c r="AF142" s="59">
        <f t="shared" si="52"/>
        <v>0</v>
      </c>
      <c r="AG142" s="59">
        <f t="shared" si="53"/>
        <v>0</v>
      </c>
      <c r="AH142" s="59">
        <v>1</v>
      </c>
      <c r="AI142" s="59">
        <v>1</v>
      </c>
      <c r="AJ142" s="59">
        <f t="shared" si="54"/>
        <v>1</v>
      </c>
      <c r="AK142" s="59">
        <f t="shared" si="55"/>
        <v>0</v>
      </c>
      <c r="AL142" s="59">
        <v>4200</v>
      </c>
      <c r="AM142" s="59">
        <v>10224</v>
      </c>
      <c r="AN142" s="59">
        <v>7</v>
      </c>
      <c r="AO142" s="59">
        <v>0</v>
      </c>
      <c r="AP142" s="59">
        <v>22</v>
      </c>
      <c r="AQ142" s="59">
        <v>4</v>
      </c>
      <c r="AR142" s="59">
        <v>1</v>
      </c>
      <c r="AS142" s="59">
        <v>80</v>
      </c>
      <c r="AT142" s="59">
        <v>0</v>
      </c>
      <c r="AU142" s="59">
        <v>10</v>
      </c>
      <c r="AV142" s="59">
        <v>2</v>
      </c>
      <c r="AW142" s="59">
        <v>4</v>
      </c>
      <c r="AX142" s="59">
        <v>5</v>
      </c>
      <c r="AY142" s="59">
        <v>4</v>
      </c>
      <c r="AZ142" s="59">
        <v>0</v>
      </c>
      <c r="BA142" s="59">
        <v>4</v>
      </c>
      <c r="BB142" s="57">
        <f t="shared" si="56"/>
        <v>4200</v>
      </c>
    </row>
    <row r="143" spans="1:54" x14ac:dyDescent="0.25">
      <c r="A143" s="58">
        <v>45</v>
      </c>
      <c r="B143" s="59">
        <v>0</v>
      </c>
      <c r="C143" s="59">
        <v>1</v>
      </c>
      <c r="D143" s="59">
        <f t="shared" si="38"/>
        <v>1</v>
      </c>
      <c r="E143" s="59">
        <f t="shared" si="39"/>
        <v>0</v>
      </c>
      <c r="F143" s="59">
        <v>1316</v>
      </c>
      <c r="G143" s="59">
        <v>2</v>
      </c>
      <c r="H143" s="59">
        <f t="shared" si="40"/>
        <v>0</v>
      </c>
      <c r="I143" s="59">
        <f t="shared" si="41"/>
        <v>1</v>
      </c>
      <c r="J143" s="59">
        <v>29</v>
      </c>
      <c r="K143" s="59">
        <v>3</v>
      </c>
      <c r="L143" s="59">
        <v>3</v>
      </c>
      <c r="M143" s="59">
        <f t="shared" si="42"/>
        <v>0</v>
      </c>
      <c r="N143" s="59">
        <f t="shared" si="43"/>
        <v>0</v>
      </c>
      <c r="O143" s="59">
        <f t="shared" si="44"/>
        <v>1</v>
      </c>
      <c r="P143" s="59">
        <f t="shared" si="45"/>
        <v>0</v>
      </c>
      <c r="Q143" s="59">
        <f t="shared" si="46"/>
        <v>0</v>
      </c>
      <c r="R143" s="59">
        <v>1</v>
      </c>
      <c r="S143" s="59">
        <v>192</v>
      </c>
      <c r="T143" s="59">
        <v>3</v>
      </c>
      <c r="U143" s="59">
        <v>1</v>
      </c>
      <c r="V143" s="59">
        <v>83</v>
      </c>
      <c r="W143" s="59">
        <v>3</v>
      </c>
      <c r="X143" s="59">
        <v>1</v>
      </c>
      <c r="Y143" s="59">
        <v>2</v>
      </c>
      <c r="Z143" s="59">
        <f t="shared" si="47"/>
        <v>0</v>
      </c>
      <c r="AA143" s="59">
        <f>IF('Updated Dummy'!Y143=2,1,0)</f>
        <v>1</v>
      </c>
      <c r="AB143" s="59">
        <f t="shared" si="48"/>
        <v>0</v>
      </c>
      <c r="AC143" s="59">
        <f t="shared" si="49"/>
        <v>0</v>
      </c>
      <c r="AD143" s="59">
        <f t="shared" si="50"/>
        <v>0</v>
      </c>
      <c r="AE143" s="59">
        <f t="shared" si="51"/>
        <v>0</v>
      </c>
      <c r="AF143" s="59">
        <f t="shared" si="52"/>
        <v>0</v>
      </c>
      <c r="AG143" s="59">
        <f t="shared" si="53"/>
        <v>0</v>
      </c>
      <c r="AH143" s="59">
        <v>4</v>
      </c>
      <c r="AI143" s="59">
        <v>1</v>
      </c>
      <c r="AJ143" s="59">
        <f t="shared" si="54"/>
        <v>1</v>
      </c>
      <c r="AK143" s="59">
        <f t="shared" si="55"/>
        <v>0</v>
      </c>
      <c r="AL143" s="59">
        <v>3452</v>
      </c>
      <c r="AM143" s="59">
        <v>9752</v>
      </c>
      <c r="AN143" s="59">
        <v>5</v>
      </c>
      <c r="AO143" s="59">
        <v>0</v>
      </c>
      <c r="AP143" s="59">
        <v>13</v>
      </c>
      <c r="AQ143" s="59">
        <v>3</v>
      </c>
      <c r="AR143" s="59">
        <v>2</v>
      </c>
      <c r="AS143" s="59">
        <v>80</v>
      </c>
      <c r="AT143" s="59">
        <v>0</v>
      </c>
      <c r="AU143" s="59">
        <v>9</v>
      </c>
      <c r="AV143" s="59">
        <v>2</v>
      </c>
      <c r="AW143" s="59">
        <v>2</v>
      </c>
      <c r="AX143" s="59">
        <v>6</v>
      </c>
      <c r="AY143" s="59">
        <v>5</v>
      </c>
      <c r="AZ143" s="59">
        <v>0</v>
      </c>
      <c r="BA143" s="59">
        <v>3</v>
      </c>
      <c r="BB143" s="57">
        <f t="shared" si="56"/>
        <v>3452</v>
      </c>
    </row>
    <row r="144" spans="1:54" x14ac:dyDescent="0.25">
      <c r="A144" s="58">
        <v>38</v>
      </c>
      <c r="B144" s="59">
        <v>0</v>
      </c>
      <c r="C144" s="59">
        <v>1</v>
      </c>
      <c r="D144" s="59">
        <f t="shared" si="38"/>
        <v>1</v>
      </c>
      <c r="E144" s="59">
        <f t="shared" si="39"/>
        <v>0</v>
      </c>
      <c r="F144" s="59">
        <v>364</v>
      </c>
      <c r="G144" s="59">
        <v>2</v>
      </c>
      <c r="H144" s="59">
        <f t="shared" si="40"/>
        <v>0</v>
      </c>
      <c r="I144" s="59">
        <f t="shared" si="41"/>
        <v>1</v>
      </c>
      <c r="J144" s="59">
        <v>3</v>
      </c>
      <c r="K144" s="59">
        <v>5</v>
      </c>
      <c r="L144" s="59">
        <v>5</v>
      </c>
      <c r="M144" s="59">
        <f t="shared" si="42"/>
        <v>0</v>
      </c>
      <c r="N144" s="59">
        <f t="shared" si="43"/>
        <v>0</v>
      </c>
      <c r="O144" s="59">
        <f t="shared" si="44"/>
        <v>0</v>
      </c>
      <c r="P144" s="59">
        <f t="shared" si="45"/>
        <v>0</v>
      </c>
      <c r="Q144" s="59">
        <f t="shared" si="46"/>
        <v>1</v>
      </c>
      <c r="R144" s="59">
        <v>1</v>
      </c>
      <c r="S144" s="59">
        <v>193</v>
      </c>
      <c r="T144" s="59">
        <v>4</v>
      </c>
      <c r="U144" s="59">
        <v>0</v>
      </c>
      <c r="V144" s="59">
        <v>32</v>
      </c>
      <c r="W144" s="59">
        <v>3</v>
      </c>
      <c r="X144" s="59">
        <v>2</v>
      </c>
      <c r="Y144" s="59">
        <v>2</v>
      </c>
      <c r="Z144" s="59">
        <f t="shared" si="47"/>
        <v>0</v>
      </c>
      <c r="AA144" s="59">
        <f>IF('Updated Dummy'!Y144=2,1,0)</f>
        <v>1</v>
      </c>
      <c r="AB144" s="59">
        <f t="shared" si="48"/>
        <v>0</v>
      </c>
      <c r="AC144" s="59">
        <f t="shared" si="49"/>
        <v>0</v>
      </c>
      <c r="AD144" s="59">
        <f t="shared" si="50"/>
        <v>0</v>
      </c>
      <c r="AE144" s="59">
        <f t="shared" si="51"/>
        <v>0</v>
      </c>
      <c r="AF144" s="59">
        <f t="shared" si="52"/>
        <v>0</v>
      </c>
      <c r="AG144" s="59">
        <f t="shared" si="53"/>
        <v>0</v>
      </c>
      <c r="AH144" s="59">
        <v>3</v>
      </c>
      <c r="AI144" s="59">
        <v>1</v>
      </c>
      <c r="AJ144" s="59">
        <f t="shared" si="54"/>
        <v>1</v>
      </c>
      <c r="AK144" s="59">
        <f t="shared" si="55"/>
        <v>0</v>
      </c>
      <c r="AL144" s="59">
        <v>4317</v>
      </c>
      <c r="AM144" s="59">
        <v>2302</v>
      </c>
      <c r="AN144" s="59">
        <v>3</v>
      </c>
      <c r="AO144" s="59">
        <v>1</v>
      </c>
      <c r="AP144" s="59">
        <v>20</v>
      </c>
      <c r="AQ144" s="59">
        <v>4</v>
      </c>
      <c r="AR144" s="59">
        <v>2</v>
      </c>
      <c r="AS144" s="59">
        <v>80</v>
      </c>
      <c r="AT144" s="59">
        <v>0</v>
      </c>
      <c r="AU144" s="59">
        <v>19</v>
      </c>
      <c r="AV144" s="59">
        <v>2</v>
      </c>
      <c r="AW144" s="59">
        <v>3</v>
      </c>
      <c r="AX144" s="59">
        <v>3</v>
      </c>
      <c r="AY144" s="59">
        <v>2</v>
      </c>
      <c r="AZ144" s="59">
        <v>2</v>
      </c>
      <c r="BA144" s="59">
        <v>2</v>
      </c>
      <c r="BB144" s="57">
        <f t="shared" si="56"/>
        <v>8634</v>
      </c>
    </row>
    <row r="145" spans="1:54" x14ac:dyDescent="0.25">
      <c r="A145" s="58">
        <v>30</v>
      </c>
      <c r="B145" s="59">
        <v>0</v>
      </c>
      <c r="C145" s="59">
        <v>1</v>
      </c>
      <c r="D145" s="59">
        <f t="shared" si="38"/>
        <v>1</v>
      </c>
      <c r="E145" s="59">
        <f t="shared" si="39"/>
        <v>0</v>
      </c>
      <c r="F145" s="59">
        <v>438</v>
      </c>
      <c r="G145" s="59">
        <v>2</v>
      </c>
      <c r="H145" s="59">
        <f t="shared" si="40"/>
        <v>0</v>
      </c>
      <c r="I145" s="59">
        <f t="shared" si="41"/>
        <v>1</v>
      </c>
      <c r="J145" s="59">
        <v>18</v>
      </c>
      <c r="K145" s="59">
        <v>3</v>
      </c>
      <c r="L145" s="59">
        <v>1</v>
      </c>
      <c r="M145" s="59">
        <f t="shared" si="42"/>
        <v>1</v>
      </c>
      <c r="N145" s="59">
        <f t="shared" si="43"/>
        <v>0</v>
      </c>
      <c r="O145" s="59">
        <f t="shared" si="44"/>
        <v>0</v>
      </c>
      <c r="P145" s="59">
        <f t="shared" si="45"/>
        <v>0</v>
      </c>
      <c r="Q145" s="59">
        <f t="shared" si="46"/>
        <v>0</v>
      </c>
      <c r="R145" s="59">
        <v>1</v>
      </c>
      <c r="S145" s="59">
        <v>194</v>
      </c>
      <c r="T145" s="59">
        <v>1</v>
      </c>
      <c r="U145" s="59">
        <v>0</v>
      </c>
      <c r="V145" s="59">
        <v>75</v>
      </c>
      <c r="W145" s="59">
        <v>3</v>
      </c>
      <c r="X145" s="59">
        <v>1</v>
      </c>
      <c r="Y145" s="59">
        <v>2</v>
      </c>
      <c r="Z145" s="59">
        <f t="shared" si="47"/>
        <v>0</v>
      </c>
      <c r="AA145" s="59">
        <f>IF('Updated Dummy'!Y145=2,1,0)</f>
        <v>1</v>
      </c>
      <c r="AB145" s="59">
        <f t="shared" si="48"/>
        <v>0</v>
      </c>
      <c r="AC145" s="59">
        <f t="shared" si="49"/>
        <v>0</v>
      </c>
      <c r="AD145" s="59">
        <f t="shared" si="50"/>
        <v>0</v>
      </c>
      <c r="AE145" s="59">
        <f t="shared" si="51"/>
        <v>0</v>
      </c>
      <c r="AF145" s="59">
        <f t="shared" si="52"/>
        <v>0</v>
      </c>
      <c r="AG145" s="59">
        <f t="shared" si="53"/>
        <v>0</v>
      </c>
      <c r="AH145" s="59">
        <v>3</v>
      </c>
      <c r="AI145" s="59">
        <v>1</v>
      </c>
      <c r="AJ145" s="59">
        <f t="shared" si="54"/>
        <v>1</v>
      </c>
      <c r="AK145" s="59">
        <f t="shared" si="55"/>
        <v>0</v>
      </c>
      <c r="AL145" s="59">
        <v>2632</v>
      </c>
      <c r="AM145" s="59">
        <v>23910</v>
      </c>
      <c r="AN145" s="59">
        <v>1</v>
      </c>
      <c r="AO145" s="59">
        <v>0</v>
      </c>
      <c r="AP145" s="59">
        <v>14</v>
      </c>
      <c r="AQ145" s="59">
        <v>3</v>
      </c>
      <c r="AR145" s="59">
        <v>3</v>
      </c>
      <c r="AS145" s="59">
        <v>80</v>
      </c>
      <c r="AT145" s="59">
        <v>0</v>
      </c>
      <c r="AU145" s="59">
        <v>5</v>
      </c>
      <c r="AV145" s="59">
        <v>4</v>
      </c>
      <c r="AW145" s="59">
        <v>2</v>
      </c>
      <c r="AX145" s="59">
        <v>5</v>
      </c>
      <c r="AY145" s="59">
        <v>4</v>
      </c>
      <c r="AZ145" s="59">
        <v>0</v>
      </c>
      <c r="BA145" s="59">
        <v>4</v>
      </c>
      <c r="BB145" s="57">
        <f t="shared" si="56"/>
        <v>2632</v>
      </c>
    </row>
    <row r="146" spans="1:54" x14ac:dyDescent="0.25">
      <c r="A146" s="58">
        <v>32</v>
      </c>
      <c r="B146" s="59">
        <v>0</v>
      </c>
      <c r="C146" s="59">
        <v>2</v>
      </c>
      <c r="D146" s="59">
        <f t="shared" si="38"/>
        <v>0</v>
      </c>
      <c r="E146" s="59">
        <f t="shared" si="39"/>
        <v>1</v>
      </c>
      <c r="F146" s="59">
        <v>689</v>
      </c>
      <c r="G146" s="59">
        <v>1</v>
      </c>
      <c r="H146" s="59">
        <f t="shared" si="40"/>
        <v>1</v>
      </c>
      <c r="I146" s="59">
        <f t="shared" si="41"/>
        <v>0</v>
      </c>
      <c r="J146" s="59">
        <v>9</v>
      </c>
      <c r="K146" s="59">
        <v>2</v>
      </c>
      <c r="L146" s="59">
        <v>3</v>
      </c>
      <c r="M146" s="59">
        <f t="shared" si="42"/>
        <v>0</v>
      </c>
      <c r="N146" s="59">
        <f t="shared" si="43"/>
        <v>0</v>
      </c>
      <c r="O146" s="59">
        <f t="shared" si="44"/>
        <v>1</v>
      </c>
      <c r="P146" s="59">
        <f t="shared" si="45"/>
        <v>0</v>
      </c>
      <c r="Q146" s="59">
        <f t="shared" si="46"/>
        <v>0</v>
      </c>
      <c r="R146" s="59">
        <v>1</v>
      </c>
      <c r="S146" s="59">
        <v>195</v>
      </c>
      <c r="T146" s="59">
        <v>4</v>
      </c>
      <c r="U146" s="59">
        <v>1</v>
      </c>
      <c r="V146" s="59">
        <v>35</v>
      </c>
      <c r="W146" s="59">
        <v>1</v>
      </c>
      <c r="X146" s="59">
        <v>2</v>
      </c>
      <c r="Y146" s="59">
        <v>1</v>
      </c>
      <c r="Z146" s="59">
        <f t="shared" si="47"/>
        <v>1</v>
      </c>
      <c r="AA146" s="59">
        <f>IF('Updated Dummy'!Y146=2,1,0)</f>
        <v>0</v>
      </c>
      <c r="AB146" s="59">
        <f t="shared" si="48"/>
        <v>0</v>
      </c>
      <c r="AC146" s="59">
        <f t="shared" si="49"/>
        <v>0</v>
      </c>
      <c r="AD146" s="59">
        <f t="shared" si="50"/>
        <v>0</v>
      </c>
      <c r="AE146" s="59">
        <f t="shared" si="51"/>
        <v>0</v>
      </c>
      <c r="AF146" s="59">
        <f t="shared" si="52"/>
        <v>0</v>
      </c>
      <c r="AG146" s="59">
        <f t="shared" si="53"/>
        <v>0</v>
      </c>
      <c r="AH146" s="59">
        <v>4</v>
      </c>
      <c r="AI146" s="59">
        <v>3</v>
      </c>
      <c r="AJ146" s="59">
        <f t="shared" si="54"/>
        <v>0</v>
      </c>
      <c r="AK146" s="59">
        <f t="shared" si="55"/>
        <v>0</v>
      </c>
      <c r="AL146" s="59">
        <v>4668</v>
      </c>
      <c r="AM146" s="59">
        <v>22812</v>
      </c>
      <c r="AN146" s="59">
        <v>0</v>
      </c>
      <c r="AO146" s="59">
        <v>0</v>
      </c>
      <c r="AP146" s="59">
        <v>17</v>
      </c>
      <c r="AQ146" s="59">
        <v>3</v>
      </c>
      <c r="AR146" s="59">
        <v>4</v>
      </c>
      <c r="AS146" s="59">
        <v>80</v>
      </c>
      <c r="AT146" s="59">
        <v>3</v>
      </c>
      <c r="AU146" s="59">
        <v>9</v>
      </c>
      <c r="AV146" s="59">
        <v>2</v>
      </c>
      <c r="AW146" s="59">
        <v>4</v>
      </c>
      <c r="AX146" s="59">
        <v>8</v>
      </c>
      <c r="AY146" s="59">
        <v>7</v>
      </c>
      <c r="AZ146" s="59">
        <v>0</v>
      </c>
      <c r="BA146" s="59">
        <v>7</v>
      </c>
      <c r="BB146" s="57">
        <f t="shared" si="56"/>
        <v>9336</v>
      </c>
    </row>
    <row r="147" spans="1:54" x14ac:dyDescent="0.25">
      <c r="A147" s="58">
        <v>30</v>
      </c>
      <c r="B147" s="59">
        <v>0</v>
      </c>
      <c r="C147" s="59">
        <v>1</v>
      </c>
      <c r="D147" s="59">
        <f t="shared" si="38"/>
        <v>1</v>
      </c>
      <c r="E147" s="59">
        <f t="shared" si="39"/>
        <v>0</v>
      </c>
      <c r="F147" s="59">
        <v>201</v>
      </c>
      <c r="G147" s="59">
        <v>2</v>
      </c>
      <c r="H147" s="59">
        <f t="shared" si="40"/>
        <v>0</v>
      </c>
      <c r="I147" s="59">
        <f t="shared" si="41"/>
        <v>1</v>
      </c>
      <c r="J147" s="59">
        <v>5</v>
      </c>
      <c r="K147" s="59">
        <v>3</v>
      </c>
      <c r="L147" s="59">
        <v>5</v>
      </c>
      <c r="M147" s="59">
        <f t="shared" si="42"/>
        <v>0</v>
      </c>
      <c r="N147" s="59">
        <f t="shared" si="43"/>
        <v>0</v>
      </c>
      <c r="O147" s="59">
        <f t="shared" si="44"/>
        <v>0</v>
      </c>
      <c r="P147" s="59">
        <f t="shared" si="45"/>
        <v>0</v>
      </c>
      <c r="Q147" s="59">
        <f t="shared" si="46"/>
        <v>1</v>
      </c>
      <c r="R147" s="59">
        <v>1</v>
      </c>
      <c r="S147" s="59">
        <v>197</v>
      </c>
      <c r="T147" s="59">
        <v>4</v>
      </c>
      <c r="U147" s="59">
        <v>0</v>
      </c>
      <c r="V147" s="59">
        <v>84</v>
      </c>
      <c r="W147" s="59">
        <v>3</v>
      </c>
      <c r="X147" s="59">
        <v>1</v>
      </c>
      <c r="Y147" s="59">
        <v>2</v>
      </c>
      <c r="Z147" s="59">
        <f t="shared" si="47"/>
        <v>0</v>
      </c>
      <c r="AA147" s="59">
        <f>IF('Updated Dummy'!Y147=2,1,0)</f>
        <v>1</v>
      </c>
      <c r="AB147" s="59">
        <f t="shared" si="48"/>
        <v>0</v>
      </c>
      <c r="AC147" s="59">
        <f t="shared" si="49"/>
        <v>0</v>
      </c>
      <c r="AD147" s="59">
        <f t="shared" si="50"/>
        <v>0</v>
      </c>
      <c r="AE147" s="59">
        <f t="shared" si="51"/>
        <v>0</v>
      </c>
      <c r="AF147" s="59">
        <f t="shared" si="52"/>
        <v>0</v>
      </c>
      <c r="AG147" s="59">
        <f t="shared" si="53"/>
        <v>0</v>
      </c>
      <c r="AH147" s="59">
        <v>1</v>
      </c>
      <c r="AI147" s="59">
        <v>3</v>
      </c>
      <c r="AJ147" s="59">
        <f t="shared" si="54"/>
        <v>0</v>
      </c>
      <c r="AK147" s="59">
        <f t="shared" si="55"/>
        <v>0</v>
      </c>
      <c r="AL147" s="59">
        <v>3204</v>
      </c>
      <c r="AM147" s="59">
        <v>10415</v>
      </c>
      <c r="AN147" s="59">
        <v>5</v>
      </c>
      <c r="AO147" s="59">
        <v>0</v>
      </c>
      <c r="AP147" s="59">
        <v>14</v>
      </c>
      <c r="AQ147" s="59">
        <v>3</v>
      </c>
      <c r="AR147" s="59">
        <v>4</v>
      </c>
      <c r="AS147" s="59">
        <v>80</v>
      </c>
      <c r="AT147" s="59">
        <v>1</v>
      </c>
      <c r="AU147" s="59">
        <v>8</v>
      </c>
      <c r="AV147" s="59">
        <v>3</v>
      </c>
      <c r="AW147" s="59">
        <v>3</v>
      </c>
      <c r="AX147" s="59">
        <v>3</v>
      </c>
      <c r="AY147" s="59">
        <v>2</v>
      </c>
      <c r="AZ147" s="59">
        <v>2</v>
      </c>
      <c r="BA147" s="59">
        <v>2</v>
      </c>
      <c r="BB147" s="57">
        <f t="shared" si="56"/>
        <v>3204</v>
      </c>
    </row>
    <row r="148" spans="1:54" x14ac:dyDescent="0.25">
      <c r="A148" s="58">
        <v>30</v>
      </c>
      <c r="B148" s="59">
        <v>0</v>
      </c>
      <c r="C148" s="59">
        <v>1</v>
      </c>
      <c r="D148" s="59">
        <f t="shared" si="38"/>
        <v>1</v>
      </c>
      <c r="E148" s="59">
        <f t="shared" si="39"/>
        <v>0</v>
      </c>
      <c r="F148" s="59">
        <v>1427</v>
      </c>
      <c r="G148" s="59">
        <v>2</v>
      </c>
      <c r="H148" s="59">
        <f t="shared" si="40"/>
        <v>0</v>
      </c>
      <c r="I148" s="59">
        <f t="shared" si="41"/>
        <v>1</v>
      </c>
      <c r="J148" s="59">
        <v>2</v>
      </c>
      <c r="K148" s="59">
        <v>1</v>
      </c>
      <c r="L148" s="59">
        <v>3</v>
      </c>
      <c r="M148" s="59">
        <f t="shared" si="42"/>
        <v>0</v>
      </c>
      <c r="N148" s="59">
        <f t="shared" si="43"/>
        <v>0</v>
      </c>
      <c r="O148" s="59">
        <f t="shared" si="44"/>
        <v>1</v>
      </c>
      <c r="P148" s="59">
        <f t="shared" si="45"/>
        <v>0</v>
      </c>
      <c r="Q148" s="59">
        <f t="shared" si="46"/>
        <v>0</v>
      </c>
      <c r="R148" s="59">
        <v>1</v>
      </c>
      <c r="S148" s="59">
        <v>198</v>
      </c>
      <c r="T148" s="59">
        <v>2</v>
      </c>
      <c r="U148" s="59">
        <v>1</v>
      </c>
      <c r="V148" s="59">
        <v>35</v>
      </c>
      <c r="W148" s="59">
        <v>2</v>
      </c>
      <c r="X148" s="59">
        <v>1</v>
      </c>
      <c r="Y148" s="59">
        <v>3</v>
      </c>
      <c r="Z148" s="59">
        <f t="shared" si="47"/>
        <v>0</v>
      </c>
      <c r="AA148" s="59">
        <f>IF('Updated Dummy'!Y148=2,1,0)</f>
        <v>0</v>
      </c>
      <c r="AB148" s="59">
        <f t="shared" si="48"/>
        <v>1</v>
      </c>
      <c r="AC148" s="59">
        <f t="shared" si="49"/>
        <v>0</v>
      </c>
      <c r="AD148" s="59">
        <f t="shared" si="50"/>
        <v>0</v>
      </c>
      <c r="AE148" s="59">
        <f t="shared" si="51"/>
        <v>0</v>
      </c>
      <c r="AF148" s="59">
        <f t="shared" si="52"/>
        <v>0</v>
      </c>
      <c r="AG148" s="59">
        <f t="shared" si="53"/>
        <v>0</v>
      </c>
      <c r="AH148" s="59">
        <v>4</v>
      </c>
      <c r="AI148" s="59">
        <v>1</v>
      </c>
      <c r="AJ148" s="59">
        <f t="shared" si="54"/>
        <v>1</v>
      </c>
      <c r="AK148" s="59">
        <f t="shared" si="55"/>
        <v>0</v>
      </c>
      <c r="AL148" s="59">
        <v>2720</v>
      </c>
      <c r="AM148" s="59">
        <v>11162</v>
      </c>
      <c r="AN148" s="59">
        <v>0</v>
      </c>
      <c r="AO148" s="59">
        <v>0</v>
      </c>
      <c r="AP148" s="59">
        <v>13</v>
      </c>
      <c r="AQ148" s="59">
        <v>3</v>
      </c>
      <c r="AR148" s="59">
        <v>4</v>
      </c>
      <c r="AS148" s="59">
        <v>80</v>
      </c>
      <c r="AT148" s="59">
        <v>0</v>
      </c>
      <c r="AU148" s="59">
        <v>6</v>
      </c>
      <c r="AV148" s="59">
        <v>3</v>
      </c>
      <c r="AW148" s="59">
        <v>3</v>
      </c>
      <c r="AX148" s="59">
        <v>5</v>
      </c>
      <c r="AY148" s="59">
        <v>3</v>
      </c>
      <c r="AZ148" s="59">
        <v>1</v>
      </c>
      <c r="BA148" s="59">
        <v>2</v>
      </c>
      <c r="BB148" s="57">
        <f t="shared" si="56"/>
        <v>2720</v>
      </c>
    </row>
    <row r="149" spans="1:54" x14ac:dyDescent="0.25">
      <c r="A149" s="58">
        <v>41</v>
      </c>
      <c r="B149" s="59">
        <v>0</v>
      </c>
      <c r="C149" s="59">
        <v>2</v>
      </c>
      <c r="D149" s="59">
        <f t="shared" si="38"/>
        <v>0</v>
      </c>
      <c r="E149" s="59">
        <f t="shared" si="39"/>
        <v>1</v>
      </c>
      <c r="F149" s="59">
        <v>857</v>
      </c>
      <c r="G149" s="59">
        <v>2</v>
      </c>
      <c r="H149" s="59">
        <f t="shared" si="40"/>
        <v>0</v>
      </c>
      <c r="I149" s="59">
        <f t="shared" si="41"/>
        <v>1</v>
      </c>
      <c r="J149" s="59">
        <v>10</v>
      </c>
      <c r="K149" s="59">
        <v>3</v>
      </c>
      <c r="L149" s="59">
        <v>1</v>
      </c>
      <c r="M149" s="59">
        <f t="shared" si="42"/>
        <v>1</v>
      </c>
      <c r="N149" s="59">
        <f t="shared" si="43"/>
        <v>0</v>
      </c>
      <c r="O149" s="59">
        <f t="shared" si="44"/>
        <v>0</v>
      </c>
      <c r="P149" s="59">
        <f t="shared" si="45"/>
        <v>0</v>
      </c>
      <c r="Q149" s="59">
        <f t="shared" si="46"/>
        <v>0</v>
      </c>
      <c r="R149" s="59">
        <v>1</v>
      </c>
      <c r="S149" s="59">
        <v>199</v>
      </c>
      <c r="T149" s="59">
        <v>4</v>
      </c>
      <c r="U149" s="59">
        <v>1</v>
      </c>
      <c r="V149" s="59">
        <v>91</v>
      </c>
      <c r="W149" s="59">
        <v>2</v>
      </c>
      <c r="X149" s="59">
        <v>4</v>
      </c>
      <c r="Y149" s="59">
        <v>6</v>
      </c>
      <c r="Z149" s="59">
        <f t="shared" si="47"/>
        <v>0</v>
      </c>
      <c r="AA149" s="59">
        <f>IF('Updated Dummy'!Y149=2,1,0)</f>
        <v>0</v>
      </c>
      <c r="AB149" s="59">
        <f t="shared" si="48"/>
        <v>0</v>
      </c>
      <c r="AC149" s="59">
        <f t="shared" si="49"/>
        <v>0</v>
      </c>
      <c r="AD149" s="59">
        <f t="shared" si="50"/>
        <v>0</v>
      </c>
      <c r="AE149" s="59">
        <f t="shared" si="51"/>
        <v>1</v>
      </c>
      <c r="AF149" s="59">
        <f t="shared" si="52"/>
        <v>0</v>
      </c>
      <c r="AG149" s="59">
        <f t="shared" si="53"/>
        <v>0</v>
      </c>
      <c r="AH149" s="59">
        <v>1</v>
      </c>
      <c r="AI149" s="59">
        <v>3</v>
      </c>
      <c r="AJ149" s="59">
        <f t="shared" si="54"/>
        <v>0</v>
      </c>
      <c r="AK149" s="59">
        <f t="shared" si="55"/>
        <v>0</v>
      </c>
      <c r="AL149" s="59">
        <v>17181</v>
      </c>
      <c r="AM149" s="59">
        <v>12888</v>
      </c>
      <c r="AN149" s="59">
        <v>4</v>
      </c>
      <c r="AO149" s="59">
        <v>0</v>
      </c>
      <c r="AP149" s="59">
        <v>13</v>
      </c>
      <c r="AQ149" s="59">
        <v>3</v>
      </c>
      <c r="AR149" s="59">
        <v>2</v>
      </c>
      <c r="AS149" s="59">
        <v>80</v>
      </c>
      <c r="AT149" s="59">
        <v>1</v>
      </c>
      <c r="AU149" s="59">
        <v>21</v>
      </c>
      <c r="AV149" s="59">
        <v>2</v>
      </c>
      <c r="AW149" s="59">
        <v>2</v>
      </c>
      <c r="AX149" s="59">
        <v>7</v>
      </c>
      <c r="AY149" s="59">
        <v>6</v>
      </c>
      <c r="AZ149" s="59">
        <v>7</v>
      </c>
      <c r="BA149" s="59">
        <v>7</v>
      </c>
      <c r="BB149" s="57">
        <f t="shared" si="56"/>
        <v>68724</v>
      </c>
    </row>
    <row r="150" spans="1:54" x14ac:dyDescent="0.25">
      <c r="A150" s="58">
        <v>41</v>
      </c>
      <c r="B150" s="59">
        <v>0</v>
      </c>
      <c r="C150" s="59">
        <v>1</v>
      </c>
      <c r="D150" s="59">
        <f t="shared" si="38"/>
        <v>1</v>
      </c>
      <c r="E150" s="59">
        <f t="shared" si="39"/>
        <v>0</v>
      </c>
      <c r="F150" s="59">
        <v>933</v>
      </c>
      <c r="G150" s="59">
        <v>2</v>
      </c>
      <c r="H150" s="59">
        <f t="shared" si="40"/>
        <v>0</v>
      </c>
      <c r="I150" s="59">
        <f t="shared" si="41"/>
        <v>1</v>
      </c>
      <c r="J150" s="59">
        <v>9</v>
      </c>
      <c r="K150" s="59">
        <v>4</v>
      </c>
      <c r="L150" s="59">
        <v>1</v>
      </c>
      <c r="M150" s="59">
        <f t="shared" si="42"/>
        <v>1</v>
      </c>
      <c r="N150" s="59">
        <f t="shared" si="43"/>
        <v>0</v>
      </c>
      <c r="O150" s="59">
        <f t="shared" si="44"/>
        <v>0</v>
      </c>
      <c r="P150" s="59">
        <f t="shared" si="45"/>
        <v>0</v>
      </c>
      <c r="Q150" s="59">
        <f t="shared" si="46"/>
        <v>0</v>
      </c>
      <c r="R150" s="59">
        <v>1</v>
      </c>
      <c r="S150" s="59">
        <v>200</v>
      </c>
      <c r="T150" s="59">
        <v>3</v>
      </c>
      <c r="U150" s="59">
        <v>1</v>
      </c>
      <c r="V150" s="59">
        <v>94</v>
      </c>
      <c r="W150" s="59">
        <v>3</v>
      </c>
      <c r="X150" s="59">
        <v>1</v>
      </c>
      <c r="Y150" s="59">
        <v>3</v>
      </c>
      <c r="Z150" s="59">
        <f t="shared" si="47"/>
        <v>0</v>
      </c>
      <c r="AA150" s="59">
        <f>IF('Updated Dummy'!Y150=2,1,0)</f>
        <v>0</v>
      </c>
      <c r="AB150" s="59">
        <f t="shared" si="48"/>
        <v>1</v>
      </c>
      <c r="AC150" s="59">
        <f t="shared" si="49"/>
        <v>0</v>
      </c>
      <c r="AD150" s="59">
        <f t="shared" si="50"/>
        <v>0</v>
      </c>
      <c r="AE150" s="59">
        <f t="shared" si="51"/>
        <v>0</v>
      </c>
      <c r="AF150" s="59">
        <f t="shared" si="52"/>
        <v>0</v>
      </c>
      <c r="AG150" s="59">
        <f t="shared" si="53"/>
        <v>0</v>
      </c>
      <c r="AH150" s="59">
        <v>1</v>
      </c>
      <c r="AI150" s="59">
        <v>2</v>
      </c>
      <c r="AJ150" s="59">
        <f t="shared" si="54"/>
        <v>0</v>
      </c>
      <c r="AK150" s="59">
        <f t="shared" si="55"/>
        <v>1</v>
      </c>
      <c r="AL150" s="59">
        <v>2238</v>
      </c>
      <c r="AM150" s="59">
        <v>6961</v>
      </c>
      <c r="AN150" s="59">
        <v>2</v>
      </c>
      <c r="AO150" s="59">
        <v>0</v>
      </c>
      <c r="AP150" s="59">
        <v>21</v>
      </c>
      <c r="AQ150" s="59">
        <v>4</v>
      </c>
      <c r="AR150" s="59">
        <v>4</v>
      </c>
      <c r="AS150" s="59">
        <v>80</v>
      </c>
      <c r="AT150" s="59">
        <v>1</v>
      </c>
      <c r="AU150" s="59">
        <v>7</v>
      </c>
      <c r="AV150" s="59">
        <v>2</v>
      </c>
      <c r="AW150" s="59">
        <v>3</v>
      </c>
      <c r="AX150" s="59">
        <v>5</v>
      </c>
      <c r="AY150" s="59">
        <v>0</v>
      </c>
      <c r="AZ150" s="59">
        <v>1</v>
      </c>
      <c r="BA150" s="59">
        <v>4</v>
      </c>
      <c r="BB150" s="57">
        <f t="shared" si="56"/>
        <v>2238</v>
      </c>
    </row>
    <row r="151" spans="1:54" x14ac:dyDescent="0.25">
      <c r="A151" s="58">
        <v>19</v>
      </c>
      <c r="B151" s="59">
        <v>0</v>
      </c>
      <c r="C151" s="59">
        <v>1</v>
      </c>
      <c r="D151" s="59">
        <f t="shared" si="38"/>
        <v>1</v>
      </c>
      <c r="E151" s="59">
        <f t="shared" si="39"/>
        <v>0</v>
      </c>
      <c r="F151" s="59">
        <v>1181</v>
      </c>
      <c r="G151" s="59">
        <v>2</v>
      </c>
      <c r="H151" s="59">
        <f t="shared" si="40"/>
        <v>0</v>
      </c>
      <c r="I151" s="59">
        <f t="shared" si="41"/>
        <v>1</v>
      </c>
      <c r="J151" s="59">
        <v>3</v>
      </c>
      <c r="K151" s="59">
        <v>1</v>
      </c>
      <c r="L151" s="59">
        <v>3</v>
      </c>
      <c r="M151" s="59">
        <f t="shared" si="42"/>
        <v>0</v>
      </c>
      <c r="N151" s="59">
        <f t="shared" si="43"/>
        <v>0</v>
      </c>
      <c r="O151" s="59">
        <f t="shared" si="44"/>
        <v>1</v>
      </c>
      <c r="P151" s="59">
        <f t="shared" si="45"/>
        <v>0</v>
      </c>
      <c r="Q151" s="59">
        <f t="shared" si="46"/>
        <v>0</v>
      </c>
      <c r="R151" s="59">
        <v>1</v>
      </c>
      <c r="S151" s="59">
        <v>201</v>
      </c>
      <c r="T151" s="59">
        <v>2</v>
      </c>
      <c r="U151" s="59">
        <v>0</v>
      </c>
      <c r="V151" s="59">
        <v>79</v>
      </c>
      <c r="W151" s="59">
        <v>3</v>
      </c>
      <c r="X151" s="59">
        <v>1</v>
      </c>
      <c r="Y151" s="59">
        <v>3</v>
      </c>
      <c r="Z151" s="59">
        <f t="shared" si="47"/>
        <v>0</v>
      </c>
      <c r="AA151" s="59">
        <f>IF('Updated Dummy'!Y151=2,1,0)</f>
        <v>0</v>
      </c>
      <c r="AB151" s="59">
        <f t="shared" si="48"/>
        <v>1</v>
      </c>
      <c r="AC151" s="59">
        <f t="shared" si="49"/>
        <v>0</v>
      </c>
      <c r="AD151" s="59">
        <f t="shared" si="50"/>
        <v>0</v>
      </c>
      <c r="AE151" s="59">
        <f t="shared" si="51"/>
        <v>0</v>
      </c>
      <c r="AF151" s="59">
        <f t="shared" si="52"/>
        <v>0</v>
      </c>
      <c r="AG151" s="59">
        <f t="shared" si="53"/>
        <v>0</v>
      </c>
      <c r="AH151" s="59">
        <v>2</v>
      </c>
      <c r="AI151" s="59">
        <v>1</v>
      </c>
      <c r="AJ151" s="59">
        <f t="shared" si="54"/>
        <v>1</v>
      </c>
      <c r="AK151" s="59">
        <f t="shared" si="55"/>
        <v>0</v>
      </c>
      <c r="AL151" s="59">
        <v>1483</v>
      </c>
      <c r="AM151" s="59">
        <v>16102</v>
      </c>
      <c r="AN151" s="59">
        <v>1</v>
      </c>
      <c r="AO151" s="59">
        <v>0</v>
      </c>
      <c r="AP151" s="59">
        <v>14</v>
      </c>
      <c r="AQ151" s="59">
        <v>3</v>
      </c>
      <c r="AR151" s="59">
        <v>4</v>
      </c>
      <c r="AS151" s="59">
        <v>80</v>
      </c>
      <c r="AT151" s="59">
        <v>0</v>
      </c>
      <c r="AU151" s="59">
        <v>1</v>
      </c>
      <c r="AV151" s="59">
        <v>3</v>
      </c>
      <c r="AW151" s="59">
        <v>3</v>
      </c>
      <c r="AX151" s="59">
        <v>1</v>
      </c>
      <c r="AY151" s="59">
        <v>0</v>
      </c>
      <c r="AZ151" s="59">
        <v>0</v>
      </c>
      <c r="BA151" s="59">
        <v>0</v>
      </c>
      <c r="BB151" s="57">
        <f t="shared" si="56"/>
        <v>1483</v>
      </c>
    </row>
    <row r="152" spans="1:54" x14ac:dyDescent="0.25">
      <c r="A152" s="58">
        <v>40</v>
      </c>
      <c r="B152" s="59">
        <v>0</v>
      </c>
      <c r="C152" s="59">
        <v>2</v>
      </c>
      <c r="D152" s="59">
        <f t="shared" si="38"/>
        <v>0</v>
      </c>
      <c r="E152" s="59">
        <f t="shared" si="39"/>
        <v>1</v>
      </c>
      <c r="F152" s="59">
        <v>1395</v>
      </c>
      <c r="G152" s="59">
        <v>2</v>
      </c>
      <c r="H152" s="59">
        <f t="shared" si="40"/>
        <v>0</v>
      </c>
      <c r="I152" s="59">
        <f t="shared" si="41"/>
        <v>1</v>
      </c>
      <c r="J152" s="59">
        <v>26</v>
      </c>
      <c r="K152" s="59">
        <v>3</v>
      </c>
      <c r="L152" s="59">
        <v>3</v>
      </c>
      <c r="M152" s="59">
        <f t="shared" si="42"/>
        <v>0</v>
      </c>
      <c r="N152" s="59">
        <f t="shared" si="43"/>
        <v>0</v>
      </c>
      <c r="O152" s="59">
        <f t="shared" si="44"/>
        <v>1</v>
      </c>
      <c r="P152" s="59">
        <f t="shared" si="45"/>
        <v>0</v>
      </c>
      <c r="Q152" s="59">
        <f t="shared" si="46"/>
        <v>0</v>
      </c>
      <c r="R152" s="59">
        <v>1</v>
      </c>
      <c r="S152" s="59">
        <v>202</v>
      </c>
      <c r="T152" s="59">
        <v>2</v>
      </c>
      <c r="U152" s="59">
        <v>0</v>
      </c>
      <c r="V152" s="59">
        <v>54</v>
      </c>
      <c r="W152" s="59">
        <v>3</v>
      </c>
      <c r="X152" s="59">
        <v>2</v>
      </c>
      <c r="Y152" s="59">
        <v>2</v>
      </c>
      <c r="Z152" s="59">
        <f t="shared" si="47"/>
        <v>0</v>
      </c>
      <c r="AA152" s="59">
        <f>IF('Updated Dummy'!Y152=2,1,0)</f>
        <v>1</v>
      </c>
      <c r="AB152" s="59">
        <f t="shared" si="48"/>
        <v>0</v>
      </c>
      <c r="AC152" s="59">
        <f t="shared" si="49"/>
        <v>0</v>
      </c>
      <c r="AD152" s="59">
        <f t="shared" si="50"/>
        <v>0</v>
      </c>
      <c r="AE152" s="59">
        <f t="shared" si="51"/>
        <v>0</v>
      </c>
      <c r="AF152" s="59">
        <f t="shared" si="52"/>
        <v>0</v>
      </c>
      <c r="AG152" s="59">
        <f t="shared" si="53"/>
        <v>0</v>
      </c>
      <c r="AH152" s="59">
        <v>2</v>
      </c>
      <c r="AI152" s="59">
        <v>3</v>
      </c>
      <c r="AJ152" s="59">
        <f t="shared" si="54"/>
        <v>0</v>
      </c>
      <c r="AK152" s="59">
        <f t="shared" si="55"/>
        <v>0</v>
      </c>
      <c r="AL152" s="59">
        <v>5605</v>
      </c>
      <c r="AM152" s="59">
        <v>8504</v>
      </c>
      <c r="AN152" s="59">
        <v>1</v>
      </c>
      <c r="AO152" s="59">
        <v>0</v>
      </c>
      <c r="AP152" s="59">
        <v>11</v>
      </c>
      <c r="AQ152" s="59">
        <v>3</v>
      </c>
      <c r="AR152" s="59">
        <v>1</v>
      </c>
      <c r="AS152" s="59">
        <v>80</v>
      </c>
      <c r="AT152" s="59">
        <v>1</v>
      </c>
      <c r="AU152" s="59">
        <v>20</v>
      </c>
      <c r="AV152" s="59">
        <v>2</v>
      </c>
      <c r="AW152" s="59">
        <v>3</v>
      </c>
      <c r="AX152" s="59">
        <v>20</v>
      </c>
      <c r="AY152" s="59">
        <v>7</v>
      </c>
      <c r="AZ152" s="59">
        <v>2</v>
      </c>
      <c r="BA152" s="59">
        <v>13</v>
      </c>
      <c r="BB152" s="57">
        <f t="shared" si="56"/>
        <v>11210</v>
      </c>
    </row>
    <row r="153" spans="1:54" x14ac:dyDescent="0.25">
      <c r="A153" s="58">
        <v>35</v>
      </c>
      <c r="B153" s="59">
        <v>0</v>
      </c>
      <c r="C153" s="59">
        <v>1</v>
      </c>
      <c r="D153" s="59">
        <f t="shared" si="38"/>
        <v>1</v>
      </c>
      <c r="E153" s="59">
        <f t="shared" si="39"/>
        <v>0</v>
      </c>
      <c r="F153" s="59">
        <v>662</v>
      </c>
      <c r="G153" s="59">
        <v>1</v>
      </c>
      <c r="H153" s="59">
        <f t="shared" si="40"/>
        <v>1</v>
      </c>
      <c r="I153" s="59">
        <f t="shared" si="41"/>
        <v>0</v>
      </c>
      <c r="J153" s="59">
        <v>1</v>
      </c>
      <c r="K153" s="59">
        <v>5</v>
      </c>
      <c r="L153" s="59">
        <v>4</v>
      </c>
      <c r="M153" s="59">
        <f t="shared" si="42"/>
        <v>0</v>
      </c>
      <c r="N153" s="59">
        <f t="shared" si="43"/>
        <v>0</v>
      </c>
      <c r="O153" s="59">
        <f t="shared" si="44"/>
        <v>0</v>
      </c>
      <c r="P153" s="59">
        <f t="shared" si="45"/>
        <v>1</v>
      </c>
      <c r="Q153" s="59">
        <f t="shared" si="46"/>
        <v>0</v>
      </c>
      <c r="R153" s="59">
        <v>1</v>
      </c>
      <c r="S153" s="59">
        <v>204</v>
      </c>
      <c r="T153" s="59">
        <v>3</v>
      </c>
      <c r="U153" s="59">
        <v>1</v>
      </c>
      <c r="V153" s="59">
        <v>94</v>
      </c>
      <c r="W153" s="59">
        <v>3</v>
      </c>
      <c r="X153" s="59">
        <v>3</v>
      </c>
      <c r="Y153" s="59">
        <v>1</v>
      </c>
      <c r="Z153" s="59">
        <f t="shared" si="47"/>
        <v>1</v>
      </c>
      <c r="AA153" s="59">
        <f>IF('Updated Dummy'!Y153=2,1,0)</f>
        <v>0</v>
      </c>
      <c r="AB153" s="59">
        <f t="shared" si="48"/>
        <v>0</v>
      </c>
      <c r="AC153" s="59">
        <f t="shared" si="49"/>
        <v>0</v>
      </c>
      <c r="AD153" s="59">
        <f t="shared" si="50"/>
        <v>0</v>
      </c>
      <c r="AE153" s="59">
        <f t="shared" si="51"/>
        <v>0</v>
      </c>
      <c r="AF153" s="59">
        <f t="shared" si="52"/>
        <v>0</v>
      </c>
      <c r="AG153" s="59">
        <f t="shared" si="53"/>
        <v>0</v>
      </c>
      <c r="AH153" s="59">
        <v>2</v>
      </c>
      <c r="AI153" s="59">
        <v>2</v>
      </c>
      <c r="AJ153" s="59">
        <f t="shared" si="54"/>
        <v>0</v>
      </c>
      <c r="AK153" s="59">
        <f t="shared" si="55"/>
        <v>1</v>
      </c>
      <c r="AL153" s="59">
        <v>7295</v>
      </c>
      <c r="AM153" s="59">
        <v>11439</v>
      </c>
      <c r="AN153" s="59">
        <v>1</v>
      </c>
      <c r="AO153" s="59">
        <v>0</v>
      </c>
      <c r="AP153" s="59">
        <v>13</v>
      </c>
      <c r="AQ153" s="59">
        <v>3</v>
      </c>
      <c r="AR153" s="59">
        <v>1</v>
      </c>
      <c r="AS153" s="59">
        <v>80</v>
      </c>
      <c r="AT153" s="59">
        <v>2</v>
      </c>
      <c r="AU153" s="59">
        <v>10</v>
      </c>
      <c r="AV153" s="59">
        <v>3</v>
      </c>
      <c r="AW153" s="59">
        <v>3</v>
      </c>
      <c r="AX153" s="59">
        <v>10</v>
      </c>
      <c r="AY153" s="59">
        <v>8</v>
      </c>
      <c r="AZ153" s="59">
        <v>0</v>
      </c>
      <c r="BA153" s="59">
        <v>6</v>
      </c>
      <c r="BB153" s="57">
        <f t="shared" si="56"/>
        <v>21885</v>
      </c>
    </row>
    <row r="154" spans="1:54" x14ac:dyDescent="0.25">
      <c r="A154" s="58">
        <v>53</v>
      </c>
      <c r="B154" s="59">
        <v>0</v>
      </c>
      <c r="C154" s="59">
        <v>1</v>
      </c>
      <c r="D154" s="59">
        <f t="shared" si="38"/>
        <v>1</v>
      </c>
      <c r="E154" s="59">
        <f t="shared" si="39"/>
        <v>0</v>
      </c>
      <c r="F154" s="59">
        <v>1436</v>
      </c>
      <c r="G154" s="59">
        <v>1</v>
      </c>
      <c r="H154" s="59">
        <f t="shared" si="40"/>
        <v>1</v>
      </c>
      <c r="I154" s="59">
        <f t="shared" si="41"/>
        <v>0</v>
      </c>
      <c r="J154" s="59">
        <v>6</v>
      </c>
      <c r="K154" s="59">
        <v>2</v>
      </c>
      <c r="L154" s="59">
        <v>4</v>
      </c>
      <c r="M154" s="59">
        <f t="shared" si="42"/>
        <v>0</v>
      </c>
      <c r="N154" s="59">
        <f t="shared" si="43"/>
        <v>0</v>
      </c>
      <c r="O154" s="59">
        <f t="shared" si="44"/>
        <v>0</v>
      </c>
      <c r="P154" s="59">
        <f t="shared" si="45"/>
        <v>1</v>
      </c>
      <c r="Q154" s="59">
        <f t="shared" si="46"/>
        <v>0</v>
      </c>
      <c r="R154" s="59">
        <v>1</v>
      </c>
      <c r="S154" s="59">
        <v>205</v>
      </c>
      <c r="T154" s="59">
        <v>2</v>
      </c>
      <c r="U154" s="59">
        <v>1</v>
      </c>
      <c r="V154" s="59">
        <v>34</v>
      </c>
      <c r="W154" s="59">
        <v>3</v>
      </c>
      <c r="X154" s="59">
        <v>2</v>
      </c>
      <c r="Y154" s="59">
        <v>7</v>
      </c>
      <c r="Z154" s="59">
        <f t="shared" si="47"/>
        <v>0</v>
      </c>
      <c r="AA154" s="59">
        <f>IF('Updated Dummy'!Y154=2,1,0)</f>
        <v>0</v>
      </c>
      <c r="AB154" s="59">
        <f t="shared" si="48"/>
        <v>0</v>
      </c>
      <c r="AC154" s="59">
        <f t="shared" si="49"/>
        <v>0</v>
      </c>
      <c r="AD154" s="59">
        <f t="shared" si="50"/>
        <v>0</v>
      </c>
      <c r="AE154" s="59">
        <f t="shared" si="51"/>
        <v>0</v>
      </c>
      <c r="AF154" s="59">
        <f t="shared" si="52"/>
        <v>1</v>
      </c>
      <c r="AG154" s="59">
        <f t="shared" si="53"/>
        <v>0</v>
      </c>
      <c r="AH154" s="59">
        <v>3</v>
      </c>
      <c r="AI154" s="59">
        <v>2</v>
      </c>
      <c r="AJ154" s="59">
        <f t="shared" si="54"/>
        <v>0</v>
      </c>
      <c r="AK154" s="59">
        <f t="shared" si="55"/>
        <v>1</v>
      </c>
      <c r="AL154" s="59">
        <v>2306</v>
      </c>
      <c r="AM154" s="59">
        <v>16047</v>
      </c>
      <c r="AN154" s="59">
        <v>2</v>
      </c>
      <c r="AO154" s="59">
        <v>1</v>
      </c>
      <c r="AP154" s="59">
        <v>20</v>
      </c>
      <c r="AQ154" s="59">
        <v>4</v>
      </c>
      <c r="AR154" s="59">
        <v>4</v>
      </c>
      <c r="AS154" s="59">
        <v>80</v>
      </c>
      <c r="AT154" s="59">
        <v>1</v>
      </c>
      <c r="AU154" s="59">
        <v>13</v>
      </c>
      <c r="AV154" s="59">
        <v>3</v>
      </c>
      <c r="AW154" s="59">
        <v>1</v>
      </c>
      <c r="AX154" s="59">
        <v>7</v>
      </c>
      <c r="AY154" s="59">
        <v>7</v>
      </c>
      <c r="AZ154" s="59">
        <v>4</v>
      </c>
      <c r="BA154" s="59">
        <v>5</v>
      </c>
      <c r="BB154" s="57">
        <f t="shared" si="56"/>
        <v>4612</v>
      </c>
    </row>
    <row r="155" spans="1:54" x14ac:dyDescent="0.25">
      <c r="A155" s="58">
        <v>45</v>
      </c>
      <c r="B155" s="59">
        <v>0</v>
      </c>
      <c r="C155" s="59">
        <v>1</v>
      </c>
      <c r="D155" s="59">
        <f t="shared" si="38"/>
        <v>1</v>
      </c>
      <c r="E155" s="59">
        <f t="shared" si="39"/>
        <v>0</v>
      </c>
      <c r="F155" s="59">
        <v>194</v>
      </c>
      <c r="G155" s="59">
        <v>2</v>
      </c>
      <c r="H155" s="59">
        <f t="shared" si="40"/>
        <v>0</v>
      </c>
      <c r="I155" s="59">
        <f t="shared" si="41"/>
        <v>1</v>
      </c>
      <c r="J155" s="59">
        <v>9</v>
      </c>
      <c r="K155" s="59">
        <v>3</v>
      </c>
      <c r="L155" s="59">
        <v>1</v>
      </c>
      <c r="M155" s="59">
        <f t="shared" si="42"/>
        <v>1</v>
      </c>
      <c r="N155" s="59">
        <f t="shared" si="43"/>
        <v>0</v>
      </c>
      <c r="O155" s="59">
        <f t="shared" si="44"/>
        <v>0</v>
      </c>
      <c r="P155" s="59">
        <f t="shared" si="45"/>
        <v>0</v>
      </c>
      <c r="Q155" s="59">
        <f t="shared" si="46"/>
        <v>0</v>
      </c>
      <c r="R155" s="59">
        <v>1</v>
      </c>
      <c r="S155" s="59">
        <v>206</v>
      </c>
      <c r="T155" s="59">
        <v>2</v>
      </c>
      <c r="U155" s="59">
        <v>1</v>
      </c>
      <c r="V155" s="59">
        <v>60</v>
      </c>
      <c r="W155" s="59">
        <v>3</v>
      </c>
      <c r="X155" s="59">
        <v>2</v>
      </c>
      <c r="Y155" s="59">
        <v>3</v>
      </c>
      <c r="Z155" s="59">
        <f t="shared" si="47"/>
        <v>0</v>
      </c>
      <c r="AA155" s="59">
        <f>IF('Updated Dummy'!Y155=2,1,0)</f>
        <v>0</v>
      </c>
      <c r="AB155" s="59">
        <f t="shared" si="48"/>
        <v>1</v>
      </c>
      <c r="AC155" s="59">
        <f t="shared" si="49"/>
        <v>0</v>
      </c>
      <c r="AD155" s="59">
        <f t="shared" si="50"/>
        <v>0</v>
      </c>
      <c r="AE155" s="59">
        <f t="shared" si="51"/>
        <v>0</v>
      </c>
      <c r="AF155" s="59">
        <f t="shared" si="52"/>
        <v>0</v>
      </c>
      <c r="AG155" s="59">
        <f t="shared" si="53"/>
        <v>0</v>
      </c>
      <c r="AH155" s="59">
        <v>2</v>
      </c>
      <c r="AI155" s="59">
        <v>3</v>
      </c>
      <c r="AJ155" s="59">
        <f t="shared" si="54"/>
        <v>0</v>
      </c>
      <c r="AK155" s="59">
        <f t="shared" si="55"/>
        <v>0</v>
      </c>
      <c r="AL155" s="59">
        <v>2348</v>
      </c>
      <c r="AM155" s="59">
        <v>10901</v>
      </c>
      <c r="AN155" s="59">
        <v>8</v>
      </c>
      <c r="AO155" s="59">
        <v>0</v>
      </c>
      <c r="AP155" s="59">
        <v>18</v>
      </c>
      <c r="AQ155" s="59">
        <v>3</v>
      </c>
      <c r="AR155" s="59">
        <v>3</v>
      </c>
      <c r="AS155" s="59">
        <v>80</v>
      </c>
      <c r="AT155" s="59">
        <v>1</v>
      </c>
      <c r="AU155" s="59">
        <v>20</v>
      </c>
      <c r="AV155" s="59">
        <v>2</v>
      </c>
      <c r="AW155" s="59">
        <v>1</v>
      </c>
      <c r="AX155" s="59">
        <v>17</v>
      </c>
      <c r="AY155" s="59">
        <v>9</v>
      </c>
      <c r="AZ155" s="59">
        <v>0</v>
      </c>
      <c r="BA155" s="59">
        <v>15</v>
      </c>
      <c r="BB155" s="57">
        <f t="shared" si="56"/>
        <v>4696</v>
      </c>
    </row>
    <row r="156" spans="1:54" x14ac:dyDescent="0.25">
      <c r="A156" s="58">
        <v>32</v>
      </c>
      <c r="B156" s="59">
        <v>0</v>
      </c>
      <c r="C156" s="59">
        <v>2</v>
      </c>
      <c r="D156" s="59">
        <f t="shared" si="38"/>
        <v>0</v>
      </c>
      <c r="E156" s="59">
        <f t="shared" si="39"/>
        <v>1</v>
      </c>
      <c r="F156" s="59">
        <v>967</v>
      </c>
      <c r="G156" s="59">
        <v>1</v>
      </c>
      <c r="H156" s="59">
        <f t="shared" si="40"/>
        <v>1</v>
      </c>
      <c r="I156" s="59">
        <f t="shared" si="41"/>
        <v>0</v>
      </c>
      <c r="J156" s="59">
        <v>8</v>
      </c>
      <c r="K156" s="59">
        <v>3</v>
      </c>
      <c r="L156" s="59">
        <v>4</v>
      </c>
      <c r="M156" s="59">
        <f t="shared" si="42"/>
        <v>0</v>
      </c>
      <c r="N156" s="59">
        <f t="shared" si="43"/>
        <v>0</v>
      </c>
      <c r="O156" s="59">
        <f t="shared" si="44"/>
        <v>0</v>
      </c>
      <c r="P156" s="59">
        <f t="shared" si="45"/>
        <v>1</v>
      </c>
      <c r="Q156" s="59">
        <f t="shared" si="46"/>
        <v>0</v>
      </c>
      <c r="R156" s="59">
        <v>1</v>
      </c>
      <c r="S156" s="59">
        <v>207</v>
      </c>
      <c r="T156" s="59">
        <v>2</v>
      </c>
      <c r="U156" s="59">
        <v>0</v>
      </c>
      <c r="V156" s="59">
        <v>43</v>
      </c>
      <c r="W156" s="59">
        <v>3</v>
      </c>
      <c r="X156" s="59">
        <v>3</v>
      </c>
      <c r="Y156" s="59">
        <v>1</v>
      </c>
      <c r="Z156" s="59">
        <f t="shared" si="47"/>
        <v>1</v>
      </c>
      <c r="AA156" s="59">
        <f>IF('Updated Dummy'!Y156=2,1,0)</f>
        <v>0</v>
      </c>
      <c r="AB156" s="59">
        <f t="shared" si="48"/>
        <v>0</v>
      </c>
      <c r="AC156" s="59">
        <f t="shared" si="49"/>
        <v>0</v>
      </c>
      <c r="AD156" s="59">
        <f t="shared" si="50"/>
        <v>0</v>
      </c>
      <c r="AE156" s="59">
        <f t="shared" si="51"/>
        <v>0</v>
      </c>
      <c r="AF156" s="59">
        <f t="shared" si="52"/>
        <v>0</v>
      </c>
      <c r="AG156" s="59">
        <f t="shared" si="53"/>
        <v>0</v>
      </c>
      <c r="AH156" s="59">
        <v>4</v>
      </c>
      <c r="AI156" s="59">
        <v>1</v>
      </c>
      <c r="AJ156" s="59">
        <f t="shared" si="54"/>
        <v>1</v>
      </c>
      <c r="AK156" s="59">
        <f t="shared" si="55"/>
        <v>0</v>
      </c>
      <c r="AL156" s="59">
        <v>8998</v>
      </c>
      <c r="AM156" s="59">
        <v>15589</v>
      </c>
      <c r="AN156" s="59">
        <v>1</v>
      </c>
      <c r="AO156" s="59">
        <v>0</v>
      </c>
      <c r="AP156" s="59">
        <v>14</v>
      </c>
      <c r="AQ156" s="59">
        <v>3</v>
      </c>
      <c r="AR156" s="59">
        <v>4</v>
      </c>
      <c r="AS156" s="59">
        <v>80</v>
      </c>
      <c r="AT156" s="59">
        <v>0</v>
      </c>
      <c r="AU156" s="59">
        <v>9</v>
      </c>
      <c r="AV156" s="59">
        <v>2</v>
      </c>
      <c r="AW156" s="59">
        <v>3</v>
      </c>
      <c r="AX156" s="59">
        <v>9</v>
      </c>
      <c r="AY156" s="59">
        <v>8</v>
      </c>
      <c r="AZ156" s="59">
        <v>3</v>
      </c>
      <c r="BA156" s="59">
        <v>7</v>
      </c>
      <c r="BB156" s="57">
        <f t="shared" si="56"/>
        <v>26994</v>
      </c>
    </row>
    <row r="157" spans="1:54" x14ac:dyDescent="0.25">
      <c r="A157" s="58">
        <v>29</v>
      </c>
      <c r="B157" s="59">
        <v>0</v>
      </c>
      <c r="C157" s="59">
        <v>3</v>
      </c>
      <c r="D157" s="59">
        <f t="shared" si="38"/>
        <v>0</v>
      </c>
      <c r="E157" s="59">
        <f t="shared" si="39"/>
        <v>0</v>
      </c>
      <c r="F157" s="59">
        <v>1496</v>
      </c>
      <c r="G157" s="59">
        <v>2</v>
      </c>
      <c r="H157" s="59">
        <f t="shared" si="40"/>
        <v>0</v>
      </c>
      <c r="I157" s="59">
        <f t="shared" si="41"/>
        <v>1</v>
      </c>
      <c r="J157" s="59">
        <v>1</v>
      </c>
      <c r="K157" s="59">
        <v>1</v>
      </c>
      <c r="L157" s="59">
        <v>5</v>
      </c>
      <c r="M157" s="59">
        <f t="shared" si="42"/>
        <v>0</v>
      </c>
      <c r="N157" s="59">
        <f t="shared" si="43"/>
        <v>0</v>
      </c>
      <c r="O157" s="59">
        <f t="shared" si="44"/>
        <v>0</v>
      </c>
      <c r="P157" s="59">
        <f t="shared" si="45"/>
        <v>0</v>
      </c>
      <c r="Q157" s="59">
        <f t="shared" si="46"/>
        <v>1</v>
      </c>
      <c r="R157" s="59">
        <v>1</v>
      </c>
      <c r="S157" s="59">
        <v>208</v>
      </c>
      <c r="T157" s="59">
        <v>4</v>
      </c>
      <c r="U157" s="59">
        <v>1</v>
      </c>
      <c r="V157" s="59">
        <v>41</v>
      </c>
      <c r="W157" s="59">
        <v>3</v>
      </c>
      <c r="X157" s="59">
        <v>2</v>
      </c>
      <c r="Y157" s="59">
        <v>4</v>
      </c>
      <c r="Z157" s="59">
        <f t="shared" si="47"/>
        <v>0</v>
      </c>
      <c r="AA157" s="59">
        <f>IF('Updated Dummy'!Y157=2,1,0)</f>
        <v>0</v>
      </c>
      <c r="AB157" s="59">
        <f t="shared" si="48"/>
        <v>0</v>
      </c>
      <c r="AC157" s="59">
        <f t="shared" si="49"/>
        <v>1</v>
      </c>
      <c r="AD157" s="59">
        <f t="shared" si="50"/>
        <v>0</v>
      </c>
      <c r="AE157" s="59">
        <f t="shared" si="51"/>
        <v>0</v>
      </c>
      <c r="AF157" s="59">
        <f t="shared" si="52"/>
        <v>0</v>
      </c>
      <c r="AG157" s="59">
        <f t="shared" si="53"/>
        <v>0</v>
      </c>
      <c r="AH157" s="59">
        <v>3</v>
      </c>
      <c r="AI157" s="59">
        <v>2</v>
      </c>
      <c r="AJ157" s="59">
        <f t="shared" si="54"/>
        <v>0</v>
      </c>
      <c r="AK157" s="59">
        <f t="shared" si="55"/>
        <v>1</v>
      </c>
      <c r="AL157" s="59">
        <v>4319</v>
      </c>
      <c r="AM157" s="59">
        <v>26283</v>
      </c>
      <c r="AN157" s="59">
        <v>1</v>
      </c>
      <c r="AO157" s="59">
        <v>0</v>
      </c>
      <c r="AP157" s="59">
        <v>13</v>
      </c>
      <c r="AQ157" s="59">
        <v>3</v>
      </c>
      <c r="AR157" s="59">
        <v>1</v>
      </c>
      <c r="AS157" s="59">
        <v>80</v>
      </c>
      <c r="AT157" s="59">
        <v>1</v>
      </c>
      <c r="AU157" s="59">
        <v>10</v>
      </c>
      <c r="AV157" s="59">
        <v>1</v>
      </c>
      <c r="AW157" s="59">
        <v>3</v>
      </c>
      <c r="AX157" s="59">
        <v>10</v>
      </c>
      <c r="AY157" s="59">
        <v>7</v>
      </c>
      <c r="AZ157" s="59">
        <v>0</v>
      </c>
      <c r="BA157" s="59">
        <v>9</v>
      </c>
      <c r="BB157" s="57">
        <f t="shared" si="56"/>
        <v>8638</v>
      </c>
    </row>
    <row r="158" spans="1:54" x14ac:dyDescent="0.25">
      <c r="A158" s="58">
        <v>51</v>
      </c>
      <c r="B158" s="59">
        <v>0</v>
      </c>
      <c r="C158" s="59">
        <v>1</v>
      </c>
      <c r="D158" s="59">
        <f t="shared" si="38"/>
        <v>1</v>
      </c>
      <c r="E158" s="59">
        <f t="shared" si="39"/>
        <v>0</v>
      </c>
      <c r="F158" s="59">
        <v>1169</v>
      </c>
      <c r="G158" s="59">
        <v>2</v>
      </c>
      <c r="H158" s="59">
        <f t="shared" si="40"/>
        <v>0</v>
      </c>
      <c r="I158" s="59">
        <f t="shared" si="41"/>
        <v>1</v>
      </c>
      <c r="J158" s="59">
        <v>7</v>
      </c>
      <c r="K158" s="59">
        <v>4</v>
      </c>
      <c r="L158" s="59">
        <v>3</v>
      </c>
      <c r="M158" s="59">
        <f t="shared" si="42"/>
        <v>0</v>
      </c>
      <c r="N158" s="59">
        <f t="shared" si="43"/>
        <v>0</v>
      </c>
      <c r="O158" s="59">
        <f t="shared" si="44"/>
        <v>1</v>
      </c>
      <c r="P158" s="59">
        <f t="shared" si="45"/>
        <v>0</v>
      </c>
      <c r="Q158" s="59">
        <f t="shared" si="46"/>
        <v>0</v>
      </c>
      <c r="R158" s="59">
        <v>1</v>
      </c>
      <c r="S158" s="59">
        <v>211</v>
      </c>
      <c r="T158" s="59">
        <v>2</v>
      </c>
      <c r="U158" s="59">
        <v>1</v>
      </c>
      <c r="V158" s="59">
        <v>34</v>
      </c>
      <c r="W158" s="59">
        <v>2</v>
      </c>
      <c r="X158" s="59">
        <v>2</v>
      </c>
      <c r="Y158" s="59">
        <v>4</v>
      </c>
      <c r="Z158" s="59">
        <f t="shared" si="47"/>
        <v>0</v>
      </c>
      <c r="AA158" s="59">
        <f>IF('Updated Dummy'!Y158=2,1,0)</f>
        <v>0</v>
      </c>
      <c r="AB158" s="59">
        <f t="shared" si="48"/>
        <v>0</v>
      </c>
      <c r="AC158" s="59">
        <f t="shared" si="49"/>
        <v>1</v>
      </c>
      <c r="AD158" s="59">
        <f t="shared" si="50"/>
        <v>0</v>
      </c>
      <c r="AE158" s="59">
        <f t="shared" si="51"/>
        <v>0</v>
      </c>
      <c r="AF158" s="59">
        <f t="shared" si="52"/>
        <v>0</v>
      </c>
      <c r="AG158" s="59">
        <f t="shared" si="53"/>
        <v>0</v>
      </c>
      <c r="AH158" s="59">
        <v>3</v>
      </c>
      <c r="AI158" s="59">
        <v>2</v>
      </c>
      <c r="AJ158" s="59">
        <f t="shared" si="54"/>
        <v>0</v>
      </c>
      <c r="AK158" s="59">
        <f t="shared" si="55"/>
        <v>1</v>
      </c>
      <c r="AL158" s="59">
        <v>6132</v>
      </c>
      <c r="AM158" s="59">
        <v>13983</v>
      </c>
      <c r="AN158" s="59">
        <v>2</v>
      </c>
      <c r="AO158" s="59">
        <v>0</v>
      </c>
      <c r="AP158" s="59">
        <v>17</v>
      </c>
      <c r="AQ158" s="59">
        <v>3</v>
      </c>
      <c r="AR158" s="59">
        <v>3</v>
      </c>
      <c r="AS158" s="59">
        <v>80</v>
      </c>
      <c r="AT158" s="59">
        <v>0</v>
      </c>
      <c r="AU158" s="59">
        <v>10</v>
      </c>
      <c r="AV158" s="59">
        <v>2</v>
      </c>
      <c r="AW158" s="59">
        <v>3</v>
      </c>
      <c r="AX158" s="59">
        <v>1</v>
      </c>
      <c r="AY158" s="59">
        <v>0</v>
      </c>
      <c r="AZ158" s="59">
        <v>0</v>
      </c>
      <c r="BA158" s="59">
        <v>0</v>
      </c>
      <c r="BB158" s="57">
        <f t="shared" si="56"/>
        <v>12264</v>
      </c>
    </row>
    <row r="159" spans="1:54" x14ac:dyDescent="0.25">
      <c r="A159" s="58">
        <v>58</v>
      </c>
      <c r="B159" s="59">
        <v>0</v>
      </c>
      <c r="C159" s="59">
        <v>1</v>
      </c>
      <c r="D159" s="59">
        <f t="shared" si="38"/>
        <v>1</v>
      </c>
      <c r="E159" s="59">
        <f t="shared" si="39"/>
        <v>0</v>
      </c>
      <c r="F159" s="59">
        <v>1145</v>
      </c>
      <c r="G159" s="59">
        <v>2</v>
      </c>
      <c r="H159" s="59">
        <f t="shared" si="40"/>
        <v>0</v>
      </c>
      <c r="I159" s="59">
        <f t="shared" si="41"/>
        <v>1</v>
      </c>
      <c r="J159" s="59">
        <v>9</v>
      </c>
      <c r="K159" s="59">
        <v>3</v>
      </c>
      <c r="L159" s="59">
        <v>3</v>
      </c>
      <c r="M159" s="59">
        <f t="shared" si="42"/>
        <v>0</v>
      </c>
      <c r="N159" s="59">
        <f t="shared" si="43"/>
        <v>0</v>
      </c>
      <c r="O159" s="59">
        <f t="shared" si="44"/>
        <v>1</v>
      </c>
      <c r="P159" s="59">
        <f t="shared" si="45"/>
        <v>0</v>
      </c>
      <c r="Q159" s="59">
        <f t="shared" si="46"/>
        <v>0</v>
      </c>
      <c r="R159" s="59">
        <v>1</v>
      </c>
      <c r="S159" s="59">
        <v>214</v>
      </c>
      <c r="T159" s="59">
        <v>2</v>
      </c>
      <c r="U159" s="59">
        <v>0</v>
      </c>
      <c r="V159" s="59">
        <v>75</v>
      </c>
      <c r="W159" s="59">
        <v>2</v>
      </c>
      <c r="X159" s="59">
        <v>1</v>
      </c>
      <c r="Y159" s="59">
        <v>2</v>
      </c>
      <c r="Z159" s="59">
        <f t="shared" si="47"/>
        <v>0</v>
      </c>
      <c r="AA159" s="59">
        <f>IF('Updated Dummy'!Y159=2,1,0)</f>
        <v>1</v>
      </c>
      <c r="AB159" s="59">
        <f t="shared" si="48"/>
        <v>0</v>
      </c>
      <c r="AC159" s="59">
        <f t="shared" si="49"/>
        <v>0</v>
      </c>
      <c r="AD159" s="59">
        <f t="shared" si="50"/>
        <v>0</v>
      </c>
      <c r="AE159" s="59">
        <f t="shared" si="51"/>
        <v>0</v>
      </c>
      <c r="AF159" s="59">
        <f t="shared" si="52"/>
        <v>0</v>
      </c>
      <c r="AG159" s="59">
        <f t="shared" si="53"/>
        <v>0</v>
      </c>
      <c r="AH159" s="59">
        <v>2</v>
      </c>
      <c r="AI159" s="59">
        <v>2</v>
      </c>
      <c r="AJ159" s="59">
        <f t="shared" si="54"/>
        <v>0</v>
      </c>
      <c r="AK159" s="59">
        <f t="shared" si="55"/>
        <v>1</v>
      </c>
      <c r="AL159" s="59">
        <v>3346</v>
      </c>
      <c r="AM159" s="59">
        <v>11873</v>
      </c>
      <c r="AN159" s="59">
        <v>4</v>
      </c>
      <c r="AO159" s="59">
        <v>1</v>
      </c>
      <c r="AP159" s="59">
        <v>20</v>
      </c>
      <c r="AQ159" s="59">
        <v>4</v>
      </c>
      <c r="AR159" s="59">
        <v>2</v>
      </c>
      <c r="AS159" s="59">
        <v>80</v>
      </c>
      <c r="AT159" s="59">
        <v>1</v>
      </c>
      <c r="AU159" s="59">
        <v>9</v>
      </c>
      <c r="AV159" s="59">
        <v>3</v>
      </c>
      <c r="AW159" s="59">
        <v>2</v>
      </c>
      <c r="AX159" s="59">
        <v>1</v>
      </c>
      <c r="AY159" s="59">
        <v>0</v>
      </c>
      <c r="AZ159" s="59">
        <v>0</v>
      </c>
      <c r="BA159" s="59">
        <v>0</v>
      </c>
      <c r="BB159" s="57">
        <f t="shared" si="56"/>
        <v>3346</v>
      </c>
    </row>
    <row r="160" spans="1:54" x14ac:dyDescent="0.25">
      <c r="A160" s="58">
        <v>40</v>
      </c>
      <c r="B160" s="59">
        <v>0</v>
      </c>
      <c r="C160" s="59">
        <v>1</v>
      </c>
      <c r="D160" s="59">
        <f t="shared" si="38"/>
        <v>1</v>
      </c>
      <c r="E160" s="59">
        <f t="shared" si="39"/>
        <v>0</v>
      </c>
      <c r="F160" s="59">
        <v>630</v>
      </c>
      <c r="G160" s="59">
        <v>1</v>
      </c>
      <c r="H160" s="59">
        <f t="shared" si="40"/>
        <v>1</v>
      </c>
      <c r="I160" s="59">
        <f t="shared" si="41"/>
        <v>0</v>
      </c>
      <c r="J160" s="59">
        <v>4</v>
      </c>
      <c r="K160" s="59">
        <v>4</v>
      </c>
      <c r="L160" s="59">
        <v>4</v>
      </c>
      <c r="M160" s="59">
        <f t="shared" si="42"/>
        <v>0</v>
      </c>
      <c r="N160" s="59">
        <f t="shared" si="43"/>
        <v>0</v>
      </c>
      <c r="O160" s="59">
        <f t="shared" si="44"/>
        <v>0</v>
      </c>
      <c r="P160" s="59">
        <f t="shared" si="45"/>
        <v>1</v>
      </c>
      <c r="Q160" s="59">
        <f t="shared" si="46"/>
        <v>0</v>
      </c>
      <c r="R160" s="59">
        <v>1</v>
      </c>
      <c r="S160" s="59">
        <v>215</v>
      </c>
      <c r="T160" s="59">
        <v>3</v>
      </c>
      <c r="U160" s="59">
        <v>1</v>
      </c>
      <c r="V160" s="59">
        <v>67</v>
      </c>
      <c r="W160" s="59">
        <v>2</v>
      </c>
      <c r="X160" s="59">
        <v>3</v>
      </c>
      <c r="Y160" s="59">
        <v>1</v>
      </c>
      <c r="Z160" s="59">
        <f t="shared" si="47"/>
        <v>1</v>
      </c>
      <c r="AA160" s="59">
        <f>IF('Updated Dummy'!Y160=2,1,0)</f>
        <v>0</v>
      </c>
      <c r="AB160" s="59">
        <f t="shared" si="48"/>
        <v>0</v>
      </c>
      <c r="AC160" s="59">
        <f t="shared" si="49"/>
        <v>0</v>
      </c>
      <c r="AD160" s="59">
        <f t="shared" si="50"/>
        <v>0</v>
      </c>
      <c r="AE160" s="59">
        <f t="shared" si="51"/>
        <v>0</v>
      </c>
      <c r="AF160" s="59">
        <f t="shared" si="52"/>
        <v>0</v>
      </c>
      <c r="AG160" s="59">
        <f t="shared" si="53"/>
        <v>0</v>
      </c>
      <c r="AH160" s="59">
        <v>4</v>
      </c>
      <c r="AI160" s="59">
        <v>2</v>
      </c>
      <c r="AJ160" s="59">
        <f t="shared" si="54"/>
        <v>0</v>
      </c>
      <c r="AK160" s="59">
        <f t="shared" si="55"/>
        <v>1</v>
      </c>
      <c r="AL160" s="59">
        <v>10855</v>
      </c>
      <c r="AM160" s="59">
        <v>8552</v>
      </c>
      <c r="AN160" s="59">
        <v>7</v>
      </c>
      <c r="AO160" s="59">
        <v>0</v>
      </c>
      <c r="AP160" s="59">
        <v>11</v>
      </c>
      <c r="AQ160" s="59">
        <v>3</v>
      </c>
      <c r="AR160" s="59">
        <v>1</v>
      </c>
      <c r="AS160" s="59">
        <v>80</v>
      </c>
      <c r="AT160" s="59">
        <v>1</v>
      </c>
      <c r="AU160" s="59">
        <v>15</v>
      </c>
      <c r="AV160" s="59">
        <v>2</v>
      </c>
      <c r="AW160" s="59">
        <v>2</v>
      </c>
      <c r="AX160" s="59">
        <v>12</v>
      </c>
      <c r="AY160" s="59">
        <v>11</v>
      </c>
      <c r="AZ160" s="59">
        <v>2</v>
      </c>
      <c r="BA160" s="59">
        <v>11</v>
      </c>
      <c r="BB160" s="57">
        <f t="shared" si="56"/>
        <v>32565</v>
      </c>
    </row>
    <row r="161" spans="1:54" x14ac:dyDescent="0.25">
      <c r="A161" s="58">
        <v>34</v>
      </c>
      <c r="B161" s="59">
        <v>0</v>
      </c>
      <c r="C161" s="59">
        <v>2</v>
      </c>
      <c r="D161" s="59">
        <f t="shared" si="38"/>
        <v>0</v>
      </c>
      <c r="E161" s="59">
        <f t="shared" si="39"/>
        <v>1</v>
      </c>
      <c r="F161" s="59">
        <v>303</v>
      </c>
      <c r="G161" s="59">
        <v>1</v>
      </c>
      <c r="H161" s="59">
        <f t="shared" si="40"/>
        <v>1</v>
      </c>
      <c r="I161" s="59">
        <f t="shared" si="41"/>
        <v>0</v>
      </c>
      <c r="J161" s="59">
        <v>2</v>
      </c>
      <c r="K161" s="59">
        <v>4</v>
      </c>
      <c r="L161" s="59">
        <v>4</v>
      </c>
      <c r="M161" s="59">
        <f t="shared" si="42"/>
        <v>0</v>
      </c>
      <c r="N161" s="59">
        <f t="shared" si="43"/>
        <v>0</v>
      </c>
      <c r="O161" s="59">
        <f t="shared" si="44"/>
        <v>0</v>
      </c>
      <c r="P161" s="59">
        <f t="shared" si="45"/>
        <v>1</v>
      </c>
      <c r="Q161" s="59">
        <f t="shared" si="46"/>
        <v>0</v>
      </c>
      <c r="R161" s="59">
        <v>1</v>
      </c>
      <c r="S161" s="59">
        <v>216</v>
      </c>
      <c r="T161" s="59">
        <v>3</v>
      </c>
      <c r="U161" s="59">
        <v>0</v>
      </c>
      <c r="V161" s="59">
        <v>75</v>
      </c>
      <c r="W161" s="59">
        <v>3</v>
      </c>
      <c r="X161" s="59">
        <v>1</v>
      </c>
      <c r="Y161" s="59">
        <v>7</v>
      </c>
      <c r="Z161" s="59">
        <f t="shared" si="47"/>
        <v>0</v>
      </c>
      <c r="AA161" s="59">
        <f>IF('Updated Dummy'!Y161=2,1,0)</f>
        <v>0</v>
      </c>
      <c r="AB161" s="59">
        <f t="shared" si="48"/>
        <v>0</v>
      </c>
      <c r="AC161" s="59">
        <f t="shared" si="49"/>
        <v>0</v>
      </c>
      <c r="AD161" s="59">
        <f t="shared" si="50"/>
        <v>0</v>
      </c>
      <c r="AE161" s="59">
        <f t="shared" si="51"/>
        <v>0</v>
      </c>
      <c r="AF161" s="59">
        <f t="shared" si="52"/>
        <v>1</v>
      </c>
      <c r="AG161" s="59">
        <f t="shared" si="53"/>
        <v>0</v>
      </c>
      <c r="AH161" s="59">
        <v>3</v>
      </c>
      <c r="AI161" s="59">
        <v>2</v>
      </c>
      <c r="AJ161" s="59">
        <f t="shared" si="54"/>
        <v>0</v>
      </c>
      <c r="AK161" s="59">
        <f t="shared" si="55"/>
        <v>1</v>
      </c>
      <c r="AL161" s="59">
        <v>2231</v>
      </c>
      <c r="AM161" s="59">
        <v>11314</v>
      </c>
      <c r="AN161" s="59">
        <v>6</v>
      </c>
      <c r="AO161" s="59">
        <v>0</v>
      </c>
      <c r="AP161" s="59">
        <v>18</v>
      </c>
      <c r="AQ161" s="59">
        <v>3</v>
      </c>
      <c r="AR161" s="59">
        <v>4</v>
      </c>
      <c r="AS161" s="59">
        <v>80</v>
      </c>
      <c r="AT161" s="59">
        <v>1</v>
      </c>
      <c r="AU161" s="59">
        <v>6</v>
      </c>
      <c r="AV161" s="59">
        <v>3</v>
      </c>
      <c r="AW161" s="59">
        <v>3</v>
      </c>
      <c r="AX161" s="59">
        <v>4</v>
      </c>
      <c r="AY161" s="59">
        <v>3</v>
      </c>
      <c r="AZ161" s="59">
        <v>1</v>
      </c>
      <c r="BA161" s="59">
        <v>2</v>
      </c>
      <c r="BB161" s="57">
        <f t="shared" si="56"/>
        <v>2231</v>
      </c>
    </row>
    <row r="162" spans="1:54" x14ac:dyDescent="0.25">
      <c r="A162" s="58">
        <v>22</v>
      </c>
      <c r="B162" s="59">
        <v>0</v>
      </c>
      <c r="C162" s="59">
        <v>1</v>
      </c>
      <c r="D162" s="59">
        <f t="shared" si="38"/>
        <v>1</v>
      </c>
      <c r="E162" s="59">
        <f t="shared" si="39"/>
        <v>0</v>
      </c>
      <c r="F162" s="59">
        <v>1256</v>
      </c>
      <c r="G162" s="59">
        <v>2</v>
      </c>
      <c r="H162" s="59">
        <f t="shared" si="40"/>
        <v>0</v>
      </c>
      <c r="I162" s="59">
        <f t="shared" si="41"/>
        <v>1</v>
      </c>
      <c r="J162" s="59">
        <v>19</v>
      </c>
      <c r="K162" s="59">
        <v>1</v>
      </c>
      <c r="L162" s="59">
        <v>3</v>
      </c>
      <c r="M162" s="59">
        <f t="shared" si="42"/>
        <v>0</v>
      </c>
      <c r="N162" s="59">
        <f t="shared" si="43"/>
        <v>0</v>
      </c>
      <c r="O162" s="59">
        <f t="shared" si="44"/>
        <v>1</v>
      </c>
      <c r="P162" s="59">
        <f t="shared" si="45"/>
        <v>0</v>
      </c>
      <c r="Q162" s="59">
        <f t="shared" si="46"/>
        <v>0</v>
      </c>
      <c r="R162" s="59">
        <v>1</v>
      </c>
      <c r="S162" s="59">
        <v>217</v>
      </c>
      <c r="T162" s="59">
        <v>3</v>
      </c>
      <c r="U162" s="59">
        <v>1</v>
      </c>
      <c r="V162" s="59">
        <v>80</v>
      </c>
      <c r="W162" s="59">
        <v>3</v>
      </c>
      <c r="X162" s="59">
        <v>1</v>
      </c>
      <c r="Y162" s="59">
        <v>2</v>
      </c>
      <c r="Z162" s="59">
        <f t="shared" si="47"/>
        <v>0</v>
      </c>
      <c r="AA162" s="59">
        <f>IF('Updated Dummy'!Y162=2,1,0)</f>
        <v>1</v>
      </c>
      <c r="AB162" s="59">
        <f t="shared" si="48"/>
        <v>0</v>
      </c>
      <c r="AC162" s="59">
        <f t="shared" si="49"/>
        <v>0</v>
      </c>
      <c r="AD162" s="59">
        <f t="shared" si="50"/>
        <v>0</v>
      </c>
      <c r="AE162" s="59">
        <f t="shared" si="51"/>
        <v>0</v>
      </c>
      <c r="AF162" s="59">
        <f t="shared" si="52"/>
        <v>0</v>
      </c>
      <c r="AG162" s="59">
        <f t="shared" si="53"/>
        <v>0</v>
      </c>
      <c r="AH162" s="59">
        <v>4</v>
      </c>
      <c r="AI162" s="59">
        <v>2</v>
      </c>
      <c r="AJ162" s="59">
        <f t="shared" si="54"/>
        <v>0</v>
      </c>
      <c r="AK162" s="59">
        <f t="shared" si="55"/>
        <v>1</v>
      </c>
      <c r="AL162" s="59">
        <v>2323</v>
      </c>
      <c r="AM162" s="59">
        <v>11992</v>
      </c>
      <c r="AN162" s="59">
        <v>1</v>
      </c>
      <c r="AO162" s="59">
        <v>0</v>
      </c>
      <c r="AP162" s="59">
        <v>24</v>
      </c>
      <c r="AQ162" s="59">
        <v>4</v>
      </c>
      <c r="AR162" s="59">
        <v>1</v>
      </c>
      <c r="AS162" s="59">
        <v>80</v>
      </c>
      <c r="AT162" s="59">
        <v>2</v>
      </c>
      <c r="AU162" s="59">
        <v>2</v>
      </c>
      <c r="AV162" s="59">
        <v>6</v>
      </c>
      <c r="AW162" s="59">
        <v>3</v>
      </c>
      <c r="AX162" s="59">
        <v>2</v>
      </c>
      <c r="AY162" s="59">
        <v>2</v>
      </c>
      <c r="AZ162" s="59">
        <v>2</v>
      </c>
      <c r="BA162" s="59">
        <v>2</v>
      </c>
      <c r="BB162" s="57">
        <f t="shared" si="56"/>
        <v>2323</v>
      </c>
    </row>
    <row r="163" spans="1:54" x14ac:dyDescent="0.25">
      <c r="A163" s="58">
        <v>27</v>
      </c>
      <c r="B163" s="59">
        <v>0</v>
      </c>
      <c r="C163" s="59">
        <v>3</v>
      </c>
      <c r="D163" s="59">
        <f t="shared" si="38"/>
        <v>0</v>
      </c>
      <c r="E163" s="59">
        <f t="shared" si="39"/>
        <v>0</v>
      </c>
      <c r="F163" s="59">
        <v>691</v>
      </c>
      <c r="G163" s="59">
        <v>2</v>
      </c>
      <c r="H163" s="59">
        <f t="shared" si="40"/>
        <v>0</v>
      </c>
      <c r="I163" s="59">
        <f t="shared" si="41"/>
        <v>1</v>
      </c>
      <c r="J163" s="59">
        <v>9</v>
      </c>
      <c r="K163" s="59">
        <v>3</v>
      </c>
      <c r="L163" s="59">
        <v>3</v>
      </c>
      <c r="M163" s="59">
        <f t="shared" si="42"/>
        <v>0</v>
      </c>
      <c r="N163" s="59">
        <f t="shared" si="43"/>
        <v>0</v>
      </c>
      <c r="O163" s="59">
        <f t="shared" si="44"/>
        <v>1</v>
      </c>
      <c r="P163" s="59">
        <f t="shared" si="45"/>
        <v>0</v>
      </c>
      <c r="Q163" s="59">
        <f t="shared" si="46"/>
        <v>0</v>
      </c>
      <c r="R163" s="59">
        <v>1</v>
      </c>
      <c r="S163" s="59">
        <v>218</v>
      </c>
      <c r="T163" s="59">
        <v>4</v>
      </c>
      <c r="U163" s="59">
        <v>1</v>
      </c>
      <c r="V163" s="59">
        <v>57</v>
      </c>
      <c r="W163" s="59">
        <v>3</v>
      </c>
      <c r="X163" s="59">
        <v>1</v>
      </c>
      <c r="Y163" s="59">
        <v>2</v>
      </c>
      <c r="Z163" s="59">
        <f t="shared" si="47"/>
        <v>0</v>
      </c>
      <c r="AA163" s="59">
        <f>IF('Updated Dummy'!Y163=2,1,0)</f>
        <v>1</v>
      </c>
      <c r="AB163" s="59">
        <f t="shared" si="48"/>
        <v>0</v>
      </c>
      <c r="AC163" s="59">
        <f t="shared" si="49"/>
        <v>0</v>
      </c>
      <c r="AD163" s="59">
        <f t="shared" si="50"/>
        <v>0</v>
      </c>
      <c r="AE163" s="59">
        <f t="shared" si="51"/>
        <v>0</v>
      </c>
      <c r="AF163" s="59">
        <f t="shared" si="52"/>
        <v>0</v>
      </c>
      <c r="AG163" s="59">
        <f t="shared" si="53"/>
        <v>0</v>
      </c>
      <c r="AH163" s="59">
        <v>2</v>
      </c>
      <c r="AI163" s="59">
        <v>3</v>
      </c>
      <c r="AJ163" s="59">
        <f t="shared" si="54"/>
        <v>0</v>
      </c>
      <c r="AK163" s="59">
        <f t="shared" si="55"/>
        <v>0</v>
      </c>
      <c r="AL163" s="59">
        <v>2024</v>
      </c>
      <c r="AM163" s="59">
        <v>5970</v>
      </c>
      <c r="AN163" s="59">
        <v>6</v>
      </c>
      <c r="AO163" s="59">
        <v>0</v>
      </c>
      <c r="AP163" s="59">
        <v>18</v>
      </c>
      <c r="AQ163" s="59">
        <v>3</v>
      </c>
      <c r="AR163" s="59">
        <v>4</v>
      </c>
      <c r="AS163" s="59">
        <v>80</v>
      </c>
      <c r="AT163" s="59">
        <v>1</v>
      </c>
      <c r="AU163" s="59">
        <v>6</v>
      </c>
      <c r="AV163" s="59">
        <v>1</v>
      </c>
      <c r="AW163" s="59">
        <v>1</v>
      </c>
      <c r="AX163" s="59">
        <v>2</v>
      </c>
      <c r="AY163" s="59">
        <v>2</v>
      </c>
      <c r="AZ163" s="59">
        <v>2</v>
      </c>
      <c r="BA163" s="59">
        <v>2</v>
      </c>
      <c r="BB163" s="57">
        <f t="shared" si="56"/>
        <v>2024</v>
      </c>
    </row>
    <row r="164" spans="1:54" x14ac:dyDescent="0.25">
      <c r="A164" s="58">
        <v>28</v>
      </c>
      <c r="B164" s="59">
        <v>0</v>
      </c>
      <c r="C164" s="59">
        <v>1</v>
      </c>
      <c r="D164" s="59">
        <f t="shared" si="38"/>
        <v>1</v>
      </c>
      <c r="E164" s="59">
        <f t="shared" si="39"/>
        <v>0</v>
      </c>
      <c r="F164" s="59">
        <v>440</v>
      </c>
      <c r="G164" s="59">
        <v>2</v>
      </c>
      <c r="H164" s="59">
        <f t="shared" si="40"/>
        <v>0</v>
      </c>
      <c r="I164" s="59">
        <f t="shared" si="41"/>
        <v>1</v>
      </c>
      <c r="J164" s="59">
        <v>21</v>
      </c>
      <c r="K164" s="59">
        <v>3</v>
      </c>
      <c r="L164" s="59">
        <v>3</v>
      </c>
      <c r="M164" s="59">
        <f t="shared" si="42"/>
        <v>0</v>
      </c>
      <c r="N164" s="59">
        <f t="shared" si="43"/>
        <v>0</v>
      </c>
      <c r="O164" s="59">
        <f t="shared" si="44"/>
        <v>1</v>
      </c>
      <c r="P164" s="59">
        <f t="shared" si="45"/>
        <v>0</v>
      </c>
      <c r="Q164" s="59">
        <f t="shared" si="46"/>
        <v>0</v>
      </c>
      <c r="R164" s="59">
        <v>1</v>
      </c>
      <c r="S164" s="59">
        <v>221</v>
      </c>
      <c r="T164" s="59">
        <v>3</v>
      </c>
      <c r="U164" s="59">
        <v>1</v>
      </c>
      <c r="V164" s="59">
        <v>42</v>
      </c>
      <c r="W164" s="59">
        <v>3</v>
      </c>
      <c r="X164" s="59">
        <v>1</v>
      </c>
      <c r="Y164" s="59">
        <v>2</v>
      </c>
      <c r="Z164" s="59">
        <f t="shared" si="47"/>
        <v>0</v>
      </c>
      <c r="AA164" s="59">
        <f>IF('Updated Dummy'!Y164=2,1,0)</f>
        <v>1</v>
      </c>
      <c r="AB164" s="59">
        <f t="shared" si="48"/>
        <v>0</v>
      </c>
      <c r="AC164" s="59">
        <f t="shared" si="49"/>
        <v>0</v>
      </c>
      <c r="AD164" s="59">
        <f t="shared" si="50"/>
        <v>0</v>
      </c>
      <c r="AE164" s="59">
        <f t="shared" si="51"/>
        <v>0</v>
      </c>
      <c r="AF164" s="59">
        <f t="shared" si="52"/>
        <v>0</v>
      </c>
      <c r="AG164" s="59">
        <f t="shared" si="53"/>
        <v>0</v>
      </c>
      <c r="AH164" s="59">
        <v>4</v>
      </c>
      <c r="AI164" s="59">
        <v>2</v>
      </c>
      <c r="AJ164" s="59">
        <f t="shared" si="54"/>
        <v>0</v>
      </c>
      <c r="AK164" s="59">
        <f t="shared" si="55"/>
        <v>1</v>
      </c>
      <c r="AL164" s="59">
        <v>2713</v>
      </c>
      <c r="AM164" s="59">
        <v>6672</v>
      </c>
      <c r="AN164" s="59">
        <v>1</v>
      </c>
      <c r="AO164" s="59">
        <v>0</v>
      </c>
      <c r="AP164" s="59">
        <v>11</v>
      </c>
      <c r="AQ164" s="59">
        <v>3</v>
      </c>
      <c r="AR164" s="59">
        <v>3</v>
      </c>
      <c r="AS164" s="59">
        <v>80</v>
      </c>
      <c r="AT164" s="59">
        <v>1</v>
      </c>
      <c r="AU164" s="59">
        <v>5</v>
      </c>
      <c r="AV164" s="59">
        <v>2</v>
      </c>
      <c r="AW164" s="59">
        <v>1</v>
      </c>
      <c r="AX164" s="59">
        <v>5</v>
      </c>
      <c r="AY164" s="59">
        <v>2</v>
      </c>
      <c r="AZ164" s="59">
        <v>0</v>
      </c>
      <c r="BA164" s="59">
        <v>2</v>
      </c>
      <c r="BB164" s="57">
        <f t="shared" si="56"/>
        <v>2713</v>
      </c>
    </row>
    <row r="165" spans="1:54" x14ac:dyDescent="0.25">
      <c r="A165" s="58">
        <v>57</v>
      </c>
      <c r="B165" s="59">
        <v>0</v>
      </c>
      <c r="C165" s="59">
        <v>1</v>
      </c>
      <c r="D165" s="59">
        <f t="shared" si="38"/>
        <v>1</v>
      </c>
      <c r="E165" s="59">
        <f t="shared" si="39"/>
        <v>0</v>
      </c>
      <c r="F165" s="59">
        <v>334</v>
      </c>
      <c r="G165" s="59">
        <v>2</v>
      </c>
      <c r="H165" s="59">
        <f t="shared" si="40"/>
        <v>0</v>
      </c>
      <c r="I165" s="59">
        <f t="shared" si="41"/>
        <v>1</v>
      </c>
      <c r="J165" s="59">
        <v>24</v>
      </c>
      <c r="K165" s="59">
        <v>2</v>
      </c>
      <c r="L165" s="59">
        <v>1</v>
      </c>
      <c r="M165" s="59">
        <f t="shared" si="42"/>
        <v>1</v>
      </c>
      <c r="N165" s="59">
        <f t="shared" si="43"/>
        <v>0</v>
      </c>
      <c r="O165" s="59">
        <f t="shared" si="44"/>
        <v>0</v>
      </c>
      <c r="P165" s="59">
        <f t="shared" si="45"/>
        <v>0</v>
      </c>
      <c r="Q165" s="59">
        <f t="shared" si="46"/>
        <v>0</v>
      </c>
      <c r="R165" s="59">
        <v>1</v>
      </c>
      <c r="S165" s="59">
        <v>223</v>
      </c>
      <c r="T165" s="59">
        <v>3</v>
      </c>
      <c r="U165" s="59">
        <v>1</v>
      </c>
      <c r="V165" s="59">
        <v>83</v>
      </c>
      <c r="W165" s="59">
        <v>4</v>
      </c>
      <c r="X165" s="59">
        <v>3</v>
      </c>
      <c r="Y165" s="59">
        <v>5</v>
      </c>
      <c r="Z165" s="59">
        <f t="shared" si="47"/>
        <v>0</v>
      </c>
      <c r="AA165" s="59">
        <f>IF('Updated Dummy'!Y165=2,1,0)</f>
        <v>0</v>
      </c>
      <c r="AB165" s="59">
        <f t="shared" si="48"/>
        <v>0</v>
      </c>
      <c r="AC165" s="59">
        <f t="shared" si="49"/>
        <v>0</v>
      </c>
      <c r="AD165" s="59">
        <f t="shared" si="50"/>
        <v>1</v>
      </c>
      <c r="AE165" s="59">
        <f t="shared" si="51"/>
        <v>0</v>
      </c>
      <c r="AF165" s="59">
        <f t="shared" si="52"/>
        <v>0</v>
      </c>
      <c r="AG165" s="59">
        <f t="shared" si="53"/>
        <v>0</v>
      </c>
      <c r="AH165" s="59">
        <v>4</v>
      </c>
      <c r="AI165" s="59">
        <v>3</v>
      </c>
      <c r="AJ165" s="59">
        <f t="shared" si="54"/>
        <v>0</v>
      </c>
      <c r="AK165" s="59">
        <f t="shared" si="55"/>
        <v>0</v>
      </c>
      <c r="AL165" s="59">
        <v>9439</v>
      </c>
      <c r="AM165" s="59">
        <v>23402</v>
      </c>
      <c r="AN165" s="59">
        <v>3</v>
      </c>
      <c r="AO165" s="59">
        <v>1</v>
      </c>
      <c r="AP165" s="59">
        <v>16</v>
      </c>
      <c r="AQ165" s="59">
        <v>3</v>
      </c>
      <c r="AR165" s="59">
        <v>2</v>
      </c>
      <c r="AS165" s="59">
        <v>80</v>
      </c>
      <c r="AT165" s="59">
        <v>1</v>
      </c>
      <c r="AU165" s="59">
        <v>12</v>
      </c>
      <c r="AV165" s="59">
        <v>2</v>
      </c>
      <c r="AW165" s="59">
        <v>1</v>
      </c>
      <c r="AX165" s="59">
        <v>5</v>
      </c>
      <c r="AY165" s="59">
        <v>3</v>
      </c>
      <c r="AZ165" s="59">
        <v>1</v>
      </c>
      <c r="BA165" s="59">
        <v>4</v>
      </c>
      <c r="BB165" s="57">
        <f t="shared" si="56"/>
        <v>28317</v>
      </c>
    </row>
    <row r="166" spans="1:54" x14ac:dyDescent="0.25">
      <c r="A166" s="58">
        <v>27</v>
      </c>
      <c r="B166" s="59">
        <v>0</v>
      </c>
      <c r="C166" s="59">
        <v>3</v>
      </c>
      <c r="D166" s="59">
        <f t="shared" si="38"/>
        <v>0</v>
      </c>
      <c r="E166" s="59">
        <f t="shared" si="39"/>
        <v>0</v>
      </c>
      <c r="F166" s="59">
        <v>1450</v>
      </c>
      <c r="G166" s="59">
        <v>2</v>
      </c>
      <c r="H166" s="59">
        <f t="shared" si="40"/>
        <v>0</v>
      </c>
      <c r="I166" s="59">
        <f t="shared" si="41"/>
        <v>1</v>
      </c>
      <c r="J166" s="59">
        <v>3</v>
      </c>
      <c r="K166" s="59">
        <v>3</v>
      </c>
      <c r="L166" s="59">
        <v>3</v>
      </c>
      <c r="M166" s="59">
        <f t="shared" si="42"/>
        <v>0</v>
      </c>
      <c r="N166" s="59">
        <f t="shared" si="43"/>
        <v>0</v>
      </c>
      <c r="O166" s="59">
        <f t="shared" si="44"/>
        <v>1</v>
      </c>
      <c r="P166" s="59">
        <f t="shared" si="45"/>
        <v>0</v>
      </c>
      <c r="Q166" s="59">
        <f t="shared" si="46"/>
        <v>0</v>
      </c>
      <c r="R166" s="59">
        <v>1</v>
      </c>
      <c r="S166" s="59">
        <v>224</v>
      </c>
      <c r="T166" s="59">
        <v>3</v>
      </c>
      <c r="U166" s="59">
        <v>1</v>
      </c>
      <c r="V166" s="59">
        <v>79</v>
      </c>
      <c r="W166" s="59">
        <v>2</v>
      </c>
      <c r="X166" s="59">
        <v>1</v>
      </c>
      <c r="Y166" s="59">
        <v>2</v>
      </c>
      <c r="Z166" s="59">
        <f t="shared" si="47"/>
        <v>0</v>
      </c>
      <c r="AA166" s="59">
        <f>IF('Updated Dummy'!Y166=2,1,0)</f>
        <v>1</v>
      </c>
      <c r="AB166" s="59">
        <f t="shared" si="48"/>
        <v>0</v>
      </c>
      <c r="AC166" s="59">
        <f t="shared" si="49"/>
        <v>0</v>
      </c>
      <c r="AD166" s="59">
        <f t="shared" si="50"/>
        <v>0</v>
      </c>
      <c r="AE166" s="59">
        <f t="shared" si="51"/>
        <v>0</v>
      </c>
      <c r="AF166" s="59">
        <f t="shared" si="52"/>
        <v>0</v>
      </c>
      <c r="AG166" s="59">
        <f t="shared" si="53"/>
        <v>0</v>
      </c>
      <c r="AH166" s="59">
        <v>3</v>
      </c>
      <c r="AI166" s="59">
        <v>3</v>
      </c>
      <c r="AJ166" s="59">
        <f t="shared" si="54"/>
        <v>0</v>
      </c>
      <c r="AK166" s="59">
        <f t="shared" si="55"/>
        <v>0</v>
      </c>
      <c r="AL166" s="59">
        <v>2566</v>
      </c>
      <c r="AM166" s="59">
        <v>25326</v>
      </c>
      <c r="AN166" s="59">
        <v>1</v>
      </c>
      <c r="AO166" s="59">
        <v>1</v>
      </c>
      <c r="AP166" s="59">
        <v>15</v>
      </c>
      <c r="AQ166" s="59">
        <v>3</v>
      </c>
      <c r="AR166" s="59">
        <v>4</v>
      </c>
      <c r="AS166" s="59">
        <v>80</v>
      </c>
      <c r="AT166" s="59">
        <v>1</v>
      </c>
      <c r="AU166" s="59">
        <v>1</v>
      </c>
      <c r="AV166" s="59">
        <v>2</v>
      </c>
      <c r="AW166" s="59">
        <v>2</v>
      </c>
      <c r="AX166" s="59">
        <v>1</v>
      </c>
      <c r="AY166" s="59">
        <v>1</v>
      </c>
      <c r="AZ166" s="59">
        <v>0</v>
      </c>
      <c r="BA166" s="59">
        <v>1</v>
      </c>
      <c r="BB166" s="57">
        <f t="shared" si="56"/>
        <v>2566</v>
      </c>
    </row>
    <row r="167" spans="1:54" x14ac:dyDescent="0.25">
      <c r="A167" s="58">
        <v>50</v>
      </c>
      <c r="B167" s="59">
        <v>0</v>
      </c>
      <c r="C167" s="59">
        <v>1</v>
      </c>
      <c r="D167" s="59">
        <f t="shared" si="38"/>
        <v>1</v>
      </c>
      <c r="E167" s="59">
        <f t="shared" si="39"/>
        <v>0</v>
      </c>
      <c r="F167" s="59">
        <v>1452</v>
      </c>
      <c r="G167" s="59">
        <v>2</v>
      </c>
      <c r="H167" s="59">
        <f t="shared" si="40"/>
        <v>0</v>
      </c>
      <c r="I167" s="59">
        <f t="shared" si="41"/>
        <v>1</v>
      </c>
      <c r="J167" s="59">
        <v>11</v>
      </c>
      <c r="K167" s="59">
        <v>3</v>
      </c>
      <c r="L167" s="59">
        <v>1</v>
      </c>
      <c r="M167" s="59">
        <f t="shared" si="42"/>
        <v>1</v>
      </c>
      <c r="N167" s="59">
        <f t="shared" si="43"/>
        <v>0</v>
      </c>
      <c r="O167" s="59">
        <f t="shared" si="44"/>
        <v>0</v>
      </c>
      <c r="P167" s="59">
        <f t="shared" si="45"/>
        <v>0</v>
      </c>
      <c r="Q167" s="59">
        <f t="shared" si="46"/>
        <v>0</v>
      </c>
      <c r="R167" s="59">
        <v>1</v>
      </c>
      <c r="S167" s="59">
        <v>226</v>
      </c>
      <c r="T167" s="59">
        <v>3</v>
      </c>
      <c r="U167" s="59">
        <v>0</v>
      </c>
      <c r="V167" s="59">
        <v>53</v>
      </c>
      <c r="W167" s="59">
        <v>3</v>
      </c>
      <c r="X167" s="59">
        <v>5</v>
      </c>
      <c r="Y167" s="59">
        <v>6</v>
      </c>
      <c r="Z167" s="59">
        <f t="shared" si="47"/>
        <v>0</v>
      </c>
      <c r="AA167" s="59">
        <f>IF('Updated Dummy'!Y167=2,1,0)</f>
        <v>0</v>
      </c>
      <c r="AB167" s="59">
        <f t="shared" si="48"/>
        <v>0</v>
      </c>
      <c r="AC167" s="59">
        <f t="shared" si="49"/>
        <v>0</v>
      </c>
      <c r="AD167" s="59">
        <f t="shared" si="50"/>
        <v>0</v>
      </c>
      <c r="AE167" s="59">
        <f t="shared" si="51"/>
        <v>1</v>
      </c>
      <c r="AF167" s="59">
        <f t="shared" si="52"/>
        <v>0</v>
      </c>
      <c r="AG167" s="59">
        <f t="shared" si="53"/>
        <v>0</v>
      </c>
      <c r="AH167" s="59">
        <v>2</v>
      </c>
      <c r="AI167" s="59">
        <v>1</v>
      </c>
      <c r="AJ167" s="59">
        <f t="shared" si="54"/>
        <v>1</v>
      </c>
      <c r="AK167" s="59">
        <f t="shared" si="55"/>
        <v>0</v>
      </c>
      <c r="AL167" s="59">
        <v>19926</v>
      </c>
      <c r="AM167" s="59">
        <v>17053</v>
      </c>
      <c r="AN167" s="59">
        <v>3</v>
      </c>
      <c r="AO167" s="59">
        <v>0</v>
      </c>
      <c r="AP167" s="59">
        <v>15</v>
      </c>
      <c r="AQ167" s="59">
        <v>3</v>
      </c>
      <c r="AR167" s="59">
        <v>2</v>
      </c>
      <c r="AS167" s="59">
        <v>80</v>
      </c>
      <c r="AT167" s="59">
        <v>0</v>
      </c>
      <c r="AU167" s="59">
        <v>21</v>
      </c>
      <c r="AV167" s="59">
        <v>5</v>
      </c>
      <c r="AW167" s="59">
        <v>3</v>
      </c>
      <c r="AX167" s="59">
        <v>5</v>
      </c>
      <c r="AY167" s="59">
        <v>4</v>
      </c>
      <c r="AZ167" s="59">
        <v>4</v>
      </c>
      <c r="BA167" s="59">
        <v>4</v>
      </c>
      <c r="BB167" s="57">
        <f t="shared" si="56"/>
        <v>99630</v>
      </c>
    </row>
    <row r="168" spans="1:54" x14ac:dyDescent="0.25">
      <c r="A168" s="58">
        <v>41</v>
      </c>
      <c r="B168" s="59">
        <v>0</v>
      </c>
      <c r="C168" s="59">
        <v>1</v>
      </c>
      <c r="D168" s="59">
        <f t="shared" si="38"/>
        <v>1</v>
      </c>
      <c r="E168" s="59">
        <f t="shared" si="39"/>
        <v>0</v>
      </c>
      <c r="F168" s="59">
        <v>465</v>
      </c>
      <c r="G168" s="59">
        <v>2</v>
      </c>
      <c r="H168" s="59">
        <f t="shared" si="40"/>
        <v>0</v>
      </c>
      <c r="I168" s="59">
        <f t="shared" si="41"/>
        <v>1</v>
      </c>
      <c r="J168" s="59">
        <v>14</v>
      </c>
      <c r="K168" s="59">
        <v>3</v>
      </c>
      <c r="L168" s="59">
        <v>1</v>
      </c>
      <c r="M168" s="59">
        <f t="shared" si="42"/>
        <v>1</v>
      </c>
      <c r="N168" s="59">
        <f t="shared" si="43"/>
        <v>0</v>
      </c>
      <c r="O168" s="59">
        <f t="shared" si="44"/>
        <v>0</v>
      </c>
      <c r="P168" s="59">
        <f t="shared" si="45"/>
        <v>0</v>
      </c>
      <c r="Q168" s="59">
        <f t="shared" si="46"/>
        <v>0</v>
      </c>
      <c r="R168" s="59">
        <v>1</v>
      </c>
      <c r="S168" s="59">
        <v>227</v>
      </c>
      <c r="T168" s="59">
        <v>1</v>
      </c>
      <c r="U168" s="59">
        <v>1</v>
      </c>
      <c r="V168" s="59">
        <v>56</v>
      </c>
      <c r="W168" s="59">
        <v>3</v>
      </c>
      <c r="X168" s="59">
        <v>1</v>
      </c>
      <c r="Y168" s="59">
        <v>2</v>
      </c>
      <c r="Z168" s="59">
        <f t="shared" si="47"/>
        <v>0</v>
      </c>
      <c r="AA168" s="59">
        <f>IF('Updated Dummy'!Y168=2,1,0)</f>
        <v>1</v>
      </c>
      <c r="AB168" s="59">
        <f t="shared" si="48"/>
        <v>0</v>
      </c>
      <c r="AC168" s="59">
        <f t="shared" si="49"/>
        <v>0</v>
      </c>
      <c r="AD168" s="59">
        <f t="shared" si="50"/>
        <v>0</v>
      </c>
      <c r="AE168" s="59">
        <f t="shared" si="51"/>
        <v>0</v>
      </c>
      <c r="AF168" s="59">
        <f t="shared" si="52"/>
        <v>0</v>
      </c>
      <c r="AG168" s="59">
        <f t="shared" si="53"/>
        <v>0</v>
      </c>
      <c r="AH168" s="59">
        <v>3</v>
      </c>
      <c r="AI168" s="59">
        <v>3</v>
      </c>
      <c r="AJ168" s="59">
        <f t="shared" si="54"/>
        <v>0</v>
      </c>
      <c r="AK168" s="59">
        <f t="shared" si="55"/>
        <v>0</v>
      </c>
      <c r="AL168" s="59">
        <v>2451</v>
      </c>
      <c r="AM168" s="59">
        <v>4609</v>
      </c>
      <c r="AN168" s="59">
        <v>4</v>
      </c>
      <c r="AO168" s="59">
        <v>0</v>
      </c>
      <c r="AP168" s="59">
        <v>12</v>
      </c>
      <c r="AQ168" s="59">
        <v>3</v>
      </c>
      <c r="AR168" s="59">
        <v>1</v>
      </c>
      <c r="AS168" s="59">
        <v>80</v>
      </c>
      <c r="AT168" s="59">
        <v>1</v>
      </c>
      <c r="AU168" s="59">
        <v>13</v>
      </c>
      <c r="AV168" s="59">
        <v>2</v>
      </c>
      <c r="AW168" s="59">
        <v>3</v>
      </c>
      <c r="AX168" s="59">
        <v>9</v>
      </c>
      <c r="AY168" s="59">
        <v>8</v>
      </c>
      <c r="AZ168" s="59">
        <v>1</v>
      </c>
      <c r="BA168" s="59">
        <v>8</v>
      </c>
      <c r="BB168" s="57">
        <f t="shared" si="56"/>
        <v>2451</v>
      </c>
    </row>
    <row r="169" spans="1:54" x14ac:dyDescent="0.25">
      <c r="A169" s="58">
        <v>30</v>
      </c>
      <c r="B169" s="59">
        <v>0</v>
      </c>
      <c r="C169" s="59">
        <v>1</v>
      </c>
      <c r="D169" s="59">
        <f t="shared" si="38"/>
        <v>1</v>
      </c>
      <c r="E169" s="59">
        <f t="shared" si="39"/>
        <v>0</v>
      </c>
      <c r="F169" s="59">
        <v>1339</v>
      </c>
      <c r="G169" s="59">
        <v>1</v>
      </c>
      <c r="H169" s="59">
        <f t="shared" si="40"/>
        <v>1</v>
      </c>
      <c r="I169" s="59">
        <f t="shared" si="41"/>
        <v>0</v>
      </c>
      <c r="J169" s="59">
        <v>5</v>
      </c>
      <c r="K169" s="59">
        <v>3</v>
      </c>
      <c r="L169" s="59">
        <v>1</v>
      </c>
      <c r="M169" s="59">
        <f t="shared" si="42"/>
        <v>1</v>
      </c>
      <c r="N169" s="59">
        <f t="shared" si="43"/>
        <v>0</v>
      </c>
      <c r="O169" s="59">
        <f t="shared" si="44"/>
        <v>0</v>
      </c>
      <c r="P169" s="59">
        <f t="shared" si="45"/>
        <v>0</v>
      </c>
      <c r="Q169" s="59">
        <f t="shared" si="46"/>
        <v>0</v>
      </c>
      <c r="R169" s="59">
        <v>1</v>
      </c>
      <c r="S169" s="59">
        <v>228</v>
      </c>
      <c r="T169" s="59">
        <v>2</v>
      </c>
      <c r="U169" s="59">
        <v>0</v>
      </c>
      <c r="V169" s="59">
        <v>41</v>
      </c>
      <c r="W169" s="59">
        <v>3</v>
      </c>
      <c r="X169" s="59">
        <v>3</v>
      </c>
      <c r="Y169" s="59">
        <v>1</v>
      </c>
      <c r="Z169" s="59">
        <f t="shared" si="47"/>
        <v>1</v>
      </c>
      <c r="AA169" s="59">
        <f>IF('Updated Dummy'!Y169=2,1,0)</f>
        <v>0</v>
      </c>
      <c r="AB169" s="59">
        <f t="shared" si="48"/>
        <v>0</v>
      </c>
      <c r="AC169" s="59">
        <f t="shared" si="49"/>
        <v>0</v>
      </c>
      <c r="AD169" s="59">
        <f t="shared" si="50"/>
        <v>0</v>
      </c>
      <c r="AE169" s="59">
        <f t="shared" si="51"/>
        <v>0</v>
      </c>
      <c r="AF169" s="59">
        <f t="shared" si="52"/>
        <v>0</v>
      </c>
      <c r="AG169" s="59">
        <f t="shared" si="53"/>
        <v>0</v>
      </c>
      <c r="AH169" s="59">
        <v>4</v>
      </c>
      <c r="AI169" s="59">
        <v>2</v>
      </c>
      <c r="AJ169" s="59">
        <f t="shared" si="54"/>
        <v>0</v>
      </c>
      <c r="AK169" s="59">
        <f t="shared" si="55"/>
        <v>1</v>
      </c>
      <c r="AL169" s="59">
        <v>9419</v>
      </c>
      <c r="AM169" s="59">
        <v>8053</v>
      </c>
      <c r="AN169" s="59">
        <v>2</v>
      </c>
      <c r="AO169" s="59">
        <v>0</v>
      </c>
      <c r="AP169" s="59">
        <v>12</v>
      </c>
      <c r="AQ169" s="59">
        <v>3</v>
      </c>
      <c r="AR169" s="59">
        <v>3</v>
      </c>
      <c r="AS169" s="59">
        <v>80</v>
      </c>
      <c r="AT169" s="59">
        <v>1</v>
      </c>
      <c r="AU169" s="59">
        <v>12</v>
      </c>
      <c r="AV169" s="59">
        <v>2</v>
      </c>
      <c r="AW169" s="59">
        <v>3</v>
      </c>
      <c r="AX169" s="59">
        <v>10</v>
      </c>
      <c r="AY169" s="59">
        <v>9</v>
      </c>
      <c r="AZ169" s="59">
        <v>7</v>
      </c>
      <c r="BA169" s="59">
        <v>4</v>
      </c>
      <c r="BB169" s="57">
        <f t="shared" si="56"/>
        <v>28257</v>
      </c>
    </row>
    <row r="170" spans="1:54" x14ac:dyDescent="0.25">
      <c r="A170" s="58">
        <v>38</v>
      </c>
      <c r="B170" s="59">
        <v>0</v>
      </c>
      <c r="C170" s="59">
        <v>1</v>
      </c>
      <c r="D170" s="59">
        <f t="shared" si="38"/>
        <v>1</v>
      </c>
      <c r="E170" s="59">
        <f t="shared" si="39"/>
        <v>0</v>
      </c>
      <c r="F170" s="59">
        <v>702</v>
      </c>
      <c r="G170" s="59">
        <v>1</v>
      </c>
      <c r="H170" s="59">
        <f t="shared" si="40"/>
        <v>1</v>
      </c>
      <c r="I170" s="59">
        <f t="shared" si="41"/>
        <v>0</v>
      </c>
      <c r="J170" s="59">
        <v>1</v>
      </c>
      <c r="K170" s="59">
        <v>4</v>
      </c>
      <c r="L170" s="59">
        <v>1</v>
      </c>
      <c r="M170" s="59">
        <f t="shared" si="42"/>
        <v>1</v>
      </c>
      <c r="N170" s="59">
        <f t="shared" si="43"/>
        <v>0</v>
      </c>
      <c r="O170" s="59">
        <f t="shared" si="44"/>
        <v>0</v>
      </c>
      <c r="P170" s="59">
        <f t="shared" si="45"/>
        <v>0</v>
      </c>
      <c r="Q170" s="59">
        <f t="shared" si="46"/>
        <v>0</v>
      </c>
      <c r="R170" s="59">
        <v>1</v>
      </c>
      <c r="S170" s="59">
        <v>230</v>
      </c>
      <c r="T170" s="59">
        <v>1</v>
      </c>
      <c r="U170" s="59">
        <v>0</v>
      </c>
      <c r="V170" s="59">
        <v>59</v>
      </c>
      <c r="W170" s="59">
        <v>2</v>
      </c>
      <c r="X170" s="59">
        <v>2</v>
      </c>
      <c r="Y170" s="59">
        <v>1</v>
      </c>
      <c r="Z170" s="59">
        <f t="shared" si="47"/>
        <v>1</v>
      </c>
      <c r="AA170" s="59">
        <f>IF('Updated Dummy'!Y170=2,1,0)</f>
        <v>0</v>
      </c>
      <c r="AB170" s="59">
        <f t="shared" si="48"/>
        <v>0</v>
      </c>
      <c r="AC170" s="59">
        <f t="shared" si="49"/>
        <v>0</v>
      </c>
      <c r="AD170" s="59">
        <f t="shared" si="50"/>
        <v>0</v>
      </c>
      <c r="AE170" s="59">
        <f t="shared" si="51"/>
        <v>0</v>
      </c>
      <c r="AF170" s="59">
        <f t="shared" si="52"/>
        <v>0</v>
      </c>
      <c r="AG170" s="59">
        <f t="shared" si="53"/>
        <v>0</v>
      </c>
      <c r="AH170" s="59">
        <v>4</v>
      </c>
      <c r="AI170" s="59">
        <v>1</v>
      </c>
      <c r="AJ170" s="59">
        <f t="shared" si="54"/>
        <v>1</v>
      </c>
      <c r="AK170" s="59">
        <f t="shared" si="55"/>
        <v>0</v>
      </c>
      <c r="AL170" s="59">
        <v>8686</v>
      </c>
      <c r="AM170" s="59">
        <v>12930</v>
      </c>
      <c r="AN170" s="59">
        <v>4</v>
      </c>
      <c r="AO170" s="59">
        <v>0</v>
      </c>
      <c r="AP170" s="59">
        <v>22</v>
      </c>
      <c r="AQ170" s="59">
        <v>4</v>
      </c>
      <c r="AR170" s="59">
        <v>3</v>
      </c>
      <c r="AS170" s="59">
        <v>80</v>
      </c>
      <c r="AT170" s="59">
        <v>0</v>
      </c>
      <c r="AU170" s="59">
        <v>12</v>
      </c>
      <c r="AV170" s="59">
        <v>2</v>
      </c>
      <c r="AW170" s="59">
        <v>4</v>
      </c>
      <c r="AX170" s="59">
        <v>8</v>
      </c>
      <c r="AY170" s="59">
        <v>3</v>
      </c>
      <c r="AZ170" s="59">
        <v>0</v>
      </c>
      <c r="BA170" s="59">
        <v>7</v>
      </c>
      <c r="BB170" s="57">
        <f t="shared" si="56"/>
        <v>17372</v>
      </c>
    </row>
    <row r="171" spans="1:54" x14ac:dyDescent="0.25">
      <c r="A171" s="58">
        <v>32</v>
      </c>
      <c r="B171" s="59">
        <v>0</v>
      </c>
      <c r="C171" s="59">
        <v>1</v>
      </c>
      <c r="D171" s="59">
        <f t="shared" si="38"/>
        <v>1</v>
      </c>
      <c r="E171" s="59">
        <f t="shared" si="39"/>
        <v>0</v>
      </c>
      <c r="F171" s="59">
        <v>120</v>
      </c>
      <c r="G171" s="59">
        <v>2</v>
      </c>
      <c r="H171" s="59">
        <f t="shared" si="40"/>
        <v>0</v>
      </c>
      <c r="I171" s="59">
        <f t="shared" si="41"/>
        <v>1</v>
      </c>
      <c r="J171" s="59">
        <v>6</v>
      </c>
      <c r="K171" s="59">
        <v>5</v>
      </c>
      <c r="L171" s="59">
        <v>1</v>
      </c>
      <c r="M171" s="59">
        <f t="shared" si="42"/>
        <v>1</v>
      </c>
      <c r="N171" s="59">
        <f t="shared" si="43"/>
        <v>0</v>
      </c>
      <c r="O171" s="59">
        <f t="shared" si="44"/>
        <v>0</v>
      </c>
      <c r="P171" s="59">
        <f t="shared" si="45"/>
        <v>0</v>
      </c>
      <c r="Q171" s="59">
        <f t="shared" si="46"/>
        <v>0</v>
      </c>
      <c r="R171" s="59">
        <v>1</v>
      </c>
      <c r="S171" s="59">
        <v>231</v>
      </c>
      <c r="T171" s="59">
        <v>3</v>
      </c>
      <c r="U171" s="59">
        <v>1</v>
      </c>
      <c r="V171" s="59">
        <v>43</v>
      </c>
      <c r="W171" s="59">
        <v>3</v>
      </c>
      <c r="X171" s="59">
        <v>1</v>
      </c>
      <c r="Y171" s="59">
        <v>2</v>
      </c>
      <c r="Z171" s="59">
        <f t="shared" si="47"/>
        <v>0</v>
      </c>
      <c r="AA171" s="59">
        <f>IF('Updated Dummy'!Y171=2,1,0)</f>
        <v>1</v>
      </c>
      <c r="AB171" s="59">
        <f t="shared" si="48"/>
        <v>0</v>
      </c>
      <c r="AC171" s="59">
        <f t="shared" si="49"/>
        <v>0</v>
      </c>
      <c r="AD171" s="59">
        <f t="shared" si="50"/>
        <v>0</v>
      </c>
      <c r="AE171" s="59">
        <f t="shared" si="51"/>
        <v>0</v>
      </c>
      <c r="AF171" s="59">
        <f t="shared" si="52"/>
        <v>0</v>
      </c>
      <c r="AG171" s="59">
        <f t="shared" si="53"/>
        <v>0</v>
      </c>
      <c r="AH171" s="59">
        <v>3</v>
      </c>
      <c r="AI171" s="59">
        <v>1</v>
      </c>
      <c r="AJ171" s="59">
        <f t="shared" si="54"/>
        <v>1</v>
      </c>
      <c r="AK171" s="59">
        <f t="shared" si="55"/>
        <v>0</v>
      </c>
      <c r="AL171" s="59">
        <v>3038</v>
      </c>
      <c r="AM171" s="59">
        <v>12430</v>
      </c>
      <c r="AN171" s="59">
        <v>3</v>
      </c>
      <c r="AO171" s="59">
        <v>0</v>
      </c>
      <c r="AP171" s="59">
        <v>20</v>
      </c>
      <c r="AQ171" s="59">
        <v>4</v>
      </c>
      <c r="AR171" s="59">
        <v>1</v>
      </c>
      <c r="AS171" s="59">
        <v>80</v>
      </c>
      <c r="AT171" s="59">
        <v>0</v>
      </c>
      <c r="AU171" s="59">
        <v>8</v>
      </c>
      <c r="AV171" s="59">
        <v>2</v>
      </c>
      <c r="AW171" s="59">
        <v>3</v>
      </c>
      <c r="AX171" s="59">
        <v>5</v>
      </c>
      <c r="AY171" s="59">
        <v>4</v>
      </c>
      <c r="AZ171" s="59">
        <v>1</v>
      </c>
      <c r="BA171" s="59">
        <v>4</v>
      </c>
      <c r="BB171" s="57">
        <f t="shared" si="56"/>
        <v>3038</v>
      </c>
    </row>
    <row r="172" spans="1:54" x14ac:dyDescent="0.25">
      <c r="A172" s="58">
        <v>27</v>
      </c>
      <c r="B172" s="59">
        <v>0</v>
      </c>
      <c r="C172" s="59">
        <v>1</v>
      </c>
      <c r="D172" s="59">
        <f t="shared" si="38"/>
        <v>1</v>
      </c>
      <c r="E172" s="59">
        <f t="shared" si="39"/>
        <v>0</v>
      </c>
      <c r="F172" s="59">
        <v>1157</v>
      </c>
      <c r="G172" s="59">
        <v>2</v>
      </c>
      <c r="H172" s="59">
        <f t="shared" si="40"/>
        <v>0</v>
      </c>
      <c r="I172" s="59">
        <f t="shared" si="41"/>
        <v>1</v>
      </c>
      <c r="J172" s="59">
        <v>17</v>
      </c>
      <c r="K172" s="59">
        <v>3</v>
      </c>
      <c r="L172" s="59">
        <v>5</v>
      </c>
      <c r="M172" s="59">
        <f t="shared" si="42"/>
        <v>0</v>
      </c>
      <c r="N172" s="59">
        <f t="shared" si="43"/>
        <v>0</v>
      </c>
      <c r="O172" s="59">
        <f t="shared" si="44"/>
        <v>0</v>
      </c>
      <c r="P172" s="59">
        <f t="shared" si="45"/>
        <v>0</v>
      </c>
      <c r="Q172" s="59">
        <f t="shared" si="46"/>
        <v>1</v>
      </c>
      <c r="R172" s="59">
        <v>1</v>
      </c>
      <c r="S172" s="59">
        <v>233</v>
      </c>
      <c r="T172" s="59">
        <v>3</v>
      </c>
      <c r="U172" s="59">
        <v>1</v>
      </c>
      <c r="V172" s="59">
        <v>51</v>
      </c>
      <c r="W172" s="59">
        <v>3</v>
      </c>
      <c r="X172" s="59">
        <v>1</v>
      </c>
      <c r="Y172" s="59">
        <v>2</v>
      </c>
      <c r="Z172" s="59">
        <f t="shared" si="47"/>
        <v>0</v>
      </c>
      <c r="AA172" s="59">
        <f>IF('Updated Dummy'!Y172=2,1,0)</f>
        <v>1</v>
      </c>
      <c r="AB172" s="59">
        <f t="shared" si="48"/>
        <v>0</v>
      </c>
      <c r="AC172" s="59">
        <f t="shared" si="49"/>
        <v>0</v>
      </c>
      <c r="AD172" s="59">
        <f t="shared" si="50"/>
        <v>0</v>
      </c>
      <c r="AE172" s="59">
        <f t="shared" si="51"/>
        <v>0</v>
      </c>
      <c r="AF172" s="59">
        <f t="shared" si="52"/>
        <v>0</v>
      </c>
      <c r="AG172" s="59">
        <f t="shared" si="53"/>
        <v>0</v>
      </c>
      <c r="AH172" s="59">
        <v>2</v>
      </c>
      <c r="AI172" s="59">
        <v>2</v>
      </c>
      <c r="AJ172" s="59">
        <f t="shared" si="54"/>
        <v>0</v>
      </c>
      <c r="AK172" s="59">
        <f t="shared" si="55"/>
        <v>1</v>
      </c>
      <c r="AL172" s="59">
        <v>3058</v>
      </c>
      <c r="AM172" s="59">
        <v>13364</v>
      </c>
      <c r="AN172" s="59">
        <v>0</v>
      </c>
      <c r="AO172" s="59">
        <v>1</v>
      </c>
      <c r="AP172" s="59">
        <v>16</v>
      </c>
      <c r="AQ172" s="59">
        <v>3</v>
      </c>
      <c r="AR172" s="59">
        <v>4</v>
      </c>
      <c r="AS172" s="59">
        <v>80</v>
      </c>
      <c r="AT172" s="59">
        <v>1</v>
      </c>
      <c r="AU172" s="59">
        <v>6</v>
      </c>
      <c r="AV172" s="59">
        <v>3</v>
      </c>
      <c r="AW172" s="59">
        <v>2</v>
      </c>
      <c r="AX172" s="59">
        <v>5</v>
      </c>
      <c r="AY172" s="59">
        <v>2</v>
      </c>
      <c r="AZ172" s="59">
        <v>1</v>
      </c>
      <c r="BA172" s="59">
        <v>1</v>
      </c>
      <c r="BB172" s="57">
        <f t="shared" si="56"/>
        <v>3058</v>
      </c>
    </row>
    <row r="173" spans="1:54" x14ac:dyDescent="0.25">
      <c r="A173" s="58">
        <v>19</v>
      </c>
      <c r="B173" s="59">
        <v>1</v>
      </c>
      <c r="C173" s="59">
        <v>2</v>
      </c>
      <c r="D173" s="59">
        <f t="shared" si="38"/>
        <v>0</v>
      </c>
      <c r="E173" s="59">
        <f t="shared" si="39"/>
        <v>1</v>
      </c>
      <c r="F173" s="59">
        <v>602</v>
      </c>
      <c r="G173" s="59">
        <v>1</v>
      </c>
      <c r="H173" s="59">
        <f t="shared" si="40"/>
        <v>1</v>
      </c>
      <c r="I173" s="59">
        <f t="shared" si="41"/>
        <v>0</v>
      </c>
      <c r="J173" s="59">
        <v>1</v>
      </c>
      <c r="K173" s="59">
        <v>1</v>
      </c>
      <c r="L173" s="59">
        <v>5</v>
      </c>
      <c r="M173" s="59">
        <f t="shared" si="42"/>
        <v>0</v>
      </c>
      <c r="N173" s="59">
        <f t="shared" si="43"/>
        <v>0</v>
      </c>
      <c r="O173" s="59">
        <f t="shared" si="44"/>
        <v>0</v>
      </c>
      <c r="P173" s="59">
        <f t="shared" si="45"/>
        <v>0</v>
      </c>
      <c r="Q173" s="59">
        <f t="shared" si="46"/>
        <v>1</v>
      </c>
      <c r="R173" s="59">
        <v>1</v>
      </c>
      <c r="S173" s="59">
        <v>235</v>
      </c>
      <c r="T173" s="59">
        <v>3</v>
      </c>
      <c r="U173" s="59">
        <v>0</v>
      </c>
      <c r="V173" s="59">
        <v>100</v>
      </c>
      <c r="W173" s="59">
        <v>1</v>
      </c>
      <c r="X173" s="59">
        <v>1</v>
      </c>
      <c r="Y173" s="59">
        <v>7</v>
      </c>
      <c r="Z173" s="59">
        <f t="shared" si="47"/>
        <v>0</v>
      </c>
      <c r="AA173" s="59">
        <f>IF('Updated Dummy'!Y173=2,1,0)</f>
        <v>0</v>
      </c>
      <c r="AB173" s="59">
        <f t="shared" si="48"/>
        <v>0</v>
      </c>
      <c r="AC173" s="59">
        <f t="shared" si="49"/>
        <v>0</v>
      </c>
      <c r="AD173" s="59">
        <f t="shared" si="50"/>
        <v>0</v>
      </c>
      <c r="AE173" s="59">
        <f t="shared" si="51"/>
        <v>0</v>
      </c>
      <c r="AF173" s="59">
        <f t="shared" si="52"/>
        <v>1</v>
      </c>
      <c r="AG173" s="59">
        <f t="shared" si="53"/>
        <v>0</v>
      </c>
      <c r="AH173" s="59">
        <v>1</v>
      </c>
      <c r="AI173" s="59">
        <v>1</v>
      </c>
      <c r="AJ173" s="59">
        <f t="shared" si="54"/>
        <v>1</v>
      </c>
      <c r="AK173" s="59">
        <f t="shared" si="55"/>
        <v>0</v>
      </c>
      <c r="AL173" s="59">
        <v>2325</v>
      </c>
      <c r="AM173" s="59">
        <v>20989</v>
      </c>
      <c r="AN173" s="59">
        <v>0</v>
      </c>
      <c r="AO173" s="59">
        <v>0</v>
      </c>
      <c r="AP173" s="59">
        <v>21</v>
      </c>
      <c r="AQ173" s="59">
        <v>4</v>
      </c>
      <c r="AR173" s="59">
        <v>1</v>
      </c>
      <c r="AS173" s="59">
        <v>80</v>
      </c>
      <c r="AT173" s="59">
        <v>0</v>
      </c>
      <c r="AU173" s="59">
        <v>1</v>
      </c>
      <c r="AV173" s="59">
        <v>5</v>
      </c>
      <c r="AW173" s="59">
        <v>4</v>
      </c>
      <c r="AX173" s="59">
        <v>0</v>
      </c>
      <c r="AY173" s="59">
        <v>0</v>
      </c>
      <c r="AZ173" s="59">
        <v>0</v>
      </c>
      <c r="BA173" s="59">
        <v>0</v>
      </c>
      <c r="BB173" s="57">
        <f t="shared" si="56"/>
        <v>2325</v>
      </c>
    </row>
    <row r="174" spans="1:54" x14ac:dyDescent="0.25">
      <c r="A174" s="58">
        <v>36</v>
      </c>
      <c r="B174" s="59">
        <v>0</v>
      </c>
      <c r="C174" s="59">
        <v>2</v>
      </c>
      <c r="D174" s="59">
        <f t="shared" si="38"/>
        <v>0</v>
      </c>
      <c r="E174" s="59">
        <f t="shared" si="39"/>
        <v>1</v>
      </c>
      <c r="F174" s="59">
        <v>1480</v>
      </c>
      <c r="G174" s="59">
        <v>2</v>
      </c>
      <c r="H174" s="59">
        <f t="shared" si="40"/>
        <v>0</v>
      </c>
      <c r="I174" s="59">
        <f t="shared" si="41"/>
        <v>1</v>
      </c>
      <c r="J174" s="59">
        <v>3</v>
      </c>
      <c r="K174" s="59">
        <v>2</v>
      </c>
      <c r="L174" s="59">
        <v>3</v>
      </c>
      <c r="M174" s="59">
        <f t="shared" si="42"/>
        <v>0</v>
      </c>
      <c r="N174" s="59">
        <f t="shared" si="43"/>
        <v>0</v>
      </c>
      <c r="O174" s="59">
        <f t="shared" si="44"/>
        <v>1</v>
      </c>
      <c r="P174" s="59">
        <f t="shared" si="45"/>
        <v>0</v>
      </c>
      <c r="Q174" s="59">
        <f t="shared" si="46"/>
        <v>0</v>
      </c>
      <c r="R174" s="59">
        <v>1</v>
      </c>
      <c r="S174" s="59">
        <v>238</v>
      </c>
      <c r="T174" s="59">
        <v>4</v>
      </c>
      <c r="U174" s="59">
        <v>1</v>
      </c>
      <c r="V174" s="59">
        <v>30</v>
      </c>
      <c r="W174" s="59">
        <v>3</v>
      </c>
      <c r="X174" s="59">
        <v>1</v>
      </c>
      <c r="Y174" s="59">
        <v>3</v>
      </c>
      <c r="Z174" s="59">
        <f t="shared" si="47"/>
        <v>0</v>
      </c>
      <c r="AA174" s="59">
        <f>IF('Updated Dummy'!Y174=2,1,0)</f>
        <v>0</v>
      </c>
      <c r="AB174" s="59">
        <f t="shared" si="48"/>
        <v>1</v>
      </c>
      <c r="AC174" s="59">
        <f t="shared" si="49"/>
        <v>0</v>
      </c>
      <c r="AD174" s="59">
        <f t="shared" si="50"/>
        <v>0</v>
      </c>
      <c r="AE174" s="59">
        <f t="shared" si="51"/>
        <v>0</v>
      </c>
      <c r="AF174" s="59">
        <f t="shared" si="52"/>
        <v>0</v>
      </c>
      <c r="AG174" s="59">
        <f t="shared" si="53"/>
        <v>0</v>
      </c>
      <c r="AH174" s="59">
        <v>2</v>
      </c>
      <c r="AI174" s="59">
        <v>1</v>
      </c>
      <c r="AJ174" s="59">
        <f t="shared" si="54"/>
        <v>1</v>
      </c>
      <c r="AK174" s="59">
        <f t="shared" si="55"/>
        <v>0</v>
      </c>
      <c r="AL174" s="59">
        <v>2088</v>
      </c>
      <c r="AM174" s="59">
        <v>15062</v>
      </c>
      <c r="AN174" s="59">
        <v>4</v>
      </c>
      <c r="AO174" s="59">
        <v>0</v>
      </c>
      <c r="AP174" s="59">
        <v>12</v>
      </c>
      <c r="AQ174" s="59">
        <v>3</v>
      </c>
      <c r="AR174" s="59">
        <v>3</v>
      </c>
      <c r="AS174" s="59">
        <v>80</v>
      </c>
      <c r="AT174" s="59">
        <v>0</v>
      </c>
      <c r="AU174" s="59">
        <v>13</v>
      </c>
      <c r="AV174" s="59">
        <v>3</v>
      </c>
      <c r="AW174" s="59">
        <v>2</v>
      </c>
      <c r="AX174" s="59">
        <v>8</v>
      </c>
      <c r="AY174" s="59">
        <v>7</v>
      </c>
      <c r="AZ174" s="59">
        <v>7</v>
      </c>
      <c r="BA174" s="59">
        <v>2</v>
      </c>
      <c r="BB174" s="57">
        <f t="shared" si="56"/>
        <v>2088</v>
      </c>
    </row>
    <row r="175" spans="1:54" x14ac:dyDescent="0.25">
      <c r="A175" s="58">
        <v>30</v>
      </c>
      <c r="B175" s="59">
        <v>0</v>
      </c>
      <c r="C175" s="59">
        <v>3</v>
      </c>
      <c r="D175" s="59">
        <f t="shared" si="38"/>
        <v>0</v>
      </c>
      <c r="E175" s="59">
        <f t="shared" si="39"/>
        <v>0</v>
      </c>
      <c r="F175" s="59">
        <v>111</v>
      </c>
      <c r="G175" s="59">
        <v>2</v>
      </c>
      <c r="H175" s="59">
        <f t="shared" si="40"/>
        <v>0</v>
      </c>
      <c r="I175" s="59">
        <f t="shared" si="41"/>
        <v>1</v>
      </c>
      <c r="J175" s="59">
        <v>9</v>
      </c>
      <c r="K175" s="59">
        <v>3</v>
      </c>
      <c r="L175" s="59">
        <v>3</v>
      </c>
      <c r="M175" s="59">
        <f t="shared" si="42"/>
        <v>0</v>
      </c>
      <c r="N175" s="59">
        <f t="shared" si="43"/>
        <v>0</v>
      </c>
      <c r="O175" s="59">
        <f t="shared" si="44"/>
        <v>1</v>
      </c>
      <c r="P175" s="59">
        <f t="shared" si="45"/>
        <v>0</v>
      </c>
      <c r="Q175" s="59">
        <f t="shared" si="46"/>
        <v>0</v>
      </c>
      <c r="R175" s="59">
        <v>1</v>
      </c>
      <c r="S175" s="59">
        <v>239</v>
      </c>
      <c r="T175" s="59">
        <v>3</v>
      </c>
      <c r="U175" s="59">
        <v>1</v>
      </c>
      <c r="V175" s="59">
        <v>66</v>
      </c>
      <c r="W175" s="59">
        <v>3</v>
      </c>
      <c r="X175" s="59">
        <v>2</v>
      </c>
      <c r="Y175" s="59">
        <v>3</v>
      </c>
      <c r="Z175" s="59">
        <f t="shared" si="47"/>
        <v>0</v>
      </c>
      <c r="AA175" s="59">
        <f>IF('Updated Dummy'!Y175=2,1,0)</f>
        <v>0</v>
      </c>
      <c r="AB175" s="59">
        <f t="shared" si="48"/>
        <v>1</v>
      </c>
      <c r="AC175" s="59">
        <f t="shared" si="49"/>
        <v>0</v>
      </c>
      <c r="AD175" s="59">
        <f t="shared" si="50"/>
        <v>0</v>
      </c>
      <c r="AE175" s="59">
        <f t="shared" si="51"/>
        <v>0</v>
      </c>
      <c r="AF175" s="59">
        <f t="shared" si="52"/>
        <v>0</v>
      </c>
      <c r="AG175" s="59">
        <f t="shared" si="53"/>
        <v>0</v>
      </c>
      <c r="AH175" s="59">
        <v>1</v>
      </c>
      <c r="AI175" s="59">
        <v>3</v>
      </c>
      <c r="AJ175" s="59">
        <f t="shared" si="54"/>
        <v>0</v>
      </c>
      <c r="AK175" s="59">
        <f t="shared" si="55"/>
        <v>0</v>
      </c>
      <c r="AL175" s="59">
        <v>3072</v>
      </c>
      <c r="AM175" s="59">
        <v>11012</v>
      </c>
      <c r="AN175" s="59">
        <v>1</v>
      </c>
      <c r="AO175" s="59">
        <v>0</v>
      </c>
      <c r="AP175" s="59">
        <v>11</v>
      </c>
      <c r="AQ175" s="59">
        <v>3</v>
      </c>
      <c r="AR175" s="59">
        <v>3</v>
      </c>
      <c r="AS175" s="59">
        <v>80</v>
      </c>
      <c r="AT175" s="59">
        <v>2</v>
      </c>
      <c r="AU175" s="59">
        <v>12</v>
      </c>
      <c r="AV175" s="59">
        <v>4</v>
      </c>
      <c r="AW175" s="59">
        <v>3</v>
      </c>
      <c r="AX175" s="59">
        <v>12</v>
      </c>
      <c r="AY175" s="59">
        <v>9</v>
      </c>
      <c r="AZ175" s="59">
        <v>6</v>
      </c>
      <c r="BA175" s="59">
        <v>10</v>
      </c>
      <c r="BB175" s="57">
        <f t="shared" si="56"/>
        <v>6144</v>
      </c>
    </row>
    <row r="176" spans="1:54" x14ac:dyDescent="0.25">
      <c r="A176" s="58">
        <v>45</v>
      </c>
      <c r="B176" s="59">
        <v>0</v>
      </c>
      <c r="C176" s="59">
        <v>1</v>
      </c>
      <c r="D176" s="59">
        <f t="shared" si="38"/>
        <v>1</v>
      </c>
      <c r="E176" s="59">
        <f t="shared" si="39"/>
        <v>0</v>
      </c>
      <c r="F176" s="59">
        <v>1268</v>
      </c>
      <c r="G176" s="59">
        <v>1</v>
      </c>
      <c r="H176" s="59">
        <f t="shared" si="40"/>
        <v>1</v>
      </c>
      <c r="I176" s="59">
        <f t="shared" si="41"/>
        <v>0</v>
      </c>
      <c r="J176" s="59">
        <v>4</v>
      </c>
      <c r="K176" s="59">
        <v>2</v>
      </c>
      <c r="L176" s="59">
        <v>1</v>
      </c>
      <c r="M176" s="59">
        <f t="shared" si="42"/>
        <v>1</v>
      </c>
      <c r="N176" s="59">
        <f t="shared" si="43"/>
        <v>0</v>
      </c>
      <c r="O176" s="59">
        <f t="shared" si="44"/>
        <v>0</v>
      </c>
      <c r="P176" s="59">
        <f t="shared" si="45"/>
        <v>0</v>
      </c>
      <c r="Q176" s="59">
        <f t="shared" si="46"/>
        <v>0</v>
      </c>
      <c r="R176" s="59">
        <v>1</v>
      </c>
      <c r="S176" s="59">
        <v>240</v>
      </c>
      <c r="T176" s="59">
        <v>3</v>
      </c>
      <c r="U176" s="59">
        <v>0</v>
      </c>
      <c r="V176" s="59">
        <v>30</v>
      </c>
      <c r="W176" s="59">
        <v>3</v>
      </c>
      <c r="X176" s="59">
        <v>2</v>
      </c>
      <c r="Y176" s="59">
        <v>1</v>
      </c>
      <c r="Z176" s="59">
        <f t="shared" si="47"/>
        <v>1</v>
      </c>
      <c r="AA176" s="59">
        <f>IF('Updated Dummy'!Y176=2,1,0)</f>
        <v>0</v>
      </c>
      <c r="AB176" s="59">
        <f t="shared" si="48"/>
        <v>0</v>
      </c>
      <c r="AC176" s="59">
        <f t="shared" si="49"/>
        <v>0</v>
      </c>
      <c r="AD176" s="59">
        <f t="shared" si="50"/>
        <v>0</v>
      </c>
      <c r="AE176" s="59">
        <f t="shared" si="51"/>
        <v>0</v>
      </c>
      <c r="AF176" s="59">
        <f t="shared" si="52"/>
        <v>0</v>
      </c>
      <c r="AG176" s="59">
        <f t="shared" si="53"/>
        <v>0</v>
      </c>
      <c r="AH176" s="59">
        <v>1</v>
      </c>
      <c r="AI176" s="59">
        <v>3</v>
      </c>
      <c r="AJ176" s="59">
        <f t="shared" si="54"/>
        <v>0</v>
      </c>
      <c r="AK176" s="59">
        <f t="shared" si="55"/>
        <v>0</v>
      </c>
      <c r="AL176" s="59">
        <v>5006</v>
      </c>
      <c r="AM176" s="59">
        <v>6319</v>
      </c>
      <c r="AN176" s="59">
        <v>4</v>
      </c>
      <c r="AO176" s="59">
        <v>1</v>
      </c>
      <c r="AP176" s="59">
        <v>11</v>
      </c>
      <c r="AQ176" s="59">
        <v>3</v>
      </c>
      <c r="AR176" s="59">
        <v>1</v>
      </c>
      <c r="AS176" s="59">
        <v>80</v>
      </c>
      <c r="AT176" s="59">
        <v>1</v>
      </c>
      <c r="AU176" s="59">
        <v>9</v>
      </c>
      <c r="AV176" s="59">
        <v>3</v>
      </c>
      <c r="AW176" s="59">
        <v>4</v>
      </c>
      <c r="AX176" s="59">
        <v>5</v>
      </c>
      <c r="AY176" s="59">
        <v>4</v>
      </c>
      <c r="AZ176" s="59">
        <v>0</v>
      </c>
      <c r="BA176" s="59">
        <v>3</v>
      </c>
      <c r="BB176" s="57">
        <f t="shared" si="56"/>
        <v>10012</v>
      </c>
    </row>
    <row r="177" spans="1:54" x14ac:dyDescent="0.25">
      <c r="A177" s="58">
        <v>56</v>
      </c>
      <c r="B177" s="59">
        <v>0</v>
      </c>
      <c r="C177" s="59">
        <v>1</v>
      </c>
      <c r="D177" s="59">
        <f t="shared" si="38"/>
        <v>1</v>
      </c>
      <c r="E177" s="59">
        <f t="shared" si="39"/>
        <v>0</v>
      </c>
      <c r="F177" s="59">
        <v>713</v>
      </c>
      <c r="G177" s="59">
        <v>2</v>
      </c>
      <c r="H177" s="59">
        <f t="shared" si="40"/>
        <v>0</v>
      </c>
      <c r="I177" s="59">
        <f t="shared" si="41"/>
        <v>1</v>
      </c>
      <c r="J177" s="59">
        <v>8</v>
      </c>
      <c r="K177" s="59">
        <v>3</v>
      </c>
      <c r="L177" s="59">
        <v>1</v>
      </c>
      <c r="M177" s="59">
        <f t="shared" si="42"/>
        <v>1</v>
      </c>
      <c r="N177" s="59">
        <f t="shared" si="43"/>
        <v>0</v>
      </c>
      <c r="O177" s="59">
        <f t="shared" si="44"/>
        <v>0</v>
      </c>
      <c r="P177" s="59">
        <f t="shared" si="45"/>
        <v>0</v>
      </c>
      <c r="Q177" s="59">
        <f t="shared" si="46"/>
        <v>0</v>
      </c>
      <c r="R177" s="59">
        <v>1</v>
      </c>
      <c r="S177" s="59">
        <v>241</v>
      </c>
      <c r="T177" s="59">
        <v>3</v>
      </c>
      <c r="U177" s="59">
        <v>0</v>
      </c>
      <c r="V177" s="59">
        <v>67</v>
      </c>
      <c r="W177" s="59">
        <v>3</v>
      </c>
      <c r="X177" s="59">
        <v>1</v>
      </c>
      <c r="Y177" s="59">
        <v>2</v>
      </c>
      <c r="Z177" s="59">
        <f t="shared" si="47"/>
        <v>0</v>
      </c>
      <c r="AA177" s="59">
        <f>IF('Updated Dummy'!Y177=2,1,0)</f>
        <v>1</v>
      </c>
      <c r="AB177" s="59">
        <f t="shared" si="48"/>
        <v>0</v>
      </c>
      <c r="AC177" s="59">
        <f t="shared" si="49"/>
        <v>0</v>
      </c>
      <c r="AD177" s="59">
        <f t="shared" si="50"/>
        <v>0</v>
      </c>
      <c r="AE177" s="59">
        <f t="shared" si="51"/>
        <v>0</v>
      </c>
      <c r="AF177" s="59">
        <f t="shared" si="52"/>
        <v>0</v>
      </c>
      <c r="AG177" s="59">
        <f t="shared" si="53"/>
        <v>0</v>
      </c>
      <c r="AH177" s="59">
        <v>1</v>
      </c>
      <c r="AI177" s="59">
        <v>3</v>
      </c>
      <c r="AJ177" s="59">
        <f t="shared" si="54"/>
        <v>0</v>
      </c>
      <c r="AK177" s="59">
        <f t="shared" si="55"/>
        <v>0</v>
      </c>
      <c r="AL177" s="59">
        <v>4257</v>
      </c>
      <c r="AM177" s="59">
        <v>13939</v>
      </c>
      <c r="AN177" s="59">
        <v>4</v>
      </c>
      <c r="AO177" s="59">
        <v>1</v>
      </c>
      <c r="AP177" s="59">
        <v>18</v>
      </c>
      <c r="AQ177" s="59">
        <v>3</v>
      </c>
      <c r="AR177" s="59">
        <v>3</v>
      </c>
      <c r="AS177" s="59">
        <v>80</v>
      </c>
      <c r="AT177" s="59">
        <v>1</v>
      </c>
      <c r="AU177" s="59">
        <v>19</v>
      </c>
      <c r="AV177" s="59">
        <v>3</v>
      </c>
      <c r="AW177" s="59">
        <v>3</v>
      </c>
      <c r="AX177" s="59">
        <v>2</v>
      </c>
      <c r="AY177" s="59">
        <v>2</v>
      </c>
      <c r="AZ177" s="59">
        <v>2</v>
      </c>
      <c r="BA177" s="59">
        <v>2</v>
      </c>
      <c r="BB177" s="57">
        <f t="shared" si="56"/>
        <v>4257</v>
      </c>
    </row>
    <row r="178" spans="1:54" x14ac:dyDescent="0.25">
      <c r="A178" s="58">
        <v>33</v>
      </c>
      <c r="B178" s="59">
        <v>0</v>
      </c>
      <c r="C178" s="59">
        <v>1</v>
      </c>
      <c r="D178" s="59">
        <f t="shared" si="38"/>
        <v>1</v>
      </c>
      <c r="E178" s="59">
        <f t="shared" si="39"/>
        <v>0</v>
      </c>
      <c r="F178" s="59">
        <v>134</v>
      </c>
      <c r="G178" s="59">
        <v>2</v>
      </c>
      <c r="H178" s="59">
        <f t="shared" si="40"/>
        <v>0</v>
      </c>
      <c r="I178" s="59">
        <f t="shared" si="41"/>
        <v>1</v>
      </c>
      <c r="J178" s="59">
        <v>2</v>
      </c>
      <c r="K178" s="59">
        <v>3</v>
      </c>
      <c r="L178" s="59">
        <v>1</v>
      </c>
      <c r="M178" s="59">
        <f t="shared" si="42"/>
        <v>1</v>
      </c>
      <c r="N178" s="59">
        <f t="shared" si="43"/>
        <v>0</v>
      </c>
      <c r="O178" s="59">
        <f t="shared" si="44"/>
        <v>0</v>
      </c>
      <c r="P178" s="59">
        <f t="shared" si="45"/>
        <v>0</v>
      </c>
      <c r="Q178" s="59">
        <f t="shared" si="46"/>
        <v>0</v>
      </c>
      <c r="R178" s="59">
        <v>1</v>
      </c>
      <c r="S178" s="59">
        <v>242</v>
      </c>
      <c r="T178" s="59">
        <v>3</v>
      </c>
      <c r="U178" s="59">
        <v>1</v>
      </c>
      <c r="V178" s="59">
        <v>90</v>
      </c>
      <c r="W178" s="59">
        <v>3</v>
      </c>
      <c r="X178" s="59">
        <v>1</v>
      </c>
      <c r="Y178" s="59">
        <v>2</v>
      </c>
      <c r="Z178" s="59">
        <f t="shared" si="47"/>
        <v>0</v>
      </c>
      <c r="AA178" s="59">
        <f>IF('Updated Dummy'!Y178=2,1,0)</f>
        <v>1</v>
      </c>
      <c r="AB178" s="59">
        <f t="shared" si="48"/>
        <v>0</v>
      </c>
      <c r="AC178" s="59">
        <f t="shared" si="49"/>
        <v>0</v>
      </c>
      <c r="AD178" s="59">
        <f t="shared" si="50"/>
        <v>0</v>
      </c>
      <c r="AE178" s="59">
        <f t="shared" si="51"/>
        <v>0</v>
      </c>
      <c r="AF178" s="59">
        <f t="shared" si="52"/>
        <v>0</v>
      </c>
      <c r="AG178" s="59">
        <f t="shared" si="53"/>
        <v>0</v>
      </c>
      <c r="AH178" s="59">
        <v>4</v>
      </c>
      <c r="AI178" s="59">
        <v>1</v>
      </c>
      <c r="AJ178" s="59">
        <f t="shared" si="54"/>
        <v>1</v>
      </c>
      <c r="AK178" s="59">
        <f t="shared" si="55"/>
        <v>0</v>
      </c>
      <c r="AL178" s="59">
        <v>2500</v>
      </c>
      <c r="AM178" s="59">
        <v>10515</v>
      </c>
      <c r="AN178" s="59">
        <v>0</v>
      </c>
      <c r="AO178" s="59">
        <v>0</v>
      </c>
      <c r="AP178" s="59">
        <v>14</v>
      </c>
      <c r="AQ178" s="59">
        <v>3</v>
      </c>
      <c r="AR178" s="59">
        <v>1</v>
      </c>
      <c r="AS178" s="59">
        <v>80</v>
      </c>
      <c r="AT178" s="59">
        <v>0</v>
      </c>
      <c r="AU178" s="59">
        <v>4</v>
      </c>
      <c r="AV178" s="59">
        <v>2</v>
      </c>
      <c r="AW178" s="59">
        <v>4</v>
      </c>
      <c r="AX178" s="59">
        <v>3</v>
      </c>
      <c r="AY178" s="59">
        <v>1</v>
      </c>
      <c r="AZ178" s="59">
        <v>0</v>
      </c>
      <c r="BA178" s="59">
        <v>2</v>
      </c>
      <c r="BB178" s="57">
        <f t="shared" si="56"/>
        <v>2500</v>
      </c>
    </row>
    <row r="179" spans="1:54" x14ac:dyDescent="0.25">
      <c r="A179" s="58">
        <v>19</v>
      </c>
      <c r="B179" s="59">
        <v>1</v>
      </c>
      <c r="C179" s="59">
        <v>1</v>
      </c>
      <c r="D179" s="59">
        <f t="shared" si="38"/>
        <v>1</v>
      </c>
      <c r="E179" s="59">
        <f t="shared" si="39"/>
        <v>0</v>
      </c>
      <c r="F179" s="59">
        <v>303</v>
      </c>
      <c r="G179" s="59">
        <v>2</v>
      </c>
      <c r="H179" s="59">
        <f t="shared" si="40"/>
        <v>0</v>
      </c>
      <c r="I179" s="59">
        <f t="shared" si="41"/>
        <v>1</v>
      </c>
      <c r="J179" s="59">
        <v>2</v>
      </c>
      <c r="K179" s="59">
        <v>3</v>
      </c>
      <c r="L179" s="59">
        <v>1</v>
      </c>
      <c r="M179" s="59">
        <f t="shared" si="42"/>
        <v>1</v>
      </c>
      <c r="N179" s="59">
        <f t="shared" si="43"/>
        <v>0</v>
      </c>
      <c r="O179" s="59">
        <f t="shared" si="44"/>
        <v>0</v>
      </c>
      <c r="P179" s="59">
        <f t="shared" si="45"/>
        <v>0</v>
      </c>
      <c r="Q179" s="59">
        <f t="shared" si="46"/>
        <v>0</v>
      </c>
      <c r="R179" s="59">
        <v>1</v>
      </c>
      <c r="S179" s="59">
        <v>243</v>
      </c>
      <c r="T179" s="59">
        <v>2</v>
      </c>
      <c r="U179" s="59">
        <v>1</v>
      </c>
      <c r="V179" s="59">
        <v>47</v>
      </c>
      <c r="W179" s="59">
        <v>2</v>
      </c>
      <c r="X179" s="59">
        <v>1</v>
      </c>
      <c r="Y179" s="59">
        <v>3</v>
      </c>
      <c r="Z179" s="59">
        <f t="shared" si="47"/>
        <v>0</v>
      </c>
      <c r="AA179" s="59">
        <f>IF('Updated Dummy'!Y179=2,1,0)</f>
        <v>0</v>
      </c>
      <c r="AB179" s="59">
        <f t="shared" si="48"/>
        <v>1</v>
      </c>
      <c r="AC179" s="59">
        <f t="shared" si="49"/>
        <v>0</v>
      </c>
      <c r="AD179" s="59">
        <f t="shared" si="50"/>
        <v>0</v>
      </c>
      <c r="AE179" s="59">
        <f t="shared" si="51"/>
        <v>0</v>
      </c>
      <c r="AF179" s="59">
        <f t="shared" si="52"/>
        <v>0</v>
      </c>
      <c r="AG179" s="59">
        <f t="shared" si="53"/>
        <v>0</v>
      </c>
      <c r="AH179" s="59">
        <v>4</v>
      </c>
      <c r="AI179" s="59">
        <v>1</v>
      </c>
      <c r="AJ179" s="59">
        <f t="shared" si="54"/>
        <v>1</v>
      </c>
      <c r="AK179" s="59">
        <f t="shared" si="55"/>
        <v>0</v>
      </c>
      <c r="AL179" s="59">
        <v>1102</v>
      </c>
      <c r="AM179" s="59">
        <v>9241</v>
      </c>
      <c r="AN179" s="59">
        <v>1</v>
      </c>
      <c r="AO179" s="59">
        <v>0</v>
      </c>
      <c r="AP179" s="59">
        <v>22</v>
      </c>
      <c r="AQ179" s="59">
        <v>4</v>
      </c>
      <c r="AR179" s="59">
        <v>3</v>
      </c>
      <c r="AS179" s="59">
        <v>80</v>
      </c>
      <c r="AT179" s="59">
        <v>0</v>
      </c>
      <c r="AU179" s="59">
        <v>1</v>
      </c>
      <c r="AV179" s="59">
        <v>3</v>
      </c>
      <c r="AW179" s="59">
        <v>2</v>
      </c>
      <c r="AX179" s="59">
        <v>1</v>
      </c>
      <c r="AY179" s="59">
        <v>0</v>
      </c>
      <c r="AZ179" s="59">
        <v>1</v>
      </c>
      <c r="BA179" s="59">
        <v>0</v>
      </c>
      <c r="BB179" s="57">
        <f t="shared" si="56"/>
        <v>1102</v>
      </c>
    </row>
    <row r="180" spans="1:54" x14ac:dyDescent="0.25">
      <c r="A180" s="58">
        <v>46</v>
      </c>
      <c r="B180" s="59">
        <v>0</v>
      </c>
      <c r="C180" s="59">
        <v>1</v>
      </c>
      <c r="D180" s="59">
        <f t="shared" si="38"/>
        <v>1</v>
      </c>
      <c r="E180" s="59">
        <f t="shared" si="39"/>
        <v>0</v>
      </c>
      <c r="F180" s="59">
        <v>526</v>
      </c>
      <c r="G180" s="59">
        <v>1</v>
      </c>
      <c r="H180" s="59">
        <f t="shared" si="40"/>
        <v>1</v>
      </c>
      <c r="I180" s="59">
        <f t="shared" si="41"/>
        <v>0</v>
      </c>
      <c r="J180" s="59">
        <v>1</v>
      </c>
      <c r="K180" s="59">
        <v>2</v>
      </c>
      <c r="L180" s="59">
        <v>4</v>
      </c>
      <c r="M180" s="59">
        <f t="shared" si="42"/>
        <v>0</v>
      </c>
      <c r="N180" s="59">
        <f t="shared" si="43"/>
        <v>0</v>
      </c>
      <c r="O180" s="59">
        <f t="shared" si="44"/>
        <v>0</v>
      </c>
      <c r="P180" s="59">
        <f t="shared" si="45"/>
        <v>1</v>
      </c>
      <c r="Q180" s="59">
        <f t="shared" si="46"/>
        <v>0</v>
      </c>
      <c r="R180" s="59">
        <v>1</v>
      </c>
      <c r="S180" s="59">
        <v>244</v>
      </c>
      <c r="T180" s="59">
        <v>2</v>
      </c>
      <c r="U180" s="59">
        <v>0</v>
      </c>
      <c r="V180" s="59">
        <v>92</v>
      </c>
      <c r="W180" s="59">
        <v>3</v>
      </c>
      <c r="X180" s="59">
        <v>3</v>
      </c>
      <c r="Y180" s="59">
        <v>1</v>
      </c>
      <c r="Z180" s="59">
        <f t="shared" si="47"/>
        <v>1</v>
      </c>
      <c r="AA180" s="59">
        <f>IF('Updated Dummy'!Y180=2,1,0)</f>
        <v>0</v>
      </c>
      <c r="AB180" s="59">
        <f t="shared" si="48"/>
        <v>0</v>
      </c>
      <c r="AC180" s="59">
        <f t="shared" si="49"/>
        <v>0</v>
      </c>
      <c r="AD180" s="59">
        <f t="shared" si="50"/>
        <v>0</v>
      </c>
      <c r="AE180" s="59">
        <f t="shared" si="51"/>
        <v>0</v>
      </c>
      <c r="AF180" s="59">
        <f t="shared" si="52"/>
        <v>0</v>
      </c>
      <c r="AG180" s="59">
        <f t="shared" si="53"/>
        <v>0</v>
      </c>
      <c r="AH180" s="59">
        <v>1</v>
      </c>
      <c r="AI180" s="59">
        <v>3</v>
      </c>
      <c r="AJ180" s="59">
        <f t="shared" si="54"/>
        <v>0</v>
      </c>
      <c r="AK180" s="59">
        <f t="shared" si="55"/>
        <v>0</v>
      </c>
      <c r="AL180" s="59">
        <v>10453</v>
      </c>
      <c r="AM180" s="59">
        <v>2137</v>
      </c>
      <c r="AN180" s="59">
        <v>1</v>
      </c>
      <c r="AO180" s="59">
        <v>0</v>
      </c>
      <c r="AP180" s="59">
        <v>25</v>
      </c>
      <c r="AQ180" s="59">
        <v>4</v>
      </c>
      <c r="AR180" s="59">
        <v>3</v>
      </c>
      <c r="AS180" s="59">
        <v>80</v>
      </c>
      <c r="AT180" s="59">
        <v>3</v>
      </c>
      <c r="AU180" s="59">
        <v>24</v>
      </c>
      <c r="AV180" s="59">
        <v>2</v>
      </c>
      <c r="AW180" s="59">
        <v>3</v>
      </c>
      <c r="AX180" s="59">
        <v>24</v>
      </c>
      <c r="AY180" s="59">
        <v>13</v>
      </c>
      <c r="AZ180" s="59">
        <v>15</v>
      </c>
      <c r="BA180" s="59">
        <v>7</v>
      </c>
      <c r="BB180" s="57">
        <f t="shared" si="56"/>
        <v>31359</v>
      </c>
    </row>
    <row r="181" spans="1:54" x14ac:dyDescent="0.25">
      <c r="A181" s="58">
        <v>38</v>
      </c>
      <c r="B181" s="59">
        <v>0</v>
      </c>
      <c r="C181" s="59">
        <v>1</v>
      </c>
      <c r="D181" s="59">
        <f t="shared" si="38"/>
        <v>1</v>
      </c>
      <c r="E181" s="59">
        <f t="shared" si="39"/>
        <v>0</v>
      </c>
      <c r="F181" s="59">
        <v>1380</v>
      </c>
      <c r="G181" s="59">
        <v>2</v>
      </c>
      <c r="H181" s="59">
        <f t="shared" si="40"/>
        <v>0</v>
      </c>
      <c r="I181" s="59">
        <f t="shared" si="41"/>
        <v>1</v>
      </c>
      <c r="J181" s="59">
        <v>9</v>
      </c>
      <c r="K181" s="59">
        <v>2</v>
      </c>
      <c r="L181" s="59">
        <v>1</v>
      </c>
      <c r="M181" s="59">
        <f t="shared" si="42"/>
        <v>1</v>
      </c>
      <c r="N181" s="59">
        <f t="shared" si="43"/>
        <v>0</v>
      </c>
      <c r="O181" s="59">
        <f t="shared" si="44"/>
        <v>0</v>
      </c>
      <c r="P181" s="59">
        <f t="shared" si="45"/>
        <v>0</v>
      </c>
      <c r="Q181" s="59">
        <f t="shared" si="46"/>
        <v>0</v>
      </c>
      <c r="R181" s="59">
        <v>1</v>
      </c>
      <c r="S181" s="59">
        <v>245</v>
      </c>
      <c r="T181" s="59">
        <v>3</v>
      </c>
      <c r="U181" s="59">
        <v>0</v>
      </c>
      <c r="V181" s="59">
        <v>75</v>
      </c>
      <c r="W181" s="59">
        <v>3</v>
      </c>
      <c r="X181" s="59">
        <v>1</v>
      </c>
      <c r="Y181" s="59">
        <v>3</v>
      </c>
      <c r="Z181" s="59">
        <f t="shared" si="47"/>
        <v>0</v>
      </c>
      <c r="AA181" s="59">
        <f>IF('Updated Dummy'!Y181=2,1,0)</f>
        <v>0</v>
      </c>
      <c r="AB181" s="59">
        <f t="shared" si="48"/>
        <v>1</v>
      </c>
      <c r="AC181" s="59">
        <f t="shared" si="49"/>
        <v>0</v>
      </c>
      <c r="AD181" s="59">
        <f t="shared" si="50"/>
        <v>0</v>
      </c>
      <c r="AE181" s="59">
        <f t="shared" si="51"/>
        <v>0</v>
      </c>
      <c r="AF181" s="59">
        <f t="shared" si="52"/>
        <v>0</v>
      </c>
      <c r="AG181" s="59">
        <f t="shared" si="53"/>
        <v>0</v>
      </c>
      <c r="AH181" s="59">
        <v>4</v>
      </c>
      <c r="AI181" s="59">
        <v>1</v>
      </c>
      <c r="AJ181" s="59">
        <f t="shared" si="54"/>
        <v>1</v>
      </c>
      <c r="AK181" s="59">
        <f t="shared" si="55"/>
        <v>0</v>
      </c>
      <c r="AL181" s="59">
        <v>2288</v>
      </c>
      <c r="AM181" s="59">
        <v>6319</v>
      </c>
      <c r="AN181" s="59">
        <v>1</v>
      </c>
      <c r="AO181" s="59">
        <v>0</v>
      </c>
      <c r="AP181" s="59">
        <v>12</v>
      </c>
      <c r="AQ181" s="59">
        <v>3</v>
      </c>
      <c r="AR181" s="59">
        <v>3</v>
      </c>
      <c r="AS181" s="59">
        <v>80</v>
      </c>
      <c r="AT181" s="59">
        <v>0</v>
      </c>
      <c r="AU181" s="59">
        <v>2</v>
      </c>
      <c r="AV181" s="59">
        <v>3</v>
      </c>
      <c r="AW181" s="59">
        <v>3</v>
      </c>
      <c r="AX181" s="59">
        <v>2</v>
      </c>
      <c r="AY181" s="59">
        <v>2</v>
      </c>
      <c r="AZ181" s="59">
        <v>2</v>
      </c>
      <c r="BA181" s="59">
        <v>1</v>
      </c>
      <c r="BB181" s="57">
        <f t="shared" si="56"/>
        <v>2288</v>
      </c>
    </row>
    <row r="182" spans="1:54" x14ac:dyDescent="0.25">
      <c r="A182" s="58">
        <v>31</v>
      </c>
      <c r="B182" s="59">
        <v>0</v>
      </c>
      <c r="C182" s="59">
        <v>1</v>
      </c>
      <c r="D182" s="59">
        <f t="shared" si="38"/>
        <v>1</v>
      </c>
      <c r="E182" s="59">
        <f t="shared" si="39"/>
        <v>0</v>
      </c>
      <c r="F182" s="59">
        <v>140</v>
      </c>
      <c r="G182" s="59">
        <v>2</v>
      </c>
      <c r="H182" s="59">
        <f t="shared" si="40"/>
        <v>0</v>
      </c>
      <c r="I182" s="59">
        <f t="shared" si="41"/>
        <v>1</v>
      </c>
      <c r="J182" s="59">
        <v>12</v>
      </c>
      <c r="K182" s="59">
        <v>1</v>
      </c>
      <c r="L182" s="59">
        <v>3</v>
      </c>
      <c r="M182" s="59">
        <f t="shared" si="42"/>
        <v>0</v>
      </c>
      <c r="N182" s="59">
        <f t="shared" si="43"/>
        <v>0</v>
      </c>
      <c r="O182" s="59">
        <f t="shared" si="44"/>
        <v>1</v>
      </c>
      <c r="P182" s="59">
        <f t="shared" si="45"/>
        <v>0</v>
      </c>
      <c r="Q182" s="59">
        <f t="shared" si="46"/>
        <v>0</v>
      </c>
      <c r="R182" s="59">
        <v>1</v>
      </c>
      <c r="S182" s="59">
        <v>246</v>
      </c>
      <c r="T182" s="59">
        <v>3</v>
      </c>
      <c r="U182" s="59">
        <v>0</v>
      </c>
      <c r="V182" s="59">
        <v>95</v>
      </c>
      <c r="W182" s="59">
        <v>3</v>
      </c>
      <c r="X182" s="59">
        <v>1</v>
      </c>
      <c r="Y182" s="59">
        <v>2</v>
      </c>
      <c r="Z182" s="59">
        <f t="shared" si="47"/>
        <v>0</v>
      </c>
      <c r="AA182" s="59">
        <f>IF('Updated Dummy'!Y182=2,1,0)</f>
        <v>1</v>
      </c>
      <c r="AB182" s="59">
        <f t="shared" si="48"/>
        <v>0</v>
      </c>
      <c r="AC182" s="59">
        <f t="shared" si="49"/>
        <v>0</v>
      </c>
      <c r="AD182" s="59">
        <f t="shared" si="50"/>
        <v>0</v>
      </c>
      <c r="AE182" s="59">
        <f t="shared" si="51"/>
        <v>0</v>
      </c>
      <c r="AF182" s="59">
        <f t="shared" si="52"/>
        <v>0</v>
      </c>
      <c r="AG182" s="59">
        <f t="shared" si="53"/>
        <v>0</v>
      </c>
      <c r="AH182" s="59">
        <v>4</v>
      </c>
      <c r="AI182" s="59">
        <v>2</v>
      </c>
      <c r="AJ182" s="59">
        <f t="shared" si="54"/>
        <v>0</v>
      </c>
      <c r="AK182" s="59">
        <f t="shared" si="55"/>
        <v>1</v>
      </c>
      <c r="AL182" s="59">
        <v>3929</v>
      </c>
      <c r="AM182" s="59">
        <v>6984</v>
      </c>
      <c r="AN182" s="59">
        <v>8</v>
      </c>
      <c r="AO182" s="59">
        <v>1</v>
      </c>
      <c r="AP182" s="59">
        <v>23</v>
      </c>
      <c r="AQ182" s="59">
        <v>4</v>
      </c>
      <c r="AR182" s="59">
        <v>3</v>
      </c>
      <c r="AS182" s="59">
        <v>80</v>
      </c>
      <c r="AT182" s="59">
        <v>1</v>
      </c>
      <c r="AU182" s="59">
        <v>7</v>
      </c>
      <c r="AV182" s="59">
        <v>0</v>
      </c>
      <c r="AW182" s="59">
        <v>3</v>
      </c>
      <c r="AX182" s="59">
        <v>4</v>
      </c>
      <c r="AY182" s="59">
        <v>2</v>
      </c>
      <c r="AZ182" s="59">
        <v>0</v>
      </c>
      <c r="BA182" s="59">
        <v>2</v>
      </c>
      <c r="BB182" s="57">
        <f t="shared" si="56"/>
        <v>3929</v>
      </c>
    </row>
    <row r="183" spans="1:54" x14ac:dyDescent="0.25">
      <c r="A183" s="58">
        <v>34</v>
      </c>
      <c r="B183" s="59">
        <v>0</v>
      </c>
      <c r="C183" s="59">
        <v>1</v>
      </c>
      <c r="D183" s="59">
        <f t="shared" si="38"/>
        <v>1</v>
      </c>
      <c r="E183" s="59">
        <f t="shared" si="39"/>
        <v>0</v>
      </c>
      <c r="F183" s="59">
        <v>629</v>
      </c>
      <c r="G183" s="59">
        <v>2</v>
      </c>
      <c r="H183" s="59">
        <f t="shared" si="40"/>
        <v>0</v>
      </c>
      <c r="I183" s="59">
        <f t="shared" si="41"/>
        <v>1</v>
      </c>
      <c r="J183" s="59">
        <v>27</v>
      </c>
      <c r="K183" s="59">
        <v>2</v>
      </c>
      <c r="L183" s="59">
        <v>3</v>
      </c>
      <c r="M183" s="59">
        <f t="shared" si="42"/>
        <v>0</v>
      </c>
      <c r="N183" s="59">
        <f t="shared" si="43"/>
        <v>0</v>
      </c>
      <c r="O183" s="59">
        <f t="shared" si="44"/>
        <v>1</v>
      </c>
      <c r="P183" s="59">
        <f t="shared" si="45"/>
        <v>0</v>
      </c>
      <c r="Q183" s="59">
        <f t="shared" si="46"/>
        <v>0</v>
      </c>
      <c r="R183" s="59">
        <v>1</v>
      </c>
      <c r="S183" s="59">
        <v>247</v>
      </c>
      <c r="T183" s="59">
        <v>4</v>
      </c>
      <c r="U183" s="59">
        <v>0</v>
      </c>
      <c r="V183" s="59">
        <v>95</v>
      </c>
      <c r="W183" s="59">
        <v>3</v>
      </c>
      <c r="X183" s="59">
        <v>1</v>
      </c>
      <c r="Y183" s="59">
        <v>2</v>
      </c>
      <c r="Z183" s="59">
        <f t="shared" si="47"/>
        <v>0</v>
      </c>
      <c r="AA183" s="59">
        <f>IF('Updated Dummy'!Y183=2,1,0)</f>
        <v>1</v>
      </c>
      <c r="AB183" s="59">
        <f t="shared" si="48"/>
        <v>0</v>
      </c>
      <c r="AC183" s="59">
        <f t="shared" si="49"/>
        <v>0</v>
      </c>
      <c r="AD183" s="59">
        <f t="shared" si="50"/>
        <v>0</v>
      </c>
      <c r="AE183" s="59">
        <f t="shared" si="51"/>
        <v>0</v>
      </c>
      <c r="AF183" s="59">
        <f t="shared" si="52"/>
        <v>0</v>
      </c>
      <c r="AG183" s="59">
        <f t="shared" si="53"/>
        <v>0</v>
      </c>
      <c r="AH183" s="59">
        <v>2</v>
      </c>
      <c r="AI183" s="59">
        <v>1</v>
      </c>
      <c r="AJ183" s="59">
        <f t="shared" si="54"/>
        <v>1</v>
      </c>
      <c r="AK183" s="59">
        <f t="shared" si="55"/>
        <v>0</v>
      </c>
      <c r="AL183" s="59">
        <v>2311</v>
      </c>
      <c r="AM183" s="59">
        <v>5711</v>
      </c>
      <c r="AN183" s="59">
        <v>2</v>
      </c>
      <c r="AO183" s="59">
        <v>0</v>
      </c>
      <c r="AP183" s="59">
        <v>15</v>
      </c>
      <c r="AQ183" s="59">
        <v>3</v>
      </c>
      <c r="AR183" s="59">
        <v>4</v>
      </c>
      <c r="AS183" s="59">
        <v>80</v>
      </c>
      <c r="AT183" s="59">
        <v>0</v>
      </c>
      <c r="AU183" s="59">
        <v>9</v>
      </c>
      <c r="AV183" s="59">
        <v>3</v>
      </c>
      <c r="AW183" s="59">
        <v>3</v>
      </c>
      <c r="AX183" s="59">
        <v>3</v>
      </c>
      <c r="AY183" s="59">
        <v>2</v>
      </c>
      <c r="AZ183" s="59">
        <v>1</v>
      </c>
      <c r="BA183" s="59">
        <v>2</v>
      </c>
      <c r="BB183" s="57">
        <f t="shared" si="56"/>
        <v>2311</v>
      </c>
    </row>
    <row r="184" spans="1:54" x14ac:dyDescent="0.25">
      <c r="A184" s="58">
        <v>41</v>
      </c>
      <c r="B184" s="59">
        <v>1</v>
      </c>
      <c r="C184" s="59">
        <v>1</v>
      </c>
      <c r="D184" s="59">
        <f t="shared" si="38"/>
        <v>1</v>
      </c>
      <c r="E184" s="59">
        <f t="shared" si="39"/>
        <v>0</v>
      </c>
      <c r="F184" s="59">
        <v>1356</v>
      </c>
      <c r="G184" s="59">
        <v>1</v>
      </c>
      <c r="H184" s="59">
        <f t="shared" si="40"/>
        <v>1</v>
      </c>
      <c r="I184" s="59">
        <f t="shared" si="41"/>
        <v>0</v>
      </c>
      <c r="J184" s="59">
        <v>20</v>
      </c>
      <c r="K184" s="59">
        <v>2</v>
      </c>
      <c r="L184" s="59">
        <v>4</v>
      </c>
      <c r="M184" s="59">
        <f t="shared" si="42"/>
        <v>0</v>
      </c>
      <c r="N184" s="59">
        <f t="shared" si="43"/>
        <v>0</v>
      </c>
      <c r="O184" s="59">
        <f t="shared" si="44"/>
        <v>0</v>
      </c>
      <c r="P184" s="59">
        <f t="shared" si="45"/>
        <v>1</v>
      </c>
      <c r="Q184" s="59">
        <f t="shared" si="46"/>
        <v>0</v>
      </c>
      <c r="R184" s="59">
        <v>1</v>
      </c>
      <c r="S184" s="59">
        <v>248</v>
      </c>
      <c r="T184" s="59">
        <v>2</v>
      </c>
      <c r="U184" s="59">
        <v>0</v>
      </c>
      <c r="V184" s="59">
        <v>70</v>
      </c>
      <c r="W184" s="59">
        <v>3</v>
      </c>
      <c r="X184" s="59">
        <v>1</v>
      </c>
      <c r="Y184" s="59">
        <v>7</v>
      </c>
      <c r="Z184" s="59">
        <f t="shared" si="47"/>
        <v>0</v>
      </c>
      <c r="AA184" s="59">
        <f>IF('Updated Dummy'!Y184=2,1,0)</f>
        <v>0</v>
      </c>
      <c r="AB184" s="59">
        <f t="shared" si="48"/>
        <v>0</v>
      </c>
      <c r="AC184" s="59">
        <f t="shared" si="49"/>
        <v>0</v>
      </c>
      <c r="AD184" s="59">
        <f t="shared" si="50"/>
        <v>0</v>
      </c>
      <c r="AE184" s="59">
        <f t="shared" si="51"/>
        <v>0</v>
      </c>
      <c r="AF184" s="59">
        <f t="shared" si="52"/>
        <v>1</v>
      </c>
      <c r="AG184" s="59">
        <f t="shared" si="53"/>
        <v>0</v>
      </c>
      <c r="AH184" s="59">
        <v>2</v>
      </c>
      <c r="AI184" s="59">
        <v>1</v>
      </c>
      <c r="AJ184" s="59">
        <f t="shared" si="54"/>
        <v>1</v>
      </c>
      <c r="AK184" s="59">
        <f t="shared" si="55"/>
        <v>0</v>
      </c>
      <c r="AL184" s="59">
        <v>3140</v>
      </c>
      <c r="AM184" s="59">
        <v>21728</v>
      </c>
      <c r="AN184" s="59">
        <v>1</v>
      </c>
      <c r="AO184" s="59">
        <v>1</v>
      </c>
      <c r="AP184" s="59">
        <v>22</v>
      </c>
      <c r="AQ184" s="59">
        <v>4</v>
      </c>
      <c r="AR184" s="59">
        <v>4</v>
      </c>
      <c r="AS184" s="59">
        <v>80</v>
      </c>
      <c r="AT184" s="59">
        <v>0</v>
      </c>
      <c r="AU184" s="59">
        <v>4</v>
      </c>
      <c r="AV184" s="59">
        <v>5</v>
      </c>
      <c r="AW184" s="59">
        <v>2</v>
      </c>
      <c r="AX184" s="59">
        <v>4</v>
      </c>
      <c r="AY184" s="59">
        <v>3</v>
      </c>
      <c r="AZ184" s="59">
        <v>0</v>
      </c>
      <c r="BA184" s="59">
        <v>2</v>
      </c>
      <c r="BB184" s="57">
        <f t="shared" si="56"/>
        <v>3140</v>
      </c>
    </row>
    <row r="185" spans="1:54" x14ac:dyDescent="0.25">
      <c r="A185" s="58">
        <v>50</v>
      </c>
      <c r="B185" s="59">
        <v>0</v>
      </c>
      <c r="C185" s="59">
        <v>1</v>
      </c>
      <c r="D185" s="59">
        <f t="shared" si="38"/>
        <v>1</v>
      </c>
      <c r="E185" s="59">
        <f t="shared" si="39"/>
        <v>0</v>
      </c>
      <c r="F185" s="59">
        <v>328</v>
      </c>
      <c r="G185" s="59">
        <v>2</v>
      </c>
      <c r="H185" s="59">
        <f t="shared" si="40"/>
        <v>0</v>
      </c>
      <c r="I185" s="59">
        <f t="shared" si="41"/>
        <v>1</v>
      </c>
      <c r="J185" s="59">
        <v>1</v>
      </c>
      <c r="K185" s="59">
        <v>3</v>
      </c>
      <c r="L185" s="59">
        <v>3</v>
      </c>
      <c r="M185" s="59">
        <f t="shared" si="42"/>
        <v>0</v>
      </c>
      <c r="N185" s="59">
        <f t="shared" si="43"/>
        <v>0</v>
      </c>
      <c r="O185" s="59">
        <f t="shared" si="44"/>
        <v>1</v>
      </c>
      <c r="P185" s="59">
        <f t="shared" si="45"/>
        <v>0</v>
      </c>
      <c r="Q185" s="59">
        <f t="shared" si="46"/>
        <v>0</v>
      </c>
      <c r="R185" s="59">
        <v>1</v>
      </c>
      <c r="S185" s="59">
        <v>249</v>
      </c>
      <c r="T185" s="59">
        <v>3</v>
      </c>
      <c r="U185" s="59">
        <v>1</v>
      </c>
      <c r="V185" s="59">
        <v>86</v>
      </c>
      <c r="W185" s="59">
        <v>2</v>
      </c>
      <c r="X185" s="59">
        <v>1</v>
      </c>
      <c r="Y185" s="59">
        <v>3</v>
      </c>
      <c r="Z185" s="59">
        <f t="shared" si="47"/>
        <v>0</v>
      </c>
      <c r="AA185" s="59">
        <f>IF('Updated Dummy'!Y185=2,1,0)</f>
        <v>0</v>
      </c>
      <c r="AB185" s="59">
        <f t="shared" si="48"/>
        <v>1</v>
      </c>
      <c r="AC185" s="59">
        <f t="shared" si="49"/>
        <v>0</v>
      </c>
      <c r="AD185" s="59">
        <f t="shared" si="50"/>
        <v>0</v>
      </c>
      <c r="AE185" s="59">
        <f t="shared" si="51"/>
        <v>0</v>
      </c>
      <c r="AF185" s="59">
        <f t="shared" si="52"/>
        <v>0</v>
      </c>
      <c r="AG185" s="59">
        <f t="shared" si="53"/>
        <v>0</v>
      </c>
      <c r="AH185" s="59">
        <v>3</v>
      </c>
      <c r="AI185" s="59">
        <v>2</v>
      </c>
      <c r="AJ185" s="59">
        <f t="shared" si="54"/>
        <v>0</v>
      </c>
      <c r="AK185" s="59">
        <f t="shared" si="55"/>
        <v>1</v>
      </c>
      <c r="AL185" s="59">
        <v>3690</v>
      </c>
      <c r="AM185" s="59">
        <v>3425</v>
      </c>
      <c r="AN185" s="59">
        <v>2</v>
      </c>
      <c r="AO185" s="59">
        <v>0</v>
      </c>
      <c r="AP185" s="59">
        <v>15</v>
      </c>
      <c r="AQ185" s="59">
        <v>3</v>
      </c>
      <c r="AR185" s="59">
        <v>4</v>
      </c>
      <c r="AS185" s="59">
        <v>80</v>
      </c>
      <c r="AT185" s="59">
        <v>1</v>
      </c>
      <c r="AU185" s="59">
        <v>5</v>
      </c>
      <c r="AV185" s="59">
        <v>2</v>
      </c>
      <c r="AW185" s="59">
        <v>2</v>
      </c>
      <c r="AX185" s="59">
        <v>3</v>
      </c>
      <c r="AY185" s="59">
        <v>2</v>
      </c>
      <c r="AZ185" s="59">
        <v>0</v>
      </c>
      <c r="BA185" s="59">
        <v>2</v>
      </c>
      <c r="BB185" s="57">
        <f t="shared" si="56"/>
        <v>3690</v>
      </c>
    </row>
    <row r="186" spans="1:54" x14ac:dyDescent="0.25">
      <c r="A186" s="58">
        <v>53</v>
      </c>
      <c r="B186" s="59">
        <v>0</v>
      </c>
      <c r="C186" s="59">
        <v>1</v>
      </c>
      <c r="D186" s="59">
        <f t="shared" si="38"/>
        <v>1</v>
      </c>
      <c r="E186" s="59">
        <f t="shared" si="39"/>
        <v>0</v>
      </c>
      <c r="F186" s="59">
        <v>1084</v>
      </c>
      <c r="G186" s="59">
        <v>2</v>
      </c>
      <c r="H186" s="59">
        <f t="shared" si="40"/>
        <v>0</v>
      </c>
      <c r="I186" s="59">
        <f t="shared" si="41"/>
        <v>1</v>
      </c>
      <c r="J186" s="59">
        <v>13</v>
      </c>
      <c r="K186" s="59">
        <v>2</v>
      </c>
      <c r="L186" s="59">
        <v>3</v>
      </c>
      <c r="M186" s="59">
        <f t="shared" si="42"/>
        <v>0</v>
      </c>
      <c r="N186" s="59">
        <f t="shared" si="43"/>
        <v>0</v>
      </c>
      <c r="O186" s="59">
        <f t="shared" si="44"/>
        <v>1</v>
      </c>
      <c r="P186" s="59">
        <f t="shared" si="45"/>
        <v>0</v>
      </c>
      <c r="Q186" s="59">
        <f t="shared" si="46"/>
        <v>0</v>
      </c>
      <c r="R186" s="59">
        <v>1</v>
      </c>
      <c r="S186" s="59">
        <v>250</v>
      </c>
      <c r="T186" s="59">
        <v>4</v>
      </c>
      <c r="U186" s="59">
        <v>0</v>
      </c>
      <c r="V186" s="59">
        <v>57</v>
      </c>
      <c r="W186" s="59">
        <v>4</v>
      </c>
      <c r="X186" s="59">
        <v>2</v>
      </c>
      <c r="Y186" s="59">
        <v>4</v>
      </c>
      <c r="Z186" s="59">
        <f t="shared" si="47"/>
        <v>0</v>
      </c>
      <c r="AA186" s="59">
        <f>IF('Updated Dummy'!Y186=2,1,0)</f>
        <v>0</v>
      </c>
      <c r="AB186" s="59">
        <f t="shared" si="48"/>
        <v>0</v>
      </c>
      <c r="AC186" s="59">
        <f t="shared" si="49"/>
        <v>1</v>
      </c>
      <c r="AD186" s="59">
        <f t="shared" si="50"/>
        <v>0</v>
      </c>
      <c r="AE186" s="59">
        <f t="shared" si="51"/>
        <v>0</v>
      </c>
      <c r="AF186" s="59">
        <f t="shared" si="52"/>
        <v>0</v>
      </c>
      <c r="AG186" s="59">
        <f t="shared" si="53"/>
        <v>0</v>
      </c>
      <c r="AH186" s="59">
        <v>1</v>
      </c>
      <c r="AI186" s="59">
        <v>3</v>
      </c>
      <c r="AJ186" s="59">
        <f t="shared" si="54"/>
        <v>0</v>
      </c>
      <c r="AK186" s="59">
        <f t="shared" si="55"/>
        <v>0</v>
      </c>
      <c r="AL186" s="59">
        <v>4450</v>
      </c>
      <c r="AM186" s="59">
        <v>26250</v>
      </c>
      <c r="AN186" s="59">
        <v>1</v>
      </c>
      <c r="AO186" s="59">
        <v>0</v>
      </c>
      <c r="AP186" s="59">
        <v>11</v>
      </c>
      <c r="AQ186" s="59">
        <v>3</v>
      </c>
      <c r="AR186" s="59">
        <v>3</v>
      </c>
      <c r="AS186" s="59">
        <v>80</v>
      </c>
      <c r="AT186" s="59">
        <v>2</v>
      </c>
      <c r="AU186" s="59">
        <v>5</v>
      </c>
      <c r="AV186" s="59">
        <v>3</v>
      </c>
      <c r="AW186" s="59">
        <v>3</v>
      </c>
      <c r="AX186" s="59">
        <v>4</v>
      </c>
      <c r="AY186" s="59">
        <v>2</v>
      </c>
      <c r="AZ186" s="59">
        <v>1</v>
      </c>
      <c r="BA186" s="59">
        <v>3</v>
      </c>
      <c r="BB186" s="57">
        <f t="shared" si="56"/>
        <v>8900</v>
      </c>
    </row>
    <row r="187" spans="1:54" x14ac:dyDescent="0.25">
      <c r="A187" s="58">
        <v>33</v>
      </c>
      <c r="B187" s="59">
        <v>0</v>
      </c>
      <c r="C187" s="59">
        <v>1</v>
      </c>
      <c r="D187" s="59">
        <f t="shared" si="38"/>
        <v>1</v>
      </c>
      <c r="E187" s="59">
        <f t="shared" si="39"/>
        <v>0</v>
      </c>
      <c r="F187" s="59">
        <v>931</v>
      </c>
      <c r="G187" s="59">
        <v>2</v>
      </c>
      <c r="H187" s="59">
        <f t="shared" si="40"/>
        <v>0</v>
      </c>
      <c r="I187" s="59">
        <f t="shared" si="41"/>
        <v>1</v>
      </c>
      <c r="J187" s="59">
        <v>14</v>
      </c>
      <c r="K187" s="59">
        <v>3</v>
      </c>
      <c r="L187" s="59">
        <v>3</v>
      </c>
      <c r="M187" s="59">
        <f t="shared" si="42"/>
        <v>0</v>
      </c>
      <c r="N187" s="59">
        <f t="shared" si="43"/>
        <v>0</v>
      </c>
      <c r="O187" s="59">
        <f t="shared" si="44"/>
        <v>1</v>
      </c>
      <c r="P187" s="59">
        <f t="shared" si="45"/>
        <v>0</v>
      </c>
      <c r="Q187" s="59">
        <f t="shared" si="46"/>
        <v>0</v>
      </c>
      <c r="R187" s="59">
        <v>1</v>
      </c>
      <c r="S187" s="59">
        <v>252</v>
      </c>
      <c r="T187" s="59">
        <v>4</v>
      </c>
      <c r="U187" s="59">
        <v>0</v>
      </c>
      <c r="V187" s="59">
        <v>72</v>
      </c>
      <c r="W187" s="59">
        <v>3</v>
      </c>
      <c r="X187" s="59">
        <v>1</v>
      </c>
      <c r="Y187" s="59">
        <v>2</v>
      </c>
      <c r="Z187" s="59">
        <f t="shared" si="47"/>
        <v>0</v>
      </c>
      <c r="AA187" s="59">
        <f>IF('Updated Dummy'!Y187=2,1,0)</f>
        <v>1</v>
      </c>
      <c r="AB187" s="59">
        <f t="shared" si="48"/>
        <v>0</v>
      </c>
      <c r="AC187" s="59">
        <f t="shared" si="49"/>
        <v>0</v>
      </c>
      <c r="AD187" s="59">
        <f t="shared" si="50"/>
        <v>0</v>
      </c>
      <c r="AE187" s="59">
        <f t="shared" si="51"/>
        <v>0</v>
      </c>
      <c r="AF187" s="59">
        <f t="shared" si="52"/>
        <v>0</v>
      </c>
      <c r="AG187" s="59">
        <f t="shared" si="53"/>
        <v>0</v>
      </c>
      <c r="AH187" s="59">
        <v>2</v>
      </c>
      <c r="AI187" s="59">
        <v>2</v>
      </c>
      <c r="AJ187" s="59">
        <f t="shared" si="54"/>
        <v>0</v>
      </c>
      <c r="AK187" s="59">
        <f t="shared" si="55"/>
        <v>1</v>
      </c>
      <c r="AL187" s="59">
        <v>2756</v>
      </c>
      <c r="AM187" s="59">
        <v>4673</v>
      </c>
      <c r="AN187" s="59">
        <v>1</v>
      </c>
      <c r="AO187" s="59">
        <v>0</v>
      </c>
      <c r="AP187" s="59">
        <v>13</v>
      </c>
      <c r="AQ187" s="59">
        <v>3</v>
      </c>
      <c r="AR187" s="59">
        <v>4</v>
      </c>
      <c r="AS187" s="59">
        <v>80</v>
      </c>
      <c r="AT187" s="59">
        <v>1</v>
      </c>
      <c r="AU187" s="59">
        <v>8</v>
      </c>
      <c r="AV187" s="59">
        <v>5</v>
      </c>
      <c r="AW187" s="59">
        <v>3</v>
      </c>
      <c r="AX187" s="59">
        <v>8</v>
      </c>
      <c r="AY187" s="59">
        <v>7</v>
      </c>
      <c r="AZ187" s="59">
        <v>1</v>
      </c>
      <c r="BA187" s="59">
        <v>6</v>
      </c>
      <c r="BB187" s="57">
        <f t="shared" si="56"/>
        <v>2756</v>
      </c>
    </row>
    <row r="188" spans="1:54" x14ac:dyDescent="0.25">
      <c r="A188" s="58">
        <v>40</v>
      </c>
      <c r="B188" s="59">
        <v>0</v>
      </c>
      <c r="C188" s="59">
        <v>1</v>
      </c>
      <c r="D188" s="59">
        <f t="shared" si="38"/>
        <v>1</v>
      </c>
      <c r="E188" s="59">
        <f t="shared" si="39"/>
        <v>0</v>
      </c>
      <c r="F188" s="59">
        <v>989</v>
      </c>
      <c r="G188" s="59">
        <v>2</v>
      </c>
      <c r="H188" s="59">
        <f t="shared" si="40"/>
        <v>0</v>
      </c>
      <c r="I188" s="59">
        <f t="shared" si="41"/>
        <v>1</v>
      </c>
      <c r="J188" s="59">
        <v>4</v>
      </c>
      <c r="K188" s="59">
        <v>1</v>
      </c>
      <c r="L188" s="59">
        <v>3</v>
      </c>
      <c r="M188" s="59">
        <f t="shared" si="42"/>
        <v>0</v>
      </c>
      <c r="N188" s="59">
        <f t="shared" si="43"/>
        <v>0</v>
      </c>
      <c r="O188" s="59">
        <f t="shared" si="44"/>
        <v>1</v>
      </c>
      <c r="P188" s="59">
        <f t="shared" si="45"/>
        <v>0</v>
      </c>
      <c r="Q188" s="59">
        <f t="shared" si="46"/>
        <v>0</v>
      </c>
      <c r="R188" s="59">
        <v>1</v>
      </c>
      <c r="S188" s="59">
        <v>253</v>
      </c>
      <c r="T188" s="59">
        <v>4</v>
      </c>
      <c r="U188" s="59">
        <v>0</v>
      </c>
      <c r="V188" s="59">
        <v>46</v>
      </c>
      <c r="W188" s="59">
        <v>3</v>
      </c>
      <c r="X188" s="59">
        <v>5</v>
      </c>
      <c r="Y188" s="59">
        <v>6</v>
      </c>
      <c r="Z188" s="59">
        <f t="shared" si="47"/>
        <v>0</v>
      </c>
      <c r="AA188" s="59">
        <f>IF('Updated Dummy'!Y188=2,1,0)</f>
        <v>0</v>
      </c>
      <c r="AB188" s="59">
        <f t="shared" si="48"/>
        <v>0</v>
      </c>
      <c r="AC188" s="59">
        <f t="shared" si="49"/>
        <v>0</v>
      </c>
      <c r="AD188" s="59">
        <f t="shared" si="50"/>
        <v>0</v>
      </c>
      <c r="AE188" s="59">
        <f t="shared" si="51"/>
        <v>1</v>
      </c>
      <c r="AF188" s="59">
        <f t="shared" si="52"/>
        <v>0</v>
      </c>
      <c r="AG188" s="59">
        <f t="shared" si="53"/>
        <v>0</v>
      </c>
      <c r="AH188" s="59">
        <v>3</v>
      </c>
      <c r="AI188" s="59">
        <v>2</v>
      </c>
      <c r="AJ188" s="59">
        <f t="shared" si="54"/>
        <v>0</v>
      </c>
      <c r="AK188" s="59">
        <f t="shared" si="55"/>
        <v>1</v>
      </c>
      <c r="AL188" s="59">
        <v>19033</v>
      </c>
      <c r="AM188" s="59">
        <v>6499</v>
      </c>
      <c r="AN188" s="59">
        <v>1</v>
      </c>
      <c r="AO188" s="59">
        <v>0</v>
      </c>
      <c r="AP188" s="59">
        <v>14</v>
      </c>
      <c r="AQ188" s="59">
        <v>3</v>
      </c>
      <c r="AR188" s="59">
        <v>2</v>
      </c>
      <c r="AS188" s="59">
        <v>80</v>
      </c>
      <c r="AT188" s="59">
        <v>1</v>
      </c>
      <c r="AU188" s="59">
        <v>21</v>
      </c>
      <c r="AV188" s="59">
        <v>2</v>
      </c>
      <c r="AW188" s="59">
        <v>3</v>
      </c>
      <c r="AX188" s="59">
        <v>20</v>
      </c>
      <c r="AY188" s="59">
        <v>8</v>
      </c>
      <c r="AZ188" s="59">
        <v>9</v>
      </c>
      <c r="BA188" s="59">
        <v>9</v>
      </c>
      <c r="BB188" s="57">
        <f t="shared" si="56"/>
        <v>95165</v>
      </c>
    </row>
    <row r="189" spans="1:54" x14ac:dyDescent="0.25">
      <c r="A189" s="58">
        <v>55</v>
      </c>
      <c r="B189" s="59">
        <v>0</v>
      </c>
      <c r="C189" s="59">
        <v>1</v>
      </c>
      <c r="D189" s="59">
        <f t="shared" si="38"/>
        <v>1</v>
      </c>
      <c r="E189" s="59">
        <f t="shared" si="39"/>
        <v>0</v>
      </c>
      <c r="F189" s="59">
        <v>692</v>
      </c>
      <c r="G189" s="59">
        <v>2</v>
      </c>
      <c r="H189" s="59">
        <f t="shared" si="40"/>
        <v>0</v>
      </c>
      <c r="I189" s="59">
        <f t="shared" si="41"/>
        <v>1</v>
      </c>
      <c r="J189" s="59">
        <v>14</v>
      </c>
      <c r="K189" s="59">
        <v>4</v>
      </c>
      <c r="L189" s="59">
        <v>3</v>
      </c>
      <c r="M189" s="59">
        <f t="shared" si="42"/>
        <v>0</v>
      </c>
      <c r="N189" s="59">
        <f t="shared" si="43"/>
        <v>0</v>
      </c>
      <c r="O189" s="59">
        <f t="shared" si="44"/>
        <v>1</v>
      </c>
      <c r="P189" s="59">
        <f t="shared" si="45"/>
        <v>0</v>
      </c>
      <c r="Q189" s="59">
        <f t="shared" si="46"/>
        <v>0</v>
      </c>
      <c r="R189" s="59">
        <v>1</v>
      </c>
      <c r="S189" s="59">
        <v>254</v>
      </c>
      <c r="T189" s="59">
        <v>3</v>
      </c>
      <c r="U189" s="59">
        <v>1</v>
      </c>
      <c r="V189" s="59">
        <v>61</v>
      </c>
      <c r="W189" s="59">
        <v>4</v>
      </c>
      <c r="X189" s="59">
        <v>5</v>
      </c>
      <c r="Y189" s="59">
        <v>8</v>
      </c>
      <c r="Z189" s="59">
        <f t="shared" si="47"/>
        <v>0</v>
      </c>
      <c r="AA189" s="59">
        <f>IF('Updated Dummy'!Y189=2,1,0)</f>
        <v>0</v>
      </c>
      <c r="AB189" s="59">
        <f t="shared" si="48"/>
        <v>0</v>
      </c>
      <c r="AC189" s="59">
        <f t="shared" si="49"/>
        <v>0</v>
      </c>
      <c r="AD189" s="59">
        <f t="shared" si="50"/>
        <v>0</v>
      </c>
      <c r="AE189" s="59">
        <f t="shared" si="51"/>
        <v>0</v>
      </c>
      <c r="AF189" s="59">
        <f t="shared" si="52"/>
        <v>0</v>
      </c>
      <c r="AG189" s="59">
        <f t="shared" si="53"/>
        <v>1</v>
      </c>
      <c r="AH189" s="59">
        <v>2</v>
      </c>
      <c r="AI189" s="59">
        <v>1</v>
      </c>
      <c r="AJ189" s="59">
        <f t="shared" si="54"/>
        <v>1</v>
      </c>
      <c r="AK189" s="59">
        <f t="shared" si="55"/>
        <v>0</v>
      </c>
      <c r="AL189" s="59">
        <v>18722</v>
      </c>
      <c r="AM189" s="59">
        <v>13339</v>
      </c>
      <c r="AN189" s="59">
        <v>8</v>
      </c>
      <c r="AO189" s="59">
        <v>0</v>
      </c>
      <c r="AP189" s="59">
        <v>11</v>
      </c>
      <c r="AQ189" s="59">
        <v>3</v>
      </c>
      <c r="AR189" s="59">
        <v>4</v>
      </c>
      <c r="AS189" s="59">
        <v>80</v>
      </c>
      <c r="AT189" s="59">
        <v>0</v>
      </c>
      <c r="AU189" s="59">
        <v>36</v>
      </c>
      <c r="AV189" s="59">
        <v>3</v>
      </c>
      <c r="AW189" s="59">
        <v>3</v>
      </c>
      <c r="AX189" s="59">
        <v>24</v>
      </c>
      <c r="AY189" s="59">
        <v>15</v>
      </c>
      <c r="AZ189" s="59">
        <v>2</v>
      </c>
      <c r="BA189" s="59">
        <v>15</v>
      </c>
      <c r="BB189" s="57">
        <f t="shared" si="56"/>
        <v>93610</v>
      </c>
    </row>
    <row r="190" spans="1:54" x14ac:dyDescent="0.25">
      <c r="A190" s="58">
        <v>34</v>
      </c>
      <c r="B190" s="59">
        <v>0</v>
      </c>
      <c r="C190" s="59">
        <v>2</v>
      </c>
      <c r="D190" s="59">
        <f t="shared" si="38"/>
        <v>0</v>
      </c>
      <c r="E190" s="59">
        <f t="shared" si="39"/>
        <v>1</v>
      </c>
      <c r="F190" s="59">
        <v>1069</v>
      </c>
      <c r="G190" s="59">
        <v>2</v>
      </c>
      <c r="H190" s="59">
        <f t="shared" si="40"/>
        <v>0</v>
      </c>
      <c r="I190" s="59">
        <f t="shared" si="41"/>
        <v>1</v>
      </c>
      <c r="J190" s="59">
        <v>2</v>
      </c>
      <c r="K190" s="59">
        <v>1</v>
      </c>
      <c r="L190" s="59">
        <v>1</v>
      </c>
      <c r="M190" s="59">
        <f t="shared" si="42"/>
        <v>1</v>
      </c>
      <c r="N190" s="59">
        <f t="shared" si="43"/>
        <v>0</v>
      </c>
      <c r="O190" s="59">
        <f t="shared" si="44"/>
        <v>0</v>
      </c>
      <c r="P190" s="59">
        <f t="shared" si="45"/>
        <v>0</v>
      </c>
      <c r="Q190" s="59">
        <f t="shared" si="46"/>
        <v>0</v>
      </c>
      <c r="R190" s="59">
        <v>1</v>
      </c>
      <c r="S190" s="59">
        <v>256</v>
      </c>
      <c r="T190" s="59">
        <v>4</v>
      </c>
      <c r="U190" s="59">
        <v>1</v>
      </c>
      <c r="V190" s="59">
        <v>45</v>
      </c>
      <c r="W190" s="59">
        <v>2</v>
      </c>
      <c r="X190" s="59">
        <v>2</v>
      </c>
      <c r="Y190" s="59">
        <v>4</v>
      </c>
      <c r="Z190" s="59">
        <f t="shared" si="47"/>
        <v>0</v>
      </c>
      <c r="AA190" s="59">
        <f>IF('Updated Dummy'!Y190=2,1,0)</f>
        <v>0</v>
      </c>
      <c r="AB190" s="59">
        <f t="shared" si="48"/>
        <v>0</v>
      </c>
      <c r="AC190" s="59">
        <f t="shared" si="49"/>
        <v>1</v>
      </c>
      <c r="AD190" s="59">
        <f t="shared" si="50"/>
        <v>0</v>
      </c>
      <c r="AE190" s="59">
        <f t="shared" si="51"/>
        <v>0</v>
      </c>
      <c r="AF190" s="59">
        <f t="shared" si="52"/>
        <v>0</v>
      </c>
      <c r="AG190" s="59">
        <f t="shared" si="53"/>
        <v>0</v>
      </c>
      <c r="AH190" s="59">
        <v>3</v>
      </c>
      <c r="AI190" s="59">
        <v>2</v>
      </c>
      <c r="AJ190" s="59">
        <f t="shared" si="54"/>
        <v>0</v>
      </c>
      <c r="AK190" s="59">
        <f t="shared" si="55"/>
        <v>1</v>
      </c>
      <c r="AL190" s="59">
        <v>9547</v>
      </c>
      <c r="AM190" s="59">
        <v>14074</v>
      </c>
      <c r="AN190" s="59">
        <v>1</v>
      </c>
      <c r="AO190" s="59">
        <v>0</v>
      </c>
      <c r="AP190" s="59">
        <v>17</v>
      </c>
      <c r="AQ190" s="59">
        <v>3</v>
      </c>
      <c r="AR190" s="59">
        <v>3</v>
      </c>
      <c r="AS190" s="59">
        <v>80</v>
      </c>
      <c r="AT190" s="59">
        <v>0</v>
      </c>
      <c r="AU190" s="59">
        <v>10</v>
      </c>
      <c r="AV190" s="59">
        <v>2</v>
      </c>
      <c r="AW190" s="59">
        <v>2</v>
      </c>
      <c r="AX190" s="59">
        <v>10</v>
      </c>
      <c r="AY190" s="59">
        <v>9</v>
      </c>
      <c r="AZ190" s="59">
        <v>1</v>
      </c>
      <c r="BA190" s="59">
        <v>9</v>
      </c>
      <c r="BB190" s="57">
        <f t="shared" si="56"/>
        <v>19094</v>
      </c>
    </row>
    <row r="191" spans="1:54" x14ac:dyDescent="0.25">
      <c r="A191" s="58">
        <v>51</v>
      </c>
      <c r="B191" s="59">
        <v>0</v>
      </c>
      <c r="C191" s="59">
        <v>1</v>
      </c>
      <c r="D191" s="59">
        <f t="shared" si="38"/>
        <v>1</v>
      </c>
      <c r="E191" s="59">
        <f t="shared" si="39"/>
        <v>0</v>
      </c>
      <c r="F191" s="59">
        <v>313</v>
      </c>
      <c r="G191" s="59">
        <v>2</v>
      </c>
      <c r="H191" s="59">
        <f t="shared" si="40"/>
        <v>0</v>
      </c>
      <c r="I191" s="59">
        <f t="shared" si="41"/>
        <v>1</v>
      </c>
      <c r="J191" s="59">
        <v>3</v>
      </c>
      <c r="K191" s="59">
        <v>3</v>
      </c>
      <c r="L191" s="59">
        <v>3</v>
      </c>
      <c r="M191" s="59">
        <f t="shared" si="42"/>
        <v>0</v>
      </c>
      <c r="N191" s="59">
        <f t="shared" si="43"/>
        <v>0</v>
      </c>
      <c r="O191" s="59">
        <f t="shared" si="44"/>
        <v>1</v>
      </c>
      <c r="P191" s="59">
        <f t="shared" si="45"/>
        <v>0</v>
      </c>
      <c r="Q191" s="59">
        <f t="shared" si="46"/>
        <v>0</v>
      </c>
      <c r="R191" s="59">
        <v>1</v>
      </c>
      <c r="S191" s="59">
        <v>258</v>
      </c>
      <c r="T191" s="59">
        <v>4</v>
      </c>
      <c r="U191" s="59">
        <v>0</v>
      </c>
      <c r="V191" s="59">
        <v>98</v>
      </c>
      <c r="W191" s="59">
        <v>3</v>
      </c>
      <c r="X191" s="59">
        <v>4</v>
      </c>
      <c r="Y191" s="59">
        <v>5</v>
      </c>
      <c r="Z191" s="59">
        <f t="shared" si="47"/>
        <v>0</v>
      </c>
      <c r="AA191" s="59">
        <f>IF('Updated Dummy'!Y191=2,1,0)</f>
        <v>0</v>
      </c>
      <c r="AB191" s="59">
        <f t="shared" si="48"/>
        <v>0</v>
      </c>
      <c r="AC191" s="59">
        <f t="shared" si="49"/>
        <v>0</v>
      </c>
      <c r="AD191" s="59">
        <f t="shared" si="50"/>
        <v>1</v>
      </c>
      <c r="AE191" s="59">
        <f t="shared" si="51"/>
        <v>0</v>
      </c>
      <c r="AF191" s="59">
        <f t="shared" si="52"/>
        <v>0</v>
      </c>
      <c r="AG191" s="59">
        <f t="shared" si="53"/>
        <v>0</v>
      </c>
      <c r="AH191" s="59">
        <v>2</v>
      </c>
      <c r="AI191" s="59">
        <v>1</v>
      </c>
      <c r="AJ191" s="59">
        <f t="shared" si="54"/>
        <v>1</v>
      </c>
      <c r="AK191" s="59">
        <f t="shared" si="55"/>
        <v>0</v>
      </c>
      <c r="AL191" s="59">
        <v>13734</v>
      </c>
      <c r="AM191" s="59">
        <v>7192</v>
      </c>
      <c r="AN191" s="59">
        <v>3</v>
      </c>
      <c r="AO191" s="59">
        <v>0</v>
      </c>
      <c r="AP191" s="59">
        <v>18</v>
      </c>
      <c r="AQ191" s="59">
        <v>3</v>
      </c>
      <c r="AR191" s="59">
        <v>3</v>
      </c>
      <c r="AS191" s="59">
        <v>80</v>
      </c>
      <c r="AT191" s="59">
        <v>0</v>
      </c>
      <c r="AU191" s="59">
        <v>21</v>
      </c>
      <c r="AV191" s="59">
        <v>6</v>
      </c>
      <c r="AW191" s="59">
        <v>3</v>
      </c>
      <c r="AX191" s="59">
        <v>7</v>
      </c>
      <c r="AY191" s="59">
        <v>7</v>
      </c>
      <c r="AZ191" s="59">
        <v>1</v>
      </c>
      <c r="BA191" s="59">
        <v>0</v>
      </c>
      <c r="BB191" s="57">
        <f t="shared" si="56"/>
        <v>54936</v>
      </c>
    </row>
    <row r="192" spans="1:54" x14ac:dyDescent="0.25">
      <c r="A192" s="58">
        <v>52</v>
      </c>
      <c r="B192" s="59">
        <v>0</v>
      </c>
      <c r="C192" s="59">
        <v>1</v>
      </c>
      <c r="D192" s="59">
        <f t="shared" si="38"/>
        <v>1</v>
      </c>
      <c r="E192" s="59">
        <f t="shared" si="39"/>
        <v>0</v>
      </c>
      <c r="F192" s="59">
        <v>699</v>
      </c>
      <c r="G192" s="59">
        <v>2</v>
      </c>
      <c r="H192" s="59">
        <f t="shared" si="40"/>
        <v>0</v>
      </c>
      <c r="I192" s="59">
        <f t="shared" si="41"/>
        <v>1</v>
      </c>
      <c r="J192" s="59">
        <v>1</v>
      </c>
      <c r="K192" s="59">
        <v>4</v>
      </c>
      <c r="L192" s="59">
        <v>1</v>
      </c>
      <c r="M192" s="59">
        <f t="shared" si="42"/>
        <v>1</v>
      </c>
      <c r="N192" s="59">
        <f t="shared" si="43"/>
        <v>0</v>
      </c>
      <c r="O192" s="59">
        <f t="shared" si="44"/>
        <v>0</v>
      </c>
      <c r="P192" s="59">
        <f t="shared" si="45"/>
        <v>0</v>
      </c>
      <c r="Q192" s="59">
        <f t="shared" si="46"/>
        <v>0</v>
      </c>
      <c r="R192" s="59">
        <v>1</v>
      </c>
      <c r="S192" s="59">
        <v>259</v>
      </c>
      <c r="T192" s="59">
        <v>3</v>
      </c>
      <c r="U192" s="59">
        <v>1</v>
      </c>
      <c r="V192" s="59">
        <v>65</v>
      </c>
      <c r="W192" s="59">
        <v>2</v>
      </c>
      <c r="X192" s="59">
        <v>5</v>
      </c>
      <c r="Y192" s="59">
        <v>6</v>
      </c>
      <c r="Z192" s="59">
        <f t="shared" si="47"/>
        <v>0</v>
      </c>
      <c r="AA192" s="59">
        <f>IF('Updated Dummy'!Y192=2,1,0)</f>
        <v>0</v>
      </c>
      <c r="AB192" s="59">
        <f t="shared" si="48"/>
        <v>0</v>
      </c>
      <c r="AC192" s="59">
        <f t="shared" si="49"/>
        <v>0</v>
      </c>
      <c r="AD192" s="59">
        <f t="shared" si="50"/>
        <v>0</v>
      </c>
      <c r="AE192" s="59">
        <f t="shared" si="51"/>
        <v>1</v>
      </c>
      <c r="AF192" s="59">
        <f t="shared" si="52"/>
        <v>0</v>
      </c>
      <c r="AG192" s="59">
        <f t="shared" si="53"/>
        <v>0</v>
      </c>
      <c r="AH192" s="59">
        <v>3</v>
      </c>
      <c r="AI192" s="59">
        <v>2</v>
      </c>
      <c r="AJ192" s="59">
        <f t="shared" si="54"/>
        <v>0</v>
      </c>
      <c r="AK192" s="59">
        <f t="shared" si="55"/>
        <v>1</v>
      </c>
      <c r="AL192" s="59">
        <v>19999</v>
      </c>
      <c r="AM192" s="59">
        <v>5678</v>
      </c>
      <c r="AN192" s="59">
        <v>0</v>
      </c>
      <c r="AO192" s="59">
        <v>0</v>
      </c>
      <c r="AP192" s="59">
        <v>14</v>
      </c>
      <c r="AQ192" s="59">
        <v>3</v>
      </c>
      <c r="AR192" s="59">
        <v>1</v>
      </c>
      <c r="AS192" s="59">
        <v>80</v>
      </c>
      <c r="AT192" s="59">
        <v>1</v>
      </c>
      <c r="AU192" s="59">
        <v>34</v>
      </c>
      <c r="AV192" s="59">
        <v>5</v>
      </c>
      <c r="AW192" s="59">
        <v>3</v>
      </c>
      <c r="AX192" s="59">
        <v>33</v>
      </c>
      <c r="AY192" s="59">
        <v>18</v>
      </c>
      <c r="AZ192" s="59">
        <v>11</v>
      </c>
      <c r="BA192" s="59">
        <v>9</v>
      </c>
      <c r="BB192" s="57">
        <f t="shared" si="56"/>
        <v>99995</v>
      </c>
    </row>
    <row r="193" spans="1:54" x14ac:dyDescent="0.25">
      <c r="A193" s="58">
        <v>27</v>
      </c>
      <c r="B193" s="59">
        <v>0</v>
      </c>
      <c r="C193" s="59">
        <v>1</v>
      </c>
      <c r="D193" s="59">
        <f t="shared" si="38"/>
        <v>1</v>
      </c>
      <c r="E193" s="59">
        <f t="shared" si="39"/>
        <v>0</v>
      </c>
      <c r="F193" s="59">
        <v>894</v>
      </c>
      <c r="G193" s="59">
        <v>2</v>
      </c>
      <c r="H193" s="59">
        <f t="shared" si="40"/>
        <v>0</v>
      </c>
      <c r="I193" s="59">
        <f t="shared" si="41"/>
        <v>1</v>
      </c>
      <c r="J193" s="59">
        <v>9</v>
      </c>
      <c r="K193" s="59">
        <v>3</v>
      </c>
      <c r="L193" s="59">
        <v>3</v>
      </c>
      <c r="M193" s="59">
        <f t="shared" si="42"/>
        <v>0</v>
      </c>
      <c r="N193" s="59">
        <f t="shared" si="43"/>
        <v>0</v>
      </c>
      <c r="O193" s="59">
        <f t="shared" si="44"/>
        <v>1</v>
      </c>
      <c r="P193" s="59">
        <f t="shared" si="45"/>
        <v>0</v>
      </c>
      <c r="Q193" s="59">
        <f t="shared" si="46"/>
        <v>0</v>
      </c>
      <c r="R193" s="59">
        <v>1</v>
      </c>
      <c r="S193" s="59">
        <v>260</v>
      </c>
      <c r="T193" s="59">
        <v>4</v>
      </c>
      <c r="U193" s="59">
        <v>0</v>
      </c>
      <c r="V193" s="59">
        <v>99</v>
      </c>
      <c r="W193" s="59">
        <v>3</v>
      </c>
      <c r="X193" s="59">
        <v>1</v>
      </c>
      <c r="Y193" s="59">
        <v>2</v>
      </c>
      <c r="Z193" s="59">
        <f t="shared" si="47"/>
        <v>0</v>
      </c>
      <c r="AA193" s="59">
        <f>IF('Updated Dummy'!Y193=2,1,0)</f>
        <v>1</v>
      </c>
      <c r="AB193" s="59">
        <f t="shared" si="48"/>
        <v>0</v>
      </c>
      <c r="AC193" s="59">
        <f t="shared" si="49"/>
        <v>0</v>
      </c>
      <c r="AD193" s="59">
        <f t="shared" si="50"/>
        <v>0</v>
      </c>
      <c r="AE193" s="59">
        <f t="shared" si="51"/>
        <v>0</v>
      </c>
      <c r="AF193" s="59">
        <f t="shared" si="52"/>
        <v>0</v>
      </c>
      <c r="AG193" s="59">
        <f t="shared" si="53"/>
        <v>0</v>
      </c>
      <c r="AH193" s="59">
        <v>2</v>
      </c>
      <c r="AI193" s="59">
        <v>1</v>
      </c>
      <c r="AJ193" s="59">
        <f t="shared" si="54"/>
        <v>1</v>
      </c>
      <c r="AK193" s="59">
        <f t="shared" si="55"/>
        <v>0</v>
      </c>
      <c r="AL193" s="59">
        <v>2279</v>
      </c>
      <c r="AM193" s="59">
        <v>11781</v>
      </c>
      <c r="AN193" s="59">
        <v>1</v>
      </c>
      <c r="AO193" s="59">
        <v>0</v>
      </c>
      <c r="AP193" s="59">
        <v>16</v>
      </c>
      <c r="AQ193" s="59">
        <v>3</v>
      </c>
      <c r="AR193" s="59">
        <v>4</v>
      </c>
      <c r="AS193" s="59">
        <v>80</v>
      </c>
      <c r="AT193" s="59">
        <v>0</v>
      </c>
      <c r="AU193" s="59">
        <v>7</v>
      </c>
      <c r="AV193" s="59">
        <v>2</v>
      </c>
      <c r="AW193" s="59">
        <v>2</v>
      </c>
      <c r="AX193" s="59">
        <v>7</v>
      </c>
      <c r="AY193" s="59">
        <v>7</v>
      </c>
      <c r="AZ193" s="59">
        <v>0</v>
      </c>
      <c r="BA193" s="59">
        <v>3</v>
      </c>
      <c r="BB193" s="57">
        <f t="shared" si="56"/>
        <v>2279</v>
      </c>
    </row>
    <row r="194" spans="1:54" x14ac:dyDescent="0.25">
      <c r="A194" s="58">
        <v>35</v>
      </c>
      <c r="B194" s="59">
        <v>1</v>
      </c>
      <c r="C194" s="59">
        <v>1</v>
      </c>
      <c r="D194" s="59">
        <f t="shared" si="38"/>
        <v>1</v>
      </c>
      <c r="E194" s="59">
        <f t="shared" si="39"/>
        <v>0</v>
      </c>
      <c r="F194" s="59">
        <v>556</v>
      </c>
      <c r="G194" s="59">
        <v>2</v>
      </c>
      <c r="H194" s="59">
        <f t="shared" si="40"/>
        <v>0</v>
      </c>
      <c r="I194" s="59">
        <f t="shared" si="41"/>
        <v>1</v>
      </c>
      <c r="J194" s="59">
        <v>23</v>
      </c>
      <c r="K194" s="59">
        <v>2</v>
      </c>
      <c r="L194" s="59">
        <v>1</v>
      </c>
      <c r="M194" s="59">
        <f t="shared" si="42"/>
        <v>1</v>
      </c>
      <c r="N194" s="59">
        <f t="shared" si="43"/>
        <v>0</v>
      </c>
      <c r="O194" s="59">
        <f t="shared" si="44"/>
        <v>0</v>
      </c>
      <c r="P194" s="59">
        <f t="shared" si="45"/>
        <v>0</v>
      </c>
      <c r="Q194" s="59">
        <f t="shared" si="46"/>
        <v>0</v>
      </c>
      <c r="R194" s="59">
        <v>1</v>
      </c>
      <c r="S194" s="59">
        <v>261</v>
      </c>
      <c r="T194" s="59">
        <v>2</v>
      </c>
      <c r="U194" s="59">
        <v>1</v>
      </c>
      <c r="V194" s="59">
        <v>50</v>
      </c>
      <c r="W194" s="59">
        <v>2</v>
      </c>
      <c r="X194" s="59">
        <v>2</v>
      </c>
      <c r="Y194" s="59">
        <v>4</v>
      </c>
      <c r="Z194" s="59">
        <f t="shared" si="47"/>
        <v>0</v>
      </c>
      <c r="AA194" s="59">
        <f>IF('Updated Dummy'!Y194=2,1,0)</f>
        <v>0</v>
      </c>
      <c r="AB194" s="59">
        <f t="shared" si="48"/>
        <v>0</v>
      </c>
      <c r="AC194" s="59">
        <f t="shared" si="49"/>
        <v>1</v>
      </c>
      <c r="AD194" s="59">
        <f t="shared" si="50"/>
        <v>0</v>
      </c>
      <c r="AE194" s="59">
        <f t="shared" si="51"/>
        <v>0</v>
      </c>
      <c r="AF194" s="59">
        <f t="shared" si="52"/>
        <v>0</v>
      </c>
      <c r="AG194" s="59">
        <f t="shared" si="53"/>
        <v>0</v>
      </c>
      <c r="AH194" s="59">
        <v>3</v>
      </c>
      <c r="AI194" s="59">
        <v>2</v>
      </c>
      <c r="AJ194" s="59">
        <f t="shared" si="54"/>
        <v>0</v>
      </c>
      <c r="AK194" s="59">
        <f t="shared" si="55"/>
        <v>1</v>
      </c>
      <c r="AL194" s="59">
        <v>5916</v>
      </c>
      <c r="AM194" s="59">
        <v>15497</v>
      </c>
      <c r="AN194" s="59">
        <v>3</v>
      </c>
      <c r="AO194" s="59">
        <v>1</v>
      </c>
      <c r="AP194" s="59">
        <v>13</v>
      </c>
      <c r="AQ194" s="59">
        <v>3</v>
      </c>
      <c r="AR194" s="59">
        <v>1</v>
      </c>
      <c r="AS194" s="59">
        <v>80</v>
      </c>
      <c r="AT194" s="59">
        <v>0</v>
      </c>
      <c r="AU194" s="59">
        <v>8</v>
      </c>
      <c r="AV194" s="59">
        <v>1</v>
      </c>
      <c r="AW194" s="59">
        <v>3</v>
      </c>
      <c r="AX194" s="59">
        <v>1</v>
      </c>
      <c r="AY194" s="59">
        <v>0</v>
      </c>
      <c r="AZ194" s="59">
        <v>0</v>
      </c>
      <c r="BA194" s="59">
        <v>1</v>
      </c>
      <c r="BB194" s="57">
        <f t="shared" si="56"/>
        <v>11832</v>
      </c>
    </row>
    <row r="195" spans="1:54" x14ac:dyDescent="0.25">
      <c r="A195" s="58">
        <v>43</v>
      </c>
      <c r="B195" s="59">
        <v>0</v>
      </c>
      <c r="C195" s="59">
        <v>3</v>
      </c>
      <c r="D195" s="59">
        <f t="shared" ref="D195:D258" si="57">IF(C195=1,1,0)</f>
        <v>0</v>
      </c>
      <c r="E195" s="59">
        <f t="shared" ref="E195:E258" si="58">IF(C195=2,1,0)</f>
        <v>0</v>
      </c>
      <c r="F195" s="59">
        <v>1344</v>
      </c>
      <c r="G195" s="59">
        <v>2</v>
      </c>
      <c r="H195" s="59">
        <f t="shared" ref="H195:H258" si="59">IF(G195=1,1,0)</f>
        <v>0</v>
      </c>
      <c r="I195" s="59">
        <f t="shared" ref="I195:I258" si="60">IF(G195=2,1,0)</f>
        <v>1</v>
      </c>
      <c r="J195" s="59">
        <v>7</v>
      </c>
      <c r="K195" s="59">
        <v>3</v>
      </c>
      <c r="L195" s="59">
        <v>3</v>
      </c>
      <c r="M195" s="59">
        <f t="shared" ref="M195:M258" si="61">IF(L195=1,1,0)</f>
        <v>0</v>
      </c>
      <c r="N195" s="59">
        <f t="shared" ref="N195:N258" si="62">IF(L195=2,1,0)</f>
        <v>0</v>
      </c>
      <c r="O195" s="59">
        <f t="shared" ref="O195:O258" si="63">IF(L195=3,1,0)</f>
        <v>1</v>
      </c>
      <c r="P195" s="59">
        <f t="shared" ref="P195:P258" si="64">IF(L195=4,1,0)</f>
        <v>0</v>
      </c>
      <c r="Q195" s="59">
        <f t="shared" ref="Q195:Q258" si="65">IF(L195=5,1,0)</f>
        <v>0</v>
      </c>
      <c r="R195" s="59">
        <v>1</v>
      </c>
      <c r="S195" s="59">
        <v>262</v>
      </c>
      <c r="T195" s="59">
        <v>4</v>
      </c>
      <c r="U195" s="59">
        <v>1</v>
      </c>
      <c r="V195" s="59">
        <v>37</v>
      </c>
      <c r="W195" s="59">
        <v>4</v>
      </c>
      <c r="X195" s="59">
        <v>1</v>
      </c>
      <c r="Y195" s="59">
        <v>2</v>
      </c>
      <c r="Z195" s="59">
        <f t="shared" ref="Z195:Z258" si="66">IF(Y195=1,1,0)</f>
        <v>0</v>
      </c>
      <c r="AA195" s="59">
        <f>IF('Updated Dummy'!Y195=2,1,0)</f>
        <v>1</v>
      </c>
      <c r="AB195" s="59">
        <f t="shared" ref="AB195:AB258" si="67">IF(Y195=3,1,0)</f>
        <v>0</v>
      </c>
      <c r="AC195" s="59">
        <f t="shared" ref="AC195:AC258" si="68">IF(Y195=4,1,0)</f>
        <v>0</v>
      </c>
      <c r="AD195" s="59">
        <f t="shared" ref="AD195:AD258" si="69">IF(Y195=5,1,0)</f>
        <v>0</v>
      </c>
      <c r="AE195" s="59">
        <f t="shared" ref="AE195:AE258" si="70">IF(Y195=6,1,0)</f>
        <v>0</v>
      </c>
      <c r="AF195" s="59">
        <f t="shared" ref="AF195:AF258" si="71">IF(Y195=7,1,0)</f>
        <v>0</v>
      </c>
      <c r="AG195" s="59">
        <f t="shared" ref="AG195:AG258" si="72">IF(Y195=8,1,0)</f>
        <v>0</v>
      </c>
      <c r="AH195" s="59">
        <v>4</v>
      </c>
      <c r="AI195" s="59">
        <v>3</v>
      </c>
      <c r="AJ195" s="59">
        <f t="shared" ref="AJ195:AJ258" si="73">IF(AI195=1,1,0)</f>
        <v>0</v>
      </c>
      <c r="AK195" s="59">
        <f t="shared" ref="AK195:AK258" si="74">IF(AI195=2,1,0)</f>
        <v>0</v>
      </c>
      <c r="AL195" s="59">
        <v>2089</v>
      </c>
      <c r="AM195" s="59">
        <v>5228</v>
      </c>
      <c r="AN195" s="59">
        <v>4</v>
      </c>
      <c r="AO195" s="59">
        <v>0</v>
      </c>
      <c r="AP195" s="59">
        <v>14</v>
      </c>
      <c r="AQ195" s="59">
        <v>3</v>
      </c>
      <c r="AR195" s="59">
        <v>4</v>
      </c>
      <c r="AS195" s="59">
        <v>80</v>
      </c>
      <c r="AT195" s="59">
        <v>3</v>
      </c>
      <c r="AU195" s="59">
        <v>7</v>
      </c>
      <c r="AV195" s="59">
        <v>3</v>
      </c>
      <c r="AW195" s="59">
        <v>4</v>
      </c>
      <c r="AX195" s="59">
        <v>5</v>
      </c>
      <c r="AY195" s="59">
        <v>4</v>
      </c>
      <c r="AZ195" s="59">
        <v>2</v>
      </c>
      <c r="BA195" s="59">
        <v>2</v>
      </c>
      <c r="BB195" s="57">
        <f t="shared" ref="BB195:BB258" si="75">X195*AL195</f>
        <v>2089</v>
      </c>
    </row>
    <row r="196" spans="1:54" x14ac:dyDescent="0.25">
      <c r="A196" s="58">
        <v>45</v>
      </c>
      <c r="B196" s="59">
        <v>0</v>
      </c>
      <c r="C196" s="59">
        <v>3</v>
      </c>
      <c r="D196" s="59">
        <f t="shared" si="57"/>
        <v>0</v>
      </c>
      <c r="E196" s="59">
        <f t="shared" si="58"/>
        <v>0</v>
      </c>
      <c r="F196" s="59">
        <v>1195</v>
      </c>
      <c r="G196" s="59">
        <v>2</v>
      </c>
      <c r="H196" s="59">
        <f t="shared" si="59"/>
        <v>0</v>
      </c>
      <c r="I196" s="59">
        <f t="shared" si="60"/>
        <v>1</v>
      </c>
      <c r="J196" s="59">
        <v>2</v>
      </c>
      <c r="K196" s="59">
        <v>2</v>
      </c>
      <c r="L196" s="59">
        <v>3</v>
      </c>
      <c r="M196" s="59">
        <f t="shared" si="61"/>
        <v>0</v>
      </c>
      <c r="N196" s="59">
        <f t="shared" si="62"/>
        <v>0</v>
      </c>
      <c r="O196" s="59">
        <f t="shared" si="63"/>
        <v>1</v>
      </c>
      <c r="P196" s="59">
        <f t="shared" si="64"/>
        <v>0</v>
      </c>
      <c r="Q196" s="59">
        <f t="shared" si="65"/>
        <v>0</v>
      </c>
      <c r="R196" s="59">
        <v>1</v>
      </c>
      <c r="S196" s="59">
        <v>264</v>
      </c>
      <c r="T196" s="59">
        <v>1</v>
      </c>
      <c r="U196" s="59">
        <v>1</v>
      </c>
      <c r="V196" s="59">
        <v>65</v>
      </c>
      <c r="W196" s="59">
        <v>2</v>
      </c>
      <c r="X196" s="59">
        <v>4</v>
      </c>
      <c r="Y196" s="59">
        <v>6</v>
      </c>
      <c r="Z196" s="59">
        <f t="shared" si="66"/>
        <v>0</v>
      </c>
      <c r="AA196" s="59">
        <f>IF('Updated Dummy'!Y196=2,1,0)</f>
        <v>0</v>
      </c>
      <c r="AB196" s="59">
        <f t="shared" si="67"/>
        <v>0</v>
      </c>
      <c r="AC196" s="59">
        <f t="shared" si="68"/>
        <v>0</v>
      </c>
      <c r="AD196" s="59">
        <f t="shared" si="69"/>
        <v>0</v>
      </c>
      <c r="AE196" s="59">
        <f t="shared" si="70"/>
        <v>1</v>
      </c>
      <c r="AF196" s="59">
        <f t="shared" si="71"/>
        <v>0</v>
      </c>
      <c r="AG196" s="59">
        <f t="shared" si="72"/>
        <v>0</v>
      </c>
      <c r="AH196" s="59">
        <v>4</v>
      </c>
      <c r="AI196" s="59">
        <v>2</v>
      </c>
      <c r="AJ196" s="59">
        <f t="shared" si="73"/>
        <v>0</v>
      </c>
      <c r="AK196" s="59">
        <f t="shared" si="74"/>
        <v>1</v>
      </c>
      <c r="AL196" s="59">
        <v>16792</v>
      </c>
      <c r="AM196" s="59">
        <v>20462</v>
      </c>
      <c r="AN196" s="59">
        <v>9</v>
      </c>
      <c r="AO196" s="59">
        <v>0</v>
      </c>
      <c r="AP196" s="59">
        <v>23</v>
      </c>
      <c r="AQ196" s="59">
        <v>4</v>
      </c>
      <c r="AR196" s="59">
        <v>4</v>
      </c>
      <c r="AS196" s="59">
        <v>80</v>
      </c>
      <c r="AT196" s="59">
        <v>1</v>
      </c>
      <c r="AU196" s="59">
        <v>22</v>
      </c>
      <c r="AV196" s="59">
        <v>1</v>
      </c>
      <c r="AW196" s="59">
        <v>3</v>
      </c>
      <c r="AX196" s="59">
        <v>20</v>
      </c>
      <c r="AY196" s="59">
        <v>8</v>
      </c>
      <c r="AZ196" s="59">
        <v>11</v>
      </c>
      <c r="BA196" s="59">
        <v>8</v>
      </c>
      <c r="BB196" s="57">
        <f t="shared" si="75"/>
        <v>67168</v>
      </c>
    </row>
    <row r="197" spans="1:54" x14ac:dyDescent="0.25">
      <c r="A197" s="58">
        <v>37</v>
      </c>
      <c r="B197" s="59">
        <v>0</v>
      </c>
      <c r="C197" s="59">
        <v>1</v>
      </c>
      <c r="D197" s="59">
        <f t="shared" si="57"/>
        <v>1</v>
      </c>
      <c r="E197" s="59">
        <f t="shared" si="58"/>
        <v>0</v>
      </c>
      <c r="F197" s="59">
        <v>290</v>
      </c>
      <c r="G197" s="59">
        <v>2</v>
      </c>
      <c r="H197" s="59">
        <f t="shared" si="59"/>
        <v>0</v>
      </c>
      <c r="I197" s="59">
        <f t="shared" si="60"/>
        <v>1</v>
      </c>
      <c r="J197" s="59">
        <v>21</v>
      </c>
      <c r="K197" s="59">
        <v>3</v>
      </c>
      <c r="L197" s="59">
        <v>1</v>
      </c>
      <c r="M197" s="59">
        <f t="shared" si="61"/>
        <v>1</v>
      </c>
      <c r="N197" s="59">
        <f t="shared" si="62"/>
        <v>0</v>
      </c>
      <c r="O197" s="59">
        <f t="shared" si="63"/>
        <v>0</v>
      </c>
      <c r="P197" s="59">
        <f t="shared" si="64"/>
        <v>0</v>
      </c>
      <c r="Q197" s="59">
        <f t="shared" si="65"/>
        <v>0</v>
      </c>
      <c r="R197" s="59">
        <v>1</v>
      </c>
      <c r="S197" s="59">
        <v>267</v>
      </c>
      <c r="T197" s="59">
        <v>2</v>
      </c>
      <c r="U197" s="59">
        <v>1</v>
      </c>
      <c r="V197" s="59">
        <v>65</v>
      </c>
      <c r="W197" s="59">
        <v>4</v>
      </c>
      <c r="X197" s="59">
        <v>1</v>
      </c>
      <c r="Y197" s="59">
        <v>2</v>
      </c>
      <c r="Z197" s="59">
        <f t="shared" si="66"/>
        <v>0</v>
      </c>
      <c r="AA197" s="59">
        <f>IF('Updated Dummy'!Y197=2,1,0)</f>
        <v>1</v>
      </c>
      <c r="AB197" s="59">
        <f t="shared" si="67"/>
        <v>0</v>
      </c>
      <c r="AC197" s="59">
        <f t="shared" si="68"/>
        <v>0</v>
      </c>
      <c r="AD197" s="59">
        <f t="shared" si="69"/>
        <v>0</v>
      </c>
      <c r="AE197" s="59">
        <f t="shared" si="70"/>
        <v>0</v>
      </c>
      <c r="AF197" s="59">
        <f t="shared" si="71"/>
        <v>0</v>
      </c>
      <c r="AG197" s="59">
        <f t="shared" si="72"/>
        <v>0</v>
      </c>
      <c r="AH197" s="59">
        <v>1</v>
      </c>
      <c r="AI197" s="59">
        <v>2</v>
      </c>
      <c r="AJ197" s="59">
        <f t="shared" si="73"/>
        <v>0</v>
      </c>
      <c r="AK197" s="59">
        <f t="shared" si="74"/>
        <v>1</v>
      </c>
      <c r="AL197" s="59">
        <v>3564</v>
      </c>
      <c r="AM197" s="59">
        <v>22977</v>
      </c>
      <c r="AN197" s="59">
        <v>1</v>
      </c>
      <c r="AO197" s="59">
        <v>1</v>
      </c>
      <c r="AP197" s="59">
        <v>12</v>
      </c>
      <c r="AQ197" s="59">
        <v>3</v>
      </c>
      <c r="AR197" s="59">
        <v>1</v>
      </c>
      <c r="AS197" s="59">
        <v>80</v>
      </c>
      <c r="AT197" s="59">
        <v>1</v>
      </c>
      <c r="AU197" s="59">
        <v>8</v>
      </c>
      <c r="AV197" s="59">
        <v>3</v>
      </c>
      <c r="AW197" s="59">
        <v>2</v>
      </c>
      <c r="AX197" s="59">
        <v>8</v>
      </c>
      <c r="AY197" s="59">
        <v>7</v>
      </c>
      <c r="AZ197" s="59">
        <v>1</v>
      </c>
      <c r="BA197" s="59">
        <v>7</v>
      </c>
      <c r="BB197" s="57">
        <f t="shared" si="75"/>
        <v>3564</v>
      </c>
    </row>
    <row r="198" spans="1:54" x14ac:dyDescent="0.25">
      <c r="A198" s="58">
        <v>35</v>
      </c>
      <c r="B198" s="59">
        <v>0</v>
      </c>
      <c r="C198" s="59">
        <v>2</v>
      </c>
      <c r="D198" s="59">
        <f t="shared" si="57"/>
        <v>0</v>
      </c>
      <c r="E198" s="59">
        <f t="shared" si="58"/>
        <v>1</v>
      </c>
      <c r="F198" s="59">
        <v>138</v>
      </c>
      <c r="G198" s="59">
        <v>2</v>
      </c>
      <c r="H198" s="59">
        <f t="shared" si="59"/>
        <v>0</v>
      </c>
      <c r="I198" s="59">
        <f t="shared" si="60"/>
        <v>1</v>
      </c>
      <c r="J198" s="59">
        <v>2</v>
      </c>
      <c r="K198" s="59">
        <v>3</v>
      </c>
      <c r="L198" s="59">
        <v>3</v>
      </c>
      <c r="M198" s="59">
        <f t="shared" si="61"/>
        <v>0</v>
      </c>
      <c r="N198" s="59">
        <f t="shared" si="62"/>
        <v>0</v>
      </c>
      <c r="O198" s="59">
        <f t="shared" si="63"/>
        <v>1</v>
      </c>
      <c r="P198" s="59">
        <f t="shared" si="64"/>
        <v>0</v>
      </c>
      <c r="Q198" s="59">
        <f t="shared" si="65"/>
        <v>0</v>
      </c>
      <c r="R198" s="59">
        <v>1</v>
      </c>
      <c r="S198" s="59">
        <v>269</v>
      </c>
      <c r="T198" s="59">
        <v>2</v>
      </c>
      <c r="U198" s="59">
        <v>0</v>
      </c>
      <c r="V198" s="59">
        <v>37</v>
      </c>
      <c r="W198" s="59">
        <v>3</v>
      </c>
      <c r="X198" s="59">
        <v>2</v>
      </c>
      <c r="Y198" s="59">
        <v>3</v>
      </c>
      <c r="Z198" s="59">
        <f t="shared" si="66"/>
        <v>0</v>
      </c>
      <c r="AA198" s="59">
        <f>IF('Updated Dummy'!Y198=2,1,0)</f>
        <v>0</v>
      </c>
      <c r="AB198" s="59">
        <f t="shared" si="67"/>
        <v>1</v>
      </c>
      <c r="AC198" s="59">
        <f t="shared" si="68"/>
        <v>0</v>
      </c>
      <c r="AD198" s="59">
        <f t="shared" si="69"/>
        <v>0</v>
      </c>
      <c r="AE198" s="59">
        <f t="shared" si="70"/>
        <v>0</v>
      </c>
      <c r="AF198" s="59">
        <f t="shared" si="71"/>
        <v>0</v>
      </c>
      <c r="AG198" s="59">
        <f t="shared" si="72"/>
        <v>0</v>
      </c>
      <c r="AH198" s="59">
        <v>2</v>
      </c>
      <c r="AI198" s="59">
        <v>1</v>
      </c>
      <c r="AJ198" s="59">
        <f t="shared" si="73"/>
        <v>1</v>
      </c>
      <c r="AK198" s="59">
        <f t="shared" si="74"/>
        <v>0</v>
      </c>
      <c r="AL198" s="59">
        <v>4425</v>
      </c>
      <c r="AM198" s="59">
        <v>15986</v>
      </c>
      <c r="AN198" s="59">
        <v>5</v>
      </c>
      <c r="AO198" s="59">
        <v>0</v>
      </c>
      <c r="AP198" s="59">
        <v>11</v>
      </c>
      <c r="AQ198" s="59">
        <v>3</v>
      </c>
      <c r="AR198" s="59">
        <v>4</v>
      </c>
      <c r="AS198" s="59">
        <v>80</v>
      </c>
      <c r="AT198" s="59">
        <v>0</v>
      </c>
      <c r="AU198" s="59">
        <v>10</v>
      </c>
      <c r="AV198" s="59">
        <v>5</v>
      </c>
      <c r="AW198" s="59">
        <v>3</v>
      </c>
      <c r="AX198" s="59">
        <v>6</v>
      </c>
      <c r="AY198" s="59">
        <v>2</v>
      </c>
      <c r="AZ198" s="59">
        <v>1</v>
      </c>
      <c r="BA198" s="59">
        <v>2</v>
      </c>
      <c r="BB198" s="57">
        <f t="shared" si="75"/>
        <v>8850</v>
      </c>
    </row>
    <row r="199" spans="1:54" x14ac:dyDescent="0.25">
      <c r="A199" s="58">
        <v>42</v>
      </c>
      <c r="B199" s="59">
        <v>0</v>
      </c>
      <c r="C199" s="59">
        <v>3</v>
      </c>
      <c r="D199" s="59">
        <f t="shared" si="57"/>
        <v>0</v>
      </c>
      <c r="E199" s="59">
        <f t="shared" si="58"/>
        <v>0</v>
      </c>
      <c r="F199" s="59">
        <v>926</v>
      </c>
      <c r="G199" s="59">
        <v>2</v>
      </c>
      <c r="H199" s="59">
        <f t="shared" si="59"/>
        <v>0</v>
      </c>
      <c r="I199" s="59">
        <f t="shared" si="60"/>
        <v>1</v>
      </c>
      <c r="J199" s="59">
        <v>21</v>
      </c>
      <c r="K199" s="59">
        <v>2</v>
      </c>
      <c r="L199" s="59">
        <v>3</v>
      </c>
      <c r="M199" s="59">
        <f t="shared" si="61"/>
        <v>0</v>
      </c>
      <c r="N199" s="59">
        <f t="shared" si="62"/>
        <v>0</v>
      </c>
      <c r="O199" s="59">
        <f t="shared" si="63"/>
        <v>1</v>
      </c>
      <c r="P199" s="59">
        <f t="shared" si="64"/>
        <v>0</v>
      </c>
      <c r="Q199" s="59">
        <f t="shared" si="65"/>
        <v>0</v>
      </c>
      <c r="R199" s="59">
        <v>1</v>
      </c>
      <c r="S199" s="59">
        <v>270</v>
      </c>
      <c r="T199" s="59">
        <v>3</v>
      </c>
      <c r="U199" s="59">
        <v>0</v>
      </c>
      <c r="V199" s="59">
        <v>36</v>
      </c>
      <c r="W199" s="59">
        <v>3</v>
      </c>
      <c r="X199" s="59">
        <v>2</v>
      </c>
      <c r="Y199" s="59">
        <v>4</v>
      </c>
      <c r="Z199" s="59">
        <f t="shared" si="66"/>
        <v>0</v>
      </c>
      <c r="AA199" s="59">
        <f>IF('Updated Dummy'!Y199=2,1,0)</f>
        <v>0</v>
      </c>
      <c r="AB199" s="59">
        <f t="shared" si="67"/>
        <v>0</v>
      </c>
      <c r="AC199" s="59">
        <f t="shared" si="68"/>
        <v>1</v>
      </c>
      <c r="AD199" s="59">
        <f t="shared" si="69"/>
        <v>0</v>
      </c>
      <c r="AE199" s="59">
        <f t="shared" si="70"/>
        <v>0</v>
      </c>
      <c r="AF199" s="59">
        <f t="shared" si="71"/>
        <v>0</v>
      </c>
      <c r="AG199" s="59">
        <f t="shared" si="72"/>
        <v>0</v>
      </c>
      <c r="AH199" s="59">
        <v>3</v>
      </c>
      <c r="AI199" s="59">
        <v>3</v>
      </c>
      <c r="AJ199" s="59">
        <f t="shared" si="73"/>
        <v>0</v>
      </c>
      <c r="AK199" s="59">
        <f t="shared" si="74"/>
        <v>0</v>
      </c>
      <c r="AL199" s="59">
        <v>5265</v>
      </c>
      <c r="AM199" s="59">
        <v>16439</v>
      </c>
      <c r="AN199" s="59">
        <v>2</v>
      </c>
      <c r="AO199" s="59">
        <v>0</v>
      </c>
      <c r="AP199" s="59">
        <v>16</v>
      </c>
      <c r="AQ199" s="59">
        <v>3</v>
      </c>
      <c r="AR199" s="59">
        <v>2</v>
      </c>
      <c r="AS199" s="59">
        <v>80</v>
      </c>
      <c r="AT199" s="59">
        <v>1</v>
      </c>
      <c r="AU199" s="59">
        <v>11</v>
      </c>
      <c r="AV199" s="59">
        <v>5</v>
      </c>
      <c r="AW199" s="59">
        <v>3</v>
      </c>
      <c r="AX199" s="59">
        <v>5</v>
      </c>
      <c r="AY199" s="59">
        <v>3</v>
      </c>
      <c r="AZ199" s="59">
        <v>0</v>
      </c>
      <c r="BA199" s="59">
        <v>2</v>
      </c>
      <c r="BB199" s="57">
        <f t="shared" si="75"/>
        <v>10530</v>
      </c>
    </row>
    <row r="200" spans="1:54" x14ac:dyDescent="0.25">
      <c r="A200" s="58">
        <v>38</v>
      </c>
      <c r="B200" s="59">
        <v>0</v>
      </c>
      <c r="C200" s="59">
        <v>1</v>
      </c>
      <c r="D200" s="59">
        <f t="shared" si="57"/>
        <v>1</v>
      </c>
      <c r="E200" s="59">
        <f t="shared" si="58"/>
        <v>0</v>
      </c>
      <c r="F200" s="59">
        <v>1261</v>
      </c>
      <c r="G200" s="59">
        <v>2</v>
      </c>
      <c r="H200" s="59">
        <f t="shared" si="59"/>
        <v>0</v>
      </c>
      <c r="I200" s="59">
        <f t="shared" si="60"/>
        <v>1</v>
      </c>
      <c r="J200" s="59">
        <v>2</v>
      </c>
      <c r="K200" s="59">
        <v>4</v>
      </c>
      <c r="L200" s="59">
        <v>1</v>
      </c>
      <c r="M200" s="59">
        <f t="shared" si="61"/>
        <v>1</v>
      </c>
      <c r="N200" s="59">
        <f t="shared" si="62"/>
        <v>0</v>
      </c>
      <c r="O200" s="59">
        <f t="shared" si="63"/>
        <v>0</v>
      </c>
      <c r="P200" s="59">
        <f t="shared" si="64"/>
        <v>0</v>
      </c>
      <c r="Q200" s="59">
        <f t="shared" si="65"/>
        <v>0</v>
      </c>
      <c r="R200" s="59">
        <v>1</v>
      </c>
      <c r="S200" s="59">
        <v>271</v>
      </c>
      <c r="T200" s="59">
        <v>4</v>
      </c>
      <c r="U200" s="59">
        <v>1</v>
      </c>
      <c r="V200" s="59">
        <v>88</v>
      </c>
      <c r="W200" s="59">
        <v>3</v>
      </c>
      <c r="X200" s="59">
        <v>2</v>
      </c>
      <c r="Y200" s="59">
        <v>4</v>
      </c>
      <c r="Z200" s="59">
        <f t="shared" si="66"/>
        <v>0</v>
      </c>
      <c r="AA200" s="59">
        <f>IF('Updated Dummy'!Y200=2,1,0)</f>
        <v>0</v>
      </c>
      <c r="AB200" s="59">
        <f t="shared" si="67"/>
        <v>0</v>
      </c>
      <c r="AC200" s="59">
        <f t="shared" si="68"/>
        <v>1</v>
      </c>
      <c r="AD200" s="59">
        <f t="shared" si="69"/>
        <v>0</v>
      </c>
      <c r="AE200" s="59">
        <f t="shared" si="70"/>
        <v>0</v>
      </c>
      <c r="AF200" s="59">
        <f t="shared" si="71"/>
        <v>0</v>
      </c>
      <c r="AG200" s="59">
        <f t="shared" si="72"/>
        <v>0</v>
      </c>
      <c r="AH200" s="59">
        <v>3</v>
      </c>
      <c r="AI200" s="59">
        <v>2</v>
      </c>
      <c r="AJ200" s="59">
        <f t="shared" si="73"/>
        <v>0</v>
      </c>
      <c r="AK200" s="59">
        <f t="shared" si="74"/>
        <v>1</v>
      </c>
      <c r="AL200" s="59">
        <v>6553</v>
      </c>
      <c r="AM200" s="59">
        <v>7259</v>
      </c>
      <c r="AN200" s="59">
        <v>9</v>
      </c>
      <c r="AO200" s="59">
        <v>0</v>
      </c>
      <c r="AP200" s="59">
        <v>14</v>
      </c>
      <c r="AQ200" s="59">
        <v>3</v>
      </c>
      <c r="AR200" s="59">
        <v>2</v>
      </c>
      <c r="AS200" s="59">
        <v>80</v>
      </c>
      <c r="AT200" s="59">
        <v>0</v>
      </c>
      <c r="AU200" s="59">
        <v>14</v>
      </c>
      <c r="AV200" s="59">
        <v>3</v>
      </c>
      <c r="AW200" s="59">
        <v>3</v>
      </c>
      <c r="AX200" s="59">
        <v>1</v>
      </c>
      <c r="AY200" s="59">
        <v>0</v>
      </c>
      <c r="AZ200" s="59">
        <v>0</v>
      </c>
      <c r="BA200" s="59">
        <v>0</v>
      </c>
      <c r="BB200" s="57">
        <f t="shared" si="75"/>
        <v>13106</v>
      </c>
    </row>
    <row r="201" spans="1:54" x14ac:dyDescent="0.25">
      <c r="A201" s="58">
        <v>38</v>
      </c>
      <c r="B201" s="59">
        <v>0</v>
      </c>
      <c r="C201" s="59">
        <v>1</v>
      </c>
      <c r="D201" s="59">
        <f t="shared" si="57"/>
        <v>1</v>
      </c>
      <c r="E201" s="59">
        <f t="shared" si="58"/>
        <v>0</v>
      </c>
      <c r="F201" s="59">
        <v>1084</v>
      </c>
      <c r="G201" s="59">
        <v>2</v>
      </c>
      <c r="H201" s="59">
        <f t="shared" si="59"/>
        <v>0</v>
      </c>
      <c r="I201" s="59">
        <f t="shared" si="60"/>
        <v>1</v>
      </c>
      <c r="J201" s="59">
        <v>29</v>
      </c>
      <c r="K201" s="59">
        <v>3</v>
      </c>
      <c r="L201" s="59">
        <v>5</v>
      </c>
      <c r="M201" s="59">
        <f t="shared" si="61"/>
        <v>0</v>
      </c>
      <c r="N201" s="59">
        <f t="shared" si="62"/>
        <v>0</v>
      </c>
      <c r="O201" s="59">
        <f t="shared" si="63"/>
        <v>0</v>
      </c>
      <c r="P201" s="59">
        <f t="shared" si="64"/>
        <v>0</v>
      </c>
      <c r="Q201" s="59">
        <f t="shared" si="65"/>
        <v>1</v>
      </c>
      <c r="R201" s="59">
        <v>1</v>
      </c>
      <c r="S201" s="59">
        <v>273</v>
      </c>
      <c r="T201" s="59">
        <v>4</v>
      </c>
      <c r="U201" s="59">
        <v>1</v>
      </c>
      <c r="V201" s="59">
        <v>54</v>
      </c>
      <c r="W201" s="59">
        <v>3</v>
      </c>
      <c r="X201" s="59">
        <v>2</v>
      </c>
      <c r="Y201" s="59">
        <v>4</v>
      </c>
      <c r="Z201" s="59">
        <f t="shared" si="66"/>
        <v>0</v>
      </c>
      <c r="AA201" s="59">
        <f>IF('Updated Dummy'!Y201=2,1,0)</f>
        <v>0</v>
      </c>
      <c r="AB201" s="59">
        <f t="shared" si="67"/>
        <v>0</v>
      </c>
      <c r="AC201" s="59">
        <f t="shared" si="68"/>
        <v>1</v>
      </c>
      <c r="AD201" s="59">
        <f t="shared" si="69"/>
        <v>0</v>
      </c>
      <c r="AE201" s="59">
        <f t="shared" si="70"/>
        <v>0</v>
      </c>
      <c r="AF201" s="59">
        <f t="shared" si="71"/>
        <v>0</v>
      </c>
      <c r="AG201" s="59">
        <f t="shared" si="72"/>
        <v>0</v>
      </c>
      <c r="AH201" s="59">
        <v>4</v>
      </c>
      <c r="AI201" s="59">
        <v>2</v>
      </c>
      <c r="AJ201" s="59">
        <f t="shared" si="73"/>
        <v>0</v>
      </c>
      <c r="AK201" s="59">
        <f t="shared" si="74"/>
        <v>1</v>
      </c>
      <c r="AL201" s="59">
        <v>6261</v>
      </c>
      <c r="AM201" s="59">
        <v>4185</v>
      </c>
      <c r="AN201" s="59">
        <v>3</v>
      </c>
      <c r="AO201" s="59">
        <v>0</v>
      </c>
      <c r="AP201" s="59">
        <v>18</v>
      </c>
      <c r="AQ201" s="59">
        <v>3</v>
      </c>
      <c r="AR201" s="59">
        <v>1</v>
      </c>
      <c r="AS201" s="59">
        <v>80</v>
      </c>
      <c r="AT201" s="59">
        <v>1</v>
      </c>
      <c r="AU201" s="59">
        <v>9</v>
      </c>
      <c r="AV201" s="59">
        <v>3</v>
      </c>
      <c r="AW201" s="59">
        <v>1</v>
      </c>
      <c r="AX201" s="59">
        <v>7</v>
      </c>
      <c r="AY201" s="59">
        <v>7</v>
      </c>
      <c r="AZ201" s="59">
        <v>1</v>
      </c>
      <c r="BA201" s="59">
        <v>7</v>
      </c>
      <c r="BB201" s="57">
        <f t="shared" si="75"/>
        <v>12522</v>
      </c>
    </row>
    <row r="202" spans="1:54" x14ac:dyDescent="0.25">
      <c r="A202" s="58">
        <v>27</v>
      </c>
      <c r="B202" s="59">
        <v>0</v>
      </c>
      <c r="C202" s="59">
        <v>2</v>
      </c>
      <c r="D202" s="59">
        <f t="shared" si="57"/>
        <v>0</v>
      </c>
      <c r="E202" s="59">
        <f t="shared" si="58"/>
        <v>1</v>
      </c>
      <c r="F202" s="59">
        <v>472</v>
      </c>
      <c r="G202" s="59">
        <v>2</v>
      </c>
      <c r="H202" s="59">
        <f t="shared" si="59"/>
        <v>0</v>
      </c>
      <c r="I202" s="59">
        <f t="shared" si="60"/>
        <v>1</v>
      </c>
      <c r="J202" s="59">
        <v>1</v>
      </c>
      <c r="K202" s="59">
        <v>1</v>
      </c>
      <c r="L202" s="59">
        <v>5</v>
      </c>
      <c r="M202" s="59">
        <f t="shared" si="61"/>
        <v>0</v>
      </c>
      <c r="N202" s="59">
        <f t="shared" si="62"/>
        <v>0</v>
      </c>
      <c r="O202" s="59">
        <f t="shared" si="63"/>
        <v>0</v>
      </c>
      <c r="P202" s="59">
        <f t="shared" si="64"/>
        <v>0</v>
      </c>
      <c r="Q202" s="59">
        <f t="shared" si="65"/>
        <v>1</v>
      </c>
      <c r="R202" s="59">
        <v>1</v>
      </c>
      <c r="S202" s="59">
        <v>274</v>
      </c>
      <c r="T202" s="59">
        <v>3</v>
      </c>
      <c r="U202" s="59">
        <v>1</v>
      </c>
      <c r="V202" s="59">
        <v>60</v>
      </c>
      <c r="W202" s="59">
        <v>2</v>
      </c>
      <c r="X202" s="59">
        <v>2</v>
      </c>
      <c r="Y202" s="59">
        <v>4</v>
      </c>
      <c r="Z202" s="59">
        <f t="shared" si="66"/>
        <v>0</v>
      </c>
      <c r="AA202" s="59">
        <f>IF('Updated Dummy'!Y202=2,1,0)</f>
        <v>0</v>
      </c>
      <c r="AB202" s="59">
        <f t="shared" si="67"/>
        <v>0</v>
      </c>
      <c r="AC202" s="59">
        <f t="shared" si="68"/>
        <v>1</v>
      </c>
      <c r="AD202" s="59">
        <f t="shared" si="69"/>
        <v>0</v>
      </c>
      <c r="AE202" s="59">
        <f t="shared" si="70"/>
        <v>0</v>
      </c>
      <c r="AF202" s="59">
        <f t="shared" si="71"/>
        <v>0</v>
      </c>
      <c r="AG202" s="59">
        <f t="shared" si="72"/>
        <v>0</v>
      </c>
      <c r="AH202" s="59">
        <v>1</v>
      </c>
      <c r="AI202" s="59">
        <v>2</v>
      </c>
      <c r="AJ202" s="59">
        <f t="shared" si="73"/>
        <v>0</v>
      </c>
      <c r="AK202" s="59">
        <f t="shared" si="74"/>
        <v>1</v>
      </c>
      <c r="AL202" s="59">
        <v>4298</v>
      </c>
      <c r="AM202" s="59">
        <v>9679</v>
      </c>
      <c r="AN202" s="59">
        <v>5</v>
      </c>
      <c r="AO202" s="59">
        <v>0</v>
      </c>
      <c r="AP202" s="59">
        <v>19</v>
      </c>
      <c r="AQ202" s="59">
        <v>3</v>
      </c>
      <c r="AR202" s="59">
        <v>3</v>
      </c>
      <c r="AS202" s="59">
        <v>80</v>
      </c>
      <c r="AT202" s="59">
        <v>1</v>
      </c>
      <c r="AU202" s="59">
        <v>6</v>
      </c>
      <c r="AV202" s="59">
        <v>1</v>
      </c>
      <c r="AW202" s="59">
        <v>3</v>
      </c>
      <c r="AX202" s="59">
        <v>2</v>
      </c>
      <c r="AY202" s="59">
        <v>2</v>
      </c>
      <c r="AZ202" s="59">
        <v>2</v>
      </c>
      <c r="BA202" s="59">
        <v>0</v>
      </c>
      <c r="BB202" s="57">
        <f t="shared" si="75"/>
        <v>8596</v>
      </c>
    </row>
    <row r="203" spans="1:54" x14ac:dyDescent="0.25">
      <c r="A203" s="58">
        <v>49</v>
      </c>
      <c r="B203" s="59">
        <v>0</v>
      </c>
      <c r="C203" s="59">
        <v>3</v>
      </c>
      <c r="D203" s="59">
        <f t="shared" si="57"/>
        <v>0</v>
      </c>
      <c r="E203" s="59">
        <f t="shared" si="58"/>
        <v>0</v>
      </c>
      <c r="F203" s="59">
        <v>1002</v>
      </c>
      <c r="G203" s="59">
        <v>2</v>
      </c>
      <c r="H203" s="59">
        <f t="shared" si="59"/>
        <v>0</v>
      </c>
      <c r="I203" s="59">
        <f t="shared" si="60"/>
        <v>1</v>
      </c>
      <c r="J203" s="59">
        <v>18</v>
      </c>
      <c r="K203" s="59">
        <v>4</v>
      </c>
      <c r="L203" s="59">
        <v>1</v>
      </c>
      <c r="M203" s="59">
        <f t="shared" si="61"/>
        <v>1</v>
      </c>
      <c r="N203" s="59">
        <f t="shared" si="62"/>
        <v>0</v>
      </c>
      <c r="O203" s="59">
        <f t="shared" si="63"/>
        <v>0</v>
      </c>
      <c r="P203" s="59">
        <f t="shared" si="64"/>
        <v>0</v>
      </c>
      <c r="Q203" s="59">
        <f t="shared" si="65"/>
        <v>0</v>
      </c>
      <c r="R203" s="59">
        <v>1</v>
      </c>
      <c r="S203" s="59">
        <v>275</v>
      </c>
      <c r="T203" s="59">
        <v>4</v>
      </c>
      <c r="U203" s="59">
        <v>1</v>
      </c>
      <c r="V203" s="59">
        <v>92</v>
      </c>
      <c r="W203" s="59">
        <v>3</v>
      </c>
      <c r="X203" s="59">
        <v>2</v>
      </c>
      <c r="Y203" s="59">
        <v>4</v>
      </c>
      <c r="Z203" s="59">
        <f t="shared" si="66"/>
        <v>0</v>
      </c>
      <c r="AA203" s="59">
        <f>IF('Updated Dummy'!Y203=2,1,0)</f>
        <v>0</v>
      </c>
      <c r="AB203" s="59">
        <f t="shared" si="67"/>
        <v>0</v>
      </c>
      <c r="AC203" s="59">
        <f t="shared" si="68"/>
        <v>1</v>
      </c>
      <c r="AD203" s="59">
        <f t="shared" si="69"/>
        <v>0</v>
      </c>
      <c r="AE203" s="59">
        <f t="shared" si="70"/>
        <v>0</v>
      </c>
      <c r="AF203" s="59">
        <f t="shared" si="71"/>
        <v>0</v>
      </c>
      <c r="AG203" s="59">
        <f t="shared" si="72"/>
        <v>0</v>
      </c>
      <c r="AH203" s="59">
        <v>4</v>
      </c>
      <c r="AI203" s="59">
        <v>3</v>
      </c>
      <c r="AJ203" s="59">
        <f t="shared" si="73"/>
        <v>0</v>
      </c>
      <c r="AK203" s="59">
        <f t="shared" si="74"/>
        <v>0</v>
      </c>
      <c r="AL203" s="59">
        <v>6804</v>
      </c>
      <c r="AM203" s="59">
        <v>23793</v>
      </c>
      <c r="AN203" s="59">
        <v>1</v>
      </c>
      <c r="AO203" s="59">
        <v>1</v>
      </c>
      <c r="AP203" s="59">
        <v>15</v>
      </c>
      <c r="AQ203" s="59">
        <v>3</v>
      </c>
      <c r="AR203" s="59">
        <v>1</v>
      </c>
      <c r="AS203" s="59">
        <v>80</v>
      </c>
      <c r="AT203" s="59">
        <v>2</v>
      </c>
      <c r="AU203" s="59">
        <v>7</v>
      </c>
      <c r="AV203" s="59">
        <v>0</v>
      </c>
      <c r="AW203" s="59">
        <v>3</v>
      </c>
      <c r="AX203" s="59">
        <v>7</v>
      </c>
      <c r="AY203" s="59">
        <v>7</v>
      </c>
      <c r="AZ203" s="59">
        <v>1</v>
      </c>
      <c r="BA203" s="59">
        <v>7</v>
      </c>
      <c r="BB203" s="57">
        <f t="shared" si="75"/>
        <v>13608</v>
      </c>
    </row>
    <row r="204" spans="1:54" x14ac:dyDescent="0.25">
      <c r="A204" s="58">
        <v>34</v>
      </c>
      <c r="B204" s="59">
        <v>0</v>
      </c>
      <c r="C204" s="59">
        <v>2</v>
      </c>
      <c r="D204" s="59">
        <f t="shared" si="57"/>
        <v>0</v>
      </c>
      <c r="E204" s="59">
        <f t="shared" si="58"/>
        <v>1</v>
      </c>
      <c r="F204" s="59">
        <v>878</v>
      </c>
      <c r="G204" s="59">
        <v>2</v>
      </c>
      <c r="H204" s="59">
        <f t="shared" si="59"/>
        <v>0</v>
      </c>
      <c r="I204" s="59">
        <f t="shared" si="60"/>
        <v>1</v>
      </c>
      <c r="J204" s="59">
        <v>10</v>
      </c>
      <c r="K204" s="59">
        <v>4</v>
      </c>
      <c r="L204" s="59">
        <v>3</v>
      </c>
      <c r="M204" s="59">
        <f t="shared" si="61"/>
        <v>0</v>
      </c>
      <c r="N204" s="59">
        <f t="shared" si="62"/>
        <v>0</v>
      </c>
      <c r="O204" s="59">
        <f t="shared" si="63"/>
        <v>1</v>
      </c>
      <c r="P204" s="59">
        <f t="shared" si="64"/>
        <v>0</v>
      </c>
      <c r="Q204" s="59">
        <f t="shared" si="65"/>
        <v>0</v>
      </c>
      <c r="R204" s="59">
        <v>1</v>
      </c>
      <c r="S204" s="59">
        <v>277</v>
      </c>
      <c r="T204" s="59">
        <v>4</v>
      </c>
      <c r="U204" s="59">
        <v>1</v>
      </c>
      <c r="V204" s="59">
        <v>43</v>
      </c>
      <c r="W204" s="59">
        <v>3</v>
      </c>
      <c r="X204" s="59">
        <v>1</v>
      </c>
      <c r="Y204" s="59">
        <v>2</v>
      </c>
      <c r="Z204" s="59">
        <f t="shared" si="66"/>
        <v>0</v>
      </c>
      <c r="AA204" s="59">
        <f>IF('Updated Dummy'!Y204=2,1,0)</f>
        <v>1</v>
      </c>
      <c r="AB204" s="59">
        <f t="shared" si="67"/>
        <v>0</v>
      </c>
      <c r="AC204" s="59">
        <f t="shared" si="68"/>
        <v>0</v>
      </c>
      <c r="AD204" s="59">
        <f t="shared" si="69"/>
        <v>0</v>
      </c>
      <c r="AE204" s="59">
        <f t="shared" si="70"/>
        <v>0</v>
      </c>
      <c r="AF204" s="59">
        <f t="shared" si="71"/>
        <v>0</v>
      </c>
      <c r="AG204" s="59">
        <f t="shared" si="72"/>
        <v>0</v>
      </c>
      <c r="AH204" s="59">
        <v>3</v>
      </c>
      <c r="AI204" s="59">
        <v>3</v>
      </c>
      <c r="AJ204" s="59">
        <f t="shared" si="73"/>
        <v>0</v>
      </c>
      <c r="AK204" s="59">
        <f t="shared" si="74"/>
        <v>0</v>
      </c>
      <c r="AL204" s="59">
        <v>3815</v>
      </c>
      <c r="AM204" s="59">
        <v>5972</v>
      </c>
      <c r="AN204" s="59">
        <v>1</v>
      </c>
      <c r="AO204" s="59">
        <v>1</v>
      </c>
      <c r="AP204" s="59">
        <v>17</v>
      </c>
      <c r="AQ204" s="59">
        <v>3</v>
      </c>
      <c r="AR204" s="59">
        <v>4</v>
      </c>
      <c r="AS204" s="59">
        <v>80</v>
      </c>
      <c r="AT204" s="59">
        <v>1</v>
      </c>
      <c r="AU204" s="59">
        <v>5</v>
      </c>
      <c r="AV204" s="59">
        <v>4</v>
      </c>
      <c r="AW204" s="59">
        <v>4</v>
      </c>
      <c r="AX204" s="59">
        <v>5</v>
      </c>
      <c r="AY204" s="59">
        <v>3</v>
      </c>
      <c r="AZ204" s="59">
        <v>2</v>
      </c>
      <c r="BA204" s="59">
        <v>0</v>
      </c>
      <c r="BB204" s="57">
        <f t="shared" si="75"/>
        <v>3815</v>
      </c>
    </row>
    <row r="205" spans="1:54" x14ac:dyDescent="0.25">
      <c r="A205" s="58">
        <v>40</v>
      </c>
      <c r="B205" s="59">
        <v>0</v>
      </c>
      <c r="C205" s="59">
        <v>1</v>
      </c>
      <c r="D205" s="59">
        <f t="shared" si="57"/>
        <v>1</v>
      </c>
      <c r="E205" s="59">
        <f t="shared" si="58"/>
        <v>0</v>
      </c>
      <c r="F205" s="59">
        <v>905</v>
      </c>
      <c r="G205" s="59">
        <v>2</v>
      </c>
      <c r="H205" s="59">
        <f t="shared" si="59"/>
        <v>0</v>
      </c>
      <c r="I205" s="59">
        <f t="shared" si="60"/>
        <v>1</v>
      </c>
      <c r="J205" s="59">
        <v>19</v>
      </c>
      <c r="K205" s="59">
        <v>2</v>
      </c>
      <c r="L205" s="59">
        <v>3</v>
      </c>
      <c r="M205" s="59">
        <f t="shared" si="61"/>
        <v>0</v>
      </c>
      <c r="N205" s="59">
        <f t="shared" si="62"/>
        <v>0</v>
      </c>
      <c r="O205" s="59">
        <f t="shared" si="63"/>
        <v>1</v>
      </c>
      <c r="P205" s="59">
        <f t="shared" si="64"/>
        <v>0</v>
      </c>
      <c r="Q205" s="59">
        <f t="shared" si="65"/>
        <v>0</v>
      </c>
      <c r="R205" s="59">
        <v>1</v>
      </c>
      <c r="S205" s="59">
        <v>281</v>
      </c>
      <c r="T205" s="59">
        <v>3</v>
      </c>
      <c r="U205" s="59">
        <v>1</v>
      </c>
      <c r="V205" s="59">
        <v>99</v>
      </c>
      <c r="W205" s="59">
        <v>3</v>
      </c>
      <c r="X205" s="59">
        <v>2</v>
      </c>
      <c r="Y205" s="59">
        <v>3</v>
      </c>
      <c r="Z205" s="59">
        <f t="shared" si="66"/>
        <v>0</v>
      </c>
      <c r="AA205" s="59">
        <f>IF('Updated Dummy'!Y205=2,1,0)</f>
        <v>0</v>
      </c>
      <c r="AB205" s="59">
        <f t="shared" si="67"/>
        <v>1</v>
      </c>
      <c r="AC205" s="59">
        <f t="shared" si="68"/>
        <v>0</v>
      </c>
      <c r="AD205" s="59">
        <f t="shared" si="69"/>
        <v>0</v>
      </c>
      <c r="AE205" s="59">
        <f t="shared" si="70"/>
        <v>0</v>
      </c>
      <c r="AF205" s="59">
        <f t="shared" si="71"/>
        <v>0</v>
      </c>
      <c r="AG205" s="59">
        <f t="shared" si="72"/>
        <v>0</v>
      </c>
      <c r="AH205" s="59">
        <v>4</v>
      </c>
      <c r="AI205" s="59">
        <v>2</v>
      </c>
      <c r="AJ205" s="59">
        <f t="shared" si="73"/>
        <v>0</v>
      </c>
      <c r="AK205" s="59">
        <f t="shared" si="74"/>
        <v>1</v>
      </c>
      <c r="AL205" s="59">
        <v>2741</v>
      </c>
      <c r="AM205" s="59">
        <v>16523</v>
      </c>
      <c r="AN205" s="59">
        <v>8</v>
      </c>
      <c r="AO205" s="59">
        <v>1</v>
      </c>
      <c r="AP205" s="59">
        <v>15</v>
      </c>
      <c r="AQ205" s="59">
        <v>3</v>
      </c>
      <c r="AR205" s="59">
        <v>3</v>
      </c>
      <c r="AS205" s="59">
        <v>80</v>
      </c>
      <c r="AT205" s="59">
        <v>1</v>
      </c>
      <c r="AU205" s="59">
        <v>15</v>
      </c>
      <c r="AV205" s="59">
        <v>2</v>
      </c>
      <c r="AW205" s="59">
        <v>4</v>
      </c>
      <c r="AX205" s="59">
        <v>7</v>
      </c>
      <c r="AY205" s="59">
        <v>2</v>
      </c>
      <c r="AZ205" s="59">
        <v>3</v>
      </c>
      <c r="BA205" s="59">
        <v>7</v>
      </c>
      <c r="BB205" s="57">
        <f t="shared" si="75"/>
        <v>5482</v>
      </c>
    </row>
    <row r="206" spans="1:54" x14ac:dyDescent="0.25">
      <c r="A206" s="58">
        <v>38</v>
      </c>
      <c r="B206" s="59">
        <v>1</v>
      </c>
      <c r="C206" s="59">
        <v>1</v>
      </c>
      <c r="D206" s="59">
        <f t="shared" si="57"/>
        <v>1</v>
      </c>
      <c r="E206" s="59">
        <f t="shared" si="58"/>
        <v>0</v>
      </c>
      <c r="F206" s="59">
        <v>1180</v>
      </c>
      <c r="G206" s="59">
        <v>2</v>
      </c>
      <c r="H206" s="59">
        <f t="shared" si="59"/>
        <v>0</v>
      </c>
      <c r="I206" s="59">
        <f t="shared" si="60"/>
        <v>1</v>
      </c>
      <c r="J206" s="59">
        <v>29</v>
      </c>
      <c r="K206" s="59">
        <v>1</v>
      </c>
      <c r="L206" s="59">
        <v>3</v>
      </c>
      <c r="M206" s="59">
        <f t="shared" si="61"/>
        <v>0</v>
      </c>
      <c r="N206" s="59">
        <f t="shared" si="62"/>
        <v>0</v>
      </c>
      <c r="O206" s="59">
        <f t="shared" si="63"/>
        <v>1</v>
      </c>
      <c r="P206" s="59">
        <f t="shared" si="64"/>
        <v>0</v>
      </c>
      <c r="Q206" s="59">
        <f t="shared" si="65"/>
        <v>0</v>
      </c>
      <c r="R206" s="59">
        <v>1</v>
      </c>
      <c r="S206" s="59">
        <v>282</v>
      </c>
      <c r="T206" s="59">
        <v>2</v>
      </c>
      <c r="U206" s="59">
        <v>1</v>
      </c>
      <c r="V206" s="59">
        <v>70</v>
      </c>
      <c r="W206" s="59">
        <v>3</v>
      </c>
      <c r="X206" s="59">
        <v>2</v>
      </c>
      <c r="Y206" s="59">
        <v>5</v>
      </c>
      <c r="Z206" s="59">
        <f t="shared" si="66"/>
        <v>0</v>
      </c>
      <c r="AA206" s="59">
        <f>IF('Updated Dummy'!Y206=2,1,0)</f>
        <v>0</v>
      </c>
      <c r="AB206" s="59">
        <f t="shared" si="67"/>
        <v>0</v>
      </c>
      <c r="AC206" s="59">
        <f t="shared" si="68"/>
        <v>0</v>
      </c>
      <c r="AD206" s="59">
        <f t="shared" si="69"/>
        <v>1</v>
      </c>
      <c r="AE206" s="59">
        <f t="shared" si="70"/>
        <v>0</v>
      </c>
      <c r="AF206" s="59">
        <f t="shared" si="71"/>
        <v>0</v>
      </c>
      <c r="AG206" s="59">
        <f t="shared" si="72"/>
        <v>0</v>
      </c>
      <c r="AH206" s="59">
        <v>1</v>
      </c>
      <c r="AI206" s="59">
        <v>2</v>
      </c>
      <c r="AJ206" s="59">
        <f t="shared" si="73"/>
        <v>0</v>
      </c>
      <c r="AK206" s="59">
        <f t="shared" si="74"/>
        <v>1</v>
      </c>
      <c r="AL206" s="59">
        <v>6673</v>
      </c>
      <c r="AM206" s="59">
        <v>11354</v>
      </c>
      <c r="AN206" s="59">
        <v>7</v>
      </c>
      <c r="AO206" s="59">
        <v>1</v>
      </c>
      <c r="AP206" s="59">
        <v>19</v>
      </c>
      <c r="AQ206" s="59">
        <v>3</v>
      </c>
      <c r="AR206" s="59">
        <v>2</v>
      </c>
      <c r="AS206" s="59">
        <v>80</v>
      </c>
      <c r="AT206" s="59">
        <v>0</v>
      </c>
      <c r="AU206" s="59">
        <v>17</v>
      </c>
      <c r="AV206" s="59">
        <v>2</v>
      </c>
      <c r="AW206" s="59">
        <v>3</v>
      </c>
      <c r="AX206" s="59">
        <v>1</v>
      </c>
      <c r="AY206" s="59">
        <v>0</v>
      </c>
      <c r="AZ206" s="59">
        <v>0</v>
      </c>
      <c r="BA206" s="59">
        <v>0</v>
      </c>
      <c r="BB206" s="57">
        <f t="shared" si="75"/>
        <v>13346</v>
      </c>
    </row>
    <row r="207" spans="1:54" x14ac:dyDescent="0.25">
      <c r="A207" s="58">
        <v>29</v>
      </c>
      <c r="B207" s="59">
        <v>1</v>
      </c>
      <c r="C207" s="59">
        <v>1</v>
      </c>
      <c r="D207" s="59">
        <f t="shared" si="57"/>
        <v>1</v>
      </c>
      <c r="E207" s="59">
        <f t="shared" si="58"/>
        <v>0</v>
      </c>
      <c r="F207" s="59">
        <v>121</v>
      </c>
      <c r="G207" s="59">
        <v>1</v>
      </c>
      <c r="H207" s="59">
        <f t="shared" si="59"/>
        <v>1</v>
      </c>
      <c r="I207" s="59">
        <f t="shared" si="60"/>
        <v>0</v>
      </c>
      <c r="J207" s="59">
        <v>27</v>
      </c>
      <c r="K207" s="59">
        <v>3</v>
      </c>
      <c r="L207" s="59">
        <v>4</v>
      </c>
      <c r="M207" s="59">
        <f t="shared" si="61"/>
        <v>0</v>
      </c>
      <c r="N207" s="59">
        <f t="shared" si="62"/>
        <v>0</v>
      </c>
      <c r="O207" s="59">
        <f t="shared" si="63"/>
        <v>0</v>
      </c>
      <c r="P207" s="59">
        <f t="shared" si="64"/>
        <v>1</v>
      </c>
      <c r="Q207" s="59">
        <f t="shared" si="65"/>
        <v>0</v>
      </c>
      <c r="R207" s="59">
        <v>1</v>
      </c>
      <c r="S207" s="59">
        <v>283</v>
      </c>
      <c r="T207" s="59">
        <v>2</v>
      </c>
      <c r="U207" s="59">
        <v>0</v>
      </c>
      <c r="V207" s="59">
        <v>35</v>
      </c>
      <c r="W207" s="59">
        <v>3</v>
      </c>
      <c r="X207" s="59">
        <v>3</v>
      </c>
      <c r="Y207" s="59">
        <v>1</v>
      </c>
      <c r="Z207" s="59">
        <f t="shared" si="66"/>
        <v>1</v>
      </c>
      <c r="AA207" s="59">
        <f>IF('Updated Dummy'!Y207=2,1,0)</f>
        <v>0</v>
      </c>
      <c r="AB207" s="59">
        <f t="shared" si="67"/>
        <v>0</v>
      </c>
      <c r="AC207" s="59">
        <f t="shared" si="68"/>
        <v>0</v>
      </c>
      <c r="AD207" s="59">
        <f t="shared" si="69"/>
        <v>0</v>
      </c>
      <c r="AE207" s="59">
        <f t="shared" si="70"/>
        <v>0</v>
      </c>
      <c r="AF207" s="59">
        <f t="shared" si="71"/>
        <v>0</v>
      </c>
      <c r="AG207" s="59">
        <f t="shared" si="72"/>
        <v>0</v>
      </c>
      <c r="AH207" s="59">
        <v>4</v>
      </c>
      <c r="AI207" s="59">
        <v>2</v>
      </c>
      <c r="AJ207" s="59">
        <f t="shared" si="73"/>
        <v>0</v>
      </c>
      <c r="AK207" s="59">
        <f t="shared" si="74"/>
        <v>1</v>
      </c>
      <c r="AL207" s="59">
        <v>7639</v>
      </c>
      <c r="AM207" s="59">
        <v>24525</v>
      </c>
      <c r="AN207" s="59">
        <v>1</v>
      </c>
      <c r="AO207" s="59">
        <v>0</v>
      </c>
      <c r="AP207" s="59">
        <v>22</v>
      </c>
      <c r="AQ207" s="59">
        <v>4</v>
      </c>
      <c r="AR207" s="59">
        <v>4</v>
      </c>
      <c r="AS207" s="59">
        <v>80</v>
      </c>
      <c r="AT207" s="59">
        <v>3</v>
      </c>
      <c r="AU207" s="59">
        <v>10</v>
      </c>
      <c r="AV207" s="59">
        <v>3</v>
      </c>
      <c r="AW207" s="59">
        <v>2</v>
      </c>
      <c r="AX207" s="59">
        <v>10</v>
      </c>
      <c r="AY207" s="59">
        <v>4</v>
      </c>
      <c r="AZ207" s="59">
        <v>1</v>
      </c>
      <c r="BA207" s="59">
        <v>9</v>
      </c>
      <c r="BB207" s="57">
        <f t="shared" si="75"/>
        <v>22917</v>
      </c>
    </row>
    <row r="208" spans="1:54" x14ac:dyDescent="0.25">
      <c r="A208" s="58">
        <v>22</v>
      </c>
      <c r="B208" s="59">
        <v>0</v>
      </c>
      <c r="C208" s="59">
        <v>1</v>
      </c>
      <c r="D208" s="59">
        <f t="shared" si="57"/>
        <v>1</v>
      </c>
      <c r="E208" s="59">
        <f t="shared" si="58"/>
        <v>0</v>
      </c>
      <c r="F208" s="59">
        <v>1136</v>
      </c>
      <c r="G208" s="59">
        <v>2</v>
      </c>
      <c r="H208" s="59">
        <f t="shared" si="59"/>
        <v>0</v>
      </c>
      <c r="I208" s="59">
        <f t="shared" si="60"/>
        <v>1</v>
      </c>
      <c r="J208" s="59">
        <v>5</v>
      </c>
      <c r="K208" s="59">
        <v>3</v>
      </c>
      <c r="L208" s="59">
        <v>1</v>
      </c>
      <c r="M208" s="59">
        <f t="shared" si="61"/>
        <v>1</v>
      </c>
      <c r="N208" s="59">
        <f t="shared" si="62"/>
        <v>0</v>
      </c>
      <c r="O208" s="59">
        <f t="shared" si="63"/>
        <v>0</v>
      </c>
      <c r="P208" s="59">
        <f t="shared" si="64"/>
        <v>0</v>
      </c>
      <c r="Q208" s="59">
        <f t="shared" si="65"/>
        <v>0</v>
      </c>
      <c r="R208" s="59">
        <v>1</v>
      </c>
      <c r="S208" s="59">
        <v>284</v>
      </c>
      <c r="T208" s="59">
        <v>4</v>
      </c>
      <c r="U208" s="59">
        <v>1</v>
      </c>
      <c r="V208" s="59">
        <v>60</v>
      </c>
      <c r="W208" s="59">
        <v>4</v>
      </c>
      <c r="X208" s="59">
        <v>1</v>
      </c>
      <c r="Y208" s="59">
        <v>2</v>
      </c>
      <c r="Z208" s="59">
        <f t="shared" si="66"/>
        <v>0</v>
      </c>
      <c r="AA208" s="59">
        <f>IF('Updated Dummy'!Y208=2,1,0)</f>
        <v>1</v>
      </c>
      <c r="AB208" s="59">
        <f t="shared" si="67"/>
        <v>0</v>
      </c>
      <c r="AC208" s="59">
        <f t="shared" si="68"/>
        <v>0</v>
      </c>
      <c r="AD208" s="59">
        <f t="shared" si="69"/>
        <v>0</v>
      </c>
      <c r="AE208" s="59">
        <f t="shared" si="70"/>
        <v>0</v>
      </c>
      <c r="AF208" s="59">
        <f t="shared" si="71"/>
        <v>0</v>
      </c>
      <c r="AG208" s="59">
        <f t="shared" si="72"/>
        <v>0</v>
      </c>
      <c r="AH208" s="59">
        <v>2</v>
      </c>
      <c r="AI208" s="59">
        <v>3</v>
      </c>
      <c r="AJ208" s="59">
        <f t="shared" si="73"/>
        <v>0</v>
      </c>
      <c r="AK208" s="59">
        <f t="shared" si="74"/>
        <v>0</v>
      </c>
      <c r="AL208" s="59">
        <v>2328</v>
      </c>
      <c r="AM208" s="59">
        <v>12392</v>
      </c>
      <c r="AN208" s="59">
        <v>1</v>
      </c>
      <c r="AO208" s="59">
        <v>1</v>
      </c>
      <c r="AP208" s="59">
        <v>16</v>
      </c>
      <c r="AQ208" s="59">
        <v>3</v>
      </c>
      <c r="AR208" s="59">
        <v>1</v>
      </c>
      <c r="AS208" s="59">
        <v>80</v>
      </c>
      <c r="AT208" s="59">
        <v>1</v>
      </c>
      <c r="AU208" s="59">
        <v>4</v>
      </c>
      <c r="AV208" s="59">
        <v>2</v>
      </c>
      <c r="AW208" s="59">
        <v>2</v>
      </c>
      <c r="AX208" s="59">
        <v>4</v>
      </c>
      <c r="AY208" s="59">
        <v>2</v>
      </c>
      <c r="AZ208" s="59">
        <v>2</v>
      </c>
      <c r="BA208" s="59">
        <v>2</v>
      </c>
      <c r="BB208" s="57">
        <f t="shared" si="75"/>
        <v>2328</v>
      </c>
    </row>
    <row r="209" spans="1:54" x14ac:dyDescent="0.25">
      <c r="A209" s="58">
        <v>36</v>
      </c>
      <c r="B209" s="59">
        <v>0</v>
      </c>
      <c r="C209" s="59">
        <v>2</v>
      </c>
      <c r="D209" s="59">
        <f t="shared" si="57"/>
        <v>0</v>
      </c>
      <c r="E209" s="59">
        <f t="shared" si="58"/>
        <v>1</v>
      </c>
      <c r="F209" s="59">
        <v>635</v>
      </c>
      <c r="G209" s="59">
        <v>2</v>
      </c>
      <c r="H209" s="59">
        <f t="shared" si="59"/>
        <v>0</v>
      </c>
      <c r="I209" s="59">
        <f t="shared" si="60"/>
        <v>1</v>
      </c>
      <c r="J209" s="59">
        <v>18</v>
      </c>
      <c r="K209" s="59">
        <v>1</v>
      </c>
      <c r="L209" s="59">
        <v>3</v>
      </c>
      <c r="M209" s="59">
        <f t="shared" si="61"/>
        <v>0</v>
      </c>
      <c r="N209" s="59">
        <f t="shared" si="62"/>
        <v>0</v>
      </c>
      <c r="O209" s="59">
        <f t="shared" si="63"/>
        <v>1</v>
      </c>
      <c r="P209" s="59">
        <f t="shared" si="64"/>
        <v>0</v>
      </c>
      <c r="Q209" s="59">
        <f t="shared" si="65"/>
        <v>0</v>
      </c>
      <c r="R209" s="59">
        <v>1</v>
      </c>
      <c r="S209" s="59">
        <v>286</v>
      </c>
      <c r="T209" s="59">
        <v>2</v>
      </c>
      <c r="U209" s="59">
        <v>0</v>
      </c>
      <c r="V209" s="59">
        <v>73</v>
      </c>
      <c r="W209" s="59">
        <v>3</v>
      </c>
      <c r="X209" s="59">
        <v>1</v>
      </c>
      <c r="Y209" s="59">
        <v>3</v>
      </c>
      <c r="Z209" s="59">
        <f t="shared" si="66"/>
        <v>0</v>
      </c>
      <c r="AA209" s="59">
        <f>IF('Updated Dummy'!Y209=2,1,0)</f>
        <v>0</v>
      </c>
      <c r="AB209" s="59">
        <f t="shared" si="67"/>
        <v>1</v>
      </c>
      <c r="AC209" s="59">
        <f t="shared" si="68"/>
        <v>0</v>
      </c>
      <c r="AD209" s="59">
        <f t="shared" si="69"/>
        <v>0</v>
      </c>
      <c r="AE209" s="59">
        <f t="shared" si="70"/>
        <v>0</v>
      </c>
      <c r="AF209" s="59">
        <f t="shared" si="71"/>
        <v>0</v>
      </c>
      <c r="AG209" s="59">
        <f t="shared" si="72"/>
        <v>0</v>
      </c>
      <c r="AH209" s="59">
        <v>4</v>
      </c>
      <c r="AI209" s="59">
        <v>1</v>
      </c>
      <c r="AJ209" s="59">
        <f t="shared" si="73"/>
        <v>1</v>
      </c>
      <c r="AK209" s="59">
        <f t="shared" si="74"/>
        <v>0</v>
      </c>
      <c r="AL209" s="59">
        <v>2153</v>
      </c>
      <c r="AM209" s="59">
        <v>7703</v>
      </c>
      <c r="AN209" s="59">
        <v>1</v>
      </c>
      <c r="AO209" s="59">
        <v>0</v>
      </c>
      <c r="AP209" s="59">
        <v>13</v>
      </c>
      <c r="AQ209" s="59">
        <v>3</v>
      </c>
      <c r="AR209" s="59">
        <v>1</v>
      </c>
      <c r="AS209" s="59">
        <v>80</v>
      </c>
      <c r="AT209" s="59">
        <v>0</v>
      </c>
      <c r="AU209" s="59">
        <v>8</v>
      </c>
      <c r="AV209" s="59">
        <v>2</v>
      </c>
      <c r="AW209" s="59">
        <v>3</v>
      </c>
      <c r="AX209" s="59">
        <v>8</v>
      </c>
      <c r="AY209" s="59">
        <v>1</v>
      </c>
      <c r="AZ209" s="59">
        <v>1</v>
      </c>
      <c r="BA209" s="59">
        <v>7</v>
      </c>
      <c r="BB209" s="57">
        <f t="shared" si="75"/>
        <v>2153</v>
      </c>
    </row>
    <row r="210" spans="1:54" x14ac:dyDescent="0.25">
      <c r="A210" s="58">
        <v>40</v>
      </c>
      <c r="B210" s="59">
        <v>0</v>
      </c>
      <c r="C210" s="59">
        <v>3</v>
      </c>
      <c r="D210" s="59">
        <f t="shared" si="57"/>
        <v>0</v>
      </c>
      <c r="E210" s="59">
        <f t="shared" si="58"/>
        <v>0</v>
      </c>
      <c r="F210" s="59">
        <v>1151</v>
      </c>
      <c r="G210" s="59">
        <v>2</v>
      </c>
      <c r="H210" s="59">
        <f t="shared" si="59"/>
        <v>0</v>
      </c>
      <c r="I210" s="59">
        <f t="shared" si="60"/>
        <v>1</v>
      </c>
      <c r="J210" s="59">
        <v>9</v>
      </c>
      <c r="K210" s="59">
        <v>5</v>
      </c>
      <c r="L210" s="59">
        <v>1</v>
      </c>
      <c r="M210" s="59">
        <f t="shared" si="61"/>
        <v>1</v>
      </c>
      <c r="N210" s="59">
        <f t="shared" si="62"/>
        <v>0</v>
      </c>
      <c r="O210" s="59">
        <f t="shared" si="63"/>
        <v>0</v>
      </c>
      <c r="P210" s="59">
        <f t="shared" si="64"/>
        <v>0</v>
      </c>
      <c r="Q210" s="59">
        <f t="shared" si="65"/>
        <v>0</v>
      </c>
      <c r="R210" s="59">
        <v>1</v>
      </c>
      <c r="S210" s="59">
        <v>287</v>
      </c>
      <c r="T210" s="59">
        <v>4</v>
      </c>
      <c r="U210" s="59">
        <v>1</v>
      </c>
      <c r="V210" s="59">
        <v>63</v>
      </c>
      <c r="W210" s="59">
        <v>2</v>
      </c>
      <c r="X210" s="59">
        <v>2</v>
      </c>
      <c r="Y210" s="59">
        <v>5</v>
      </c>
      <c r="Z210" s="59">
        <f t="shared" si="66"/>
        <v>0</v>
      </c>
      <c r="AA210" s="59">
        <f>IF('Updated Dummy'!Y210=2,1,0)</f>
        <v>0</v>
      </c>
      <c r="AB210" s="59">
        <f t="shared" si="67"/>
        <v>0</v>
      </c>
      <c r="AC210" s="59">
        <f t="shared" si="68"/>
        <v>0</v>
      </c>
      <c r="AD210" s="59">
        <f t="shared" si="69"/>
        <v>1</v>
      </c>
      <c r="AE210" s="59">
        <f t="shared" si="70"/>
        <v>0</v>
      </c>
      <c r="AF210" s="59">
        <f t="shared" si="71"/>
        <v>0</v>
      </c>
      <c r="AG210" s="59">
        <f t="shared" si="72"/>
        <v>0</v>
      </c>
      <c r="AH210" s="59">
        <v>4</v>
      </c>
      <c r="AI210" s="59">
        <v>2</v>
      </c>
      <c r="AJ210" s="59">
        <f t="shared" si="73"/>
        <v>0</v>
      </c>
      <c r="AK210" s="59">
        <f t="shared" si="74"/>
        <v>1</v>
      </c>
      <c r="AL210" s="59">
        <v>4876</v>
      </c>
      <c r="AM210" s="59">
        <v>14242</v>
      </c>
      <c r="AN210" s="59">
        <v>9</v>
      </c>
      <c r="AO210" s="59">
        <v>0</v>
      </c>
      <c r="AP210" s="59">
        <v>14</v>
      </c>
      <c r="AQ210" s="59">
        <v>3</v>
      </c>
      <c r="AR210" s="59">
        <v>4</v>
      </c>
      <c r="AS210" s="59">
        <v>80</v>
      </c>
      <c r="AT210" s="59">
        <v>1</v>
      </c>
      <c r="AU210" s="59">
        <v>5</v>
      </c>
      <c r="AV210" s="59">
        <v>5</v>
      </c>
      <c r="AW210" s="59">
        <v>1</v>
      </c>
      <c r="AX210" s="59">
        <v>3</v>
      </c>
      <c r="AY210" s="59">
        <v>2</v>
      </c>
      <c r="AZ210" s="59">
        <v>0</v>
      </c>
      <c r="BA210" s="59">
        <v>2</v>
      </c>
      <c r="BB210" s="57">
        <f t="shared" si="75"/>
        <v>9752</v>
      </c>
    </row>
    <row r="211" spans="1:54" x14ac:dyDescent="0.25">
      <c r="A211" s="58">
        <v>46</v>
      </c>
      <c r="B211" s="59">
        <v>0</v>
      </c>
      <c r="C211" s="59">
        <v>1</v>
      </c>
      <c r="D211" s="59">
        <f t="shared" si="57"/>
        <v>1</v>
      </c>
      <c r="E211" s="59">
        <f t="shared" si="58"/>
        <v>0</v>
      </c>
      <c r="F211" s="59">
        <v>644</v>
      </c>
      <c r="G211" s="59">
        <v>2</v>
      </c>
      <c r="H211" s="59">
        <f t="shared" si="59"/>
        <v>0</v>
      </c>
      <c r="I211" s="59">
        <f t="shared" si="60"/>
        <v>1</v>
      </c>
      <c r="J211" s="59">
        <v>1</v>
      </c>
      <c r="K211" s="59">
        <v>4</v>
      </c>
      <c r="L211" s="59">
        <v>3</v>
      </c>
      <c r="M211" s="59">
        <f t="shared" si="61"/>
        <v>0</v>
      </c>
      <c r="N211" s="59">
        <f t="shared" si="62"/>
        <v>0</v>
      </c>
      <c r="O211" s="59">
        <f t="shared" si="63"/>
        <v>1</v>
      </c>
      <c r="P211" s="59">
        <f t="shared" si="64"/>
        <v>0</v>
      </c>
      <c r="Q211" s="59">
        <f t="shared" si="65"/>
        <v>0</v>
      </c>
      <c r="R211" s="59">
        <v>1</v>
      </c>
      <c r="S211" s="59">
        <v>288</v>
      </c>
      <c r="T211" s="59">
        <v>4</v>
      </c>
      <c r="U211" s="59">
        <v>1</v>
      </c>
      <c r="V211" s="59">
        <v>97</v>
      </c>
      <c r="W211" s="59">
        <v>3</v>
      </c>
      <c r="X211" s="59">
        <v>3</v>
      </c>
      <c r="Y211" s="59">
        <v>5</v>
      </c>
      <c r="Z211" s="59">
        <f t="shared" si="66"/>
        <v>0</v>
      </c>
      <c r="AA211" s="59">
        <f>IF('Updated Dummy'!Y211=2,1,0)</f>
        <v>0</v>
      </c>
      <c r="AB211" s="59">
        <f t="shared" si="67"/>
        <v>0</v>
      </c>
      <c r="AC211" s="59">
        <f t="shared" si="68"/>
        <v>0</v>
      </c>
      <c r="AD211" s="59">
        <f t="shared" si="69"/>
        <v>1</v>
      </c>
      <c r="AE211" s="59">
        <f t="shared" si="70"/>
        <v>0</v>
      </c>
      <c r="AF211" s="59">
        <f t="shared" si="71"/>
        <v>0</v>
      </c>
      <c r="AG211" s="59">
        <f t="shared" si="72"/>
        <v>0</v>
      </c>
      <c r="AH211" s="59">
        <v>1</v>
      </c>
      <c r="AI211" s="59">
        <v>3</v>
      </c>
      <c r="AJ211" s="59">
        <f t="shared" si="73"/>
        <v>0</v>
      </c>
      <c r="AK211" s="59">
        <f t="shared" si="74"/>
        <v>0</v>
      </c>
      <c r="AL211" s="59">
        <v>9396</v>
      </c>
      <c r="AM211" s="59">
        <v>12368</v>
      </c>
      <c r="AN211" s="59">
        <v>7</v>
      </c>
      <c r="AO211" s="59">
        <v>0</v>
      </c>
      <c r="AP211" s="59">
        <v>16</v>
      </c>
      <c r="AQ211" s="59">
        <v>3</v>
      </c>
      <c r="AR211" s="59">
        <v>3</v>
      </c>
      <c r="AS211" s="59">
        <v>80</v>
      </c>
      <c r="AT211" s="59">
        <v>1</v>
      </c>
      <c r="AU211" s="59">
        <v>17</v>
      </c>
      <c r="AV211" s="59">
        <v>3</v>
      </c>
      <c r="AW211" s="59">
        <v>3</v>
      </c>
      <c r="AX211" s="59">
        <v>4</v>
      </c>
      <c r="AY211" s="59">
        <v>2</v>
      </c>
      <c r="AZ211" s="59">
        <v>0</v>
      </c>
      <c r="BA211" s="59">
        <v>3</v>
      </c>
      <c r="BB211" s="57">
        <f t="shared" si="75"/>
        <v>28188</v>
      </c>
    </row>
    <row r="212" spans="1:54" x14ac:dyDescent="0.25">
      <c r="A212" s="58">
        <v>32</v>
      </c>
      <c r="B212" s="59">
        <v>1</v>
      </c>
      <c r="C212" s="59">
        <v>1</v>
      </c>
      <c r="D212" s="59">
        <f t="shared" si="57"/>
        <v>1</v>
      </c>
      <c r="E212" s="59">
        <f t="shared" si="58"/>
        <v>0</v>
      </c>
      <c r="F212" s="59">
        <v>1045</v>
      </c>
      <c r="G212" s="59">
        <v>1</v>
      </c>
      <c r="H212" s="59">
        <f t="shared" si="59"/>
        <v>1</v>
      </c>
      <c r="I212" s="59">
        <f t="shared" si="60"/>
        <v>0</v>
      </c>
      <c r="J212" s="59">
        <v>4</v>
      </c>
      <c r="K212" s="59">
        <v>4</v>
      </c>
      <c r="L212" s="59">
        <v>3</v>
      </c>
      <c r="M212" s="59">
        <f t="shared" si="61"/>
        <v>0</v>
      </c>
      <c r="N212" s="59">
        <f t="shared" si="62"/>
        <v>0</v>
      </c>
      <c r="O212" s="59">
        <f t="shared" si="63"/>
        <v>1</v>
      </c>
      <c r="P212" s="59">
        <f t="shared" si="64"/>
        <v>0</v>
      </c>
      <c r="Q212" s="59">
        <f t="shared" si="65"/>
        <v>0</v>
      </c>
      <c r="R212" s="59">
        <v>1</v>
      </c>
      <c r="S212" s="59">
        <v>291</v>
      </c>
      <c r="T212" s="59">
        <v>4</v>
      </c>
      <c r="U212" s="59">
        <v>1</v>
      </c>
      <c r="V212" s="59">
        <v>32</v>
      </c>
      <c r="W212" s="59">
        <v>1</v>
      </c>
      <c r="X212" s="59">
        <v>3</v>
      </c>
      <c r="Y212" s="59">
        <v>1</v>
      </c>
      <c r="Z212" s="59">
        <f t="shared" si="66"/>
        <v>1</v>
      </c>
      <c r="AA212" s="59">
        <f>IF('Updated Dummy'!Y212=2,1,0)</f>
        <v>0</v>
      </c>
      <c r="AB212" s="59">
        <f t="shared" si="67"/>
        <v>0</v>
      </c>
      <c r="AC212" s="59">
        <f t="shared" si="68"/>
        <v>0</v>
      </c>
      <c r="AD212" s="59">
        <f t="shared" si="69"/>
        <v>0</v>
      </c>
      <c r="AE212" s="59">
        <f t="shared" si="70"/>
        <v>0</v>
      </c>
      <c r="AF212" s="59">
        <f t="shared" si="71"/>
        <v>0</v>
      </c>
      <c r="AG212" s="59">
        <f t="shared" si="72"/>
        <v>0</v>
      </c>
      <c r="AH212" s="59">
        <v>4</v>
      </c>
      <c r="AI212" s="59">
        <v>2</v>
      </c>
      <c r="AJ212" s="59">
        <f t="shared" si="73"/>
        <v>0</v>
      </c>
      <c r="AK212" s="59">
        <f t="shared" si="74"/>
        <v>1</v>
      </c>
      <c r="AL212" s="59">
        <v>10400</v>
      </c>
      <c r="AM212" s="59">
        <v>25812</v>
      </c>
      <c r="AN212" s="59">
        <v>1</v>
      </c>
      <c r="AO212" s="59">
        <v>0</v>
      </c>
      <c r="AP212" s="59">
        <v>11</v>
      </c>
      <c r="AQ212" s="59">
        <v>3</v>
      </c>
      <c r="AR212" s="59">
        <v>3</v>
      </c>
      <c r="AS212" s="59">
        <v>80</v>
      </c>
      <c r="AT212" s="59">
        <v>0</v>
      </c>
      <c r="AU212" s="59">
        <v>14</v>
      </c>
      <c r="AV212" s="59">
        <v>2</v>
      </c>
      <c r="AW212" s="59">
        <v>2</v>
      </c>
      <c r="AX212" s="59">
        <v>14</v>
      </c>
      <c r="AY212" s="59">
        <v>8</v>
      </c>
      <c r="AZ212" s="59">
        <v>9</v>
      </c>
      <c r="BA212" s="59">
        <v>8</v>
      </c>
      <c r="BB212" s="57">
        <f t="shared" si="75"/>
        <v>31200</v>
      </c>
    </row>
    <row r="213" spans="1:54" x14ac:dyDescent="0.25">
      <c r="A213" s="58">
        <v>30</v>
      </c>
      <c r="B213" s="59">
        <v>0</v>
      </c>
      <c r="C213" s="59">
        <v>3</v>
      </c>
      <c r="D213" s="59">
        <f t="shared" si="57"/>
        <v>0</v>
      </c>
      <c r="E213" s="59">
        <f t="shared" si="58"/>
        <v>0</v>
      </c>
      <c r="F213" s="59">
        <v>829</v>
      </c>
      <c r="G213" s="59">
        <v>2</v>
      </c>
      <c r="H213" s="59">
        <f t="shared" si="59"/>
        <v>0</v>
      </c>
      <c r="I213" s="59">
        <f t="shared" si="60"/>
        <v>1</v>
      </c>
      <c r="J213" s="59">
        <v>1</v>
      </c>
      <c r="K213" s="59">
        <v>1</v>
      </c>
      <c r="L213" s="59">
        <v>1</v>
      </c>
      <c r="M213" s="59">
        <f t="shared" si="61"/>
        <v>1</v>
      </c>
      <c r="N213" s="59">
        <f t="shared" si="62"/>
        <v>0</v>
      </c>
      <c r="O213" s="59">
        <f t="shared" si="63"/>
        <v>0</v>
      </c>
      <c r="P213" s="59">
        <f t="shared" si="64"/>
        <v>0</v>
      </c>
      <c r="Q213" s="59">
        <f t="shared" si="65"/>
        <v>0</v>
      </c>
      <c r="R213" s="59">
        <v>1</v>
      </c>
      <c r="S213" s="59">
        <v>292</v>
      </c>
      <c r="T213" s="59">
        <v>3</v>
      </c>
      <c r="U213" s="59">
        <v>1</v>
      </c>
      <c r="V213" s="59">
        <v>88</v>
      </c>
      <c r="W213" s="59">
        <v>2</v>
      </c>
      <c r="X213" s="59">
        <v>3</v>
      </c>
      <c r="Y213" s="59">
        <v>4</v>
      </c>
      <c r="Z213" s="59">
        <f t="shared" si="66"/>
        <v>0</v>
      </c>
      <c r="AA213" s="59">
        <f>IF('Updated Dummy'!Y213=2,1,0)</f>
        <v>0</v>
      </c>
      <c r="AB213" s="59">
        <f t="shared" si="67"/>
        <v>0</v>
      </c>
      <c r="AC213" s="59">
        <f t="shared" si="68"/>
        <v>1</v>
      </c>
      <c r="AD213" s="59">
        <f t="shared" si="69"/>
        <v>0</v>
      </c>
      <c r="AE213" s="59">
        <f t="shared" si="70"/>
        <v>0</v>
      </c>
      <c r="AF213" s="59">
        <f t="shared" si="71"/>
        <v>0</v>
      </c>
      <c r="AG213" s="59">
        <f t="shared" si="72"/>
        <v>0</v>
      </c>
      <c r="AH213" s="59">
        <v>3</v>
      </c>
      <c r="AI213" s="59">
        <v>1</v>
      </c>
      <c r="AJ213" s="59">
        <f t="shared" si="73"/>
        <v>1</v>
      </c>
      <c r="AK213" s="59">
        <f t="shared" si="74"/>
        <v>0</v>
      </c>
      <c r="AL213" s="59">
        <v>8474</v>
      </c>
      <c r="AM213" s="59">
        <v>20925</v>
      </c>
      <c r="AN213" s="59">
        <v>1</v>
      </c>
      <c r="AO213" s="59">
        <v>0</v>
      </c>
      <c r="AP213" s="59">
        <v>22</v>
      </c>
      <c r="AQ213" s="59">
        <v>4</v>
      </c>
      <c r="AR213" s="59">
        <v>3</v>
      </c>
      <c r="AS213" s="59">
        <v>80</v>
      </c>
      <c r="AT213" s="59">
        <v>0</v>
      </c>
      <c r="AU213" s="59">
        <v>12</v>
      </c>
      <c r="AV213" s="59">
        <v>2</v>
      </c>
      <c r="AW213" s="59">
        <v>3</v>
      </c>
      <c r="AX213" s="59">
        <v>11</v>
      </c>
      <c r="AY213" s="59">
        <v>8</v>
      </c>
      <c r="AZ213" s="59">
        <v>5</v>
      </c>
      <c r="BA213" s="59">
        <v>8</v>
      </c>
      <c r="BB213" s="57">
        <f t="shared" si="75"/>
        <v>25422</v>
      </c>
    </row>
    <row r="214" spans="1:54" x14ac:dyDescent="0.25">
      <c r="A214" s="58">
        <v>27</v>
      </c>
      <c r="B214" s="59">
        <v>0</v>
      </c>
      <c r="C214" s="59">
        <v>2</v>
      </c>
      <c r="D214" s="59">
        <f t="shared" si="57"/>
        <v>0</v>
      </c>
      <c r="E214" s="59">
        <f t="shared" si="58"/>
        <v>1</v>
      </c>
      <c r="F214" s="59">
        <v>1242</v>
      </c>
      <c r="G214" s="59">
        <v>1</v>
      </c>
      <c r="H214" s="59">
        <f t="shared" si="59"/>
        <v>1</v>
      </c>
      <c r="I214" s="59">
        <f t="shared" si="60"/>
        <v>0</v>
      </c>
      <c r="J214" s="59">
        <v>20</v>
      </c>
      <c r="K214" s="59">
        <v>3</v>
      </c>
      <c r="L214" s="59">
        <v>1</v>
      </c>
      <c r="M214" s="59">
        <f t="shared" si="61"/>
        <v>1</v>
      </c>
      <c r="N214" s="59">
        <f t="shared" si="62"/>
        <v>0</v>
      </c>
      <c r="O214" s="59">
        <f t="shared" si="63"/>
        <v>0</v>
      </c>
      <c r="P214" s="59">
        <f t="shared" si="64"/>
        <v>0</v>
      </c>
      <c r="Q214" s="59">
        <f t="shared" si="65"/>
        <v>0</v>
      </c>
      <c r="R214" s="59">
        <v>1</v>
      </c>
      <c r="S214" s="59">
        <v>293</v>
      </c>
      <c r="T214" s="59">
        <v>4</v>
      </c>
      <c r="U214" s="59">
        <v>0</v>
      </c>
      <c r="V214" s="59">
        <v>90</v>
      </c>
      <c r="W214" s="59">
        <v>3</v>
      </c>
      <c r="X214" s="59">
        <v>2</v>
      </c>
      <c r="Y214" s="59">
        <v>1</v>
      </c>
      <c r="Z214" s="59">
        <f t="shared" si="66"/>
        <v>1</v>
      </c>
      <c r="AA214" s="59">
        <f>IF('Updated Dummy'!Y214=2,1,0)</f>
        <v>0</v>
      </c>
      <c r="AB214" s="59">
        <f t="shared" si="67"/>
        <v>0</v>
      </c>
      <c r="AC214" s="59">
        <f t="shared" si="68"/>
        <v>0</v>
      </c>
      <c r="AD214" s="59">
        <f t="shared" si="69"/>
        <v>0</v>
      </c>
      <c r="AE214" s="59">
        <f t="shared" si="70"/>
        <v>0</v>
      </c>
      <c r="AF214" s="59">
        <f t="shared" si="71"/>
        <v>0</v>
      </c>
      <c r="AG214" s="59">
        <f t="shared" si="72"/>
        <v>0</v>
      </c>
      <c r="AH214" s="59">
        <v>3</v>
      </c>
      <c r="AI214" s="59">
        <v>1</v>
      </c>
      <c r="AJ214" s="59">
        <f t="shared" si="73"/>
        <v>1</v>
      </c>
      <c r="AK214" s="59">
        <f t="shared" si="74"/>
        <v>0</v>
      </c>
      <c r="AL214" s="59">
        <v>9981</v>
      </c>
      <c r="AM214" s="59">
        <v>12916</v>
      </c>
      <c r="AN214" s="59">
        <v>1</v>
      </c>
      <c r="AO214" s="59">
        <v>0</v>
      </c>
      <c r="AP214" s="59">
        <v>14</v>
      </c>
      <c r="AQ214" s="59">
        <v>3</v>
      </c>
      <c r="AR214" s="59">
        <v>4</v>
      </c>
      <c r="AS214" s="59">
        <v>80</v>
      </c>
      <c r="AT214" s="59">
        <v>0</v>
      </c>
      <c r="AU214" s="59">
        <v>7</v>
      </c>
      <c r="AV214" s="59">
        <v>2</v>
      </c>
      <c r="AW214" s="59">
        <v>3</v>
      </c>
      <c r="AX214" s="59">
        <v>7</v>
      </c>
      <c r="AY214" s="59">
        <v>7</v>
      </c>
      <c r="AZ214" s="59">
        <v>0</v>
      </c>
      <c r="BA214" s="59">
        <v>7</v>
      </c>
      <c r="BB214" s="57">
        <f t="shared" si="75"/>
        <v>19962</v>
      </c>
    </row>
    <row r="215" spans="1:54" x14ac:dyDescent="0.25">
      <c r="A215" s="58">
        <v>51</v>
      </c>
      <c r="B215" s="59">
        <v>0</v>
      </c>
      <c r="C215" s="59">
        <v>1</v>
      </c>
      <c r="D215" s="59">
        <f t="shared" si="57"/>
        <v>1</v>
      </c>
      <c r="E215" s="59">
        <f t="shared" si="58"/>
        <v>0</v>
      </c>
      <c r="F215" s="59">
        <v>1469</v>
      </c>
      <c r="G215" s="59">
        <v>2</v>
      </c>
      <c r="H215" s="59">
        <f t="shared" si="59"/>
        <v>0</v>
      </c>
      <c r="I215" s="59">
        <f t="shared" si="60"/>
        <v>1</v>
      </c>
      <c r="J215" s="59">
        <v>8</v>
      </c>
      <c r="K215" s="59">
        <v>4</v>
      </c>
      <c r="L215" s="59">
        <v>1</v>
      </c>
      <c r="M215" s="59">
        <f t="shared" si="61"/>
        <v>1</v>
      </c>
      <c r="N215" s="59">
        <f t="shared" si="62"/>
        <v>0</v>
      </c>
      <c r="O215" s="59">
        <f t="shared" si="63"/>
        <v>0</v>
      </c>
      <c r="P215" s="59">
        <f t="shared" si="64"/>
        <v>0</v>
      </c>
      <c r="Q215" s="59">
        <f t="shared" si="65"/>
        <v>0</v>
      </c>
      <c r="R215" s="59">
        <v>1</v>
      </c>
      <c r="S215" s="59">
        <v>296</v>
      </c>
      <c r="T215" s="59">
        <v>2</v>
      </c>
      <c r="U215" s="59">
        <v>1</v>
      </c>
      <c r="V215" s="59">
        <v>81</v>
      </c>
      <c r="W215" s="59">
        <v>2</v>
      </c>
      <c r="X215" s="59">
        <v>3</v>
      </c>
      <c r="Y215" s="59">
        <v>8</v>
      </c>
      <c r="Z215" s="59">
        <f t="shared" si="66"/>
        <v>0</v>
      </c>
      <c r="AA215" s="59">
        <f>IF('Updated Dummy'!Y215=2,1,0)</f>
        <v>0</v>
      </c>
      <c r="AB215" s="59">
        <f t="shared" si="67"/>
        <v>0</v>
      </c>
      <c r="AC215" s="59">
        <f t="shared" si="68"/>
        <v>0</v>
      </c>
      <c r="AD215" s="59">
        <f t="shared" si="69"/>
        <v>0</v>
      </c>
      <c r="AE215" s="59">
        <f t="shared" si="70"/>
        <v>0</v>
      </c>
      <c r="AF215" s="59">
        <f t="shared" si="71"/>
        <v>0</v>
      </c>
      <c r="AG215" s="59">
        <f t="shared" si="72"/>
        <v>1</v>
      </c>
      <c r="AH215" s="59">
        <v>2</v>
      </c>
      <c r="AI215" s="59">
        <v>2</v>
      </c>
      <c r="AJ215" s="59">
        <f t="shared" si="73"/>
        <v>0</v>
      </c>
      <c r="AK215" s="59">
        <f t="shared" si="74"/>
        <v>1</v>
      </c>
      <c r="AL215" s="59">
        <v>12490</v>
      </c>
      <c r="AM215" s="59">
        <v>15736</v>
      </c>
      <c r="AN215" s="59">
        <v>5</v>
      </c>
      <c r="AO215" s="59">
        <v>0</v>
      </c>
      <c r="AP215" s="59">
        <v>16</v>
      </c>
      <c r="AQ215" s="59">
        <v>3</v>
      </c>
      <c r="AR215" s="59">
        <v>4</v>
      </c>
      <c r="AS215" s="59">
        <v>80</v>
      </c>
      <c r="AT215" s="59">
        <v>2</v>
      </c>
      <c r="AU215" s="59">
        <v>16</v>
      </c>
      <c r="AV215" s="59">
        <v>5</v>
      </c>
      <c r="AW215" s="59">
        <v>1</v>
      </c>
      <c r="AX215" s="59">
        <v>10</v>
      </c>
      <c r="AY215" s="59">
        <v>9</v>
      </c>
      <c r="AZ215" s="59">
        <v>4</v>
      </c>
      <c r="BA215" s="59">
        <v>7</v>
      </c>
      <c r="BB215" s="57">
        <f t="shared" si="75"/>
        <v>37470</v>
      </c>
    </row>
    <row r="216" spans="1:54" x14ac:dyDescent="0.25">
      <c r="A216" s="58">
        <v>30</v>
      </c>
      <c r="B216" s="59">
        <v>1</v>
      </c>
      <c r="C216" s="59">
        <v>1</v>
      </c>
      <c r="D216" s="59">
        <f t="shared" si="57"/>
        <v>1</v>
      </c>
      <c r="E216" s="59">
        <f t="shared" si="58"/>
        <v>0</v>
      </c>
      <c r="F216" s="59">
        <v>1005</v>
      </c>
      <c r="G216" s="59">
        <v>2</v>
      </c>
      <c r="H216" s="59">
        <f t="shared" si="59"/>
        <v>0</v>
      </c>
      <c r="I216" s="59">
        <f t="shared" si="60"/>
        <v>1</v>
      </c>
      <c r="J216" s="59">
        <v>3</v>
      </c>
      <c r="K216" s="59">
        <v>3</v>
      </c>
      <c r="L216" s="59">
        <v>5</v>
      </c>
      <c r="M216" s="59">
        <f t="shared" si="61"/>
        <v>0</v>
      </c>
      <c r="N216" s="59">
        <f t="shared" si="62"/>
        <v>0</v>
      </c>
      <c r="O216" s="59">
        <f t="shared" si="63"/>
        <v>0</v>
      </c>
      <c r="P216" s="59">
        <f t="shared" si="64"/>
        <v>0</v>
      </c>
      <c r="Q216" s="59">
        <f t="shared" si="65"/>
        <v>1</v>
      </c>
      <c r="R216" s="59">
        <v>1</v>
      </c>
      <c r="S216" s="59">
        <v>297</v>
      </c>
      <c r="T216" s="59">
        <v>4</v>
      </c>
      <c r="U216" s="59">
        <v>0</v>
      </c>
      <c r="V216" s="59">
        <v>88</v>
      </c>
      <c r="W216" s="59">
        <v>3</v>
      </c>
      <c r="X216" s="59">
        <v>1</v>
      </c>
      <c r="Y216" s="59">
        <v>2</v>
      </c>
      <c r="Z216" s="59">
        <f t="shared" si="66"/>
        <v>0</v>
      </c>
      <c r="AA216" s="59">
        <f>IF('Updated Dummy'!Y216=2,1,0)</f>
        <v>1</v>
      </c>
      <c r="AB216" s="59">
        <f t="shared" si="67"/>
        <v>0</v>
      </c>
      <c r="AC216" s="59">
        <f t="shared" si="68"/>
        <v>0</v>
      </c>
      <c r="AD216" s="59">
        <f t="shared" si="69"/>
        <v>0</v>
      </c>
      <c r="AE216" s="59">
        <f t="shared" si="70"/>
        <v>0</v>
      </c>
      <c r="AF216" s="59">
        <f t="shared" si="71"/>
        <v>0</v>
      </c>
      <c r="AG216" s="59">
        <f t="shared" si="72"/>
        <v>0</v>
      </c>
      <c r="AH216" s="59">
        <v>1</v>
      </c>
      <c r="AI216" s="59">
        <v>1</v>
      </c>
      <c r="AJ216" s="59">
        <f t="shared" si="73"/>
        <v>1</v>
      </c>
      <c r="AK216" s="59">
        <f t="shared" si="74"/>
        <v>0</v>
      </c>
      <c r="AL216" s="59">
        <v>2657</v>
      </c>
      <c r="AM216" s="59">
        <v>8556</v>
      </c>
      <c r="AN216" s="59">
        <v>5</v>
      </c>
      <c r="AO216" s="59">
        <v>1</v>
      </c>
      <c r="AP216" s="59">
        <v>11</v>
      </c>
      <c r="AQ216" s="59">
        <v>3</v>
      </c>
      <c r="AR216" s="59">
        <v>3</v>
      </c>
      <c r="AS216" s="59">
        <v>80</v>
      </c>
      <c r="AT216" s="59">
        <v>0</v>
      </c>
      <c r="AU216" s="59">
        <v>8</v>
      </c>
      <c r="AV216" s="59">
        <v>5</v>
      </c>
      <c r="AW216" s="59">
        <v>3</v>
      </c>
      <c r="AX216" s="59">
        <v>5</v>
      </c>
      <c r="AY216" s="59">
        <v>2</v>
      </c>
      <c r="AZ216" s="59">
        <v>0</v>
      </c>
      <c r="BA216" s="59">
        <v>4</v>
      </c>
      <c r="BB216" s="57">
        <f t="shared" si="75"/>
        <v>2657</v>
      </c>
    </row>
    <row r="217" spans="1:54" x14ac:dyDescent="0.25">
      <c r="A217" s="58">
        <v>41</v>
      </c>
      <c r="B217" s="59">
        <v>0</v>
      </c>
      <c r="C217" s="59">
        <v>1</v>
      </c>
      <c r="D217" s="59">
        <f t="shared" si="57"/>
        <v>1</v>
      </c>
      <c r="E217" s="59">
        <f t="shared" si="58"/>
        <v>0</v>
      </c>
      <c r="F217" s="59">
        <v>896</v>
      </c>
      <c r="G217" s="59">
        <v>1</v>
      </c>
      <c r="H217" s="59">
        <f t="shared" si="59"/>
        <v>1</v>
      </c>
      <c r="I217" s="59">
        <f t="shared" si="60"/>
        <v>0</v>
      </c>
      <c r="J217" s="59">
        <v>6</v>
      </c>
      <c r="K217" s="59">
        <v>3</v>
      </c>
      <c r="L217" s="59">
        <v>1</v>
      </c>
      <c r="M217" s="59">
        <f t="shared" si="61"/>
        <v>1</v>
      </c>
      <c r="N217" s="59">
        <f t="shared" si="62"/>
        <v>0</v>
      </c>
      <c r="O217" s="59">
        <f t="shared" si="63"/>
        <v>0</v>
      </c>
      <c r="P217" s="59">
        <f t="shared" si="64"/>
        <v>0</v>
      </c>
      <c r="Q217" s="59">
        <f t="shared" si="65"/>
        <v>0</v>
      </c>
      <c r="R217" s="59">
        <v>1</v>
      </c>
      <c r="S217" s="59">
        <v>298</v>
      </c>
      <c r="T217" s="59">
        <v>4</v>
      </c>
      <c r="U217" s="59">
        <v>0</v>
      </c>
      <c r="V217" s="59">
        <v>75</v>
      </c>
      <c r="W217" s="59">
        <v>3</v>
      </c>
      <c r="X217" s="59">
        <v>3</v>
      </c>
      <c r="Y217" s="59">
        <v>6</v>
      </c>
      <c r="Z217" s="59">
        <f t="shared" si="66"/>
        <v>0</v>
      </c>
      <c r="AA217" s="59">
        <f>IF('Updated Dummy'!Y217=2,1,0)</f>
        <v>0</v>
      </c>
      <c r="AB217" s="59">
        <f t="shared" si="67"/>
        <v>0</v>
      </c>
      <c r="AC217" s="59">
        <f t="shared" si="68"/>
        <v>0</v>
      </c>
      <c r="AD217" s="59">
        <f t="shared" si="69"/>
        <v>0</v>
      </c>
      <c r="AE217" s="59">
        <f t="shared" si="70"/>
        <v>1</v>
      </c>
      <c r="AF217" s="59">
        <f t="shared" si="71"/>
        <v>0</v>
      </c>
      <c r="AG217" s="59">
        <f t="shared" si="72"/>
        <v>0</v>
      </c>
      <c r="AH217" s="59">
        <v>4</v>
      </c>
      <c r="AI217" s="59">
        <v>1</v>
      </c>
      <c r="AJ217" s="59">
        <f t="shared" si="73"/>
        <v>1</v>
      </c>
      <c r="AK217" s="59">
        <f t="shared" si="74"/>
        <v>0</v>
      </c>
      <c r="AL217" s="59">
        <v>13591</v>
      </c>
      <c r="AM217" s="59">
        <v>14674</v>
      </c>
      <c r="AN217" s="59">
        <v>3</v>
      </c>
      <c r="AO217" s="59">
        <v>1</v>
      </c>
      <c r="AP217" s="59">
        <v>18</v>
      </c>
      <c r="AQ217" s="59">
        <v>3</v>
      </c>
      <c r="AR217" s="59">
        <v>3</v>
      </c>
      <c r="AS217" s="59">
        <v>80</v>
      </c>
      <c r="AT217" s="59">
        <v>0</v>
      </c>
      <c r="AU217" s="59">
        <v>16</v>
      </c>
      <c r="AV217" s="59">
        <v>3</v>
      </c>
      <c r="AW217" s="59">
        <v>3</v>
      </c>
      <c r="AX217" s="59">
        <v>1</v>
      </c>
      <c r="AY217" s="59">
        <v>0</v>
      </c>
      <c r="AZ217" s="59">
        <v>0</v>
      </c>
      <c r="BA217" s="59">
        <v>0</v>
      </c>
      <c r="BB217" s="57">
        <f t="shared" si="75"/>
        <v>40773</v>
      </c>
    </row>
    <row r="218" spans="1:54" x14ac:dyDescent="0.25">
      <c r="A218" s="58">
        <v>30</v>
      </c>
      <c r="B218" s="59">
        <v>1</v>
      </c>
      <c r="C218" s="59">
        <v>2</v>
      </c>
      <c r="D218" s="59">
        <f t="shared" si="57"/>
        <v>0</v>
      </c>
      <c r="E218" s="59">
        <f t="shared" si="58"/>
        <v>1</v>
      </c>
      <c r="F218" s="59">
        <v>334</v>
      </c>
      <c r="G218" s="59">
        <v>1</v>
      </c>
      <c r="H218" s="59">
        <f t="shared" si="59"/>
        <v>1</v>
      </c>
      <c r="I218" s="59">
        <f t="shared" si="60"/>
        <v>0</v>
      </c>
      <c r="J218" s="59">
        <v>26</v>
      </c>
      <c r="K218" s="59">
        <v>4</v>
      </c>
      <c r="L218" s="59">
        <v>4</v>
      </c>
      <c r="M218" s="59">
        <f t="shared" si="61"/>
        <v>0</v>
      </c>
      <c r="N218" s="59">
        <f t="shared" si="62"/>
        <v>0</v>
      </c>
      <c r="O218" s="59">
        <f t="shared" si="63"/>
        <v>0</v>
      </c>
      <c r="P218" s="59">
        <f t="shared" si="64"/>
        <v>1</v>
      </c>
      <c r="Q218" s="59">
        <f t="shared" si="65"/>
        <v>0</v>
      </c>
      <c r="R218" s="59">
        <v>1</v>
      </c>
      <c r="S218" s="59">
        <v>299</v>
      </c>
      <c r="T218" s="59">
        <v>3</v>
      </c>
      <c r="U218" s="59">
        <v>0</v>
      </c>
      <c r="V218" s="59">
        <v>52</v>
      </c>
      <c r="W218" s="59">
        <v>2</v>
      </c>
      <c r="X218" s="59">
        <v>2</v>
      </c>
      <c r="Y218" s="59">
        <v>1</v>
      </c>
      <c r="Z218" s="59">
        <f t="shared" si="66"/>
        <v>1</v>
      </c>
      <c r="AA218" s="59">
        <f>IF('Updated Dummy'!Y218=2,1,0)</f>
        <v>0</v>
      </c>
      <c r="AB218" s="59">
        <f t="shared" si="67"/>
        <v>0</v>
      </c>
      <c r="AC218" s="59">
        <f t="shared" si="68"/>
        <v>0</v>
      </c>
      <c r="AD218" s="59">
        <f t="shared" si="69"/>
        <v>0</v>
      </c>
      <c r="AE218" s="59">
        <f t="shared" si="70"/>
        <v>0</v>
      </c>
      <c r="AF218" s="59">
        <f t="shared" si="71"/>
        <v>0</v>
      </c>
      <c r="AG218" s="59">
        <f t="shared" si="72"/>
        <v>0</v>
      </c>
      <c r="AH218" s="59">
        <v>1</v>
      </c>
      <c r="AI218" s="59">
        <v>1</v>
      </c>
      <c r="AJ218" s="59">
        <f t="shared" si="73"/>
        <v>1</v>
      </c>
      <c r="AK218" s="59">
        <f t="shared" si="74"/>
        <v>0</v>
      </c>
      <c r="AL218" s="59">
        <v>6696</v>
      </c>
      <c r="AM218" s="59">
        <v>22967</v>
      </c>
      <c r="AN218" s="59">
        <v>5</v>
      </c>
      <c r="AO218" s="59">
        <v>0</v>
      </c>
      <c r="AP218" s="59">
        <v>15</v>
      </c>
      <c r="AQ218" s="59">
        <v>3</v>
      </c>
      <c r="AR218" s="59">
        <v>3</v>
      </c>
      <c r="AS218" s="59">
        <v>80</v>
      </c>
      <c r="AT218" s="59">
        <v>0</v>
      </c>
      <c r="AU218" s="59">
        <v>9</v>
      </c>
      <c r="AV218" s="59">
        <v>5</v>
      </c>
      <c r="AW218" s="59">
        <v>2</v>
      </c>
      <c r="AX218" s="59">
        <v>6</v>
      </c>
      <c r="AY218" s="59">
        <v>3</v>
      </c>
      <c r="AZ218" s="59">
        <v>0</v>
      </c>
      <c r="BA218" s="59">
        <v>1</v>
      </c>
      <c r="BB218" s="57">
        <f t="shared" si="75"/>
        <v>13392</v>
      </c>
    </row>
    <row r="219" spans="1:54" x14ac:dyDescent="0.25">
      <c r="A219" s="58">
        <v>29</v>
      </c>
      <c r="B219" s="59">
        <v>1</v>
      </c>
      <c r="C219" s="59">
        <v>1</v>
      </c>
      <c r="D219" s="59">
        <f t="shared" si="57"/>
        <v>1</v>
      </c>
      <c r="E219" s="59">
        <f t="shared" si="58"/>
        <v>0</v>
      </c>
      <c r="F219" s="59">
        <v>992</v>
      </c>
      <c r="G219" s="59">
        <v>2</v>
      </c>
      <c r="H219" s="59">
        <f t="shared" si="59"/>
        <v>0</v>
      </c>
      <c r="I219" s="59">
        <f t="shared" si="60"/>
        <v>1</v>
      </c>
      <c r="J219" s="59">
        <v>1</v>
      </c>
      <c r="K219" s="59">
        <v>3</v>
      </c>
      <c r="L219" s="59">
        <v>5</v>
      </c>
      <c r="M219" s="59">
        <f t="shared" si="61"/>
        <v>0</v>
      </c>
      <c r="N219" s="59">
        <f t="shared" si="62"/>
        <v>0</v>
      </c>
      <c r="O219" s="59">
        <f t="shared" si="63"/>
        <v>0</v>
      </c>
      <c r="P219" s="59">
        <f t="shared" si="64"/>
        <v>0</v>
      </c>
      <c r="Q219" s="59">
        <f t="shared" si="65"/>
        <v>1</v>
      </c>
      <c r="R219" s="59">
        <v>1</v>
      </c>
      <c r="S219" s="59">
        <v>300</v>
      </c>
      <c r="T219" s="59">
        <v>3</v>
      </c>
      <c r="U219" s="59">
        <v>1</v>
      </c>
      <c r="V219" s="59">
        <v>85</v>
      </c>
      <c r="W219" s="59">
        <v>3</v>
      </c>
      <c r="X219" s="59">
        <v>1</v>
      </c>
      <c r="Y219" s="59">
        <v>2</v>
      </c>
      <c r="Z219" s="59">
        <f t="shared" si="66"/>
        <v>0</v>
      </c>
      <c r="AA219" s="59">
        <f>IF('Updated Dummy'!Y219=2,1,0)</f>
        <v>1</v>
      </c>
      <c r="AB219" s="59">
        <f t="shared" si="67"/>
        <v>0</v>
      </c>
      <c r="AC219" s="59">
        <f t="shared" si="68"/>
        <v>0</v>
      </c>
      <c r="AD219" s="59">
        <f t="shared" si="69"/>
        <v>0</v>
      </c>
      <c r="AE219" s="59">
        <f t="shared" si="70"/>
        <v>0</v>
      </c>
      <c r="AF219" s="59">
        <f t="shared" si="71"/>
        <v>0</v>
      </c>
      <c r="AG219" s="59">
        <f t="shared" si="72"/>
        <v>0</v>
      </c>
      <c r="AH219" s="59">
        <v>3</v>
      </c>
      <c r="AI219" s="59">
        <v>1</v>
      </c>
      <c r="AJ219" s="59">
        <f t="shared" si="73"/>
        <v>1</v>
      </c>
      <c r="AK219" s="59">
        <f t="shared" si="74"/>
        <v>0</v>
      </c>
      <c r="AL219" s="59">
        <v>2058</v>
      </c>
      <c r="AM219" s="59">
        <v>19757</v>
      </c>
      <c r="AN219" s="59">
        <v>0</v>
      </c>
      <c r="AO219" s="59">
        <v>0</v>
      </c>
      <c r="AP219" s="59">
        <v>14</v>
      </c>
      <c r="AQ219" s="59">
        <v>3</v>
      </c>
      <c r="AR219" s="59">
        <v>4</v>
      </c>
      <c r="AS219" s="59">
        <v>80</v>
      </c>
      <c r="AT219" s="59">
        <v>0</v>
      </c>
      <c r="AU219" s="59">
        <v>7</v>
      </c>
      <c r="AV219" s="59">
        <v>1</v>
      </c>
      <c r="AW219" s="59">
        <v>2</v>
      </c>
      <c r="AX219" s="59">
        <v>6</v>
      </c>
      <c r="AY219" s="59">
        <v>2</v>
      </c>
      <c r="AZ219" s="59">
        <v>1</v>
      </c>
      <c r="BA219" s="59">
        <v>5</v>
      </c>
      <c r="BB219" s="57">
        <f t="shared" si="75"/>
        <v>2058</v>
      </c>
    </row>
    <row r="220" spans="1:54" x14ac:dyDescent="0.25">
      <c r="A220" s="58">
        <v>45</v>
      </c>
      <c r="B220" s="59">
        <v>0</v>
      </c>
      <c r="C220" s="59">
        <v>3</v>
      </c>
      <c r="D220" s="59">
        <f t="shared" si="57"/>
        <v>0</v>
      </c>
      <c r="E220" s="59">
        <f t="shared" si="58"/>
        <v>0</v>
      </c>
      <c r="F220" s="59">
        <v>1052</v>
      </c>
      <c r="G220" s="59">
        <v>1</v>
      </c>
      <c r="H220" s="59">
        <f t="shared" si="59"/>
        <v>1</v>
      </c>
      <c r="I220" s="59">
        <f t="shared" si="60"/>
        <v>0</v>
      </c>
      <c r="J220" s="59">
        <v>6</v>
      </c>
      <c r="K220" s="59">
        <v>3</v>
      </c>
      <c r="L220" s="59">
        <v>3</v>
      </c>
      <c r="M220" s="59">
        <f t="shared" si="61"/>
        <v>0</v>
      </c>
      <c r="N220" s="59">
        <f t="shared" si="62"/>
        <v>0</v>
      </c>
      <c r="O220" s="59">
        <f t="shared" si="63"/>
        <v>1</v>
      </c>
      <c r="P220" s="59">
        <f t="shared" si="64"/>
        <v>0</v>
      </c>
      <c r="Q220" s="59">
        <f t="shared" si="65"/>
        <v>0</v>
      </c>
      <c r="R220" s="59">
        <v>1</v>
      </c>
      <c r="S220" s="59">
        <v>302</v>
      </c>
      <c r="T220" s="59">
        <v>4</v>
      </c>
      <c r="U220" s="59">
        <v>0</v>
      </c>
      <c r="V220" s="59">
        <v>57</v>
      </c>
      <c r="W220" s="59">
        <v>2</v>
      </c>
      <c r="X220" s="59">
        <v>3</v>
      </c>
      <c r="Y220" s="59">
        <v>1</v>
      </c>
      <c r="Z220" s="59">
        <f t="shared" si="66"/>
        <v>1</v>
      </c>
      <c r="AA220" s="59">
        <f>IF('Updated Dummy'!Y220=2,1,0)</f>
        <v>0</v>
      </c>
      <c r="AB220" s="59">
        <f t="shared" si="67"/>
        <v>0</v>
      </c>
      <c r="AC220" s="59">
        <f t="shared" si="68"/>
        <v>0</v>
      </c>
      <c r="AD220" s="59">
        <f t="shared" si="69"/>
        <v>0</v>
      </c>
      <c r="AE220" s="59">
        <f t="shared" si="70"/>
        <v>0</v>
      </c>
      <c r="AF220" s="59">
        <f t="shared" si="71"/>
        <v>0</v>
      </c>
      <c r="AG220" s="59">
        <f t="shared" si="72"/>
        <v>0</v>
      </c>
      <c r="AH220" s="59">
        <v>4</v>
      </c>
      <c r="AI220" s="59">
        <v>1</v>
      </c>
      <c r="AJ220" s="59">
        <f t="shared" si="73"/>
        <v>1</v>
      </c>
      <c r="AK220" s="59">
        <f t="shared" si="74"/>
        <v>0</v>
      </c>
      <c r="AL220" s="59">
        <v>8865</v>
      </c>
      <c r="AM220" s="59">
        <v>16840</v>
      </c>
      <c r="AN220" s="59">
        <v>6</v>
      </c>
      <c r="AO220" s="59">
        <v>0</v>
      </c>
      <c r="AP220" s="59">
        <v>12</v>
      </c>
      <c r="AQ220" s="59">
        <v>3</v>
      </c>
      <c r="AR220" s="59">
        <v>4</v>
      </c>
      <c r="AS220" s="59">
        <v>80</v>
      </c>
      <c r="AT220" s="59">
        <v>0</v>
      </c>
      <c r="AU220" s="59">
        <v>23</v>
      </c>
      <c r="AV220" s="59">
        <v>2</v>
      </c>
      <c r="AW220" s="59">
        <v>3</v>
      </c>
      <c r="AX220" s="59">
        <v>19</v>
      </c>
      <c r="AY220" s="59">
        <v>7</v>
      </c>
      <c r="AZ220" s="59">
        <v>12</v>
      </c>
      <c r="BA220" s="59">
        <v>8</v>
      </c>
      <c r="BB220" s="57">
        <f t="shared" si="75"/>
        <v>26595</v>
      </c>
    </row>
    <row r="221" spans="1:54" x14ac:dyDescent="0.25">
      <c r="A221" s="58">
        <v>54</v>
      </c>
      <c r="B221" s="59">
        <v>0</v>
      </c>
      <c r="C221" s="59">
        <v>1</v>
      </c>
      <c r="D221" s="59">
        <f t="shared" si="57"/>
        <v>1</v>
      </c>
      <c r="E221" s="59">
        <f t="shared" si="58"/>
        <v>0</v>
      </c>
      <c r="F221" s="59">
        <v>1147</v>
      </c>
      <c r="G221" s="59">
        <v>1</v>
      </c>
      <c r="H221" s="59">
        <f t="shared" si="59"/>
        <v>1</v>
      </c>
      <c r="I221" s="59">
        <f t="shared" si="60"/>
        <v>0</v>
      </c>
      <c r="J221" s="59">
        <v>3</v>
      </c>
      <c r="K221" s="59">
        <v>3</v>
      </c>
      <c r="L221" s="59">
        <v>4</v>
      </c>
      <c r="M221" s="59">
        <f t="shared" si="61"/>
        <v>0</v>
      </c>
      <c r="N221" s="59">
        <f t="shared" si="62"/>
        <v>0</v>
      </c>
      <c r="O221" s="59">
        <f t="shared" si="63"/>
        <v>0</v>
      </c>
      <c r="P221" s="59">
        <f t="shared" si="64"/>
        <v>1</v>
      </c>
      <c r="Q221" s="59">
        <f t="shared" si="65"/>
        <v>0</v>
      </c>
      <c r="R221" s="59">
        <v>1</v>
      </c>
      <c r="S221" s="59">
        <v>303</v>
      </c>
      <c r="T221" s="59">
        <v>4</v>
      </c>
      <c r="U221" s="59">
        <v>0</v>
      </c>
      <c r="V221" s="59">
        <v>52</v>
      </c>
      <c r="W221" s="59">
        <v>3</v>
      </c>
      <c r="X221" s="59">
        <v>2</v>
      </c>
      <c r="Y221" s="59">
        <v>1</v>
      </c>
      <c r="Z221" s="59">
        <f t="shared" si="66"/>
        <v>1</v>
      </c>
      <c r="AA221" s="59">
        <f>IF('Updated Dummy'!Y221=2,1,0)</f>
        <v>0</v>
      </c>
      <c r="AB221" s="59">
        <f t="shared" si="67"/>
        <v>0</v>
      </c>
      <c r="AC221" s="59">
        <f t="shared" si="68"/>
        <v>0</v>
      </c>
      <c r="AD221" s="59">
        <f t="shared" si="69"/>
        <v>0</v>
      </c>
      <c r="AE221" s="59">
        <f t="shared" si="70"/>
        <v>0</v>
      </c>
      <c r="AF221" s="59">
        <f t="shared" si="71"/>
        <v>0</v>
      </c>
      <c r="AG221" s="59">
        <f t="shared" si="72"/>
        <v>0</v>
      </c>
      <c r="AH221" s="59">
        <v>1</v>
      </c>
      <c r="AI221" s="59">
        <v>2</v>
      </c>
      <c r="AJ221" s="59">
        <f t="shared" si="73"/>
        <v>0</v>
      </c>
      <c r="AK221" s="59">
        <f t="shared" si="74"/>
        <v>1</v>
      </c>
      <c r="AL221" s="59">
        <v>5940</v>
      </c>
      <c r="AM221" s="59">
        <v>17011</v>
      </c>
      <c r="AN221" s="59">
        <v>2</v>
      </c>
      <c r="AO221" s="59">
        <v>0</v>
      </c>
      <c r="AP221" s="59">
        <v>14</v>
      </c>
      <c r="AQ221" s="59">
        <v>3</v>
      </c>
      <c r="AR221" s="59">
        <v>4</v>
      </c>
      <c r="AS221" s="59">
        <v>80</v>
      </c>
      <c r="AT221" s="59">
        <v>1</v>
      </c>
      <c r="AU221" s="59">
        <v>16</v>
      </c>
      <c r="AV221" s="59">
        <v>4</v>
      </c>
      <c r="AW221" s="59">
        <v>3</v>
      </c>
      <c r="AX221" s="59">
        <v>6</v>
      </c>
      <c r="AY221" s="59">
        <v>2</v>
      </c>
      <c r="AZ221" s="59">
        <v>0</v>
      </c>
      <c r="BA221" s="59">
        <v>5</v>
      </c>
      <c r="BB221" s="57">
        <f t="shared" si="75"/>
        <v>11880</v>
      </c>
    </row>
    <row r="222" spans="1:54" x14ac:dyDescent="0.25">
      <c r="A222" s="58">
        <v>36</v>
      </c>
      <c r="B222" s="59">
        <v>0</v>
      </c>
      <c r="C222" s="59">
        <v>1</v>
      </c>
      <c r="D222" s="59">
        <f t="shared" si="57"/>
        <v>1</v>
      </c>
      <c r="E222" s="59">
        <f t="shared" si="58"/>
        <v>0</v>
      </c>
      <c r="F222" s="59">
        <v>1396</v>
      </c>
      <c r="G222" s="59">
        <v>2</v>
      </c>
      <c r="H222" s="59">
        <f t="shared" si="59"/>
        <v>0</v>
      </c>
      <c r="I222" s="59">
        <f t="shared" si="60"/>
        <v>1</v>
      </c>
      <c r="J222" s="59">
        <v>5</v>
      </c>
      <c r="K222" s="59">
        <v>2</v>
      </c>
      <c r="L222" s="59">
        <v>1</v>
      </c>
      <c r="M222" s="59">
        <f t="shared" si="61"/>
        <v>1</v>
      </c>
      <c r="N222" s="59">
        <f t="shared" si="62"/>
        <v>0</v>
      </c>
      <c r="O222" s="59">
        <f t="shared" si="63"/>
        <v>0</v>
      </c>
      <c r="P222" s="59">
        <f t="shared" si="64"/>
        <v>0</v>
      </c>
      <c r="Q222" s="59">
        <f t="shared" si="65"/>
        <v>0</v>
      </c>
      <c r="R222" s="59">
        <v>1</v>
      </c>
      <c r="S222" s="59">
        <v>304</v>
      </c>
      <c r="T222" s="59">
        <v>4</v>
      </c>
      <c r="U222" s="59">
        <v>1</v>
      </c>
      <c r="V222" s="59">
        <v>62</v>
      </c>
      <c r="W222" s="59">
        <v>3</v>
      </c>
      <c r="X222" s="59">
        <v>2</v>
      </c>
      <c r="Y222" s="59">
        <v>3</v>
      </c>
      <c r="Z222" s="59">
        <f t="shared" si="66"/>
        <v>0</v>
      </c>
      <c r="AA222" s="59">
        <f>IF('Updated Dummy'!Y222=2,1,0)</f>
        <v>0</v>
      </c>
      <c r="AB222" s="59">
        <f t="shared" si="67"/>
        <v>1</v>
      </c>
      <c r="AC222" s="59">
        <f t="shared" si="68"/>
        <v>0</v>
      </c>
      <c r="AD222" s="59">
        <f t="shared" si="69"/>
        <v>0</v>
      </c>
      <c r="AE222" s="59">
        <f t="shared" si="70"/>
        <v>0</v>
      </c>
      <c r="AF222" s="59">
        <f t="shared" si="71"/>
        <v>0</v>
      </c>
      <c r="AG222" s="59">
        <f t="shared" si="72"/>
        <v>0</v>
      </c>
      <c r="AH222" s="59">
        <v>2</v>
      </c>
      <c r="AI222" s="59">
        <v>1</v>
      </c>
      <c r="AJ222" s="59">
        <f t="shared" si="73"/>
        <v>1</v>
      </c>
      <c r="AK222" s="59">
        <f t="shared" si="74"/>
        <v>0</v>
      </c>
      <c r="AL222" s="59">
        <v>5914</v>
      </c>
      <c r="AM222" s="59">
        <v>9945</v>
      </c>
      <c r="AN222" s="59">
        <v>8</v>
      </c>
      <c r="AO222" s="59">
        <v>0</v>
      </c>
      <c r="AP222" s="59">
        <v>16</v>
      </c>
      <c r="AQ222" s="59">
        <v>3</v>
      </c>
      <c r="AR222" s="59">
        <v>4</v>
      </c>
      <c r="AS222" s="59">
        <v>80</v>
      </c>
      <c r="AT222" s="59">
        <v>0</v>
      </c>
      <c r="AU222" s="59">
        <v>16</v>
      </c>
      <c r="AV222" s="59">
        <v>3</v>
      </c>
      <c r="AW222" s="59">
        <v>4</v>
      </c>
      <c r="AX222" s="59">
        <v>13</v>
      </c>
      <c r="AY222" s="59">
        <v>11</v>
      </c>
      <c r="AZ222" s="59">
        <v>3</v>
      </c>
      <c r="BA222" s="59">
        <v>7</v>
      </c>
      <c r="BB222" s="57">
        <f t="shared" si="75"/>
        <v>11828</v>
      </c>
    </row>
    <row r="223" spans="1:54" x14ac:dyDescent="0.25">
      <c r="A223" s="58">
        <v>33</v>
      </c>
      <c r="B223" s="59">
        <v>0</v>
      </c>
      <c r="C223" s="59">
        <v>1</v>
      </c>
      <c r="D223" s="59">
        <f t="shared" si="57"/>
        <v>1</v>
      </c>
      <c r="E223" s="59">
        <f t="shared" si="58"/>
        <v>0</v>
      </c>
      <c r="F223" s="59">
        <v>147</v>
      </c>
      <c r="G223" s="59">
        <v>2</v>
      </c>
      <c r="H223" s="59">
        <f t="shared" si="59"/>
        <v>0</v>
      </c>
      <c r="I223" s="59">
        <f t="shared" si="60"/>
        <v>1</v>
      </c>
      <c r="J223" s="59">
        <v>4</v>
      </c>
      <c r="K223" s="59">
        <v>4</v>
      </c>
      <c r="L223" s="59">
        <v>3</v>
      </c>
      <c r="M223" s="59">
        <f t="shared" si="61"/>
        <v>0</v>
      </c>
      <c r="N223" s="59">
        <f t="shared" si="62"/>
        <v>0</v>
      </c>
      <c r="O223" s="59">
        <f t="shared" si="63"/>
        <v>1</v>
      </c>
      <c r="P223" s="59">
        <f t="shared" si="64"/>
        <v>0</v>
      </c>
      <c r="Q223" s="59">
        <f t="shared" si="65"/>
        <v>0</v>
      </c>
      <c r="R223" s="59">
        <v>1</v>
      </c>
      <c r="S223" s="59">
        <v>305</v>
      </c>
      <c r="T223" s="59">
        <v>3</v>
      </c>
      <c r="U223" s="59">
        <v>0</v>
      </c>
      <c r="V223" s="59">
        <v>47</v>
      </c>
      <c r="W223" s="59">
        <v>2</v>
      </c>
      <c r="X223" s="59">
        <v>1</v>
      </c>
      <c r="Y223" s="59">
        <v>2</v>
      </c>
      <c r="Z223" s="59">
        <f t="shared" si="66"/>
        <v>0</v>
      </c>
      <c r="AA223" s="59">
        <f>IF('Updated Dummy'!Y223=2,1,0)</f>
        <v>1</v>
      </c>
      <c r="AB223" s="59">
        <f t="shared" si="67"/>
        <v>0</v>
      </c>
      <c r="AC223" s="59">
        <f t="shared" si="68"/>
        <v>0</v>
      </c>
      <c r="AD223" s="59">
        <f t="shared" si="69"/>
        <v>0</v>
      </c>
      <c r="AE223" s="59">
        <f t="shared" si="70"/>
        <v>0</v>
      </c>
      <c r="AF223" s="59">
        <f t="shared" si="71"/>
        <v>0</v>
      </c>
      <c r="AG223" s="59">
        <f t="shared" si="72"/>
        <v>0</v>
      </c>
      <c r="AH223" s="59">
        <v>2</v>
      </c>
      <c r="AI223" s="59">
        <v>2</v>
      </c>
      <c r="AJ223" s="59">
        <f t="shared" si="73"/>
        <v>0</v>
      </c>
      <c r="AK223" s="59">
        <f t="shared" si="74"/>
        <v>1</v>
      </c>
      <c r="AL223" s="59">
        <v>2622</v>
      </c>
      <c r="AM223" s="59">
        <v>13248</v>
      </c>
      <c r="AN223" s="59">
        <v>6</v>
      </c>
      <c r="AO223" s="59">
        <v>0</v>
      </c>
      <c r="AP223" s="59">
        <v>21</v>
      </c>
      <c r="AQ223" s="59">
        <v>4</v>
      </c>
      <c r="AR223" s="59">
        <v>4</v>
      </c>
      <c r="AS223" s="59">
        <v>80</v>
      </c>
      <c r="AT223" s="59">
        <v>0</v>
      </c>
      <c r="AU223" s="59">
        <v>7</v>
      </c>
      <c r="AV223" s="59">
        <v>3</v>
      </c>
      <c r="AW223" s="59">
        <v>3</v>
      </c>
      <c r="AX223" s="59">
        <v>3</v>
      </c>
      <c r="AY223" s="59">
        <v>2</v>
      </c>
      <c r="AZ223" s="59">
        <v>1</v>
      </c>
      <c r="BA223" s="59">
        <v>1</v>
      </c>
      <c r="BB223" s="57">
        <f t="shared" si="75"/>
        <v>2622</v>
      </c>
    </row>
    <row r="224" spans="1:54" x14ac:dyDescent="0.25">
      <c r="A224" s="58">
        <v>37</v>
      </c>
      <c r="B224" s="59">
        <v>0</v>
      </c>
      <c r="C224" s="59">
        <v>2</v>
      </c>
      <c r="D224" s="59">
        <f t="shared" si="57"/>
        <v>0</v>
      </c>
      <c r="E224" s="59">
        <f t="shared" si="58"/>
        <v>1</v>
      </c>
      <c r="F224" s="59">
        <v>663</v>
      </c>
      <c r="G224" s="59">
        <v>2</v>
      </c>
      <c r="H224" s="59">
        <f t="shared" si="59"/>
        <v>0</v>
      </c>
      <c r="I224" s="59">
        <f t="shared" si="60"/>
        <v>1</v>
      </c>
      <c r="J224" s="59">
        <v>11</v>
      </c>
      <c r="K224" s="59">
        <v>3</v>
      </c>
      <c r="L224" s="59">
        <v>6</v>
      </c>
      <c r="M224" s="59">
        <f t="shared" si="61"/>
        <v>0</v>
      </c>
      <c r="N224" s="59">
        <f t="shared" si="62"/>
        <v>0</v>
      </c>
      <c r="O224" s="59">
        <f t="shared" si="63"/>
        <v>0</v>
      </c>
      <c r="P224" s="59">
        <f t="shared" si="64"/>
        <v>0</v>
      </c>
      <c r="Q224" s="59">
        <f t="shared" si="65"/>
        <v>0</v>
      </c>
      <c r="R224" s="59">
        <v>1</v>
      </c>
      <c r="S224" s="59">
        <v>306</v>
      </c>
      <c r="T224" s="59">
        <v>2</v>
      </c>
      <c r="U224" s="59">
        <v>1</v>
      </c>
      <c r="V224" s="59">
        <v>47</v>
      </c>
      <c r="W224" s="59">
        <v>3</v>
      </c>
      <c r="X224" s="59">
        <v>3</v>
      </c>
      <c r="Y224" s="59">
        <v>8</v>
      </c>
      <c r="Z224" s="59">
        <f t="shared" si="66"/>
        <v>0</v>
      </c>
      <c r="AA224" s="59">
        <f>IF('Updated Dummy'!Y224=2,1,0)</f>
        <v>0</v>
      </c>
      <c r="AB224" s="59">
        <f t="shared" si="67"/>
        <v>0</v>
      </c>
      <c r="AC224" s="59">
        <f t="shared" si="68"/>
        <v>0</v>
      </c>
      <c r="AD224" s="59">
        <f t="shared" si="69"/>
        <v>0</v>
      </c>
      <c r="AE224" s="59">
        <f t="shared" si="70"/>
        <v>0</v>
      </c>
      <c r="AF224" s="59">
        <f t="shared" si="71"/>
        <v>0</v>
      </c>
      <c r="AG224" s="59">
        <f t="shared" si="72"/>
        <v>1</v>
      </c>
      <c r="AH224" s="59">
        <v>4</v>
      </c>
      <c r="AI224" s="59">
        <v>3</v>
      </c>
      <c r="AJ224" s="59">
        <f t="shared" si="73"/>
        <v>0</v>
      </c>
      <c r="AK224" s="59">
        <f t="shared" si="74"/>
        <v>0</v>
      </c>
      <c r="AL224" s="59">
        <v>12185</v>
      </c>
      <c r="AM224" s="59">
        <v>10056</v>
      </c>
      <c r="AN224" s="59">
        <v>1</v>
      </c>
      <c r="AO224" s="59">
        <v>1</v>
      </c>
      <c r="AP224" s="59">
        <v>14</v>
      </c>
      <c r="AQ224" s="59">
        <v>3</v>
      </c>
      <c r="AR224" s="59">
        <v>3</v>
      </c>
      <c r="AS224" s="59">
        <v>80</v>
      </c>
      <c r="AT224" s="59">
        <v>3</v>
      </c>
      <c r="AU224" s="59">
        <v>10</v>
      </c>
      <c r="AV224" s="59">
        <v>1</v>
      </c>
      <c r="AW224" s="59">
        <v>3</v>
      </c>
      <c r="AX224" s="59">
        <v>10</v>
      </c>
      <c r="AY224" s="59">
        <v>8</v>
      </c>
      <c r="AZ224" s="59">
        <v>0</v>
      </c>
      <c r="BA224" s="59">
        <v>7</v>
      </c>
      <c r="BB224" s="57">
        <f t="shared" si="75"/>
        <v>36555</v>
      </c>
    </row>
    <row r="225" spans="1:54" x14ac:dyDescent="0.25">
      <c r="A225" s="58">
        <v>38</v>
      </c>
      <c r="B225" s="59">
        <v>0</v>
      </c>
      <c r="C225" s="59">
        <v>1</v>
      </c>
      <c r="D225" s="59">
        <f t="shared" si="57"/>
        <v>1</v>
      </c>
      <c r="E225" s="59">
        <f t="shared" si="58"/>
        <v>0</v>
      </c>
      <c r="F225" s="59">
        <v>119</v>
      </c>
      <c r="G225" s="59">
        <v>1</v>
      </c>
      <c r="H225" s="59">
        <f t="shared" si="59"/>
        <v>1</v>
      </c>
      <c r="I225" s="59">
        <f t="shared" si="60"/>
        <v>0</v>
      </c>
      <c r="J225" s="59">
        <v>3</v>
      </c>
      <c r="K225" s="59">
        <v>3</v>
      </c>
      <c r="L225" s="59">
        <v>1</v>
      </c>
      <c r="M225" s="59">
        <f t="shared" si="61"/>
        <v>1</v>
      </c>
      <c r="N225" s="59">
        <f t="shared" si="62"/>
        <v>0</v>
      </c>
      <c r="O225" s="59">
        <f t="shared" si="63"/>
        <v>0</v>
      </c>
      <c r="P225" s="59">
        <f t="shared" si="64"/>
        <v>0</v>
      </c>
      <c r="Q225" s="59">
        <f t="shared" si="65"/>
        <v>0</v>
      </c>
      <c r="R225" s="59">
        <v>1</v>
      </c>
      <c r="S225" s="59">
        <v>307</v>
      </c>
      <c r="T225" s="59">
        <v>1</v>
      </c>
      <c r="U225" s="59">
        <v>1</v>
      </c>
      <c r="V225" s="59">
        <v>76</v>
      </c>
      <c r="W225" s="59">
        <v>3</v>
      </c>
      <c r="X225" s="59">
        <v>3</v>
      </c>
      <c r="Y225" s="59">
        <v>1</v>
      </c>
      <c r="Z225" s="59">
        <f t="shared" si="66"/>
        <v>1</v>
      </c>
      <c r="AA225" s="59">
        <f>IF('Updated Dummy'!Y225=2,1,0)</f>
        <v>0</v>
      </c>
      <c r="AB225" s="59">
        <f t="shared" si="67"/>
        <v>0</v>
      </c>
      <c r="AC225" s="59">
        <f t="shared" si="68"/>
        <v>0</v>
      </c>
      <c r="AD225" s="59">
        <f t="shared" si="69"/>
        <v>0</v>
      </c>
      <c r="AE225" s="59">
        <f t="shared" si="70"/>
        <v>0</v>
      </c>
      <c r="AF225" s="59">
        <f t="shared" si="71"/>
        <v>0</v>
      </c>
      <c r="AG225" s="59">
        <f t="shared" si="72"/>
        <v>0</v>
      </c>
      <c r="AH225" s="59">
        <v>3</v>
      </c>
      <c r="AI225" s="59">
        <v>3</v>
      </c>
      <c r="AJ225" s="59">
        <f t="shared" si="73"/>
        <v>0</v>
      </c>
      <c r="AK225" s="59">
        <f t="shared" si="74"/>
        <v>0</v>
      </c>
      <c r="AL225" s="59">
        <v>10609</v>
      </c>
      <c r="AM225" s="59">
        <v>9647</v>
      </c>
      <c r="AN225" s="59">
        <v>0</v>
      </c>
      <c r="AO225" s="59">
        <v>0</v>
      </c>
      <c r="AP225" s="59">
        <v>12</v>
      </c>
      <c r="AQ225" s="59">
        <v>3</v>
      </c>
      <c r="AR225" s="59">
        <v>3</v>
      </c>
      <c r="AS225" s="59">
        <v>80</v>
      </c>
      <c r="AT225" s="59">
        <v>2</v>
      </c>
      <c r="AU225" s="59">
        <v>17</v>
      </c>
      <c r="AV225" s="59">
        <v>6</v>
      </c>
      <c r="AW225" s="59">
        <v>2</v>
      </c>
      <c r="AX225" s="59">
        <v>16</v>
      </c>
      <c r="AY225" s="59">
        <v>10</v>
      </c>
      <c r="AZ225" s="59">
        <v>5</v>
      </c>
      <c r="BA225" s="59">
        <v>13</v>
      </c>
      <c r="BB225" s="57">
        <f t="shared" si="75"/>
        <v>31827</v>
      </c>
    </row>
    <row r="226" spans="1:54" x14ac:dyDescent="0.25">
      <c r="A226" s="58">
        <v>31</v>
      </c>
      <c r="B226" s="59">
        <v>0</v>
      </c>
      <c r="C226" s="59">
        <v>3</v>
      </c>
      <c r="D226" s="59">
        <f t="shared" si="57"/>
        <v>0</v>
      </c>
      <c r="E226" s="59">
        <f t="shared" si="58"/>
        <v>0</v>
      </c>
      <c r="F226" s="59">
        <v>979</v>
      </c>
      <c r="G226" s="59">
        <v>2</v>
      </c>
      <c r="H226" s="59">
        <f t="shared" si="59"/>
        <v>0</v>
      </c>
      <c r="I226" s="59">
        <f t="shared" si="60"/>
        <v>1</v>
      </c>
      <c r="J226" s="59">
        <v>1</v>
      </c>
      <c r="K226" s="59">
        <v>4</v>
      </c>
      <c r="L226" s="59">
        <v>3</v>
      </c>
      <c r="M226" s="59">
        <f t="shared" si="61"/>
        <v>0</v>
      </c>
      <c r="N226" s="59">
        <f t="shared" si="62"/>
        <v>0</v>
      </c>
      <c r="O226" s="59">
        <f t="shared" si="63"/>
        <v>1</v>
      </c>
      <c r="P226" s="59">
        <f t="shared" si="64"/>
        <v>0</v>
      </c>
      <c r="Q226" s="59">
        <f t="shared" si="65"/>
        <v>0</v>
      </c>
      <c r="R226" s="59">
        <v>1</v>
      </c>
      <c r="S226" s="59">
        <v>308</v>
      </c>
      <c r="T226" s="59">
        <v>3</v>
      </c>
      <c r="U226" s="59">
        <v>1</v>
      </c>
      <c r="V226" s="59">
        <v>90</v>
      </c>
      <c r="W226" s="59">
        <v>1</v>
      </c>
      <c r="X226" s="59">
        <v>2</v>
      </c>
      <c r="Y226" s="59">
        <v>4</v>
      </c>
      <c r="Z226" s="59">
        <f t="shared" si="66"/>
        <v>0</v>
      </c>
      <c r="AA226" s="59">
        <f>IF('Updated Dummy'!Y226=2,1,0)</f>
        <v>0</v>
      </c>
      <c r="AB226" s="59">
        <f t="shared" si="67"/>
        <v>0</v>
      </c>
      <c r="AC226" s="59">
        <f t="shared" si="68"/>
        <v>1</v>
      </c>
      <c r="AD226" s="59">
        <f t="shared" si="69"/>
        <v>0</v>
      </c>
      <c r="AE226" s="59">
        <f t="shared" si="70"/>
        <v>0</v>
      </c>
      <c r="AF226" s="59">
        <f t="shared" si="71"/>
        <v>0</v>
      </c>
      <c r="AG226" s="59">
        <f t="shared" si="72"/>
        <v>0</v>
      </c>
      <c r="AH226" s="59">
        <v>3</v>
      </c>
      <c r="AI226" s="59">
        <v>2</v>
      </c>
      <c r="AJ226" s="59">
        <f t="shared" si="73"/>
        <v>0</v>
      </c>
      <c r="AK226" s="59">
        <f t="shared" si="74"/>
        <v>1</v>
      </c>
      <c r="AL226" s="59">
        <v>4345</v>
      </c>
      <c r="AM226" s="59">
        <v>4381</v>
      </c>
      <c r="AN226" s="59">
        <v>0</v>
      </c>
      <c r="AO226" s="59">
        <v>0</v>
      </c>
      <c r="AP226" s="59">
        <v>12</v>
      </c>
      <c r="AQ226" s="59">
        <v>3</v>
      </c>
      <c r="AR226" s="59">
        <v>4</v>
      </c>
      <c r="AS226" s="59">
        <v>80</v>
      </c>
      <c r="AT226" s="59">
        <v>1</v>
      </c>
      <c r="AU226" s="59">
        <v>6</v>
      </c>
      <c r="AV226" s="59">
        <v>2</v>
      </c>
      <c r="AW226" s="59">
        <v>3</v>
      </c>
      <c r="AX226" s="59">
        <v>5</v>
      </c>
      <c r="AY226" s="59">
        <v>4</v>
      </c>
      <c r="AZ226" s="59">
        <v>1</v>
      </c>
      <c r="BA226" s="59">
        <v>4</v>
      </c>
      <c r="BB226" s="57">
        <f t="shared" si="75"/>
        <v>8690</v>
      </c>
    </row>
    <row r="227" spans="1:54" x14ac:dyDescent="0.25">
      <c r="A227" s="58">
        <v>59</v>
      </c>
      <c r="B227" s="59">
        <v>0</v>
      </c>
      <c r="C227" s="59">
        <v>1</v>
      </c>
      <c r="D227" s="59">
        <f t="shared" si="57"/>
        <v>1</v>
      </c>
      <c r="E227" s="59">
        <f t="shared" si="58"/>
        <v>0</v>
      </c>
      <c r="F227" s="59">
        <v>142</v>
      </c>
      <c r="G227" s="59">
        <v>2</v>
      </c>
      <c r="H227" s="59">
        <f t="shared" si="59"/>
        <v>0</v>
      </c>
      <c r="I227" s="59">
        <f t="shared" si="60"/>
        <v>1</v>
      </c>
      <c r="J227" s="59">
        <v>3</v>
      </c>
      <c r="K227" s="59">
        <v>3</v>
      </c>
      <c r="L227" s="59">
        <v>1</v>
      </c>
      <c r="M227" s="59">
        <f t="shared" si="61"/>
        <v>1</v>
      </c>
      <c r="N227" s="59">
        <f t="shared" si="62"/>
        <v>0</v>
      </c>
      <c r="O227" s="59">
        <f t="shared" si="63"/>
        <v>0</v>
      </c>
      <c r="P227" s="59">
        <f t="shared" si="64"/>
        <v>0</v>
      </c>
      <c r="Q227" s="59">
        <f t="shared" si="65"/>
        <v>0</v>
      </c>
      <c r="R227" s="59">
        <v>1</v>
      </c>
      <c r="S227" s="59">
        <v>309</v>
      </c>
      <c r="T227" s="59">
        <v>3</v>
      </c>
      <c r="U227" s="59">
        <v>1</v>
      </c>
      <c r="V227" s="59">
        <v>70</v>
      </c>
      <c r="W227" s="59">
        <v>2</v>
      </c>
      <c r="X227" s="59">
        <v>1</v>
      </c>
      <c r="Y227" s="59">
        <v>2</v>
      </c>
      <c r="Z227" s="59">
        <f t="shared" si="66"/>
        <v>0</v>
      </c>
      <c r="AA227" s="59">
        <f>IF('Updated Dummy'!Y227=2,1,0)</f>
        <v>1</v>
      </c>
      <c r="AB227" s="59">
        <f t="shared" si="67"/>
        <v>0</v>
      </c>
      <c r="AC227" s="59">
        <f t="shared" si="68"/>
        <v>0</v>
      </c>
      <c r="AD227" s="59">
        <f t="shared" si="69"/>
        <v>0</v>
      </c>
      <c r="AE227" s="59">
        <f t="shared" si="70"/>
        <v>0</v>
      </c>
      <c r="AF227" s="59">
        <f t="shared" si="71"/>
        <v>0</v>
      </c>
      <c r="AG227" s="59">
        <f t="shared" si="72"/>
        <v>0</v>
      </c>
      <c r="AH227" s="59">
        <v>4</v>
      </c>
      <c r="AI227" s="59">
        <v>2</v>
      </c>
      <c r="AJ227" s="59">
        <f t="shared" si="73"/>
        <v>0</v>
      </c>
      <c r="AK227" s="59">
        <f t="shared" si="74"/>
        <v>1</v>
      </c>
      <c r="AL227" s="59">
        <v>2177</v>
      </c>
      <c r="AM227" s="59">
        <v>8456</v>
      </c>
      <c r="AN227" s="59">
        <v>3</v>
      </c>
      <c r="AO227" s="59">
        <v>0</v>
      </c>
      <c r="AP227" s="59">
        <v>17</v>
      </c>
      <c r="AQ227" s="59">
        <v>3</v>
      </c>
      <c r="AR227" s="59">
        <v>1</v>
      </c>
      <c r="AS227" s="59">
        <v>80</v>
      </c>
      <c r="AT227" s="59">
        <v>1</v>
      </c>
      <c r="AU227" s="59">
        <v>7</v>
      </c>
      <c r="AV227" s="59">
        <v>6</v>
      </c>
      <c r="AW227" s="59">
        <v>3</v>
      </c>
      <c r="AX227" s="59">
        <v>1</v>
      </c>
      <c r="AY227" s="59">
        <v>0</v>
      </c>
      <c r="AZ227" s="59">
        <v>0</v>
      </c>
      <c r="BA227" s="59">
        <v>0</v>
      </c>
      <c r="BB227" s="57">
        <f t="shared" si="75"/>
        <v>2177</v>
      </c>
    </row>
    <row r="228" spans="1:54" x14ac:dyDescent="0.25">
      <c r="A228" s="58">
        <v>37</v>
      </c>
      <c r="B228" s="59">
        <v>0</v>
      </c>
      <c r="C228" s="59">
        <v>2</v>
      </c>
      <c r="D228" s="59">
        <f t="shared" si="57"/>
        <v>0</v>
      </c>
      <c r="E228" s="59">
        <f t="shared" si="58"/>
        <v>1</v>
      </c>
      <c r="F228" s="59">
        <v>319</v>
      </c>
      <c r="G228" s="59">
        <v>1</v>
      </c>
      <c r="H228" s="59">
        <f t="shared" si="59"/>
        <v>1</v>
      </c>
      <c r="I228" s="59">
        <f t="shared" si="60"/>
        <v>0</v>
      </c>
      <c r="J228" s="59">
        <v>4</v>
      </c>
      <c r="K228" s="59">
        <v>4</v>
      </c>
      <c r="L228" s="59">
        <v>4</v>
      </c>
      <c r="M228" s="59">
        <f t="shared" si="61"/>
        <v>0</v>
      </c>
      <c r="N228" s="59">
        <f t="shared" si="62"/>
        <v>0</v>
      </c>
      <c r="O228" s="59">
        <f t="shared" si="63"/>
        <v>0</v>
      </c>
      <c r="P228" s="59">
        <f t="shared" si="64"/>
        <v>1</v>
      </c>
      <c r="Q228" s="59">
        <f t="shared" si="65"/>
        <v>0</v>
      </c>
      <c r="R228" s="59">
        <v>1</v>
      </c>
      <c r="S228" s="59">
        <v>311</v>
      </c>
      <c r="T228" s="59">
        <v>1</v>
      </c>
      <c r="U228" s="59">
        <v>1</v>
      </c>
      <c r="V228" s="59">
        <v>41</v>
      </c>
      <c r="W228" s="59">
        <v>3</v>
      </c>
      <c r="X228" s="59">
        <v>1</v>
      </c>
      <c r="Y228" s="59">
        <v>7</v>
      </c>
      <c r="Z228" s="59">
        <f t="shared" si="66"/>
        <v>0</v>
      </c>
      <c r="AA228" s="59">
        <f>IF('Updated Dummy'!Y228=2,1,0)</f>
        <v>0</v>
      </c>
      <c r="AB228" s="59">
        <f t="shared" si="67"/>
        <v>0</v>
      </c>
      <c r="AC228" s="59">
        <f t="shared" si="68"/>
        <v>0</v>
      </c>
      <c r="AD228" s="59">
        <f t="shared" si="69"/>
        <v>0</v>
      </c>
      <c r="AE228" s="59">
        <f t="shared" si="70"/>
        <v>0</v>
      </c>
      <c r="AF228" s="59">
        <f t="shared" si="71"/>
        <v>1</v>
      </c>
      <c r="AG228" s="59">
        <f t="shared" si="72"/>
        <v>0</v>
      </c>
      <c r="AH228" s="59">
        <v>4</v>
      </c>
      <c r="AI228" s="59">
        <v>3</v>
      </c>
      <c r="AJ228" s="59">
        <f t="shared" si="73"/>
        <v>0</v>
      </c>
      <c r="AK228" s="59">
        <f t="shared" si="74"/>
        <v>0</v>
      </c>
      <c r="AL228" s="59">
        <v>2793</v>
      </c>
      <c r="AM228" s="59">
        <v>2539</v>
      </c>
      <c r="AN228" s="59">
        <v>4</v>
      </c>
      <c r="AO228" s="59">
        <v>0</v>
      </c>
      <c r="AP228" s="59">
        <v>17</v>
      </c>
      <c r="AQ228" s="59">
        <v>3</v>
      </c>
      <c r="AR228" s="59">
        <v>3</v>
      </c>
      <c r="AS228" s="59">
        <v>80</v>
      </c>
      <c r="AT228" s="59">
        <v>1</v>
      </c>
      <c r="AU228" s="59">
        <v>13</v>
      </c>
      <c r="AV228" s="59">
        <v>2</v>
      </c>
      <c r="AW228" s="59">
        <v>3</v>
      </c>
      <c r="AX228" s="59">
        <v>9</v>
      </c>
      <c r="AY228" s="59">
        <v>8</v>
      </c>
      <c r="AZ228" s="59">
        <v>5</v>
      </c>
      <c r="BA228" s="59">
        <v>8</v>
      </c>
      <c r="BB228" s="57">
        <f t="shared" si="75"/>
        <v>2793</v>
      </c>
    </row>
    <row r="229" spans="1:54" x14ac:dyDescent="0.25">
      <c r="A229" s="58">
        <v>29</v>
      </c>
      <c r="B229" s="59">
        <v>0</v>
      </c>
      <c r="C229" s="59">
        <v>2</v>
      </c>
      <c r="D229" s="59">
        <f t="shared" si="57"/>
        <v>0</v>
      </c>
      <c r="E229" s="59">
        <f t="shared" si="58"/>
        <v>1</v>
      </c>
      <c r="F229" s="59">
        <v>1413</v>
      </c>
      <c r="G229" s="59">
        <v>1</v>
      </c>
      <c r="H229" s="59">
        <f t="shared" si="59"/>
        <v>1</v>
      </c>
      <c r="I229" s="59">
        <f t="shared" si="60"/>
        <v>0</v>
      </c>
      <c r="J229" s="59">
        <v>1</v>
      </c>
      <c r="K229" s="59">
        <v>1</v>
      </c>
      <c r="L229" s="59">
        <v>3</v>
      </c>
      <c r="M229" s="59">
        <f t="shared" si="61"/>
        <v>0</v>
      </c>
      <c r="N229" s="59">
        <f t="shared" si="62"/>
        <v>0</v>
      </c>
      <c r="O229" s="59">
        <f t="shared" si="63"/>
        <v>1</v>
      </c>
      <c r="P229" s="59">
        <f t="shared" si="64"/>
        <v>0</v>
      </c>
      <c r="Q229" s="59">
        <f t="shared" si="65"/>
        <v>0</v>
      </c>
      <c r="R229" s="59">
        <v>1</v>
      </c>
      <c r="S229" s="59">
        <v>312</v>
      </c>
      <c r="T229" s="59">
        <v>2</v>
      </c>
      <c r="U229" s="59">
        <v>0</v>
      </c>
      <c r="V229" s="59">
        <v>42</v>
      </c>
      <c r="W229" s="59">
        <v>3</v>
      </c>
      <c r="X229" s="59">
        <v>3</v>
      </c>
      <c r="Y229" s="59">
        <v>1</v>
      </c>
      <c r="Z229" s="59">
        <f t="shared" si="66"/>
        <v>1</v>
      </c>
      <c r="AA229" s="59">
        <f>IF('Updated Dummy'!Y229=2,1,0)</f>
        <v>0</v>
      </c>
      <c r="AB229" s="59">
        <f t="shared" si="67"/>
        <v>0</v>
      </c>
      <c r="AC229" s="59">
        <f t="shared" si="68"/>
        <v>0</v>
      </c>
      <c r="AD229" s="59">
        <f t="shared" si="69"/>
        <v>0</v>
      </c>
      <c r="AE229" s="59">
        <f t="shared" si="70"/>
        <v>0</v>
      </c>
      <c r="AF229" s="59">
        <f t="shared" si="71"/>
        <v>0</v>
      </c>
      <c r="AG229" s="59">
        <f t="shared" si="72"/>
        <v>0</v>
      </c>
      <c r="AH229" s="59">
        <v>4</v>
      </c>
      <c r="AI229" s="59">
        <v>2</v>
      </c>
      <c r="AJ229" s="59">
        <f t="shared" si="73"/>
        <v>0</v>
      </c>
      <c r="AK229" s="59">
        <f t="shared" si="74"/>
        <v>1</v>
      </c>
      <c r="AL229" s="59">
        <v>7918</v>
      </c>
      <c r="AM229" s="59">
        <v>6599</v>
      </c>
      <c r="AN229" s="59">
        <v>1</v>
      </c>
      <c r="AO229" s="59">
        <v>0</v>
      </c>
      <c r="AP229" s="59">
        <v>14</v>
      </c>
      <c r="AQ229" s="59">
        <v>3</v>
      </c>
      <c r="AR229" s="59">
        <v>4</v>
      </c>
      <c r="AS229" s="59">
        <v>80</v>
      </c>
      <c r="AT229" s="59">
        <v>1</v>
      </c>
      <c r="AU229" s="59">
        <v>11</v>
      </c>
      <c r="AV229" s="59">
        <v>5</v>
      </c>
      <c r="AW229" s="59">
        <v>3</v>
      </c>
      <c r="AX229" s="59">
        <v>11</v>
      </c>
      <c r="AY229" s="59">
        <v>10</v>
      </c>
      <c r="AZ229" s="59">
        <v>4</v>
      </c>
      <c r="BA229" s="59">
        <v>1</v>
      </c>
      <c r="BB229" s="57">
        <f t="shared" si="75"/>
        <v>23754</v>
      </c>
    </row>
    <row r="230" spans="1:54" x14ac:dyDescent="0.25">
      <c r="A230" s="58">
        <v>35</v>
      </c>
      <c r="B230" s="59">
        <v>0</v>
      </c>
      <c r="C230" s="59">
        <v>2</v>
      </c>
      <c r="D230" s="59">
        <f t="shared" si="57"/>
        <v>0</v>
      </c>
      <c r="E230" s="59">
        <f t="shared" si="58"/>
        <v>1</v>
      </c>
      <c r="F230" s="59">
        <v>944</v>
      </c>
      <c r="G230" s="59">
        <v>1</v>
      </c>
      <c r="H230" s="59">
        <f t="shared" si="59"/>
        <v>1</v>
      </c>
      <c r="I230" s="59">
        <f t="shared" si="60"/>
        <v>0</v>
      </c>
      <c r="J230" s="59">
        <v>1</v>
      </c>
      <c r="K230" s="59">
        <v>3</v>
      </c>
      <c r="L230" s="59">
        <v>4</v>
      </c>
      <c r="M230" s="59">
        <f t="shared" si="61"/>
        <v>0</v>
      </c>
      <c r="N230" s="59">
        <f t="shared" si="62"/>
        <v>0</v>
      </c>
      <c r="O230" s="59">
        <f t="shared" si="63"/>
        <v>0</v>
      </c>
      <c r="P230" s="59">
        <f t="shared" si="64"/>
        <v>1</v>
      </c>
      <c r="Q230" s="59">
        <f t="shared" si="65"/>
        <v>0</v>
      </c>
      <c r="R230" s="59">
        <v>1</v>
      </c>
      <c r="S230" s="59">
        <v>314</v>
      </c>
      <c r="T230" s="59">
        <v>3</v>
      </c>
      <c r="U230" s="59">
        <v>0</v>
      </c>
      <c r="V230" s="59">
        <v>92</v>
      </c>
      <c r="W230" s="59">
        <v>3</v>
      </c>
      <c r="X230" s="59">
        <v>3</v>
      </c>
      <c r="Y230" s="59">
        <v>1</v>
      </c>
      <c r="Z230" s="59">
        <f t="shared" si="66"/>
        <v>1</v>
      </c>
      <c r="AA230" s="59">
        <f>IF('Updated Dummy'!Y230=2,1,0)</f>
        <v>0</v>
      </c>
      <c r="AB230" s="59">
        <f t="shared" si="67"/>
        <v>0</v>
      </c>
      <c r="AC230" s="59">
        <f t="shared" si="68"/>
        <v>0</v>
      </c>
      <c r="AD230" s="59">
        <f t="shared" si="69"/>
        <v>0</v>
      </c>
      <c r="AE230" s="59">
        <f t="shared" si="70"/>
        <v>0</v>
      </c>
      <c r="AF230" s="59">
        <f t="shared" si="71"/>
        <v>0</v>
      </c>
      <c r="AG230" s="59">
        <f t="shared" si="72"/>
        <v>0</v>
      </c>
      <c r="AH230" s="59">
        <v>3</v>
      </c>
      <c r="AI230" s="59">
        <v>1</v>
      </c>
      <c r="AJ230" s="59">
        <f t="shared" si="73"/>
        <v>1</v>
      </c>
      <c r="AK230" s="59">
        <f t="shared" si="74"/>
        <v>0</v>
      </c>
      <c r="AL230" s="59">
        <v>8789</v>
      </c>
      <c r="AM230" s="59">
        <v>9096</v>
      </c>
      <c r="AN230" s="59">
        <v>1</v>
      </c>
      <c r="AO230" s="59">
        <v>0</v>
      </c>
      <c r="AP230" s="59">
        <v>14</v>
      </c>
      <c r="AQ230" s="59">
        <v>3</v>
      </c>
      <c r="AR230" s="59">
        <v>1</v>
      </c>
      <c r="AS230" s="59">
        <v>80</v>
      </c>
      <c r="AT230" s="59">
        <v>0</v>
      </c>
      <c r="AU230" s="59">
        <v>10</v>
      </c>
      <c r="AV230" s="59">
        <v>3</v>
      </c>
      <c r="AW230" s="59">
        <v>4</v>
      </c>
      <c r="AX230" s="59">
        <v>10</v>
      </c>
      <c r="AY230" s="59">
        <v>7</v>
      </c>
      <c r="AZ230" s="59">
        <v>0</v>
      </c>
      <c r="BA230" s="59">
        <v>8</v>
      </c>
      <c r="BB230" s="57">
        <f t="shared" si="75"/>
        <v>26367</v>
      </c>
    </row>
    <row r="231" spans="1:54" x14ac:dyDescent="0.25">
      <c r="A231" s="58">
        <v>29</v>
      </c>
      <c r="B231" s="59">
        <v>1</v>
      </c>
      <c r="C231" s="59">
        <v>1</v>
      </c>
      <c r="D231" s="59">
        <f t="shared" si="57"/>
        <v>1</v>
      </c>
      <c r="E231" s="59">
        <f t="shared" si="58"/>
        <v>0</v>
      </c>
      <c r="F231" s="59">
        <v>896</v>
      </c>
      <c r="G231" s="59">
        <v>2</v>
      </c>
      <c r="H231" s="59">
        <f t="shared" si="59"/>
        <v>0</v>
      </c>
      <c r="I231" s="59">
        <f t="shared" si="60"/>
        <v>1</v>
      </c>
      <c r="J231" s="59">
        <v>18</v>
      </c>
      <c r="K231" s="59">
        <v>1</v>
      </c>
      <c r="L231" s="59">
        <v>3</v>
      </c>
      <c r="M231" s="59">
        <f t="shared" si="61"/>
        <v>0</v>
      </c>
      <c r="N231" s="59">
        <f t="shared" si="62"/>
        <v>0</v>
      </c>
      <c r="O231" s="59">
        <f t="shared" si="63"/>
        <v>1</v>
      </c>
      <c r="P231" s="59">
        <f t="shared" si="64"/>
        <v>0</v>
      </c>
      <c r="Q231" s="59">
        <f t="shared" si="65"/>
        <v>0</v>
      </c>
      <c r="R231" s="59">
        <v>1</v>
      </c>
      <c r="S231" s="59">
        <v>315</v>
      </c>
      <c r="T231" s="59">
        <v>3</v>
      </c>
      <c r="U231" s="59">
        <v>1</v>
      </c>
      <c r="V231" s="59">
        <v>86</v>
      </c>
      <c r="W231" s="59">
        <v>2</v>
      </c>
      <c r="X231" s="59">
        <v>1</v>
      </c>
      <c r="Y231" s="59">
        <v>2</v>
      </c>
      <c r="Z231" s="59">
        <f t="shared" si="66"/>
        <v>0</v>
      </c>
      <c r="AA231" s="59">
        <f>IF('Updated Dummy'!Y231=2,1,0)</f>
        <v>1</v>
      </c>
      <c r="AB231" s="59">
        <f t="shared" si="67"/>
        <v>0</v>
      </c>
      <c r="AC231" s="59">
        <f t="shared" si="68"/>
        <v>0</v>
      </c>
      <c r="AD231" s="59">
        <f t="shared" si="69"/>
        <v>0</v>
      </c>
      <c r="AE231" s="59">
        <f t="shared" si="70"/>
        <v>0</v>
      </c>
      <c r="AF231" s="59">
        <f t="shared" si="71"/>
        <v>0</v>
      </c>
      <c r="AG231" s="59">
        <f t="shared" si="72"/>
        <v>0</v>
      </c>
      <c r="AH231" s="59">
        <v>4</v>
      </c>
      <c r="AI231" s="59">
        <v>1</v>
      </c>
      <c r="AJ231" s="59">
        <f t="shared" si="73"/>
        <v>1</v>
      </c>
      <c r="AK231" s="59">
        <f t="shared" si="74"/>
        <v>0</v>
      </c>
      <c r="AL231" s="59">
        <v>2389</v>
      </c>
      <c r="AM231" s="59">
        <v>14961</v>
      </c>
      <c r="AN231" s="59">
        <v>1</v>
      </c>
      <c r="AO231" s="59">
        <v>1</v>
      </c>
      <c r="AP231" s="59">
        <v>13</v>
      </c>
      <c r="AQ231" s="59">
        <v>3</v>
      </c>
      <c r="AR231" s="59">
        <v>3</v>
      </c>
      <c r="AS231" s="59">
        <v>80</v>
      </c>
      <c r="AT231" s="59">
        <v>0</v>
      </c>
      <c r="AU231" s="59">
        <v>4</v>
      </c>
      <c r="AV231" s="59">
        <v>3</v>
      </c>
      <c r="AW231" s="59">
        <v>2</v>
      </c>
      <c r="AX231" s="59">
        <v>4</v>
      </c>
      <c r="AY231" s="59">
        <v>3</v>
      </c>
      <c r="AZ231" s="59">
        <v>0</v>
      </c>
      <c r="BA231" s="59">
        <v>1</v>
      </c>
      <c r="BB231" s="57">
        <f t="shared" si="75"/>
        <v>2389</v>
      </c>
    </row>
    <row r="232" spans="1:54" x14ac:dyDescent="0.25">
      <c r="A232" s="58">
        <v>52</v>
      </c>
      <c r="B232" s="59">
        <v>0</v>
      </c>
      <c r="C232" s="59">
        <v>1</v>
      </c>
      <c r="D232" s="59">
        <f t="shared" si="57"/>
        <v>1</v>
      </c>
      <c r="E232" s="59">
        <f t="shared" si="58"/>
        <v>0</v>
      </c>
      <c r="F232" s="59">
        <v>1323</v>
      </c>
      <c r="G232" s="59">
        <v>2</v>
      </c>
      <c r="H232" s="59">
        <f t="shared" si="59"/>
        <v>0</v>
      </c>
      <c r="I232" s="59">
        <f t="shared" si="60"/>
        <v>1</v>
      </c>
      <c r="J232" s="59">
        <v>2</v>
      </c>
      <c r="K232" s="59">
        <v>3</v>
      </c>
      <c r="L232" s="59">
        <v>1</v>
      </c>
      <c r="M232" s="59">
        <f t="shared" si="61"/>
        <v>1</v>
      </c>
      <c r="N232" s="59">
        <f t="shared" si="62"/>
        <v>0</v>
      </c>
      <c r="O232" s="59">
        <f t="shared" si="63"/>
        <v>0</v>
      </c>
      <c r="P232" s="59">
        <f t="shared" si="64"/>
        <v>0</v>
      </c>
      <c r="Q232" s="59">
        <f t="shared" si="65"/>
        <v>0</v>
      </c>
      <c r="R232" s="59">
        <v>1</v>
      </c>
      <c r="S232" s="59">
        <v>316</v>
      </c>
      <c r="T232" s="59">
        <v>3</v>
      </c>
      <c r="U232" s="59">
        <v>0</v>
      </c>
      <c r="V232" s="59">
        <v>89</v>
      </c>
      <c r="W232" s="59">
        <v>2</v>
      </c>
      <c r="X232" s="59">
        <v>1</v>
      </c>
      <c r="Y232" s="59">
        <v>3</v>
      </c>
      <c r="Z232" s="59">
        <f t="shared" si="66"/>
        <v>0</v>
      </c>
      <c r="AA232" s="59">
        <f>IF('Updated Dummy'!Y232=2,1,0)</f>
        <v>0</v>
      </c>
      <c r="AB232" s="59">
        <f t="shared" si="67"/>
        <v>1</v>
      </c>
      <c r="AC232" s="59">
        <f t="shared" si="68"/>
        <v>0</v>
      </c>
      <c r="AD232" s="59">
        <f t="shared" si="69"/>
        <v>0</v>
      </c>
      <c r="AE232" s="59">
        <f t="shared" si="70"/>
        <v>0</v>
      </c>
      <c r="AF232" s="59">
        <f t="shared" si="71"/>
        <v>0</v>
      </c>
      <c r="AG232" s="59">
        <f t="shared" si="72"/>
        <v>0</v>
      </c>
      <c r="AH232" s="59">
        <v>4</v>
      </c>
      <c r="AI232" s="59">
        <v>1</v>
      </c>
      <c r="AJ232" s="59">
        <f t="shared" si="73"/>
        <v>1</v>
      </c>
      <c r="AK232" s="59">
        <f t="shared" si="74"/>
        <v>0</v>
      </c>
      <c r="AL232" s="59">
        <v>3212</v>
      </c>
      <c r="AM232" s="59">
        <v>3300</v>
      </c>
      <c r="AN232" s="59">
        <v>7</v>
      </c>
      <c r="AO232" s="59">
        <v>0</v>
      </c>
      <c r="AP232" s="59">
        <v>15</v>
      </c>
      <c r="AQ232" s="59">
        <v>3</v>
      </c>
      <c r="AR232" s="59">
        <v>2</v>
      </c>
      <c r="AS232" s="59">
        <v>80</v>
      </c>
      <c r="AT232" s="59">
        <v>0</v>
      </c>
      <c r="AU232" s="59">
        <v>6</v>
      </c>
      <c r="AV232" s="59">
        <v>3</v>
      </c>
      <c r="AW232" s="59">
        <v>2</v>
      </c>
      <c r="AX232" s="59">
        <v>2</v>
      </c>
      <c r="AY232" s="59">
        <v>2</v>
      </c>
      <c r="AZ232" s="59">
        <v>2</v>
      </c>
      <c r="BA232" s="59">
        <v>2</v>
      </c>
      <c r="BB232" s="57">
        <f t="shared" si="75"/>
        <v>3212</v>
      </c>
    </row>
    <row r="233" spans="1:54" x14ac:dyDescent="0.25">
      <c r="A233" s="58">
        <v>42</v>
      </c>
      <c r="B233" s="59">
        <v>0</v>
      </c>
      <c r="C233" s="59">
        <v>1</v>
      </c>
      <c r="D233" s="59">
        <f t="shared" si="57"/>
        <v>1</v>
      </c>
      <c r="E233" s="59">
        <f t="shared" si="58"/>
        <v>0</v>
      </c>
      <c r="F233" s="59">
        <v>532</v>
      </c>
      <c r="G233" s="59">
        <v>2</v>
      </c>
      <c r="H233" s="59">
        <f t="shared" si="59"/>
        <v>0</v>
      </c>
      <c r="I233" s="59">
        <f t="shared" si="60"/>
        <v>1</v>
      </c>
      <c r="J233" s="59">
        <v>4</v>
      </c>
      <c r="K233" s="59">
        <v>2</v>
      </c>
      <c r="L233" s="59">
        <v>5</v>
      </c>
      <c r="M233" s="59">
        <f t="shared" si="61"/>
        <v>0</v>
      </c>
      <c r="N233" s="59">
        <f t="shared" si="62"/>
        <v>0</v>
      </c>
      <c r="O233" s="59">
        <f t="shared" si="63"/>
        <v>0</v>
      </c>
      <c r="P233" s="59">
        <f t="shared" si="64"/>
        <v>0</v>
      </c>
      <c r="Q233" s="59">
        <f t="shared" si="65"/>
        <v>1</v>
      </c>
      <c r="R233" s="59">
        <v>1</v>
      </c>
      <c r="S233" s="59">
        <v>319</v>
      </c>
      <c r="T233" s="59">
        <v>3</v>
      </c>
      <c r="U233" s="59">
        <v>1</v>
      </c>
      <c r="V233" s="59">
        <v>58</v>
      </c>
      <c r="W233" s="59">
        <v>3</v>
      </c>
      <c r="X233" s="59">
        <v>5</v>
      </c>
      <c r="Y233" s="59">
        <v>6</v>
      </c>
      <c r="Z233" s="59">
        <f t="shared" si="66"/>
        <v>0</v>
      </c>
      <c r="AA233" s="59">
        <f>IF('Updated Dummy'!Y233=2,1,0)</f>
        <v>0</v>
      </c>
      <c r="AB233" s="59">
        <f t="shared" si="67"/>
        <v>0</v>
      </c>
      <c r="AC233" s="59">
        <f t="shared" si="68"/>
        <v>0</v>
      </c>
      <c r="AD233" s="59">
        <f t="shared" si="69"/>
        <v>0</v>
      </c>
      <c r="AE233" s="59">
        <f t="shared" si="70"/>
        <v>1</v>
      </c>
      <c r="AF233" s="59">
        <f t="shared" si="71"/>
        <v>0</v>
      </c>
      <c r="AG233" s="59">
        <f t="shared" si="72"/>
        <v>0</v>
      </c>
      <c r="AH233" s="59">
        <v>4</v>
      </c>
      <c r="AI233" s="59">
        <v>2</v>
      </c>
      <c r="AJ233" s="59">
        <f t="shared" si="73"/>
        <v>0</v>
      </c>
      <c r="AK233" s="59">
        <f t="shared" si="74"/>
        <v>1</v>
      </c>
      <c r="AL233" s="59">
        <v>19232</v>
      </c>
      <c r="AM233" s="59">
        <v>4933</v>
      </c>
      <c r="AN233" s="59">
        <v>1</v>
      </c>
      <c r="AO233" s="59">
        <v>0</v>
      </c>
      <c r="AP233" s="59">
        <v>11</v>
      </c>
      <c r="AQ233" s="59">
        <v>3</v>
      </c>
      <c r="AR233" s="59">
        <v>4</v>
      </c>
      <c r="AS233" s="59">
        <v>80</v>
      </c>
      <c r="AT233" s="59">
        <v>0</v>
      </c>
      <c r="AU233" s="59">
        <v>22</v>
      </c>
      <c r="AV233" s="59">
        <v>3</v>
      </c>
      <c r="AW233" s="59">
        <v>3</v>
      </c>
      <c r="AX233" s="59">
        <v>22</v>
      </c>
      <c r="AY233" s="59">
        <v>17</v>
      </c>
      <c r="AZ233" s="59">
        <v>11</v>
      </c>
      <c r="BA233" s="59">
        <v>15</v>
      </c>
      <c r="BB233" s="57">
        <f t="shared" si="75"/>
        <v>96160</v>
      </c>
    </row>
    <row r="234" spans="1:54" x14ac:dyDescent="0.25">
      <c r="A234" s="58">
        <v>59</v>
      </c>
      <c r="B234" s="59">
        <v>0</v>
      </c>
      <c r="C234" s="59">
        <v>1</v>
      </c>
      <c r="D234" s="59">
        <f t="shared" si="57"/>
        <v>1</v>
      </c>
      <c r="E234" s="59">
        <f t="shared" si="58"/>
        <v>0</v>
      </c>
      <c r="F234" s="59">
        <v>818</v>
      </c>
      <c r="G234" s="59">
        <v>3</v>
      </c>
      <c r="H234" s="59">
        <f t="shared" si="59"/>
        <v>0</v>
      </c>
      <c r="I234" s="59">
        <f t="shared" si="60"/>
        <v>0</v>
      </c>
      <c r="J234" s="59">
        <v>6</v>
      </c>
      <c r="K234" s="59">
        <v>2</v>
      </c>
      <c r="L234" s="59">
        <v>3</v>
      </c>
      <c r="M234" s="59">
        <f t="shared" si="61"/>
        <v>0</v>
      </c>
      <c r="N234" s="59">
        <f t="shared" si="62"/>
        <v>0</v>
      </c>
      <c r="O234" s="59">
        <f t="shared" si="63"/>
        <v>1</v>
      </c>
      <c r="P234" s="59">
        <f t="shared" si="64"/>
        <v>0</v>
      </c>
      <c r="Q234" s="59">
        <f t="shared" si="65"/>
        <v>0</v>
      </c>
      <c r="R234" s="59">
        <v>1</v>
      </c>
      <c r="S234" s="59">
        <v>321</v>
      </c>
      <c r="T234" s="59">
        <v>2</v>
      </c>
      <c r="U234" s="59">
        <v>1</v>
      </c>
      <c r="V234" s="59">
        <v>52</v>
      </c>
      <c r="W234" s="59">
        <v>3</v>
      </c>
      <c r="X234" s="59">
        <v>1</v>
      </c>
      <c r="Y234" s="59">
        <v>9</v>
      </c>
      <c r="Z234" s="59">
        <f t="shared" si="66"/>
        <v>0</v>
      </c>
      <c r="AA234" s="59">
        <f>IF('Updated Dummy'!Y234=2,1,0)</f>
        <v>0</v>
      </c>
      <c r="AB234" s="59">
        <f t="shared" si="67"/>
        <v>0</v>
      </c>
      <c r="AC234" s="59">
        <f t="shared" si="68"/>
        <v>0</v>
      </c>
      <c r="AD234" s="59">
        <f t="shared" si="69"/>
        <v>0</v>
      </c>
      <c r="AE234" s="59">
        <f t="shared" si="70"/>
        <v>0</v>
      </c>
      <c r="AF234" s="59">
        <f t="shared" si="71"/>
        <v>0</v>
      </c>
      <c r="AG234" s="59">
        <f t="shared" si="72"/>
        <v>0</v>
      </c>
      <c r="AH234" s="59">
        <v>3</v>
      </c>
      <c r="AI234" s="59">
        <v>2</v>
      </c>
      <c r="AJ234" s="59">
        <f t="shared" si="73"/>
        <v>0</v>
      </c>
      <c r="AK234" s="59">
        <f t="shared" si="74"/>
        <v>1</v>
      </c>
      <c r="AL234" s="59">
        <v>2267</v>
      </c>
      <c r="AM234" s="59">
        <v>25657</v>
      </c>
      <c r="AN234" s="59">
        <v>8</v>
      </c>
      <c r="AO234" s="59">
        <v>0</v>
      </c>
      <c r="AP234" s="59">
        <v>17</v>
      </c>
      <c r="AQ234" s="59">
        <v>3</v>
      </c>
      <c r="AR234" s="59">
        <v>4</v>
      </c>
      <c r="AS234" s="59">
        <v>80</v>
      </c>
      <c r="AT234" s="59">
        <v>0</v>
      </c>
      <c r="AU234" s="59">
        <v>7</v>
      </c>
      <c r="AV234" s="59">
        <v>2</v>
      </c>
      <c r="AW234" s="59">
        <v>2</v>
      </c>
      <c r="AX234" s="59">
        <v>2</v>
      </c>
      <c r="AY234" s="59">
        <v>2</v>
      </c>
      <c r="AZ234" s="59">
        <v>2</v>
      </c>
      <c r="BA234" s="59">
        <v>2</v>
      </c>
      <c r="BB234" s="57">
        <f t="shared" si="75"/>
        <v>2267</v>
      </c>
    </row>
    <row r="235" spans="1:54" x14ac:dyDescent="0.25">
      <c r="A235" s="58">
        <v>50</v>
      </c>
      <c r="B235" s="59">
        <v>0</v>
      </c>
      <c r="C235" s="59">
        <v>1</v>
      </c>
      <c r="D235" s="59">
        <f t="shared" si="57"/>
        <v>1</v>
      </c>
      <c r="E235" s="59">
        <f t="shared" si="58"/>
        <v>0</v>
      </c>
      <c r="F235" s="59">
        <v>854</v>
      </c>
      <c r="G235" s="59">
        <v>1</v>
      </c>
      <c r="H235" s="59">
        <f t="shared" si="59"/>
        <v>1</v>
      </c>
      <c r="I235" s="59">
        <f t="shared" si="60"/>
        <v>0</v>
      </c>
      <c r="J235" s="59">
        <v>1</v>
      </c>
      <c r="K235" s="59">
        <v>4</v>
      </c>
      <c r="L235" s="59">
        <v>3</v>
      </c>
      <c r="M235" s="59">
        <f t="shared" si="61"/>
        <v>0</v>
      </c>
      <c r="N235" s="59">
        <f t="shared" si="62"/>
        <v>0</v>
      </c>
      <c r="O235" s="59">
        <f t="shared" si="63"/>
        <v>1</v>
      </c>
      <c r="P235" s="59">
        <f t="shared" si="64"/>
        <v>0</v>
      </c>
      <c r="Q235" s="59">
        <f t="shared" si="65"/>
        <v>0</v>
      </c>
      <c r="R235" s="59">
        <v>1</v>
      </c>
      <c r="S235" s="59">
        <v>323</v>
      </c>
      <c r="T235" s="59">
        <v>4</v>
      </c>
      <c r="U235" s="59">
        <v>0</v>
      </c>
      <c r="V235" s="59">
        <v>68</v>
      </c>
      <c r="W235" s="59">
        <v>3</v>
      </c>
      <c r="X235" s="59">
        <v>5</v>
      </c>
      <c r="Y235" s="59">
        <v>6</v>
      </c>
      <c r="Z235" s="59">
        <f t="shared" si="66"/>
        <v>0</v>
      </c>
      <c r="AA235" s="59">
        <f>IF('Updated Dummy'!Y235=2,1,0)</f>
        <v>0</v>
      </c>
      <c r="AB235" s="59">
        <f t="shared" si="67"/>
        <v>0</v>
      </c>
      <c r="AC235" s="59">
        <f t="shared" si="68"/>
        <v>0</v>
      </c>
      <c r="AD235" s="59">
        <f t="shared" si="69"/>
        <v>0</v>
      </c>
      <c r="AE235" s="59">
        <f t="shared" si="70"/>
        <v>1</v>
      </c>
      <c r="AF235" s="59">
        <f t="shared" si="71"/>
        <v>0</v>
      </c>
      <c r="AG235" s="59">
        <f t="shared" si="72"/>
        <v>0</v>
      </c>
      <c r="AH235" s="59">
        <v>4</v>
      </c>
      <c r="AI235" s="59">
        <v>3</v>
      </c>
      <c r="AJ235" s="59">
        <f t="shared" si="73"/>
        <v>0</v>
      </c>
      <c r="AK235" s="59">
        <f t="shared" si="74"/>
        <v>0</v>
      </c>
      <c r="AL235" s="59">
        <v>19517</v>
      </c>
      <c r="AM235" s="59">
        <v>24118</v>
      </c>
      <c r="AN235" s="59">
        <v>3</v>
      </c>
      <c r="AO235" s="59">
        <v>0</v>
      </c>
      <c r="AP235" s="59">
        <v>11</v>
      </c>
      <c r="AQ235" s="59">
        <v>3</v>
      </c>
      <c r="AR235" s="59">
        <v>3</v>
      </c>
      <c r="AS235" s="59">
        <v>80</v>
      </c>
      <c r="AT235" s="59">
        <v>1</v>
      </c>
      <c r="AU235" s="59">
        <v>32</v>
      </c>
      <c r="AV235" s="59">
        <v>3</v>
      </c>
      <c r="AW235" s="59">
        <v>2</v>
      </c>
      <c r="AX235" s="59">
        <v>7</v>
      </c>
      <c r="AY235" s="59">
        <v>0</v>
      </c>
      <c r="AZ235" s="59">
        <v>0</v>
      </c>
      <c r="BA235" s="59">
        <v>6</v>
      </c>
      <c r="BB235" s="57">
        <f t="shared" si="75"/>
        <v>97585</v>
      </c>
    </row>
    <row r="236" spans="1:54" x14ac:dyDescent="0.25">
      <c r="A236" s="58">
        <v>33</v>
      </c>
      <c r="B236" s="59">
        <v>1</v>
      </c>
      <c r="C236" s="59">
        <v>1</v>
      </c>
      <c r="D236" s="59">
        <f t="shared" si="57"/>
        <v>1</v>
      </c>
      <c r="E236" s="59">
        <f t="shared" si="58"/>
        <v>0</v>
      </c>
      <c r="F236" s="59">
        <v>813</v>
      </c>
      <c r="G236" s="59">
        <v>2</v>
      </c>
      <c r="H236" s="59">
        <f t="shared" si="59"/>
        <v>0</v>
      </c>
      <c r="I236" s="59">
        <f t="shared" si="60"/>
        <v>1</v>
      </c>
      <c r="J236" s="59">
        <v>14</v>
      </c>
      <c r="K236" s="59">
        <v>3</v>
      </c>
      <c r="L236" s="59">
        <v>3</v>
      </c>
      <c r="M236" s="59">
        <f t="shared" si="61"/>
        <v>0</v>
      </c>
      <c r="N236" s="59">
        <f t="shared" si="62"/>
        <v>0</v>
      </c>
      <c r="O236" s="59">
        <f t="shared" si="63"/>
        <v>1</v>
      </c>
      <c r="P236" s="59">
        <f t="shared" si="64"/>
        <v>0</v>
      </c>
      <c r="Q236" s="59">
        <f t="shared" si="65"/>
        <v>0</v>
      </c>
      <c r="R236" s="59">
        <v>1</v>
      </c>
      <c r="S236" s="59">
        <v>325</v>
      </c>
      <c r="T236" s="59">
        <v>3</v>
      </c>
      <c r="U236" s="59">
        <v>1</v>
      </c>
      <c r="V236" s="59">
        <v>58</v>
      </c>
      <c r="W236" s="59">
        <v>3</v>
      </c>
      <c r="X236" s="59">
        <v>1</v>
      </c>
      <c r="Y236" s="59">
        <v>3</v>
      </c>
      <c r="Z236" s="59">
        <f t="shared" si="66"/>
        <v>0</v>
      </c>
      <c r="AA236" s="59">
        <f>IF('Updated Dummy'!Y236=2,1,0)</f>
        <v>0</v>
      </c>
      <c r="AB236" s="59">
        <f t="shared" si="67"/>
        <v>1</v>
      </c>
      <c r="AC236" s="59">
        <f t="shared" si="68"/>
        <v>0</v>
      </c>
      <c r="AD236" s="59">
        <f t="shared" si="69"/>
        <v>0</v>
      </c>
      <c r="AE236" s="59">
        <f t="shared" si="70"/>
        <v>0</v>
      </c>
      <c r="AF236" s="59">
        <f t="shared" si="71"/>
        <v>0</v>
      </c>
      <c r="AG236" s="59">
        <f t="shared" si="72"/>
        <v>0</v>
      </c>
      <c r="AH236" s="59">
        <v>4</v>
      </c>
      <c r="AI236" s="59">
        <v>2</v>
      </c>
      <c r="AJ236" s="59">
        <f t="shared" si="73"/>
        <v>0</v>
      </c>
      <c r="AK236" s="59">
        <f t="shared" si="74"/>
        <v>1</v>
      </c>
      <c r="AL236" s="59">
        <v>2436</v>
      </c>
      <c r="AM236" s="59">
        <v>22149</v>
      </c>
      <c r="AN236" s="59">
        <v>5</v>
      </c>
      <c r="AO236" s="59">
        <v>1</v>
      </c>
      <c r="AP236" s="59">
        <v>13</v>
      </c>
      <c r="AQ236" s="59">
        <v>3</v>
      </c>
      <c r="AR236" s="59">
        <v>3</v>
      </c>
      <c r="AS236" s="59">
        <v>80</v>
      </c>
      <c r="AT236" s="59">
        <v>1</v>
      </c>
      <c r="AU236" s="59">
        <v>8</v>
      </c>
      <c r="AV236" s="59">
        <v>2</v>
      </c>
      <c r="AW236" s="59">
        <v>1</v>
      </c>
      <c r="AX236" s="59">
        <v>5</v>
      </c>
      <c r="AY236" s="59">
        <v>4</v>
      </c>
      <c r="AZ236" s="59">
        <v>0</v>
      </c>
      <c r="BA236" s="59">
        <v>4</v>
      </c>
      <c r="BB236" s="57">
        <f t="shared" si="75"/>
        <v>2436</v>
      </c>
    </row>
    <row r="237" spans="1:54" x14ac:dyDescent="0.25">
      <c r="A237" s="58">
        <v>43</v>
      </c>
      <c r="B237" s="59">
        <v>0</v>
      </c>
      <c r="C237" s="59">
        <v>1</v>
      </c>
      <c r="D237" s="59">
        <f t="shared" si="57"/>
        <v>1</v>
      </c>
      <c r="E237" s="59">
        <f t="shared" si="58"/>
        <v>0</v>
      </c>
      <c r="F237" s="59">
        <v>1034</v>
      </c>
      <c r="G237" s="59">
        <v>1</v>
      </c>
      <c r="H237" s="59">
        <f t="shared" si="59"/>
        <v>1</v>
      </c>
      <c r="I237" s="59">
        <f t="shared" si="60"/>
        <v>0</v>
      </c>
      <c r="J237" s="59">
        <v>16</v>
      </c>
      <c r="K237" s="59">
        <v>3</v>
      </c>
      <c r="L237" s="59">
        <v>4</v>
      </c>
      <c r="M237" s="59">
        <f t="shared" si="61"/>
        <v>0</v>
      </c>
      <c r="N237" s="59">
        <f t="shared" si="62"/>
        <v>0</v>
      </c>
      <c r="O237" s="59">
        <f t="shared" si="63"/>
        <v>0</v>
      </c>
      <c r="P237" s="59">
        <f t="shared" si="64"/>
        <v>1</v>
      </c>
      <c r="Q237" s="59">
        <f t="shared" si="65"/>
        <v>0</v>
      </c>
      <c r="R237" s="59">
        <v>1</v>
      </c>
      <c r="S237" s="59">
        <v>327</v>
      </c>
      <c r="T237" s="59">
        <v>4</v>
      </c>
      <c r="U237" s="59">
        <v>0</v>
      </c>
      <c r="V237" s="59">
        <v>80</v>
      </c>
      <c r="W237" s="59">
        <v>3</v>
      </c>
      <c r="X237" s="59">
        <v>4</v>
      </c>
      <c r="Y237" s="59">
        <v>6</v>
      </c>
      <c r="Z237" s="59">
        <f t="shared" si="66"/>
        <v>0</v>
      </c>
      <c r="AA237" s="59">
        <f>IF('Updated Dummy'!Y237=2,1,0)</f>
        <v>0</v>
      </c>
      <c r="AB237" s="59">
        <f t="shared" si="67"/>
        <v>0</v>
      </c>
      <c r="AC237" s="59">
        <f t="shared" si="68"/>
        <v>0</v>
      </c>
      <c r="AD237" s="59">
        <f t="shared" si="69"/>
        <v>0</v>
      </c>
      <c r="AE237" s="59">
        <f t="shared" si="70"/>
        <v>1</v>
      </c>
      <c r="AF237" s="59">
        <f t="shared" si="71"/>
        <v>0</v>
      </c>
      <c r="AG237" s="59">
        <f t="shared" si="72"/>
        <v>0</v>
      </c>
      <c r="AH237" s="59">
        <v>4</v>
      </c>
      <c r="AI237" s="59">
        <v>2</v>
      </c>
      <c r="AJ237" s="59">
        <f t="shared" si="73"/>
        <v>0</v>
      </c>
      <c r="AK237" s="59">
        <f t="shared" si="74"/>
        <v>1</v>
      </c>
      <c r="AL237" s="59">
        <v>16064</v>
      </c>
      <c r="AM237" s="59">
        <v>7744</v>
      </c>
      <c r="AN237" s="59">
        <v>5</v>
      </c>
      <c r="AO237" s="59">
        <v>1</v>
      </c>
      <c r="AP237" s="59">
        <v>22</v>
      </c>
      <c r="AQ237" s="59">
        <v>4</v>
      </c>
      <c r="AR237" s="59">
        <v>3</v>
      </c>
      <c r="AS237" s="59">
        <v>80</v>
      </c>
      <c r="AT237" s="59">
        <v>1</v>
      </c>
      <c r="AU237" s="59">
        <v>22</v>
      </c>
      <c r="AV237" s="59">
        <v>3</v>
      </c>
      <c r="AW237" s="59">
        <v>3</v>
      </c>
      <c r="AX237" s="59">
        <v>17</v>
      </c>
      <c r="AY237" s="59">
        <v>13</v>
      </c>
      <c r="AZ237" s="59">
        <v>1</v>
      </c>
      <c r="BA237" s="59">
        <v>9</v>
      </c>
      <c r="BB237" s="57">
        <f t="shared" si="75"/>
        <v>64256</v>
      </c>
    </row>
    <row r="238" spans="1:54" x14ac:dyDescent="0.25">
      <c r="A238" s="58">
        <v>33</v>
      </c>
      <c r="B238" s="59">
        <v>1</v>
      </c>
      <c r="C238" s="59">
        <v>1</v>
      </c>
      <c r="D238" s="59">
        <f t="shared" si="57"/>
        <v>1</v>
      </c>
      <c r="E238" s="59">
        <f t="shared" si="58"/>
        <v>0</v>
      </c>
      <c r="F238" s="59">
        <v>465</v>
      </c>
      <c r="G238" s="59">
        <v>2</v>
      </c>
      <c r="H238" s="59">
        <f t="shared" si="59"/>
        <v>0</v>
      </c>
      <c r="I238" s="59">
        <f t="shared" si="60"/>
        <v>1</v>
      </c>
      <c r="J238" s="59">
        <v>2</v>
      </c>
      <c r="K238" s="59">
        <v>2</v>
      </c>
      <c r="L238" s="59">
        <v>1</v>
      </c>
      <c r="M238" s="59">
        <f t="shared" si="61"/>
        <v>1</v>
      </c>
      <c r="N238" s="59">
        <f t="shared" si="62"/>
        <v>0</v>
      </c>
      <c r="O238" s="59">
        <f t="shared" si="63"/>
        <v>0</v>
      </c>
      <c r="P238" s="59">
        <f t="shared" si="64"/>
        <v>0</v>
      </c>
      <c r="Q238" s="59">
        <f t="shared" si="65"/>
        <v>0</v>
      </c>
      <c r="R238" s="59">
        <v>1</v>
      </c>
      <c r="S238" s="59">
        <v>328</v>
      </c>
      <c r="T238" s="59">
        <v>1</v>
      </c>
      <c r="U238" s="59">
        <v>0</v>
      </c>
      <c r="V238" s="59">
        <v>39</v>
      </c>
      <c r="W238" s="59">
        <v>3</v>
      </c>
      <c r="X238" s="59">
        <v>1</v>
      </c>
      <c r="Y238" s="59">
        <v>3</v>
      </c>
      <c r="Z238" s="59">
        <f t="shared" si="66"/>
        <v>0</v>
      </c>
      <c r="AA238" s="59">
        <f>IF('Updated Dummy'!Y238=2,1,0)</f>
        <v>0</v>
      </c>
      <c r="AB238" s="59">
        <f t="shared" si="67"/>
        <v>1</v>
      </c>
      <c r="AC238" s="59">
        <f t="shared" si="68"/>
        <v>0</v>
      </c>
      <c r="AD238" s="59">
        <f t="shared" si="69"/>
        <v>0</v>
      </c>
      <c r="AE238" s="59">
        <f t="shared" si="70"/>
        <v>0</v>
      </c>
      <c r="AF238" s="59">
        <f t="shared" si="71"/>
        <v>0</v>
      </c>
      <c r="AG238" s="59">
        <f t="shared" si="72"/>
        <v>0</v>
      </c>
      <c r="AH238" s="59">
        <v>1</v>
      </c>
      <c r="AI238" s="59">
        <v>2</v>
      </c>
      <c r="AJ238" s="59">
        <f t="shared" si="73"/>
        <v>0</v>
      </c>
      <c r="AK238" s="59">
        <f t="shared" si="74"/>
        <v>1</v>
      </c>
      <c r="AL238" s="59">
        <v>2707</v>
      </c>
      <c r="AM238" s="59">
        <v>21509</v>
      </c>
      <c r="AN238" s="59">
        <v>7</v>
      </c>
      <c r="AO238" s="59">
        <v>0</v>
      </c>
      <c r="AP238" s="59">
        <v>20</v>
      </c>
      <c r="AQ238" s="59">
        <v>4</v>
      </c>
      <c r="AR238" s="59">
        <v>1</v>
      </c>
      <c r="AS238" s="59">
        <v>80</v>
      </c>
      <c r="AT238" s="59">
        <v>0</v>
      </c>
      <c r="AU238" s="59">
        <v>13</v>
      </c>
      <c r="AV238" s="59">
        <v>3</v>
      </c>
      <c r="AW238" s="59">
        <v>4</v>
      </c>
      <c r="AX238" s="59">
        <v>9</v>
      </c>
      <c r="AY238" s="59">
        <v>7</v>
      </c>
      <c r="AZ238" s="59">
        <v>1</v>
      </c>
      <c r="BA238" s="59">
        <v>7</v>
      </c>
      <c r="BB238" s="57">
        <f t="shared" si="75"/>
        <v>2707</v>
      </c>
    </row>
    <row r="239" spans="1:54" x14ac:dyDescent="0.25">
      <c r="A239" s="58">
        <v>52</v>
      </c>
      <c r="B239" s="59">
        <v>0</v>
      </c>
      <c r="C239" s="59">
        <v>3</v>
      </c>
      <c r="D239" s="59">
        <f t="shared" si="57"/>
        <v>0</v>
      </c>
      <c r="E239" s="59">
        <f t="shared" si="58"/>
        <v>0</v>
      </c>
      <c r="F239" s="59">
        <v>771</v>
      </c>
      <c r="G239" s="59">
        <v>1</v>
      </c>
      <c r="H239" s="59">
        <f t="shared" si="59"/>
        <v>1</v>
      </c>
      <c r="I239" s="59">
        <f t="shared" si="60"/>
        <v>0</v>
      </c>
      <c r="J239" s="59">
        <v>2</v>
      </c>
      <c r="K239" s="59">
        <v>4</v>
      </c>
      <c r="L239" s="59">
        <v>1</v>
      </c>
      <c r="M239" s="59">
        <f t="shared" si="61"/>
        <v>1</v>
      </c>
      <c r="N239" s="59">
        <f t="shared" si="62"/>
        <v>0</v>
      </c>
      <c r="O239" s="59">
        <f t="shared" si="63"/>
        <v>0</v>
      </c>
      <c r="P239" s="59">
        <f t="shared" si="64"/>
        <v>0</v>
      </c>
      <c r="Q239" s="59">
        <f t="shared" si="65"/>
        <v>0</v>
      </c>
      <c r="R239" s="59">
        <v>1</v>
      </c>
      <c r="S239" s="59">
        <v>329</v>
      </c>
      <c r="T239" s="59">
        <v>1</v>
      </c>
      <c r="U239" s="59">
        <v>1</v>
      </c>
      <c r="V239" s="59">
        <v>79</v>
      </c>
      <c r="W239" s="59">
        <v>2</v>
      </c>
      <c r="X239" s="59">
        <v>5</v>
      </c>
      <c r="Y239" s="59">
        <v>6</v>
      </c>
      <c r="Z239" s="59">
        <f t="shared" si="66"/>
        <v>0</v>
      </c>
      <c r="AA239" s="59">
        <f>IF('Updated Dummy'!Y239=2,1,0)</f>
        <v>0</v>
      </c>
      <c r="AB239" s="59">
        <f t="shared" si="67"/>
        <v>0</v>
      </c>
      <c r="AC239" s="59">
        <f t="shared" si="68"/>
        <v>0</v>
      </c>
      <c r="AD239" s="59">
        <f t="shared" si="69"/>
        <v>0</v>
      </c>
      <c r="AE239" s="59">
        <f t="shared" si="70"/>
        <v>1</v>
      </c>
      <c r="AF239" s="59">
        <f t="shared" si="71"/>
        <v>0</v>
      </c>
      <c r="AG239" s="59">
        <f t="shared" si="72"/>
        <v>0</v>
      </c>
      <c r="AH239" s="59">
        <v>3</v>
      </c>
      <c r="AI239" s="59">
        <v>1</v>
      </c>
      <c r="AJ239" s="59">
        <f t="shared" si="73"/>
        <v>1</v>
      </c>
      <c r="AK239" s="59">
        <f t="shared" si="74"/>
        <v>0</v>
      </c>
      <c r="AL239" s="59">
        <v>19068</v>
      </c>
      <c r="AM239" s="59">
        <v>21030</v>
      </c>
      <c r="AN239" s="59">
        <v>1</v>
      </c>
      <c r="AO239" s="59">
        <v>1</v>
      </c>
      <c r="AP239" s="59">
        <v>18</v>
      </c>
      <c r="AQ239" s="59">
        <v>3</v>
      </c>
      <c r="AR239" s="59">
        <v>4</v>
      </c>
      <c r="AS239" s="59">
        <v>80</v>
      </c>
      <c r="AT239" s="59">
        <v>0</v>
      </c>
      <c r="AU239" s="59">
        <v>33</v>
      </c>
      <c r="AV239" s="59">
        <v>2</v>
      </c>
      <c r="AW239" s="59">
        <v>4</v>
      </c>
      <c r="AX239" s="59">
        <v>33</v>
      </c>
      <c r="AY239" s="59">
        <v>7</v>
      </c>
      <c r="AZ239" s="59">
        <v>15</v>
      </c>
      <c r="BA239" s="59">
        <v>12</v>
      </c>
      <c r="BB239" s="57">
        <f t="shared" si="75"/>
        <v>95340</v>
      </c>
    </row>
    <row r="240" spans="1:54" x14ac:dyDescent="0.25">
      <c r="A240" s="58">
        <v>32</v>
      </c>
      <c r="B240" s="59">
        <v>0</v>
      </c>
      <c r="C240" s="59">
        <v>1</v>
      </c>
      <c r="D240" s="59">
        <f t="shared" si="57"/>
        <v>1</v>
      </c>
      <c r="E240" s="59">
        <f t="shared" si="58"/>
        <v>0</v>
      </c>
      <c r="F240" s="59">
        <v>1401</v>
      </c>
      <c r="G240" s="59">
        <v>1</v>
      </c>
      <c r="H240" s="59">
        <f t="shared" si="59"/>
        <v>1</v>
      </c>
      <c r="I240" s="59">
        <f t="shared" si="60"/>
        <v>0</v>
      </c>
      <c r="J240" s="59">
        <v>4</v>
      </c>
      <c r="K240" s="59">
        <v>2</v>
      </c>
      <c r="L240" s="59">
        <v>1</v>
      </c>
      <c r="M240" s="59">
        <f t="shared" si="61"/>
        <v>1</v>
      </c>
      <c r="N240" s="59">
        <f t="shared" si="62"/>
        <v>0</v>
      </c>
      <c r="O240" s="59">
        <f t="shared" si="63"/>
        <v>0</v>
      </c>
      <c r="P240" s="59">
        <f t="shared" si="64"/>
        <v>0</v>
      </c>
      <c r="Q240" s="59">
        <f t="shared" si="65"/>
        <v>0</v>
      </c>
      <c r="R240" s="59">
        <v>1</v>
      </c>
      <c r="S240" s="59">
        <v>330</v>
      </c>
      <c r="T240" s="59">
        <v>3</v>
      </c>
      <c r="U240" s="59">
        <v>0</v>
      </c>
      <c r="V240" s="59">
        <v>56</v>
      </c>
      <c r="W240" s="59">
        <v>3</v>
      </c>
      <c r="X240" s="59">
        <v>1</v>
      </c>
      <c r="Y240" s="59">
        <v>7</v>
      </c>
      <c r="Z240" s="59">
        <f t="shared" si="66"/>
        <v>0</v>
      </c>
      <c r="AA240" s="59">
        <f>IF('Updated Dummy'!Y240=2,1,0)</f>
        <v>0</v>
      </c>
      <c r="AB240" s="59">
        <f t="shared" si="67"/>
        <v>0</v>
      </c>
      <c r="AC240" s="59">
        <f t="shared" si="68"/>
        <v>0</v>
      </c>
      <c r="AD240" s="59">
        <f t="shared" si="69"/>
        <v>0</v>
      </c>
      <c r="AE240" s="59">
        <f t="shared" si="70"/>
        <v>0</v>
      </c>
      <c r="AF240" s="59">
        <f t="shared" si="71"/>
        <v>1</v>
      </c>
      <c r="AG240" s="59">
        <f t="shared" si="72"/>
        <v>0</v>
      </c>
      <c r="AH240" s="59">
        <v>2</v>
      </c>
      <c r="AI240" s="59">
        <v>2</v>
      </c>
      <c r="AJ240" s="59">
        <f t="shared" si="73"/>
        <v>0</v>
      </c>
      <c r="AK240" s="59">
        <f t="shared" si="74"/>
        <v>1</v>
      </c>
      <c r="AL240" s="59">
        <v>3931</v>
      </c>
      <c r="AM240" s="59">
        <v>20990</v>
      </c>
      <c r="AN240" s="59">
        <v>2</v>
      </c>
      <c r="AO240" s="59">
        <v>0</v>
      </c>
      <c r="AP240" s="59">
        <v>11</v>
      </c>
      <c r="AQ240" s="59">
        <v>3</v>
      </c>
      <c r="AR240" s="59">
        <v>1</v>
      </c>
      <c r="AS240" s="59">
        <v>80</v>
      </c>
      <c r="AT240" s="59">
        <v>1</v>
      </c>
      <c r="AU240" s="59">
        <v>6</v>
      </c>
      <c r="AV240" s="59">
        <v>5</v>
      </c>
      <c r="AW240" s="59">
        <v>3</v>
      </c>
      <c r="AX240" s="59">
        <v>4</v>
      </c>
      <c r="AY240" s="59">
        <v>3</v>
      </c>
      <c r="AZ240" s="59">
        <v>1</v>
      </c>
      <c r="BA240" s="59">
        <v>2</v>
      </c>
      <c r="BB240" s="57">
        <f t="shared" si="75"/>
        <v>3931</v>
      </c>
    </row>
    <row r="241" spans="1:54" x14ac:dyDescent="0.25">
      <c r="A241" s="58">
        <v>32</v>
      </c>
      <c r="B241" s="59">
        <v>1</v>
      </c>
      <c r="C241" s="59">
        <v>1</v>
      </c>
      <c r="D241" s="59">
        <f t="shared" si="57"/>
        <v>1</v>
      </c>
      <c r="E241" s="59">
        <f t="shared" si="58"/>
        <v>0</v>
      </c>
      <c r="F241" s="59">
        <v>515</v>
      </c>
      <c r="G241" s="59">
        <v>2</v>
      </c>
      <c r="H241" s="59">
        <f t="shared" si="59"/>
        <v>0</v>
      </c>
      <c r="I241" s="59">
        <f t="shared" si="60"/>
        <v>1</v>
      </c>
      <c r="J241" s="59">
        <v>1</v>
      </c>
      <c r="K241" s="59">
        <v>3</v>
      </c>
      <c r="L241" s="59">
        <v>1</v>
      </c>
      <c r="M241" s="59">
        <f t="shared" si="61"/>
        <v>1</v>
      </c>
      <c r="N241" s="59">
        <f t="shared" si="62"/>
        <v>0</v>
      </c>
      <c r="O241" s="59">
        <f t="shared" si="63"/>
        <v>0</v>
      </c>
      <c r="P241" s="59">
        <f t="shared" si="64"/>
        <v>0</v>
      </c>
      <c r="Q241" s="59">
        <f t="shared" si="65"/>
        <v>0</v>
      </c>
      <c r="R241" s="59">
        <v>1</v>
      </c>
      <c r="S241" s="59">
        <v>331</v>
      </c>
      <c r="T241" s="59">
        <v>4</v>
      </c>
      <c r="U241" s="59">
        <v>1</v>
      </c>
      <c r="V241" s="59">
        <v>62</v>
      </c>
      <c r="W241" s="59">
        <v>2</v>
      </c>
      <c r="X241" s="59">
        <v>1</v>
      </c>
      <c r="Y241" s="59">
        <v>3</v>
      </c>
      <c r="Z241" s="59">
        <f t="shared" si="66"/>
        <v>0</v>
      </c>
      <c r="AA241" s="59">
        <f>IF('Updated Dummy'!Y241=2,1,0)</f>
        <v>0</v>
      </c>
      <c r="AB241" s="59">
        <f t="shared" si="67"/>
        <v>1</v>
      </c>
      <c r="AC241" s="59">
        <f t="shared" si="68"/>
        <v>0</v>
      </c>
      <c r="AD241" s="59">
        <f t="shared" si="69"/>
        <v>0</v>
      </c>
      <c r="AE241" s="59">
        <f t="shared" si="70"/>
        <v>0</v>
      </c>
      <c r="AF241" s="59">
        <f t="shared" si="71"/>
        <v>0</v>
      </c>
      <c r="AG241" s="59">
        <f t="shared" si="72"/>
        <v>0</v>
      </c>
      <c r="AH241" s="59">
        <v>3</v>
      </c>
      <c r="AI241" s="59">
        <v>1</v>
      </c>
      <c r="AJ241" s="59">
        <f t="shared" si="73"/>
        <v>1</v>
      </c>
      <c r="AK241" s="59">
        <f t="shared" si="74"/>
        <v>0</v>
      </c>
      <c r="AL241" s="59">
        <v>3730</v>
      </c>
      <c r="AM241" s="59">
        <v>9571</v>
      </c>
      <c r="AN241" s="59">
        <v>0</v>
      </c>
      <c r="AO241" s="59">
        <v>1</v>
      </c>
      <c r="AP241" s="59">
        <v>14</v>
      </c>
      <c r="AQ241" s="59">
        <v>3</v>
      </c>
      <c r="AR241" s="59">
        <v>4</v>
      </c>
      <c r="AS241" s="59">
        <v>80</v>
      </c>
      <c r="AT241" s="59">
        <v>0</v>
      </c>
      <c r="AU241" s="59">
        <v>4</v>
      </c>
      <c r="AV241" s="59">
        <v>2</v>
      </c>
      <c r="AW241" s="59">
        <v>1</v>
      </c>
      <c r="AX241" s="59">
        <v>3</v>
      </c>
      <c r="AY241" s="59">
        <v>2</v>
      </c>
      <c r="AZ241" s="59">
        <v>1</v>
      </c>
      <c r="BA241" s="59">
        <v>2</v>
      </c>
      <c r="BB241" s="57">
        <f t="shared" si="75"/>
        <v>3730</v>
      </c>
    </row>
    <row r="242" spans="1:54" x14ac:dyDescent="0.25">
      <c r="A242" s="58">
        <v>39</v>
      </c>
      <c r="B242" s="59">
        <v>0</v>
      </c>
      <c r="C242" s="59">
        <v>1</v>
      </c>
      <c r="D242" s="59">
        <f t="shared" si="57"/>
        <v>1</v>
      </c>
      <c r="E242" s="59">
        <f t="shared" si="58"/>
        <v>0</v>
      </c>
      <c r="F242" s="59">
        <v>1431</v>
      </c>
      <c r="G242" s="59">
        <v>2</v>
      </c>
      <c r="H242" s="59">
        <f t="shared" si="59"/>
        <v>0</v>
      </c>
      <c r="I242" s="59">
        <f t="shared" si="60"/>
        <v>1</v>
      </c>
      <c r="J242" s="59">
        <v>1</v>
      </c>
      <c r="K242" s="59">
        <v>4</v>
      </c>
      <c r="L242" s="59">
        <v>3</v>
      </c>
      <c r="M242" s="59">
        <f t="shared" si="61"/>
        <v>0</v>
      </c>
      <c r="N242" s="59">
        <f t="shared" si="62"/>
        <v>0</v>
      </c>
      <c r="O242" s="59">
        <f t="shared" si="63"/>
        <v>1</v>
      </c>
      <c r="P242" s="59">
        <f t="shared" si="64"/>
        <v>0</v>
      </c>
      <c r="Q242" s="59">
        <f t="shared" si="65"/>
        <v>0</v>
      </c>
      <c r="R242" s="59">
        <v>1</v>
      </c>
      <c r="S242" s="59">
        <v>332</v>
      </c>
      <c r="T242" s="59">
        <v>3</v>
      </c>
      <c r="U242" s="59">
        <v>0</v>
      </c>
      <c r="V242" s="59">
        <v>96</v>
      </c>
      <c r="W242" s="59">
        <v>3</v>
      </c>
      <c r="X242" s="59">
        <v>1</v>
      </c>
      <c r="Y242" s="59">
        <v>3</v>
      </c>
      <c r="Z242" s="59">
        <f t="shared" si="66"/>
        <v>0</v>
      </c>
      <c r="AA242" s="59">
        <f>IF('Updated Dummy'!Y242=2,1,0)</f>
        <v>0</v>
      </c>
      <c r="AB242" s="59">
        <f t="shared" si="67"/>
        <v>1</v>
      </c>
      <c r="AC242" s="59">
        <f t="shared" si="68"/>
        <v>0</v>
      </c>
      <c r="AD242" s="59">
        <f t="shared" si="69"/>
        <v>0</v>
      </c>
      <c r="AE242" s="59">
        <f t="shared" si="70"/>
        <v>0</v>
      </c>
      <c r="AF242" s="59">
        <f t="shared" si="71"/>
        <v>0</v>
      </c>
      <c r="AG242" s="59">
        <f t="shared" si="72"/>
        <v>0</v>
      </c>
      <c r="AH242" s="59">
        <v>3</v>
      </c>
      <c r="AI242" s="59">
        <v>3</v>
      </c>
      <c r="AJ242" s="59">
        <f t="shared" si="73"/>
        <v>0</v>
      </c>
      <c r="AK242" s="59">
        <f t="shared" si="74"/>
        <v>0</v>
      </c>
      <c r="AL242" s="59">
        <v>2232</v>
      </c>
      <c r="AM242" s="59">
        <v>15417</v>
      </c>
      <c r="AN242" s="59">
        <v>7</v>
      </c>
      <c r="AO242" s="59">
        <v>0</v>
      </c>
      <c r="AP242" s="59">
        <v>14</v>
      </c>
      <c r="AQ242" s="59">
        <v>3</v>
      </c>
      <c r="AR242" s="59">
        <v>3</v>
      </c>
      <c r="AS242" s="59">
        <v>80</v>
      </c>
      <c r="AT242" s="59">
        <v>3</v>
      </c>
      <c r="AU242" s="59">
        <v>7</v>
      </c>
      <c r="AV242" s="59">
        <v>1</v>
      </c>
      <c r="AW242" s="59">
        <v>3</v>
      </c>
      <c r="AX242" s="59">
        <v>3</v>
      </c>
      <c r="AY242" s="59">
        <v>2</v>
      </c>
      <c r="AZ242" s="59">
        <v>1</v>
      </c>
      <c r="BA242" s="59">
        <v>2</v>
      </c>
      <c r="BB242" s="57">
        <f t="shared" si="75"/>
        <v>2232</v>
      </c>
    </row>
    <row r="243" spans="1:54" x14ac:dyDescent="0.25">
      <c r="A243" s="58">
        <v>32</v>
      </c>
      <c r="B243" s="59">
        <v>0</v>
      </c>
      <c r="C243" s="59">
        <v>3</v>
      </c>
      <c r="D243" s="59">
        <f t="shared" si="57"/>
        <v>0</v>
      </c>
      <c r="E243" s="59">
        <f t="shared" si="58"/>
        <v>0</v>
      </c>
      <c r="F243" s="59">
        <v>976</v>
      </c>
      <c r="G243" s="59">
        <v>1</v>
      </c>
      <c r="H243" s="59">
        <f t="shared" si="59"/>
        <v>1</v>
      </c>
      <c r="I243" s="59">
        <f t="shared" si="60"/>
        <v>0</v>
      </c>
      <c r="J243" s="59">
        <v>26</v>
      </c>
      <c r="K243" s="59">
        <v>4</v>
      </c>
      <c r="L243" s="59">
        <v>4</v>
      </c>
      <c r="M243" s="59">
        <f t="shared" si="61"/>
        <v>0</v>
      </c>
      <c r="N243" s="59">
        <f t="shared" si="62"/>
        <v>0</v>
      </c>
      <c r="O243" s="59">
        <f t="shared" si="63"/>
        <v>0</v>
      </c>
      <c r="P243" s="59">
        <f t="shared" si="64"/>
        <v>1</v>
      </c>
      <c r="Q243" s="59">
        <f t="shared" si="65"/>
        <v>0</v>
      </c>
      <c r="R243" s="59">
        <v>1</v>
      </c>
      <c r="S243" s="59">
        <v>333</v>
      </c>
      <c r="T243" s="59">
        <v>3</v>
      </c>
      <c r="U243" s="59">
        <v>1</v>
      </c>
      <c r="V243" s="59">
        <v>100</v>
      </c>
      <c r="W243" s="59">
        <v>3</v>
      </c>
      <c r="X243" s="59">
        <v>2</v>
      </c>
      <c r="Y243" s="59">
        <v>1</v>
      </c>
      <c r="Z243" s="59">
        <f t="shared" si="66"/>
        <v>1</v>
      </c>
      <c r="AA243" s="59">
        <f>IF('Updated Dummy'!Y243=2,1,0)</f>
        <v>0</v>
      </c>
      <c r="AB243" s="59">
        <f t="shared" si="67"/>
        <v>0</v>
      </c>
      <c r="AC243" s="59">
        <f t="shared" si="68"/>
        <v>0</v>
      </c>
      <c r="AD243" s="59">
        <f t="shared" si="69"/>
        <v>0</v>
      </c>
      <c r="AE243" s="59">
        <f t="shared" si="70"/>
        <v>0</v>
      </c>
      <c r="AF243" s="59">
        <f t="shared" si="71"/>
        <v>0</v>
      </c>
      <c r="AG243" s="59">
        <f t="shared" si="72"/>
        <v>0</v>
      </c>
      <c r="AH243" s="59">
        <v>4</v>
      </c>
      <c r="AI243" s="59">
        <v>2</v>
      </c>
      <c r="AJ243" s="59">
        <f t="shared" si="73"/>
        <v>0</v>
      </c>
      <c r="AK243" s="59">
        <f t="shared" si="74"/>
        <v>1</v>
      </c>
      <c r="AL243" s="59">
        <v>4465</v>
      </c>
      <c r="AM243" s="59">
        <v>12069</v>
      </c>
      <c r="AN243" s="59">
        <v>0</v>
      </c>
      <c r="AO243" s="59">
        <v>0</v>
      </c>
      <c r="AP243" s="59">
        <v>18</v>
      </c>
      <c r="AQ243" s="59">
        <v>3</v>
      </c>
      <c r="AR243" s="59">
        <v>1</v>
      </c>
      <c r="AS243" s="59">
        <v>80</v>
      </c>
      <c r="AT243" s="59">
        <v>0</v>
      </c>
      <c r="AU243" s="59">
        <v>4</v>
      </c>
      <c r="AV243" s="59">
        <v>2</v>
      </c>
      <c r="AW243" s="59">
        <v>3</v>
      </c>
      <c r="AX243" s="59">
        <v>3</v>
      </c>
      <c r="AY243" s="59">
        <v>2</v>
      </c>
      <c r="AZ243" s="59">
        <v>2</v>
      </c>
      <c r="BA243" s="59">
        <v>2</v>
      </c>
      <c r="BB243" s="57">
        <f t="shared" si="75"/>
        <v>8930</v>
      </c>
    </row>
    <row r="244" spans="1:54" x14ac:dyDescent="0.25">
      <c r="A244" s="58">
        <v>41</v>
      </c>
      <c r="B244" s="59">
        <v>0</v>
      </c>
      <c r="C244" s="59">
        <v>1</v>
      </c>
      <c r="D244" s="59">
        <f t="shared" si="57"/>
        <v>1</v>
      </c>
      <c r="E244" s="59">
        <f t="shared" si="58"/>
        <v>0</v>
      </c>
      <c r="F244" s="59">
        <v>1411</v>
      </c>
      <c r="G244" s="59">
        <v>2</v>
      </c>
      <c r="H244" s="59">
        <f t="shared" si="59"/>
        <v>0</v>
      </c>
      <c r="I244" s="59">
        <f t="shared" si="60"/>
        <v>1</v>
      </c>
      <c r="J244" s="59">
        <v>19</v>
      </c>
      <c r="K244" s="59">
        <v>2</v>
      </c>
      <c r="L244" s="59">
        <v>1</v>
      </c>
      <c r="M244" s="59">
        <f t="shared" si="61"/>
        <v>1</v>
      </c>
      <c r="N244" s="59">
        <f t="shared" si="62"/>
        <v>0</v>
      </c>
      <c r="O244" s="59">
        <f t="shared" si="63"/>
        <v>0</v>
      </c>
      <c r="P244" s="59">
        <f t="shared" si="64"/>
        <v>0</v>
      </c>
      <c r="Q244" s="59">
        <f t="shared" si="65"/>
        <v>0</v>
      </c>
      <c r="R244" s="59">
        <v>1</v>
      </c>
      <c r="S244" s="59">
        <v>334</v>
      </c>
      <c r="T244" s="59">
        <v>3</v>
      </c>
      <c r="U244" s="59">
        <v>1</v>
      </c>
      <c r="V244" s="59">
        <v>36</v>
      </c>
      <c r="W244" s="59">
        <v>3</v>
      </c>
      <c r="X244" s="59">
        <v>2</v>
      </c>
      <c r="Y244" s="59">
        <v>2</v>
      </c>
      <c r="Z244" s="59">
        <f t="shared" si="66"/>
        <v>0</v>
      </c>
      <c r="AA244" s="59">
        <f>IF('Updated Dummy'!Y244=2,1,0)</f>
        <v>1</v>
      </c>
      <c r="AB244" s="59">
        <f t="shared" si="67"/>
        <v>0</v>
      </c>
      <c r="AC244" s="59">
        <f t="shared" si="68"/>
        <v>0</v>
      </c>
      <c r="AD244" s="59">
        <f t="shared" si="69"/>
        <v>0</v>
      </c>
      <c r="AE244" s="59">
        <f t="shared" si="70"/>
        <v>0</v>
      </c>
      <c r="AF244" s="59">
        <f t="shared" si="71"/>
        <v>0</v>
      </c>
      <c r="AG244" s="59">
        <f t="shared" si="72"/>
        <v>0</v>
      </c>
      <c r="AH244" s="59">
        <v>1</v>
      </c>
      <c r="AI244" s="59">
        <v>3</v>
      </c>
      <c r="AJ244" s="59">
        <f t="shared" si="73"/>
        <v>0</v>
      </c>
      <c r="AK244" s="59">
        <f t="shared" si="74"/>
        <v>0</v>
      </c>
      <c r="AL244" s="59">
        <v>3072</v>
      </c>
      <c r="AM244" s="59">
        <v>19877</v>
      </c>
      <c r="AN244" s="59">
        <v>2</v>
      </c>
      <c r="AO244" s="59">
        <v>0</v>
      </c>
      <c r="AP244" s="59">
        <v>16</v>
      </c>
      <c r="AQ244" s="59">
        <v>3</v>
      </c>
      <c r="AR244" s="59">
        <v>1</v>
      </c>
      <c r="AS244" s="59">
        <v>80</v>
      </c>
      <c r="AT244" s="59">
        <v>2</v>
      </c>
      <c r="AU244" s="59">
        <v>17</v>
      </c>
      <c r="AV244" s="59">
        <v>2</v>
      </c>
      <c r="AW244" s="59">
        <v>2</v>
      </c>
      <c r="AX244" s="59">
        <v>1</v>
      </c>
      <c r="AY244" s="59">
        <v>0</v>
      </c>
      <c r="AZ244" s="59">
        <v>0</v>
      </c>
      <c r="BA244" s="59">
        <v>0</v>
      </c>
      <c r="BB244" s="57">
        <f t="shared" si="75"/>
        <v>6144</v>
      </c>
    </row>
    <row r="245" spans="1:54" x14ac:dyDescent="0.25">
      <c r="A245" s="58">
        <v>40</v>
      </c>
      <c r="B245" s="59">
        <v>0</v>
      </c>
      <c r="C245" s="59">
        <v>1</v>
      </c>
      <c r="D245" s="59">
        <f t="shared" si="57"/>
        <v>1</v>
      </c>
      <c r="E245" s="59">
        <f t="shared" si="58"/>
        <v>0</v>
      </c>
      <c r="F245" s="59">
        <v>1300</v>
      </c>
      <c r="G245" s="59">
        <v>2</v>
      </c>
      <c r="H245" s="59">
        <f t="shared" si="59"/>
        <v>0</v>
      </c>
      <c r="I245" s="59">
        <f t="shared" si="60"/>
        <v>1</v>
      </c>
      <c r="J245" s="59">
        <v>24</v>
      </c>
      <c r="K245" s="59">
        <v>2</v>
      </c>
      <c r="L245" s="59">
        <v>5</v>
      </c>
      <c r="M245" s="59">
        <f t="shared" si="61"/>
        <v>0</v>
      </c>
      <c r="N245" s="59">
        <f t="shared" si="62"/>
        <v>0</v>
      </c>
      <c r="O245" s="59">
        <f t="shared" si="63"/>
        <v>0</v>
      </c>
      <c r="P245" s="59">
        <f t="shared" si="64"/>
        <v>0</v>
      </c>
      <c r="Q245" s="59">
        <f t="shared" si="65"/>
        <v>1</v>
      </c>
      <c r="R245" s="59">
        <v>1</v>
      </c>
      <c r="S245" s="59">
        <v>335</v>
      </c>
      <c r="T245" s="59">
        <v>1</v>
      </c>
      <c r="U245" s="59">
        <v>1</v>
      </c>
      <c r="V245" s="59">
        <v>62</v>
      </c>
      <c r="W245" s="59">
        <v>3</v>
      </c>
      <c r="X245" s="59">
        <v>2</v>
      </c>
      <c r="Y245" s="59">
        <v>2</v>
      </c>
      <c r="Z245" s="59">
        <f t="shared" si="66"/>
        <v>0</v>
      </c>
      <c r="AA245" s="59">
        <f>IF('Updated Dummy'!Y245=2,1,0)</f>
        <v>1</v>
      </c>
      <c r="AB245" s="59">
        <f t="shared" si="67"/>
        <v>0</v>
      </c>
      <c r="AC245" s="59">
        <f t="shared" si="68"/>
        <v>0</v>
      </c>
      <c r="AD245" s="59">
        <f t="shared" si="69"/>
        <v>0</v>
      </c>
      <c r="AE245" s="59">
        <f t="shared" si="70"/>
        <v>0</v>
      </c>
      <c r="AF245" s="59">
        <f t="shared" si="71"/>
        <v>0</v>
      </c>
      <c r="AG245" s="59">
        <f t="shared" si="72"/>
        <v>0</v>
      </c>
      <c r="AH245" s="59">
        <v>4</v>
      </c>
      <c r="AI245" s="59">
        <v>3</v>
      </c>
      <c r="AJ245" s="59">
        <f t="shared" si="73"/>
        <v>0</v>
      </c>
      <c r="AK245" s="59">
        <f t="shared" si="74"/>
        <v>0</v>
      </c>
      <c r="AL245" s="59">
        <v>3319</v>
      </c>
      <c r="AM245" s="59">
        <v>24447</v>
      </c>
      <c r="AN245" s="59">
        <v>1</v>
      </c>
      <c r="AO245" s="59">
        <v>0</v>
      </c>
      <c r="AP245" s="59">
        <v>17</v>
      </c>
      <c r="AQ245" s="59">
        <v>3</v>
      </c>
      <c r="AR245" s="59">
        <v>1</v>
      </c>
      <c r="AS245" s="59">
        <v>80</v>
      </c>
      <c r="AT245" s="59">
        <v>2</v>
      </c>
      <c r="AU245" s="59">
        <v>9</v>
      </c>
      <c r="AV245" s="59">
        <v>3</v>
      </c>
      <c r="AW245" s="59">
        <v>3</v>
      </c>
      <c r="AX245" s="59">
        <v>9</v>
      </c>
      <c r="AY245" s="59">
        <v>8</v>
      </c>
      <c r="AZ245" s="59">
        <v>4</v>
      </c>
      <c r="BA245" s="59">
        <v>7</v>
      </c>
      <c r="BB245" s="57">
        <f t="shared" si="75"/>
        <v>6638</v>
      </c>
    </row>
    <row r="246" spans="1:54" x14ac:dyDescent="0.25">
      <c r="A246" s="58">
        <v>45</v>
      </c>
      <c r="B246" s="59">
        <v>0</v>
      </c>
      <c r="C246" s="59">
        <v>1</v>
      </c>
      <c r="D246" s="59">
        <f t="shared" si="57"/>
        <v>1</v>
      </c>
      <c r="E246" s="59">
        <f t="shared" si="58"/>
        <v>0</v>
      </c>
      <c r="F246" s="59">
        <v>252</v>
      </c>
      <c r="G246" s="59">
        <v>2</v>
      </c>
      <c r="H246" s="59">
        <f t="shared" si="59"/>
        <v>0</v>
      </c>
      <c r="I246" s="59">
        <f t="shared" si="60"/>
        <v>1</v>
      </c>
      <c r="J246" s="59">
        <v>1</v>
      </c>
      <c r="K246" s="59">
        <v>3</v>
      </c>
      <c r="L246" s="59">
        <v>6</v>
      </c>
      <c r="M246" s="59">
        <f t="shared" si="61"/>
        <v>0</v>
      </c>
      <c r="N246" s="59">
        <f t="shared" si="62"/>
        <v>0</v>
      </c>
      <c r="O246" s="59">
        <f t="shared" si="63"/>
        <v>0</v>
      </c>
      <c r="P246" s="59">
        <f t="shared" si="64"/>
        <v>0</v>
      </c>
      <c r="Q246" s="59">
        <f t="shared" si="65"/>
        <v>0</v>
      </c>
      <c r="R246" s="59">
        <v>1</v>
      </c>
      <c r="S246" s="59">
        <v>336</v>
      </c>
      <c r="T246" s="59">
        <v>3</v>
      </c>
      <c r="U246" s="59">
        <v>1</v>
      </c>
      <c r="V246" s="59">
        <v>70</v>
      </c>
      <c r="W246" s="59">
        <v>4</v>
      </c>
      <c r="X246" s="59">
        <v>5</v>
      </c>
      <c r="Y246" s="59">
        <v>6</v>
      </c>
      <c r="Z246" s="59">
        <f t="shared" si="66"/>
        <v>0</v>
      </c>
      <c r="AA246" s="59">
        <f>IF('Updated Dummy'!Y246=2,1,0)</f>
        <v>0</v>
      </c>
      <c r="AB246" s="59">
        <f t="shared" si="67"/>
        <v>0</v>
      </c>
      <c r="AC246" s="59">
        <f t="shared" si="68"/>
        <v>0</v>
      </c>
      <c r="AD246" s="59">
        <f t="shared" si="69"/>
        <v>0</v>
      </c>
      <c r="AE246" s="59">
        <f t="shared" si="70"/>
        <v>1</v>
      </c>
      <c r="AF246" s="59">
        <f t="shared" si="71"/>
        <v>0</v>
      </c>
      <c r="AG246" s="59">
        <f t="shared" si="72"/>
        <v>0</v>
      </c>
      <c r="AH246" s="59">
        <v>4</v>
      </c>
      <c r="AI246" s="59">
        <v>2</v>
      </c>
      <c r="AJ246" s="59">
        <f t="shared" si="73"/>
        <v>0</v>
      </c>
      <c r="AK246" s="59">
        <f t="shared" si="74"/>
        <v>1</v>
      </c>
      <c r="AL246" s="59">
        <v>19202</v>
      </c>
      <c r="AM246" s="59">
        <v>15970</v>
      </c>
      <c r="AN246" s="59">
        <v>0</v>
      </c>
      <c r="AO246" s="59">
        <v>0</v>
      </c>
      <c r="AP246" s="59">
        <v>11</v>
      </c>
      <c r="AQ246" s="59">
        <v>3</v>
      </c>
      <c r="AR246" s="59">
        <v>3</v>
      </c>
      <c r="AS246" s="59">
        <v>80</v>
      </c>
      <c r="AT246" s="59">
        <v>1</v>
      </c>
      <c r="AU246" s="59">
        <v>25</v>
      </c>
      <c r="AV246" s="59">
        <v>2</v>
      </c>
      <c r="AW246" s="59">
        <v>3</v>
      </c>
      <c r="AX246" s="59">
        <v>24</v>
      </c>
      <c r="AY246" s="59">
        <v>0</v>
      </c>
      <c r="AZ246" s="59">
        <v>1</v>
      </c>
      <c r="BA246" s="59">
        <v>7</v>
      </c>
      <c r="BB246" s="57">
        <f t="shared" si="75"/>
        <v>96010</v>
      </c>
    </row>
    <row r="247" spans="1:54" x14ac:dyDescent="0.25">
      <c r="A247" s="58">
        <v>31</v>
      </c>
      <c r="B247" s="59">
        <v>0</v>
      </c>
      <c r="C247" s="59">
        <v>2</v>
      </c>
      <c r="D247" s="59">
        <f t="shared" si="57"/>
        <v>0</v>
      </c>
      <c r="E247" s="59">
        <f t="shared" si="58"/>
        <v>1</v>
      </c>
      <c r="F247" s="59">
        <v>1327</v>
      </c>
      <c r="G247" s="59">
        <v>2</v>
      </c>
      <c r="H247" s="59">
        <f t="shared" si="59"/>
        <v>0</v>
      </c>
      <c r="I247" s="59">
        <f t="shared" si="60"/>
        <v>1</v>
      </c>
      <c r="J247" s="59">
        <v>3</v>
      </c>
      <c r="K247" s="59">
        <v>4</v>
      </c>
      <c r="L247" s="59">
        <v>3</v>
      </c>
      <c r="M247" s="59">
        <f t="shared" si="61"/>
        <v>0</v>
      </c>
      <c r="N247" s="59">
        <f t="shared" si="62"/>
        <v>0</v>
      </c>
      <c r="O247" s="59">
        <f t="shared" si="63"/>
        <v>1</v>
      </c>
      <c r="P247" s="59">
        <f t="shared" si="64"/>
        <v>0</v>
      </c>
      <c r="Q247" s="59">
        <f t="shared" si="65"/>
        <v>0</v>
      </c>
      <c r="R247" s="59">
        <v>1</v>
      </c>
      <c r="S247" s="59">
        <v>337</v>
      </c>
      <c r="T247" s="59">
        <v>2</v>
      </c>
      <c r="U247" s="59">
        <v>1</v>
      </c>
      <c r="V247" s="59">
        <v>73</v>
      </c>
      <c r="W247" s="59">
        <v>3</v>
      </c>
      <c r="X247" s="59">
        <v>3</v>
      </c>
      <c r="Y247" s="59">
        <v>8</v>
      </c>
      <c r="Z247" s="59">
        <f t="shared" si="66"/>
        <v>0</v>
      </c>
      <c r="AA247" s="59">
        <f>IF('Updated Dummy'!Y247=2,1,0)</f>
        <v>0</v>
      </c>
      <c r="AB247" s="59">
        <f t="shared" si="67"/>
        <v>0</v>
      </c>
      <c r="AC247" s="59">
        <f t="shared" si="68"/>
        <v>0</v>
      </c>
      <c r="AD247" s="59">
        <f t="shared" si="69"/>
        <v>0</v>
      </c>
      <c r="AE247" s="59">
        <f t="shared" si="70"/>
        <v>0</v>
      </c>
      <c r="AF247" s="59">
        <f t="shared" si="71"/>
        <v>0</v>
      </c>
      <c r="AG247" s="59">
        <f t="shared" si="72"/>
        <v>1</v>
      </c>
      <c r="AH247" s="59">
        <v>3</v>
      </c>
      <c r="AI247" s="59">
        <v>3</v>
      </c>
      <c r="AJ247" s="59">
        <f t="shared" si="73"/>
        <v>0</v>
      </c>
      <c r="AK247" s="59">
        <f t="shared" si="74"/>
        <v>0</v>
      </c>
      <c r="AL247" s="59">
        <v>13675</v>
      </c>
      <c r="AM247" s="59">
        <v>13523</v>
      </c>
      <c r="AN247" s="59">
        <v>9</v>
      </c>
      <c r="AO247" s="59">
        <v>0</v>
      </c>
      <c r="AP247" s="59">
        <v>12</v>
      </c>
      <c r="AQ247" s="59">
        <v>3</v>
      </c>
      <c r="AR247" s="59">
        <v>1</v>
      </c>
      <c r="AS247" s="59">
        <v>80</v>
      </c>
      <c r="AT247" s="59">
        <v>1</v>
      </c>
      <c r="AU247" s="59">
        <v>9</v>
      </c>
      <c r="AV247" s="59">
        <v>3</v>
      </c>
      <c r="AW247" s="59">
        <v>3</v>
      </c>
      <c r="AX247" s="59">
        <v>2</v>
      </c>
      <c r="AY247" s="59">
        <v>2</v>
      </c>
      <c r="AZ247" s="59">
        <v>2</v>
      </c>
      <c r="BA247" s="59">
        <v>2</v>
      </c>
      <c r="BB247" s="57">
        <f t="shared" si="75"/>
        <v>41025</v>
      </c>
    </row>
    <row r="248" spans="1:54" x14ac:dyDescent="0.25">
      <c r="A248" s="58">
        <v>33</v>
      </c>
      <c r="B248" s="59">
        <v>0</v>
      </c>
      <c r="C248" s="59">
        <v>1</v>
      </c>
      <c r="D248" s="59">
        <f t="shared" si="57"/>
        <v>1</v>
      </c>
      <c r="E248" s="59">
        <f t="shared" si="58"/>
        <v>0</v>
      </c>
      <c r="F248" s="59">
        <v>832</v>
      </c>
      <c r="G248" s="59">
        <v>2</v>
      </c>
      <c r="H248" s="59">
        <f t="shared" si="59"/>
        <v>0</v>
      </c>
      <c r="I248" s="59">
        <f t="shared" si="60"/>
        <v>1</v>
      </c>
      <c r="J248" s="59">
        <v>5</v>
      </c>
      <c r="K248" s="59">
        <v>4</v>
      </c>
      <c r="L248" s="59">
        <v>1</v>
      </c>
      <c r="M248" s="59">
        <f t="shared" si="61"/>
        <v>1</v>
      </c>
      <c r="N248" s="59">
        <f t="shared" si="62"/>
        <v>0</v>
      </c>
      <c r="O248" s="59">
        <f t="shared" si="63"/>
        <v>0</v>
      </c>
      <c r="P248" s="59">
        <f t="shared" si="64"/>
        <v>0</v>
      </c>
      <c r="Q248" s="59">
        <f t="shared" si="65"/>
        <v>0</v>
      </c>
      <c r="R248" s="59">
        <v>1</v>
      </c>
      <c r="S248" s="59">
        <v>338</v>
      </c>
      <c r="T248" s="59">
        <v>3</v>
      </c>
      <c r="U248" s="59">
        <v>0</v>
      </c>
      <c r="V248" s="59">
        <v>63</v>
      </c>
      <c r="W248" s="59">
        <v>2</v>
      </c>
      <c r="X248" s="59">
        <v>1</v>
      </c>
      <c r="Y248" s="59">
        <v>2</v>
      </c>
      <c r="Z248" s="59">
        <f t="shared" si="66"/>
        <v>0</v>
      </c>
      <c r="AA248" s="59">
        <f>IF('Updated Dummy'!Y248=2,1,0)</f>
        <v>1</v>
      </c>
      <c r="AB248" s="59">
        <f t="shared" si="67"/>
        <v>0</v>
      </c>
      <c r="AC248" s="59">
        <f t="shared" si="68"/>
        <v>0</v>
      </c>
      <c r="AD248" s="59">
        <f t="shared" si="69"/>
        <v>0</v>
      </c>
      <c r="AE248" s="59">
        <f t="shared" si="70"/>
        <v>0</v>
      </c>
      <c r="AF248" s="59">
        <f t="shared" si="71"/>
        <v>0</v>
      </c>
      <c r="AG248" s="59">
        <f t="shared" si="72"/>
        <v>0</v>
      </c>
      <c r="AH248" s="59">
        <v>4</v>
      </c>
      <c r="AI248" s="59">
        <v>2</v>
      </c>
      <c r="AJ248" s="59">
        <f t="shared" si="73"/>
        <v>0</v>
      </c>
      <c r="AK248" s="59">
        <f t="shared" si="74"/>
        <v>1</v>
      </c>
      <c r="AL248" s="59">
        <v>2911</v>
      </c>
      <c r="AM248" s="59">
        <v>14776</v>
      </c>
      <c r="AN248" s="59">
        <v>1</v>
      </c>
      <c r="AO248" s="59">
        <v>0</v>
      </c>
      <c r="AP248" s="59">
        <v>13</v>
      </c>
      <c r="AQ248" s="59">
        <v>3</v>
      </c>
      <c r="AR248" s="59">
        <v>3</v>
      </c>
      <c r="AS248" s="59">
        <v>80</v>
      </c>
      <c r="AT248" s="59">
        <v>1</v>
      </c>
      <c r="AU248" s="59">
        <v>2</v>
      </c>
      <c r="AV248" s="59">
        <v>2</v>
      </c>
      <c r="AW248" s="59">
        <v>2</v>
      </c>
      <c r="AX248" s="59">
        <v>2</v>
      </c>
      <c r="AY248" s="59">
        <v>2</v>
      </c>
      <c r="AZ248" s="59">
        <v>0</v>
      </c>
      <c r="BA248" s="59">
        <v>2</v>
      </c>
      <c r="BB248" s="57">
        <f t="shared" si="75"/>
        <v>2911</v>
      </c>
    </row>
    <row r="249" spans="1:54" x14ac:dyDescent="0.25">
      <c r="A249" s="58">
        <v>34</v>
      </c>
      <c r="B249" s="59">
        <v>0</v>
      </c>
      <c r="C249" s="59">
        <v>1</v>
      </c>
      <c r="D249" s="59">
        <f t="shared" si="57"/>
        <v>1</v>
      </c>
      <c r="E249" s="59">
        <f t="shared" si="58"/>
        <v>0</v>
      </c>
      <c r="F249" s="59">
        <v>470</v>
      </c>
      <c r="G249" s="59">
        <v>2</v>
      </c>
      <c r="H249" s="59">
        <f t="shared" si="59"/>
        <v>0</v>
      </c>
      <c r="I249" s="59">
        <f t="shared" si="60"/>
        <v>1</v>
      </c>
      <c r="J249" s="59">
        <v>2</v>
      </c>
      <c r="K249" s="59">
        <v>4</v>
      </c>
      <c r="L249" s="59">
        <v>1</v>
      </c>
      <c r="M249" s="59">
        <f t="shared" si="61"/>
        <v>1</v>
      </c>
      <c r="N249" s="59">
        <f t="shared" si="62"/>
        <v>0</v>
      </c>
      <c r="O249" s="59">
        <f t="shared" si="63"/>
        <v>0</v>
      </c>
      <c r="P249" s="59">
        <f t="shared" si="64"/>
        <v>0</v>
      </c>
      <c r="Q249" s="59">
        <f t="shared" si="65"/>
        <v>0</v>
      </c>
      <c r="R249" s="59">
        <v>1</v>
      </c>
      <c r="S249" s="59">
        <v>339</v>
      </c>
      <c r="T249" s="59">
        <v>4</v>
      </c>
      <c r="U249" s="59">
        <v>1</v>
      </c>
      <c r="V249" s="59">
        <v>84</v>
      </c>
      <c r="W249" s="59">
        <v>2</v>
      </c>
      <c r="X249" s="59">
        <v>2</v>
      </c>
      <c r="Y249" s="59">
        <v>4</v>
      </c>
      <c r="Z249" s="59">
        <f t="shared" si="66"/>
        <v>0</v>
      </c>
      <c r="AA249" s="59">
        <f>IF('Updated Dummy'!Y249=2,1,0)</f>
        <v>0</v>
      </c>
      <c r="AB249" s="59">
        <f t="shared" si="67"/>
        <v>0</v>
      </c>
      <c r="AC249" s="59">
        <f t="shared" si="68"/>
        <v>1</v>
      </c>
      <c r="AD249" s="59">
        <f t="shared" si="69"/>
        <v>0</v>
      </c>
      <c r="AE249" s="59">
        <f t="shared" si="70"/>
        <v>0</v>
      </c>
      <c r="AF249" s="59">
        <f t="shared" si="71"/>
        <v>0</v>
      </c>
      <c r="AG249" s="59">
        <f t="shared" si="72"/>
        <v>0</v>
      </c>
      <c r="AH249" s="59">
        <v>1</v>
      </c>
      <c r="AI249" s="59">
        <v>2</v>
      </c>
      <c r="AJ249" s="59">
        <f t="shared" si="73"/>
        <v>0</v>
      </c>
      <c r="AK249" s="59">
        <f t="shared" si="74"/>
        <v>1</v>
      </c>
      <c r="AL249" s="59">
        <v>5957</v>
      </c>
      <c r="AM249" s="59">
        <v>23687</v>
      </c>
      <c r="AN249" s="59">
        <v>6</v>
      </c>
      <c r="AO249" s="59">
        <v>0</v>
      </c>
      <c r="AP249" s="59">
        <v>13</v>
      </c>
      <c r="AQ249" s="59">
        <v>3</v>
      </c>
      <c r="AR249" s="59">
        <v>2</v>
      </c>
      <c r="AS249" s="59">
        <v>80</v>
      </c>
      <c r="AT249" s="59">
        <v>1</v>
      </c>
      <c r="AU249" s="59">
        <v>13</v>
      </c>
      <c r="AV249" s="59">
        <v>3</v>
      </c>
      <c r="AW249" s="59">
        <v>3</v>
      </c>
      <c r="AX249" s="59">
        <v>11</v>
      </c>
      <c r="AY249" s="59">
        <v>9</v>
      </c>
      <c r="AZ249" s="59">
        <v>5</v>
      </c>
      <c r="BA249" s="59">
        <v>9</v>
      </c>
      <c r="BB249" s="57">
        <f t="shared" si="75"/>
        <v>11914</v>
      </c>
    </row>
    <row r="250" spans="1:54" x14ac:dyDescent="0.25">
      <c r="A250" s="58">
        <v>37</v>
      </c>
      <c r="B250" s="59">
        <v>0</v>
      </c>
      <c r="C250" s="59">
        <v>1</v>
      </c>
      <c r="D250" s="59">
        <f t="shared" si="57"/>
        <v>1</v>
      </c>
      <c r="E250" s="59">
        <f t="shared" si="58"/>
        <v>0</v>
      </c>
      <c r="F250" s="59">
        <v>1017</v>
      </c>
      <c r="G250" s="59">
        <v>2</v>
      </c>
      <c r="H250" s="59">
        <f t="shared" si="59"/>
        <v>0</v>
      </c>
      <c r="I250" s="59">
        <f t="shared" si="60"/>
        <v>1</v>
      </c>
      <c r="J250" s="59">
        <v>1</v>
      </c>
      <c r="K250" s="59">
        <v>2</v>
      </c>
      <c r="L250" s="59">
        <v>3</v>
      </c>
      <c r="M250" s="59">
        <f t="shared" si="61"/>
        <v>0</v>
      </c>
      <c r="N250" s="59">
        <f t="shared" si="62"/>
        <v>0</v>
      </c>
      <c r="O250" s="59">
        <f t="shared" si="63"/>
        <v>1</v>
      </c>
      <c r="P250" s="59">
        <f t="shared" si="64"/>
        <v>0</v>
      </c>
      <c r="Q250" s="59">
        <f t="shared" si="65"/>
        <v>0</v>
      </c>
      <c r="R250" s="59">
        <v>1</v>
      </c>
      <c r="S250" s="59">
        <v>340</v>
      </c>
      <c r="T250" s="59">
        <v>3</v>
      </c>
      <c r="U250" s="59">
        <v>0</v>
      </c>
      <c r="V250" s="59">
        <v>83</v>
      </c>
      <c r="W250" s="59">
        <v>2</v>
      </c>
      <c r="X250" s="59">
        <v>1</v>
      </c>
      <c r="Y250" s="59">
        <v>2</v>
      </c>
      <c r="Z250" s="59">
        <f t="shared" si="66"/>
        <v>0</v>
      </c>
      <c r="AA250" s="59">
        <f>IF('Updated Dummy'!Y250=2,1,0)</f>
        <v>1</v>
      </c>
      <c r="AB250" s="59">
        <f t="shared" si="67"/>
        <v>0</v>
      </c>
      <c r="AC250" s="59">
        <f t="shared" si="68"/>
        <v>0</v>
      </c>
      <c r="AD250" s="59">
        <f t="shared" si="69"/>
        <v>0</v>
      </c>
      <c r="AE250" s="59">
        <f t="shared" si="70"/>
        <v>0</v>
      </c>
      <c r="AF250" s="59">
        <f t="shared" si="71"/>
        <v>0</v>
      </c>
      <c r="AG250" s="59">
        <f t="shared" si="72"/>
        <v>0</v>
      </c>
      <c r="AH250" s="59">
        <v>1</v>
      </c>
      <c r="AI250" s="59">
        <v>2</v>
      </c>
      <c r="AJ250" s="59">
        <f t="shared" si="73"/>
        <v>0</v>
      </c>
      <c r="AK250" s="59">
        <f t="shared" si="74"/>
        <v>1</v>
      </c>
      <c r="AL250" s="59">
        <v>3920</v>
      </c>
      <c r="AM250" s="59">
        <v>18697</v>
      </c>
      <c r="AN250" s="59">
        <v>2</v>
      </c>
      <c r="AO250" s="59">
        <v>0</v>
      </c>
      <c r="AP250" s="59">
        <v>14</v>
      </c>
      <c r="AQ250" s="59">
        <v>3</v>
      </c>
      <c r="AR250" s="59">
        <v>1</v>
      </c>
      <c r="AS250" s="59">
        <v>80</v>
      </c>
      <c r="AT250" s="59">
        <v>1</v>
      </c>
      <c r="AU250" s="59">
        <v>17</v>
      </c>
      <c r="AV250" s="59">
        <v>2</v>
      </c>
      <c r="AW250" s="59">
        <v>2</v>
      </c>
      <c r="AX250" s="59">
        <v>3</v>
      </c>
      <c r="AY250" s="59">
        <v>1</v>
      </c>
      <c r="AZ250" s="59">
        <v>0</v>
      </c>
      <c r="BA250" s="59">
        <v>2</v>
      </c>
      <c r="BB250" s="57">
        <f t="shared" si="75"/>
        <v>3920</v>
      </c>
    </row>
    <row r="251" spans="1:54" x14ac:dyDescent="0.25">
      <c r="A251" s="58">
        <v>45</v>
      </c>
      <c r="B251" s="59">
        <v>0</v>
      </c>
      <c r="C251" s="59">
        <v>2</v>
      </c>
      <c r="D251" s="59">
        <f t="shared" si="57"/>
        <v>0</v>
      </c>
      <c r="E251" s="59">
        <f t="shared" si="58"/>
        <v>1</v>
      </c>
      <c r="F251" s="59">
        <v>1199</v>
      </c>
      <c r="G251" s="59">
        <v>2</v>
      </c>
      <c r="H251" s="59">
        <f t="shared" si="59"/>
        <v>0</v>
      </c>
      <c r="I251" s="59">
        <f t="shared" si="60"/>
        <v>1</v>
      </c>
      <c r="J251" s="59">
        <v>7</v>
      </c>
      <c r="K251" s="59">
        <v>4</v>
      </c>
      <c r="L251" s="59">
        <v>1</v>
      </c>
      <c r="M251" s="59">
        <f t="shared" si="61"/>
        <v>1</v>
      </c>
      <c r="N251" s="59">
        <f t="shared" si="62"/>
        <v>0</v>
      </c>
      <c r="O251" s="59">
        <f t="shared" si="63"/>
        <v>0</v>
      </c>
      <c r="P251" s="59">
        <f t="shared" si="64"/>
        <v>0</v>
      </c>
      <c r="Q251" s="59">
        <f t="shared" si="65"/>
        <v>0</v>
      </c>
      <c r="R251" s="59">
        <v>1</v>
      </c>
      <c r="S251" s="59">
        <v>341</v>
      </c>
      <c r="T251" s="59">
        <v>1</v>
      </c>
      <c r="U251" s="59">
        <v>1</v>
      </c>
      <c r="V251" s="59">
        <v>77</v>
      </c>
      <c r="W251" s="59">
        <v>4</v>
      </c>
      <c r="X251" s="59">
        <v>2</v>
      </c>
      <c r="Y251" s="59">
        <v>4</v>
      </c>
      <c r="Z251" s="59">
        <f t="shared" si="66"/>
        <v>0</v>
      </c>
      <c r="AA251" s="59">
        <f>IF('Updated Dummy'!Y251=2,1,0)</f>
        <v>0</v>
      </c>
      <c r="AB251" s="59">
        <f t="shared" si="67"/>
        <v>0</v>
      </c>
      <c r="AC251" s="59">
        <f t="shared" si="68"/>
        <v>1</v>
      </c>
      <c r="AD251" s="59">
        <f t="shared" si="69"/>
        <v>0</v>
      </c>
      <c r="AE251" s="59">
        <f t="shared" si="70"/>
        <v>0</v>
      </c>
      <c r="AF251" s="59">
        <f t="shared" si="71"/>
        <v>0</v>
      </c>
      <c r="AG251" s="59">
        <f t="shared" si="72"/>
        <v>0</v>
      </c>
      <c r="AH251" s="59">
        <v>3</v>
      </c>
      <c r="AI251" s="59">
        <v>2</v>
      </c>
      <c r="AJ251" s="59">
        <f t="shared" si="73"/>
        <v>0</v>
      </c>
      <c r="AK251" s="59">
        <f t="shared" si="74"/>
        <v>1</v>
      </c>
      <c r="AL251" s="59">
        <v>6434</v>
      </c>
      <c r="AM251" s="59">
        <v>5118</v>
      </c>
      <c r="AN251" s="59">
        <v>4</v>
      </c>
      <c r="AO251" s="59">
        <v>0</v>
      </c>
      <c r="AP251" s="59">
        <v>17</v>
      </c>
      <c r="AQ251" s="59">
        <v>3</v>
      </c>
      <c r="AR251" s="59">
        <v>4</v>
      </c>
      <c r="AS251" s="59">
        <v>80</v>
      </c>
      <c r="AT251" s="59">
        <v>1</v>
      </c>
      <c r="AU251" s="59">
        <v>9</v>
      </c>
      <c r="AV251" s="59">
        <v>1</v>
      </c>
      <c r="AW251" s="59">
        <v>3</v>
      </c>
      <c r="AX251" s="59">
        <v>3</v>
      </c>
      <c r="AY251" s="59">
        <v>2</v>
      </c>
      <c r="AZ251" s="59">
        <v>0</v>
      </c>
      <c r="BA251" s="59">
        <v>2</v>
      </c>
      <c r="BB251" s="57">
        <f t="shared" si="75"/>
        <v>12868</v>
      </c>
    </row>
    <row r="252" spans="1:54" x14ac:dyDescent="0.25">
      <c r="A252" s="58">
        <v>37</v>
      </c>
      <c r="B252" s="59">
        <v>1</v>
      </c>
      <c r="C252" s="59">
        <v>2</v>
      </c>
      <c r="D252" s="59">
        <f t="shared" si="57"/>
        <v>0</v>
      </c>
      <c r="E252" s="59">
        <f t="shared" si="58"/>
        <v>1</v>
      </c>
      <c r="F252" s="59">
        <v>504</v>
      </c>
      <c r="G252" s="59">
        <v>2</v>
      </c>
      <c r="H252" s="59">
        <f t="shared" si="59"/>
        <v>0</v>
      </c>
      <c r="I252" s="59">
        <f t="shared" si="60"/>
        <v>1</v>
      </c>
      <c r="J252" s="59">
        <v>10</v>
      </c>
      <c r="K252" s="59">
        <v>3</v>
      </c>
      <c r="L252" s="59">
        <v>3</v>
      </c>
      <c r="M252" s="59">
        <f t="shared" si="61"/>
        <v>0</v>
      </c>
      <c r="N252" s="59">
        <f t="shared" si="62"/>
        <v>0</v>
      </c>
      <c r="O252" s="59">
        <f t="shared" si="63"/>
        <v>1</v>
      </c>
      <c r="P252" s="59">
        <f t="shared" si="64"/>
        <v>0</v>
      </c>
      <c r="Q252" s="59">
        <f t="shared" si="65"/>
        <v>0</v>
      </c>
      <c r="R252" s="59">
        <v>1</v>
      </c>
      <c r="S252" s="59">
        <v>342</v>
      </c>
      <c r="T252" s="59">
        <v>1</v>
      </c>
      <c r="U252" s="59">
        <v>1</v>
      </c>
      <c r="V252" s="59">
        <v>61</v>
      </c>
      <c r="W252" s="59">
        <v>3</v>
      </c>
      <c r="X252" s="59">
        <v>3</v>
      </c>
      <c r="Y252" s="59">
        <v>4</v>
      </c>
      <c r="Z252" s="59">
        <f t="shared" si="66"/>
        <v>0</v>
      </c>
      <c r="AA252" s="59">
        <f>IF('Updated Dummy'!Y252=2,1,0)</f>
        <v>0</v>
      </c>
      <c r="AB252" s="59">
        <f t="shared" si="67"/>
        <v>0</v>
      </c>
      <c r="AC252" s="59">
        <f t="shared" si="68"/>
        <v>1</v>
      </c>
      <c r="AD252" s="59">
        <f t="shared" si="69"/>
        <v>0</v>
      </c>
      <c r="AE252" s="59">
        <f t="shared" si="70"/>
        <v>0</v>
      </c>
      <c r="AF252" s="59">
        <f t="shared" si="71"/>
        <v>0</v>
      </c>
      <c r="AG252" s="59">
        <f t="shared" si="72"/>
        <v>0</v>
      </c>
      <c r="AH252" s="59">
        <v>3</v>
      </c>
      <c r="AI252" s="59">
        <v>3</v>
      </c>
      <c r="AJ252" s="59">
        <f t="shared" si="73"/>
        <v>0</v>
      </c>
      <c r="AK252" s="59">
        <f t="shared" si="74"/>
        <v>0</v>
      </c>
      <c r="AL252" s="59">
        <v>10048</v>
      </c>
      <c r="AM252" s="59">
        <v>22573</v>
      </c>
      <c r="AN252" s="59">
        <v>6</v>
      </c>
      <c r="AO252" s="59">
        <v>0</v>
      </c>
      <c r="AP252" s="59">
        <v>11</v>
      </c>
      <c r="AQ252" s="59">
        <v>3</v>
      </c>
      <c r="AR252" s="59">
        <v>2</v>
      </c>
      <c r="AS252" s="59">
        <v>80</v>
      </c>
      <c r="AT252" s="59">
        <v>2</v>
      </c>
      <c r="AU252" s="59">
        <v>17</v>
      </c>
      <c r="AV252" s="59">
        <v>5</v>
      </c>
      <c r="AW252" s="59">
        <v>3</v>
      </c>
      <c r="AX252" s="59">
        <v>1</v>
      </c>
      <c r="AY252" s="59">
        <v>0</v>
      </c>
      <c r="AZ252" s="59">
        <v>0</v>
      </c>
      <c r="BA252" s="59">
        <v>0</v>
      </c>
      <c r="BB252" s="57">
        <f t="shared" si="75"/>
        <v>30144</v>
      </c>
    </row>
    <row r="253" spans="1:54" x14ac:dyDescent="0.25">
      <c r="A253" s="58">
        <v>39</v>
      </c>
      <c r="B253" s="59">
        <v>0</v>
      </c>
      <c r="C253" s="59">
        <v>2</v>
      </c>
      <c r="D253" s="59">
        <f t="shared" si="57"/>
        <v>0</v>
      </c>
      <c r="E253" s="59">
        <f t="shared" si="58"/>
        <v>1</v>
      </c>
      <c r="F253" s="59">
        <v>505</v>
      </c>
      <c r="G253" s="59">
        <v>2</v>
      </c>
      <c r="H253" s="59">
        <f t="shared" si="59"/>
        <v>0</v>
      </c>
      <c r="I253" s="59">
        <f t="shared" si="60"/>
        <v>1</v>
      </c>
      <c r="J253" s="59">
        <v>2</v>
      </c>
      <c r="K253" s="59">
        <v>4</v>
      </c>
      <c r="L253" s="59">
        <v>5</v>
      </c>
      <c r="M253" s="59">
        <f t="shared" si="61"/>
        <v>0</v>
      </c>
      <c r="N253" s="59">
        <f t="shared" si="62"/>
        <v>0</v>
      </c>
      <c r="O253" s="59">
        <f t="shared" si="63"/>
        <v>0</v>
      </c>
      <c r="P253" s="59">
        <f t="shared" si="64"/>
        <v>0</v>
      </c>
      <c r="Q253" s="59">
        <f t="shared" si="65"/>
        <v>1</v>
      </c>
      <c r="R253" s="59">
        <v>1</v>
      </c>
      <c r="S253" s="59">
        <v>343</v>
      </c>
      <c r="T253" s="59">
        <v>3</v>
      </c>
      <c r="U253" s="59">
        <v>0</v>
      </c>
      <c r="V253" s="59">
        <v>64</v>
      </c>
      <c r="W253" s="59">
        <v>3</v>
      </c>
      <c r="X253" s="59">
        <v>3</v>
      </c>
      <c r="Y253" s="59">
        <v>5</v>
      </c>
      <c r="Z253" s="59">
        <f t="shared" si="66"/>
        <v>0</v>
      </c>
      <c r="AA253" s="59">
        <f>IF('Updated Dummy'!Y253=2,1,0)</f>
        <v>0</v>
      </c>
      <c r="AB253" s="59">
        <f t="shared" si="67"/>
        <v>0</v>
      </c>
      <c r="AC253" s="59">
        <f t="shared" si="68"/>
        <v>0</v>
      </c>
      <c r="AD253" s="59">
        <f t="shared" si="69"/>
        <v>1</v>
      </c>
      <c r="AE253" s="59">
        <f t="shared" si="70"/>
        <v>0</v>
      </c>
      <c r="AF253" s="59">
        <f t="shared" si="71"/>
        <v>0</v>
      </c>
      <c r="AG253" s="59">
        <f t="shared" si="72"/>
        <v>0</v>
      </c>
      <c r="AH253" s="59">
        <v>3</v>
      </c>
      <c r="AI253" s="59">
        <v>1</v>
      </c>
      <c r="AJ253" s="59">
        <f t="shared" si="73"/>
        <v>1</v>
      </c>
      <c r="AK253" s="59">
        <f t="shared" si="74"/>
        <v>0</v>
      </c>
      <c r="AL253" s="59">
        <v>10938</v>
      </c>
      <c r="AM253" s="59">
        <v>6420</v>
      </c>
      <c r="AN253" s="59">
        <v>0</v>
      </c>
      <c r="AO253" s="59">
        <v>0</v>
      </c>
      <c r="AP253" s="59">
        <v>25</v>
      </c>
      <c r="AQ253" s="59">
        <v>4</v>
      </c>
      <c r="AR253" s="59">
        <v>4</v>
      </c>
      <c r="AS253" s="59">
        <v>80</v>
      </c>
      <c r="AT253" s="59">
        <v>0</v>
      </c>
      <c r="AU253" s="59">
        <v>20</v>
      </c>
      <c r="AV253" s="59">
        <v>1</v>
      </c>
      <c r="AW253" s="59">
        <v>3</v>
      </c>
      <c r="AX253" s="59">
        <v>19</v>
      </c>
      <c r="AY253" s="59">
        <v>6</v>
      </c>
      <c r="AZ253" s="59">
        <v>11</v>
      </c>
      <c r="BA253" s="59">
        <v>8</v>
      </c>
      <c r="BB253" s="57">
        <f t="shared" si="75"/>
        <v>32814</v>
      </c>
    </row>
    <row r="254" spans="1:54" x14ac:dyDescent="0.25">
      <c r="A254" s="58">
        <v>29</v>
      </c>
      <c r="B254" s="59">
        <v>0</v>
      </c>
      <c r="C254" s="59">
        <v>1</v>
      </c>
      <c r="D254" s="59">
        <f t="shared" si="57"/>
        <v>1</v>
      </c>
      <c r="E254" s="59">
        <f t="shared" si="58"/>
        <v>0</v>
      </c>
      <c r="F254" s="59">
        <v>665</v>
      </c>
      <c r="G254" s="59">
        <v>2</v>
      </c>
      <c r="H254" s="59">
        <f t="shared" si="59"/>
        <v>0</v>
      </c>
      <c r="I254" s="59">
        <f t="shared" si="60"/>
        <v>1</v>
      </c>
      <c r="J254" s="59">
        <v>15</v>
      </c>
      <c r="K254" s="59">
        <v>3</v>
      </c>
      <c r="L254" s="59">
        <v>1</v>
      </c>
      <c r="M254" s="59">
        <f t="shared" si="61"/>
        <v>1</v>
      </c>
      <c r="N254" s="59">
        <f t="shared" si="62"/>
        <v>0</v>
      </c>
      <c r="O254" s="59">
        <f t="shared" si="63"/>
        <v>0</v>
      </c>
      <c r="P254" s="59">
        <f t="shared" si="64"/>
        <v>0</v>
      </c>
      <c r="Q254" s="59">
        <f t="shared" si="65"/>
        <v>0</v>
      </c>
      <c r="R254" s="59">
        <v>1</v>
      </c>
      <c r="S254" s="59">
        <v>346</v>
      </c>
      <c r="T254" s="59">
        <v>3</v>
      </c>
      <c r="U254" s="59">
        <v>1</v>
      </c>
      <c r="V254" s="59">
        <v>60</v>
      </c>
      <c r="W254" s="59">
        <v>3</v>
      </c>
      <c r="X254" s="59">
        <v>1</v>
      </c>
      <c r="Y254" s="59">
        <v>2</v>
      </c>
      <c r="Z254" s="59">
        <f t="shared" si="66"/>
        <v>0</v>
      </c>
      <c r="AA254" s="59">
        <f>IF('Updated Dummy'!Y254=2,1,0)</f>
        <v>1</v>
      </c>
      <c r="AB254" s="59">
        <f t="shared" si="67"/>
        <v>0</v>
      </c>
      <c r="AC254" s="59">
        <f t="shared" si="68"/>
        <v>0</v>
      </c>
      <c r="AD254" s="59">
        <f t="shared" si="69"/>
        <v>0</v>
      </c>
      <c r="AE254" s="59">
        <f t="shared" si="70"/>
        <v>0</v>
      </c>
      <c r="AF254" s="59">
        <f t="shared" si="71"/>
        <v>0</v>
      </c>
      <c r="AG254" s="59">
        <f t="shared" si="72"/>
        <v>0</v>
      </c>
      <c r="AH254" s="59">
        <v>4</v>
      </c>
      <c r="AI254" s="59">
        <v>1</v>
      </c>
      <c r="AJ254" s="59">
        <f t="shared" si="73"/>
        <v>1</v>
      </c>
      <c r="AK254" s="59">
        <f t="shared" si="74"/>
        <v>0</v>
      </c>
      <c r="AL254" s="59">
        <v>2340</v>
      </c>
      <c r="AM254" s="59">
        <v>22673</v>
      </c>
      <c r="AN254" s="59">
        <v>1</v>
      </c>
      <c r="AO254" s="59">
        <v>0</v>
      </c>
      <c r="AP254" s="59">
        <v>19</v>
      </c>
      <c r="AQ254" s="59">
        <v>3</v>
      </c>
      <c r="AR254" s="59">
        <v>1</v>
      </c>
      <c r="AS254" s="59">
        <v>80</v>
      </c>
      <c r="AT254" s="59">
        <v>0</v>
      </c>
      <c r="AU254" s="59">
        <v>6</v>
      </c>
      <c r="AV254" s="59">
        <v>1</v>
      </c>
      <c r="AW254" s="59">
        <v>3</v>
      </c>
      <c r="AX254" s="59">
        <v>6</v>
      </c>
      <c r="AY254" s="59">
        <v>5</v>
      </c>
      <c r="AZ254" s="59">
        <v>1</v>
      </c>
      <c r="BA254" s="59">
        <v>5</v>
      </c>
      <c r="BB254" s="57">
        <f t="shared" si="75"/>
        <v>2340</v>
      </c>
    </row>
    <row r="255" spans="1:54" x14ac:dyDescent="0.25">
      <c r="A255" s="58">
        <v>42</v>
      </c>
      <c r="B255" s="59">
        <v>0</v>
      </c>
      <c r="C255" s="59">
        <v>1</v>
      </c>
      <c r="D255" s="59">
        <f t="shared" si="57"/>
        <v>1</v>
      </c>
      <c r="E255" s="59">
        <f t="shared" si="58"/>
        <v>0</v>
      </c>
      <c r="F255" s="59">
        <v>916</v>
      </c>
      <c r="G255" s="59">
        <v>2</v>
      </c>
      <c r="H255" s="59">
        <f t="shared" si="59"/>
        <v>0</v>
      </c>
      <c r="I255" s="59">
        <f t="shared" si="60"/>
        <v>1</v>
      </c>
      <c r="J255" s="59">
        <v>17</v>
      </c>
      <c r="K255" s="59">
        <v>2</v>
      </c>
      <c r="L255" s="59">
        <v>1</v>
      </c>
      <c r="M255" s="59">
        <f t="shared" si="61"/>
        <v>1</v>
      </c>
      <c r="N255" s="59">
        <f t="shared" si="62"/>
        <v>0</v>
      </c>
      <c r="O255" s="59">
        <f t="shared" si="63"/>
        <v>0</v>
      </c>
      <c r="P255" s="59">
        <f t="shared" si="64"/>
        <v>0</v>
      </c>
      <c r="Q255" s="59">
        <f t="shared" si="65"/>
        <v>0</v>
      </c>
      <c r="R255" s="59">
        <v>1</v>
      </c>
      <c r="S255" s="59">
        <v>347</v>
      </c>
      <c r="T255" s="59">
        <v>4</v>
      </c>
      <c r="U255" s="59">
        <v>0</v>
      </c>
      <c r="V255" s="59">
        <v>82</v>
      </c>
      <c r="W255" s="59">
        <v>4</v>
      </c>
      <c r="X255" s="59">
        <v>2</v>
      </c>
      <c r="Y255" s="59">
        <v>2</v>
      </c>
      <c r="Z255" s="59">
        <f t="shared" si="66"/>
        <v>0</v>
      </c>
      <c r="AA255" s="59">
        <f>IF('Updated Dummy'!Y255=2,1,0)</f>
        <v>1</v>
      </c>
      <c r="AB255" s="59">
        <f t="shared" si="67"/>
        <v>0</v>
      </c>
      <c r="AC255" s="59">
        <f t="shared" si="68"/>
        <v>0</v>
      </c>
      <c r="AD255" s="59">
        <f t="shared" si="69"/>
        <v>0</v>
      </c>
      <c r="AE255" s="59">
        <f t="shared" si="70"/>
        <v>0</v>
      </c>
      <c r="AF255" s="59">
        <f t="shared" si="71"/>
        <v>0</v>
      </c>
      <c r="AG255" s="59">
        <f t="shared" si="72"/>
        <v>0</v>
      </c>
      <c r="AH255" s="59">
        <v>1</v>
      </c>
      <c r="AI255" s="59">
        <v>1</v>
      </c>
      <c r="AJ255" s="59">
        <f t="shared" si="73"/>
        <v>1</v>
      </c>
      <c r="AK255" s="59">
        <f t="shared" si="74"/>
        <v>0</v>
      </c>
      <c r="AL255" s="59">
        <v>6545</v>
      </c>
      <c r="AM255" s="59">
        <v>23016</v>
      </c>
      <c r="AN255" s="59">
        <v>3</v>
      </c>
      <c r="AO255" s="59">
        <v>1</v>
      </c>
      <c r="AP255" s="59">
        <v>13</v>
      </c>
      <c r="AQ255" s="59">
        <v>3</v>
      </c>
      <c r="AR255" s="59">
        <v>3</v>
      </c>
      <c r="AS255" s="59">
        <v>80</v>
      </c>
      <c r="AT255" s="59">
        <v>0</v>
      </c>
      <c r="AU255" s="59">
        <v>10</v>
      </c>
      <c r="AV255" s="59">
        <v>1</v>
      </c>
      <c r="AW255" s="59">
        <v>3</v>
      </c>
      <c r="AX255" s="59">
        <v>3</v>
      </c>
      <c r="AY255" s="59">
        <v>2</v>
      </c>
      <c r="AZ255" s="59">
        <v>0</v>
      </c>
      <c r="BA255" s="59">
        <v>2</v>
      </c>
      <c r="BB255" s="57">
        <f t="shared" si="75"/>
        <v>13090</v>
      </c>
    </row>
    <row r="256" spans="1:54" x14ac:dyDescent="0.25">
      <c r="A256" s="58">
        <v>29</v>
      </c>
      <c r="B256" s="59">
        <v>0</v>
      </c>
      <c r="C256" s="59">
        <v>1</v>
      </c>
      <c r="D256" s="59">
        <f t="shared" si="57"/>
        <v>1</v>
      </c>
      <c r="E256" s="59">
        <f t="shared" si="58"/>
        <v>0</v>
      </c>
      <c r="F256" s="59">
        <v>1247</v>
      </c>
      <c r="G256" s="59">
        <v>1</v>
      </c>
      <c r="H256" s="59">
        <f t="shared" si="59"/>
        <v>1</v>
      </c>
      <c r="I256" s="59">
        <f t="shared" si="60"/>
        <v>0</v>
      </c>
      <c r="J256" s="59">
        <v>20</v>
      </c>
      <c r="K256" s="59">
        <v>2</v>
      </c>
      <c r="L256" s="59">
        <v>4</v>
      </c>
      <c r="M256" s="59">
        <f t="shared" si="61"/>
        <v>0</v>
      </c>
      <c r="N256" s="59">
        <f t="shared" si="62"/>
        <v>0</v>
      </c>
      <c r="O256" s="59">
        <f t="shared" si="63"/>
        <v>0</v>
      </c>
      <c r="P256" s="59">
        <f t="shared" si="64"/>
        <v>1</v>
      </c>
      <c r="Q256" s="59">
        <f t="shared" si="65"/>
        <v>0</v>
      </c>
      <c r="R256" s="59">
        <v>1</v>
      </c>
      <c r="S256" s="59">
        <v>349</v>
      </c>
      <c r="T256" s="59">
        <v>4</v>
      </c>
      <c r="U256" s="59">
        <v>1</v>
      </c>
      <c r="V256" s="59">
        <v>45</v>
      </c>
      <c r="W256" s="59">
        <v>3</v>
      </c>
      <c r="X256" s="59">
        <v>2</v>
      </c>
      <c r="Y256" s="59">
        <v>1</v>
      </c>
      <c r="Z256" s="59">
        <f t="shared" si="66"/>
        <v>1</v>
      </c>
      <c r="AA256" s="59">
        <f>IF('Updated Dummy'!Y256=2,1,0)</f>
        <v>0</v>
      </c>
      <c r="AB256" s="59">
        <f t="shared" si="67"/>
        <v>0</v>
      </c>
      <c r="AC256" s="59">
        <f t="shared" si="68"/>
        <v>0</v>
      </c>
      <c r="AD256" s="59">
        <f t="shared" si="69"/>
        <v>0</v>
      </c>
      <c r="AE256" s="59">
        <f t="shared" si="70"/>
        <v>0</v>
      </c>
      <c r="AF256" s="59">
        <f t="shared" si="71"/>
        <v>0</v>
      </c>
      <c r="AG256" s="59">
        <f t="shared" si="72"/>
        <v>0</v>
      </c>
      <c r="AH256" s="59">
        <v>4</v>
      </c>
      <c r="AI256" s="59">
        <v>3</v>
      </c>
      <c r="AJ256" s="59">
        <f t="shared" si="73"/>
        <v>0</v>
      </c>
      <c r="AK256" s="59">
        <f t="shared" si="74"/>
        <v>0</v>
      </c>
      <c r="AL256" s="59">
        <v>6931</v>
      </c>
      <c r="AM256" s="59">
        <v>10732</v>
      </c>
      <c r="AN256" s="59">
        <v>2</v>
      </c>
      <c r="AO256" s="59">
        <v>0</v>
      </c>
      <c r="AP256" s="59">
        <v>14</v>
      </c>
      <c r="AQ256" s="59">
        <v>3</v>
      </c>
      <c r="AR256" s="59">
        <v>4</v>
      </c>
      <c r="AS256" s="59">
        <v>80</v>
      </c>
      <c r="AT256" s="59">
        <v>1</v>
      </c>
      <c r="AU256" s="59">
        <v>10</v>
      </c>
      <c r="AV256" s="59">
        <v>2</v>
      </c>
      <c r="AW256" s="59">
        <v>3</v>
      </c>
      <c r="AX256" s="59">
        <v>3</v>
      </c>
      <c r="AY256" s="59">
        <v>2</v>
      </c>
      <c r="AZ256" s="59">
        <v>0</v>
      </c>
      <c r="BA256" s="59">
        <v>2</v>
      </c>
      <c r="BB256" s="57">
        <f t="shared" si="75"/>
        <v>13862</v>
      </c>
    </row>
    <row r="257" spans="1:54" x14ac:dyDescent="0.25">
      <c r="A257" s="58">
        <v>25</v>
      </c>
      <c r="B257" s="59">
        <v>0</v>
      </c>
      <c r="C257" s="59">
        <v>1</v>
      </c>
      <c r="D257" s="59">
        <f t="shared" si="57"/>
        <v>1</v>
      </c>
      <c r="E257" s="59">
        <f t="shared" si="58"/>
        <v>0</v>
      </c>
      <c r="F257" s="59">
        <v>685</v>
      </c>
      <c r="G257" s="59">
        <v>2</v>
      </c>
      <c r="H257" s="59">
        <f t="shared" si="59"/>
        <v>0</v>
      </c>
      <c r="I257" s="59">
        <f t="shared" si="60"/>
        <v>1</v>
      </c>
      <c r="J257" s="59">
        <v>1</v>
      </c>
      <c r="K257" s="59">
        <v>3</v>
      </c>
      <c r="L257" s="59">
        <v>1</v>
      </c>
      <c r="M257" s="59">
        <f t="shared" si="61"/>
        <v>1</v>
      </c>
      <c r="N257" s="59">
        <f t="shared" si="62"/>
        <v>0</v>
      </c>
      <c r="O257" s="59">
        <f t="shared" si="63"/>
        <v>0</v>
      </c>
      <c r="P257" s="59">
        <f t="shared" si="64"/>
        <v>0</v>
      </c>
      <c r="Q257" s="59">
        <f t="shared" si="65"/>
        <v>0</v>
      </c>
      <c r="R257" s="59">
        <v>1</v>
      </c>
      <c r="S257" s="59">
        <v>350</v>
      </c>
      <c r="T257" s="59">
        <v>1</v>
      </c>
      <c r="U257" s="59">
        <v>0</v>
      </c>
      <c r="V257" s="59">
        <v>62</v>
      </c>
      <c r="W257" s="59">
        <v>3</v>
      </c>
      <c r="X257" s="59">
        <v>2</v>
      </c>
      <c r="Y257" s="59">
        <v>4</v>
      </c>
      <c r="Z257" s="59">
        <f t="shared" si="66"/>
        <v>0</v>
      </c>
      <c r="AA257" s="59">
        <f>IF('Updated Dummy'!Y257=2,1,0)</f>
        <v>0</v>
      </c>
      <c r="AB257" s="59">
        <f t="shared" si="67"/>
        <v>0</v>
      </c>
      <c r="AC257" s="59">
        <f t="shared" si="68"/>
        <v>1</v>
      </c>
      <c r="AD257" s="59">
        <f t="shared" si="69"/>
        <v>0</v>
      </c>
      <c r="AE257" s="59">
        <f t="shared" si="70"/>
        <v>0</v>
      </c>
      <c r="AF257" s="59">
        <f t="shared" si="71"/>
        <v>0</v>
      </c>
      <c r="AG257" s="59">
        <f t="shared" si="72"/>
        <v>0</v>
      </c>
      <c r="AH257" s="59">
        <v>3</v>
      </c>
      <c r="AI257" s="59">
        <v>2</v>
      </c>
      <c r="AJ257" s="59">
        <f t="shared" si="73"/>
        <v>0</v>
      </c>
      <c r="AK257" s="59">
        <f t="shared" si="74"/>
        <v>1</v>
      </c>
      <c r="AL257" s="59">
        <v>4898</v>
      </c>
      <c r="AM257" s="59">
        <v>7505</v>
      </c>
      <c r="AN257" s="59">
        <v>0</v>
      </c>
      <c r="AO257" s="59">
        <v>0</v>
      </c>
      <c r="AP257" s="59">
        <v>12</v>
      </c>
      <c r="AQ257" s="59">
        <v>3</v>
      </c>
      <c r="AR257" s="59">
        <v>4</v>
      </c>
      <c r="AS257" s="59">
        <v>80</v>
      </c>
      <c r="AT257" s="59">
        <v>2</v>
      </c>
      <c r="AU257" s="59">
        <v>5</v>
      </c>
      <c r="AV257" s="59">
        <v>3</v>
      </c>
      <c r="AW257" s="59">
        <v>3</v>
      </c>
      <c r="AX257" s="59">
        <v>4</v>
      </c>
      <c r="AY257" s="59">
        <v>2</v>
      </c>
      <c r="AZ257" s="59">
        <v>1</v>
      </c>
      <c r="BA257" s="59">
        <v>2</v>
      </c>
      <c r="BB257" s="57">
        <f t="shared" si="75"/>
        <v>9796</v>
      </c>
    </row>
    <row r="258" spans="1:54" x14ac:dyDescent="0.25">
      <c r="A258" s="58">
        <v>42</v>
      </c>
      <c r="B258" s="59">
        <v>0</v>
      </c>
      <c r="C258" s="59">
        <v>1</v>
      </c>
      <c r="D258" s="59">
        <f t="shared" si="57"/>
        <v>1</v>
      </c>
      <c r="E258" s="59">
        <f t="shared" si="58"/>
        <v>0</v>
      </c>
      <c r="F258" s="59">
        <v>269</v>
      </c>
      <c r="G258" s="59">
        <v>2</v>
      </c>
      <c r="H258" s="59">
        <f t="shared" si="59"/>
        <v>0</v>
      </c>
      <c r="I258" s="59">
        <f t="shared" si="60"/>
        <v>1</v>
      </c>
      <c r="J258" s="59">
        <v>2</v>
      </c>
      <c r="K258" s="59">
        <v>3</v>
      </c>
      <c r="L258" s="59">
        <v>3</v>
      </c>
      <c r="M258" s="59">
        <f t="shared" si="61"/>
        <v>0</v>
      </c>
      <c r="N258" s="59">
        <f t="shared" si="62"/>
        <v>0</v>
      </c>
      <c r="O258" s="59">
        <f t="shared" si="63"/>
        <v>1</v>
      </c>
      <c r="P258" s="59">
        <f t="shared" si="64"/>
        <v>0</v>
      </c>
      <c r="Q258" s="59">
        <f t="shared" si="65"/>
        <v>0</v>
      </c>
      <c r="R258" s="59">
        <v>1</v>
      </c>
      <c r="S258" s="59">
        <v>351</v>
      </c>
      <c r="T258" s="59">
        <v>4</v>
      </c>
      <c r="U258" s="59">
        <v>0</v>
      </c>
      <c r="V258" s="59">
        <v>56</v>
      </c>
      <c r="W258" s="59">
        <v>2</v>
      </c>
      <c r="X258" s="59">
        <v>1</v>
      </c>
      <c r="Y258" s="59">
        <v>3</v>
      </c>
      <c r="Z258" s="59">
        <f t="shared" si="66"/>
        <v>0</v>
      </c>
      <c r="AA258" s="59">
        <f>IF('Updated Dummy'!Y258=2,1,0)</f>
        <v>0</v>
      </c>
      <c r="AB258" s="59">
        <f t="shared" si="67"/>
        <v>1</v>
      </c>
      <c r="AC258" s="59">
        <f t="shared" si="68"/>
        <v>0</v>
      </c>
      <c r="AD258" s="59">
        <f t="shared" si="69"/>
        <v>0</v>
      </c>
      <c r="AE258" s="59">
        <f t="shared" si="70"/>
        <v>0</v>
      </c>
      <c r="AF258" s="59">
        <f t="shared" si="71"/>
        <v>0</v>
      </c>
      <c r="AG258" s="59">
        <f t="shared" si="72"/>
        <v>0</v>
      </c>
      <c r="AH258" s="59">
        <v>1</v>
      </c>
      <c r="AI258" s="59">
        <v>3</v>
      </c>
      <c r="AJ258" s="59">
        <f t="shared" si="73"/>
        <v>0</v>
      </c>
      <c r="AK258" s="59">
        <f t="shared" si="74"/>
        <v>0</v>
      </c>
      <c r="AL258" s="59">
        <v>2593</v>
      </c>
      <c r="AM258" s="59">
        <v>8007</v>
      </c>
      <c r="AN258" s="59">
        <v>0</v>
      </c>
      <c r="AO258" s="59">
        <v>1</v>
      </c>
      <c r="AP258" s="59">
        <v>11</v>
      </c>
      <c r="AQ258" s="59">
        <v>3</v>
      </c>
      <c r="AR258" s="59">
        <v>3</v>
      </c>
      <c r="AS258" s="59">
        <v>80</v>
      </c>
      <c r="AT258" s="59">
        <v>1</v>
      </c>
      <c r="AU258" s="59">
        <v>10</v>
      </c>
      <c r="AV258" s="59">
        <v>4</v>
      </c>
      <c r="AW258" s="59">
        <v>3</v>
      </c>
      <c r="AX258" s="59">
        <v>9</v>
      </c>
      <c r="AY258" s="59">
        <v>6</v>
      </c>
      <c r="AZ258" s="59">
        <v>7</v>
      </c>
      <c r="BA258" s="59">
        <v>8</v>
      </c>
      <c r="BB258" s="57">
        <f t="shared" si="75"/>
        <v>2593</v>
      </c>
    </row>
    <row r="259" spans="1:54" x14ac:dyDescent="0.25">
      <c r="A259" s="58">
        <v>40</v>
      </c>
      <c r="B259" s="59">
        <v>0</v>
      </c>
      <c r="C259" s="59">
        <v>1</v>
      </c>
      <c r="D259" s="59">
        <f t="shared" ref="D259:D322" si="76">IF(C259=1,1,0)</f>
        <v>1</v>
      </c>
      <c r="E259" s="59">
        <f t="shared" ref="E259:E322" si="77">IF(C259=2,1,0)</f>
        <v>0</v>
      </c>
      <c r="F259" s="59">
        <v>1416</v>
      </c>
      <c r="G259" s="59">
        <v>2</v>
      </c>
      <c r="H259" s="59">
        <f t="shared" ref="H259:H322" si="78">IF(G259=1,1,0)</f>
        <v>0</v>
      </c>
      <c r="I259" s="59">
        <f t="shared" ref="I259:I322" si="79">IF(G259=2,1,0)</f>
        <v>1</v>
      </c>
      <c r="J259" s="59">
        <v>2</v>
      </c>
      <c r="K259" s="59">
        <v>2</v>
      </c>
      <c r="L259" s="59">
        <v>3</v>
      </c>
      <c r="M259" s="59">
        <f t="shared" ref="M259:M322" si="80">IF(L259=1,1,0)</f>
        <v>0</v>
      </c>
      <c r="N259" s="59">
        <f t="shared" ref="N259:N322" si="81">IF(L259=2,1,0)</f>
        <v>0</v>
      </c>
      <c r="O259" s="59">
        <f t="shared" ref="O259:O322" si="82">IF(L259=3,1,0)</f>
        <v>1</v>
      </c>
      <c r="P259" s="59">
        <f t="shared" ref="P259:P322" si="83">IF(L259=4,1,0)</f>
        <v>0</v>
      </c>
      <c r="Q259" s="59">
        <f t="shared" ref="Q259:Q322" si="84">IF(L259=5,1,0)</f>
        <v>0</v>
      </c>
      <c r="R259" s="59">
        <v>1</v>
      </c>
      <c r="S259" s="59">
        <v>352</v>
      </c>
      <c r="T259" s="59">
        <v>1</v>
      </c>
      <c r="U259" s="59">
        <v>1</v>
      </c>
      <c r="V259" s="59">
        <v>49</v>
      </c>
      <c r="W259" s="59">
        <v>3</v>
      </c>
      <c r="X259" s="59">
        <v>5</v>
      </c>
      <c r="Y259" s="59">
        <v>8</v>
      </c>
      <c r="Z259" s="59">
        <f t="shared" ref="Z259:Z322" si="85">IF(Y259=1,1,0)</f>
        <v>0</v>
      </c>
      <c r="AA259" s="59">
        <f>IF('Updated Dummy'!Y259=2,1,0)</f>
        <v>0</v>
      </c>
      <c r="AB259" s="59">
        <f t="shared" ref="AB259:AB322" si="86">IF(Y259=3,1,0)</f>
        <v>0</v>
      </c>
      <c r="AC259" s="59">
        <f t="shared" ref="AC259:AC322" si="87">IF(Y259=4,1,0)</f>
        <v>0</v>
      </c>
      <c r="AD259" s="59">
        <f t="shared" ref="AD259:AD322" si="88">IF(Y259=5,1,0)</f>
        <v>0</v>
      </c>
      <c r="AE259" s="59">
        <f t="shared" ref="AE259:AE322" si="89">IF(Y259=6,1,0)</f>
        <v>0</v>
      </c>
      <c r="AF259" s="59">
        <f t="shared" ref="AF259:AF322" si="90">IF(Y259=7,1,0)</f>
        <v>0</v>
      </c>
      <c r="AG259" s="59">
        <f t="shared" ref="AG259:AG322" si="91">IF(Y259=8,1,0)</f>
        <v>1</v>
      </c>
      <c r="AH259" s="59">
        <v>3</v>
      </c>
      <c r="AI259" s="59">
        <v>3</v>
      </c>
      <c r="AJ259" s="59">
        <f t="shared" ref="AJ259:AJ322" si="92">IF(AI259=1,1,0)</f>
        <v>0</v>
      </c>
      <c r="AK259" s="59">
        <f t="shared" ref="AK259:AK322" si="93">IF(AI259=2,1,0)</f>
        <v>0</v>
      </c>
      <c r="AL259" s="59">
        <v>19436</v>
      </c>
      <c r="AM259" s="59">
        <v>5949</v>
      </c>
      <c r="AN259" s="59">
        <v>0</v>
      </c>
      <c r="AO259" s="59">
        <v>0</v>
      </c>
      <c r="AP259" s="59">
        <v>19</v>
      </c>
      <c r="AQ259" s="59">
        <v>3</v>
      </c>
      <c r="AR259" s="59">
        <v>4</v>
      </c>
      <c r="AS259" s="59">
        <v>80</v>
      </c>
      <c r="AT259" s="59">
        <v>1</v>
      </c>
      <c r="AU259" s="59">
        <v>22</v>
      </c>
      <c r="AV259" s="59">
        <v>5</v>
      </c>
      <c r="AW259" s="59">
        <v>3</v>
      </c>
      <c r="AX259" s="59">
        <v>21</v>
      </c>
      <c r="AY259" s="59">
        <v>7</v>
      </c>
      <c r="AZ259" s="59">
        <v>3</v>
      </c>
      <c r="BA259" s="59">
        <v>9</v>
      </c>
      <c r="BB259" s="57">
        <f t="shared" ref="BB259:BB322" si="94">X259*AL259</f>
        <v>97180</v>
      </c>
    </row>
    <row r="260" spans="1:54" x14ac:dyDescent="0.25">
      <c r="A260" s="58">
        <v>51</v>
      </c>
      <c r="B260" s="59">
        <v>0</v>
      </c>
      <c r="C260" s="59">
        <v>1</v>
      </c>
      <c r="D260" s="59">
        <f t="shared" si="76"/>
        <v>1</v>
      </c>
      <c r="E260" s="59">
        <f t="shared" si="77"/>
        <v>0</v>
      </c>
      <c r="F260" s="59">
        <v>833</v>
      </c>
      <c r="G260" s="59">
        <v>2</v>
      </c>
      <c r="H260" s="59">
        <f t="shared" si="78"/>
        <v>0</v>
      </c>
      <c r="I260" s="59">
        <f t="shared" si="79"/>
        <v>1</v>
      </c>
      <c r="J260" s="59">
        <v>1</v>
      </c>
      <c r="K260" s="59">
        <v>3</v>
      </c>
      <c r="L260" s="59">
        <v>1</v>
      </c>
      <c r="M260" s="59">
        <f t="shared" si="80"/>
        <v>1</v>
      </c>
      <c r="N260" s="59">
        <f t="shared" si="81"/>
        <v>0</v>
      </c>
      <c r="O260" s="59">
        <f t="shared" si="82"/>
        <v>0</v>
      </c>
      <c r="P260" s="59">
        <f t="shared" si="83"/>
        <v>0</v>
      </c>
      <c r="Q260" s="59">
        <f t="shared" si="84"/>
        <v>0</v>
      </c>
      <c r="R260" s="59">
        <v>1</v>
      </c>
      <c r="S260" s="59">
        <v>353</v>
      </c>
      <c r="T260" s="59">
        <v>3</v>
      </c>
      <c r="U260" s="59">
        <v>1</v>
      </c>
      <c r="V260" s="59">
        <v>96</v>
      </c>
      <c r="W260" s="59">
        <v>3</v>
      </c>
      <c r="X260" s="59">
        <v>1</v>
      </c>
      <c r="Y260" s="59">
        <v>2</v>
      </c>
      <c r="Z260" s="59">
        <f t="shared" si="85"/>
        <v>0</v>
      </c>
      <c r="AA260" s="59">
        <f>IF('Updated Dummy'!Y260=2,1,0)</f>
        <v>1</v>
      </c>
      <c r="AB260" s="59">
        <f t="shared" si="86"/>
        <v>0</v>
      </c>
      <c r="AC260" s="59">
        <f t="shared" si="87"/>
        <v>0</v>
      </c>
      <c r="AD260" s="59">
        <f t="shared" si="88"/>
        <v>0</v>
      </c>
      <c r="AE260" s="59">
        <f t="shared" si="89"/>
        <v>0</v>
      </c>
      <c r="AF260" s="59">
        <f t="shared" si="90"/>
        <v>0</v>
      </c>
      <c r="AG260" s="59">
        <f t="shared" si="91"/>
        <v>0</v>
      </c>
      <c r="AH260" s="59">
        <v>4</v>
      </c>
      <c r="AI260" s="59">
        <v>2</v>
      </c>
      <c r="AJ260" s="59">
        <f t="shared" si="92"/>
        <v>0</v>
      </c>
      <c r="AK260" s="59">
        <f t="shared" si="93"/>
        <v>1</v>
      </c>
      <c r="AL260" s="59">
        <v>2723</v>
      </c>
      <c r="AM260" s="59">
        <v>23231</v>
      </c>
      <c r="AN260" s="59">
        <v>1</v>
      </c>
      <c r="AO260" s="59">
        <v>0</v>
      </c>
      <c r="AP260" s="59">
        <v>11</v>
      </c>
      <c r="AQ260" s="59">
        <v>3</v>
      </c>
      <c r="AR260" s="59">
        <v>2</v>
      </c>
      <c r="AS260" s="59">
        <v>80</v>
      </c>
      <c r="AT260" s="59">
        <v>0</v>
      </c>
      <c r="AU260" s="59">
        <v>1</v>
      </c>
      <c r="AV260" s="59">
        <v>0</v>
      </c>
      <c r="AW260" s="59">
        <v>2</v>
      </c>
      <c r="AX260" s="59">
        <v>1</v>
      </c>
      <c r="AY260" s="59">
        <v>0</v>
      </c>
      <c r="AZ260" s="59">
        <v>0</v>
      </c>
      <c r="BA260" s="59">
        <v>0</v>
      </c>
      <c r="BB260" s="57">
        <f t="shared" si="94"/>
        <v>2723</v>
      </c>
    </row>
    <row r="261" spans="1:54" x14ac:dyDescent="0.25">
      <c r="A261" s="58">
        <v>31</v>
      </c>
      <c r="B261" s="59">
        <v>1</v>
      </c>
      <c r="C261" s="59">
        <v>2</v>
      </c>
      <c r="D261" s="59">
        <f t="shared" si="76"/>
        <v>0</v>
      </c>
      <c r="E261" s="59">
        <f t="shared" si="77"/>
        <v>1</v>
      </c>
      <c r="F261" s="59">
        <v>307</v>
      </c>
      <c r="G261" s="59">
        <v>2</v>
      </c>
      <c r="H261" s="59">
        <f t="shared" si="78"/>
        <v>0</v>
      </c>
      <c r="I261" s="59">
        <f t="shared" si="79"/>
        <v>1</v>
      </c>
      <c r="J261" s="59">
        <v>29</v>
      </c>
      <c r="K261" s="59">
        <v>2</v>
      </c>
      <c r="L261" s="59">
        <v>3</v>
      </c>
      <c r="M261" s="59">
        <f t="shared" si="80"/>
        <v>0</v>
      </c>
      <c r="N261" s="59">
        <f t="shared" si="81"/>
        <v>0</v>
      </c>
      <c r="O261" s="59">
        <f t="shared" si="82"/>
        <v>1</v>
      </c>
      <c r="P261" s="59">
        <f t="shared" si="83"/>
        <v>0</v>
      </c>
      <c r="Q261" s="59">
        <f t="shared" si="84"/>
        <v>0</v>
      </c>
      <c r="R261" s="59">
        <v>1</v>
      </c>
      <c r="S261" s="59">
        <v>355</v>
      </c>
      <c r="T261" s="59">
        <v>3</v>
      </c>
      <c r="U261" s="59">
        <v>1</v>
      </c>
      <c r="V261" s="59">
        <v>71</v>
      </c>
      <c r="W261" s="59">
        <v>2</v>
      </c>
      <c r="X261" s="59">
        <v>1</v>
      </c>
      <c r="Y261" s="59">
        <v>3</v>
      </c>
      <c r="Z261" s="59">
        <f t="shared" si="85"/>
        <v>0</v>
      </c>
      <c r="AA261" s="59">
        <f>IF('Updated Dummy'!Y261=2,1,0)</f>
        <v>0</v>
      </c>
      <c r="AB261" s="59">
        <f t="shared" si="86"/>
        <v>1</v>
      </c>
      <c r="AC261" s="59">
        <f t="shared" si="87"/>
        <v>0</v>
      </c>
      <c r="AD261" s="59">
        <f t="shared" si="88"/>
        <v>0</v>
      </c>
      <c r="AE261" s="59">
        <f t="shared" si="89"/>
        <v>0</v>
      </c>
      <c r="AF261" s="59">
        <f t="shared" si="90"/>
        <v>0</v>
      </c>
      <c r="AG261" s="59">
        <f t="shared" si="91"/>
        <v>0</v>
      </c>
      <c r="AH261" s="59">
        <v>2</v>
      </c>
      <c r="AI261" s="59">
        <v>1</v>
      </c>
      <c r="AJ261" s="59">
        <f t="shared" si="92"/>
        <v>1</v>
      </c>
      <c r="AK261" s="59">
        <f t="shared" si="93"/>
        <v>0</v>
      </c>
      <c r="AL261" s="59">
        <v>3479</v>
      </c>
      <c r="AM261" s="59">
        <v>11652</v>
      </c>
      <c r="AN261" s="59">
        <v>0</v>
      </c>
      <c r="AO261" s="59">
        <v>0</v>
      </c>
      <c r="AP261" s="59">
        <v>11</v>
      </c>
      <c r="AQ261" s="59">
        <v>3</v>
      </c>
      <c r="AR261" s="59">
        <v>2</v>
      </c>
      <c r="AS261" s="59">
        <v>80</v>
      </c>
      <c r="AT261" s="59">
        <v>0</v>
      </c>
      <c r="AU261" s="59">
        <v>6</v>
      </c>
      <c r="AV261" s="59">
        <v>2</v>
      </c>
      <c r="AW261" s="59">
        <v>4</v>
      </c>
      <c r="AX261" s="59">
        <v>5</v>
      </c>
      <c r="AY261" s="59">
        <v>4</v>
      </c>
      <c r="AZ261" s="59">
        <v>1</v>
      </c>
      <c r="BA261" s="59">
        <v>4</v>
      </c>
      <c r="BB261" s="57">
        <f t="shared" si="94"/>
        <v>3479</v>
      </c>
    </row>
    <row r="262" spans="1:54" x14ac:dyDescent="0.25">
      <c r="A262" s="58">
        <v>32</v>
      </c>
      <c r="B262" s="59">
        <v>0</v>
      </c>
      <c r="C262" s="59">
        <v>2</v>
      </c>
      <c r="D262" s="59">
        <f t="shared" si="76"/>
        <v>0</v>
      </c>
      <c r="E262" s="59">
        <f t="shared" si="77"/>
        <v>1</v>
      </c>
      <c r="F262" s="59">
        <v>1311</v>
      </c>
      <c r="G262" s="59">
        <v>2</v>
      </c>
      <c r="H262" s="59">
        <f t="shared" si="78"/>
        <v>0</v>
      </c>
      <c r="I262" s="59">
        <f t="shared" si="79"/>
        <v>1</v>
      </c>
      <c r="J262" s="59">
        <v>7</v>
      </c>
      <c r="K262" s="59">
        <v>3</v>
      </c>
      <c r="L262" s="59">
        <v>1</v>
      </c>
      <c r="M262" s="59">
        <f t="shared" si="80"/>
        <v>1</v>
      </c>
      <c r="N262" s="59">
        <f t="shared" si="81"/>
        <v>0</v>
      </c>
      <c r="O262" s="59">
        <f t="shared" si="82"/>
        <v>0</v>
      </c>
      <c r="P262" s="59">
        <f t="shared" si="83"/>
        <v>0</v>
      </c>
      <c r="Q262" s="59">
        <f t="shared" si="84"/>
        <v>0</v>
      </c>
      <c r="R262" s="59">
        <v>1</v>
      </c>
      <c r="S262" s="59">
        <v>359</v>
      </c>
      <c r="T262" s="59">
        <v>2</v>
      </c>
      <c r="U262" s="59">
        <v>1</v>
      </c>
      <c r="V262" s="59">
        <v>100</v>
      </c>
      <c r="W262" s="59">
        <v>4</v>
      </c>
      <c r="X262" s="59">
        <v>1</v>
      </c>
      <c r="Y262" s="59">
        <v>3</v>
      </c>
      <c r="Z262" s="59">
        <f t="shared" si="85"/>
        <v>0</v>
      </c>
      <c r="AA262" s="59">
        <f>IF('Updated Dummy'!Y262=2,1,0)</f>
        <v>0</v>
      </c>
      <c r="AB262" s="59">
        <f t="shared" si="86"/>
        <v>1</v>
      </c>
      <c r="AC262" s="59">
        <f t="shared" si="87"/>
        <v>0</v>
      </c>
      <c r="AD262" s="59">
        <f t="shared" si="88"/>
        <v>0</v>
      </c>
      <c r="AE262" s="59">
        <f t="shared" si="89"/>
        <v>0</v>
      </c>
      <c r="AF262" s="59">
        <f t="shared" si="90"/>
        <v>0</v>
      </c>
      <c r="AG262" s="59">
        <f t="shared" si="91"/>
        <v>0</v>
      </c>
      <c r="AH262" s="59">
        <v>2</v>
      </c>
      <c r="AI262" s="59">
        <v>2</v>
      </c>
      <c r="AJ262" s="59">
        <f t="shared" si="92"/>
        <v>0</v>
      </c>
      <c r="AK262" s="59">
        <f t="shared" si="93"/>
        <v>1</v>
      </c>
      <c r="AL262" s="59">
        <v>2794</v>
      </c>
      <c r="AM262" s="59">
        <v>26062</v>
      </c>
      <c r="AN262" s="59">
        <v>1</v>
      </c>
      <c r="AO262" s="59">
        <v>0</v>
      </c>
      <c r="AP262" s="59">
        <v>20</v>
      </c>
      <c r="AQ262" s="59">
        <v>4</v>
      </c>
      <c r="AR262" s="59">
        <v>3</v>
      </c>
      <c r="AS262" s="59">
        <v>80</v>
      </c>
      <c r="AT262" s="59">
        <v>0</v>
      </c>
      <c r="AU262" s="59">
        <v>5</v>
      </c>
      <c r="AV262" s="59">
        <v>3</v>
      </c>
      <c r="AW262" s="59">
        <v>1</v>
      </c>
      <c r="AX262" s="59">
        <v>5</v>
      </c>
      <c r="AY262" s="59">
        <v>1</v>
      </c>
      <c r="AZ262" s="59">
        <v>0</v>
      </c>
      <c r="BA262" s="59">
        <v>3</v>
      </c>
      <c r="BB262" s="57">
        <f t="shared" si="94"/>
        <v>2794</v>
      </c>
    </row>
    <row r="263" spans="1:54" x14ac:dyDescent="0.25">
      <c r="A263" s="58">
        <v>38</v>
      </c>
      <c r="B263" s="59">
        <v>0</v>
      </c>
      <c r="C263" s="59">
        <v>3</v>
      </c>
      <c r="D263" s="59">
        <f t="shared" si="76"/>
        <v>0</v>
      </c>
      <c r="E263" s="59">
        <f t="shared" si="77"/>
        <v>0</v>
      </c>
      <c r="F263" s="59">
        <v>1327</v>
      </c>
      <c r="G263" s="59">
        <v>1</v>
      </c>
      <c r="H263" s="59">
        <f t="shared" si="78"/>
        <v>1</v>
      </c>
      <c r="I263" s="59">
        <f t="shared" si="79"/>
        <v>0</v>
      </c>
      <c r="J263" s="59">
        <v>2</v>
      </c>
      <c r="K263" s="59">
        <v>2</v>
      </c>
      <c r="L263" s="59">
        <v>1</v>
      </c>
      <c r="M263" s="59">
        <f t="shared" si="80"/>
        <v>1</v>
      </c>
      <c r="N263" s="59">
        <f t="shared" si="81"/>
        <v>0</v>
      </c>
      <c r="O263" s="59">
        <f t="shared" si="82"/>
        <v>0</v>
      </c>
      <c r="P263" s="59">
        <f t="shared" si="83"/>
        <v>0</v>
      </c>
      <c r="Q263" s="59">
        <f t="shared" si="84"/>
        <v>0</v>
      </c>
      <c r="R263" s="59">
        <v>1</v>
      </c>
      <c r="S263" s="59">
        <v>361</v>
      </c>
      <c r="T263" s="59">
        <v>4</v>
      </c>
      <c r="U263" s="59">
        <v>1</v>
      </c>
      <c r="V263" s="59">
        <v>39</v>
      </c>
      <c r="W263" s="59">
        <v>2</v>
      </c>
      <c r="X263" s="59">
        <v>2</v>
      </c>
      <c r="Y263" s="59">
        <v>1</v>
      </c>
      <c r="Z263" s="59">
        <f t="shared" si="85"/>
        <v>1</v>
      </c>
      <c r="AA263" s="59">
        <f>IF('Updated Dummy'!Y263=2,1,0)</f>
        <v>0</v>
      </c>
      <c r="AB263" s="59">
        <f t="shared" si="86"/>
        <v>0</v>
      </c>
      <c r="AC263" s="59">
        <f t="shared" si="87"/>
        <v>0</v>
      </c>
      <c r="AD263" s="59">
        <f t="shared" si="88"/>
        <v>0</v>
      </c>
      <c r="AE263" s="59">
        <f t="shared" si="89"/>
        <v>0</v>
      </c>
      <c r="AF263" s="59">
        <f t="shared" si="90"/>
        <v>0</v>
      </c>
      <c r="AG263" s="59">
        <f t="shared" si="91"/>
        <v>0</v>
      </c>
      <c r="AH263" s="59">
        <v>4</v>
      </c>
      <c r="AI263" s="59">
        <v>2</v>
      </c>
      <c r="AJ263" s="59">
        <f t="shared" si="92"/>
        <v>0</v>
      </c>
      <c r="AK263" s="59">
        <f t="shared" si="93"/>
        <v>1</v>
      </c>
      <c r="AL263" s="59">
        <v>5249</v>
      </c>
      <c r="AM263" s="59">
        <v>19682</v>
      </c>
      <c r="AN263" s="59">
        <v>3</v>
      </c>
      <c r="AO263" s="59">
        <v>0</v>
      </c>
      <c r="AP263" s="59">
        <v>18</v>
      </c>
      <c r="AQ263" s="59">
        <v>3</v>
      </c>
      <c r="AR263" s="59">
        <v>4</v>
      </c>
      <c r="AS263" s="59">
        <v>80</v>
      </c>
      <c r="AT263" s="59">
        <v>1</v>
      </c>
      <c r="AU263" s="59">
        <v>13</v>
      </c>
      <c r="AV263" s="59">
        <v>0</v>
      </c>
      <c r="AW263" s="59">
        <v>3</v>
      </c>
      <c r="AX263" s="59">
        <v>8</v>
      </c>
      <c r="AY263" s="59">
        <v>7</v>
      </c>
      <c r="AZ263" s="59">
        <v>7</v>
      </c>
      <c r="BA263" s="59">
        <v>5</v>
      </c>
      <c r="BB263" s="57">
        <f t="shared" si="94"/>
        <v>10498</v>
      </c>
    </row>
    <row r="264" spans="1:54" x14ac:dyDescent="0.25">
      <c r="A264" s="58">
        <v>32</v>
      </c>
      <c r="B264" s="59">
        <v>0</v>
      </c>
      <c r="C264" s="59">
        <v>1</v>
      </c>
      <c r="D264" s="59">
        <f t="shared" si="76"/>
        <v>1</v>
      </c>
      <c r="E264" s="59">
        <f t="shared" si="77"/>
        <v>0</v>
      </c>
      <c r="F264" s="59">
        <v>128</v>
      </c>
      <c r="G264" s="59">
        <v>2</v>
      </c>
      <c r="H264" s="59">
        <f t="shared" si="78"/>
        <v>0</v>
      </c>
      <c r="I264" s="59">
        <f t="shared" si="79"/>
        <v>1</v>
      </c>
      <c r="J264" s="59">
        <v>2</v>
      </c>
      <c r="K264" s="59">
        <v>1</v>
      </c>
      <c r="L264" s="59">
        <v>5</v>
      </c>
      <c r="M264" s="59">
        <f t="shared" si="80"/>
        <v>0</v>
      </c>
      <c r="N264" s="59">
        <f t="shared" si="81"/>
        <v>0</v>
      </c>
      <c r="O264" s="59">
        <f t="shared" si="82"/>
        <v>0</v>
      </c>
      <c r="P264" s="59">
        <f t="shared" si="83"/>
        <v>0</v>
      </c>
      <c r="Q264" s="59">
        <f t="shared" si="84"/>
        <v>1</v>
      </c>
      <c r="R264" s="59">
        <v>1</v>
      </c>
      <c r="S264" s="59">
        <v>362</v>
      </c>
      <c r="T264" s="59">
        <v>4</v>
      </c>
      <c r="U264" s="59">
        <v>1</v>
      </c>
      <c r="V264" s="59">
        <v>84</v>
      </c>
      <c r="W264" s="59">
        <v>2</v>
      </c>
      <c r="X264" s="59">
        <v>2</v>
      </c>
      <c r="Y264" s="59">
        <v>3</v>
      </c>
      <c r="Z264" s="59">
        <f t="shared" si="85"/>
        <v>0</v>
      </c>
      <c r="AA264" s="59">
        <f>IF('Updated Dummy'!Y264=2,1,0)</f>
        <v>0</v>
      </c>
      <c r="AB264" s="59">
        <f t="shared" si="86"/>
        <v>1</v>
      </c>
      <c r="AC264" s="59">
        <f t="shared" si="87"/>
        <v>0</v>
      </c>
      <c r="AD264" s="59">
        <f t="shared" si="88"/>
        <v>0</v>
      </c>
      <c r="AE264" s="59">
        <f t="shared" si="89"/>
        <v>0</v>
      </c>
      <c r="AF264" s="59">
        <f t="shared" si="90"/>
        <v>0</v>
      </c>
      <c r="AG264" s="59">
        <f t="shared" si="91"/>
        <v>0</v>
      </c>
      <c r="AH264" s="59">
        <v>1</v>
      </c>
      <c r="AI264" s="59">
        <v>1</v>
      </c>
      <c r="AJ264" s="59">
        <f t="shared" si="92"/>
        <v>1</v>
      </c>
      <c r="AK264" s="59">
        <f t="shared" si="93"/>
        <v>0</v>
      </c>
      <c r="AL264" s="59">
        <v>2176</v>
      </c>
      <c r="AM264" s="59">
        <v>19737</v>
      </c>
      <c r="AN264" s="59">
        <v>4</v>
      </c>
      <c r="AO264" s="59">
        <v>0</v>
      </c>
      <c r="AP264" s="59">
        <v>13</v>
      </c>
      <c r="AQ264" s="59">
        <v>3</v>
      </c>
      <c r="AR264" s="59">
        <v>4</v>
      </c>
      <c r="AS264" s="59">
        <v>80</v>
      </c>
      <c r="AT264" s="59">
        <v>0</v>
      </c>
      <c r="AU264" s="59">
        <v>9</v>
      </c>
      <c r="AV264" s="59">
        <v>5</v>
      </c>
      <c r="AW264" s="59">
        <v>3</v>
      </c>
      <c r="AX264" s="59">
        <v>6</v>
      </c>
      <c r="AY264" s="59">
        <v>2</v>
      </c>
      <c r="AZ264" s="59">
        <v>0</v>
      </c>
      <c r="BA264" s="59">
        <v>4</v>
      </c>
      <c r="BB264" s="57">
        <f t="shared" si="94"/>
        <v>4352</v>
      </c>
    </row>
    <row r="265" spans="1:54" x14ac:dyDescent="0.25">
      <c r="A265" s="58">
        <v>46</v>
      </c>
      <c r="B265" s="59">
        <v>0</v>
      </c>
      <c r="C265" s="59">
        <v>1</v>
      </c>
      <c r="D265" s="59">
        <f t="shared" si="76"/>
        <v>1</v>
      </c>
      <c r="E265" s="59">
        <f t="shared" si="77"/>
        <v>0</v>
      </c>
      <c r="F265" s="59">
        <v>488</v>
      </c>
      <c r="G265" s="59">
        <v>1</v>
      </c>
      <c r="H265" s="59">
        <f t="shared" si="78"/>
        <v>1</v>
      </c>
      <c r="I265" s="59">
        <f t="shared" si="79"/>
        <v>0</v>
      </c>
      <c r="J265" s="59">
        <v>2</v>
      </c>
      <c r="K265" s="59">
        <v>3</v>
      </c>
      <c r="L265" s="59">
        <v>5</v>
      </c>
      <c r="M265" s="59">
        <f t="shared" si="80"/>
        <v>0</v>
      </c>
      <c r="N265" s="59">
        <f t="shared" si="81"/>
        <v>0</v>
      </c>
      <c r="O265" s="59">
        <f t="shared" si="82"/>
        <v>0</v>
      </c>
      <c r="P265" s="59">
        <f t="shared" si="83"/>
        <v>0</v>
      </c>
      <c r="Q265" s="59">
        <f t="shared" si="84"/>
        <v>1</v>
      </c>
      <c r="R265" s="59">
        <v>1</v>
      </c>
      <c r="S265" s="59">
        <v>363</v>
      </c>
      <c r="T265" s="59">
        <v>3</v>
      </c>
      <c r="U265" s="59">
        <v>0</v>
      </c>
      <c r="V265" s="59">
        <v>75</v>
      </c>
      <c r="W265" s="59">
        <v>1</v>
      </c>
      <c r="X265" s="59">
        <v>4</v>
      </c>
      <c r="Y265" s="59">
        <v>6</v>
      </c>
      <c r="Z265" s="59">
        <f t="shared" si="85"/>
        <v>0</v>
      </c>
      <c r="AA265" s="59">
        <f>IF('Updated Dummy'!Y265=2,1,0)</f>
        <v>0</v>
      </c>
      <c r="AB265" s="59">
        <f t="shared" si="86"/>
        <v>0</v>
      </c>
      <c r="AC265" s="59">
        <f t="shared" si="87"/>
        <v>0</v>
      </c>
      <c r="AD265" s="59">
        <f t="shared" si="88"/>
        <v>0</v>
      </c>
      <c r="AE265" s="59">
        <f t="shared" si="89"/>
        <v>1</v>
      </c>
      <c r="AF265" s="59">
        <f t="shared" si="90"/>
        <v>0</v>
      </c>
      <c r="AG265" s="59">
        <f t="shared" si="91"/>
        <v>0</v>
      </c>
      <c r="AH265" s="59">
        <v>2</v>
      </c>
      <c r="AI265" s="59">
        <v>2</v>
      </c>
      <c r="AJ265" s="59">
        <f t="shared" si="92"/>
        <v>0</v>
      </c>
      <c r="AK265" s="59">
        <f t="shared" si="93"/>
        <v>1</v>
      </c>
      <c r="AL265" s="59">
        <v>16872</v>
      </c>
      <c r="AM265" s="59">
        <v>14977</v>
      </c>
      <c r="AN265" s="59">
        <v>3</v>
      </c>
      <c r="AO265" s="59">
        <v>1</v>
      </c>
      <c r="AP265" s="59">
        <v>12</v>
      </c>
      <c r="AQ265" s="59">
        <v>3</v>
      </c>
      <c r="AR265" s="59">
        <v>2</v>
      </c>
      <c r="AS265" s="59">
        <v>80</v>
      </c>
      <c r="AT265" s="59">
        <v>1</v>
      </c>
      <c r="AU265" s="59">
        <v>28</v>
      </c>
      <c r="AV265" s="59">
        <v>2</v>
      </c>
      <c r="AW265" s="59">
        <v>2</v>
      </c>
      <c r="AX265" s="59">
        <v>7</v>
      </c>
      <c r="AY265" s="59">
        <v>7</v>
      </c>
      <c r="AZ265" s="59">
        <v>7</v>
      </c>
      <c r="BA265" s="59">
        <v>7</v>
      </c>
      <c r="BB265" s="57">
        <f t="shared" si="94"/>
        <v>67488</v>
      </c>
    </row>
    <row r="266" spans="1:54" x14ac:dyDescent="0.25">
      <c r="A266" s="58">
        <v>28</v>
      </c>
      <c r="B266" s="59">
        <v>1</v>
      </c>
      <c r="C266" s="59">
        <v>1</v>
      </c>
      <c r="D266" s="59">
        <f t="shared" si="76"/>
        <v>1</v>
      </c>
      <c r="E266" s="59">
        <f t="shared" si="77"/>
        <v>0</v>
      </c>
      <c r="F266" s="59">
        <v>529</v>
      </c>
      <c r="G266" s="59">
        <v>2</v>
      </c>
      <c r="H266" s="59">
        <f t="shared" si="78"/>
        <v>0</v>
      </c>
      <c r="I266" s="59">
        <f t="shared" si="79"/>
        <v>1</v>
      </c>
      <c r="J266" s="59">
        <v>2</v>
      </c>
      <c r="K266" s="59">
        <v>4</v>
      </c>
      <c r="L266" s="59">
        <v>1</v>
      </c>
      <c r="M266" s="59">
        <f t="shared" si="80"/>
        <v>1</v>
      </c>
      <c r="N266" s="59">
        <f t="shared" si="81"/>
        <v>0</v>
      </c>
      <c r="O266" s="59">
        <f t="shared" si="82"/>
        <v>0</v>
      </c>
      <c r="P266" s="59">
        <f t="shared" si="83"/>
        <v>0</v>
      </c>
      <c r="Q266" s="59">
        <f t="shared" si="84"/>
        <v>0</v>
      </c>
      <c r="R266" s="59">
        <v>1</v>
      </c>
      <c r="S266" s="59">
        <v>364</v>
      </c>
      <c r="T266" s="59">
        <v>1</v>
      </c>
      <c r="U266" s="59">
        <v>1</v>
      </c>
      <c r="V266" s="59">
        <v>79</v>
      </c>
      <c r="W266" s="59">
        <v>3</v>
      </c>
      <c r="X266" s="59">
        <v>1</v>
      </c>
      <c r="Y266" s="59">
        <v>3</v>
      </c>
      <c r="Z266" s="59">
        <f t="shared" si="85"/>
        <v>0</v>
      </c>
      <c r="AA266" s="59">
        <f>IF('Updated Dummy'!Y266=2,1,0)</f>
        <v>0</v>
      </c>
      <c r="AB266" s="59">
        <f t="shared" si="86"/>
        <v>1</v>
      </c>
      <c r="AC266" s="59">
        <f t="shared" si="87"/>
        <v>0</v>
      </c>
      <c r="AD266" s="59">
        <f t="shared" si="88"/>
        <v>0</v>
      </c>
      <c r="AE266" s="59">
        <f t="shared" si="89"/>
        <v>0</v>
      </c>
      <c r="AF266" s="59">
        <f t="shared" si="90"/>
        <v>0</v>
      </c>
      <c r="AG266" s="59">
        <f t="shared" si="91"/>
        <v>0</v>
      </c>
      <c r="AH266" s="59">
        <v>3</v>
      </c>
      <c r="AI266" s="59">
        <v>1</v>
      </c>
      <c r="AJ266" s="59">
        <f t="shared" si="92"/>
        <v>1</v>
      </c>
      <c r="AK266" s="59">
        <f t="shared" si="93"/>
        <v>0</v>
      </c>
      <c r="AL266" s="59">
        <v>3485</v>
      </c>
      <c r="AM266" s="59">
        <v>14935</v>
      </c>
      <c r="AN266" s="59">
        <v>2</v>
      </c>
      <c r="AO266" s="59">
        <v>0</v>
      </c>
      <c r="AP266" s="59">
        <v>11</v>
      </c>
      <c r="AQ266" s="59">
        <v>3</v>
      </c>
      <c r="AR266" s="59">
        <v>3</v>
      </c>
      <c r="AS266" s="59">
        <v>80</v>
      </c>
      <c r="AT266" s="59">
        <v>0</v>
      </c>
      <c r="AU266" s="59">
        <v>5</v>
      </c>
      <c r="AV266" s="59">
        <v>5</v>
      </c>
      <c r="AW266" s="59">
        <v>1</v>
      </c>
      <c r="AX266" s="59">
        <v>0</v>
      </c>
      <c r="AY266" s="59">
        <v>0</v>
      </c>
      <c r="AZ266" s="59">
        <v>0</v>
      </c>
      <c r="BA266" s="59">
        <v>0</v>
      </c>
      <c r="BB266" s="57">
        <f t="shared" si="94"/>
        <v>3485</v>
      </c>
    </row>
    <row r="267" spans="1:54" x14ac:dyDescent="0.25">
      <c r="A267" s="58">
        <v>29</v>
      </c>
      <c r="B267" s="59">
        <v>0</v>
      </c>
      <c r="C267" s="59">
        <v>1</v>
      </c>
      <c r="D267" s="59">
        <f t="shared" si="76"/>
        <v>1</v>
      </c>
      <c r="E267" s="59">
        <f t="shared" si="77"/>
        <v>0</v>
      </c>
      <c r="F267" s="59">
        <v>1210</v>
      </c>
      <c r="G267" s="59">
        <v>1</v>
      </c>
      <c r="H267" s="59">
        <f t="shared" si="78"/>
        <v>1</v>
      </c>
      <c r="I267" s="59">
        <f t="shared" si="79"/>
        <v>0</v>
      </c>
      <c r="J267" s="59">
        <v>2</v>
      </c>
      <c r="K267" s="59">
        <v>3</v>
      </c>
      <c r="L267" s="59">
        <v>3</v>
      </c>
      <c r="M267" s="59">
        <f t="shared" si="80"/>
        <v>0</v>
      </c>
      <c r="N267" s="59">
        <f t="shared" si="81"/>
        <v>0</v>
      </c>
      <c r="O267" s="59">
        <f t="shared" si="82"/>
        <v>1</v>
      </c>
      <c r="P267" s="59">
        <f t="shared" si="83"/>
        <v>0</v>
      </c>
      <c r="Q267" s="59">
        <f t="shared" si="84"/>
        <v>0</v>
      </c>
      <c r="R267" s="59">
        <v>1</v>
      </c>
      <c r="S267" s="59">
        <v>366</v>
      </c>
      <c r="T267" s="59">
        <v>1</v>
      </c>
      <c r="U267" s="59">
        <v>1</v>
      </c>
      <c r="V267" s="59">
        <v>78</v>
      </c>
      <c r="W267" s="59">
        <v>2</v>
      </c>
      <c r="X267" s="59">
        <v>2</v>
      </c>
      <c r="Y267" s="59">
        <v>1</v>
      </c>
      <c r="Z267" s="59">
        <f t="shared" si="85"/>
        <v>1</v>
      </c>
      <c r="AA267" s="59">
        <f>IF('Updated Dummy'!Y267=2,1,0)</f>
        <v>0</v>
      </c>
      <c r="AB267" s="59">
        <f t="shared" si="86"/>
        <v>0</v>
      </c>
      <c r="AC267" s="59">
        <f t="shared" si="87"/>
        <v>0</v>
      </c>
      <c r="AD267" s="59">
        <f t="shared" si="88"/>
        <v>0</v>
      </c>
      <c r="AE267" s="59">
        <f t="shared" si="89"/>
        <v>0</v>
      </c>
      <c r="AF267" s="59">
        <f t="shared" si="90"/>
        <v>0</v>
      </c>
      <c r="AG267" s="59">
        <f t="shared" si="91"/>
        <v>0</v>
      </c>
      <c r="AH267" s="59">
        <v>2</v>
      </c>
      <c r="AI267" s="59">
        <v>2</v>
      </c>
      <c r="AJ267" s="59">
        <f t="shared" si="92"/>
        <v>0</v>
      </c>
      <c r="AK267" s="59">
        <f t="shared" si="93"/>
        <v>1</v>
      </c>
      <c r="AL267" s="59">
        <v>6644</v>
      </c>
      <c r="AM267" s="59">
        <v>3687</v>
      </c>
      <c r="AN267" s="59">
        <v>2</v>
      </c>
      <c r="AO267" s="59">
        <v>0</v>
      </c>
      <c r="AP267" s="59">
        <v>19</v>
      </c>
      <c r="AQ267" s="59">
        <v>3</v>
      </c>
      <c r="AR267" s="59">
        <v>2</v>
      </c>
      <c r="AS267" s="59">
        <v>80</v>
      </c>
      <c r="AT267" s="59">
        <v>2</v>
      </c>
      <c r="AU267" s="59">
        <v>10</v>
      </c>
      <c r="AV267" s="59">
        <v>2</v>
      </c>
      <c r="AW267" s="59">
        <v>3</v>
      </c>
      <c r="AX267" s="59">
        <v>0</v>
      </c>
      <c r="AY267" s="59">
        <v>0</v>
      </c>
      <c r="AZ267" s="59">
        <v>0</v>
      </c>
      <c r="BA267" s="59">
        <v>0</v>
      </c>
      <c r="BB267" s="57">
        <f t="shared" si="94"/>
        <v>13288</v>
      </c>
    </row>
    <row r="268" spans="1:54" x14ac:dyDescent="0.25">
      <c r="A268" s="58">
        <v>31</v>
      </c>
      <c r="B268" s="59">
        <v>0</v>
      </c>
      <c r="C268" s="59">
        <v>1</v>
      </c>
      <c r="D268" s="59">
        <f t="shared" si="76"/>
        <v>1</v>
      </c>
      <c r="E268" s="59">
        <f t="shared" si="77"/>
        <v>0</v>
      </c>
      <c r="F268" s="59">
        <v>1463</v>
      </c>
      <c r="G268" s="59">
        <v>2</v>
      </c>
      <c r="H268" s="59">
        <f t="shared" si="78"/>
        <v>0</v>
      </c>
      <c r="I268" s="59">
        <f t="shared" si="79"/>
        <v>1</v>
      </c>
      <c r="J268" s="59">
        <v>23</v>
      </c>
      <c r="K268" s="59">
        <v>3</v>
      </c>
      <c r="L268" s="59">
        <v>3</v>
      </c>
      <c r="M268" s="59">
        <f t="shared" si="80"/>
        <v>0</v>
      </c>
      <c r="N268" s="59">
        <f t="shared" si="81"/>
        <v>0</v>
      </c>
      <c r="O268" s="59">
        <f t="shared" si="82"/>
        <v>1</v>
      </c>
      <c r="P268" s="59">
        <f t="shared" si="83"/>
        <v>0</v>
      </c>
      <c r="Q268" s="59">
        <f t="shared" si="84"/>
        <v>0</v>
      </c>
      <c r="R268" s="59">
        <v>1</v>
      </c>
      <c r="S268" s="59">
        <v>367</v>
      </c>
      <c r="T268" s="59">
        <v>2</v>
      </c>
      <c r="U268" s="59">
        <v>1</v>
      </c>
      <c r="V268" s="59">
        <v>64</v>
      </c>
      <c r="W268" s="59">
        <v>2</v>
      </c>
      <c r="X268" s="59">
        <v>2</v>
      </c>
      <c r="Y268" s="59">
        <v>5</v>
      </c>
      <c r="Z268" s="59">
        <f t="shared" si="85"/>
        <v>0</v>
      </c>
      <c r="AA268" s="59">
        <f>IF('Updated Dummy'!Y268=2,1,0)</f>
        <v>0</v>
      </c>
      <c r="AB268" s="59">
        <f t="shared" si="86"/>
        <v>0</v>
      </c>
      <c r="AC268" s="59">
        <f t="shared" si="87"/>
        <v>0</v>
      </c>
      <c r="AD268" s="59">
        <f t="shared" si="88"/>
        <v>1</v>
      </c>
      <c r="AE268" s="59">
        <f t="shared" si="89"/>
        <v>0</v>
      </c>
      <c r="AF268" s="59">
        <f t="shared" si="90"/>
        <v>0</v>
      </c>
      <c r="AG268" s="59">
        <f t="shared" si="91"/>
        <v>0</v>
      </c>
      <c r="AH268" s="59">
        <v>4</v>
      </c>
      <c r="AI268" s="59">
        <v>2</v>
      </c>
      <c r="AJ268" s="59">
        <f t="shared" si="92"/>
        <v>0</v>
      </c>
      <c r="AK268" s="59">
        <f t="shared" si="93"/>
        <v>1</v>
      </c>
      <c r="AL268" s="59">
        <v>5582</v>
      </c>
      <c r="AM268" s="59">
        <v>14408</v>
      </c>
      <c r="AN268" s="59">
        <v>0</v>
      </c>
      <c r="AO268" s="59">
        <v>0</v>
      </c>
      <c r="AP268" s="59">
        <v>21</v>
      </c>
      <c r="AQ268" s="59">
        <v>4</v>
      </c>
      <c r="AR268" s="59">
        <v>2</v>
      </c>
      <c r="AS268" s="59">
        <v>80</v>
      </c>
      <c r="AT268" s="59">
        <v>1</v>
      </c>
      <c r="AU268" s="59">
        <v>10</v>
      </c>
      <c r="AV268" s="59">
        <v>2</v>
      </c>
      <c r="AW268" s="59">
        <v>3</v>
      </c>
      <c r="AX268" s="59">
        <v>9</v>
      </c>
      <c r="AY268" s="59">
        <v>0</v>
      </c>
      <c r="AZ268" s="59">
        <v>7</v>
      </c>
      <c r="BA268" s="59">
        <v>8</v>
      </c>
      <c r="BB268" s="57">
        <f t="shared" si="94"/>
        <v>11164</v>
      </c>
    </row>
    <row r="269" spans="1:54" x14ac:dyDescent="0.25">
      <c r="A269" s="58">
        <v>25</v>
      </c>
      <c r="B269" s="59">
        <v>0</v>
      </c>
      <c r="C269" s="59">
        <v>3</v>
      </c>
      <c r="D269" s="59">
        <f t="shared" si="76"/>
        <v>0</v>
      </c>
      <c r="E269" s="59">
        <f t="shared" si="77"/>
        <v>0</v>
      </c>
      <c r="F269" s="59">
        <v>675</v>
      </c>
      <c r="G269" s="59">
        <v>2</v>
      </c>
      <c r="H269" s="59">
        <f t="shared" si="78"/>
        <v>0</v>
      </c>
      <c r="I269" s="59">
        <f t="shared" si="79"/>
        <v>1</v>
      </c>
      <c r="J269" s="59">
        <v>5</v>
      </c>
      <c r="K269" s="59">
        <v>2</v>
      </c>
      <c r="L269" s="59">
        <v>1</v>
      </c>
      <c r="M269" s="59">
        <f t="shared" si="80"/>
        <v>1</v>
      </c>
      <c r="N269" s="59">
        <f t="shared" si="81"/>
        <v>0</v>
      </c>
      <c r="O269" s="59">
        <f t="shared" si="82"/>
        <v>0</v>
      </c>
      <c r="P269" s="59">
        <f t="shared" si="83"/>
        <v>0</v>
      </c>
      <c r="Q269" s="59">
        <f t="shared" si="84"/>
        <v>0</v>
      </c>
      <c r="R269" s="59">
        <v>1</v>
      </c>
      <c r="S269" s="59">
        <v>369</v>
      </c>
      <c r="T269" s="59">
        <v>2</v>
      </c>
      <c r="U269" s="59">
        <v>1</v>
      </c>
      <c r="V269" s="59">
        <v>85</v>
      </c>
      <c r="W269" s="59">
        <v>4</v>
      </c>
      <c r="X269" s="59">
        <v>2</v>
      </c>
      <c r="Y269" s="59">
        <v>5</v>
      </c>
      <c r="Z269" s="59">
        <f t="shared" si="85"/>
        <v>0</v>
      </c>
      <c r="AA269" s="59">
        <f>IF('Updated Dummy'!Y269=2,1,0)</f>
        <v>0</v>
      </c>
      <c r="AB269" s="59">
        <f t="shared" si="86"/>
        <v>0</v>
      </c>
      <c r="AC269" s="59">
        <f t="shared" si="87"/>
        <v>0</v>
      </c>
      <c r="AD269" s="59">
        <f t="shared" si="88"/>
        <v>1</v>
      </c>
      <c r="AE269" s="59">
        <f t="shared" si="89"/>
        <v>0</v>
      </c>
      <c r="AF269" s="59">
        <f t="shared" si="90"/>
        <v>0</v>
      </c>
      <c r="AG269" s="59">
        <f t="shared" si="91"/>
        <v>0</v>
      </c>
      <c r="AH269" s="59">
        <v>1</v>
      </c>
      <c r="AI269" s="59">
        <v>3</v>
      </c>
      <c r="AJ269" s="59">
        <f t="shared" si="92"/>
        <v>0</v>
      </c>
      <c r="AK269" s="59">
        <f t="shared" si="93"/>
        <v>0</v>
      </c>
      <c r="AL269" s="59">
        <v>4000</v>
      </c>
      <c r="AM269" s="59">
        <v>18384</v>
      </c>
      <c r="AN269" s="59">
        <v>1</v>
      </c>
      <c r="AO269" s="59">
        <v>0</v>
      </c>
      <c r="AP269" s="59">
        <v>12</v>
      </c>
      <c r="AQ269" s="59">
        <v>3</v>
      </c>
      <c r="AR269" s="59">
        <v>4</v>
      </c>
      <c r="AS269" s="59">
        <v>80</v>
      </c>
      <c r="AT269" s="59">
        <v>2</v>
      </c>
      <c r="AU269" s="59">
        <v>6</v>
      </c>
      <c r="AV269" s="59">
        <v>2</v>
      </c>
      <c r="AW269" s="59">
        <v>3</v>
      </c>
      <c r="AX269" s="59">
        <v>6</v>
      </c>
      <c r="AY269" s="59">
        <v>3</v>
      </c>
      <c r="AZ269" s="59">
        <v>1</v>
      </c>
      <c r="BA269" s="59">
        <v>5</v>
      </c>
      <c r="BB269" s="57">
        <f t="shared" si="94"/>
        <v>8000</v>
      </c>
    </row>
    <row r="270" spans="1:54" x14ac:dyDescent="0.25">
      <c r="A270" s="58">
        <v>45</v>
      </c>
      <c r="B270" s="59">
        <v>0</v>
      </c>
      <c r="C270" s="59">
        <v>1</v>
      </c>
      <c r="D270" s="59">
        <f t="shared" si="76"/>
        <v>1</v>
      </c>
      <c r="E270" s="59">
        <f t="shared" si="77"/>
        <v>0</v>
      </c>
      <c r="F270" s="59">
        <v>1385</v>
      </c>
      <c r="G270" s="59">
        <v>2</v>
      </c>
      <c r="H270" s="59">
        <f t="shared" si="78"/>
        <v>0</v>
      </c>
      <c r="I270" s="59">
        <f t="shared" si="79"/>
        <v>1</v>
      </c>
      <c r="J270" s="59">
        <v>20</v>
      </c>
      <c r="K270" s="59">
        <v>2</v>
      </c>
      <c r="L270" s="59">
        <v>3</v>
      </c>
      <c r="M270" s="59">
        <f t="shared" si="80"/>
        <v>0</v>
      </c>
      <c r="N270" s="59">
        <f t="shared" si="81"/>
        <v>0</v>
      </c>
      <c r="O270" s="59">
        <f t="shared" si="82"/>
        <v>1</v>
      </c>
      <c r="P270" s="59">
        <f t="shared" si="83"/>
        <v>0</v>
      </c>
      <c r="Q270" s="59">
        <f t="shared" si="84"/>
        <v>0</v>
      </c>
      <c r="R270" s="59">
        <v>1</v>
      </c>
      <c r="S270" s="59">
        <v>372</v>
      </c>
      <c r="T270" s="59">
        <v>3</v>
      </c>
      <c r="U270" s="59">
        <v>1</v>
      </c>
      <c r="V270" s="59">
        <v>79</v>
      </c>
      <c r="W270" s="59">
        <v>3</v>
      </c>
      <c r="X270" s="59">
        <v>4</v>
      </c>
      <c r="Y270" s="59">
        <v>5</v>
      </c>
      <c r="Z270" s="59">
        <f t="shared" si="85"/>
        <v>0</v>
      </c>
      <c r="AA270" s="59">
        <f>IF('Updated Dummy'!Y270=2,1,0)</f>
        <v>0</v>
      </c>
      <c r="AB270" s="59">
        <f t="shared" si="86"/>
        <v>0</v>
      </c>
      <c r="AC270" s="59">
        <f t="shared" si="87"/>
        <v>0</v>
      </c>
      <c r="AD270" s="59">
        <f t="shared" si="88"/>
        <v>1</v>
      </c>
      <c r="AE270" s="59">
        <f t="shared" si="89"/>
        <v>0</v>
      </c>
      <c r="AF270" s="59">
        <f t="shared" si="90"/>
        <v>0</v>
      </c>
      <c r="AG270" s="59">
        <f t="shared" si="91"/>
        <v>0</v>
      </c>
      <c r="AH270" s="59">
        <v>4</v>
      </c>
      <c r="AI270" s="59">
        <v>2</v>
      </c>
      <c r="AJ270" s="59">
        <f t="shared" si="92"/>
        <v>0</v>
      </c>
      <c r="AK270" s="59">
        <f t="shared" si="93"/>
        <v>1</v>
      </c>
      <c r="AL270" s="59">
        <v>13496</v>
      </c>
      <c r="AM270" s="59">
        <v>7501</v>
      </c>
      <c r="AN270" s="59">
        <v>0</v>
      </c>
      <c r="AO270" s="59">
        <v>1</v>
      </c>
      <c r="AP270" s="59">
        <v>14</v>
      </c>
      <c r="AQ270" s="59">
        <v>3</v>
      </c>
      <c r="AR270" s="59">
        <v>2</v>
      </c>
      <c r="AS270" s="59">
        <v>80</v>
      </c>
      <c r="AT270" s="59">
        <v>0</v>
      </c>
      <c r="AU270" s="59">
        <v>21</v>
      </c>
      <c r="AV270" s="59">
        <v>2</v>
      </c>
      <c r="AW270" s="59">
        <v>3</v>
      </c>
      <c r="AX270" s="59">
        <v>20</v>
      </c>
      <c r="AY270" s="59">
        <v>7</v>
      </c>
      <c r="AZ270" s="59">
        <v>4</v>
      </c>
      <c r="BA270" s="59">
        <v>10</v>
      </c>
      <c r="BB270" s="57">
        <f t="shared" si="94"/>
        <v>53984</v>
      </c>
    </row>
    <row r="271" spans="1:54" x14ac:dyDescent="0.25">
      <c r="A271" s="58">
        <v>36</v>
      </c>
      <c r="B271" s="59">
        <v>0</v>
      </c>
      <c r="C271" s="59">
        <v>1</v>
      </c>
      <c r="D271" s="59">
        <f t="shared" si="76"/>
        <v>1</v>
      </c>
      <c r="E271" s="59">
        <f t="shared" si="77"/>
        <v>0</v>
      </c>
      <c r="F271" s="59">
        <v>1403</v>
      </c>
      <c r="G271" s="59">
        <v>2</v>
      </c>
      <c r="H271" s="59">
        <f t="shared" si="78"/>
        <v>0</v>
      </c>
      <c r="I271" s="59">
        <f t="shared" si="79"/>
        <v>1</v>
      </c>
      <c r="J271" s="59">
        <v>6</v>
      </c>
      <c r="K271" s="59">
        <v>3</v>
      </c>
      <c r="L271" s="59">
        <v>1</v>
      </c>
      <c r="M271" s="59">
        <f t="shared" si="80"/>
        <v>1</v>
      </c>
      <c r="N271" s="59">
        <f t="shared" si="81"/>
        <v>0</v>
      </c>
      <c r="O271" s="59">
        <f t="shared" si="82"/>
        <v>0</v>
      </c>
      <c r="P271" s="59">
        <f t="shared" si="83"/>
        <v>0</v>
      </c>
      <c r="Q271" s="59">
        <f t="shared" si="84"/>
        <v>0</v>
      </c>
      <c r="R271" s="59">
        <v>1</v>
      </c>
      <c r="S271" s="59">
        <v>373</v>
      </c>
      <c r="T271" s="59">
        <v>4</v>
      </c>
      <c r="U271" s="59">
        <v>1</v>
      </c>
      <c r="V271" s="59">
        <v>47</v>
      </c>
      <c r="W271" s="59">
        <v>3</v>
      </c>
      <c r="X271" s="59">
        <v>1</v>
      </c>
      <c r="Y271" s="59">
        <v>3</v>
      </c>
      <c r="Z271" s="59">
        <f t="shared" si="85"/>
        <v>0</v>
      </c>
      <c r="AA271" s="59">
        <f>IF('Updated Dummy'!Y271=2,1,0)</f>
        <v>0</v>
      </c>
      <c r="AB271" s="59">
        <f t="shared" si="86"/>
        <v>1</v>
      </c>
      <c r="AC271" s="59">
        <f t="shared" si="87"/>
        <v>0</v>
      </c>
      <c r="AD271" s="59">
        <f t="shared" si="88"/>
        <v>0</v>
      </c>
      <c r="AE271" s="59">
        <f t="shared" si="89"/>
        <v>0</v>
      </c>
      <c r="AF271" s="59">
        <f t="shared" si="90"/>
        <v>0</v>
      </c>
      <c r="AG271" s="59">
        <f t="shared" si="91"/>
        <v>0</v>
      </c>
      <c r="AH271" s="59">
        <v>4</v>
      </c>
      <c r="AI271" s="59">
        <v>2</v>
      </c>
      <c r="AJ271" s="59">
        <f t="shared" si="92"/>
        <v>0</v>
      </c>
      <c r="AK271" s="59">
        <f t="shared" si="93"/>
        <v>1</v>
      </c>
      <c r="AL271" s="59">
        <v>3210</v>
      </c>
      <c r="AM271" s="59">
        <v>20251</v>
      </c>
      <c r="AN271" s="59">
        <v>0</v>
      </c>
      <c r="AO271" s="59">
        <v>0</v>
      </c>
      <c r="AP271" s="59">
        <v>11</v>
      </c>
      <c r="AQ271" s="59">
        <v>3</v>
      </c>
      <c r="AR271" s="59">
        <v>3</v>
      </c>
      <c r="AS271" s="59">
        <v>80</v>
      </c>
      <c r="AT271" s="59">
        <v>1</v>
      </c>
      <c r="AU271" s="59">
        <v>16</v>
      </c>
      <c r="AV271" s="59">
        <v>4</v>
      </c>
      <c r="AW271" s="59">
        <v>3</v>
      </c>
      <c r="AX271" s="59">
        <v>15</v>
      </c>
      <c r="AY271" s="59">
        <v>13</v>
      </c>
      <c r="AZ271" s="59">
        <v>10</v>
      </c>
      <c r="BA271" s="59">
        <v>11</v>
      </c>
      <c r="BB271" s="57">
        <f t="shared" si="94"/>
        <v>3210</v>
      </c>
    </row>
    <row r="272" spans="1:54" x14ac:dyDescent="0.25">
      <c r="A272" s="58">
        <v>55</v>
      </c>
      <c r="B272" s="59">
        <v>0</v>
      </c>
      <c r="C272" s="59">
        <v>1</v>
      </c>
      <c r="D272" s="59">
        <f t="shared" si="76"/>
        <v>1</v>
      </c>
      <c r="E272" s="59">
        <f t="shared" si="77"/>
        <v>0</v>
      </c>
      <c r="F272" s="59">
        <v>452</v>
      </c>
      <c r="G272" s="59">
        <v>2</v>
      </c>
      <c r="H272" s="59">
        <f t="shared" si="78"/>
        <v>0</v>
      </c>
      <c r="I272" s="59">
        <f t="shared" si="79"/>
        <v>1</v>
      </c>
      <c r="J272" s="59">
        <v>1</v>
      </c>
      <c r="K272" s="59">
        <v>3</v>
      </c>
      <c r="L272" s="59">
        <v>3</v>
      </c>
      <c r="M272" s="59">
        <f t="shared" si="80"/>
        <v>0</v>
      </c>
      <c r="N272" s="59">
        <f t="shared" si="81"/>
        <v>0</v>
      </c>
      <c r="O272" s="59">
        <f t="shared" si="82"/>
        <v>1</v>
      </c>
      <c r="P272" s="59">
        <f t="shared" si="83"/>
        <v>0</v>
      </c>
      <c r="Q272" s="59">
        <f t="shared" si="84"/>
        <v>0</v>
      </c>
      <c r="R272" s="59">
        <v>1</v>
      </c>
      <c r="S272" s="59">
        <v>374</v>
      </c>
      <c r="T272" s="59">
        <v>4</v>
      </c>
      <c r="U272" s="59">
        <v>1</v>
      </c>
      <c r="V272" s="59">
        <v>81</v>
      </c>
      <c r="W272" s="59">
        <v>3</v>
      </c>
      <c r="X272" s="59">
        <v>5</v>
      </c>
      <c r="Y272" s="59">
        <v>6</v>
      </c>
      <c r="Z272" s="59">
        <f t="shared" si="85"/>
        <v>0</v>
      </c>
      <c r="AA272" s="59">
        <f>IF('Updated Dummy'!Y272=2,1,0)</f>
        <v>0</v>
      </c>
      <c r="AB272" s="59">
        <f t="shared" si="86"/>
        <v>0</v>
      </c>
      <c r="AC272" s="59">
        <f t="shared" si="87"/>
        <v>0</v>
      </c>
      <c r="AD272" s="59">
        <f t="shared" si="88"/>
        <v>0</v>
      </c>
      <c r="AE272" s="59">
        <f t="shared" si="89"/>
        <v>1</v>
      </c>
      <c r="AF272" s="59">
        <f t="shared" si="90"/>
        <v>0</v>
      </c>
      <c r="AG272" s="59">
        <f t="shared" si="91"/>
        <v>0</v>
      </c>
      <c r="AH272" s="59">
        <v>1</v>
      </c>
      <c r="AI272" s="59">
        <v>1</v>
      </c>
      <c r="AJ272" s="59">
        <f t="shared" si="92"/>
        <v>1</v>
      </c>
      <c r="AK272" s="59">
        <f t="shared" si="93"/>
        <v>0</v>
      </c>
      <c r="AL272" s="59">
        <v>19045</v>
      </c>
      <c r="AM272" s="59">
        <v>18938</v>
      </c>
      <c r="AN272" s="59">
        <v>0</v>
      </c>
      <c r="AO272" s="59">
        <v>1</v>
      </c>
      <c r="AP272" s="59">
        <v>14</v>
      </c>
      <c r="AQ272" s="59">
        <v>3</v>
      </c>
      <c r="AR272" s="59">
        <v>3</v>
      </c>
      <c r="AS272" s="59">
        <v>80</v>
      </c>
      <c r="AT272" s="59">
        <v>0</v>
      </c>
      <c r="AU272" s="59">
        <v>37</v>
      </c>
      <c r="AV272" s="59">
        <v>2</v>
      </c>
      <c r="AW272" s="59">
        <v>3</v>
      </c>
      <c r="AX272" s="59">
        <v>36</v>
      </c>
      <c r="AY272" s="59">
        <v>10</v>
      </c>
      <c r="AZ272" s="59">
        <v>4</v>
      </c>
      <c r="BA272" s="59">
        <v>13</v>
      </c>
      <c r="BB272" s="57">
        <f t="shared" si="94"/>
        <v>95225</v>
      </c>
    </row>
    <row r="273" spans="1:54" x14ac:dyDescent="0.25">
      <c r="A273" s="58">
        <v>47</v>
      </c>
      <c r="B273" s="59">
        <v>1</v>
      </c>
      <c r="C273" s="59">
        <v>3</v>
      </c>
      <c r="D273" s="59">
        <f t="shared" si="76"/>
        <v>0</v>
      </c>
      <c r="E273" s="59">
        <f t="shared" si="77"/>
        <v>0</v>
      </c>
      <c r="F273" s="59">
        <v>666</v>
      </c>
      <c r="G273" s="59">
        <v>2</v>
      </c>
      <c r="H273" s="59">
        <f t="shared" si="78"/>
        <v>0</v>
      </c>
      <c r="I273" s="59">
        <f t="shared" si="79"/>
        <v>1</v>
      </c>
      <c r="J273" s="59">
        <v>29</v>
      </c>
      <c r="K273" s="59">
        <v>4</v>
      </c>
      <c r="L273" s="59">
        <v>1</v>
      </c>
      <c r="M273" s="59">
        <f t="shared" si="80"/>
        <v>1</v>
      </c>
      <c r="N273" s="59">
        <f t="shared" si="81"/>
        <v>0</v>
      </c>
      <c r="O273" s="59">
        <f t="shared" si="82"/>
        <v>0</v>
      </c>
      <c r="P273" s="59">
        <f t="shared" si="83"/>
        <v>0</v>
      </c>
      <c r="Q273" s="59">
        <f t="shared" si="84"/>
        <v>0</v>
      </c>
      <c r="R273" s="59">
        <v>1</v>
      </c>
      <c r="S273" s="59">
        <v>376</v>
      </c>
      <c r="T273" s="59">
        <v>1</v>
      </c>
      <c r="U273" s="59">
        <v>1</v>
      </c>
      <c r="V273" s="59">
        <v>88</v>
      </c>
      <c r="W273" s="59">
        <v>3</v>
      </c>
      <c r="X273" s="59">
        <v>3</v>
      </c>
      <c r="Y273" s="59">
        <v>6</v>
      </c>
      <c r="Z273" s="59">
        <f t="shared" si="85"/>
        <v>0</v>
      </c>
      <c r="AA273" s="59">
        <f>IF('Updated Dummy'!Y273=2,1,0)</f>
        <v>0</v>
      </c>
      <c r="AB273" s="59">
        <f t="shared" si="86"/>
        <v>0</v>
      </c>
      <c r="AC273" s="59">
        <f t="shared" si="87"/>
        <v>0</v>
      </c>
      <c r="AD273" s="59">
        <f t="shared" si="88"/>
        <v>0</v>
      </c>
      <c r="AE273" s="59">
        <f t="shared" si="89"/>
        <v>1</v>
      </c>
      <c r="AF273" s="59">
        <f t="shared" si="90"/>
        <v>0</v>
      </c>
      <c r="AG273" s="59">
        <f t="shared" si="91"/>
        <v>0</v>
      </c>
      <c r="AH273" s="59">
        <v>2</v>
      </c>
      <c r="AI273" s="59">
        <v>2</v>
      </c>
      <c r="AJ273" s="59">
        <f t="shared" si="92"/>
        <v>0</v>
      </c>
      <c r="AK273" s="59">
        <f t="shared" si="93"/>
        <v>1</v>
      </c>
      <c r="AL273" s="59">
        <v>11849</v>
      </c>
      <c r="AM273" s="59">
        <v>10268</v>
      </c>
      <c r="AN273" s="59">
        <v>1</v>
      </c>
      <c r="AO273" s="59">
        <v>1</v>
      </c>
      <c r="AP273" s="59">
        <v>12</v>
      </c>
      <c r="AQ273" s="59">
        <v>3</v>
      </c>
      <c r="AR273" s="59">
        <v>4</v>
      </c>
      <c r="AS273" s="59">
        <v>80</v>
      </c>
      <c r="AT273" s="59">
        <v>1</v>
      </c>
      <c r="AU273" s="59">
        <v>10</v>
      </c>
      <c r="AV273" s="59">
        <v>2</v>
      </c>
      <c r="AW273" s="59">
        <v>2</v>
      </c>
      <c r="AX273" s="59">
        <v>10</v>
      </c>
      <c r="AY273" s="59">
        <v>7</v>
      </c>
      <c r="AZ273" s="59">
        <v>9</v>
      </c>
      <c r="BA273" s="59">
        <v>9</v>
      </c>
      <c r="BB273" s="57">
        <f t="shared" si="94"/>
        <v>35547</v>
      </c>
    </row>
    <row r="274" spans="1:54" x14ac:dyDescent="0.25">
      <c r="A274" s="58">
        <v>28</v>
      </c>
      <c r="B274" s="59">
        <v>0</v>
      </c>
      <c r="C274" s="59">
        <v>1</v>
      </c>
      <c r="D274" s="59">
        <f t="shared" si="76"/>
        <v>1</v>
      </c>
      <c r="E274" s="59">
        <f t="shared" si="77"/>
        <v>0</v>
      </c>
      <c r="F274" s="59">
        <v>1158</v>
      </c>
      <c r="G274" s="59">
        <v>2</v>
      </c>
      <c r="H274" s="59">
        <f t="shared" si="78"/>
        <v>0</v>
      </c>
      <c r="I274" s="59">
        <f t="shared" si="79"/>
        <v>1</v>
      </c>
      <c r="J274" s="59">
        <v>9</v>
      </c>
      <c r="K274" s="59">
        <v>3</v>
      </c>
      <c r="L274" s="59">
        <v>3</v>
      </c>
      <c r="M274" s="59">
        <f t="shared" si="80"/>
        <v>0</v>
      </c>
      <c r="N274" s="59">
        <f t="shared" si="81"/>
        <v>0</v>
      </c>
      <c r="O274" s="59">
        <f t="shared" si="82"/>
        <v>1</v>
      </c>
      <c r="P274" s="59">
        <f t="shared" si="83"/>
        <v>0</v>
      </c>
      <c r="Q274" s="59">
        <f t="shared" si="84"/>
        <v>0</v>
      </c>
      <c r="R274" s="59">
        <v>1</v>
      </c>
      <c r="S274" s="59">
        <v>377</v>
      </c>
      <c r="T274" s="59">
        <v>4</v>
      </c>
      <c r="U274" s="59">
        <v>1</v>
      </c>
      <c r="V274" s="59">
        <v>94</v>
      </c>
      <c r="W274" s="59">
        <v>3</v>
      </c>
      <c r="X274" s="59">
        <v>1</v>
      </c>
      <c r="Y274" s="59">
        <v>2</v>
      </c>
      <c r="Z274" s="59">
        <f t="shared" si="85"/>
        <v>0</v>
      </c>
      <c r="AA274" s="59">
        <f>IF('Updated Dummy'!Y274=2,1,0)</f>
        <v>1</v>
      </c>
      <c r="AB274" s="59">
        <f t="shared" si="86"/>
        <v>0</v>
      </c>
      <c r="AC274" s="59">
        <f t="shared" si="87"/>
        <v>0</v>
      </c>
      <c r="AD274" s="59">
        <f t="shared" si="88"/>
        <v>0</v>
      </c>
      <c r="AE274" s="59">
        <f t="shared" si="89"/>
        <v>0</v>
      </c>
      <c r="AF274" s="59">
        <f t="shared" si="90"/>
        <v>0</v>
      </c>
      <c r="AG274" s="59">
        <f t="shared" si="91"/>
        <v>0</v>
      </c>
      <c r="AH274" s="59">
        <v>4</v>
      </c>
      <c r="AI274" s="59">
        <v>2</v>
      </c>
      <c r="AJ274" s="59">
        <f t="shared" si="92"/>
        <v>0</v>
      </c>
      <c r="AK274" s="59">
        <f t="shared" si="93"/>
        <v>1</v>
      </c>
      <c r="AL274" s="59">
        <v>2070</v>
      </c>
      <c r="AM274" s="59">
        <v>2613</v>
      </c>
      <c r="AN274" s="59">
        <v>1</v>
      </c>
      <c r="AO274" s="59">
        <v>0</v>
      </c>
      <c r="AP274" s="59">
        <v>23</v>
      </c>
      <c r="AQ274" s="59">
        <v>4</v>
      </c>
      <c r="AR274" s="59">
        <v>4</v>
      </c>
      <c r="AS274" s="59">
        <v>80</v>
      </c>
      <c r="AT274" s="59">
        <v>1</v>
      </c>
      <c r="AU274" s="59">
        <v>5</v>
      </c>
      <c r="AV274" s="59">
        <v>3</v>
      </c>
      <c r="AW274" s="59">
        <v>2</v>
      </c>
      <c r="AX274" s="59">
        <v>5</v>
      </c>
      <c r="AY274" s="59">
        <v>2</v>
      </c>
      <c r="AZ274" s="59">
        <v>0</v>
      </c>
      <c r="BA274" s="59">
        <v>4</v>
      </c>
      <c r="BB274" s="57">
        <f t="shared" si="94"/>
        <v>2070</v>
      </c>
    </row>
    <row r="275" spans="1:54" x14ac:dyDescent="0.25">
      <c r="A275" s="58">
        <v>37</v>
      </c>
      <c r="B275" s="59">
        <v>0</v>
      </c>
      <c r="C275" s="59">
        <v>1</v>
      </c>
      <c r="D275" s="59">
        <f t="shared" si="76"/>
        <v>1</v>
      </c>
      <c r="E275" s="59">
        <f t="shared" si="77"/>
        <v>0</v>
      </c>
      <c r="F275" s="59">
        <v>228</v>
      </c>
      <c r="G275" s="59">
        <v>1</v>
      </c>
      <c r="H275" s="59">
        <f t="shared" si="78"/>
        <v>1</v>
      </c>
      <c r="I275" s="59">
        <f t="shared" si="79"/>
        <v>0</v>
      </c>
      <c r="J275" s="59">
        <v>6</v>
      </c>
      <c r="K275" s="59">
        <v>4</v>
      </c>
      <c r="L275" s="59">
        <v>3</v>
      </c>
      <c r="M275" s="59">
        <f t="shared" si="80"/>
        <v>0</v>
      </c>
      <c r="N275" s="59">
        <f t="shared" si="81"/>
        <v>0</v>
      </c>
      <c r="O275" s="59">
        <f t="shared" si="82"/>
        <v>1</v>
      </c>
      <c r="P275" s="59">
        <f t="shared" si="83"/>
        <v>0</v>
      </c>
      <c r="Q275" s="59">
        <f t="shared" si="84"/>
        <v>0</v>
      </c>
      <c r="R275" s="59">
        <v>1</v>
      </c>
      <c r="S275" s="59">
        <v>378</v>
      </c>
      <c r="T275" s="59">
        <v>3</v>
      </c>
      <c r="U275" s="59">
        <v>1</v>
      </c>
      <c r="V275" s="59">
        <v>98</v>
      </c>
      <c r="W275" s="59">
        <v>3</v>
      </c>
      <c r="X275" s="59">
        <v>2</v>
      </c>
      <c r="Y275" s="59">
        <v>1</v>
      </c>
      <c r="Z275" s="59">
        <f t="shared" si="85"/>
        <v>1</v>
      </c>
      <c r="AA275" s="59">
        <f>IF('Updated Dummy'!Y275=2,1,0)</f>
        <v>0</v>
      </c>
      <c r="AB275" s="59">
        <f t="shared" si="86"/>
        <v>0</v>
      </c>
      <c r="AC275" s="59">
        <f t="shared" si="87"/>
        <v>0</v>
      </c>
      <c r="AD275" s="59">
        <f t="shared" si="88"/>
        <v>0</v>
      </c>
      <c r="AE275" s="59">
        <f t="shared" si="89"/>
        <v>0</v>
      </c>
      <c r="AF275" s="59">
        <f t="shared" si="90"/>
        <v>0</v>
      </c>
      <c r="AG275" s="59">
        <f t="shared" si="91"/>
        <v>0</v>
      </c>
      <c r="AH275" s="59">
        <v>4</v>
      </c>
      <c r="AI275" s="59">
        <v>2</v>
      </c>
      <c r="AJ275" s="59">
        <f t="shared" si="92"/>
        <v>0</v>
      </c>
      <c r="AK275" s="59">
        <f t="shared" si="93"/>
        <v>1</v>
      </c>
      <c r="AL275" s="59">
        <v>6502</v>
      </c>
      <c r="AM275" s="59">
        <v>22825</v>
      </c>
      <c r="AN275" s="59">
        <v>4</v>
      </c>
      <c r="AO275" s="59">
        <v>0</v>
      </c>
      <c r="AP275" s="59">
        <v>14</v>
      </c>
      <c r="AQ275" s="59">
        <v>3</v>
      </c>
      <c r="AR275" s="59">
        <v>2</v>
      </c>
      <c r="AS275" s="59">
        <v>80</v>
      </c>
      <c r="AT275" s="59">
        <v>1</v>
      </c>
      <c r="AU275" s="59">
        <v>7</v>
      </c>
      <c r="AV275" s="59">
        <v>5</v>
      </c>
      <c r="AW275" s="59">
        <v>4</v>
      </c>
      <c r="AX275" s="59">
        <v>5</v>
      </c>
      <c r="AY275" s="59">
        <v>4</v>
      </c>
      <c r="AZ275" s="59">
        <v>0</v>
      </c>
      <c r="BA275" s="59">
        <v>1</v>
      </c>
      <c r="BB275" s="57">
        <f t="shared" si="94"/>
        <v>13004</v>
      </c>
    </row>
    <row r="276" spans="1:54" x14ac:dyDescent="0.25">
      <c r="A276" s="58">
        <v>21</v>
      </c>
      <c r="B276" s="59">
        <v>0</v>
      </c>
      <c r="C276" s="59">
        <v>1</v>
      </c>
      <c r="D276" s="59">
        <f t="shared" si="76"/>
        <v>1</v>
      </c>
      <c r="E276" s="59">
        <f t="shared" si="77"/>
        <v>0</v>
      </c>
      <c r="F276" s="59">
        <v>996</v>
      </c>
      <c r="G276" s="59">
        <v>2</v>
      </c>
      <c r="H276" s="59">
        <f t="shared" si="78"/>
        <v>0</v>
      </c>
      <c r="I276" s="59">
        <f t="shared" si="79"/>
        <v>1</v>
      </c>
      <c r="J276" s="59">
        <v>3</v>
      </c>
      <c r="K276" s="59">
        <v>2</v>
      </c>
      <c r="L276" s="59">
        <v>3</v>
      </c>
      <c r="M276" s="59">
        <f t="shared" si="80"/>
        <v>0</v>
      </c>
      <c r="N276" s="59">
        <f t="shared" si="81"/>
        <v>0</v>
      </c>
      <c r="O276" s="59">
        <f t="shared" si="82"/>
        <v>1</v>
      </c>
      <c r="P276" s="59">
        <f t="shared" si="83"/>
        <v>0</v>
      </c>
      <c r="Q276" s="59">
        <f t="shared" si="84"/>
        <v>0</v>
      </c>
      <c r="R276" s="59">
        <v>1</v>
      </c>
      <c r="S276" s="59">
        <v>379</v>
      </c>
      <c r="T276" s="59">
        <v>4</v>
      </c>
      <c r="U276" s="59">
        <v>1</v>
      </c>
      <c r="V276" s="59">
        <v>100</v>
      </c>
      <c r="W276" s="59">
        <v>2</v>
      </c>
      <c r="X276" s="59">
        <v>1</v>
      </c>
      <c r="Y276" s="59">
        <v>2</v>
      </c>
      <c r="Z276" s="59">
        <f t="shared" si="85"/>
        <v>0</v>
      </c>
      <c r="AA276" s="59">
        <f>IF('Updated Dummy'!Y276=2,1,0)</f>
        <v>1</v>
      </c>
      <c r="AB276" s="59">
        <f t="shared" si="86"/>
        <v>0</v>
      </c>
      <c r="AC276" s="59">
        <f t="shared" si="87"/>
        <v>0</v>
      </c>
      <c r="AD276" s="59">
        <f t="shared" si="88"/>
        <v>0</v>
      </c>
      <c r="AE276" s="59">
        <f t="shared" si="89"/>
        <v>0</v>
      </c>
      <c r="AF276" s="59">
        <f t="shared" si="90"/>
        <v>0</v>
      </c>
      <c r="AG276" s="59">
        <f t="shared" si="91"/>
        <v>0</v>
      </c>
      <c r="AH276" s="59">
        <v>3</v>
      </c>
      <c r="AI276" s="59">
        <v>1</v>
      </c>
      <c r="AJ276" s="59">
        <f t="shared" si="92"/>
        <v>1</v>
      </c>
      <c r="AK276" s="59">
        <f t="shared" si="93"/>
        <v>0</v>
      </c>
      <c r="AL276" s="59">
        <v>3230</v>
      </c>
      <c r="AM276" s="59">
        <v>10531</v>
      </c>
      <c r="AN276" s="59">
        <v>1</v>
      </c>
      <c r="AO276" s="59">
        <v>0</v>
      </c>
      <c r="AP276" s="59">
        <v>17</v>
      </c>
      <c r="AQ276" s="59">
        <v>3</v>
      </c>
      <c r="AR276" s="59">
        <v>1</v>
      </c>
      <c r="AS276" s="59">
        <v>80</v>
      </c>
      <c r="AT276" s="59">
        <v>0</v>
      </c>
      <c r="AU276" s="59">
        <v>3</v>
      </c>
      <c r="AV276" s="59">
        <v>4</v>
      </c>
      <c r="AW276" s="59">
        <v>4</v>
      </c>
      <c r="AX276" s="59">
        <v>3</v>
      </c>
      <c r="AY276" s="59">
        <v>2</v>
      </c>
      <c r="AZ276" s="59">
        <v>1</v>
      </c>
      <c r="BA276" s="59">
        <v>0</v>
      </c>
      <c r="BB276" s="57">
        <f t="shared" si="94"/>
        <v>3230</v>
      </c>
    </row>
    <row r="277" spans="1:54" x14ac:dyDescent="0.25">
      <c r="A277" s="58">
        <v>37</v>
      </c>
      <c r="B277" s="59">
        <v>0</v>
      </c>
      <c r="C277" s="59">
        <v>3</v>
      </c>
      <c r="D277" s="59">
        <f t="shared" si="76"/>
        <v>0</v>
      </c>
      <c r="E277" s="59">
        <f t="shared" si="77"/>
        <v>0</v>
      </c>
      <c r="F277" s="59">
        <v>728</v>
      </c>
      <c r="G277" s="59">
        <v>2</v>
      </c>
      <c r="H277" s="59">
        <f t="shared" si="78"/>
        <v>0</v>
      </c>
      <c r="I277" s="59">
        <f t="shared" si="79"/>
        <v>1</v>
      </c>
      <c r="J277" s="59">
        <v>1</v>
      </c>
      <c r="K277" s="59">
        <v>4</v>
      </c>
      <c r="L277" s="59">
        <v>3</v>
      </c>
      <c r="M277" s="59">
        <f t="shared" si="80"/>
        <v>0</v>
      </c>
      <c r="N277" s="59">
        <f t="shared" si="81"/>
        <v>0</v>
      </c>
      <c r="O277" s="59">
        <f t="shared" si="82"/>
        <v>1</v>
      </c>
      <c r="P277" s="59">
        <f t="shared" si="83"/>
        <v>0</v>
      </c>
      <c r="Q277" s="59">
        <f t="shared" si="84"/>
        <v>0</v>
      </c>
      <c r="R277" s="59">
        <v>1</v>
      </c>
      <c r="S277" s="59">
        <v>380</v>
      </c>
      <c r="T277" s="59">
        <v>1</v>
      </c>
      <c r="U277" s="59">
        <v>0</v>
      </c>
      <c r="V277" s="59">
        <v>80</v>
      </c>
      <c r="W277" s="59">
        <v>3</v>
      </c>
      <c r="X277" s="59">
        <v>3</v>
      </c>
      <c r="Y277" s="59">
        <v>8</v>
      </c>
      <c r="Z277" s="59">
        <f t="shared" si="85"/>
        <v>0</v>
      </c>
      <c r="AA277" s="59">
        <f>IF('Updated Dummy'!Y277=2,1,0)</f>
        <v>0</v>
      </c>
      <c r="AB277" s="59">
        <f t="shared" si="86"/>
        <v>0</v>
      </c>
      <c r="AC277" s="59">
        <f t="shared" si="87"/>
        <v>0</v>
      </c>
      <c r="AD277" s="59">
        <f t="shared" si="88"/>
        <v>0</v>
      </c>
      <c r="AE277" s="59">
        <f t="shared" si="89"/>
        <v>0</v>
      </c>
      <c r="AF277" s="59">
        <f t="shared" si="90"/>
        <v>0</v>
      </c>
      <c r="AG277" s="59">
        <f t="shared" si="91"/>
        <v>1</v>
      </c>
      <c r="AH277" s="59">
        <v>4</v>
      </c>
      <c r="AI277" s="59">
        <v>3</v>
      </c>
      <c r="AJ277" s="59">
        <f t="shared" si="92"/>
        <v>0</v>
      </c>
      <c r="AK277" s="59">
        <f t="shared" si="93"/>
        <v>0</v>
      </c>
      <c r="AL277" s="59">
        <v>13603</v>
      </c>
      <c r="AM277" s="59">
        <v>11677</v>
      </c>
      <c r="AN277" s="59">
        <v>2</v>
      </c>
      <c r="AO277" s="59">
        <v>1</v>
      </c>
      <c r="AP277" s="59">
        <v>18</v>
      </c>
      <c r="AQ277" s="59">
        <v>3</v>
      </c>
      <c r="AR277" s="59">
        <v>1</v>
      </c>
      <c r="AS277" s="59">
        <v>80</v>
      </c>
      <c r="AT277" s="59">
        <v>2</v>
      </c>
      <c r="AU277" s="59">
        <v>15</v>
      </c>
      <c r="AV277" s="59">
        <v>2</v>
      </c>
      <c r="AW277" s="59">
        <v>3</v>
      </c>
      <c r="AX277" s="59">
        <v>5</v>
      </c>
      <c r="AY277" s="59">
        <v>2</v>
      </c>
      <c r="AZ277" s="59">
        <v>0</v>
      </c>
      <c r="BA277" s="59">
        <v>2</v>
      </c>
      <c r="BB277" s="57">
        <f t="shared" si="94"/>
        <v>40809</v>
      </c>
    </row>
    <row r="278" spans="1:54" x14ac:dyDescent="0.25">
      <c r="A278" s="58">
        <v>35</v>
      </c>
      <c r="B278" s="59">
        <v>0</v>
      </c>
      <c r="C278" s="59">
        <v>1</v>
      </c>
      <c r="D278" s="59">
        <f t="shared" si="76"/>
        <v>1</v>
      </c>
      <c r="E278" s="59">
        <f t="shared" si="77"/>
        <v>0</v>
      </c>
      <c r="F278" s="59">
        <v>1315</v>
      </c>
      <c r="G278" s="59">
        <v>2</v>
      </c>
      <c r="H278" s="59">
        <f t="shared" si="78"/>
        <v>0</v>
      </c>
      <c r="I278" s="59">
        <f t="shared" si="79"/>
        <v>1</v>
      </c>
      <c r="J278" s="59">
        <v>22</v>
      </c>
      <c r="K278" s="59">
        <v>3</v>
      </c>
      <c r="L278" s="59">
        <v>1</v>
      </c>
      <c r="M278" s="59">
        <f t="shared" si="80"/>
        <v>1</v>
      </c>
      <c r="N278" s="59">
        <f t="shared" si="81"/>
        <v>0</v>
      </c>
      <c r="O278" s="59">
        <f t="shared" si="82"/>
        <v>0</v>
      </c>
      <c r="P278" s="59">
        <f t="shared" si="83"/>
        <v>0</v>
      </c>
      <c r="Q278" s="59">
        <f t="shared" si="84"/>
        <v>0</v>
      </c>
      <c r="R278" s="59">
        <v>1</v>
      </c>
      <c r="S278" s="59">
        <v>381</v>
      </c>
      <c r="T278" s="59">
        <v>2</v>
      </c>
      <c r="U278" s="59">
        <v>0</v>
      </c>
      <c r="V278" s="59">
        <v>71</v>
      </c>
      <c r="W278" s="59">
        <v>4</v>
      </c>
      <c r="X278" s="59">
        <v>3</v>
      </c>
      <c r="Y278" s="59">
        <v>6</v>
      </c>
      <c r="Z278" s="59">
        <f t="shared" si="85"/>
        <v>0</v>
      </c>
      <c r="AA278" s="59">
        <f>IF('Updated Dummy'!Y278=2,1,0)</f>
        <v>0</v>
      </c>
      <c r="AB278" s="59">
        <f t="shared" si="86"/>
        <v>0</v>
      </c>
      <c r="AC278" s="59">
        <f t="shared" si="87"/>
        <v>0</v>
      </c>
      <c r="AD278" s="59">
        <f t="shared" si="88"/>
        <v>0</v>
      </c>
      <c r="AE278" s="59">
        <f t="shared" si="89"/>
        <v>1</v>
      </c>
      <c r="AF278" s="59">
        <f t="shared" si="90"/>
        <v>0</v>
      </c>
      <c r="AG278" s="59">
        <f t="shared" si="91"/>
        <v>0</v>
      </c>
      <c r="AH278" s="59">
        <v>2</v>
      </c>
      <c r="AI278" s="59">
        <v>3</v>
      </c>
      <c r="AJ278" s="59">
        <f t="shared" si="92"/>
        <v>0</v>
      </c>
      <c r="AK278" s="59">
        <f t="shared" si="93"/>
        <v>0</v>
      </c>
      <c r="AL278" s="59">
        <v>11996</v>
      </c>
      <c r="AM278" s="59">
        <v>19100</v>
      </c>
      <c r="AN278" s="59">
        <v>7</v>
      </c>
      <c r="AO278" s="59">
        <v>0</v>
      </c>
      <c r="AP278" s="59">
        <v>18</v>
      </c>
      <c r="AQ278" s="59">
        <v>3</v>
      </c>
      <c r="AR278" s="59">
        <v>2</v>
      </c>
      <c r="AS278" s="59">
        <v>80</v>
      </c>
      <c r="AT278" s="59">
        <v>1</v>
      </c>
      <c r="AU278" s="59">
        <v>10</v>
      </c>
      <c r="AV278" s="59">
        <v>6</v>
      </c>
      <c r="AW278" s="59">
        <v>2</v>
      </c>
      <c r="AX278" s="59">
        <v>7</v>
      </c>
      <c r="AY278" s="59">
        <v>7</v>
      </c>
      <c r="AZ278" s="59">
        <v>6</v>
      </c>
      <c r="BA278" s="59">
        <v>2</v>
      </c>
      <c r="BB278" s="57">
        <f t="shared" si="94"/>
        <v>35988</v>
      </c>
    </row>
    <row r="279" spans="1:54" x14ac:dyDescent="0.25">
      <c r="A279" s="58">
        <v>38</v>
      </c>
      <c r="B279" s="59">
        <v>0</v>
      </c>
      <c r="C279" s="59">
        <v>1</v>
      </c>
      <c r="D279" s="59">
        <f t="shared" si="76"/>
        <v>1</v>
      </c>
      <c r="E279" s="59">
        <f t="shared" si="77"/>
        <v>0</v>
      </c>
      <c r="F279" s="59">
        <v>322</v>
      </c>
      <c r="G279" s="59">
        <v>1</v>
      </c>
      <c r="H279" s="59">
        <f t="shared" si="78"/>
        <v>1</v>
      </c>
      <c r="I279" s="59">
        <f t="shared" si="79"/>
        <v>0</v>
      </c>
      <c r="J279" s="59">
        <v>7</v>
      </c>
      <c r="K279" s="59">
        <v>2</v>
      </c>
      <c r="L279" s="59">
        <v>3</v>
      </c>
      <c r="M279" s="59">
        <f t="shared" si="80"/>
        <v>0</v>
      </c>
      <c r="N279" s="59">
        <f t="shared" si="81"/>
        <v>0</v>
      </c>
      <c r="O279" s="59">
        <f t="shared" si="82"/>
        <v>1</v>
      </c>
      <c r="P279" s="59">
        <f t="shared" si="83"/>
        <v>0</v>
      </c>
      <c r="Q279" s="59">
        <f t="shared" si="84"/>
        <v>0</v>
      </c>
      <c r="R279" s="59">
        <v>1</v>
      </c>
      <c r="S279" s="59">
        <v>382</v>
      </c>
      <c r="T279" s="59">
        <v>1</v>
      </c>
      <c r="U279" s="59">
        <v>0</v>
      </c>
      <c r="V279" s="59">
        <v>44</v>
      </c>
      <c r="W279" s="59">
        <v>4</v>
      </c>
      <c r="X279" s="59">
        <v>2</v>
      </c>
      <c r="Y279" s="59">
        <v>1</v>
      </c>
      <c r="Z279" s="59">
        <f t="shared" si="85"/>
        <v>1</v>
      </c>
      <c r="AA279" s="59">
        <f>IF('Updated Dummy'!Y279=2,1,0)</f>
        <v>0</v>
      </c>
      <c r="AB279" s="59">
        <f t="shared" si="86"/>
        <v>0</v>
      </c>
      <c r="AC279" s="59">
        <f t="shared" si="87"/>
        <v>0</v>
      </c>
      <c r="AD279" s="59">
        <f t="shared" si="88"/>
        <v>0</v>
      </c>
      <c r="AE279" s="59">
        <f t="shared" si="89"/>
        <v>0</v>
      </c>
      <c r="AF279" s="59">
        <f t="shared" si="90"/>
        <v>0</v>
      </c>
      <c r="AG279" s="59">
        <f t="shared" si="91"/>
        <v>0</v>
      </c>
      <c r="AH279" s="59">
        <v>1</v>
      </c>
      <c r="AI279" s="59">
        <v>3</v>
      </c>
      <c r="AJ279" s="59">
        <f t="shared" si="92"/>
        <v>0</v>
      </c>
      <c r="AK279" s="59">
        <f t="shared" si="93"/>
        <v>0</v>
      </c>
      <c r="AL279" s="59">
        <v>5605</v>
      </c>
      <c r="AM279" s="59">
        <v>19191</v>
      </c>
      <c r="AN279" s="59">
        <v>1</v>
      </c>
      <c r="AO279" s="59">
        <v>1</v>
      </c>
      <c r="AP279" s="59">
        <v>24</v>
      </c>
      <c r="AQ279" s="59">
        <v>4</v>
      </c>
      <c r="AR279" s="59">
        <v>3</v>
      </c>
      <c r="AS279" s="59">
        <v>80</v>
      </c>
      <c r="AT279" s="59">
        <v>1</v>
      </c>
      <c r="AU279" s="59">
        <v>8</v>
      </c>
      <c r="AV279" s="59">
        <v>3</v>
      </c>
      <c r="AW279" s="59">
        <v>3</v>
      </c>
      <c r="AX279" s="59">
        <v>8</v>
      </c>
      <c r="AY279" s="59">
        <v>0</v>
      </c>
      <c r="AZ279" s="59">
        <v>7</v>
      </c>
      <c r="BA279" s="59">
        <v>7</v>
      </c>
      <c r="BB279" s="57">
        <f t="shared" si="94"/>
        <v>11210</v>
      </c>
    </row>
    <row r="280" spans="1:54" x14ac:dyDescent="0.25">
      <c r="A280" s="58">
        <v>26</v>
      </c>
      <c r="B280" s="59">
        <v>0</v>
      </c>
      <c r="C280" s="59">
        <v>2</v>
      </c>
      <c r="D280" s="59">
        <f t="shared" si="76"/>
        <v>0</v>
      </c>
      <c r="E280" s="59">
        <f t="shared" si="77"/>
        <v>1</v>
      </c>
      <c r="F280" s="59">
        <v>1479</v>
      </c>
      <c r="G280" s="59">
        <v>2</v>
      </c>
      <c r="H280" s="59">
        <f t="shared" si="78"/>
        <v>0</v>
      </c>
      <c r="I280" s="59">
        <f t="shared" si="79"/>
        <v>1</v>
      </c>
      <c r="J280" s="59">
        <v>1</v>
      </c>
      <c r="K280" s="59">
        <v>3</v>
      </c>
      <c r="L280" s="59">
        <v>1</v>
      </c>
      <c r="M280" s="59">
        <f t="shared" si="80"/>
        <v>1</v>
      </c>
      <c r="N280" s="59">
        <f t="shared" si="81"/>
        <v>0</v>
      </c>
      <c r="O280" s="59">
        <f t="shared" si="82"/>
        <v>0</v>
      </c>
      <c r="P280" s="59">
        <f t="shared" si="83"/>
        <v>0</v>
      </c>
      <c r="Q280" s="59">
        <f t="shared" si="84"/>
        <v>0</v>
      </c>
      <c r="R280" s="59">
        <v>1</v>
      </c>
      <c r="S280" s="59">
        <v>384</v>
      </c>
      <c r="T280" s="59">
        <v>3</v>
      </c>
      <c r="U280" s="59">
        <v>0</v>
      </c>
      <c r="V280" s="59">
        <v>84</v>
      </c>
      <c r="W280" s="59">
        <v>3</v>
      </c>
      <c r="X280" s="59">
        <v>2</v>
      </c>
      <c r="Y280" s="59">
        <v>4</v>
      </c>
      <c r="Z280" s="59">
        <f t="shared" si="85"/>
        <v>0</v>
      </c>
      <c r="AA280" s="59">
        <f>IF('Updated Dummy'!Y280=2,1,0)</f>
        <v>0</v>
      </c>
      <c r="AB280" s="59">
        <f t="shared" si="86"/>
        <v>0</v>
      </c>
      <c r="AC280" s="59">
        <f t="shared" si="87"/>
        <v>1</v>
      </c>
      <c r="AD280" s="59">
        <f t="shared" si="88"/>
        <v>0</v>
      </c>
      <c r="AE280" s="59">
        <f t="shared" si="89"/>
        <v>0</v>
      </c>
      <c r="AF280" s="59">
        <f t="shared" si="90"/>
        <v>0</v>
      </c>
      <c r="AG280" s="59">
        <f t="shared" si="91"/>
        <v>0</v>
      </c>
      <c r="AH280" s="59">
        <v>2</v>
      </c>
      <c r="AI280" s="59">
        <v>3</v>
      </c>
      <c r="AJ280" s="59">
        <f t="shared" si="92"/>
        <v>0</v>
      </c>
      <c r="AK280" s="59">
        <f t="shared" si="93"/>
        <v>0</v>
      </c>
      <c r="AL280" s="59">
        <v>6397</v>
      </c>
      <c r="AM280" s="59">
        <v>26767</v>
      </c>
      <c r="AN280" s="59">
        <v>1</v>
      </c>
      <c r="AO280" s="59">
        <v>0</v>
      </c>
      <c r="AP280" s="59">
        <v>20</v>
      </c>
      <c r="AQ280" s="59">
        <v>4</v>
      </c>
      <c r="AR280" s="59">
        <v>1</v>
      </c>
      <c r="AS280" s="59">
        <v>80</v>
      </c>
      <c r="AT280" s="59">
        <v>1</v>
      </c>
      <c r="AU280" s="59">
        <v>6</v>
      </c>
      <c r="AV280" s="59">
        <v>6</v>
      </c>
      <c r="AW280" s="59">
        <v>1</v>
      </c>
      <c r="AX280" s="59">
        <v>6</v>
      </c>
      <c r="AY280" s="59">
        <v>5</v>
      </c>
      <c r="AZ280" s="59">
        <v>1</v>
      </c>
      <c r="BA280" s="59">
        <v>4</v>
      </c>
      <c r="BB280" s="57">
        <f t="shared" si="94"/>
        <v>12794</v>
      </c>
    </row>
    <row r="281" spans="1:54" x14ac:dyDescent="0.25">
      <c r="A281" s="58">
        <v>50</v>
      </c>
      <c r="B281" s="59">
        <v>0</v>
      </c>
      <c r="C281" s="59">
        <v>1</v>
      </c>
      <c r="D281" s="59">
        <f t="shared" si="76"/>
        <v>1</v>
      </c>
      <c r="E281" s="59">
        <f t="shared" si="77"/>
        <v>0</v>
      </c>
      <c r="F281" s="59">
        <v>797</v>
      </c>
      <c r="G281" s="59">
        <v>2</v>
      </c>
      <c r="H281" s="59">
        <f t="shared" si="78"/>
        <v>0</v>
      </c>
      <c r="I281" s="59">
        <f t="shared" si="79"/>
        <v>1</v>
      </c>
      <c r="J281" s="59">
        <v>4</v>
      </c>
      <c r="K281" s="59">
        <v>1</v>
      </c>
      <c r="L281" s="59">
        <v>1</v>
      </c>
      <c r="M281" s="59">
        <f t="shared" si="80"/>
        <v>1</v>
      </c>
      <c r="N281" s="59">
        <f t="shared" si="81"/>
        <v>0</v>
      </c>
      <c r="O281" s="59">
        <f t="shared" si="82"/>
        <v>0</v>
      </c>
      <c r="P281" s="59">
        <f t="shared" si="83"/>
        <v>0</v>
      </c>
      <c r="Q281" s="59">
        <f t="shared" si="84"/>
        <v>0</v>
      </c>
      <c r="R281" s="59">
        <v>1</v>
      </c>
      <c r="S281" s="59">
        <v>385</v>
      </c>
      <c r="T281" s="59">
        <v>1</v>
      </c>
      <c r="U281" s="59">
        <v>1</v>
      </c>
      <c r="V281" s="59">
        <v>96</v>
      </c>
      <c r="W281" s="59">
        <v>3</v>
      </c>
      <c r="X281" s="59">
        <v>5</v>
      </c>
      <c r="Y281" s="59">
        <v>8</v>
      </c>
      <c r="Z281" s="59">
        <f t="shared" si="85"/>
        <v>0</v>
      </c>
      <c r="AA281" s="59">
        <f>IF('Updated Dummy'!Y281=2,1,0)</f>
        <v>0</v>
      </c>
      <c r="AB281" s="59">
        <f t="shared" si="86"/>
        <v>0</v>
      </c>
      <c r="AC281" s="59">
        <f t="shared" si="87"/>
        <v>0</v>
      </c>
      <c r="AD281" s="59">
        <f t="shared" si="88"/>
        <v>0</v>
      </c>
      <c r="AE281" s="59">
        <f t="shared" si="89"/>
        <v>0</v>
      </c>
      <c r="AF281" s="59">
        <f t="shared" si="90"/>
        <v>0</v>
      </c>
      <c r="AG281" s="59">
        <f t="shared" si="91"/>
        <v>1</v>
      </c>
      <c r="AH281" s="59">
        <v>2</v>
      </c>
      <c r="AI281" s="59">
        <v>3</v>
      </c>
      <c r="AJ281" s="59">
        <f t="shared" si="92"/>
        <v>0</v>
      </c>
      <c r="AK281" s="59">
        <f t="shared" si="93"/>
        <v>0</v>
      </c>
      <c r="AL281" s="59">
        <v>19144</v>
      </c>
      <c r="AM281" s="59">
        <v>15815</v>
      </c>
      <c r="AN281" s="59">
        <v>3</v>
      </c>
      <c r="AO281" s="59">
        <v>0</v>
      </c>
      <c r="AP281" s="59">
        <v>14</v>
      </c>
      <c r="AQ281" s="59">
        <v>3</v>
      </c>
      <c r="AR281" s="59">
        <v>1</v>
      </c>
      <c r="AS281" s="59">
        <v>80</v>
      </c>
      <c r="AT281" s="59">
        <v>2</v>
      </c>
      <c r="AU281" s="59">
        <v>28</v>
      </c>
      <c r="AV281" s="59">
        <v>4</v>
      </c>
      <c r="AW281" s="59">
        <v>2</v>
      </c>
      <c r="AX281" s="59">
        <v>10</v>
      </c>
      <c r="AY281" s="59">
        <v>4</v>
      </c>
      <c r="AZ281" s="59">
        <v>1</v>
      </c>
      <c r="BA281" s="59">
        <v>6</v>
      </c>
      <c r="BB281" s="57">
        <f t="shared" si="94"/>
        <v>95720</v>
      </c>
    </row>
    <row r="282" spans="1:54" x14ac:dyDescent="0.25">
      <c r="A282" s="58">
        <v>53</v>
      </c>
      <c r="B282" s="59">
        <v>0</v>
      </c>
      <c r="C282" s="59">
        <v>1</v>
      </c>
      <c r="D282" s="59">
        <f t="shared" si="76"/>
        <v>1</v>
      </c>
      <c r="E282" s="59">
        <f t="shared" si="77"/>
        <v>0</v>
      </c>
      <c r="F282" s="59">
        <v>1070</v>
      </c>
      <c r="G282" s="59">
        <v>2</v>
      </c>
      <c r="H282" s="59">
        <f t="shared" si="78"/>
        <v>0</v>
      </c>
      <c r="I282" s="59">
        <f t="shared" si="79"/>
        <v>1</v>
      </c>
      <c r="J282" s="59">
        <v>3</v>
      </c>
      <c r="K282" s="59">
        <v>4</v>
      </c>
      <c r="L282" s="59">
        <v>3</v>
      </c>
      <c r="M282" s="59">
        <f t="shared" si="80"/>
        <v>0</v>
      </c>
      <c r="N282" s="59">
        <f t="shared" si="81"/>
        <v>0</v>
      </c>
      <c r="O282" s="59">
        <f t="shared" si="82"/>
        <v>1</v>
      </c>
      <c r="P282" s="59">
        <f t="shared" si="83"/>
        <v>0</v>
      </c>
      <c r="Q282" s="59">
        <f t="shared" si="84"/>
        <v>0</v>
      </c>
      <c r="R282" s="59">
        <v>1</v>
      </c>
      <c r="S282" s="59">
        <v>386</v>
      </c>
      <c r="T282" s="59">
        <v>3</v>
      </c>
      <c r="U282" s="59">
        <v>1</v>
      </c>
      <c r="V282" s="59">
        <v>45</v>
      </c>
      <c r="W282" s="59">
        <v>3</v>
      </c>
      <c r="X282" s="59">
        <v>4</v>
      </c>
      <c r="Y282" s="59">
        <v>8</v>
      </c>
      <c r="Z282" s="59">
        <f t="shared" si="85"/>
        <v>0</v>
      </c>
      <c r="AA282" s="59">
        <f>IF('Updated Dummy'!Y282=2,1,0)</f>
        <v>0</v>
      </c>
      <c r="AB282" s="59">
        <f t="shared" si="86"/>
        <v>0</v>
      </c>
      <c r="AC282" s="59">
        <f t="shared" si="87"/>
        <v>0</v>
      </c>
      <c r="AD282" s="59">
        <f t="shared" si="88"/>
        <v>0</v>
      </c>
      <c r="AE282" s="59">
        <f t="shared" si="89"/>
        <v>0</v>
      </c>
      <c r="AF282" s="59">
        <f t="shared" si="90"/>
        <v>0</v>
      </c>
      <c r="AG282" s="59">
        <f t="shared" si="91"/>
        <v>1</v>
      </c>
      <c r="AH282" s="59">
        <v>3</v>
      </c>
      <c r="AI282" s="59">
        <v>2</v>
      </c>
      <c r="AJ282" s="59">
        <f t="shared" si="92"/>
        <v>0</v>
      </c>
      <c r="AK282" s="59">
        <f t="shared" si="93"/>
        <v>1</v>
      </c>
      <c r="AL282" s="59">
        <v>17584</v>
      </c>
      <c r="AM282" s="59">
        <v>21016</v>
      </c>
      <c r="AN282" s="59">
        <v>3</v>
      </c>
      <c r="AO282" s="59">
        <v>1</v>
      </c>
      <c r="AP282" s="59">
        <v>16</v>
      </c>
      <c r="AQ282" s="59">
        <v>3</v>
      </c>
      <c r="AR282" s="59">
        <v>4</v>
      </c>
      <c r="AS282" s="59">
        <v>80</v>
      </c>
      <c r="AT282" s="59">
        <v>3</v>
      </c>
      <c r="AU282" s="59">
        <v>21</v>
      </c>
      <c r="AV282" s="59">
        <v>5</v>
      </c>
      <c r="AW282" s="59">
        <v>2</v>
      </c>
      <c r="AX282" s="59">
        <v>5</v>
      </c>
      <c r="AY282" s="59">
        <v>3</v>
      </c>
      <c r="AZ282" s="59">
        <v>1</v>
      </c>
      <c r="BA282" s="59">
        <v>3</v>
      </c>
      <c r="BB282" s="57">
        <f t="shared" si="94"/>
        <v>70336</v>
      </c>
    </row>
    <row r="283" spans="1:54" x14ac:dyDescent="0.25">
      <c r="A283" s="58">
        <v>42</v>
      </c>
      <c r="B283" s="59">
        <v>0</v>
      </c>
      <c r="C283" s="59">
        <v>1</v>
      </c>
      <c r="D283" s="59">
        <f t="shared" si="76"/>
        <v>1</v>
      </c>
      <c r="E283" s="59">
        <f t="shared" si="77"/>
        <v>0</v>
      </c>
      <c r="F283" s="59">
        <v>635</v>
      </c>
      <c r="G283" s="59">
        <v>1</v>
      </c>
      <c r="H283" s="59">
        <f t="shared" si="78"/>
        <v>1</v>
      </c>
      <c r="I283" s="59">
        <f t="shared" si="79"/>
        <v>0</v>
      </c>
      <c r="J283" s="59">
        <v>1</v>
      </c>
      <c r="K283" s="59">
        <v>1</v>
      </c>
      <c r="L283" s="59">
        <v>1</v>
      </c>
      <c r="M283" s="59">
        <f t="shared" si="80"/>
        <v>1</v>
      </c>
      <c r="N283" s="59">
        <f t="shared" si="81"/>
        <v>0</v>
      </c>
      <c r="O283" s="59">
        <f t="shared" si="82"/>
        <v>0</v>
      </c>
      <c r="P283" s="59">
        <f t="shared" si="83"/>
        <v>0</v>
      </c>
      <c r="Q283" s="59">
        <f t="shared" si="84"/>
        <v>0</v>
      </c>
      <c r="R283" s="59">
        <v>1</v>
      </c>
      <c r="S283" s="59">
        <v>387</v>
      </c>
      <c r="T283" s="59">
        <v>2</v>
      </c>
      <c r="U283" s="59">
        <v>1</v>
      </c>
      <c r="V283" s="59">
        <v>99</v>
      </c>
      <c r="W283" s="59">
        <v>3</v>
      </c>
      <c r="X283" s="59">
        <v>2</v>
      </c>
      <c r="Y283" s="59">
        <v>1</v>
      </c>
      <c r="Z283" s="59">
        <f t="shared" si="85"/>
        <v>1</v>
      </c>
      <c r="AA283" s="59">
        <f>IF('Updated Dummy'!Y283=2,1,0)</f>
        <v>0</v>
      </c>
      <c r="AB283" s="59">
        <f t="shared" si="86"/>
        <v>0</v>
      </c>
      <c r="AC283" s="59">
        <f t="shared" si="87"/>
        <v>0</v>
      </c>
      <c r="AD283" s="59">
        <f t="shared" si="88"/>
        <v>0</v>
      </c>
      <c r="AE283" s="59">
        <f t="shared" si="89"/>
        <v>0</v>
      </c>
      <c r="AF283" s="59">
        <f t="shared" si="90"/>
        <v>0</v>
      </c>
      <c r="AG283" s="59">
        <f t="shared" si="91"/>
        <v>0</v>
      </c>
      <c r="AH283" s="59">
        <v>3</v>
      </c>
      <c r="AI283" s="59">
        <v>2</v>
      </c>
      <c r="AJ283" s="59">
        <f t="shared" si="92"/>
        <v>0</v>
      </c>
      <c r="AK283" s="59">
        <f t="shared" si="93"/>
        <v>1</v>
      </c>
      <c r="AL283" s="59">
        <v>4907</v>
      </c>
      <c r="AM283" s="59">
        <v>24532</v>
      </c>
      <c r="AN283" s="59">
        <v>1</v>
      </c>
      <c r="AO283" s="59">
        <v>0</v>
      </c>
      <c r="AP283" s="59">
        <v>25</v>
      </c>
      <c r="AQ283" s="59">
        <v>4</v>
      </c>
      <c r="AR283" s="59">
        <v>3</v>
      </c>
      <c r="AS283" s="59">
        <v>80</v>
      </c>
      <c r="AT283" s="59">
        <v>0</v>
      </c>
      <c r="AU283" s="59">
        <v>20</v>
      </c>
      <c r="AV283" s="59">
        <v>3</v>
      </c>
      <c r="AW283" s="59">
        <v>3</v>
      </c>
      <c r="AX283" s="59">
        <v>20</v>
      </c>
      <c r="AY283" s="59">
        <v>16</v>
      </c>
      <c r="AZ283" s="59">
        <v>11</v>
      </c>
      <c r="BA283" s="59">
        <v>6</v>
      </c>
      <c r="BB283" s="57">
        <f t="shared" si="94"/>
        <v>9814</v>
      </c>
    </row>
    <row r="284" spans="1:54" x14ac:dyDescent="0.25">
      <c r="A284" s="58">
        <v>29</v>
      </c>
      <c r="B284" s="59">
        <v>0</v>
      </c>
      <c r="C284" s="59">
        <v>2</v>
      </c>
      <c r="D284" s="59">
        <f t="shared" si="76"/>
        <v>0</v>
      </c>
      <c r="E284" s="59">
        <f t="shared" si="77"/>
        <v>1</v>
      </c>
      <c r="F284" s="59">
        <v>442</v>
      </c>
      <c r="G284" s="59">
        <v>1</v>
      </c>
      <c r="H284" s="59">
        <f t="shared" si="78"/>
        <v>1</v>
      </c>
      <c r="I284" s="59">
        <f t="shared" si="79"/>
        <v>0</v>
      </c>
      <c r="J284" s="59">
        <v>2</v>
      </c>
      <c r="K284" s="59">
        <v>2</v>
      </c>
      <c r="L284" s="59">
        <v>1</v>
      </c>
      <c r="M284" s="59">
        <f t="shared" si="80"/>
        <v>1</v>
      </c>
      <c r="N284" s="59">
        <f t="shared" si="81"/>
        <v>0</v>
      </c>
      <c r="O284" s="59">
        <f t="shared" si="82"/>
        <v>0</v>
      </c>
      <c r="P284" s="59">
        <f t="shared" si="83"/>
        <v>0</v>
      </c>
      <c r="Q284" s="59">
        <f t="shared" si="84"/>
        <v>0</v>
      </c>
      <c r="R284" s="59">
        <v>1</v>
      </c>
      <c r="S284" s="59">
        <v>388</v>
      </c>
      <c r="T284" s="59">
        <v>2</v>
      </c>
      <c r="U284" s="59">
        <v>1</v>
      </c>
      <c r="V284" s="59">
        <v>44</v>
      </c>
      <c r="W284" s="59">
        <v>3</v>
      </c>
      <c r="X284" s="59">
        <v>2</v>
      </c>
      <c r="Y284" s="59">
        <v>1</v>
      </c>
      <c r="Z284" s="59">
        <f t="shared" si="85"/>
        <v>1</v>
      </c>
      <c r="AA284" s="59">
        <f>IF('Updated Dummy'!Y284=2,1,0)</f>
        <v>0</v>
      </c>
      <c r="AB284" s="59">
        <f t="shared" si="86"/>
        <v>0</v>
      </c>
      <c r="AC284" s="59">
        <f t="shared" si="87"/>
        <v>0</v>
      </c>
      <c r="AD284" s="59">
        <f t="shared" si="88"/>
        <v>0</v>
      </c>
      <c r="AE284" s="59">
        <f t="shared" si="89"/>
        <v>0</v>
      </c>
      <c r="AF284" s="59">
        <f t="shared" si="90"/>
        <v>0</v>
      </c>
      <c r="AG284" s="59">
        <f t="shared" si="91"/>
        <v>0</v>
      </c>
      <c r="AH284" s="59">
        <v>4</v>
      </c>
      <c r="AI284" s="59">
        <v>1</v>
      </c>
      <c r="AJ284" s="59">
        <f t="shared" si="92"/>
        <v>1</v>
      </c>
      <c r="AK284" s="59">
        <f t="shared" si="93"/>
        <v>0</v>
      </c>
      <c r="AL284" s="59">
        <v>4554</v>
      </c>
      <c r="AM284" s="59">
        <v>20260</v>
      </c>
      <c r="AN284" s="59">
        <v>1</v>
      </c>
      <c r="AO284" s="59">
        <v>0</v>
      </c>
      <c r="AP284" s="59">
        <v>18</v>
      </c>
      <c r="AQ284" s="59">
        <v>3</v>
      </c>
      <c r="AR284" s="59">
        <v>1</v>
      </c>
      <c r="AS284" s="59">
        <v>80</v>
      </c>
      <c r="AT284" s="59">
        <v>0</v>
      </c>
      <c r="AU284" s="59">
        <v>10</v>
      </c>
      <c r="AV284" s="59">
        <v>3</v>
      </c>
      <c r="AW284" s="59">
        <v>2</v>
      </c>
      <c r="AX284" s="59">
        <v>10</v>
      </c>
      <c r="AY284" s="59">
        <v>7</v>
      </c>
      <c r="AZ284" s="59">
        <v>0</v>
      </c>
      <c r="BA284" s="59">
        <v>9</v>
      </c>
      <c r="BB284" s="57">
        <f t="shared" si="94"/>
        <v>9108</v>
      </c>
    </row>
    <row r="285" spans="1:54" x14ac:dyDescent="0.25">
      <c r="A285" s="58">
        <v>55</v>
      </c>
      <c r="B285" s="59">
        <v>0</v>
      </c>
      <c r="C285" s="59">
        <v>1</v>
      </c>
      <c r="D285" s="59">
        <f t="shared" si="76"/>
        <v>1</v>
      </c>
      <c r="E285" s="59">
        <f t="shared" si="77"/>
        <v>0</v>
      </c>
      <c r="F285" s="59">
        <v>147</v>
      </c>
      <c r="G285" s="59">
        <v>2</v>
      </c>
      <c r="H285" s="59">
        <f t="shared" si="78"/>
        <v>0</v>
      </c>
      <c r="I285" s="59">
        <f t="shared" si="79"/>
        <v>1</v>
      </c>
      <c r="J285" s="59">
        <v>20</v>
      </c>
      <c r="K285" s="59">
        <v>2</v>
      </c>
      <c r="L285" s="59">
        <v>5</v>
      </c>
      <c r="M285" s="59">
        <f t="shared" si="80"/>
        <v>0</v>
      </c>
      <c r="N285" s="59">
        <f t="shared" si="81"/>
        <v>0</v>
      </c>
      <c r="O285" s="59">
        <f t="shared" si="82"/>
        <v>0</v>
      </c>
      <c r="P285" s="59">
        <f t="shared" si="83"/>
        <v>0</v>
      </c>
      <c r="Q285" s="59">
        <f t="shared" si="84"/>
        <v>1</v>
      </c>
      <c r="R285" s="59">
        <v>1</v>
      </c>
      <c r="S285" s="59">
        <v>389</v>
      </c>
      <c r="T285" s="59">
        <v>2</v>
      </c>
      <c r="U285" s="59">
        <v>1</v>
      </c>
      <c r="V285" s="59">
        <v>37</v>
      </c>
      <c r="W285" s="59">
        <v>3</v>
      </c>
      <c r="X285" s="59">
        <v>2</v>
      </c>
      <c r="Y285" s="59">
        <v>3</v>
      </c>
      <c r="Z285" s="59">
        <f t="shared" si="85"/>
        <v>0</v>
      </c>
      <c r="AA285" s="59">
        <f>IF('Updated Dummy'!Y285=2,1,0)</f>
        <v>0</v>
      </c>
      <c r="AB285" s="59">
        <f t="shared" si="86"/>
        <v>1</v>
      </c>
      <c r="AC285" s="59">
        <f t="shared" si="87"/>
        <v>0</v>
      </c>
      <c r="AD285" s="59">
        <f t="shared" si="88"/>
        <v>0</v>
      </c>
      <c r="AE285" s="59">
        <f t="shared" si="89"/>
        <v>0</v>
      </c>
      <c r="AF285" s="59">
        <f t="shared" si="90"/>
        <v>0</v>
      </c>
      <c r="AG285" s="59">
        <f t="shared" si="91"/>
        <v>0</v>
      </c>
      <c r="AH285" s="59">
        <v>4</v>
      </c>
      <c r="AI285" s="59">
        <v>2</v>
      </c>
      <c r="AJ285" s="59">
        <f t="shared" si="92"/>
        <v>0</v>
      </c>
      <c r="AK285" s="59">
        <f t="shared" si="93"/>
        <v>1</v>
      </c>
      <c r="AL285" s="59">
        <v>5415</v>
      </c>
      <c r="AM285" s="59">
        <v>15972</v>
      </c>
      <c r="AN285" s="59">
        <v>3</v>
      </c>
      <c r="AO285" s="59">
        <v>1</v>
      </c>
      <c r="AP285" s="59">
        <v>19</v>
      </c>
      <c r="AQ285" s="59">
        <v>3</v>
      </c>
      <c r="AR285" s="59">
        <v>4</v>
      </c>
      <c r="AS285" s="59">
        <v>80</v>
      </c>
      <c r="AT285" s="59">
        <v>1</v>
      </c>
      <c r="AU285" s="59">
        <v>12</v>
      </c>
      <c r="AV285" s="59">
        <v>4</v>
      </c>
      <c r="AW285" s="59">
        <v>3</v>
      </c>
      <c r="AX285" s="59">
        <v>10</v>
      </c>
      <c r="AY285" s="59">
        <v>7</v>
      </c>
      <c r="AZ285" s="59">
        <v>0</v>
      </c>
      <c r="BA285" s="59">
        <v>8</v>
      </c>
      <c r="BB285" s="57">
        <f t="shared" si="94"/>
        <v>10830</v>
      </c>
    </row>
    <row r="286" spans="1:54" x14ac:dyDescent="0.25">
      <c r="A286" s="58">
        <v>26</v>
      </c>
      <c r="B286" s="59">
        <v>0</v>
      </c>
      <c r="C286" s="59">
        <v>2</v>
      </c>
      <c r="D286" s="59">
        <f t="shared" si="76"/>
        <v>0</v>
      </c>
      <c r="E286" s="59">
        <f t="shared" si="77"/>
        <v>1</v>
      </c>
      <c r="F286" s="59">
        <v>496</v>
      </c>
      <c r="G286" s="59">
        <v>2</v>
      </c>
      <c r="H286" s="59">
        <f t="shared" si="78"/>
        <v>0</v>
      </c>
      <c r="I286" s="59">
        <f t="shared" si="79"/>
        <v>1</v>
      </c>
      <c r="J286" s="59">
        <v>11</v>
      </c>
      <c r="K286" s="59">
        <v>2</v>
      </c>
      <c r="L286" s="59">
        <v>3</v>
      </c>
      <c r="M286" s="59">
        <f t="shared" si="80"/>
        <v>0</v>
      </c>
      <c r="N286" s="59">
        <f t="shared" si="81"/>
        <v>0</v>
      </c>
      <c r="O286" s="59">
        <f t="shared" si="82"/>
        <v>1</v>
      </c>
      <c r="P286" s="59">
        <f t="shared" si="83"/>
        <v>0</v>
      </c>
      <c r="Q286" s="59">
        <f t="shared" si="84"/>
        <v>0</v>
      </c>
      <c r="R286" s="59">
        <v>1</v>
      </c>
      <c r="S286" s="59">
        <v>390</v>
      </c>
      <c r="T286" s="59">
        <v>1</v>
      </c>
      <c r="U286" s="59">
        <v>1</v>
      </c>
      <c r="V286" s="59">
        <v>60</v>
      </c>
      <c r="W286" s="59">
        <v>3</v>
      </c>
      <c r="X286" s="59">
        <v>2</v>
      </c>
      <c r="Y286" s="59">
        <v>5</v>
      </c>
      <c r="Z286" s="59">
        <f t="shared" si="85"/>
        <v>0</v>
      </c>
      <c r="AA286" s="59">
        <f>IF('Updated Dummy'!Y286=2,1,0)</f>
        <v>0</v>
      </c>
      <c r="AB286" s="59">
        <f t="shared" si="86"/>
        <v>0</v>
      </c>
      <c r="AC286" s="59">
        <f t="shared" si="87"/>
        <v>0</v>
      </c>
      <c r="AD286" s="59">
        <f t="shared" si="88"/>
        <v>1</v>
      </c>
      <c r="AE286" s="59">
        <f t="shared" si="89"/>
        <v>0</v>
      </c>
      <c r="AF286" s="59">
        <f t="shared" si="90"/>
        <v>0</v>
      </c>
      <c r="AG286" s="59">
        <f t="shared" si="91"/>
        <v>0</v>
      </c>
      <c r="AH286" s="59">
        <v>1</v>
      </c>
      <c r="AI286" s="59">
        <v>2</v>
      </c>
      <c r="AJ286" s="59">
        <f t="shared" si="92"/>
        <v>0</v>
      </c>
      <c r="AK286" s="59">
        <f t="shared" si="93"/>
        <v>1</v>
      </c>
      <c r="AL286" s="59">
        <v>4741</v>
      </c>
      <c r="AM286" s="59">
        <v>22722</v>
      </c>
      <c r="AN286" s="59">
        <v>1</v>
      </c>
      <c r="AO286" s="59">
        <v>1</v>
      </c>
      <c r="AP286" s="59">
        <v>13</v>
      </c>
      <c r="AQ286" s="59">
        <v>3</v>
      </c>
      <c r="AR286" s="59">
        <v>3</v>
      </c>
      <c r="AS286" s="59">
        <v>80</v>
      </c>
      <c r="AT286" s="59">
        <v>1</v>
      </c>
      <c r="AU286" s="59">
        <v>5</v>
      </c>
      <c r="AV286" s="59">
        <v>3</v>
      </c>
      <c r="AW286" s="59">
        <v>3</v>
      </c>
      <c r="AX286" s="59">
        <v>5</v>
      </c>
      <c r="AY286" s="59">
        <v>3</v>
      </c>
      <c r="AZ286" s="59">
        <v>3</v>
      </c>
      <c r="BA286" s="59">
        <v>3</v>
      </c>
      <c r="BB286" s="57">
        <f t="shared" si="94"/>
        <v>9482</v>
      </c>
    </row>
    <row r="287" spans="1:54" x14ac:dyDescent="0.25">
      <c r="A287" s="58">
        <v>37</v>
      </c>
      <c r="B287" s="59">
        <v>0</v>
      </c>
      <c r="C287" s="59">
        <v>1</v>
      </c>
      <c r="D287" s="59">
        <f t="shared" si="76"/>
        <v>1</v>
      </c>
      <c r="E287" s="59">
        <f t="shared" si="77"/>
        <v>0</v>
      </c>
      <c r="F287" s="59">
        <v>1372</v>
      </c>
      <c r="G287" s="59">
        <v>2</v>
      </c>
      <c r="H287" s="59">
        <f t="shared" si="78"/>
        <v>0</v>
      </c>
      <c r="I287" s="59">
        <f t="shared" si="79"/>
        <v>1</v>
      </c>
      <c r="J287" s="59">
        <v>1</v>
      </c>
      <c r="K287" s="59">
        <v>3</v>
      </c>
      <c r="L287" s="59">
        <v>1</v>
      </c>
      <c r="M287" s="59">
        <f t="shared" si="80"/>
        <v>1</v>
      </c>
      <c r="N287" s="59">
        <f t="shared" si="81"/>
        <v>0</v>
      </c>
      <c r="O287" s="59">
        <f t="shared" si="82"/>
        <v>0</v>
      </c>
      <c r="P287" s="59">
        <f t="shared" si="83"/>
        <v>0</v>
      </c>
      <c r="Q287" s="59">
        <f t="shared" si="84"/>
        <v>0</v>
      </c>
      <c r="R287" s="59">
        <v>1</v>
      </c>
      <c r="S287" s="59">
        <v>391</v>
      </c>
      <c r="T287" s="59">
        <v>4</v>
      </c>
      <c r="U287" s="59">
        <v>0</v>
      </c>
      <c r="V287" s="59">
        <v>42</v>
      </c>
      <c r="W287" s="59">
        <v>3</v>
      </c>
      <c r="X287" s="59">
        <v>1</v>
      </c>
      <c r="Y287" s="59">
        <v>2</v>
      </c>
      <c r="Z287" s="59">
        <f t="shared" si="85"/>
        <v>0</v>
      </c>
      <c r="AA287" s="59">
        <f>IF('Updated Dummy'!Y287=2,1,0)</f>
        <v>1</v>
      </c>
      <c r="AB287" s="59">
        <f t="shared" si="86"/>
        <v>0</v>
      </c>
      <c r="AC287" s="59">
        <f t="shared" si="87"/>
        <v>0</v>
      </c>
      <c r="AD287" s="59">
        <f t="shared" si="88"/>
        <v>0</v>
      </c>
      <c r="AE287" s="59">
        <f t="shared" si="89"/>
        <v>0</v>
      </c>
      <c r="AF287" s="59">
        <f t="shared" si="90"/>
        <v>0</v>
      </c>
      <c r="AG287" s="59">
        <f t="shared" si="91"/>
        <v>0</v>
      </c>
      <c r="AH287" s="59">
        <v>4</v>
      </c>
      <c r="AI287" s="59">
        <v>1</v>
      </c>
      <c r="AJ287" s="59">
        <f t="shared" si="92"/>
        <v>1</v>
      </c>
      <c r="AK287" s="59">
        <f t="shared" si="93"/>
        <v>0</v>
      </c>
      <c r="AL287" s="59">
        <v>2115</v>
      </c>
      <c r="AM287" s="59">
        <v>15881</v>
      </c>
      <c r="AN287" s="59">
        <v>1</v>
      </c>
      <c r="AO287" s="59">
        <v>0</v>
      </c>
      <c r="AP287" s="59">
        <v>12</v>
      </c>
      <c r="AQ287" s="59">
        <v>3</v>
      </c>
      <c r="AR287" s="59">
        <v>2</v>
      </c>
      <c r="AS287" s="59">
        <v>80</v>
      </c>
      <c r="AT287" s="59">
        <v>0</v>
      </c>
      <c r="AU287" s="59">
        <v>17</v>
      </c>
      <c r="AV287" s="59">
        <v>3</v>
      </c>
      <c r="AW287" s="59">
        <v>3</v>
      </c>
      <c r="AX287" s="59">
        <v>17</v>
      </c>
      <c r="AY287" s="59">
        <v>12</v>
      </c>
      <c r="AZ287" s="59">
        <v>5</v>
      </c>
      <c r="BA287" s="59">
        <v>7</v>
      </c>
      <c r="BB287" s="57">
        <f t="shared" si="94"/>
        <v>2115</v>
      </c>
    </row>
    <row r="288" spans="1:54" x14ac:dyDescent="0.25">
      <c r="A288" s="58">
        <v>44</v>
      </c>
      <c r="B288" s="59">
        <v>1</v>
      </c>
      <c r="C288" s="59">
        <v>2</v>
      </c>
      <c r="D288" s="59">
        <f t="shared" si="76"/>
        <v>0</v>
      </c>
      <c r="E288" s="59">
        <f t="shared" si="77"/>
        <v>1</v>
      </c>
      <c r="F288" s="59">
        <v>920</v>
      </c>
      <c r="G288" s="59">
        <v>2</v>
      </c>
      <c r="H288" s="59">
        <f t="shared" si="78"/>
        <v>0</v>
      </c>
      <c r="I288" s="59">
        <f t="shared" si="79"/>
        <v>1</v>
      </c>
      <c r="J288" s="59">
        <v>24</v>
      </c>
      <c r="K288" s="59">
        <v>3</v>
      </c>
      <c r="L288" s="59">
        <v>1</v>
      </c>
      <c r="M288" s="59">
        <f t="shared" si="80"/>
        <v>1</v>
      </c>
      <c r="N288" s="59">
        <f t="shared" si="81"/>
        <v>0</v>
      </c>
      <c r="O288" s="59">
        <f t="shared" si="82"/>
        <v>0</v>
      </c>
      <c r="P288" s="59">
        <f t="shared" si="83"/>
        <v>0</v>
      </c>
      <c r="Q288" s="59">
        <f t="shared" si="84"/>
        <v>0</v>
      </c>
      <c r="R288" s="59">
        <v>1</v>
      </c>
      <c r="S288" s="59">
        <v>392</v>
      </c>
      <c r="T288" s="59">
        <v>4</v>
      </c>
      <c r="U288" s="59">
        <v>1</v>
      </c>
      <c r="V288" s="59">
        <v>43</v>
      </c>
      <c r="W288" s="59">
        <v>3</v>
      </c>
      <c r="X288" s="59">
        <v>1</v>
      </c>
      <c r="Y288" s="59">
        <v>3</v>
      </c>
      <c r="Z288" s="59">
        <f t="shared" si="85"/>
        <v>0</v>
      </c>
      <c r="AA288" s="59">
        <f>IF('Updated Dummy'!Y288=2,1,0)</f>
        <v>0</v>
      </c>
      <c r="AB288" s="59">
        <f t="shared" si="86"/>
        <v>1</v>
      </c>
      <c r="AC288" s="59">
        <f t="shared" si="87"/>
        <v>0</v>
      </c>
      <c r="AD288" s="59">
        <f t="shared" si="88"/>
        <v>0</v>
      </c>
      <c r="AE288" s="59">
        <f t="shared" si="89"/>
        <v>0</v>
      </c>
      <c r="AF288" s="59">
        <f t="shared" si="90"/>
        <v>0</v>
      </c>
      <c r="AG288" s="59">
        <f t="shared" si="91"/>
        <v>0</v>
      </c>
      <c r="AH288" s="59">
        <v>3</v>
      </c>
      <c r="AI288" s="59">
        <v>3</v>
      </c>
      <c r="AJ288" s="59">
        <f t="shared" si="92"/>
        <v>0</v>
      </c>
      <c r="AK288" s="59">
        <f t="shared" si="93"/>
        <v>0</v>
      </c>
      <c r="AL288" s="59">
        <v>3161</v>
      </c>
      <c r="AM288" s="59">
        <v>19920</v>
      </c>
      <c r="AN288" s="59">
        <v>3</v>
      </c>
      <c r="AO288" s="59">
        <v>1</v>
      </c>
      <c r="AP288" s="59">
        <v>22</v>
      </c>
      <c r="AQ288" s="59">
        <v>4</v>
      </c>
      <c r="AR288" s="59">
        <v>4</v>
      </c>
      <c r="AS288" s="59">
        <v>80</v>
      </c>
      <c r="AT288" s="59">
        <v>1</v>
      </c>
      <c r="AU288" s="59">
        <v>19</v>
      </c>
      <c r="AV288" s="59">
        <v>0</v>
      </c>
      <c r="AW288" s="59">
        <v>1</v>
      </c>
      <c r="AX288" s="59">
        <v>1</v>
      </c>
      <c r="AY288" s="59">
        <v>0</v>
      </c>
      <c r="AZ288" s="59">
        <v>0</v>
      </c>
      <c r="BA288" s="59">
        <v>0</v>
      </c>
      <c r="BB288" s="57">
        <f t="shared" si="94"/>
        <v>3161</v>
      </c>
    </row>
    <row r="289" spans="1:54" x14ac:dyDescent="0.25">
      <c r="A289" s="58">
        <v>38</v>
      </c>
      <c r="B289" s="59">
        <v>0</v>
      </c>
      <c r="C289" s="59">
        <v>1</v>
      </c>
      <c r="D289" s="59">
        <f t="shared" si="76"/>
        <v>1</v>
      </c>
      <c r="E289" s="59">
        <f t="shared" si="77"/>
        <v>0</v>
      </c>
      <c r="F289" s="59">
        <v>688</v>
      </c>
      <c r="G289" s="59">
        <v>2</v>
      </c>
      <c r="H289" s="59">
        <f t="shared" si="78"/>
        <v>0</v>
      </c>
      <c r="I289" s="59">
        <f t="shared" si="79"/>
        <v>1</v>
      </c>
      <c r="J289" s="59">
        <v>23</v>
      </c>
      <c r="K289" s="59">
        <v>4</v>
      </c>
      <c r="L289" s="59">
        <v>1</v>
      </c>
      <c r="M289" s="59">
        <f t="shared" si="80"/>
        <v>1</v>
      </c>
      <c r="N289" s="59">
        <f t="shared" si="81"/>
        <v>0</v>
      </c>
      <c r="O289" s="59">
        <f t="shared" si="82"/>
        <v>0</v>
      </c>
      <c r="P289" s="59">
        <f t="shared" si="83"/>
        <v>0</v>
      </c>
      <c r="Q289" s="59">
        <f t="shared" si="84"/>
        <v>0</v>
      </c>
      <c r="R289" s="59">
        <v>1</v>
      </c>
      <c r="S289" s="59">
        <v>393</v>
      </c>
      <c r="T289" s="59">
        <v>4</v>
      </c>
      <c r="U289" s="59">
        <v>1</v>
      </c>
      <c r="V289" s="59">
        <v>82</v>
      </c>
      <c r="W289" s="59">
        <v>3</v>
      </c>
      <c r="X289" s="59">
        <v>2</v>
      </c>
      <c r="Y289" s="59">
        <v>5</v>
      </c>
      <c r="Z289" s="59">
        <f t="shared" si="85"/>
        <v>0</v>
      </c>
      <c r="AA289" s="59">
        <f>IF('Updated Dummy'!Y289=2,1,0)</f>
        <v>0</v>
      </c>
      <c r="AB289" s="59">
        <f t="shared" si="86"/>
        <v>0</v>
      </c>
      <c r="AC289" s="59">
        <f t="shared" si="87"/>
        <v>0</v>
      </c>
      <c r="AD289" s="59">
        <f t="shared" si="88"/>
        <v>1</v>
      </c>
      <c r="AE289" s="59">
        <f t="shared" si="89"/>
        <v>0</v>
      </c>
      <c r="AF289" s="59">
        <f t="shared" si="90"/>
        <v>0</v>
      </c>
      <c r="AG289" s="59">
        <f t="shared" si="91"/>
        <v>0</v>
      </c>
      <c r="AH289" s="59">
        <v>4</v>
      </c>
      <c r="AI289" s="59">
        <v>3</v>
      </c>
      <c r="AJ289" s="59">
        <f t="shared" si="92"/>
        <v>0</v>
      </c>
      <c r="AK289" s="59">
        <f t="shared" si="93"/>
        <v>0</v>
      </c>
      <c r="AL289" s="59">
        <v>5745</v>
      </c>
      <c r="AM289" s="59">
        <v>18899</v>
      </c>
      <c r="AN289" s="59">
        <v>9</v>
      </c>
      <c r="AO289" s="59">
        <v>0</v>
      </c>
      <c r="AP289" s="59">
        <v>14</v>
      </c>
      <c r="AQ289" s="59">
        <v>3</v>
      </c>
      <c r="AR289" s="59">
        <v>2</v>
      </c>
      <c r="AS289" s="59">
        <v>80</v>
      </c>
      <c r="AT289" s="59">
        <v>1</v>
      </c>
      <c r="AU289" s="59">
        <v>10</v>
      </c>
      <c r="AV289" s="59">
        <v>2</v>
      </c>
      <c r="AW289" s="59">
        <v>3</v>
      </c>
      <c r="AX289" s="59">
        <v>2</v>
      </c>
      <c r="AY289" s="59">
        <v>2</v>
      </c>
      <c r="AZ289" s="59">
        <v>1</v>
      </c>
      <c r="BA289" s="59">
        <v>2</v>
      </c>
      <c r="BB289" s="57">
        <f t="shared" si="94"/>
        <v>11490</v>
      </c>
    </row>
    <row r="290" spans="1:54" x14ac:dyDescent="0.25">
      <c r="A290" s="58">
        <v>26</v>
      </c>
      <c r="B290" s="59">
        <v>1</v>
      </c>
      <c r="C290" s="59">
        <v>1</v>
      </c>
      <c r="D290" s="59">
        <f t="shared" si="76"/>
        <v>1</v>
      </c>
      <c r="E290" s="59">
        <f t="shared" si="77"/>
        <v>0</v>
      </c>
      <c r="F290" s="59">
        <v>1449</v>
      </c>
      <c r="G290" s="59">
        <v>2</v>
      </c>
      <c r="H290" s="59">
        <f t="shared" si="78"/>
        <v>0</v>
      </c>
      <c r="I290" s="59">
        <f t="shared" si="79"/>
        <v>1</v>
      </c>
      <c r="J290" s="59">
        <v>16</v>
      </c>
      <c r="K290" s="59">
        <v>4</v>
      </c>
      <c r="L290" s="59">
        <v>3</v>
      </c>
      <c r="M290" s="59">
        <f t="shared" si="80"/>
        <v>0</v>
      </c>
      <c r="N290" s="59">
        <f t="shared" si="81"/>
        <v>0</v>
      </c>
      <c r="O290" s="59">
        <f t="shared" si="82"/>
        <v>1</v>
      </c>
      <c r="P290" s="59">
        <f t="shared" si="83"/>
        <v>0</v>
      </c>
      <c r="Q290" s="59">
        <f t="shared" si="84"/>
        <v>0</v>
      </c>
      <c r="R290" s="59">
        <v>1</v>
      </c>
      <c r="S290" s="59">
        <v>394</v>
      </c>
      <c r="T290" s="59">
        <v>1</v>
      </c>
      <c r="U290" s="59">
        <v>1</v>
      </c>
      <c r="V290" s="59">
        <v>45</v>
      </c>
      <c r="W290" s="59">
        <v>3</v>
      </c>
      <c r="X290" s="59">
        <v>1</v>
      </c>
      <c r="Y290" s="59">
        <v>3</v>
      </c>
      <c r="Z290" s="59">
        <f t="shared" si="85"/>
        <v>0</v>
      </c>
      <c r="AA290" s="59">
        <f>IF('Updated Dummy'!Y290=2,1,0)</f>
        <v>0</v>
      </c>
      <c r="AB290" s="59">
        <f t="shared" si="86"/>
        <v>1</v>
      </c>
      <c r="AC290" s="59">
        <f t="shared" si="87"/>
        <v>0</v>
      </c>
      <c r="AD290" s="59">
        <f t="shared" si="88"/>
        <v>0</v>
      </c>
      <c r="AE290" s="59">
        <f t="shared" si="89"/>
        <v>0</v>
      </c>
      <c r="AF290" s="59">
        <f t="shared" si="90"/>
        <v>0</v>
      </c>
      <c r="AG290" s="59">
        <f t="shared" si="91"/>
        <v>0</v>
      </c>
      <c r="AH290" s="59">
        <v>2</v>
      </c>
      <c r="AI290" s="59">
        <v>3</v>
      </c>
      <c r="AJ290" s="59">
        <f t="shared" si="92"/>
        <v>0</v>
      </c>
      <c r="AK290" s="59">
        <f t="shared" si="93"/>
        <v>0</v>
      </c>
      <c r="AL290" s="59">
        <v>2373</v>
      </c>
      <c r="AM290" s="59">
        <v>14180</v>
      </c>
      <c r="AN290" s="59">
        <v>2</v>
      </c>
      <c r="AO290" s="59">
        <v>1</v>
      </c>
      <c r="AP290" s="59">
        <v>13</v>
      </c>
      <c r="AQ290" s="59">
        <v>3</v>
      </c>
      <c r="AR290" s="59">
        <v>4</v>
      </c>
      <c r="AS290" s="59">
        <v>80</v>
      </c>
      <c r="AT290" s="59">
        <v>1</v>
      </c>
      <c r="AU290" s="59">
        <v>5</v>
      </c>
      <c r="AV290" s="59">
        <v>2</v>
      </c>
      <c r="AW290" s="59">
        <v>3</v>
      </c>
      <c r="AX290" s="59">
        <v>3</v>
      </c>
      <c r="AY290" s="59">
        <v>2</v>
      </c>
      <c r="AZ290" s="59">
        <v>0</v>
      </c>
      <c r="BA290" s="59">
        <v>2</v>
      </c>
      <c r="BB290" s="57">
        <f t="shared" si="94"/>
        <v>2373</v>
      </c>
    </row>
    <row r="291" spans="1:54" x14ac:dyDescent="0.25">
      <c r="A291" s="58">
        <v>28</v>
      </c>
      <c r="B291" s="59">
        <v>0</v>
      </c>
      <c r="C291" s="59">
        <v>1</v>
      </c>
      <c r="D291" s="59">
        <f t="shared" si="76"/>
        <v>1</v>
      </c>
      <c r="E291" s="59">
        <f t="shared" si="77"/>
        <v>0</v>
      </c>
      <c r="F291" s="59">
        <v>1117</v>
      </c>
      <c r="G291" s="59">
        <v>2</v>
      </c>
      <c r="H291" s="59">
        <f t="shared" si="78"/>
        <v>0</v>
      </c>
      <c r="I291" s="59">
        <f t="shared" si="79"/>
        <v>1</v>
      </c>
      <c r="J291" s="59">
        <v>8</v>
      </c>
      <c r="K291" s="59">
        <v>2</v>
      </c>
      <c r="L291" s="59">
        <v>1</v>
      </c>
      <c r="M291" s="59">
        <f t="shared" si="80"/>
        <v>1</v>
      </c>
      <c r="N291" s="59">
        <f t="shared" si="81"/>
        <v>0</v>
      </c>
      <c r="O291" s="59">
        <f t="shared" si="82"/>
        <v>0</v>
      </c>
      <c r="P291" s="59">
        <f t="shared" si="83"/>
        <v>0</v>
      </c>
      <c r="Q291" s="59">
        <f t="shared" si="84"/>
        <v>0</v>
      </c>
      <c r="R291" s="59">
        <v>1</v>
      </c>
      <c r="S291" s="59">
        <v>395</v>
      </c>
      <c r="T291" s="59">
        <v>4</v>
      </c>
      <c r="U291" s="59">
        <v>0</v>
      </c>
      <c r="V291" s="59">
        <v>66</v>
      </c>
      <c r="W291" s="59">
        <v>3</v>
      </c>
      <c r="X291" s="59">
        <v>1</v>
      </c>
      <c r="Y291" s="59">
        <v>2</v>
      </c>
      <c r="Z291" s="59">
        <f t="shared" si="85"/>
        <v>0</v>
      </c>
      <c r="AA291" s="59">
        <f>IF('Updated Dummy'!Y291=2,1,0)</f>
        <v>1</v>
      </c>
      <c r="AB291" s="59">
        <f t="shared" si="86"/>
        <v>0</v>
      </c>
      <c r="AC291" s="59">
        <f t="shared" si="87"/>
        <v>0</v>
      </c>
      <c r="AD291" s="59">
        <f t="shared" si="88"/>
        <v>0</v>
      </c>
      <c r="AE291" s="59">
        <f t="shared" si="89"/>
        <v>0</v>
      </c>
      <c r="AF291" s="59">
        <f t="shared" si="90"/>
        <v>0</v>
      </c>
      <c r="AG291" s="59">
        <f t="shared" si="91"/>
        <v>0</v>
      </c>
      <c r="AH291" s="59">
        <v>4</v>
      </c>
      <c r="AI291" s="59">
        <v>1</v>
      </c>
      <c r="AJ291" s="59">
        <f t="shared" si="92"/>
        <v>1</v>
      </c>
      <c r="AK291" s="59">
        <f t="shared" si="93"/>
        <v>0</v>
      </c>
      <c r="AL291" s="59">
        <v>3310</v>
      </c>
      <c r="AM291" s="59">
        <v>4488</v>
      </c>
      <c r="AN291" s="59">
        <v>1</v>
      </c>
      <c r="AO291" s="59">
        <v>0</v>
      </c>
      <c r="AP291" s="59">
        <v>21</v>
      </c>
      <c r="AQ291" s="59">
        <v>4</v>
      </c>
      <c r="AR291" s="59">
        <v>4</v>
      </c>
      <c r="AS291" s="59">
        <v>80</v>
      </c>
      <c r="AT291" s="59">
        <v>0</v>
      </c>
      <c r="AU291" s="59">
        <v>5</v>
      </c>
      <c r="AV291" s="59">
        <v>3</v>
      </c>
      <c r="AW291" s="59">
        <v>3</v>
      </c>
      <c r="AX291" s="59">
        <v>5</v>
      </c>
      <c r="AY291" s="59">
        <v>3</v>
      </c>
      <c r="AZ291" s="59">
        <v>0</v>
      </c>
      <c r="BA291" s="59">
        <v>2</v>
      </c>
      <c r="BB291" s="57">
        <f t="shared" si="94"/>
        <v>3310</v>
      </c>
    </row>
    <row r="292" spans="1:54" x14ac:dyDescent="0.25">
      <c r="A292" s="58">
        <v>49</v>
      </c>
      <c r="B292" s="59">
        <v>0</v>
      </c>
      <c r="C292" s="59">
        <v>2</v>
      </c>
      <c r="D292" s="59">
        <f t="shared" si="76"/>
        <v>0</v>
      </c>
      <c r="E292" s="59">
        <f t="shared" si="77"/>
        <v>1</v>
      </c>
      <c r="F292" s="59">
        <v>636</v>
      </c>
      <c r="G292" s="59">
        <v>2</v>
      </c>
      <c r="H292" s="59">
        <f t="shared" si="78"/>
        <v>0</v>
      </c>
      <c r="I292" s="59">
        <f t="shared" si="79"/>
        <v>1</v>
      </c>
      <c r="J292" s="59">
        <v>10</v>
      </c>
      <c r="K292" s="59">
        <v>4</v>
      </c>
      <c r="L292" s="59">
        <v>1</v>
      </c>
      <c r="M292" s="59">
        <f t="shared" si="80"/>
        <v>1</v>
      </c>
      <c r="N292" s="59">
        <f t="shared" si="81"/>
        <v>0</v>
      </c>
      <c r="O292" s="59">
        <f t="shared" si="82"/>
        <v>0</v>
      </c>
      <c r="P292" s="59">
        <f t="shared" si="83"/>
        <v>0</v>
      </c>
      <c r="Q292" s="59">
        <f t="shared" si="84"/>
        <v>0</v>
      </c>
      <c r="R292" s="59">
        <v>1</v>
      </c>
      <c r="S292" s="59">
        <v>396</v>
      </c>
      <c r="T292" s="59">
        <v>3</v>
      </c>
      <c r="U292" s="59">
        <v>0</v>
      </c>
      <c r="V292" s="59">
        <v>35</v>
      </c>
      <c r="W292" s="59">
        <v>3</v>
      </c>
      <c r="X292" s="59">
        <v>5</v>
      </c>
      <c r="Y292" s="59">
        <v>8</v>
      </c>
      <c r="Z292" s="59">
        <f t="shared" si="85"/>
        <v>0</v>
      </c>
      <c r="AA292" s="59">
        <f>IF('Updated Dummy'!Y292=2,1,0)</f>
        <v>0</v>
      </c>
      <c r="AB292" s="59">
        <f t="shared" si="86"/>
        <v>0</v>
      </c>
      <c r="AC292" s="59">
        <f t="shared" si="87"/>
        <v>0</v>
      </c>
      <c r="AD292" s="59">
        <f t="shared" si="88"/>
        <v>0</v>
      </c>
      <c r="AE292" s="59">
        <f t="shared" si="89"/>
        <v>0</v>
      </c>
      <c r="AF292" s="59">
        <f t="shared" si="90"/>
        <v>0</v>
      </c>
      <c r="AG292" s="59">
        <f t="shared" si="91"/>
        <v>1</v>
      </c>
      <c r="AH292" s="59">
        <v>1</v>
      </c>
      <c r="AI292" s="59">
        <v>1</v>
      </c>
      <c r="AJ292" s="59">
        <f t="shared" si="92"/>
        <v>1</v>
      </c>
      <c r="AK292" s="59">
        <f t="shared" si="93"/>
        <v>0</v>
      </c>
      <c r="AL292" s="59">
        <v>18665</v>
      </c>
      <c r="AM292" s="59">
        <v>25594</v>
      </c>
      <c r="AN292" s="59">
        <v>9</v>
      </c>
      <c r="AO292" s="59">
        <v>1</v>
      </c>
      <c r="AP292" s="59">
        <v>11</v>
      </c>
      <c r="AQ292" s="59">
        <v>3</v>
      </c>
      <c r="AR292" s="59">
        <v>4</v>
      </c>
      <c r="AS292" s="59">
        <v>80</v>
      </c>
      <c r="AT292" s="59">
        <v>0</v>
      </c>
      <c r="AU292" s="59">
        <v>22</v>
      </c>
      <c r="AV292" s="59">
        <v>4</v>
      </c>
      <c r="AW292" s="59">
        <v>3</v>
      </c>
      <c r="AX292" s="59">
        <v>3</v>
      </c>
      <c r="AY292" s="59">
        <v>2</v>
      </c>
      <c r="AZ292" s="59">
        <v>1</v>
      </c>
      <c r="BA292" s="59">
        <v>2</v>
      </c>
      <c r="BB292" s="57">
        <f t="shared" si="94"/>
        <v>93325</v>
      </c>
    </row>
    <row r="293" spans="1:54" x14ac:dyDescent="0.25">
      <c r="A293" s="58">
        <v>36</v>
      </c>
      <c r="B293" s="59">
        <v>0</v>
      </c>
      <c r="C293" s="59">
        <v>1</v>
      </c>
      <c r="D293" s="59">
        <f t="shared" si="76"/>
        <v>1</v>
      </c>
      <c r="E293" s="59">
        <f t="shared" si="77"/>
        <v>0</v>
      </c>
      <c r="F293" s="59">
        <v>506</v>
      </c>
      <c r="G293" s="59">
        <v>2</v>
      </c>
      <c r="H293" s="59">
        <f t="shared" si="78"/>
        <v>0</v>
      </c>
      <c r="I293" s="59">
        <f t="shared" si="79"/>
        <v>1</v>
      </c>
      <c r="J293" s="59">
        <v>3</v>
      </c>
      <c r="K293" s="59">
        <v>3</v>
      </c>
      <c r="L293" s="59">
        <v>5</v>
      </c>
      <c r="M293" s="59">
        <f t="shared" si="80"/>
        <v>0</v>
      </c>
      <c r="N293" s="59">
        <f t="shared" si="81"/>
        <v>0</v>
      </c>
      <c r="O293" s="59">
        <f t="shared" si="82"/>
        <v>0</v>
      </c>
      <c r="P293" s="59">
        <f t="shared" si="83"/>
        <v>0</v>
      </c>
      <c r="Q293" s="59">
        <f t="shared" si="84"/>
        <v>1</v>
      </c>
      <c r="R293" s="59">
        <v>1</v>
      </c>
      <c r="S293" s="59">
        <v>397</v>
      </c>
      <c r="T293" s="59">
        <v>3</v>
      </c>
      <c r="U293" s="59">
        <v>1</v>
      </c>
      <c r="V293" s="59">
        <v>30</v>
      </c>
      <c r="W293" s="59">
        <v>3</v>
      </c>
      <c r="X293" s="59">
        <v>2</v>
      </c>
      <c r="Y293" s="59">
        <v>2</v>
      </c>
      <c r="Z293" s="59">
        <f t="shared" si="85"/>
        <v>0</v>
      </c>
      <c r="AA293" s="59">
        <f>IF('Updated Dummy'!Y293=2,1,0)</f>
        <v>1</v>
      </c>
      <c r="AB293" s="59">
        <f t="shared" si="86"/>
        <v>0</v>
      </c>
      <c r="AC293" s="59">
        <f t="shared" si="87"/>
        <v>0</v>
      </c>
      <c r="AD293" s="59">
        <f t="shared" si="88"/>
        <v>0</v>
      </c>
      <c r="AE293" s="59">
        <f t="shared" si="89"/>
        <v>0</v>
      </c>
      <c r="AF293" s="59">
        <f t="shared" si="90"/>
        <v>0</v>
      </c>
      <c r="AG293" s="59">
        <f t="shared" si="91"/>
        <v>0</v>
      </c>
      <c r="AH293" s="59">
        <v>2</v>
      </c>
      <c r="AI293" s="59">
        <v>1</v>
      </c>
      <c r="AJ293" s="59">
        <f t="shared" si="92"/>
        <v>1</v>
      </c>
      <c r="AK293" s="59">
        <f t="shared" si="93"/>
        <v>0</v>
      </c>
      <c r="AL293" s="59">
        <v>4485</v>
      </c>
      <c r="AM293" s="59">
        <v>26285</v>
      </c>
      <c r="AN293" s="59">
        <v>4</v>
      </c>
      <c r="AO293" s="59">
        <v>0</v>
      </c>
      <c r="AP293" s="59">
        <v>12</v>
      </c>
      <c r="AQ293" s="59">
        <v>3</v>
      </c>
      <c r="AR293" s="59">
        <v>4</v>
      </c>
      <c r="AS293" s="59">
        <v>80</v>
      </c>
      <c r="AT293" s="59">
        <v>0</v>
      </c>
      <c r="AU293" s="59">
        <v>10</v>
      </c>
      <c r="AV293" s="59">
        <v>2</v>
      </c>
      <c r="AW293" s="59">
        <v>3</v>
      </c>
      <c r="AX293" s="59">
        <v>8</v>
      </c>
      <c r="AY293" s="59">
        <v>0</v>
      </c>
      <c r="AZ293" s="59">
        <v>7</v>
      </c>
      <c r="BA293" s="59">
        <v>7</v>
      </c>
      <c r="BB293" s="57">
        <f t="shared" si="94"/>
        <v>8970</v>
      </c>
    </row>
    <row r="294" spans="1:54" x14ac:dyDescent="0.25">
      <c r="A294" s="58">
        <v>31</v>
      </c>
      <c r="B294" s="59">
        <v>0</v>
      </c>
      <c r="C294" s="59">
        <v>2</v>
      </c>
      <c r="D294" s="59">
        <f t="shared" si="76"/>
        <v>0</v>
      </c>
      <c r="E294" s="59">
        <f t="shared" si="77"/>
        <v>1</v>
      </c>
      <c r="F294" s="59">
        <v>444</v>
      </c>
      <c r="G294" s="59">
        <v>1</v>
      </c>
      <c r="H294" s="59">
        <f t="shared" si="78"/>
        <v>1</v>
      </c>
      <c r="I294" s="59">
        <f t="shared" si="79"/>
        <v>0</v>
      </c>
      <c r="J294" s="59">
        <v>5</v>
      </c>
      <c r="K294" s="59">
        <v>3</v>
      </c>
      <c r="L294" s="59">
        <v>4</v>
      </c>
      <c r="M294" s="59">
        <f t="shared" si="80"/>
        <v>0</v>
      </c>
      <c r="N294" s="59">
        <f t="shared" si="81"/>
        <v>0</v>
      </c>
      <c r="O294" s="59">
        <f t="shared" si="82"/>
        <v>0</v>
      </c>
      <c r="P294" s="59">
        <f t="shared" si="83"/>
        <v>1</v>
      </c>
      <c r="Q294" s="59">
        <f t="shared" si="84"/>
        <v>0</v>
      </c>
      <c r="R294" s="59">
        <v>1</v>
      </c>
      <c r="S294" s="59">
        <v>399</v>
      </c>
      <c r="T294" s="59">
        <v>4</v>
      </c>
      <c r="U294" s="59">
        <v>0</v>
      </c>
      <c r="V294" s="59">
        <v>84</v>
      </c>
      <c r="W294" s="59">
        <v>3</v>
      </c>
      <c r="X294" s="59">
        <v>1</v>
      </c>
      <c r="Y294" s="59">
        <v>7</v>
      </c>
      <c r="Z294" s="59">
        <f t="shared" si="85"/>
        <v>0</v>
      </c>
      <c r="AA294" s="59">
        <f>IF('Updated Dummy'!Y294=2,1,0)</f>
        <v>0</v>
      </c>
      <c r="AB294" s="59">
        <f t="shared" si="86"/>
        <v>0</v>
      </c>
      <c r="AC294" s="59">
        <f t="shared" si="87"/>
        <v>0</v>
      </c>
      <c r="AD294" s="59">
        <f t="shared" si="88"/>
        <v>0</v>
      </c>
      <c r="AE294" s="59">
        <f t="shared" si="89"/>
        <v>0</v>
      </c>
      <c r="AF294" s="59">
        <f t="shared" si="90"/>
        <v>1</v>
      </c>
      <c r="AG294" s="59">
        <f t="shared" si="91"/>
        <v>0</v>
      </c>
      <c r="AH294" s="59">
        <v>2</v>
      </c>
      <c r="AI294" s="59">
        <v>3</v>
      </c>
      <c r="AJ294" s="59">
        <f t="shared" si="92"/>
        <v>0</v>
      </c>
      <c r="AK294" s="59">
        <f t="shared" si="93"/>
        <v>0</v>
      </c>
      <c r="AL294" s="59">
        <v>2789</v>
      </c>
      <c r="AM294" s="59">
        <v>3909</v>
      </c>
      <c r="AN294" s="59">
        <v>1</v>
      </c>
      <c r="AO294" s="59">
        <v>0</v>
      </c>
      <c r="AP294" s="59">
        <v>11</v>
      </c>
      <c r="AQ294" s="59">
        <v>3</v>
      </c>
      <c r="AR294" s="59">
        <v>3</v>
      </c>
      <c r="AS294" s="59">
        <v>80</v>
      </c>
      <c r="AT294" s="59">
        <v>1</v>
      </c>
      <c r="AU294" s="59">
        <v>2</v>
      </c>
      <c r="AV294" s="59">
        <v>5</v>
      </c>
      <c r="AW294" s="59">
        <v>2</v>
      </c>
      <c r="AX294" s="59">
        <v>2</v>
      </c>
      <c r="AY294" s="59">
        <v>2</v>
      </c>
      <c r="AZ294" s="59">
        <v>2</v>
      </c>
      <c r="BA294" s="59">
        <v>2</v>
      </c>
      <c r="BB294" s="57">
        <f t="shared" si="94"/>
        <v>2789</v>
      </c>
    </row>
    <row r="295" spans="1:54" x14ac:dyDescent="0.25">
      <c r="A295" s="58">
        <v>26</v>
      </c>
      <c r="B295" s="59">
        <v>1</v>
      </c>
      <c r="C295" s="59">
        <v>1</v>
      </c>
      <c r="D295" s="59">
        <f t="shared" si="76"/>
        <v>1</v>
      </c>
      <c r="E295" s="59">
        <f t="shared" si="77"/>
        <v>0</v>
      </c>
      <c r="F295" s="59">
        <v>950</v>
      </c>
      <c r="G295" s="59">
        <v>1</v>
      </c>
      <c r="H295" s="59">
        <f t="shared" si="78"/>
        <v>1</v>
      </c>
      <c r="I295" s="59">
        <f t="shared" si="79"/>
        <v>0</v>
      </c>
      <c r="J295" s="59">
        <v>4</v>
      </c>
      <c r="K295" s="59">
        <v>4</v>
      </c>
      <c r="L295" s="59">
        <v>4</v>
      </c>
      <c r="M295" s="59">
        <f t="shared" si="80"/>
        <v>0</v>
      </c>
      <c r="N295" s="59">
        <f t="shared" si="81"/>
        <v>0</v>
      </c>
      <c r="O295" s="59">
        <f t="shared" si="82"/>
        <v>0</v>
      </c>
      <c r="P295" s="59">
        <f t="shared" si="83"/>
        <v>1</v>
      </c>
      <c r="Q295" s="59">
        <f t="shared" si="84"/>
        <v>0</v>
      </c>
      <c r="R295" s="59">
        <v>1</v>
      </c>
      <c r="S295" s="59">
        <v>401</v>
      </c>
      <c r="T295" s="59">
        <v>4</v>
      </c>
      <c r="U295" s="59">
        <v>1</v>
      </c>
      <c r="V295" s="59">
        <v>48</v>
      </c>
      <c r="W295" s="59">
        <v>2</v>
      </c>
      <c r="X295" s="59">
        <v>2</v>
      </c>
      <c r="Y295" s="59">
        <v>1</v>
      </c>
      <c r="Z295" s="59">
        <f t="shared" si="85"/>
        <v>1</v>
      </c>
      <c r="AA295" s="59">
        <f>IF('Updated Dummy'!Y295=2,1,0)</f>
        <v>0</v>
      </c>
      <c r="AB295" s="59">
        <f t="shared" si="86"/>
        <v>0</v>
      </c>
      <c r="AC295" s="59">
        <f t="shared" si="87"/>
        <v>0</v>
      </c>
      <c r="AD295" s="59">
        <f t="shared" si="88"/>
        <v>0</v>
      </c>
      <c r="AE295" s="59">
        <f t="shared" si="89"/>
        <v>0</v>
      </c>
      <c r="AF295" s="59">
        <f t="shared" si="90"/>
        <v>0</v>
      </c>
      <c r="AG295" s="59">
        <f t="shared" si="91"/>
        <v>0</v>
      </c>
      <c r="AH295" s="59">
        <v>4</v>
      </c>
      <c r="AI295" s="59">
        <v>1</v>
      </c>
      <c r="AJ295" s="59">
        <f t="shared" si="92"/>
        <v>1</v>
      </c>
      <c r="AK295" s="59">
        <f t="shared" si="93"/>
        <v>0</v>
      </c>
      <c r="AL295" s="59">
        <v>5828</v>
      </c>
      <c r="AM295" s="59">
        <v>8450</v>
      </c>
      <c r="AN295" s="59">
        <v>1</v>
      </c>
      <c r="AO295" s="59">
        <v>1</v>
      </c>
      <c r="AP295" s="59">
        <v>12</v>
      </c>
      <c r="AQ295" s="59">
        <v>3</v>
      </c>
      <c r="AR295" s="59">
        <v>2</v>
      </c>
      <c r="AS295" s="59">
        <v>80</v>
      </c>
      <c r="AT295" s="59">
        <v>0</v>
      </c>
      <c r="AU295" s="59">
        <v>8</v>
      </c>
      <c r="AV295" s="59">
        <v>0</v>
      </c>
      <c r="AW295" s="59">
        <v>3</v>
      </c>
      <c r="AX295" s="59">
        <v>8</v>
      </c>
      <c r="AY295" s="59">
        <v>7</v>
      </c>
      <c r="AZ295" s="59">
        <v>7</v>
      </c>
      <c r="BA295" s="59">
        <v>4</v>
      </c>
      <c r="BB295" s="57">
        <f t="shared" si="94"/>
        <v>11656</v>
      </c>
    </row>
    <row r="296" spans="1:54" x14ac:dyDescent="0.25">
      <c r="A296" s="58">
        <v>37</v>
      </c>
      <c r="B296" s="59">
        <v>0</v>
      </c>
      <c r="C296" s="59">
        <v>2</v>
      </c>
      <c r="D296" s="59">
        <f t="shared" si="76"/>
        <v>0</v>
      </c>
      <c r="E296" s="59">
        <f t="shared" si="77"/>
        <v>1</v>
      </c>
      <c r="F296" s="59">
        <v>889</v>
      </c>
      <c r="G296" s="59">
        <v>2</v>
      </c>
      <c r="H296" s="59">
        <f t="shared" si="78"/>
        <v>0</v>
      </c>
      <c r="I296" s="59">
        <f t="shared" si="79"/>
        <v>1</v>
      </c>
      <c r="J296" s="59">
        <v>9</v>
      </c>
      <c r="K296" s="59">
        <v>3</v>
      </c>
      <c r="L296" s="59">
        <v>3</v>
      </c>
      <c r="M296" s="59">
        <f t="shared" si="80"/>
        <v>0</v>
      </c>
      <c r="N296" s="59">
        <f t="shared" si="81"/>
        <v>0</v>
      </c>
      <c r="O296" s="59">
        <f t="shared" si="82"/>
        <v>1</v>
      </c>
      <c r="P296" s="59">
        <f t="shared" si="83"/>
        <v>0</v>
      </c>
      <c r="Q296" s="59">
        <f t="shared" si="84"/>
        <v>0</v>
      </c>
      <c r="R296" s="59">
        <v>1</v>
      </c>
      <c r="S296" s="59">
        <v>403</v>
      </c>
      <c r="T296" s="59">
        <v>2</v>
      </c>
      <c r="U296" s="59">
        <v>1</v>
      </c>
      <c r="V296" s="59">
        <v>53</v>
      </c>
      <c r="W296" s="59">
        <v>3</v>
      </c>
      <c r="X296" s="59">
        <v>1</v>
      </c>
      <c r="Y296" s="59">
        <v>2</v>
      </c>
      <c r="Z296" s="59">
        <f t="shared" si="85"/>
        <v>0</v>
      </c>
      <c r="AA296" s="59">
        <f>IF('Updated Dummy'!Y296=2,1,0)</f>
        <v>1</v>
      </c>
      <c r="AB296" s="59">
        <f t="shared" si="86"/>
        <v>0</v>
      </c>
      <c r="AC296" s="59">
        <f t="shared" si="87"/>
        <v>0</v>
      </c>
      <c r="AD296" s="59">
        <f t="shared" si="88"/>
        <v>0</v>
      </c>
      <c r="AE296" s="59">
        <f t="shared" si="89"/>
        <v>0</v>
      </c>
      <c r="AF296" s="59">
        <f t="shared" si="90"/>
        <v>0</v>
      </c>
      <c r="AG296" s="59">
        <f t="shared" si="91"/>
        <v>0</v>
      </c>
      <c r="AH296" s="59">
        <v>4</v>
      </c>
      <c r="AI296" s="59">
        <v>2</v>
      </c>
      <c r="AJ296" s="59">
        <f t="shared" si="92"/>
        <v>0</v>
      </c>
      <c r="AK296" s="59">
        <f t="shared" si="93"/>
        <v>1</v>
      </c>
      <c r="AL296" s="59">
        <v>2326</v>
      </c>
      <c r="AM296" s="59">
        <v>11411</v>
      </c>
      <c r="AN296" s="59">
        <v>1</v>
      </c>
      <c r="AO296" s="59">
        <v>1</v>
      </c>
      <c r="AP296" s="59">
        <v>12</v>
      </c>
      <c r="AQ296" s="59">
        <v>3</v>
      </c>
      <c r="AR296" s="59">
        <v>3</v>
      </c>
      <c r="AS296" s="59">
        <v>80</v>
      </c>
      <c r="AT296" s="59">
        <v>3</v>
      </c>
      <c r="AU296" s="59">
        <v>4</v>
      </c>
      <c r="AV296" s="59">
        <v>3</v>
      </c>
      <c r="AW296" s="59">
        <v>2</v>
      </c>
      <c r="AX296" s="59">
        <v>4</v>
      </c>
      <c r="AY296" s="59">
        <v>2</v>
      </c>
      <c r="AZ296" s="59">
        <v>1</v>
      </c>
      <c r="BA296" s="59">
        <v>2</v>
      </c>
      <c r="BB296" s="57">
        <f t="shared" si="94"/>
        <v>2326</v>
      </c>
    </row>
    <row r="297" spans="1:54" x14ac:dyDescent="0.25">
      <c r="A297" s="58">
        <v>42</v>
      </c>
      <c r="B297" s="59">
        <v>0</v>
      </c>
      <c r="C297" s="59">
        <v>2</v>
      </c>
      <c r="D297" s="59">
        <f t="shared" si="76"/>
        <v>0</v>
      </c>
      <c r="E297" s="59">
        <f t="shared" si="77"/>
        <v>1</v>
      </c>
      <c r="F297" s="59">
        <v>555</v>
      </c>
      <c r="G297" s="59">
        <v>1</v>
      </c>
      <c r="H297" s="59">
        <f t="shared" si="78"/>
        <v>1</v>
      </c>
      <c r="I297" s="59">
        <f t="shared" si="79"/>
        <v>0</v>
      </c>
      <c r="J297" s="59">
        <v>26</v>
      </c>
      <c r="K297" s="59">
        <v>3</v>
      </c>
      <c r="L297" s="59">
        <v>4</v>
      </c>
      <c r="M297" s="59">
        <f t="shared" si="80"/>
        <v>0</v>
      </c>
      <c r="N297" s="59">
        <f t="shared" si="81"/>
        <v>0</v>
      </c>
      <c r="O297" s="59">
        <f t="shared" si="82"/>
        <v>0</v>
      </c>
      <c r="P297" s="59">
        <f t="shared" si="83"/>
        <v>1</v>
      </c>
      <c r="Q297" s="59">
        <f t="shared" si="84"/>
        <v>0</v>
      </c>
      <c r="R297" s="59">
        <v>1</v>
      </c>
      <c r="S297" s="59">
        <v>404</v>
      </c>
      <c r="T297" s="59">
        <v>3</v>
      </c>
      <c r="U297" s="59">
        <v>0</v>
      </c>
      <c r="V297" s="59">
        <v>77</v>
      </c>
      <c r="W297" s="59">
        <v>3</v>
      </c>
      <c r="X297" s="59">
        <v>4</v>
      </c>
      <c r="Y297" s="59">
        <v>1</v>
      </c>
      <c r="Z297" s="59">
        <f t="shared" si="85"/>
        <v>1</v>
      </c>
      <c r="AA297" s="59">
        <f>IF('Updated Dummy'!Y297=2,1,0)</f>
        <v>0</v>
      </c>
      <c r="AB297" s="59">
        <f t="shared" si="86"/>
        <v>0</v>
      </c>
      <c r="AC297" s="59">
        <f t="shared" si="87"/>
        <v>0</v>
      </c>
      <c r="AD297" s="59">
        <f t="shared" si="88"/>
        <v>0</v>
      </c>
      <c r="AE297" s="59">
        <f t="shared" si="89"/>
        <v>0</v>
      </c>
      <c r="AF297" s="59">
        <f t="shared" si="90"/>
        <v>0</v>
      </c>
      <c r="AG297" s="59">
        <f t="shared" si="91"/>
        <v>0</v>
      </c>
      <c r="AH297" s="59">
        <v>2</v>
      </c>
      <c r="AI297" s="59">
        <v>2</v>
      </c>
      <c r="AJ297" s="59">
        <f t="shared" si="92"/>
        <v>0</v>
      </c>
      <c r="AK297" s="59">
        <f t="shared" si="93"/>
        <v>1</v>
      </c>
      <c r="AL297" s="59">
        <v>13525</v>
      </c>
      <c r="AM297" s="59">
        <v>14864</v>
      </c>
      <c r="AN297" s="59">
        <v>5</v>
      </c>
      <c r="AO297" s="59">
        <v>0</v>
      </c>
      <c r="AP297" s="59">
        <v>14</v>
      </c>
      <c r="AQ297" s="59">
        <v>3</v>
      </c>
      <c r="AR297" s="59">
        <v>4</v>
      </c>
      <c r="AS297" s="59">
        <v>80</v>
      </c>
      <c r="AT297" s="59">
        <v>1</v>
      </c>
      <c r="AU297" s="59">
        <v>23</v>
      </c>
      <c r="AV297" s="59">
        <v>2</v>
      </c>
      <c r="AW297" s="59">
        <v>4</v>
      </c>
      <c r="AX297" s="59">
        <v>20</v>
      </c>
      <c r="AY297" s="59">
        <v>4</v>
      </c>
      <c r="AZ297" s="59">
        <v>4</v>
      </c>
      <c r="BA297" s="59">
        <v>8</v>
      </c>
      <c r="BB297" s="57">
        <f t="shared" si="94"/>
        <v>54100</v>
      </c>
    </row>
    <row r="298" spans="1:54" x14ac:dyDescent="0.25">
      <c r="A298" s="58">
        <v>18</v>
      </c>
      <c r="B298" s="59">
        <v>1</v>
      </c>
      <c r="C298" s="59">
        <v>1</v>
      </c>
      <c r="D298" s="59">
        <f t="shared" si="76"/>
        <v>1</v>
      </c>
      <c r="E298" s="59">
        <f t="shared" si="77"/>
        <v>0</v>
      </c>
      <c r="F298" s="59">
        <v>230</v>
      </c>
      <c r="G298" s="59">
        <v>2</v>
      </c>
      <c r="H298" s="59">
        <f t="shared" si="78"/>
        <v>0</v>
      </c>
      <c r="I298" s="59">
        <f t="shared" si="79"/>
        <v>1</v>
      </c>
      <c r="J298" s="59">
        <v>3</v>
      </c>
      <c r="K298" s="59">
        <v>3</v>
      </c>
      <c r="L298" s="59">
        <v>1</v>
      </c>
      <c r="M298" s="59">
        <f t="shared" si="80"/>
        <v>1</v>
      </c>
      <c r="N298" s="59">
        <f t="shared" si="81"/>
        <v>0</v>
      </c>
      <c r="O298" s="59">
        <f t="shared" si="82"/>
        <v>0</v>
      </c>
      <c r="P298" s="59">
        <f t="shared" si="83"/>
        <v>0</v>
      </c>
      <c r="Q298" s="59">
        <f t="shared" si="84"/>
        <v>0</v>
      </c>
      <c r="R298" s="59">
        <v>1</v>
      </c>
      <c r="S298" s="59">
        <v>405</v>
      </c>
      <c r="T298" s="59">
        <v>3</v>
      </c>
      <c r="U298" s="59">
        <v>1</v>
      </c>
      <c r="V298" s="59">
        <v>54</v>
      </c>
      <c r="W298" s="59">
        <v>3</v>
      </c>
      <c r="X298" s="59">
        <v>1</v>
      </c>
      <c r="Y298" s="59">
        <v>3</v>
      </c>
      <c r="Z298" s="59">
        <f t="shared" si="85"/>
        <v>0</v>
      </c>
      <c r="AA298" s="59">
        <f>IF('Updated Dummy'!Y298=2,1,0)</f>
        <v>0</v>
      </c>
      <c r="AB298" s="59">
        <f t="shared" si="86"/>
        <v>1</v>
      </c>
      <c r="AC298" s="59">
        <f t="shared" si="87"/>
        <v>0</v>
      </c>
      <c r="AD298" s="59">
        <f t="shared" si="88"/>
        <v>0</v>
      </c>
      <c r="AE298" s="59">
        <f t="shared" si="89"/>
        <v>0</v>
      </c>
      <c r="AF298" s="59">
        <f t="shared" si="90"/>
        <v>0</v>
      </c>
      <c r="AG298" s="59">
        <f t="shared" si="91"/>
        <v>0</v>
      </c>
      <c r="AH298" s="59">
        <v>3</v>
      </c>
      <c r="AI298" s="59">
        <v>1</v>
      </c>
      <c r="AJ298" s="59">
        <f t="shared" si="92"/>
        <v>1</v>
      </c>
      <c r="AK298" s="59">
        <f t="shared" si="93"/>
        <v>0</v>
      </c>
      <c r="AL298" s="59">
        <v>1420</v>
      </c>
      <c r="AM298" s="59">
        <v>25233</v>
      </c>
      <c r="AN298" s="59">
        <v>1</v>
      </c>
      <c r="AO298" s="59">
        <v>0</v>
      </c>
      <c r="AP298" s="59">
        <v>13</v>
      </c>
      <c r="AQ298" s="59">
        <v>3</v>
      </c>
      <c r="AR298" s="59">
        <v>3</v>
      </c>
      <c r="AS298" s="59">
        <v>80</v>
      </c>
      <c r="AT298" s="59">
        <v>0</v>
      </c>
      <c r="AU298" s="59">
        <v>0</v>
      </c>
      <c r="AV298" s="59">
        <v>2</v>
      </c>
      <c r="AW298" s="59">
        <v>3</v>
      </c>
      <c r="AX298" s="59">
        <v>0</v>
      </c>
      <c r="AY298" s="59">
        <v>0</v>
      </c>
      <c r="AZ298" s="59">
        <v>0</v>
      </c>
      <c r="BA298" s="59">
        <v>0</v>
      </c>
      <c r="BB298" s="57">
        <f t="shared" si="94"/>
        <v>1420</v>
      </c>
    </row>
    <row r="299" spans="1:54" x14ac:dyDescent="0.25">
      <c r="A299" s="58">
        <v>35</v>
      </c>
      <c r="B299" s="59">
        <v>0</v>
      </c>
      <c r="C299" s="59">
        <v>1</v>
      </c>
      <c r="D299" s="59">
        <f t="shared" si="76"/>
        <v>1</v>
      </c>
      <c r="E299" s="59">
        <f t="shared" si="77"/>
        <v>0</v>
      </c>
      <c r="F299" s="59">
        <v>1232</v>
      </c>
      <c r="G299" s="59">
        <v>1</v>
      </c>
      <c r="H299" s="59">
        <f t="shared" si="78"/>
        <v>1</v>
      </c>
      <c r="I299" s="59">
        <f t="shared" si="79"/>
        <v>0</v>
      </c>
      <c r="J299" s="59">
        <v>16</v>
      </c>
      <c r="K299" s="59">
        <v>3</v>
      </c>
      <c r="L299" s="59">
        <v>4</v>
      </c>
      <c r="M299" s="59">
        <f t="shared" si="80"/>
        <v>0</v>
      </c>
      <c r="N299" s="59">
        <f t="shared" si="81"/>
        <v>0</v>
      </c>
      <c r="O299" s="59">
        <f t="shared" si="82"/>
        <v>0</v>
      </c>
      <c r="P299" s="59">
        <f t="shared" si="83"/>
        <v>1</v>
      </c>
      <c r="Q299" s="59">
        <f t="shared" si="84"/>
        <v>0</v>
      </c>
      <c r="R299" s="59">
        <v>1</v>
      </c>
      <c r="S299" s="59">
        <v>406</v>
      </c>
      <c r="T299" s="59">
        <v>3</v>
      </c>
      <c r="U299" s="59">
        <v>1</v>
      </c>
      <c r="V299" s="59">
        <v>96</v>
      </c>
      <c r="W299" s="59">
        <v>3</v>
      </c>
      <c r="X299" s="59">
        <v>3</v>
      </c>
      <c r="Y299" s="59">
        <v>1</v>
      </c>
      <c r="Z299" s="59">
        <f t="shared" si="85"/>
        <v>1</v>
      </c>
      <c r="AA299" s="59">
        <f>IF('Updated Dummy'!Y299=2,1,0)</f>
        <v>0</v>
      </c>
      <c r="AB299" s="59">
        <f t="shared" si="86"/>
        <v>0</v>
      </c>
      <c r="AC299" s="59">
        <f t="shared" si="87"/>
        <v>0</v>
      </c>
      <c r="AD299" s="59">
        <f t="shared" si="88"/>
        <v>0</v>
      </c>
      <c r="AE299" s="59">
        <f t="shared" si="89"/>
        <v>0</v>
      </c>
      <c r="AF299" s="59">
        <f t="shared" si="90"/>
        <v>0</v>
      </c>
      <c r="AG299" s="59">
        <f t="shared" si="91"/>
        <v>0</v>
      </c>
      <c r="AH299" s="59">
        <v>2</v>
      </c>
      <c r="AI299" s="59">
        <v>2</v>
      </c>
      <c r="AJ299" s="59">
        <f t="shared" si="92"/>
        <v>0</v>
      </c>
      <c r="AK299" s="59">
        <f t="shared" si="93"/>
        <v>1</v>
      </c>
      <c r="AL299" s="59">
        <v>8020</v>
      </c>
      <c r="AM299" s="59">
        <v>5100</v>
      </c>
      <c r="AN299" s="59">
        <v>0</v>
      </c>
      <c r="AO299" s="59">
        <v>0</v>
      </c>
      <c r="AP299" s="59">
        <v>15</v>
      </c>
      <c r="AQ299" s="59">
        <v>3</v>
      </c>
      <c r="AR299" s="59">
        <v>3</v>
      </c>
      <c r="AS299" s="59">
        <v>80</v>
      </c>
      <c r="AT299" s="59">
        <v>2</v>
      </c>
      <c r="AU299" s="59">
        <v>12</v>
      </c>
      <c r="AV299" s="59">
        <v>3</v>
      </c>
      <c r="AW299" s="59">
        <v>2</v>
      </c>
      <c r="AX299" s="59">
        <v>11</v>
      </c>
      <c r="AY299" s="59">
        <v>9</v>
      </c>
      <c r="AZ299" s="59">
        <v>6</v>
      </c>
      <c r="BA299" s="59">
        <v>9</v>
      </c>
      <c r="BB299" s="57">
        <f t="shared" si="94"/>
        <v>24060</v>
      </c>
    </row>
    <row r="300" spans="1:54" x14ac:dyDescent="0.25">
      <c r="A300" s="58">
        <v>36</v>
      </c>
      <c r="B300" s="59">
        <v>0</v>
      </c>
      <c r="C300" s="59">
        <v>2</v>
      </c>
      <c r="D300" s="59">
        <f t="shared" si="76"/>
        <v>0</v>
      </c>
      <c r="E300" s="59">
        <f t="shared" si="77"/>
        <v>1</v>
      </c>
      <c r="F300" s="59">
        <v>566</v>
      </c>
      <c r="G300" s="59">
        <v>2</v>
      </c>
      <c r="H300" s="59">
        <f t="shared" si="78"/>
        <v>0</v>
      </c>
      <c r="I300" s="59">
        <f t="shared" si="79"/>
        <v>1</v>
      </c>
      <c r="J300" s="59">
        <v>18</v>
      </c>
      <c r="K300" s="59">
        <v>4</v>
      </c>
      <c r="L300" s="59">
        <v>1</v>
      </c>
      <c r="M300" s="59">
        <f t="shared" si="80"/>
        <v>1</v>
      </c>
      <c r="N300" s="59">
        <f t="shared" si="81"/>
        <v>0</v>
      </c>
      <c r="O300" s="59">
        <f t="shared" si="82"/>
        <v>0</v>
      </c>
      <c r="P300" s="59">
        <f t="shared" si="83"/>
        <v>0</v>
      </c>
      <c r="Q300" s="59">
        <f t="shared" si="84"/>
        <v>0</v>
      </c>
      <c r="R300" s="59">
        <v>1</v>
      </c>
      <c r="S300" s="59">
        <v>407</v>
      </c>
      <c r="T300" s="59">
        <v>3</v>
      </c>
      <c r="U300" s="59">
        <v>1</v>
      </c>
      <c r="V300" s="59">
        <v>81</v>
      </c>
      <c r="W300" s="59">
        <v>4</v>
      </c>
      <c r="X300" s="59">
        <v>1</v>
      </c>
      <c r="Y300" s="59">
        <v>3</v>
      </c>
      <c r="Z300" s="59">
        <f t="shared" si="85"/>
        <v>0</v>
      </c>
      <c r="AA300" s="59">
        <f>IF('Updated Dummy'!Y300=2,1,0)</f>
        <v>0</v>
      </c>
      <c r="AB300" s="59">
        <f t="shared" si="86"/>
        <v>1</v>
      </c>
      <c r="AC300" s="59">
        <f t="shared" si="87"/>
        <v>0</v>
      </c>
      <c r="AD300" s="59">
        <f t="shared" si="88"/>
        <v>0</v>
      </c>
      <c r="AE300" s="59">
        <f t="shared" si="89"/>
        <v>0</v>
      </c>
      <c r="AF300" s="59">
        <f t="shared" si="90"/>
        <v>0</v>
      </c>
      <c r="AG300" s="59">
        <f t="shared" si="91"/>
        <v>0</v>
      </c>
      <c r="AH300" s="59">
        <v>4</v>
      </c>
      <c r="AI300" s="59">
        <v>2</v>
      </c>
      <c r="AJ300" s="59">
        <f t="shared" si="92"/>
        <v>0</v>
      </c>
      <c r="AK300" s="59">
        <f t="shared" si="93"/>
        <v>1</v>
      </c>
      <c r="AL300" s="59">
        <v>3688</v>
      </c>
      <c r="AM300" s="59">
        <v>7122</v>
      </c>
      <c r="AN300" s="59">
        <v>4</v>
      </c>
      <c r="AO300" s="59">
        <v>0</v>
      </c>
      <c r="AP300" s="59">
        <v>18</v>
      </c>
      <c r="AQ300" s="59">
        <v>3</v>
      </c>
      <c r="AR300" s="59">
        <v>4</v>
      </c>
      <c r="AS300" s="59">
        <v>80</v>
      </c>
      <c r="AT300" s="59">
        <v>2</v>
      </c>
      <c r="AU300" s="59">
        <v>4</v>
      </c>
      <c r="AV300" s="59">
        <v>2</v>
      </c>
      <c r="AW300" s="59">
        <v>3</v>
      </c>
      <c r="AX300" s="59">
        <v>1</v>
      </c>
      <c r="AY300" s="59">
        <v>0</v>
      </c>
      <c r="AZ300" s="59">
        <v>0</v>
      </c>
      <c r="BA300" s="59">
        <v>0</v>
      </c>
      <c r="BB300" s="57">
        <f t="shared" si="94"/>
        <v>3688</v>
      </c>
    </row>
    <row r="301" spans="1:54" x14ac:dyDescent="0.25">
      <c r="A301" s="58">
        <v>51</v>
      </c>
      <c r="B301" s="59">
        <v>0</v>
      </c>
      <c r="C301" s="59">
        <v>1</v>
      </c>
      <c r="D301" s="59">
        <f t="shared" si="76"/>
        <v>1</v>
      </c>
      <c r="E301" s="59">
        <f t="shared" si="77"/>
        <v>0</v>
      </c>
      <c r="F301" s="59">
        <v>1302</v>
      </c>
      <c r="G301" s="59">
        <v>2</v>
      </c>
      <c r="H301" s="59">
        <f t="shared" si="78"/>
        <v>0</v>
      </c>
      <c r="I301" s="59">
        <f t="shared" si="79"/>
        <v>1</v>
      </c>
      <c r="J301" s="59">
        <v>2</v>
      </c>
      <c r="K301" s="59">
        <v>3</v>
      </c>
      <c r="L301" s="59">
        <v>3</v>
      </c>
      <c r="M301" s="59">
        <f t="shared" si="80"/>
        <v>0</v>
      </c>
      <c r="N301" s="59">
        <f t="shared" si="81"/>
        <v>0</v>
      </c>
      <c r="O301" s="59">
        <f t="shared" si="82"/>
        <v>1</v>
      </c>
      <c r="P301" s="59">
        <f t="shared" si="83"/>
        <v>0</v>
      </c>
      <c r="Q301" s="59">
        <f t="shared" si="84"/>
        <v>0</v>
      </c>
      <c r="R301" s="59">
        <v>1</v>
      </c>
      <c r="S301" s="59">
        <v>408</v>
      </c>
      <c r="T301" s="59">
        <v>4</v>
      </c>
      <c r="U301" s="59">
        <v>1</v>
      </c>
      <c r="V301" s="59">
        <v>84</v>
      </c>
      <c r="W301" s="59">
        <v>1</v>
      </c>
      <c r="X301" s="59">
        <v>2</v>
      </c>
      <c r="Y301" s="59">
        <v>4</v>
      </c>
      <c r="Z301" s="59">
        <f t="shared" si="85"/>
        <v>0</v>
      </c>
      <c r="AA301" s="59">
        <f>IF('Updated Dummy'!Y301=2,1,0)</f>
        <v>0</v>
      </c>
      <c r="AB301" s="59">
        <f t="shared" si="86"/>
        <v>0</v>
      </c>
      <c r="AC301" s="59">
        <f t="shared" si="87"/>
        <v>1</v>
      </c>
      <c r="AD301" s="59">
        <f t="shared" si="88"/>
        <v>0</v>
      </c>
      <c r="AE301" s="59">
        <f t="shared" si="89"/>
        <v>0</v>
      </c>
      <c r="AF301" s="59">
        <f t="shared" si="90"/>
        <v>0</v>
      </c>
      <c r="AG301" s="59">
        <f t="shared" si="91"/>
        <v>0</v>
      </c>
      <c r="AH301" s="59">
        <v>2</v>
      </c>
      <c r="AI301" s="59">
        <v>3</v>
      </c>
      <c r="AJ301" s="59">
        <f t="shared" si="92"/>
        <v>0</v>
      </c>
      <c r="AK301" s="59">
        <f t="shared" si="93"/>
        <v>0</v>
      </c>
      <c r="AL301" s="59">
        <v>5482</v>
      </c>
      <c r="AM301" s="59">
        <v>16321</v>
      </c>
      <c r="AN301" s="59">
        <v>5</v>
      </c>
      <c r="AO301" s="59">
        <v>0</v>
      </c>
      <c r="AP301" s="59">
        <v>18</v>
      </c>
      <c r="AQ301" s="59">
        <v>3</v>
      </c>
      <c r="AR301" s="59">
        <v>4</v>
      </c>
      <c r="AS301" s="59">
        <v>80</v>
      </c>
      <c r="AT301" s="59">
        <v>1</v>
      </c>
      <c r="AU301" s="59">
        <v>13</v>
      </c>
      <c r="AV301" s="59">
        <v>3</v>
      </c>
      <c r="AW301" s="59">
        <v>3</v>
      </c>
      <c r="AX301" s="59">
        <v>4</v>
      </c>
      <c r="AY301" s="59">
        <v>1</v>
      </c>
      <c r="AZ301" s="59">
        <v>1</v>
      </c>
      <c r="BA301" s="59">
        <v>2</v>
      </c>
      <c r="BB301" s="57">
        <f t="shared" si="94"/>
        <v>10964</v>
      </c>
    </row>
    <row r="302" spans="1:54" x14ac:dyDescent="0.25">
      <c r="A302" s="58">
        <v>41</v>
      </c>
      <c r="B302" s="59">
        <v>0</v>
      </c>
      <c r="C302" s="59">
        <v>1</v>
      </c>
      <c r="D302" s="59">
        <f t="shared" si="76"/>
        <v>1</v>
      </c>
      <c r="E302" s="59">
        <f t="shared" si="77"/>
        <v>0</v>
      </c>
      <c r="F302" s="59">
        <v>334</v>
      </c>
      <c r="G302" s="59">
        <v>1</v>
      </c>
      <c r="H302" s="59">
        <f t="shared" si="78"/>
        <v>1</v>
      </c>
      <c r="I302" s="59">
        <f t="shared" si="79"/>
        <v>0</v>
      </c>
      <c r="J302" s="59">
        <v>2</v>
      </c>
      <c r="K302" s="59">
        <v>4</v>
      </c>
      <c r="L302" s="59">
        <v>1</v>
      </c>
      <c r="M302" s="59">
        <f t="shared" si="80"/>
        <v>1</v>
      </c>
      <c r="N302" s="59">
        <f t="shared" si="81"/>
        <v>0</v>
      </c>
      <c r="O302" s="59">
        <f t="shared" si="82"/>
        <v>0</v>
      </c>
      <c r="P302" s="59">
        <f t="shared" si="83"/>
        <v>0</v>
      </c>
      <c r="Q302" s="59">
        <f t="shared" si="84"/>
        <v>0</v>
      </c>
      <c r="R302" s="59">
        <v>1</v>
      </c>
      <c r="S302" s="59">
        <v>410</v>
      </c>
      <c r="T302" s="59">
        <v>4</v>
      </c>
      <c r="U302" s="59">
        <v>1</v>
      </c>
      <c r="V302" s="59">
        <v>88</v>
      </c>
      <c r="W302" s="59">
        <v>3</v>
      </c>
      <c r="X302" s="59">
        <v>4</v>
      </c>
      <c r="Y302" s="59">
        <v>6</v>
      </c>
      <c r="Z302" s="59">
        <f t="shared" si="85"/>
        <v>0</v>
      </c>
      <c r="AA302" s="59">
        <f>IF('Updated Dummy'!Y302=2,1,0)</f>
        <v>0</v>
      </c>
      <c r="AB302" s="59">
        <f t="shared" si="86"/>
        <v>0</v>
      </c>
      <c r="AC302" s="59">
        <f t="shared" si="87"/>
        <v>0</v>
      </c>
      <c r="AD302" s="59">
        <f t="shared" si="88"/>
        <v>0</v>
      </c>
      <c r="AE302" s="59">
        <f t="shared" si="89"/>
        <v>1</v>
      </c>
      <c r="AF302" s="59">
        <f t="shared" si="90"/>
        <v>0</v>
      </c>
      <c r="AG302" s="59">
        <f t="shared" si="91"/>
        <v>0</v>
      </c>
      <c r="AH302" s="59">
        <v>2</v>
      </c>
      <c r="AI302" s="59">
        <v>1</v>
      </c>
      <c r="AJ302" s="59">
        <f t="shared" si="92"/>
        <v>1</v>
      </c>
      <c r="AK302" s="59">
        <f t="shared" si="93"/>
        <v>0</v>
      </c>
      <c r="AL302" s="59">
        <v>16015</v>
      </c>
      <c r="AM302" s="59">
        <v>15896</v>
      </c>
      <c r="AN302" s="59">
        <v>1</v>
      </c>
      <c r="AO302" s="59">
        <v>0</v>
      </c>
      <c r="AP302" s="59">
        <v>19</v>
      </c>
      <c r="AQ302" s="59">
        <v>3</v>
      </c>
      <c r="AR302" s="59">
        <v>2</v>
      </c>
      <c r="AS302" s="59">
        <v>80</v>
      </c>
      <c r="AT302" s="59">
        <v>0</v>
      </c>
      <c r="AU302" s="59">
        <v>22</v>
      </c>
      <c r="AV302" s="59">
        <v>2</v>
      </c>
      <c r="AW302" s="59">
        <v>3</v>
      </c>
      <c r="AX302" s="59">
        <v>22</v>
      </c>
      <c r="AY302" s="59">
        <v>10</v>
      </c>
      <c r="AZ302" s="59">
        <v>0</v>
      </c>
      <c r="BA302" s="59">
        <v>4</v>
      </c>
      <c r="BB302" s="57">
        <f t="shared" si="94"/>
        <v>64060</v>
      </c>
    </row>
    <row r="303" spans="1:54" x14ac:dyDescent="0.25">
      <c r="A303" s="58">
        <v>18</v>
      </c>
      <c r="B303" s="59">
        <v>0</v>
      </c>
      <c r="C303" s="59">
        <v>1</v>
      </c>
      <c r="D303" s="59">
        <f t="shared" si="76"/>
        <v>1</v>
      </c>
      <c r="E303" s="59">
        <f t="shared" si="77"/>
        <v>0</v>
      </c>
      <c r="F303" s="59">
        <v>812</v>
      </c>
      <c r="G303" s="59">
        <v>1</v>
      </c>
      <c r="H303" s="59">
        <f t="shared" si="78"/>
        <v>1</v>
      </c>
      <c r="I303" s="59">
        <f t="shared" si="79"/>
        <v>0</v>
      </c>
      <c r="J303" s="59">
        <v>10</v>
      </c>
      <c r="K303" s="59">
        <v>3</v>
      </c>
      <c r="L303" s="59">
        <v>3</v>
      </c>
      <c r="M303" s="59">
        <f t="shared" si="80"/>
        <v>0</v>
      </c>
      <c r="N303" s="59">
        <f t="shared" si="81"/>
        <v>0</v>
      </c>
      <c r="O303" s="59">
        <f t="shared" si="82"/>
        <v>1</v>
      </c>
      <c r="P303" s="59">
        <f t="shared" si="83"/>
        <v>0</v>
      </c>
      <c r="Q303" s="59">
        <f t="shared" si="84"/>
        <v>0</v>
      </c>
      <c r="R303" s="59">
        <v>1</v>
      </c>
      <c r="S303" s="59">
        <v>411</v>
      </c>
      <c r="T303" s="59">
        <v>4</v>
      </c>
      <c r="U303" s="59">
        <v>0</v>
      </c>
      <c r="V303" s="59">
        <v>69</v>
      </c>
      <c r="W303" s="59">
        <v>2</v>
      </c>
      <c r="X303" s="59">
        <v>1</v>
      </c>
      <c r="Y303" s="59">
        <v>7</v>
      </c>
      <c r="Z303" s="59">
        <f t="shared" si="85"/>
        <v>0</v>
      </c>
      <c r="AA303" s="59">
        <f>IF('Updated Dummy'!Y303=2,1,0)</f>
        <v>0</v>
      </c>
      <c r="AB303" s="59">
        <f t="shared" si="86"/>
        <v>0</v>
      </c>
      <c r="AC303" s="59">
        <f t="shared" si="87"/>
        <v>0</v>
      </c>
      <c r="AD303" s="59">
        <f t="shared" si="88"/>
        <v>0</v>
      </c>
      <c r="AE303" s="59">
        <f t="shared" si="89"/>
        <v>0</v>
      </c>
      <c r="AF303" s="59">
        <f t="shared" si="90"/>
        <v>1</v>
      </c>
      <c r="AG303" s="59">
        <f t="shared" si="91"/>
        <v>0</v>
      </c>
      <c r="AH303" s="59">
        <v>3</v>
      </c>
      <c r="AI303" s="59">
        <v>1</v>
      </c>
      <c r="AJ303" s="59">
        <f t="shared" si="92"/>
        <v>1</v>
      </c>
      <c r="AK303" s="59">
        <f t="shared" si="93"/>
        <v>0</v>
      </c>
      <c r="AL303" s="59">
        <v>1200</v>
      </c>
      <c r="AM303" s="59">
        <v>9724</v>
      </c>
      <c r="AN303" s="59">
        <v>1</v>
      </c>
      <c r="AO303" s="59">
        <v>0</v>
      </c>
      <c r="AP303" s="59">
        <v>12</v>
      </c>
      <c r="AQ303" s="59">
        <v>3</v>
      </c>
      <c r="AR303" s="59">
        <v>1</v>
      </c>
      <c r="AS303" s="59">
        <v>80</v>
      </c>
      <c r="AT303" s="59">
        <v>0</v>
      </c>
      <c r="AU303" s="59">
        <v>0</v>
      </c>
      <c r="AV303" s="59">
        <v>2</v>
      </c>
      <c r="AW303" s="59">
        <v>3</v>
      </c>
      <c r="AX303" s="59">
        <v>0</v>
      </c>
      <c r="AY303" s="59">
        <v>0</v>
      </c>
      <c r="AZ303" s="59">
        <v>0</v>
      </c>
      <c r="BA303" s="59">
        <v>0</v>
      </c>
      <c r="BB303" s="57">
        <f t="shared" si="94"/>
        <v>1200</v>
      </c>
    </row>
    <row r="304" spans="1:54" x14ac:dyDescent="0.25">
      <c r="A304" s="58">
        <v>28</v>
      </c>
      <c r="B304" s="59">
        <v>0</v>
      </c>
      <c r="C304" s="59">
        <v>1</v>
      </c>
      <c r="D304" s="59">
        <f t="shared" si="76"/>
        <v>1</v>
      </c>
      <c r="E304" s="59">
        <f t="shared" si="77"/>
        <v>0</v>
      </c>
      <c r="F304" s="59">
        <v>1476</v>
      </c>
      <c r="G304" s="59">
        <v>2</v>
      </c>
      <c r="H304" s="59">
        <f t="shared" si="78"/>
        <v>0</v>
      </c>
      <c r="I304" s="59">
        <f t="shared" si="79"/>
        <v>1</v>
      </c>
      <c r="J304" s="59">
        <v>16</v>
      </c>
      <c r="K304" s="59">
        <v>2</v>
      </c>
      <c r="L304" s="59">
        <v>3</v>
      </c>
      <c r="M304" s="59">
        <f t="shared" si="80"/>
        <v>0</v>
      </c>
      <c r="N304" s="59">
        <f t="shared" si="81"/>
        <v>0</v>
      </c>
      <c r="O304" s="59">
        <f t="shared" si="82"/>
        <v>1</v>
      </c>
      <c r="P304" s="59">
        <f t="shared" si="83"/>
        <v>0</v>
      </c>
      <c r="Q304" s="59">
        <f t="shared" si="84"/>
        <v>0</v>
      </c>
      <c r="R304" s="59">
        <v>1</v>
      </c>
      <c r="S304" s="59">
        <v>412</v>
      </c>
      <c r="T304" s="59">
        <v>2</v>
      </c>
      <c r="U304" s="59">
        <v>1</v>
      </c>
      <c r="V304" s="59">
        <v>68</v>
      </c>
      <c r="W304" s="59">
        <v>4</v>
      </c>
      <c r="X304" s="59">
        <v>2</v>
      </c>
      <c r="Y304" s="59">
        <v>5</v>
      </c>
      <c r="Z304" s="59">
        <f t="shared" si="85"/>
        <v>0</v>
      </c>
      <c r="AA304" s="59">
        <f>IF('Updated Dummy'!Y304=2,1,0)</f>
        <v>0</v>
      </c>
      <c r="AB304" s="59">
        <f t="shared" si="86"/>
        <v>0</v>
      </c>
      <c r="AC304" s="59">
        <f t="shared" si="87"/>
        <v>0</v>
      </c>
      <c r="AD304" s="59">
        <f t="shared" si="88"/>
        <v>1</v>
      </c>
      <c r="AE304" s="59">
        <f t="shared" si="89"/>
        <v>0</v>
      </c>
      <c r="AF304" s="59">
        <f t="shared" si="90"/>
        <v>0</v>
      </c>
      <c r="AG304" s="59">
        <f t="shared" si="91"/>
        <v>0</v>
      </c>
      <c r="AH304" s="59">
        <v>1</v>
      </c>
      <c r="AI304" s="59">
        <v>1</v>
      </c>
      <c r="AJ304" s="59">
        <f t="shared" si="92"/>
        <v>1</v>
      </c>
      <c r="AK304" s="59">
        <f t="shared" si="93"/>
        <v>0</v>
      </c>
      <c r="AL304" s="59">
        <v>5661</v>
      </c>
      <c r="AM304" s="59">
        <v>4824</v>
      </c>
      <c r="AN304" s="59">
        <v>0</v>
      </c>
      <c r="AO304" s="59">
        <v>0</v>
      </c>
      <c r="AP304" s="59">
        <v>19</v>
      </c>
      <c r="AQ304" s="59">
        <v>3</v>
      </c>
      <c r="AR304" s="59">
        <v>3</v>
      </c>
      <c r="AS304" s="59">
        <v>80</v>
      </c>
      <c r="AT304" s="59">
        <v>0</v>
      </c>
      <c r="AU304" s="59">
        <v>9</v>
      </c>
      <c r="AV304" s="59">
        <v>2</v>
      </c>
      <c r="AW304" s="59">
        <v>3</v>
      </c>
      <c r="AX304" s="59">
        <v>8</v>
      </c>
      <c r="AY304" s="59">
        <v>3</v>
      </c>
      <c r="AZ304" s="59">
        <v>0</v>
      </c>
      <c r="BA304" s="59">
        <v>7</v>
      </c>
      <c r="BB304" s="57">
        <f t="shared" si="94"/>
        <v>11322</v>
      </c>
    </row>
    <row r="305" spans="1:54" x14ac:dyDescent="0.25">
      <c r="A305" s="58">
        <v>31</v>
      </c>
      <c r="B305" s="59">
        <v>0</v>
      </c>
      <c r="C305" s="59">
        <v>1</v>
      </c>
      <c r="D305" s="59">
        <f t="shared" si="76"/>
        <v>1</v>
      </c>
      <c r="E305" s="59">
        <f t="shared" si="77"/>
        <v>0</v>
      </c>
      <c r="F305" s="59">
        <v>218</v>
      </c>
      <c r="G305" s="59">
        <v>1</v>
      </c>
      <c r="H305" s="59">
        <f t="shared" si="78"/>
        <v>1</v>
      </c>
      <c r="I305" s="59">
        <f t="shared" si="79"/>
        <v>0</v>
      </c>
      <c r="J305" s="59">
        <v>7</v>
      </c>
      <c r="K305" s="59">
        <v>3</v>
      </c>
      <c r="L305" s="59">
        <v>5</v>
      </c>
      <c r="M305" s="59">
        <f t="shared" si="80"/>
        <v>0</v>
      </c>
      <c r="N305" s="59">
        <f t="shared" si="81"/>
        <v>0</v>
      </c>
      <c r="O305" s="59">
        <f t="shared" si="82"/>
        <v>0</v>
      </c>
      <c r="P305" s="59">
        <f t="shared" si="83"/>
        <v>0</v>
      </c>
      <c r="Q305" s="59">
        <f t="shared" si="84"/>
        <v>1</v>
      </c>
      <c r="R305" s="59">
        <v>1</v>
      </c>
      <c r="S305" s="59">
        <v>416</v>
      </c>
      <c r="T305" s="59">
        <v>2</v>
      </c>
      <c r="U305" s="59">
        <v>1</v>
      </c>
      <c r="V305" s="59">
        <v>100</v>
      </c>
      <c r="W305" s="59">
        <v>4</v>
      </c>
      <c r="X305" s="59">
        <v>2</v>
      </c>
      <c r="Y305" s="59">
        <v>1</v>
      </c>
      <c r="Z305" s="59">
        <f t="shared" si="85"/>
        <v>1</v>
      </c>
      <c r="AA305" s="59">
        <f>IF('Updated Dummy'!Y305=2,1,0)</f>
        <v>0</v>
      </c>
      <c r="AB305" s="59">
        <f t="shared" si="86"/>
        <v>0</v>
      </c>
      <c r="AC305" s="59">
        <f t="shared" si="87"/>
        <v>0</v>
      </c>
      <c r="AD305" s="59">
        <f t="shared" si="88"/>
        <v>0</v>
      </c>
      <c r="AE305" s="59">
        <f t="shared" si="89"/>
        <v>0</v>
      </c>
      <c r="AF305" s="59">
        <f t="shared" si="90"/>
        <v>0</v>
      </c>
      <c r="AG305" s="59">
        <f t="shared" si="91"/>
        <v>0</v>
      </c>
      <c r="AH305" s="59">
        <v>4</v>
      </c>
      <c r="AI305" s="59">
        <v>2</v>
      </c>
      <c r="AJ305" s="59">
        <f t="shared" si="92"/>
        <v>0</v>
      </c>
      <c r="AK305" s="59">
        <f t="shared" si="93"/>
        <v>1</v>
      </c>
      <c r="AL305" s="59">
        <v>6929</v>
      </c>
      <c r="AM305" s="59">
        <v>12241</v>
      </c>
      <c r="AN305" s="59">
        <v>4</v>
      </c>
      <c r="AO305" s="59">
        <v>0</v>
      </c>
      <c r="AP305" s="59">
        <v>11</v>
      </c>
      <c r="AQ305" s="59">
        <v>3</v>
      </c>
      <c r="AR305" s="59">
        <v>2</v>
      </c>
      <c r="AS305" s="59">
        <v>80</v>
      </c>
      <c r="AT305" s="59">
        <v>1</v>
      </c>
      <c r="AU305" s="59">
        <v>10</v>
      </c>
      <c r="AV305" s="59">
        <v>3</v>
      </c>
      <c r="AW305" s="59">
        <v>2</v>
      </c>
      <c r="AX305" s="59">
        <v>8</v>
      </c>
      <c r="AY305" s="59">
        <v>7</v>
      </c>
      <c r="AZ305" s="59">
        <v>7</v>
      </c>
      <c r="BA305" s="59">
        <v>7</v>
      </c>
      <c r="BB305" s="57">
        <f t="shared" si="94"/>
        <v>13858</v>
      </c>
    </row>
    <row r="306" spans="1:54" x14ac:dyDescent="0.25">
      <c r="A306" s="58">
        <v>39</v>
      </c>
      <c r="B306" s="59">
        <v>0</v>
      </c>
      <c r="C306" s="59">
        <v>1</v>
      </c>
      <c r="D306" s="59">
        <f t="shared" si="76"/>
        <v>1</v>
      </c>
      <c r="E306" s="59">
        <f t="shared" si="77"/>
        <v>0</v>
      </c>
      <c r="F306" s="59">
        <v>1132</v>
      </c>
      <c r="G306" s="59">
        <v>2</v>
      </c>
      <c r="H306" s="59">
        <f t="shared" si="78"/>
        <v>0</v>
      </c>
      <c r="I306" s="59">
        <f t="shared" si="79"/>
        <v>1</v>
      </c>
      <c r="J306" s="59">
        <v>1</v>
      </c>
      <c r="K306" s="59">
        <v>3</v>
      </c>
      <c r="L306" s="59">
        <v>3</v>
      </c>
      <c r="M306" s="59">
        <f t="shared" si="80"/>
        <v>0</v>
      </c>
      <c r="N306" s="59">
        <f t="shared" si="81"/>
        <v>0</v>
      </c>
      <c r="O306" s="59">
        <f t="shared" si="82"/>
        <v>1</v>
      </c>
      <c r="P306" s="59">
        <f t="shared" si="83"/>
        <v>0</v>
      </c>
      <c r="Q306" s="59">
        <f t="shared" si="84"/>
        <v>0</v>
      </c>
      <c r="R306" s="59">
        <v>1</v>
      </c>
      <c r="S306" s="59">
        <v>417</v>
      </c>
      <c r="T306" s="59">
        <v>3</v>
      </c>
      <c r="U306" s="59">
        <v>1</v>
      </c>
      <c r="V306" s="59">
        <v>48</v>
      </c>
      <c r="W306" s="59">
        <v>4</v>
      </c>
      <c r="X306" s="59">
        <v>3</v>
      </c>
      <c r="Y306" s="59">
        <v>5</v>
      </c>
      <c r="Z306" s="59">
        <f t="shared" si="85"/>
        <v>0</v>
      </c>
      <c r="AA306" s="59">
        <f>IF('Updated Dummy'!Y306=2,1,0)</f>
        <v>0</v>
      </c>
      <c r="AB306" s="59">
        <f t="shared" si="86"/>
        <v>0</v>
      </c>
      <c r="AC306" s="59">
        <f t="shared" si="87"/>
        <v>0</v>
      </c>
      <c r="AD306" s="59">
        <f t="shared" si="88"/>
        <v>1</v>
      </c>
      <c r="AE306" s="59">
        <f t="shared" si="89"/>
        <v>0</v>
      </c>
      <c r="AF306" s="59">
        <f t="shared" si="90"/>
        <v>0</v>
      </c>
      <c r="AG306" s="59">
        <f t="shared" si="91"/>
        <v>0</v>
      </c>
      <c r="AH306" s="59">
        <v>4</v>
      </c>
      <c r="AI306" s="59">
        <v>3</v>
      </c>
      <c r="AJ306" s="59">
        <f t="shared" si="92"/>
        <v>0</v>
      </c>
      <c r="AK306" s="59">
        <f t="shared" si="93"/>
        <v>0</v>
      </c>
      <c r="AL306" s="59">
        <v>9613</v>
      </c>
      <c r="AM306" s="59">
        <v>10942</v>
      </c>
      <c r="AN306" s="59">
        <v>0</v>
      </c>
      <c r="AO306" s="59">
        <v>0</v>
      </c>
      <c r="AP306" s="59">
        <v>17</v>
      </c>
      <c r="AQ306" s="59">
        <v>3</v>
      </c>
      <c r="AR306" s="59">
        <v>1</v>
      </c>
      <c r="AS306" s="59">
        <v>80</v>
      </c>
      <c r="AT306" s="59">
        <v>3</v>
      </c>
      <c r="AU306" s="59">
        <v>19</v>
      </c>
      <c r="AV306" s="59">
        <v>5</v>
      </c>
      <c r="AW306" s="59">
        <v>2</v>
      </c>
      <c r="AX306" s="59">
        <v>18</v>
      </c>
      <c r="AY306" s="59">
        <v>10</v>
      </c>
      <c r="AZ306" s="59">
        <v>3</v>
      </c>
      <c r="BA306" s="59">
        <v>7</v>
      </c>
      <c r="BB306" s="57">
        <f t="shared" si="94"/>
        <v>28839</v>
      </c>
    </row>
    <row r="307" spans="1:54" x14ac:dyDescent="0.25">
      <c r="A307" s="58">
        <v>36</v>
      </c>
      <c r="B307" s="59">
        <v>0</v>
      </c>
      <c r="C307" s="59">
        <v>3</v>
      </c>
      <c r="D307" s="59">
        <f t="shared" si="76"/>
        <v>0</v>
      </c>
      <c r="E307" s="59">
        <f t="shared" si="77"/>
        <v>0</v>
      </c>
      <c r="F307" s="59">
        <v>1105</v>
      </c>
      <c r="G307" s="59">
        <v>2</v>
      </c>
      <c r="H307" s="59">
        <f t="shared" si="78"/>
        <v>0</v>
      </c>
      <c r="I307" s="59">
        <f t="shared" si="79"/>
        <v>1</v>
      </c>
      <c r="J307" s="59">
        <v>24</v>
      </c>
      <c r="K307" s="59">
        <v>4</v>
      </c>
      <c r="L307" s="59">
        <v>1</v>
      </c>
      <c r="M307" s="59">
        <f t="shared" si="80"/>
        <v>1</v>
      </c>
      <c r="N307" s="59">
        <f t="shared" si="81"/>
        <v>0</v>
      </c>
      <c r="O307" s="59">
        <f t="shared" si="82"/>
        <v>0</v>
      </c>
      <c r="P307" s="59">
        <f t="shared" si="83"/>
        <v>0</v>
      </c>
      <c r="Q307" s="59">
        <f t="shared" si="84"/>
        <v>0</v>
      </c>
      <c r="R307" s="59">
        <v>1</v>
      </c>
      <c r="S307" s="59">
        <v>419</v>
      </c>
      <c r="T307" s="59">
        <v>2</v>
      </c>
      <c r="U307" s="59">
        <v>0</v>
      </c>
      <c r="V307" s="59">
        <v>47</v>
      </c>
      <c r="W307" s="59">
        <v>3</v>
      </c>
      <c r="X307" s="59">
        <v>2</v>
      </c>
      <c r="Y307" s="59">
        <v>3</v>
      </c>
      <c r="Z307" s="59">
        <f t="shared" si="85"/>
        <v>0</v>
      </c>
      <c r="AA307" s="59">
        <f>IF('Updated Dummy'!Y307=2,1,0)</f>
        <v>0</v>
      </c>
      <c r="AB307" s="59">
        <f t="shared" si="86"/>
        <v>1</v>
      </c>
      <c r="AC307" s="59">
        <f t="shared" si="87"/>
        <v>0</v>
      </c>
      <c r="AD307" s="59">
        <f t="shared" si="88"/>
        <v>0</v>
      </c>
      <c r="AE307" s="59">
        <f t="shared" si="89"/>
        <v>0</v>
      </c>
      <c r="AF307" s="59">
        <f t="shared" si="90"/>
        <v>0</v>
      </c>
      <c r="AG307" s="59">
        <f t="shared" si="91"/>
        <v>0</v>
      </c>
      <c r="AH307" s="59">
        <v>2</v>
      </c>
      <c r="AI307" s="59">
        <v>2</v>
      </c>
      <c r="AJ307" s="59">
        <f t="shared" si="92"/>
        <v>0</v>
      </c>
      <c r="AK307" s="59">
        <f t="shared" si="93"/>
        <v>1</v>
      </c>
      <c r="AL307" s="59">
        <v>5674</v>
      </c>
      <c r="AM307" s="59">
        <v>6927</v>
      </c>
      <c r="AN307" s="59">
        <v>7</v>
      </c>
      <c r="AO307" s="59">
        <v>0</v>
      </c>
      <c r="AP307" s="59">
        <v>15</v>
      </c>
      <c r="AQ307" s="59">
        <v>3</v>
      </c>
      <c r="AR307" s="59">
        <v>3</v>
      </c>
      <c r="AS307" s="59">
        <v>80</v>
      </c>
      <c r="AT307" s="59">
        <v>1</v>
      </c>
      <c r="AU307" s="59">
        <v>11</v>
      </c>
      <c r="AV307" s="59">
        <v>3</v>
      </c>
      <c r="AW307" s="59">
        <v>3</v>
      </c>
      <c r="AX307" s="59">
        <v>9</v>
      </c>
      <c r="AY307" s="59">
        <v>8</v>
      </c>
      <c r="AZ307" s="59">
        <v>0</v>
      </c>
      <c r="BA307" s="59">
        <v>8</v>
      </c>
      <c r="BB307" s="57">
        <f t="shared" si="94"/>
        <v>11348</v>
      </c>
    </row>
    <row r="308" spans="1:54" x14ac:dyDescent="0.25">
      <c r="A308" s="58">
        <v>32</v>
      </c>
      <c r="B308" s="59">
        <v>0</v>
      </c>
      <c r="C308" s="59">
        <v>1</v>
      </c>
      <c r="D308" s="59">
        <f t="shared" si="76"/>
        <v>1</v>
      </c>
      <c r="E308" s="59">
        <f t="shared" si="77"/>
        <v>0</v>
      </c>
      <c r="F308" s="59">
        <v>906</v>
      </c>
      <c r="G308" s="59">
        <v>1</v>
      </c>
      <c r="H308" s="59">
        <f t="shared" si="78"/>
        <v>1</v>
      </c>
      <c r="I308" s="59">
        <f t="shared" si="79"/>
        <v>0</v>
      </c>
      <c r="J308" s="59">
        <v>7</v>
      </c>
      <c r="K308" s="59">
        <v>3</v>
      </c>
      <c r="L308" s="59">
        <v>1</v>
      </c>
      <c r="M308" s="59">
        <f t="shared" si="80"/>
        <v>1</v>
      </c>
      <c r="N308" s="59">
        <f t="shared" si="81"/>
        <v>0</v>
      </c>
      <c r="O308" s="59">
        <f t="shared" si="82"/>
        <v>0</v>
      </c>
      <c r="P308" s="59">
        <f t="shared" si="83"/>
        <v>0</v>
      </c>
      <c r="Q308" s="59">
        <f t="shared" si="84"/>
        <v>0</v>
      </c>
      <c r="R308" s="59">
        <v>1</v>
      </c>
      <c r="S308" s="59">
        <v>420</v>
      </c>
      <c r="T308" s="59">
        <v>4</v>
      </c>
      <c r="U308" s="59">
        <v>1</v>
      </c>
      <c r="V308" s="59">
        <v>91</v>
      </c>
      <c r="W308" s="59">
        <v>2</v>
      </c>
      <c r="X308" s="59">
        <v>2</v>
      </c>
      <c r="Y308" s="59">
        <v>1</v>
      </c>
      <c r="Z308" s="59">
        <f t="shared" si="85"/>
        <v>1</v>
      </c>
      <c r="AA308" s="59">
        <f>IF('Updated Dummy'!Y308=2,1,0)</f>
        <v>0</v>
      </c>
      <c r="AB308" s="59">
        <f t="shared" si="86"/>
        <v>0</v>
      </c>
      <c r="AC308" s="59">
        <f t="shared" si="87"/>
        <v>0</v>
      </c>
      <c r="AD308" s="59">
        <f t="shared" si="88"/>
        <v>0</v>
      </c>
      <c r="AE308" s="59">
        <f t="shared" si="89"/>
        <v>0</v>
      </c>
      <c r="AF308" s="59">
        <f t="shared" si="90"/>
        <v>0</v>
      </c>
      <c r="AG308" s="59">
        <f t="shared" si="91"/>
        <v>0</v>
      </c>
      <c r="AH308" s="59">
        <v>3</v>
      </c>
      <c r="AI308" s="59">
        <v>2</v>
      </c>
      <c r="AJ308" s="59">
        <f t="shared" si="92"/>
        <v>0</v>
      </c>
      <c r="AK308" s="59">
        <f t="shared" si="93"/>
        <v>1</v>
      </c>
      <c r="AL308" s="59">
        <v>5484</v>
      </c>
      <c r="AM308" s="59">
        <v>16985</v>
      </c>
      <c r="AN308" s="59">
        <v>1</v>
      </c>
      <c r="AO308" s="59">
        <v>0</v>
      </c>
      <c r="AP308" s="59">
        <v>14</v>
      </c>
      <c r="AQ308" s="59">
        <v>3</v>
      </c>
      <c r="AR308" s="59">
        <v>3</v>
      </c>
      <c r="AS308" s="59">
        <v>80</v>
      </c>
      <c r="AT308" s="59">
        <v>1</v>
      </c>
      <c r="AU308" s="59">
        <v>13</v>
      </c>
      <c r="AV308" s="59">
        <v>3</v>
      </c>
      <c r="AW308" s="59">
        <v>2</v>
      </c>
      <c r="AX308" s="59">
        <v>13</v>
      </c>
      <c r="AY308" s="59">
        <v>8</v>
      </c>
      <c r="AZ308" s="59">
        <v>4</v>
      </c>
      <c r="BA308" s="59">
        <v>8</v>
      </c>
      <c r="BB308" s="57">
        <f t="shared" si="94"/>
        <v>10968</v>
      </c>
    </row>
    <row r="309" spans="1:54" x14ac:dyDescent="0.25">
      <c r="A309" s="58">
        <v>38</v>
      </c>
      <c r="B309" s="59">
        <v>0</v>
      </c>
      <c r="C309" s="59">
        <v>1</v>
      </c>
      <c r="D309" s="59">
        <f t="shared" si="76"/>
        <v>1</v>
      </c>
      <c r="E309" s="59">
        <f t="shared" si="77"/>
        <v>0</v>
      </c>
      <c r="F309" s="59">
        <v>849</v>
      </c>
      <c r="G309" s="59">
        <v>2</v>
      </c>
      <c r="H309" s="59">
        <f t="shared" si="78"/>
        <v>0</v>
      </c>
      <c r="I309" s="59">
        <f t="shared" si="79"/>
        <v>1</v>
      </c>
      <c r="J309" s="59">
        <v>25</v>
      </c>
      <c r="K309" s="59">
        <v>2</v>
      </c>
      <c r="L309" s="59">
        <v>1</v>
      </c>
      <c r="M309" s="59">
        <f t="shared" si="80"/>
        <v>1</v>
      </c>
      <c r="N309" s="59">
        <f t="shared" si="81"/>
        <v>0</v>
      </c>
      <c r="O309" s="59">
        <f t="shared" si="82"/>
        <v>0</v>
      </c>
      <c r="P309" s="59">
        <f t="shared" si="83"/>
        <v>0</v>
      </c>
      <c r="Q309" s="59">
        <f t="shared" si="84"/>
        <v>0</v>
      </c>
      <c r="R309" s="59">
        <v>1</v>
      </c>
      <c r="S309" s="59">
        <v>421</v>
      </c>
      <c r="T309" s="59">
        <v>1</v>
      </c>
      <c r="U309" s="59">
        <v>0</v>
      </c>
      <c r="V309" s="59">
        <v>81</v>
      </c>
      <c r="W309" s="59">
        <v>2</v>
      </c>
      <c r="X309" s="59">
        <v>3</v>
      </c>
      <c r="Y309" s="59">
        <v>8</v>
      </c>
      <c r="Z309" s="59">
        <f t="shared" si="85"/>
        <v>0</v>
      </c>
      <c r="AA309" s="59">
        <f>IF('Updated Dummy'!Y309=2,1,0)</f>
        <v>0</v>
      </c>
      <c r="AB309" s="59">
        <f t="shared" si="86"/>
        <v>0</v>
      </c>
      <c r="AC309" s="59">
        <f t="shared" si="87"/>
        <v>0</v>
      </c>
      <c r="AD309" s="59">
        <f t="shared" si="88"/>
        <v>0</v>
      </c>
      <c r="AE309" s="59">
        <f t="shared" si="89"/>
        <v>0</v>
      </c>
      <c r="AF309" s="59">
        <f t="shared" si="90"/>
        <v>0</v>
      </c>
      <c r="AG309" s="59">
        <f t="shared" si="91"/>
        <v>1</v>
      </c>
      <c r="AH309" s="59">
        <v>2</v>
      </c>
      <c r="AI309" s="59">
        <v>2</v>
      </c>
      <c r="AJ309" s="59">
        <f t="shared" si="92"/>
        <v>0</v>
      </c>
      <c r="AK309" s="59">
        <f t="shared" si="93"/>
        <v>1</v>
      </c>
      <c r="AL309" s="59">
        <v>12061</v>
      </c>
      <c r="AM309" s="59">
        <v>26707</v>
      </c>
      <c r="AN309" s="59">
        <v>3</v>
      </c>
      <c r="AO309" s="59">
        <v>0</v>
      </c>
      <c r="AP309" s="59">
        <v>17</v>
      </c>
      <c r="AQ309" s="59">
        <v>3</v>
      </c>
      <c r="AR309" s="59">
        <v>3</v>
      </c>
      <c r="AS309" s="59">
        <v>80</v>
      </c>
      <c r="AT309" s="59">
        <v>1</v>
      </c>
      <c r="AU309" s="59">
        <v>19</v>
      </c>
      <c r="AV309" s="59">
        <v>2</v>
      </c>
      <c r="AW309" s="59">
        <v>3</v>
      </c>
      <c r="AX309" s="59">
        <v>10</v>
      </c>
      <c r="AY309" s="59">
        <v>8</v>
      </c>
      <c r="AZ309" s="59">
        <v>0</v>
      </c>
      <c r="BA309" s="59">
        <v>1</v>
      </c>
      <c r="BB309" s="57">
        <f t="shared" si="94"/>
        <v>36183</v>
      </c>
    </row>
    <row r="310" spans="1:54" x14ac:dyDescent="0.25">
      <c r="A310" s="58">
        <v>58</v>
      </c>
      <c r="B310" s="59">
        <v>0</v>
      </c>
      <c r="C310" s="59">
        <v>3</v>
      </c>
      <c r="D310" s="59">
        <f t="shared" si="76"/>
        <v>0</v>
      </c>
      <c r="E310" s="59">
        <f t="shared" si="77"/>
        <v>0</v>
      </c>
      <c r="F310" s="59">
        <v>390</v>
      </c>
      <c r="G310" s="59">
        <v>2</v>
      </c>
      <c r="H310" s="59">
        <f t="shared" si="78"/>
        <v>0</v>
      </c>
      <c r="I310" s="59">
        <f t="shared" si="79"/>
        <v>1</v>
      </c>
      <c r="J310" s="59">
        <v>1</v>
      </c>
      <c r="K310" s="59">
        <v>4</v>
      </c>
      <c r="L310" s="59">
        <v>1</v>
      </c>
      <c r="M310" s="59">
        <f t="shared" si="80"/>
        <v>1</v>
      </c>
      <c r="N310" s="59">
        <f t="shared" si="81"/>
        <v>0</v>
      </c>
      <c r="O310" s="59">
        <f t="shared" si="82"/>
        <v>0</v>
      </c>
      <c r="P310" s="59">
        <f t="shared" si="83"/>
        <v>0</v>
      </c>
      <c r="Q310" s="59">
        <f t="shared" si="84"/>
        <v>0</v>
      </c>
      <c r="R310" s="59">
        <v>1</v>
      </c>
      <c r="S310" s="59">
        <v>422</v>
      </c>
      <c r="T310" s="59">
        <v>4</v>
      </c>
      <c r="U310" s="59">
        <v>1</v>
      </c>
      <c r="V310" s="59">
        <v>32</v>
      </c>
      <c r="W310" s="59">
        <v>1</v>
      </c>
      <c r="X310" s="59">
        <v>2</v>
      </c>
      <c r="Y310" s="59">
        <v>5</v>
      </c>
      <c r="Z310" s="59">
        <f t="shared" si="85"/>
        <v>0</v>
      </c>
      <c r="AA310" s="59">
        <f>IF('Updated Dummy'!Y310=2,1,0)</f>
        <v>0</v>
      </c>
      <c r="AB310" s="59">
        <f t="shared" si="86"/>
        <v>0</v>
      </c>
      <c r="AC310" s="59">
        <f t="shared" si="87"/>
        <v>0</v>
      </c>
      <c r="AD310" s="59">
        <f t="shared" si="88"/>
        <v>1</v>
      </c>
      <c r="AE310" s="59">
        <f t="shared" si="89"/>
        <v>0</v>
      </c>
      <c r="AF310" s="59">
        <f t="shared" si="90"/>
        <v>0</v>
      </c>
      <c r="AG310" s="59">
        <f t="shared" si="91"/>
        <v>0</v>
      </c>
      <c r="AH310" s="59">
        <v>3</v>
      </c>
      <c r="AI310" s="59">
        <v>3</v>
      </c>
      <c r="AJ310" s="59">
        <f t="shared" si="92"/>
        <v>0</v>
      </c>
      <c r="AK310" s="59">
        <f t="shared" si="93"/>
        <v>0</v>
      </c>
      <c r="AL310" s="59">
        <v>5660</v>
      </c>
      <c r="AM310" s="59">
        <v>17056</v>
      </c>
      <c r="AN310" s="59">
        <v>2</v>
      </c>
      <c r="AO310" s="59">
        <v>1</v>
      </c>
      <c r="AP310" s="59">
        <v>13</v>
      </c>
      <c r="AQ310" s="59">
        <v>3</v>
      </c>
      <c r="AR310" s="59">
        <v>4</v>
      </c>
      <c r="AS310" s="59">
        <v>80</v>
      </c>
      <c r="AT310" s="59">
        <v>1</v>
      </c>
      <c r="AU310" s="59">
        <v>12</v>
      </c>
      <c r="AV310" s="59">
        <v>2</v>
      </c>
      <c r="AW310" s="59">
        <v>3</v>
      </c>
      <c r="AX310" s="59">
        <v>5</v>
      </c>
      <c r="AY310" s="59">
        <v>3</v>
      </c>
      <c r="AZ310" s="59">
        <v>1</v>
      </c>
      <c r="BA310" s="59">
        <v>2</v>
      </c>
      <c r="BB310" s="57">
        <f t="shared" si="94"/>
        <v>11320</v>
      </c>
    </row>
    <row r="311" spans="1:54" x14ac:dyDescent="0.25">
      <c r="A311" s="58">
        <v>31</v>
      </c>
      <c r="B311" s="59">
        <v>0</v>
      </c>
      <c r="C311" s="59">
        <v>1</v>
      </c>
      <c r="D311" s="59">
        <f t="shared" si="76"/>
        <v>1</v>
      </c>
      <c r="E311" s="59">
        <f t="shared" si="77"/>
        <v>0</v>
      </c>
      <c r="F311" s="59">
        <v>691</v>
      </c>
      <c r="G311" s="59">
        <v>2</v>
      </c>
      <c r="H311" s="59">
        <f t="shared" si="78"/>
        <v>0</v>
      </c>
      <c r="I311" s="59">
        <f t="shared" si="79"/>
        <v>1</v>
      </c>
      <c r="J311" s="59">
        <v>5</v>
      </c>
      <c r="K311" s="59">
        <v>4</v>
      </c>
      <c r="L311" s="59">
        <v>5</v>
      </c>
      <c r="M311" s="59">
        <f t="shared" si="80"/>
        <v>0</v>
      </c>
      <c r="N311" s="59">
        <f t="shared" si="81"/>
        <v>0</v>
      </c>
      <c r="O311" s="59">
        <f t="shared" si="82"/>
        <v>0</v>
      </c>
      <c r="P311" s="59">
        <f t="shared" si="83"/>
        <v>0</v>
      </c>
      <c r="Q311" s="59">
        <f t="shared" si="84"/>
        <v>1</v>
      </c>
      <c r="R311" s="59">
        <v>1</v>
      </c>
      <c r="S311" s="59">
        <v>423</v>
      </c>
      <c r="T311" s="59">
        <v>3</v>
      </c>
      <c r="U311" s="59">
        <v>1</v>
      </c>
      <c r="V311" s="59">
        <v>86</v>
      </c>
      <c r="W311" s="59">
        <v>3</v>
      </c>
      <c r="X311" s="59">
        <v>1</v>
      </c>
      <c r="Y311" s="59">
        <v>2</v>
      </c>
      <c r="Z311" s="59">
        <f t="shared" si="85"/>
        <v>0</v>
      </c>
      <c r="AA311" s="59">
        <f>IF('Updated Dummy'!Y311=2,1,0)</f>
        <v>1</v>
      </c>
      <c r="AB311" s="59">
        <f t="shared" si="86"/>
        <v>0</v>
      </c>
      <c r="AC311" s="59">
        <f t="shared" si="87"/>
        <v>0</v>
      </c>
      <c r="AD311" s="59">
        <f t="shared" si="88"/>
        <v>0</v>
      </c>
      <c r="AE311" s="59">
        <f t="shared" si="89"/>
        <v>0</v>
      </c>
      <c r="AF311" s="59">
        <f t="shared" si="90"/>
        <v>0</v>
      </c>
      <c r="AG311" s="59">
        <f t="shared" si="91"/>
        <v>0</v>
      </c>
      <c r="AH311" s="59">
        <v>4</v>
      </c>
      <c r="AI311" s="59">
        <v>2</v>
      </c>
      <c r="AJ311" s="59">
        <f t="shared" si="92"/>
        <v>0</v>
      </c>
      <c r="AK311" s="59">
        <f t="shared" si="93"/>
        <v>1</v>
      </c>
      <c r="AL311" s="59">
        <v>4821</v>
      </c>
      <c r="AM311" s="59">
        <v>10077</v>
      </c>
      <c r="AN311" s="59">
        <v>0</v>
      </c>
      <c r="AO311" s="59">
        <v>1</v>
      </c>
      <c r="AP311" s="59">
        <v>12</v>
      </c>
      <c r="AQ311" s="59">
        <v>3</v>
      </c>
      <c r="AR311" s="59">
        <v>3</v>
      </c>
      <c r="AS311" s="59">
        <v>80</v>
      </c>
      <c r="AT311" s="59">
        <v>1</v>
      </c>
      <c r="AU311" s="59">
        <v>6</v>
      </c>
      <c r="AV311" s="59">
        <v>4</v>
      </c>
      <c r="AW311" s="59">
        <v>3</v>
      </c>
      <c r="AX311" s="59">
        <v>5</v>
      </c>
      <c r="AY311" s="59">
        <v>2</v>
      </c>
      <c r="AZ311" s="59">
        <v>0</v>
      </c>
      <c r="BA311" s="59">
        <v>3</v>
      </c>
      <c r="BB311" s="57">
        <f t="shared" si="94"/>
        <v>4821</v>
      </c>
    </row>
    <row r="312" spans="1:54" x14ac:dyDescent="0.25">
      <c r="A312" s="58">
        <v>31</v>
      </c>
      <c r="B312" s="59">
        <v>0</v>
      </c>
      <c r="C312" s="59">
        <v>1</v>
      </c>
      <c r="D312" s="59">
        <f t="shared" si="76"/>
        <v>1</v>
      </c>
      <c r="E312" s="59">
        <f t="shared" si="77"/>
        <v>0</v>
      </c>
      <c r="F312" s="59">
        <v>106</v>
      </c>
      <c r="G312" s="59">
        <v>3</v>
      </c>
      <c r="H312" s="59">
        <f t="shared" si="78"/>
        <v>0</v>
      </c>
      <c r="I312" s="59">
        <f t="shared" si="79"/>
        <v>0</v>
      </c>
      <c r="J312" s="59">
        <v>2</v>
      </c>
      <c r="K312" s="59">
        <v>3</v>
      </c>
      <c r="L312" s="59">
        <v>2</v>
      </c>
      <c r="M312" s="59">
        <f t="shared" si="80"/>
        <v>0</v>
      </c>
      <c r="N312" s="59">
        <f t="shared" si="81"/>
        <v>1</v>
      </c>
      <c r="O312" s="59">
        <f t="shared" si="82"/>
        <v>0</v>
      </c>
      <c r="P312" s="59">
        <f t="shared" si="83"/>
        <v>0</v>
      </c>
      <c r="Q312" s="59">
        <f t="shared" si="84"/>
        <v>0</v>
      </c>
      <c r="R312" s="59">
        <v>1</v>
      </c>
      <c r="S312" s="59">
        <v>424</v>
      </c>
      <c r="T312" s="59">
        <v>1</v>
      </c>
      <c r="U312" s="59">
        <v>1</v>
      </c>
      <c r="V312" s="59">
        <v>62</v>
      </c>
      <c r="W312" s="59">
        <v>2</v>
      </c>
      <c r="X312" s="59">
        <v>2</v>
      </c>
      <c r="Y312" s="59">
        <v>9</v>
      </c>
      <c r="Z312" s="59">
        <f t="shared" si="85"/>
        <v>0</v>
      </c>
      <c r="AA312" s="59">
        <f>IF('Updated Dummy'!Y312=2,1,0)</f>
        <v>0</v>
      </c>
      <c r="AB312" s="59">
        <f t="shared" si="86"/>
        <v>0</v>
      </c>
      <c r="AC312" s="59">
        <f t="shared" si="87"/>
        <v>0</v>
      </c>
      <c r="AD312" s="59">
        <f t="shared" si="88"/>
        <v>0</v>
      </c>
      <c r="AE312" s="59">
        <f t="shared" si="89"/>
        <v>0</v>
      </c>
      <c r="AF312" s="59">
        <f t="shared" si="90"/>
        <v>0</v>
      </c>
      <c r="AG312" s="59">
        <f t="shared" si="91"/>
        <v>0</v>
      </c>
      <c r="AH312" s="59">
        <v>1</v>
      </c>
      <c r="AI312" s="59">
        <v>2</v>
      </c>
      <c r="AJ312" s="59">
        <f t="shared" si="92"/>
        <v>0</v>
      </c>
      <c r="AK312" s="59">
        <f t="shared" si="93"/>
        <v>1</v>
      </c>
      <c r="AL312" s="59">
        <v>6410</v>
      </c>
      <c r="AM312" s="59">
        <v>17822</v>
      </c>
      <c r="AN312" s="59">
        <v>3</v>
      </c>
      <c r="AO312" s="59">
        <v>0</v>
      </c>
      <c r="AP312" s="59">
        <v>12</v>
      </c>
      <c r="AQ312" s="59">
        <v>3</v>
      </c>
      <c r="AR312" s="59">
        <v>4</v>
      </c>
      <c r="AS312" s="59">
        <v>80</v>
      </c>
      <c r="AT312" s="59">
        <v>0</v>
      </c>
      <c r="AU312" s="59">
        <v>9</v>
      </c>
      <c r="AV312" s="59">
        <v>1</v>
      </c>
      <c r="AW312" s="59">
        <v>3</v>
      </c>
      <c r="AX312" s="59">
        <v>2</v>
      </c>
      <c r="AY312" s="59">
        <v>2</v>
      </c>
      <c r="AZ312" s="59">
        <v>1</v>
      </c>
      <c r="BA312" s="59">
        <v>0</v>
      </c>
      <c r="BB312" s="57">
        <f t="shared" si="94"/>
        <v>12820</v>
      </c>
    </row>
    <row r="313" spans="1:54" x14ac:dyDescent="0.25">
      <c r="A313" s="58">
        <v>45</v>
      </c>
      <c r="B313" s="59">
        <v>0</v>
      </c>
      <c r="C313" s="59">
        <v>2</v>
      </c>
      <c r="D313" s="59">
        <f t="shared" si="76"/>
        <v>0</v>
      </c>
      <c r="E313" s="59">
        <f t="shared" si="77"/>
        <v>1</v>
      </c>
      <c r="F313" s="59">
        <v>1249</v>
      </c>
      <c r="G313" s="59">
        <v>2</v>
      </c>
      <c r="H313" s="59">
        <f t="shared" si="78"/>
        <v>0</v>
      </c>
      <c r="I313" s="59">
        <f t="shared" si="79"/>
        <v>1</v>
      </c>
      <c r="J313" s="59">
        <v>7</v>
      </c>
      <c r="K313" s="59">
        <v>3</v>
      </c>
      <c r="L313" s="59">
        <v>1</v>
      </c>
      <c r="M313" s="59">
        <f t="shared" si="80"/>
        <v>1</v>
      </c>
      <c r="N313" s="59">
        <f t="shared" si="81"/>
        <v>0</v>
      </c>
      <c r="O313" s="59">
        <f t="shared" si="82"/>
        <v>0</v>
      </c>
      <c r="P313" s="59">
        <f t="shared" si="83"/>
        <v>0</v>
      </c>
      <c r="Q313" s="59">
        <f t="shared" si="84"/>
        <v>0</v>
      </c>
      <c r="R313" s="59">
        <v>1</v>
      </c>
      <c r="S313" s="59">
        <v>425</v>
      </c>
      <c r="T313" s="59">
        <v>1</v>
      </c>
      <c r="U313" s="59">
        <v>1</v>
      </c>
      <c r="V313" s="59">
        <v>97</v>
      </c>
      <c r="W313" s="59">
        <v>3</v>
      </c>
      <c r="X313" s="59">
        <v>3</v>
      </c>
      <c r="Y313" s="59">
        <v>3</v>
      </c>
      <c r="Z313" s="59">
        <f t="shared" si="85"/>
        <v>0</v>
      </c>
      <c r="AA313" s="59">
        <f>IF('Updated Dummy'!Y313=2,1,0)</f>
        <v>0</v>
      </c>
      <c r="AB313" s="59">
        <f t="shared" si="86"/>
        <v>1</v>
      </c>
      <c r="AC313" s="59">
        <f t="shared" si="87"/>
        <v>0</v>
      </c>
      <c r="AD313" s="59">
        <f t="shared" si="88"/>
        <v>0</v>
      </c>
      <c r="AE313" s="59">
        <f t="shared" si="89"/>
        <v>0</v>
      </c>
      <c r="AF313" s="59">
        <f t="shared" si="90"/>
        <v>0</v>
      </c>
      <c r="AG313" s="59">
        <f t="shared" si="91"/>
        <v>0</v>
      </c>
      <c r="AH313" s="59">
        <v>1</v>
      </c>
      <c r="AI313" s="59">
        <v>3</v>
      </c>
      <c r="AJ313" s="59">
        <f t="shared" si="92"/>
        <v>0</v>
      </c>
      <c r="AK313" s="59">
        <f t="shared" si="93"/>
        <v>0</v>
      </c>
      <c r="AL313" s="59">
        <v>5210</v>
      </c>
      <c r="AM313" s="59">
        <v>20308</v>
      </c>
      <c r="AN313" s="59">
        <v>1</v>
      </c>
      <c r="AO313" s="59">
        <v>0</v>
      </c>
      <c r="AP313" s="59">
        <v>18</v>
      </c>
      <c r="AQ313" s="59">
        <v>3</v>
      </c>
      <c r="AR313" s="59">
        <v>1</v>
      </c>
      <c r="AS313" s="59">
        <v>80</v>
      </c>
      <c r="AT313" s="59">
        <v>1</v>
      </c>
      <c r="AU313" s="59">
        <v>24</v>
      </c>
      <c r="AV313" s="59">
        <v>2</v>
      </c>
      <c r="AW313" s="59">
        <v>3</v>
      </c>
      <c r="AX313" s="59">
        <v>24</v>
      </c>
      <c r="AY313" s="59">
        <v>9</v>
      </c>
      <c r="AZ313" s="59">
        <v>9</v>
      </c>
      <c r="BA313" s="59">
        <v>11</v>
      </c>
      <c r="BB313" s="57">
        <f t="shared" si="94"/>
        <v>15630</v>
      </c>
    </row>
    <row r="314" spans="1:54" x14ac:dyDescent="0.25">
      <c r="A314" s="58">
        <v>31</v>
      </c>
      <c r="B314" s="59">
        <v>0</v>
      </c>
      <c r="C314" s="59">
        <v>1</v>
      </c>
      <c r="D314" s="59">
        <f t="shared" si="76"/>
        <v>1</v>
      </c>
      <c r="E314" s="59">
        <f t="shared" si="77"/>
        <v>0</v>
      </c>
      <c r="F314" s="59">
        <v>192</v>
      </c>
      <c r="G314" s="59">
        <v>2</v>
      </c>
      <c r="H314" s="59">
        <f t="shared" si="78"/>
        <v>0</v>
      </c>
      <c r="I314" s="59">
        <f t="shared" si="79"/>
        <v>1</v>
      </c>
      <c r="J314" s="59">
        <v>2</v>
      </c>
      <c r="K314" s="59">
        <v>4</v>
      </c>
      <c r="L314" s="59">
        <v>1</v>
      </c>
      <c r="M314" s="59">
        <f t="shared" si="80"/>
        <v>1</v>
      </c>
      <c r="N314" s="59">
        <f t="shared" si="81"/>
        <v>0</v>
      </c>
      <c r="O314" s="59">
        <f t="shared" si="82"/>
        <v>0</v>
      </c>
      <c r="P314" s="59">
        <f t="shared" si="83"/>
        <v>0</v>
      </c>
      <c r="Q314" s="59">
        <f t="shared" si="84"/>
        <v>0</v>
      </c>
      <c r="R314" s="59">
        <v>1</v>
      </c>
      <c r="S314" s="59">
        <v>426</v>
      </c>
      <c r="T314" s="59">
        <v>3</v>
      </c>
      <c r="U314" s="59">
        <v>1</v>
      </c>
      <c r="V314" s="59">
        <v>32</v>
      </c>
      <c r="W314" s="59">
        <v>3</v>
      </c>
      <c r="X314" s="59">
        <v>1</v>
      </c>
      <c r="Y314" s="59">
        <v>2</v>
      </c>
      <c r="Z314" s="59">
        <f t="shared" si="85"/>
        <v>0</v>
      </c>
      <c r="AA314" s="59">
        <f>IF('Updated Dummy'!Y314=2,1,0)</f>
        <v>1</v>
      </c>
      <c r="AB314" s="59">
        <f t="shared" si="86"/>
        <v>0</v>
      </c>
      <c r="AC314" s="59">
        <f t="shared" si="87"/>
        <v>0</v>
      </c>
      <c r="AD314" s="59">
        <f t="shared" si="88"/>
        <v>0</v>
      </c>
      <c r="AE314" s="59">
        <f t="shared" si="89"/>
        <v>0</v>
      </c>
      <c r="AF314" s="59">
        <f t="shared" si="90"/>
        <v>0</v>
      </c>
      <c r="AG314" s="59">
        <f t="shared" si="91"/>
        <v>0</v>
      </c>
      <c r="AH314" s="59">
        <v>4</v>
      </c>
      <c r="AI314" s="59">
        <v>3</v>
      </c>
      <c r="AJ314" s="59">
        <f t="shared" si="92"/>
        <v>0</v>
      </c>
      <c r="AK314" s="59">
        <f t="shared" si="93"/>
        <v>0</v>
      </c>
      <c r="AL314" s="59">
        <v>2695</v>
      </c>
      <c r="AM314" s="59">
        <v>7747</v>
      </c>
      <c r="AN314" s="59">
        <v>0</v>
      </c>
      <c r="AO314" s="59">
        <v>1</v>
      </c>
      <c r="AP314" s="59">
        <v>18</v>
      </c>
      <c r="AQ314" s="59">
        <v>3</v>
      </c>
      <c r="AR314" s="59">
        <v>2</v>
      </c>
      <c r="AS314" s="59">
        <v>80</v>
      </c>
      <c r="AT314" s="59">
        <v>1</v>
      </c>
      <c r="AU314" s="59">
        <v>3</v>
      </c>
      <c r="AV314" s="59">
        <v>2</v>
      </c>
      <c r="AW314" s="59">
        <v>1</v>
      </c>
      <c r="AX314" s="59">
        <v>2</v>
      </c>
      <c r="AY314" s="59">
        <v>2</v>
      </c>
      <c r="AZ314" s="59">
        <v>2</v>
      </c>
      <c r="BA314" s="59">
        <v>2</v>
      </c>
      <c r="BB314" s="57">
        <f t="shared" si="94"/>
        <v>2695</v>
      </c>
    </row>
    <row r="315" spans="1:54" x14ac:dyDescent="0.25">
      <c r="A315" s="58">
        <v>33</v>
      </c>
      <c r="B315" s="59">
        <v>0</v>
      </c>
      <c r="C315" s="59">
        <v>2</v>
      </c>
      <c r="D315" s="59">
        <f t="shared" si="76"/>
        <v>0</v>
      </c>
      <c r="E315" s="59">
        <f t="shared" si="77"/>
        <v>1</v>
      </c>
      <c r="F315" s="59">
        <v>553</v>
      </c>
      <c r="G315" s="59">
        <v>2</v>
      </c>
      <c r="H315" s="59">
        <f t="shared" si="78"/>
        <v>0</v>
      </c>
      <c r="I315" s="59">
        <f t="shared" si="79"/>
        <v>1</v>
      </c>
      <c r="J315" s="59">
        <v>5</v>
      </c>
      <c r="K315" s="59">
        <v>4</v>
      </c>
      <c r="L315" s="59">
        <v>1</v>
      </c>
      <c r="M315" s="59">
        <f t="shared" si="80"/>
        <v>1</v>
      </c>
      <c r="N315" s="59">
        <f t="shared" si="81"/>
        <v>0</v>
      </c>
      <c r="O315" s="59">
        <f t="shared" si="82"/>
        <v>0</v>
      </c>
      <c r="P315" s="59">
        <f t="shared" si="83"/>
        <v>0</v>
      </c>
      <c r="Q315" s="59">
        <f t="shared" si="84"/>
        <v>0</v>
      </c>
      <c r="R315" s="59">
        <v>1</v>
      </c>
      <c r="S315" s="59">
        <v>428</v>
      </c>
      <c r="T315" s="59">
        <v>4</v>
      </c>
      <c r="U315" s="59">
        <v>0</v>
      </c>
      <c r="V315" s="59">
        <v>74</v>
      </c>
      <c r="W315" s="59">
        <v>3</v>
      </c>
      <c r="X315" s="59">
        <v>3</v>
      </c>
      <c r="Y315" s="59">
        <v>6</v>
      </c>
      <c r="Z315" s="59">
        <f t="shared" si="85"/>
        <v>0</v>
      </c>
      <c r="AA315" s="59">
        <f>IF('Updated Dummy'!Y315=2,1,0)</f>
        <v>0</v>
      </c>
      <c r="AB315" s="59">
        <f t="shared" si="86"/>
        <v>0</v>
      </c>
      <c r="AC315" s="59">
        <f t="shared" si="87"/>
        <v>0</v>
      </c>
      <c r="AD315" s="59">
        <f t="shared" si="88"/>
        <v>0</v>
      </c>
      <c r="AE315" s="59">
        <f t="shared" si="89"/>
        <v>1</v>
      </c>
      <c r="AF315" s="59">
        <f t="shared" si="90"/>
        <v>0</v>
      </c>
      <c r="AG315" s="59">
        <f t="shared" si="91"/>
        <v>0</v>
      </c>
      <c r="AH315" s="59">
        <v>2</v>
      </c>
      <c r="AI315" s="59">
        <v>2</v>
      </c>
      <c r="AJ315" s="59">
        <f t="shared" si="92"/>
        <v>0</v>
      </c>
      <c r="AK315" s="59">
        <f t="shared" si="93"/>
        <v>1</v>
      </c>
      <c r="AL315" s="59">
        <v>11878</v>
      </c>
      <c r="AM315" s="59">
        <v>23364</v>
      </c>
      <c r="AN315" s="59">
        <v>6</v>
      </c>
      <c r="AO315" s="59">
        <v>0</v>
      </c>
      <c r="AP315" s="59">
        <v>11</v>
      </c>
      <c r="AQ315" s="59">
        <v>3</v>
      </c>
      <c r="AR315" s="59">
        <v>2</v>
      </c>
      <c r="AS315" s="59">
        <v>80</v>
      </c>
      <c r="AT315" s="59">
        <v>2</v>
      </c>
      <c r="AU315" s="59">
        <v>12</v>
      </c>
      <c r="AV315" s="59">
        <v>2</v>
      </c>
      <c r="AW315" s="59">
        <v>3</v>
      </c>
      <c r="AX315" s="59">
        <v>10</v>
      </c>
      <c r="AY315" s="59">
        <v>6</v>
      </c>
      <c r="AZ315" s="59">
        <v>8</v>
      </c>
      <c r="BA315" s="59">
        <v>8</v>
      </c>
      <c r="BB315" s="57">
        <f t="shared" si="94"/>
        <v>35634</v>
      </c>
    </row>
    <row r="316" spans="1:54" x14ac:dyDescent="0.25">
      <c r="A316" s="58">
        <v>39</v>
      </c>
      <c r="B316" s="59">
        <v>0</v>
      </c>
      <c r="C316" s="59">
        <v>1</v>
      </c>
      <c r="D316" s="59">
        <f t="shared" si="76"/>
        <v>1</v>
      </c>
      <c r="E316" s="59">
        <f t="shared" si="77"/>
        <v>0</v>
      </c>
      <c r="F316" s="59">
        <v>117</v>
      </c>
      <c r="G316" s="59">
        <v>2</v>
      </c>
      <c r="H316" s="59">
        <f t="shared" si="78"/>
        <v>0</v>
      </c>
      <c r="I316" s="59">
        <f t="shared" si="79"/>
        <v>1</v>
      </c>
      <c r="J316" s="59">
        <v>10</v>
      </c>
      <c r="K316" s="59">
        <v>1</v>
      </c>
      <c r="L316" s="59">
        <v>3</v>
      </c>
      <c r="M316" s="59">
        <f t="shared" si="80"/>
        <v>0</v>
      </c>
      <c r="N316" s="59">
        <f t="shared" si="81"/>
        <v>0</v>
      </c>
      <c r="O316" s="59">
        <f t="shared" si="82"/>
        <v>1</v>
      </c>
      <c r="P316" s="59">
        <f t="shared" si="83"/>
        <v>0</v>
      </c>
      <c r="Q316" s="59">
        <f t="shared" si="84"/>
        <v>0</v>
      </c>
      <c r="R316" s="59">
        <v>1</v>
      </c>
      <c r="S316" s="59">
        <v>429</v>
      </c>
      <c r="T316" s="59">
        <v>3</v>
      </c>
      <c r="U316" s="59">
        <v>1</v>
      </c>
      <c r="V316" s="59">
        <v>99</v>
      </c>
      <c r="W316" s="59">
        <v>3</v>
      </c>
      <c r="X316" s="59">
        <v>4</v>
      </c>
      <c r="Y316" s="59">
        <v>6</v>
      </c>
      <c r="Z316" s="59">
        <f t="shared" si="85"/>
        <v>0</v>
      </c>
      <c r="AA316" s="59">
        <f>IF('Updated Dummy'!Y316=2,1,0)</f>
        <v>0</v>
      </c>
      <c r="AB316" s="59">
        <f t="shared" si="86"/>
        <v>0</v>
      </c>
      <c r="AC316" s="59">
        <f t="shared" si="87"/>
        <v>0</v>
      </c>
      <c r="AD316" s="59">
        <f t="shared" si="88"/>
        <v>0</v>
      </c>
      <c r="AE316" s="59">
        <f t="shared" si="89"/>
        <v>1</v>
      </c>
      <c r="AF316" s="59">
        <f t="shared" si="90"/>
        <v>0</v>
      </c>
      <c r="AG316" s="59">
        <f t="shared" si="91"/>
        <v>0</v>
      </c>
      <c r="AH316" s="59">
        <v>1</v>
      </c>
      <c r="AI316" s="59">
        <v>2</v>
      </c>
      <c r="AJ316" s="59">
        <f t="shared" si="92"/>
        <v>0</v>
      </c>
      <c r="AK316" s="59">
        <f t="shared" si="93"/>
        <v>1</v>
      </c>
      <c r="AL316" s="59">
        <v>17068</v>
      </c>
      <c r="AM316" s="59">
        <v>5355</v>
      </c>
      <c r="AN316" s="59">
        <v>1</v>
      </c>
      <c r="AO316" s="59">
        <v>1</v>
      </c>
      <c r="AP316" s="59">
        <v>14</v>
      </c>
      <c r="AQ316" s="59">
        <v>3</v>
      </c>
      <c r="AR316" s="59">
        <v>4</v>
      </c>
      <c r="AS316" s="59">
        <v>80</v>
      </c>
      <c r="AT316" s="59">
        <v>0</v>
      </c>
      <c r="AU316" s="59">
        <v>21</v>
      </c>
      <c r="AV316" s="59">
        <v>3</v>
      </c>
      <c r="AW316" s="59">
        <v>3</v>
      </c>
      <c r="AX316" s="59">
        <v>21</v>
      </c>
      <c r="AY316" s="59">
        <v>9</v>
      </c>
      <c r="AZ316" s="59">
        <v>11</v>
      </c>
      <c r="BA316" s="59">
        <v>10</v>
      </c>
      <c r="BB316" s="57">
        <f t="shared" si="94"/>
        <v>68272</v>
      </c>
    </row>
    <row r="317" spans="1:54" x14ac:dyDescent="0.25">
      <c r="A317" s="58">
        <v>43</v>
      </c>
      <c r="B317" s="59">
        <v>0</v>
      </c>
      <c r="C317" s="59">
        <v>2</v>
      </c>
      <c r="D317" s="59">
        <f t="shared" si="76"/>
        <v>0</v>
      </c>
      <c r="E317" s="59">
        <f t="shared" si="77"/>
        <v>1</v>
      </c>
      <c r="F317" s="59">
        <v>185</v>
      </c>
      <c r="G317" s="59">
        <v>2</v>
      </c>
      <c r="H317" s="59">
        <f t="shared" si="78"/>
        <v>0</v>
      </c>
      <c r="I317" s="59">
        <f t="shared" si="79"/>
        <v>1</v>
      </c>
      <c r="J317" s="59">
        <v>10</v>
      </c>
      <c r="K317" s="59">
        <v>4</v>
      </c>
      <c r="L317" s="59">
        <v>1</v>
      </c>
      <c r="M317" s="59">
        <f t="shared" si="80"/>
        <v>1</v>
      </c>
      <c r="N317" s="59">
        <f t="shared" si="81"/>
        <v>0</v>
      </c>
      <c r="O317" s="59">
        <f t="shared" si="82"/>
        <v>0</v>
      </c>
      <c r="P317" s="59">
        <f t="shared" si="83"/>
        <v>0</v>
      </c>
      <c r="Q317" s="59">
        <f t="shared" si="84"/>
        <v>0</v>
      </c>
      <c r="R317" s="59">
        <v>1</v>
      </c>
      <c r="S317" s="59">
        <v>430</v>
      </c>
      <c r="T317" s="59">
        <v>3</v>
      </c>
      <c r="U317" s="59">
        <v>0</v>
      </c>
      <c r="V317" s="59">
        <v>33</v>
      </c>
      <c r="W317" s="59">
        <v>3</v>
      </c>
      <c r="X317" s="59">
        <v>1</v>
      </c>
      <c r="Y317" s="59">
        <v>3</v>
      </c>
      <c r="Z317" s="59">
        <f t="shared" si="85"/>
        <v>0</v>
      </c>
      <c r="AA317" s="59">
        <f>IF('Updated Dummy'!Y317=2,1,0)</f>
        <v>0</v>
      </c>
      <c r="AB317" s="59">
        <f t="shared" si="86"/>
        <v>1</v>
      </c>
      <c r="AC317" s="59">
        <f t="shared" si="87"/>
        <v>0</v>
      </c>
      <c r="AD317" s="59">
        <f t="shared" si="88"/>
        <v>0</v>
      </c>
      <c r="AE317" s="59">
        <f t="shared" si="89"/>
        <v>0</v>
      </c>
      <c r="AF317" s="59">
        <f t="shared" si="90"/>
        <v>0</v>
      </c>
      <c r="AG317" s="59">
        <f t="shared" si="91"/>
        <v>0</v>
      </c>
      <c r="AH317" s="59">
        <v>4</v>
      </c>
      <c r="AI317" s="59">
        <v>1</v>
      </c>
      <c r="AJ317" s="59">
        <f t="shared" si="92"/>
        <v>1</v>
      </c>
      <c r="AK317" s="59">
        <f t="shared" si="93"/>
        <v>0</v>
      </c>
      <c r="AL317" s="59">
        <v>2455</v>
      </c>
      <c r="AM317" s="59">
        <v>10675</v>
      </c>
      <c r="AN317" s="59">
        <v>0</v>
      </c>
      <c r="AO317" s="59">
        <v>0</v>
      </c>
      <c r="AP317" s="59">
        <v>19</v>
      </c>
      <c r="AQ317" s="59">
        <v>3</v>
      </c>
      <c r="AR317" s="59">
        <v>1</v>
      </c>
      <c r="AS317" s="59">
        <v>80</v>
      </c>
      <c r="AT317" s="59">
        <v>0</v>
      </c>
      <c r="AU317" s="59">
        <v>9</v>
      </c>
      <c r="AV317" s="59">
        <v>5</v>
      </c>
      <c r="AW317" s="59">
        <v>3</v>
      </c>
      <c r="AX317" s="59">
        <v>8</v>
      </c>
      <c r="AY317" s="59">
        <v>7</v>
      </c>
      <c r="AZ317" s="59">
        <v>1</v>
      </c>
      <c r="BA317" s="59">
        <v>7</v>
      </c>
      <c r="BB317" s="57">
        <f t="shared" si="94"/>
        <v>2455</v>
      </c>
    </row>
    <row r="318" spans="1:54" x14ac:dyDescent="0.25">
      <c r="A318" s="58">
        <v>49</v>
      </c>
      <c r="B318" s="59">
        <v>0</v>
      </c>
      <c r="C318" s="59">
        <v>1</v>
      </c>
      <c r="D318" s="59">
        <f t="shared" si="76"/>
        <v>1</v>
      </c>
      <c r="E318" s="59">
        <f t="shared" si="77"/>
        <v>0</v>
      </c>
      <c r="F318" s="59">
        <v>1091</v>
      </c>
      <c r="G318" s="59">
        <v>2</v>
      </c>
      <c r="H318" s="59">
        <f t="shared" si="78"/>
        <v>0</v>
      </c>
      <c r="I318" s="59">
        <f t="shared" si="79"/>
        <v>1</v>
      </c>
      <c r="J318" s="59">
        <v>1</v>
      </c>
      <c r="K318" s="59">
        <v>2</v>
      </c>
      <c r="L318" s="59">
        <v>5</v>
      </c>
      <c r="M318" s="59">
        <f t="shared" si="80"/>
        <v>0</v>
      </c>
      <c r="N318" s="59">
        <f t="shared" si="81"/>
        <v>0</v>
      </c>
      <c r="O318" s="59">
        <f t="shared" si="82"/>
        <v>0</v>
      </c>
      <c r="P318" s="59">
        <f t="shared" si="83"/>
        <v>0</v>
      </c>
      <c r="Q318" s="59">
        <f t="shared" si="84"/>
        <v>1</v>
      </c>
      <c r="R318" s="59">
        <v>1</v>
      </c>
      <c r="S318" s="59">
        <v>431</v>
      </c>
      <c r="T318" s="59">
        <v>3</v>
      </c>
      <c r="U318" s="59">
        <v>0</v>
      </c>
      <c r="V318" s="59">
        <v>90</v>
      </c>
      <c r="W318" s="59">
        <v>2</v>
      </c>
      <c r="X318" s="59">
        <v>4</v>
      </c>
      <c r="Y318" s="59">
        <v>5</v>
      </c>
      <c r="Z318" s="59">
        <f t="shared" si="85"/>
        <v>0</v>
      </c>
      <c r="AA318" s="59">
        <f>IF('Updated Dummy'!Y318=2,1,0)</f>
        <v>0</v>
      </c>
      <c r="AB318" s="59">
        <f t="shared" si="86"/>
        <v>0</v>
      </c>
      <c r="AC318" s="59">
        <f t="shared" si="87"/>
        <v>0</v>
      </c>
      <c r="AD318" s="59">
        <f t="shared" si="88"/>
        <v>1</v>
      </c>
      <c r="AE318" s="59">
        <f t="shared" si="89"/>
        <v>0</v>
      </c>
      <c r="AF318" s="59">
        <f t="shared" si="90"/>
        <v>0</v>
      </c>
      <c r="AG318" s="59">
        <f t="shared" si="91"/>
        <v>0</v>
      </c>
      <c r="AH318" s="59">
        <v>3</v>
      </c>
      <c r="AI318" s="59">
        <v>1</v>
      </c>
      <c r="AJ318" s="59">
        <f t="shared" si="92"/>
        <v>1</v>
      </c>
      <c r="AK318" s="59">
        <f t="shared" si="93"/>
        <v>0</v>
      </c>
      <c r="AL318" s="59">
        <v>13964</v>
      </c>
      <c r="AM318" s="59">
        <v>17810</v>
      </c>
      <c r="AN318" s="59">
        <v>7</v>
      </c>
      <c r="AO318" s="59">
        <v>1</v>
      </c>
      <c r="AP318" s="59">
        <v>12</v>
      </c>
      <c r="AQ318" s="59">
        <v>3</v>
      </c>
      <c r="AR318" s="59">
        <v>4</v>
      </c>
      <c r="AS318" s="59">
        <v>80</v>
      </c>
      <c r="AT318" s="59">
        <v>0</v>
      </c>
      <c r="AU318" s="59">
        <v>25</v>
      </c>
      <c r="AV318" s="59">
        <v>2</v>
      </c>
      <c r="AW318" s="59">
        <v>3</v>
      </c>
      <c r="AX318" s="59">
        <v>7</v>
      </c>
      <c r="AY318" s="59">
        <v>1</v>
      </c>
      <c r="AZ318" s="59">
        <v>0</v>
      </c>
      <c r="BA318" s="59">
        <v>7</v>
      </c>
      <c r="BB318" s="57">
        <f t="shared" si="94"/>
        <v>55856</v>
      </c>
    </row>
    <row r="319" spans="1:54" x14ac:dyDescent="0.25">
      <c r="A319" s="58">
        <v>52</v>
      </c>
      <c r="B319" s="59">
        <v>1</v>
      </c>
      <c r="C319" s="59">
        <v>1</v>
      </c>
      <c r="D319" s="59">
        <f t="shared" si="76"/>
        <v>1</v>
      </c>
      <c r="E319" s="59">
        <f t="shared" si="77"/>
        <v>0</v>
      </c>
      <c r="F319" s="59">
        <v>723</v>
      </c>
      <c r="G319" s="59">
        <v>2</v>
      </c>
      <c r="H319" s="59">
        <f t="shared" si="78"/>
        <v>0</v>
      </c>
      <c r="I319" s="59">
        <f t="shared" si="79"/>
        <v>1</v>
      </c>
      <c r="J319" s="59">
        <v>8</v>
      </c>
      <c r="K319" s="59">
        <v>4</v>
      </c>
      <c r="L319" s="59">
        <v>3</v>
      </c>
      <c r="M319" s="59">
        <f t="shared" si="80"/>
        <v>0</v>
      </c>
      <c r="N319" s="59">
        <f t="shared" si="81"/>
        <v>0</v>
      </c>
      <c r="O319" s="59">
        <f t="shared" si="82"/>
        <v>1</v>
      </c>
      <c r="P319" s="59">
        <f t="shared" si="83"/>
        <v>0</v>
      </c>
      <c r="Q319" s="59">
        <f t="shared" si="84"/>
        <v>0</v>
      </c>
      <c r="R319" s="59">
        <v>1</v>
      </c>
      <c r="S319" s="59">
        <v>433</v>
      </c>
      <c r="T319" s="59">
        <v>3</v>
      </c>
      <c r="U319" s="59">
        <v>1</v>
      </c>
      <c r="V319" s="59">
        <v>85</v>
      </c>
      <c r="W319" s="59">
        <v>2</v>
      </c>
      <c r="X319" s="59">
        <v>2</v>
      </c>
      <c r="Y319" s="59">
        <v>2</v>
      </c>
      <c r="Z319" s="59">
        <f t="shared" si="85"/>
        <v>0</v>
      </c>
      <c r="AA319" s="59">
        <f>IF('Updated Dummy'!Y319=2,1,0)</f>
        <v>1</v>
      </c>
      <c r="AB319" s="59">
        <f t="shared" si="86"/>
        <v>0</v>
      </c>
      <c r="AC319" s="59">
        <f t="shared" si="87"/>
        <v>0</v>
      </c>
      <c r="AD319" s="59">
        <f t="shared" si="88"/>
        <v>0</v>
      </c>
      <c r="AE319" s="59">
        <f t="shared" si="89"/>
        <v>0</v>
      </c>
      <c r="AF319" s="59">
        <f t="shared" si="90"/>
        <v>0</v>
      </c>
      <c r="AG319" s="59">
        <f t="shared" si="91"/>
        <v>0</v>
      </c>
      <c r="AH319" s="59">
        <v>2</v>
      </c>
      <c r="AI319" s="59">
        <v>2</v>
      </c>
      <c r="AJ319" s="59">
        <f t="shared" si="92"/>
        <v>0</v>
      </c>
      <c r="AK319" s="59">
        <f t="shared" si="93"/>
        <v>1</v>
      </c>
      <c r="AL319" s="59">
        <v>4941</v>
      </c>
      <c r="AM319" s="59">
        <v>17747</v>
      </c>
      <c r="AN319" s="59">
        <v>2</v>
      </c>
      <c r="AO319" s="59">
        <v>0</v>
      </c>
      <c r="AP319" s="59">
        <v>15</v>
      </c>
      <c r="AQ319" s="59">
        <v>3</v>
      </c>
      <c r="AR319" s="59">
        <v>1</v>
      </c>
      <c r="AS319" s="59">
        <v>80</v>
      </c>
      <c r="AT319" s="59">
        <v>0</v>
      </c>
      <c r="AU319" s="59">
        <v>11</v>
      </c>
      <c r="AV319" s="59">
        <v>3</v>
      </c>
      <c r="AW319" s="59">
        <v>2</v>
      </c>
      <c r="AX319" s="59">
        <v>8</v>
      </c>
      <c r="AY319" s="59">
        <v>2</v>
      </c>
      <c r="AZ319" s="59">
        <v>7</v>
      </c>
      <c r="BA319" s="59">
        <v>7</v>
      </c>
      <c r="BB319" s="57">
        <f t="shared" si="94"/>
        <v>9882</v>
      </c>
    </row>
    <row r="320" spans="1:54" x14ac:dyDescent="0.25">
      <c r="A320" s="58">
        <v>27</v>
      </c>
      <c r="B320" s="59">
        <v>0</v>
      </c>
      <c r="C320" s="59">
        <v>1</v>
      </c>
      <c r="D320" s="59">
        <f t="shared" si="76"/>
        <v>1</v>
      </c>
      <c r="E320" s="59">
        <f t="shared" si="77"/>
        <v>0</v>
      </c>
      <c r="F320" s="59">
        <v>1220</v>
      </c>
      <c r="G320" s="59">
        <v>2</v>
      </c>
      <c r="H320" s="59">
        <f t="shared" si="78"/>
        <v>0</v>
      </c>
      <c r="I320" s="59">
        <f t="shared" si="79"/>
        <v>1</v>
      </c>
      <c r="J320" s="59">
        <v>5</v>
      </c>
      <c r="K320" s="59">
        <v>3</v>
      </c>
      <c r="L320" s="59">
        <v>1</v>
      </c>
      <c r="M320" s="59">
        <f t="shared" si="80"/>
        <v>1</v>
      </c>
      <c r="N320" s="59">
        <f t="shared" si="81"/>
        <v>0</v>
      </c>
      <c r="O320" s="59">
        <f t="shared" si="82"/>
        <v>0</v>
      </c>
      <c r="P320" s="59">
        <f t="shared" si="83"/>
        <v>0</v>
      </c>
      <c r="Q320" s="59">
        <f t="shared" si="84"/>
        <v>0</v>
      </c>
      <c r="R320" s="59">
        <v>1</v>
      </c>
      <c r="S320" s="59">
        <v>434</v>
      </c>
      <c r="T320" s="59">
        <v>3</v>
      </c>
      <c r="U320" s="59">
        <v>0</v>
      </c>
      <c r="V320" s="59">
        <v>85</v>
      </c>
      <c r="W320" s="59">
        <v>3</v>
      </c>
      <c r="X320" s="59">
        <v>1</v>
      </c>
      <c r="Y320" s="59">
        <v>2</v>
      </c>
      <c r="Z320" s="59">
        <f t="shared" si="85"/>
        <v>0</v>
      </c>
      <c r="AA320" s="59">
        <f>IF('Updated Dummy'!Y320=2,1,0)</f>
        <v>1</v>
      </c>
      <c r="AB320" s="59">
        <f t="shared" si="86"/>
        <v>0</v>
      </c>
      <c r="AC320" s="59">
        <f t="shared" si="87"/>
        <v>0</v>
      </c>
      <c r="AD320" s="59">
        <f t="shared" si="88"/>
        <v>0</v>
      </c>
      <c r="AE320" s="59">
        <f t="shared" si="89"/>
        <v>0</v>
      </c>
      <c r="AF320" s="59">
        <f t="shared" si="90"/>
        <v>0</v>
      </c>
      <c r="AG320" s="59">
        <f t="shared" si="91"/>
        <v>0</v>
      </c>
      <c r="AH320" s="59">
        <v>2</v>
      </c>
      <c r="AI320" s="59">
        <v>1</v>
      </c>
      <c r="AJ320" s="59">
        <f t="shared" si="92"/>
        <v>1</v>
      </c>
      <c r="AK320" s="59">
        <f t="shared" si="93"/>
        <v>0</v>
      </c>
      <c r="AL320" s="59">
        <v>2478</v>
      </c>
      <c r="AM320" s="59">
        <v>20938</v>
      </c>
      <c r="AN320" s="59">
        <v>1</v>
      </c>
      <c r="AO320" s="59">
        <v>1</v>
      </c>
      <c r="AP320" s="59">
        <v>12</v>
      </c>
      <c r="AQ320" s="59">
        <v>3</v>
      </c>
      <c r="AR320" s="59">
        <v>2</v>
      </c>
      <c r="AS320" s="59">
        <v>80</v>
      </c>
      <c r="AT320" s="59">
        <v>0</v>
      </c>
      <c r="AU320" s="59">
        <v>4</v>
      </c>
      <c r="AV320" s="59">
        <v>2</v>
      </c>
      <c r="AW320" s="59">
        <v>2</v>
      </c>
      <c r="AX320" s="59">
        <v>4</v>
      </c>
      <c r="AY320" s="59">
        <v>3</v>
      </c>
      <c r="AZ320" s="59">
        <v>1</v>
      </c>
      <c r="BA320" s="59">
        <v>2</v>
      </c>
      <c r="BB320" s="57">
        <f t="shared" si="94"/>
        <v>2478</v>
      </c>
    </row>
    <row r="321" spans="1:54" x14ac:dyDescent="0.25">
      <c r="A321" s="58">
        <v>32</v>
      </c>
      <c r="B321" s="59">
        <v>0</v>
      </c>
      <c r="C321" s="59">
        <v>1</v>
      </c>
      <c r="D321" s="59">
        <f t="shared" si="76"/>
        <v>1</v>
      </c>
      <c r="E321" s="59">
        <f t="shared" si="77"/>
        <v>0</v>
      </c>
      <c r="F321" s="59">
        <v>588</v>
      </c>
      <c r="G321" s="59">
        <v>1</v>
      </c>
      <c r="H321" s="59">
        <f t="shared" si="78"/>
        <v>1</v>
      </c>
      <c r="I321" s="59">
        <f t="shared" si="79"/>
        <v>0</v>
      </c>
      <c r="J321" s="59">
        <v>8</v>
      </c>
      <c r="K321" s="59">
        <v>2</v>
      </c>
      <c r="L321" s="59">
        <v>5</v>
      </c>
      <c r="M321" s="59">
        <f t="shared" si="80"/>
        <v>0</v>
      </c>
      <c r="N321" s="59">
        <f t="shared" si="81"/>
        <v>0</v>
      </c>
      <c r="O321" s="59">
        <f t="shared" si="82"/>
        <v>0</v>
      </c>
      <c r="P321" s="59">
        <f t="shared" si="83"/>
        <v>0</v>
      </c>
      <c r="Q321" s="59">
        <f t="shared" si="84"/>
        <v>1</v>
      </c>
      <c r="R321" s="59">
        <v>1</v>
      </c>
      <c r="S321" s="59">
        <v>436</v>
      </c>
      <c r="T321" s="59">
        <v>3</v>
      </c>
      <c r="U321" s="59">
        <v>0</v>
      </c>
      <c r="V321" s="59">
        <v>65</v>
      </c>
      <c r="W321" s="59">
        <v>2</v>
      </c>
      <c r="X321" s="59">
        <v>2</v>
      </c>
      <c r="Y321" s="59">
        <v>1</v>
      </c>
      <c r="Z321" s="59">
        <f t="shared" si="85"/>
        <v>1</v>
      </c>
      <c r="AA321" s="59">
        <f>IF('Updated Dummy'!Y321=2,1,0)</f>
        <v>0</v>
      </c>
      <c r="AB321" s="59">
        <f t="shared" si="86"/>
        <v>0</v>
      </c>
      <c r="AC321" s="59">
        <f t="shared" si="87"/>
        <v>0</v>
      </c>
      <c r="AD321" s="59">
        <f t="shared" si="88"/>
        <v>0</v>
      </c>
      <c r="AE321" s="59">
        <f t="shared" si="89"/>
        <v>0</v>
      </c>
      <c r="AF321" s="59">
        <f t="shared" si="90"/>
        <v>0</v>
      </c>
      <c r="AG321" s="59">
        <f t="shared" si="91"/>
        <v>0</v>
      </c>
      <c r="AH321" s="59">
        <v>2</v>
      </c>
      <c r="AI321" s="59">
        <v>2</v>
      </c>
      <c r="AJ321" s="59">
        <f t="shared" si="92"/>
        <v>0</v>
      </c>
      <c r="AK321" s="59">
        <f t="shared" si="93"/>
        <v>1</v>
      </c>
      <c r="AL321" s="59">
        <v>5228</v>
      </c>
      <c r="AM321" s="59">
        <v>24624</v>
      </c>
      <c r="AN321" s="59">
        <v>1</v>
      </c>
      <c r="AO321" s="59">
        <v>1</v>
      </c>
      <c r="AP321" s="59">
        <v>11</v>
      </c>
      <c r="AQ321" s="59">
        <v>3</v>
      </c>
      <c r="AR321" s="59">
        <v>4</v>
      </c>
      <c r="AS321" s="59">
        <v>80</v>
      </c>
      <c r="AT321" s="59">
        <v>0</v>
      </c>
      <c r="AU321" s="59">
        <v>13</v>
      </c>
      <c r="AV321" s="59">
        <v>2</v>
      </c>
      <c r="AW321" s="59">
        <v>3</v>
      </c>
      <c r="AX321" s="59">
        <v>13</v>
      </c>
      <c r="AY321" s="59">
        <v>12</v>
      </c>
      <c r="AZ321" s="59">
        <v>11</v>
      </c>
      <c r="BA321" s="59">
        <v>9</v>
      </c>
      <c r="BB321" s="57">
        <f t="shared" si="94"/>
        <v>10456</v>
      </c>
    </row>
    <row r="322" spans="1:54" x14ac:dyDescent="0.25">
      <c r="A322" s="58">
        <v>27</v>
      </c>
      <c r="B322" s="59">
        <v>0</v>
      </c>
      <c r="C322" s="59">
        <v>1</v>
      </c>
      <c r="D322" s="59">
        <f t="shared" si="76"/>
        <v>1</v>
      </c>
      <c r="E322" s="59">
        <f t="shared" si="77"/>
        <v>0</v>
      </c>
      <c r="F322" s="59">
        <v>1377</v>
      </c>
      <c r="G322" s="59">
        <v>1</v>
      </c>
      <c r="H322" s="59">
        <f t="shared" si="78"/>
        <v>1</v>
      </c>
      <c r="I322" s="59">
        <f t="shared" si="79"/>
        <v>0</v>
      </c>
      <c r="J322" s="59">
        <v>2</v>
      </c>
      <c r="K322" s="59">
        <v>3</v>
      </c>
      <c r="L322" s="59">
        <v>1</v>
      </c>
      <c r="M322" s="59">
        <f t="shared" si="80"/>
        <v>1</v>
      </c>
      <c r="N322" s="59">
        <f t="shared" si="81"/>
        <v>0</v>
      </c>
      <c r="O322" s="59">
        <f t="shared" si="82"/>
        <v>0</v>
      </c>
      <c r="P322" s="59">
        <f t="shared" si="83"/>
        <v>0</v>
      </c>
      <c r="Q322" s="59">
        <f t="shared" si="84"/>
        <v>0</v>
      </c>
      <c r="R322" s="59">
        <v>1</v>
      </c>
      <c r="S322" s="59">
        <v>437</v>
      </c>
      <c r="T322" s="59">
        <v>4</v>
      </c>
      <c r="U322" s="59">
        <v>1</v>
      </c>
      <c r="V322" s="59">
        <v>74</v>
      </c>
      <c r="W322" s="59">
        <v>3</v>
      </c>
      <c r="X322" s="59">
        <v>2</v>
      </c>
      <c r="Y322" s="59">
        <v>1</v>
      </c>
      <c r="Z322" s="59">
        <f t="shared" si="85"/>
        <v>1</v>
      </c>
      <c r="AA322" s="59">
        <f>IF('Updated Dummy'!Y322=2,1,0)</f>
        <v>0</v>
      </c>
      <c r="AB322" s="59">
        <f t="shared" si="86"/>
        <v>0</v>
      </c>
      <c r="AC322" s="59">
        <f t="shared" si="87"/>
        <v>0</v>
      </c>
      <c r="AD322" s="59">
        <f t="shared" si="88"/>
        <v>0</v>
      </c>
      <c r="AE322" s="59">
        <f t="shared" si="89"/>
        <v>0</v>
      </c>
      <c r="AF322" s="59">
        <f t="shared" si="90"/>
        <v>0</v>
      </c>
      <c r="AG322" s="59">
        <f t="shared" si="91"/>
        <v>0</v>
      </c>
      <c r="AH322" s="59">
        <v>3</v>
      </c>
      <c r="AI322" s="59">
        <v>1</v>
      </c>
      <c r="AJ322" s="59">
        <f t="shared" si="92"/>
        <v>1</v>
      </c>
      <c r="AK322" s="59">
        <f t="shared" si="93"/>
        <v>0</v>
      </c>
      <c r="AL322" s="59">
        <v>4478</v>
      </c>
      <c r="AM322" s="59">
        <v>5242</v>
      </c>
      <c r="AN322" s="59">
        <v>1</v>
      </c>
      <c r="AO322" s="59">
        <v>1</v>
      </c>
      <c r="AP322" s="59">
        <v>11</v>
      </c>
      <c r="AQ322" s="59">
        <v>3</v>
      </c>
      <c r="AR322" s="59">
        <v>1</v>
      </c>
      <c r="AS322" s="59">
        <v>80</v>
      </c>
      <c r="AT322" s="59">
        <v>0</v>
      </c>
      <c r="AU322" s="59">
        <v>5</v>
      </c>
      <c r="AV322" s="59">
        <v>3</v>
      </c>
      <c r="AW322" s="59">
        <v>3</v>
      </c>
      <c r="AX322" s="59">
        <v>5</v>
      </c>
      <c r="AY322" s="59">
        <v>4</v>
      </c>
      <c r="AZ322" s="59">
        <v>0</v>
      </c>
      <c r="BA322" s="59">
        <v>4</v>
      </c>
      <c r="BB322" s="57">
        <f t="shared" si="94"/>
        <v>8956</v>
      </c>
    </row>
    <row r="323" spans="1:54" x14ac:dyDescent="0.25">
      <c r="A323" s="58">
        <v>31</v>
      </c>
      <c r="B323" s="59">
        <v>0</v>
      </c>
      <c r="C323" s="59">
        <v>1</v>
      </c>
      <c r="D323" s="59">
        <f t="shared" ref="D323:D386" si="95">IF(C323=1,1,0)</f>
        <v>1</v>
      </c>
      <c r="E323" s="59">
        <f t="shared" ref="E323:E386" si="96">IF(C323=2,1,0)</f>
        <v>0</v>
      </c>
      <c r="F323" s="59">
        <v>691</v>
      </c>
      <c r="G323" s="59">
        <v>1</v>
      </c>
      <c r="H323" s="59">
        <f t="shared" ref="H323:H386" si="97">IF(G323=1,1,0)</f>
        <v>1</v>
      </c>
      <c r="I323" s="59">
        <f t="shared" ref="I323:I386" si="98">IF(G323=2,1,0)</f>
        <v>0</v>
      </c>
      <c r="J323" s="59">
        <v>7</v>
      </c>
      <c r="K323" s="59">
        <v>3</v>
      </c>
      <c r="L323" s="59">
        <v>4</v>
      </c>
      <c r="M323" s="59">
        <f t="shared" ref="M323:M386" si="99">IF(L323=1,1,0)</f>
        <v>0</v>
      </c>
      <c r="N323" s="59">
        <f t="shared" ref="N323:N386" si="100">IF(L323=2,1,0)</f>
        <v>0</v>
      </c>
      <c r="O323" s="59">
        <f t="shared" ref="O323:O386" si="101">IF(L323=3,1,0)</f>
        <v>0</v>
      </c>
      <c r="P323" s="59">
        <f t="shared" ref="P323:P386" si="102">IF(L323=4,1,0)</f>
        <v>1</v>
      </c>
      <c r="Q323" s="59">
        <f t="shared" ref="Q323:Q386" si="103">IF(L323=5,1,0)</f>
        <v>0</v>
      </c>
      <c r="R323" s="59">
        <v>1</v>
      </c>
      <c r="S323" s="59">
        <v>438</v>
      </c>
      <c r="T323" s="59">
        <v>4</v>
      </c>
      <c r="U323" s="59">
        <v>1</v>
      </c>
      <c r="V323" s="59">
        <v>73</v>
      </c>
      <c r="W323" s="59">
        <v>3</v>
      </c>
      <c r="X323" s="59">
        <v>2</v>
      </c>
      <c r="Y323" s="59">
        <v>1</v>
      </c>
      <c r="Z323" s="59">
        <f t="shared" ref="Z323:Z386" si="104">IF(Y323=1,1,0)</f>
        <v>1</v>
      </c>
      <c r="AA323" s="59">
        <f>IF('Updated Dummy'!Y323=2,1,0)</f>
        <v>0</v>
      </c>
      <c r="AB323" s="59">
        <f t="shared" ref="AB323:AB386" si="105">IF(Y323=3,1,0)</f>
        <v>0</v>
      </c>
      <c r="AC323" s="59">
        <f t="shared" ref="AC323:AC386" si="106">IF(Y323=4,1,0)</f>
        <v>0</v>
      </c>
      <c r="AD323" s="59">
        <f t="shared" ref="AD323:AD386" si="107">IF(Y323=5,1,0)</f>
        <v>0</v>
      </c>
      <c r="AE323" s="59">
        <f t="shared" ref="AE323:AE386" si="108">IF(Y323=6,1,0)</f>
        <v>0</v>
      </c>
      <c r="AF323" s="59">
        <f t="shared" ref="AF323:AF386" si="109">IF(Y323=7,1,0)</f>
        <v>0</v>
      </c>
      <c r="AG323" s="59">
        <f t="shared" ref="AG323:AG386" si="110">IF(Y323=8,1,0)</f>
        <v>0</v>
      </c>
      <c r="AH323" s="59">
        <v>4</v>
      </c>
      <c r="AI323" s="59">
        <v>3</v>
      </c>
      <c r="AJ323" s="59">
        <f t="shared" ref="AJ323:AJ386" si="111">IF(AI323=1,1,0)</f>
        <v>0</v>
      </c>
      <c r="AK323" s="59">
        <f t="shared" ref="AK323:AK386" si="112">IF(AI323=2,1,0)</f>
        <v>0</v>
      </c>
      <c r="AL323" s="59">
        <v>7547</v>
      </c>
      <c r="AM323" s="59">
        <v>7143</v>
      </c>
      <c r="AN323" s="59">
        <v>4</v>
      </c>
      <c r="AO323" s="59">
        <v>0</v>
      </c>
      <c r="AP323" s="59">
        <v>12</v>
      </c>
      <c r="AQ323" s="59">
        <v>3</v>
      </c>
      <c r="AR323" s="59">
        <v>4</v>
      </c>
      <c r="AS323" s="59">
        <v>80</v>
      </c>
      <c r="AT323" s="59">
        <v>3</v>
      </c>
      <c r="AU323" s="59">
        <v>13</v>
      </c>
      <c r="AV323" s="59">
        <v>3</v>
      </c>
      <c r="AW323" s="59">
        <v>3</v>
      </c>
      <c r="AX323" s="59">
        <v>7</v>
      </c>
      <c r="AY323" s="59">
        <v>7</v>
      </c>
      <c r="AZ323" s="59">
        <v>1</v>
      </c>
      <c r="BA323" s="59">
        <v>7</v>
      </c>
      <c r="BB323" s="57">
        <f t="shared" ref="BB323:BB386" si="113">X323*AL323</f>
        <v>15094</v>
      </c>
    </row>
    <row r="324" spans="1:54" x14ac:dyDescent="0.25">
      <c r="A324" s="58">
        <v>32</v>
      </c>
      <c r="B324" s="59">
        <v>0</v>
      </c>
      <c r="C324" s="59">
        <v>1</v>
      </c>
      <c r="D324" s="59">
        <f t="shared" si="95"/>
        <v>1</v>
      </c>
      <c r="E324" s="59">
        <f t="shared" si="96"/>
        <v>0</v>
      </c>
      <c r="F324" s="59">
        <v>1018</v>
      </c>
      <c r="G324" s="59">
        <v>2</v>
      </c>
      <c r="H324" s="59">
        <f t="shared" si="97"/>
        <v>0</v>
      </c>
      <c r="I324" s="59">
        <f t="shared" si="98"/>
        <v>1</v>
      </c>
      <c r="J324" s="59">
        <v>2</v>
      </c>
      <c r="K324" s="59">
        <v>4</v>
      </c>
      <c r="L324" s="59">
        <v>3</v>
      </c>
      <c r="M324" s="59">
        <f t="shared" si="99"/>
        <v>0</v>
      </c>
      <c r="N324" s="59">
        <f t="shared" si="100"/>
        <v>0</v>
      </c>
      <c r="O324" s="59">
        <f t="shared" si="101"/>
        <v>1</v>
      </c>
      <c r="P324" s="59">
        <f t="shared" si="102"/>
        <v>0</v>
      </c>
      <c r="Q324" s="59">
        <f t="shared" si="103"/>
        <v>0</v>
      </c>
      <c r="R324" s="59">
        <v>1</v>
      </c>
      <c r="S324" s="59">
        <v>439</v>
      </c>
      <c r="T324" s="59">
        <v>1</v>
      </c>
      <c r="U324" s="59">
        <v>0</v>
      </c>
      <c r="V324" s="59">
        <v>74</v>
      </c>
      <c r="W324" s="59">
        <v>4</v>
      </c>
      <c r="X324" s="59">
        <v>2</v>
      </c>
      <c r="Y324" s="59">
        <v>2</v>
      </c>
      <c r="Z324" s="59">
        <f t="shared" si="104"/>
        <v>0</v>
      </c>
      <c r="AA324" s="59">
        <f>IF('Updated Dummy'!Y324=2,1,0)</f>
        <v>1</v>
      </c>
      <c r="AB324" s="59">
        <f t="shared" si="105"/>
        <v>0</v>
      </c>
      <c r="AC324" s="59">
        <f t="shared" si="106"/>
        <v>0</v>
      </c>
      <c r="AD324" s="59">
        <f t="shared" si="107"/>
        <v>0</v>
      </c>
      <c r="AE324" s="59">
        <f t="shared" si="108"/>
        <v>0</v>
      </c>
      <c r="AF324" s="59">
        <f t="shared" si="109"/>
        <v>0</v>
      </c>
      <c r="AG324" s="59">
        <f t="shared" si="110"/>
        <v>0</v>
      </c>
      <c r="AH324" s="59">
        <v>4</v>
      </c>
      <c r="AI324" s="59">
        <v>1</v>
      </c>
      <c r="AJ324" s="59">
        <f t="shared" si="111"/>
        <v>1</v>
      </c>
      <c r="AK324" s="59">
        <f t="shared" si="112"/>
        <v>0</v>
      </c>
      <c r="AL324" s="59">
        <v>5055</v>
      </c>
      <c r="AM324" s="59">
        <v>10557</v>
      </c>
      <c r="AN324" s="59">
        <v>7</v>
      </c>
      <c r="AO324" s="59">
        <v>0</v>
      </c>
      <c r="AP324" s="59">
        <v>16</v>
      </c>
      <c r="AQ324" s="59">
        <v>3</v>
      </c>
      <c r="AR324" s="59">
        <v>3</v>
      </c>
      <c r="AS324" s="59">
        <v>80</v>
      </c>
      <c r="AT324" s="59">
        <v>0</v>
      </c>
      <c r="AU324" s="59">
        <v>10</v>
      </c>
      <c r="AV324" s="59">
        <v>0</v>
      </c>
      <c r="AW324" s="59">
        <v>2</v>
      </c>
      <c r="AX324" s="59">
        <v>7</v>
      </c>
      <c r="AY324" s="59">
        <v>7</v>
      </c>
      <c r="AZ324" s="59">
        <v>0</v>
      </c>
      <c r="BA324" s="59">
        <v>7</v>
      </c>
      <c r="BB324" s="57">
        <f t="shared" si="113"/>
        <v>10110</v>
      </c>
    </row>
    <row r="325" spans="1:54" x14ac:dyDescent="0.25">
      <c r="A325" s="58">
        <v>28</v>
      </c>
      <c r="B325" s="59">
        <v>1</v>
      </c>
      <c r="C325" s="59">
        <v>1</v>
      </c>
      <c r="D325" s="59">
        <f t="shared" si="95"/>
        <v>1</v>
      </c>
      <c r="E325" s="59">
        <f t="shared" si="96"/>
        <v>0</v>
      </c>
      <c r="F325" s="59">
        <v>1157</v>
      </c>
      <c r="G325" s="59">
        <v>2</v>
      </c>
      <c r="H325" s="59">
        <f t="shared" si="97"/>
        <v>0</v>
      </c>
      <c r="I325" s="59">
        <f t="shared" si="98"/>
        <v>1</v>
      </c>
      <c r="J325" s="59">
        <v>2</v>
      </c>
      <c r="K325" s="59">
        <v>4</v>
      </c>
      <c r="L325" s="59">
        <v>3</v>
      </c>
      <c r="M325" s="59">
        <f t="shared" si="99"/>
        <v>0</v>
      </c>
      <c r="N325" s="59">
        <f t="shared" si="100"/>
        <v>0</v>
      </c>
      <c r="O325" s="59">
        <f t="shared" si="101"/>
        <v>1</v>
      </c>
      <c r="P325" s="59">
        <f t="shared" si="102"/>
        <v>0</v>
      </c>
      <c r="Q325" s="59">
        <f t="shared" si="103"/>
        <v>0</v>
      </c>
      <c r="R325" s="59">
        <v>1</v>
      </c>
      <c r="S325" s="59">
        <v>440</v>
      </c>
      <c r="T325" s="59">
        <v>1</v>
      </c>
      <c r="U325" s="59">
        <v>1</v>
      </c>
      <c r="V325" s="59">
        <v>84</v>
      </c>
      <c r="W325" s="59">
        <v>1</v>
      </c>
      <c r="X325" s="59">
        <v>1</v>
      </c>
      <c r="Y325" s="59">
        <v>2</v>
      </c>
      <c r="Z325" s="59">
        <f t="shared" si="104"/>
        <v>0</v>
      </c>
      <c r="AA325" s="59">
        <f>IF('Updated Dummy'!Y325=2,1,0)</f>
        <v>1</v>
      </c>
      <c r="AB325" s="59">
        <f t="shared" si="105"/>
        <v>0</v>
      </c>
      <c r="AC325" s="59">
        <f t="shared" si="106"/>
        <v>0</v>
      </c>
      <c r="AD325" s="59">
        <f t="shared" si="107"/>
        <v>0</v>
      </c>
      <c r="AE325" s="59">
        <f t="shared" si="108"/>
        <v>0</v>
      </c>
      <c r="AF325" s="59">
        <f t="shared" si="109"/>
        <v>0</v>
      </c>
      <c r="AG325" s="59">
        <f t="shared" si="110"/>
        <v>0</v>
      </c>
      <c r="AH325" s="59">
        <v>4</v>
      </c>
      <c r="AI325" s="59">
        <v>2</v>
      </c>
      <c r="AJ325" s="59">
        <f t="shared" si="111"/>
        <v>0</v>
      </c>
      <c r="AK325" s="59">
        <f t="shared" si="112"/>
        <v>1</v>
      </c>
      <c r="AL325" s="59">
        <v>3464</v>
      </c>
      <c r="AM325" s="59">
        <v>24737</v>
      </c>
      <c r="AN325" s="59">
        <v>5</v>
      </c>
      <c r="AO325" s="59">
        <v>1</v>
      </c>
      <c r="AP325" s="59">
        <v>13</v>
      </c>
      <c r="AQ325" s="59">
        <v>3</v>
      </c>
      <c r="AR325" s="59">
        <v>4</v>
      </c>
      <c r="AS325" s="59">
        <v>80</v>
      </c>
      <c r="AT325" s="59">
        <v>0</v>
      </c>
      <c r="AU325" s="59">
        <v>5</v>
      </c>
      <c r="AV325" s="59">
        <v>4</v>
      </c>
      <c r="AW325" s="59">
        <v>2</v>
      </c>
      <c r="AX325" s="59">
        <v>3</v>
      </c>
      <c r="AY325" s="59">
        <v>2</v>
      </c>
      <c r="AZ325" s="59">
        <v>2</v>
      </c>
      <c r="BA325" s="59">
        <v>2</v>
      </c>
      <c r="BB325" s="57">
        <f t="shared" si="113"/>
        <v>3464</v>
      </c>
    </row>
    <row r="326" spans="1:54" x14ac:dyDescent="0.25">
      <c r="A326" s="58">
        <v>30</v>
      </c>
      <c r="B326" s="59">
        <v>0</v>
      </c>
      <c r="C326" s="59">
        <v>1</v>
      </c>
      <c r="D326" s="59">
        <f t="shared" si="95"/>
        <v>1</v>
      </c>
      <c r="E326" s="59">
        <f t="shared" si="96"/>
        <v>0</v>
      </c>
      <c r="F326" s="59">
        <v>1275</v>
      </c>
      <c r="G326" s="59">
        <v>2</v>
      </c>
      <c r="H326" s="59">
        <f t="shared" si="97"/>
        <v>0</v>
      </c>
      <c r="I326" s="59">
        <f t="shared" si="98"/>
        <v>1</v>
      </c>
      <c r="J326" s="59">
        <v>28</v>
      </c>
      <c r="K326" s="59">
        <v>2</v>
      </c>
      <c r="L326" s="59">
        <v>3</v>
      </c>
      <c r="M326" s="59">
        <f t="shared" si="99"/>
        <v>0</v>
      </c>
      <c r="N326" s="59">
        <f t="shared" si="100"/>
        <v>0</v>
      </c>
      <c r="O326" s="59">
        <f t="shared" si="101"/>
        <v>1</v>
      </c>
      <c r="P326" s="59">
        <f t="shared" si="102"/>
        <v>0</v>
      </c>
      <c r="Q326" s="59">
        <f t="shared" si="103"/>
        <v>0</v>
      </c>
      <c r="R326" s="59">
        <v>1</v>
      </c>
      <c r="S326" s="59">
        <v>441</v>
      </c>
      <c r="T326" s="59">
        <v>4</v>
      </c>
      <c r="U326" s="59">
        <v>0</v>
      </c>
      <c r="V326" s="59">
        <v>64</v>
      </c>
      <c r="W326" s="59">
        <v>3</v>
      </c>
      <c r="X326" s="59">
        <v>2</v>
      </c>
      <c r="Y326" s="59">
        <v>2</v>
      </c>
      <c r="Z326" s="59">
        <f t="shared" si="104"/>
        <v>0</v>
      </c>
      <c r="AA326" s="59">
        <f>IF('Updated Dummy'!Y326=2,1,0)</f>
        <v>1</v>
      </c>
      <c r="AB326" s="59">
        <f t="shared" si="105"/>
        <v>0</v>
      </c>
      <c r="AC326" s="59">
        <f t="shared" si="106"/>
        <v>0</v>
      </c>
      <c r="AD326" s="59">
        <f t="shared" si="107"/>
        <v>0</v>
      </c>
      <c r="AE326" s="59">
        <f t="shared" si="108"/>
        <v>0</v>
      </c>
      <c r="AF326" s="59">
        <f t="shared" si="109"/>
        <v>0</v>
      </c>
      <c r="AG326" s="59">
        <f t="shared" si="110"/>
        <v>0</v>
      </c>
      <c r="AH326" s="59">
        <v>4</v>
      </c>
      <c r="AI326" s="59">
        <v>2</v>
      </c>
      <c r="AJ326" s="59">
        <f t="shared" si="111"/>
        <v>0</v>
      </c>
      <c r="AK326" s="59">
        <f t="shared" si="112"/>
        <v>1</v>
      </c>
      <c r="AL326" s="59">
        <v>5775</v>
      </c>
      <c r="AM326" s="59">
        <v>11934</v>
      </c>
      <c r="AN326" s="59">
        <v>1</v>
      </c>
      <c r="AO326" s="59">
        <v>0</v>
      </c>
      <c r="AP326" s="59">
        <v>13</v>
      </c>
      <c r="AQ326" s="59">
        <v>3</v>
      </c>
      <c r="AR326" s="59">
        <v>4</v>
      </c>
      <c r="AS326" s="59">
        <v>80</v>
      </c>
      <c r="AT326" s="59">
        <v>2</v>
      </c>
      <c r="AU326" s="59">
        <v>11</v>
      </c>
      <c r="AV326" s="59">
        <v>2</v>
      </c>
      <c r="AW326" s="59">
        <v>3</v>
      </c>
      <c r="AX326" s="59">
        <v>10</v>
      </c>
      <c r="AY326" s="59">
        <v>8</v>
      </c>
      <c r="AZ326" s="59">
        <v>1</v>
      </c>
      <c r="BA326" s="59">
        <v>9</v>
      </c>
      <c r="BB326" s="57">
        <f t="shared" si="113"/>
        <v>11550</v>
      </c>
    </row>
    <row r="327" spans="1:54" x14ac:dyDescent="0.25">
      <c r="A327" s="58">
        <v>31</v>
      </c>
      <c r="B327" s="59">
        <v>0</v>
      </c>
      <c r="C327" s="59">
        <v>2</v>
      </c>
      <c r="D327" s="59">
        <f t="shared" si="95"/>
        <v>0</v>
      </c>
      <c r="E327" s="59">
        <f t="shared" si="96"/>
        <v>1</v>
      </c>
      <c r="F327" s="59">
        <v>798</v>
      </c>
      <c r="G327" s="59">
        <v>2</v>
      </c>
      <c r="H327" s="59">
        <f t="shared" si="97"/>
        <v>0</v>
      </c>
      <c r="I327" s="59">
        <f t="shared" si="98"/>
        <v>1</v>
      </c>
      <c r="J327" s="59">
        <v>7</v>
      </c>
      <c r="K327" s="59">
        <v>2</v>
      </c>
      <c r="L327" s="59">
        <v>1</v>
      </c>
      <c r="M327" s="59">
        <f t="shared" si="99"/>
        <v>1</v>
      </c>
      <c r="N327" s="59">
        <f t="shared" si="100"/>
        <v>0</v>
      </c>
      <c r="O327" s="59">
        <f t="shared" si="101"/>
        <v>0</v>
      </c>
      <c r="P327" s="59">
        <f t="shared" si="102"/>
        <v>0</v>
      </c>
      <c r="Q327" s="59">
        <f t="shared" si="103"/>
        <v>0</v>
      </c>
      <c r="R327" s="59">
        <v>1</v>
      </c>
      <c r="S327" s="59">
        <v>442</v>
      </c>
      <c r="T327" s="59">
        <v>3</v>
      </c>
      <c r="U327" s="59">
        <v>0</v>
      </c>
      <c r="V327" s="59">
        <v>48</v>
      </c>
      <c r="W327" s="59">
        <v>2</v>
      </c>
      <c r="X327" s="59">
        <v>3</v>
      </c>
      <c r="Y327" s="59">
        <v>4</v>
      </c>
      <c r="Z327" s="59">
        <f t="shared" si="104"/>
        <v>0</v>
      </c>
      <c r="AA327" s="59">
        <f>IF('Updated Dummy'!Y327=2,1,0)</f>
        <v>0</v>
      </c>
      <c r="AB327" s="59">
        <f t="shared" si="105"/>
        <v>0</v>
      </c>
      <c r="AC327" s="59">
        <f t="shared" si="106"/>
        <v>1</v>
      </c>
      <c r="AD327" s="59">
        <f t="shared" si="107"/>
        <v>0</v>
      </c>
      <c r="AE327" s="59">
        <f t="shared" si="108"/>
        <v>0</v>
      </c>
      <c r="AF327" s="59">
        <f t="shared" si="109"/>
        <v>0</v>
      </c>
      <c r="AG327" s="59">
        <f t="shared" si="110"/>
        <v>0</v>
      </c>
      <c r="AH327" s="59">
        <v>3</v>
      </c>
      <c r="AI327" s="59">
        <v>2</v>
      </c>
      <c r="AJ327" s="59">
        <f t="shared" si="111"/>
        <v>0</v>
      </c>
      <c r="AK327" s="59">
        <f t="shared" si="112"/>
        <v>1</v>
      </c>
      <c r="AL327" s="59">
        <v>8943</v>
      </c>
      <c r="AM327" s="59">
        <v>14034</v>
      </c>
      <c r="AN327" s="59">
        <v>1</v>
      </c>
      <c r="AO327" s="59">
        <v>0</v>
      </c>
      <c r="AP327" s="59">
        <v>24</v>
      </c>
      <c r="AQ327" s="59">
        <v>4</v>
      </c>
      <c r="AR327" s="59">
        <v>1</v>
      </c>
      <c r="AS327" s="59">
        <v>80</v>
      </c>
      <c r="AT327" s="59">
        <v>1</v>
      </c>
      <c r="AU327" s="59">
        <v>10</v>
      </c>
      <c r="AV327" s="59">
        <v>2</v>
      </c>
      <c r="AW327" s="59">
        <v>3</v>
      </c>
      <c r="AX327" s="59">
        <v>10</v>
      </c>
      <c r="AY327" s="59">
        <v>9</v>
      </c>
      <c r="AZ327" s="59">
        <v>8</v>
      </c>
      <c r="BA327" s="59">
        <v>9</v>
      </c>
      <c r="BB327" s="57">
        <f t="shared" si="113"/>
        <v>26829</v>
      </c>
    </row>
    <row r="328" spans="1:54" x14ac:dyDescent="0.25">
      <c r="A328" s="58">
        <v>39</v>
      </c>
      <c r="B328" s="59">
        <v>0</v>
      </c>
      <c r="C328" s="59">
        <v>2</v>
      </c>
      <c r="D328" s="59">
        <f t="shared" si="95"/>
        <v>0</v>
      </c>
      <c r="E328" s="59">
        <f t="shared" si="96"/>
        <v>1</v>
      </c>
      <c r="F328" s="59">
        <v>672</v>
      </c>
      <c r="G328" s="59">
        <v>2</v>
      </c>
      <c r="H328" s="59">
        <f t="shared" si="97"/>
        <v>0</v>
      </c>
      <c r="I328" s="59">
        <f t="shared" si="98"/>
        <v>1</v>
      </c>
      <c r="J328" s="59">
        <v>7</v>
      </c>
      <c r="K328" s="59">
        <v>2</v>
      </c>
      <c r="L328" s="59">
        <v>3</v>
      </c>
      <c r="M328" s="59">
        <f t="shared" si="99"/>
        <v>0</v>
      </c>
      <c r="N328" s="59">
        <f t="shared" si="100"/>
        <v>0</v>
      </c>
      <c r="O328" s="59">
        <f t="shared" si="101"/>
        <v>1</v>
      </c>
      <c r="P328" s="59">
        <f t="shared" si="102"/>
        <v>0</v>
      </c>
      <c r="Q328" s="59">
        <f t="shared" si="103"/>
        <v>0</v>
      </c>
      <c r="R328" s="59">
        <v>1</v>
      </c>
      <c r="S328" s="59">
        <v>444</v>
      </c>
      <c r="T328" s="59">
        <v>3</v>
      </c>
      <c r="U328" s="59">
        <v>1</v>
      </c>
      <c r="V328" s="59">
        <v>54</v>
      </c>
      <c r="W328" s="59">
        <v>2</v>
      </c>
      <c r="X328" s="59">
        <v>5</v>
      </c>
      <c r="Y328" s="59">
        <v>6</v>
      </c>
      <c r="Z328" s="59">
        <f t="shared" si="104"/>
        <v>0</v>
      </c>
      <c r="AA328" s="59">
        <f>IF('Updated Dummy'!Y328=2,1,0)</f>
        <v>0</v>
      </c>
      <c r="AB328" s="59">
        <f t="shared" si="105"/>
        <v>0</v>
      </c>
      <c r="AC328" s="59">
        <f t="shared" si="106"/>
        <v>0</v>
      </c>
      <c r="AD328" s="59">
        <f t="shared" si="107"/>
        <v>0</v>
      </c>
      <c r="AE328" s="59">
        <f t="shared" si="108"/>
        <v>1</v>
      </c>
      <c r="AF328" s="59">
        <f t="shared" si="109"/>
        <v>0</v>
      </c>
      <c r="AG328" s="59">
        <f t="shared" si="110"/>
        <v>0</v>
      </c>
      <c r="AH328" s="59">
        <v>4</v>
      </c>
      <c r="AI328" s="59">
        <v>2</v>
      </c>
      <c r="AJ328" s="59">
        <f t="shared" si="111"/>
        <v>0</v>
      </c>
      <c r="AK328" s="59">
        <f t="shared" si="112"/>
        <v>1</v>
      </c>
      <c r="AL328" s="59">
        <v>19272</v>
      </c>
      <c r="AM328" s="59">
        <v>21141</v>
      </c>
      <c r="AN328" s="59">
        <v>1</v>
      </c>
      <c r="AO328" s="59">
        <v>0</v>
      </c>
      <c r="AP328" s="59">
        <v>15</v>
      </c>
      <c r="AQ328" s="59">
        <v>3</v>
      </c>
      <c r="AR328" s="59">
        <v>1</v>
      </c>
      <c r="AS328" s="59">
        <v>80</v>
      </c>
      <c r="AT328" s="59">
        <v>1</v>
      </c>
      <c r="AU328" s="59">
        <v>21</v>
      </c>
      <c r="AV328" s="59">
        <v>2</v>
      </c>
      <c r="AW328" s="59">
        <v>3</v>
      </c>
      <c r="AX328" s="59">
        <v>21</v>
      </c>
      <c r="AY328" s="59">
        <v>9</v>
      </c>
      <c r="AZ328" s="59">
        <v>13</v>
      </c>
      <c r="BA328" s="59">
        <v>3</v>
      </c>
      <c r="BB328" s="57">
        <f t="shared" si="113"/>
        <v>96360</v>
      </c>
    </row>
    <row r="329" spans="1:54" x14ac:dyDescent="0.25">
      <c r="A329" s="58">
        <v>39</v>
      </c>
      <c r="B329" s="59">
        <v>1</v>
      </c>
      <c r="C329" s="59">
        <v>1</v>
      </c>
      <c r="D329" s="59">
        <f t="shared" si="95"/>
        <v>1</v>
      </c>
      <c r="E329" s="59">
        <f t="shared" si="96"/>
        <v>0</v>
      </c>
      <c r="F329" s="59">
        <v>1162</v>
      </c>
      <c r="G329" s="59">
        <v>1</v>
      </c>
      <c r="H329" s="59">
        <f t="shared" si="97"/>
        <v>1</v>
      </c>
      <c r="I329" s="59">
        <f t="shared" si="98"/>
        <v>0</v>
      </c>
      <c r="J329" s="59">
        <v>3</v>
      </c>
      <c r="K329" s="59">
        <v>2</v>
      </c>
      <c r="L329" s="59">
        <v>3</v>
      </c>
      <c r="M329" s="59">
        <f t="shared" si="99"/>
        <v>0</v>
      </c>
      <c r="N329" s="59">
        <f t="shared" si="100"/>
        <v>0</v>
      </c>
      <c r="O329" s="59">
        <f t="shared" si="101"/>
        <v>1</v>
      </c>
      <c r="P329" s="59">
        <f t="shared" si="102"/>
        <v>0</v>
      </c>
      <c r="Q329" s="59">
        <f t="shared" si="103"/>
        <v>0</v>
      </c>
      <c r="R329" s="59">
        <v>1</v>
      </c>
      <c r="S329" s="59">
        <v>445</v>
      </c>
      <c r="T329" s="59">
        <v>4</v>
      </c>
      <c r="U329" s="59">
        <v>0</v>
      </c>
      <c r="V329" s="59">
        <v>41</v>
      </c>
      <c r="W329" s="59">
        <v>3</v>
      </c>
      <c r="X329" s="59">
        <v>2</v>
      </c>
      <c r="Y329" s="59">
        <v>1</v>
      </c>
      <c r="Z329" s="59">
        <f t="shared" si="104"/>
        <v>1</v>
      </c>
      <c r="AA329" s="59">
        <f>IF('Updated Dummy'!Y329=2,1,0)</f>
        <v>0</v>
      </c>
      <c r="AB329" s="59">
        <f t="shared" si="105"/>
        <v>0</v>
      </c>
      <c r="AC329" s="59">
        <f t="shared" si="106"/>
        <v>0</v>
      </c>
      <c r="AD329" s="59">
        <f t="shared" si="107"/>
        <v>0</v>
      </c>
      <c r="AE329" s="59">
        <f t="shared" si="108"/>
        <v>0</v>
      </c>
      <c r="AF329" s="59">
        <f t="shared" si="109"/>
        <v>0</v>
      </c>
      <c r="AG329" s="59">
        <f t="shared" si="110"/>
        <v>0</v>
      </c>
      <c r="AH329" s="59">
        <v>3</v>
      </c>
      <c r="AI329" s="59">
        <v>2</v>
      </c>
      <c r="AJ329" s="59">
        <f t="shared" si="111"/>
        <v>0</v>
      </c>
      <c r="AK329" s="59">
        <f t="shared" si="112"/>
        <v>1</v>
      </c>
      <c r="AL329" s="59">
        <v>5238</v>
      </c>
      <c r="AM329" s="59">
        <v>17778</v>
      </c>
      <c r="AN329" s="59">
        <v>4</v>
      </c>
      <c r="AO329" s="59">
        <v>1</v>
      </c>
      <c r="AP329" s="59">
        <v>18</v>
      </c>
      <c r="AQ329" s="59">
        <v>3</v>
      </c>
      <c r="AR329" s="59">
        <v>1</v>
      </c>
      <c r="AS329" s="59">
        <v>80</v>
      </c>
      <c r="AT329" s="59">
        <v>0</v>
      </c>
      <c r="AU329" s="59">
        <v>12</v>
      </c>
      <c r="AV329" s="59">
        <v>3</v>
      </c>
      <c r="AW329" s="59">
        <v>2</v>
      </c>
      <c r="AX329" s="59">
        <v>1</v>
      </c>
      <c r="AY329" s="59">
        <v>0</v>
      </c>
      <c r="AZ329" s="59">
        <v>0</v>
      </c>
      <c r="BA329" s="59">
        <v>0</v>
      </c>
      <c r="BB329" s="57">
        <f t="shared" si="113"/>
        <v>10476</v>
      </c>
    </row>
    <row r="330" spans="1:54" x14ac:dyDescent="0.25">
      <c r="A330" s="58">
        <v>33</v>
      </c>
      <c r="B330" s="59">
        <v>0</v>
      </c>
      <c r="C330" s="59">
        <v>2</v>
      </c>
      <c r="D330" s="59">
        <f t="shared" si="95"/>
        <v>0</v>
      </c>
      <c r="E330" s="59">
        <f t="shared" si="96"/>
        <v>1</v>
      </c>
      <c r="F330" s="59">
        <v>508</v>
      </c>
      <c r="G330" s="59">
        <v>1</v>
      </c>
      <c r="H330" s="59">
        <f t="shared" si="97"/>
        <v>1</v>
      </c>
      <c r="I330" s="59">
        <f t="shared" si="98"/>
        <v>0</v>
      </c>
      <c r="J330" s="59">
        <v>10</v>
      </c>
      <c r="K330" s="59">
        <v>3</v>
      </c>
      <c r="L330" s="59">
        <v>4</v>
      </c>
      <c r="M330" s="59">
        <f t="shared" si="99"/>
        <v>0</v>
      </c>
      <c r="N330" s="59">
        <f t="shared" si="100"/>
        <v>0</v>
      </c>
      <c r="O330" s="59">
        <f t="shared" si="101"/>
        <v>0</v>
      </c>
      <c r="P330" s="59">
        <f t="shared" si="102"/>
        <v>1</v>
      </c>
      <c r="Q330" s="59">
        <f t="shared" si="103"/>
        <v>0</v>
      </c>
      <c r="R330" s="59">
        <v>1</v>
      </c>
      <c r="S330" s="59">
        <v>446</v>
      </c>
      <c r="T330" s="59">
        <v>2</v>
      </c>
      <c r="U330" s="59">
        <v>1</v>
      </c>
      <c r="V330" s="59">
        <v>46</v>
      </c>
      <c r="W330" s="59">
        <v>2</v>
      </c>
      <c r="X330" s="59">
        <v>2</v>
      </c>
      <c r="Y330" s="59">
        <v>1</v>
      </c>
      <c r="Z330" s="59">
        <f t="shared" si="104"/>
        <v>1</v>
      </c>
      <c r="AA330" s="59">
        <f>IF('Updated Dummy'!Y330=2,1,0)</f>
        <v>0</v>
      </c>
      <c r="AB330" s="59">
        <f t="shared" si="105"/>
        <v>0</v>
      </c>
      <c r="AC330" s="59">
        <f t="shared" si="106"/>
        <v>0</v>
      </c>
      <c r="AD330" s="59">
        <f t="shared" si="107"/>
        <v>0</v>
      </c>
      <c r="AE330" s="59">
        <f t="shared" si="108"/>
        <v>0</v>
      </c>
      <c r="AF330" s="59">
        <f t="shared" si="109"/>
        <v>0</v>
      </c>
      <c r="AG330" s="59">
        <f t="shared" si="110"/>
        <v>0</v>
      </c>
      <c r="AH330" s="59">
        <v>4</v>
      </c>
      <c r="AI330" s="59">
        <v>1</v>
      </c>
      <c r="AJ330" s="59">
        <f t="shared" si="111"/>
        <v>1</v>
      </c>
      <c r="AK330" s="59">
        <f t="shared" si="112"/>
        <v>0</v>
      </c>
      <c r="AL330" s="59">
        <v>4682</v>
      </c>
      <c r="AM330" s="59">
        <v>4317</v>
      </c>
      <c r="AN330" s="59">
        <v>3</v>
      </c>
      <c r="AO330" s="59">
        <v>0</v>
      </c>
      <c r="AP330" s="59">
        <v>14</v>
      </c>
      <c r="AQ330" s="59">
        <v>3</v>
      </c>
      <c r="AR330" s="59">
        <v>3</v>
      </c>
      <c r="AS330" s="59">
        <v>80</v>
      </c>
      <c r="AT330" s="59">
        <v>0</v>
      </c>
      <c r="AU330" s="59">
        <v>9</v>
      </c>
      <c r="AV330" s="59">
        <v>6</v>
      </c>
      <c r="AW330" s="59">
        <v>2</v>
      </c>
      <c r="AX330" s="59">
        <v>7</v>
      </c>
      <c r="AY330" s="59">
        <v>7</v>
      </c>
      <c r="AZ330" s="59">
        <v>0</v>
      </c>
      <c r="BA330" s="59">
        <v>1</v>
      </c>
      <c r="BB330" s="57">
        <f t="shared" si="113"/>
        <v>9364</v>
      </c>
    </row>
    <row r="331" spans="1:54" x14ac:dyDescent="0.25">
      <c r="A331" s="58">
        <v>47</v>
      </c>
      <c r="B331" s="59">
        <v>0</v>
      </c>
      <c r="C331" s="59">
        <v>1</v>
      </c>
      <c r="D331" s="59">
        <f t="shared" si="95"/>
        <v>1</v>
      </c>
      <c r="E331" s="59">
        <f t="shared" si="96"/>
        <v>0</v>
      </c>
      <c r="F331" s="59">
        <v>1482</v>
      </c>
      <c r="G331" s="59">
        <v>2</v>
      </c>
      <c r="H331" s="59">
        <f t="shared" si="97"/>
        <v>0</v>
      </c>
      <c r="I331" s="59">
        <f t="shared" si="98"/>
        <v>1</v>
      </c>
      <c r="J331" s="59">
        <v>5</v>
      </c>
      <c r="K331" s="59">
        <v>5</v>
      </c>
      <c r="L331" s="59">
        <v>1</v>
      </c>
      <c r="M331" s="59">
        <f t="shared" si="99"/>
        <v>1</v>
      </c>
      <c r="N331" s="59">
        <f t="shared" si="100"/>
        <v>0</v>
      </c>
      <c r="O331" s="59">
        <f t="shared" si="101"/>
        <v>0</v>
      </c>
      <c r="P331" s="59">
        <f t="shared" si="102"/>
        <v>0</v>
      </c>
      <c r="Q331" s="59">
        <f t="shared" si="103"/>
        <v>0</v>
      </c>
      <c r="R331" s="59">
        <v>1</v>
      </c>
      <c r="S331" s="59">
        <v>447</v>
      </c>
      <c r="T331" s="59">
        <v>4</v>
      </c>
      <c r="U331" s="59">
        <v>1</v>
      </c>
      <c r="V331" s="59">
        <v>42</v>
      </c>
      <c r="W331" s="59">
        <v>3</v>
      </c>
      <c r="X331" s="59">
        <v>5</v>
      </c>
      <c r="Y331" s="59">
        <v>8</v>
      </c>
      <c r="Z331" s="59">
        <f t="shared" si="104"/>
        <v>0</v>
      </c>
      <c r="AA331" s="59">
        <f>IF('Updated Dummy'!Y331=2,1,0)</f>
        <v>0</v>
      </c>
      <c r="AB331" s="59">
        <f t="shared" si="105"/>
        <v>0</v>
      </c>
      <c r="AC331" s="59">
        <f t="shared" si="106"/>
        <v>0</v>
      </c>
      <c r="AD331" s="59">
        <f t="shared" si="107"/>
        <v>0</v>
      </c>
      <c r="AE331" s="59">
        <f t="shared" si="108"/>
        <v>0</v>
      </c>
      <c r="AF331" s="59">
        <f t="shared" si="109"/>
        <v>0</v>
      </c>
      <c r="AG331" s="59">
        <f t="shared" si="110"/>
        <v>1</v>
      </c>
      <c r="AH331" s="59">
        <v>3</v>
      </c>
      <c r="AI331" s="59">
        <v>2</v>
      </c>
      <c r="AJ331" s="59">
        <f t="shared" si="111"/>
        <v>0</v>
      </c>
      <c r="AK331" s="59">
        <f t="shared" si="112"/>
        <v>1</v>
      </c>
      <c r="AL331" s="59">
        <v>18300</v>
      </c>
      <c r="AM331" s="59">
        <v>16375</v>
      </c>
      <c r="AN331" s="59">
        <v>4</v>
      </c>
      <c r="AO331" s="59">
        <v>0</v>
      </c>
      <c r="AP331" s="59">
        <v>11</v>
      </c>
      <c r="AQ331" s="59">
        <v>3</v>
      </c>
      <c r="AR331" s="59">
        <v>2</v>
      </c>
      <c r="AS331" s="59">
        <v>80</v>
      </c>
      <c r="AT331" s="59">
        <v>1</v>
      </c>
      <c r="AU331" s="59">
        <v>21</v>
      </c>
      <c r="AV331" s="59">
        <v>2</v>
      </c>
      <c r="AW331" s="59">
        <v>3</v>
      </c>
      <c r="AX331" s="59">
        <v>3</v>
      </c>
      <c r="AY331" s="59">
        <v>2</v>
      </c>
      <c r="AZ331" s="59">
        <v>1</v>
      </c>
      <c r="BA331" s="59">
        <v>1</v>
      </c>
      <c r="BB331" s="57">
        <f t="shared" si="113"/>
        <v>91500</v>
      </c>
    </row>
    <row r="332" spans="1:54" x14ac:dyDescent="0.25">
      <c r="A332" s="58">
        <v>43</v>
      </c>
      <c r="B332" s="59">
        <v>0</v>
      </c>
      <c r="C332" s="59">
        <v>2</v>
      </c>
      <c r="D332" s="59">
        <f t="shared" si="95"/>
        <v>0</v>
      </c>
      <c r="E332" s="59">
        <f t="shared" si="96"/>
        <v>1</v>
      </c>
      <c r="F332" s="59">
        <v>559</v>
      </c>
      <c r="G332" s="59">
        <v>2</v>
      </c>
      <c r="H332" s="59">
        <f t="shared" si="97"/>
        <v>0</v>
      </c>
      <c r="I332" s="59">
        <f t="shared" si="98"/>
        <v>1</v>
      </c>
      <c r="J332" s="59">
        <v>10</v>
      </c>
      <c r="K332" s="59">
        <v>4</v>
      </c>
      <c r="L332" s="59">
        <v>1</v>
      </c>
      <c r="M332" s="59">
        <f t="shared" si="99"/>
        <v>1</v>
      </c>
      <c r="N332" s="59">
        <f t="shared" si="100"/>
        <v>0</v>
      </c>
      <c r="O332" s="59">
        <f t="shared" si="101"/>
        <v>0</v>
      </c>
      <c r="P332" s="59">
        <f t="shared" si="102"/>
        <v>0</v>
      </c>
      <c r="Q332" s="59">
        <f t="shared" si="103"/>
        <v>0</v>
      </c>
      <c r="R332" s="59">
        <v>1</v>
      </c>
      <c r="S332" s="59">
        <v>448</v>
      </c>
      <c r="T332" s="59">
        <v>3</v>
      </c>
      <c r="U332" s="59">
        <v>0</v>
      </c>
      <c r="V332" s="59">
        <v>82</v>
      </c>
      <c r="W332" s="59">
        <v>2</v>
      </c>
      <c r="X332" s="59">
        <v>2</v>
      </c>
      <c r="Y332" s="59">
        <v>3</v>
      </c>
      <c r="Z332" s="59">
        <f t="shared" si="104"/>
        <v>0</v>
      </c>
      <c r="AA332" s="59">
        <f>IF('Updated Dummy'!Y332=2,1,0)</f>
        <v>0</v>
      </c>
      <c r="AB332" s="59">
        <f t="shared" si="105"/>
        <v>1</v>
      </c>
      <c r="AC332" s="59">
        <f t="shared" si="106"/>
        <v>0</v>
      </c>
      <c r="AD332" s="59">
        <f t="shared" si="107"/>
        <v>0</v>
      </c>
      <c r="AE332" s="59">
        <f t="shared" si="108"/>
        <v>0</v>
      </c>
      <c r="AF332" s="59">
        <f t="shared" si="109"/>
        <v>0</v>
      </c>
      <c r="AG332" s="59">
        <f t="shared" si="110"/>
        <v>0</v>
      </c>
      <c r="AH332" s="59">
        <v>3</v>
      </c>
      <c r="AI332" s="59">
        <v>3</v>
      </c>
      <c r="AJ332" s="59">
        <f t="shared" si="111"/>
        <v>0</v>
      </c>
      <c r="AK332" s="59">
        <f t="shared" si="112"/>
        <v>0</v>
      </c>
      <c r="AL332" s="59">
        <v>5257</v>
      </c>
      <c r="AM332" s="59">
        <v>6227</v>
      </c>
      <c r="AN332" s="59">
        <v>1</v>
      </c>
      <c r="AO332" s="59">
        <v>0</v>
      </c>
      <c r="AP332" s="59">
        <v>11</v>
      </c>
      <c r="AQ332" s="59">
        <v>3</v>
      </c>
      <c r="AR332" s="59">
        <v>2</v>
      </c>
      <c r="AS332" s="59">
        <v>80</v>
      </c>
      <c r="AT332" s="59">
        <v>1</v>
      </c>
      <c r="AU332" s="59">
        <v>9</v>
      </c>
      <c r="AV332" s="59">
        <v>3</v>
      </c>
      <c r="AW332" s="59">
        <v>4</v>
      </c>
      <c r="AX332" s="59">
        <v>9</v>
      </c>
      <c r="AY332" s="59">
        <v>7</v>
      </c>
      <c r="AZ332" s="59">
        <v>0</v>
      </c>
      <c r="BA332" s="59">
        <v>0</v>
      </c>
      <c r="BB332" s="57">
        <f t="shared" si="113"/>
        <v>10514</v>
      </c>
    </row>
    <row r="333" spans="1:54" x14ac:dyDescent="0.25">
      <c r="A333" s="58">
        <v>27</v>
      </c>
      <c r="B333" s="59">
        <v>0</v>
      </c>
      <c r="C333" s="59">
        <v>3</v>
      </c>
      <c r="D333" s="59">
        <f t="shared" si="95"/>
        <v>0</v>
      </c>
      <c r="E333" s="59">
        <f t="shared" si="96"/>
        <v>0</v>
      </c>
      <c r="F333" s="59">
        <v>210</v>
      </c>
      <c r="G333" s="59">
        <v>1</v>
      </c>
      <c r="H333" s="59">
        <f t="shared" si="97"/>
        <v>1</v>
      </c>
      <c r="I333" s="59">
        <f t="shared" si="98"/>
        <v>0</v>
      </c>
      <c r="J333" s="59">
        <v>1</v>
      </c>
      <c r="K333" s="59">
        <v>1</v>
      </c>
      <c r="L333" s="59">
        <v>4</v>
      </c>
      <c r="M333" s="59">
        <f t="shared" si="99"/>
        <v>0</v>
      </c>
      <c r="N333" s="59">
        <f t="shared" si="100"/>
        <v>0</v>
      </c>
      <c r="O333" s="59">
        <f t="shared" si="101"/>
        <v>0</v>
      </c>
      <c r="P333" s="59">
        <f t="shared" si="102"/>
        <v>1</v>
      </c>
      <c r="Q333" s="59">
        <f t="shared" si="103"/>
        <v>0</v>
      </c>
      <c r="R333" s="59">
        <v>1</v>
      </c>
      <c r="S333" s="59">
        <v>449</v>
      </c>
      <c r="T333" s="59">
        <v>3</v>
      </c>
      <c r="U333" s="59">
        <v>1</v>
      </c>
      <c r="V333" s="59">
        <v>73</v>
      </c>
      <c r="W333" s="59">
        <v>3</v>
      </c>
      <c r="X333" s="59">
        <v>2</v>
      </c>
      <c r="Y333" s="59">
        <v>1</v>
      </c>
      <c r="Z333" s="59">
        <f t="shared" si="104"/>
        <v>1</v>
      </c>
      <c r="AA333" s="59">
        <f>IF('Updated Dummy'!Y333=2,1,0)</f>
        <v>0</v>
      </c>
      <c r="AB333" s="59">
        <f t="shared" si="105"/>
        <v>0</v>
      </c>
      <c r="AC333" s="59">
        <f t="shared" si="106"/>
        <v>0</v>
      </c>
      <c r="AD333" s="59">
        <f t="shared" si="107"/>
        <v>0</v>
      </c>
      <c r="AE333" s="59">
        <f t="shared" si="108"/>
        <v>0</v>
      </c>
      <c r="AF333" s="59">
        <f t="shared" si="109"/>
        <v>0</v>
      </c>
      <c r="AG333" s="59">
        <f t="shared" si="110"/>
        <v>0</v>
      </c>
      <c r="AH333" s="59">
        <v>2</v>
      </c>
      <c r="AI333" s="59">
        <v>2</v>
      </c>
      <c r="AJ333" s="59">
        <f t="shared" si="111"/>
        <v>0</v>
      </c>
      <c r="AK333" s="59">
        <f t="shared" si="112"/>
        <v>1</v>
      </c>
      <c r="AL333" s="59">
        <v>6349</v>
      </c>
      <c r="AM333" s="59">
        <v>22107</v>
      </c>
      <c r="AN333" s="59">
        <v>0</v>
      </c>
      <c r="AO333" s="59">
        <v>1</v>
      </c>
      <c r="AP333" s="59">
        <v>13</v>
      </c>
      <c r="AQ333" s="59">
        <v>3</v>
      </c>
      <c r="AR333" s="59">
        <v>4</v>
      </c>
      <c r="AS333" s="59">
        <v>80</v>
      </c>
      <c r="AT333" s="59">
        <v>1</v>
      </c>
      <c r="AU333" s="59">
        <v>6</v>
      </c>
      <c r="AV333" s="59">
        <v>0</v>
      </c>
      <c r="AW333" s="59">
        <v>3</v>
      </c>
      <c r="AX333" s="59">
        <v>5</v>
      </c>
      <c r="AY333" s="59">
        <v>4</v>
      </c>
      <c r="AZ333" s="59">
        <v>1</v>
      </c>
      <c r="BA333" s="59">
        <v>4</v>
      </c>
      <c r="BB333" s="57">
        <f t="shared" si="113"/>
        <v>12698</v>
      </c>
    </row>
    <row r="334" spans="1:54" x14ac:dyDescent="0.25">
      <c r="A334" s="58">
        <v>54</v>
      </c>
      <c r="B334" s="59">
        <v>0</v>
      </c>
      <c r="C334" s="59">
        <v>2</v>
      </c>
      <c r="D334" s="59">
        <f t="shared" si="95"/>
        <v>0</v>
      </c>
      <c r="E334" s="59">
        <f t="shared" si="96"/>
        <v>1</v>
      </c>
      <c r="F334" s="59">
        <v>928</v>
      </c>
      <c r="G334" s="59">
        <v>2</v>
      </c>
      <c r="H334" s="59">
        <f t="shared" si="97"/>
        <v>0</v>
      </c>
      <c r="I334" s="59">
        <f t="shared" si="98"/>
        <v>1</v>
      </c>
      <c r="J334" s="59">
        <v>20</v>
      </c>
      <c r="K334" s="59">
        <v>4</v>
      </c>
      <c r="L334" s="59">
        <v>1</v>
      </c>
      <c r="M334" s="59">
        <f t="shared" si="99"/>
        <v>1</v>
      </c>
      <c r="N334" s="59">
        <f t="shared" si="100"/>
        <v>0</v>
      </c>
      <c r="O334" s="59">
        <f t="shared" si="101"/>
        <v>0</v>
      </c>
      <c r="P334" s="59">
        <f t="shared" si="102"/>
        <v>0</v>
      </c>
      <c r="Q334" s="59">
        <f t="shared" si="103"/>
        <v>0</v>
      </c>
      <c r="R334" s="59">
        <v>1</v>
      </c>
      <c r="S334" s="59">
        <v>450</v>
      </c>
      <c r="T334" s="59">
        <v>4</v>
      </c>
      <c r="U334" s="59">
        <v>0</v>
      </c>
      <c r="V334" s="59">
        <v>31</v>
      </c>
      <c r="W334" s="59">
        <v>3</v>
      </c>
      <c r="X334" s="59">
        <v>2</v>
      </c>
      <c r="Y334" s="59">
        <v>2</v>
      </c>
      <c r="Z334" s="59">
        <f t="shared" si="104"/>
        <v>0</v>
      </c>
      <c r="AA334" s="59">
        <f>IF('Updated Dummy'!Y334=2,1,0)</f>
        <v>1</v>
      </c>
      <c r="AB334" s="59">
        <f t="shared" si="105"/>
        <v>0</v>
      </c>
      <c r="AC334" s="59">
        <f t="shared" si="106"/>
        <v>0</v>
      </c>
      <c r="AD334" s="59">
        <f t="shared" si="107"/>
        <v>0</v>
      </c>
      <c r="AE334" s="59">
        <f t="shared" si="108"/>
        <v>0</v>
      </c>
      <c r="AF334" s="59">
        <f t="shared" si="109"/>
        <v>0</v>
      </c>
      <c r="AG334" s="59">
        <f t="shared" si="110"/>
        <v>0</v>
      </c>
      <c r="AH334" s="59">
        <v>3</v>
      </c>
      <c r="AI334" s="59">
        <v>1</v>
      </c>
      <c r="AJ334" s="59">
        <f t="shared" si="111"/>
        <v>1</v>
      </c>
      <c r="AK334" s="59">
        <f t="shared" si="112"/>
        <v>0</v>
      </c>
      <c r="AL334" s="59">
        <v>4869</v>
      </c>
      <c r="AM334" s="59">
        <v>16885</v>
      </c>
      <c r="AN334" s="59">
        <v>3</v>
      </c>
      <c r="AO334" s="59">
        <v>0</v>
      </c>
      <c r="AP334" s="59">
        <v>12</v>
      </c>
      <c r="AQ334" s="59">
        <v>3</v>
      </c>
      <c r="AR334" s="59">
        <v>4</v>
      </c>
      <c r="AS334" s="59">
        <v>80</v>
      </c>
      <c r="AT334" s="59">
        <v>0</v>
      </c>
      <c r="AU334" s="59">
        <v>20</v>
      </c>
      <c r="AV334" s="59">
        <v>4</v>
      </c>
      <c r="AW334" s="59">
        <v>2</v>
      </c>
      <c r="AX334" s="59">
        <v>4</v>
      </c>
      <c r="AY334" s="59">
        <v>3</v>
      </c>
      <c r="AZ334" s="59">
        <v>0</v>
      </c>
      <c r="BA334" s="59">
        <v>3</v>
      </c>
      <c r="BB334" s="57">
        <f t="shared" si="113"/>
        <v>9738</v>
      </c>
    </row>
    <row r="335" spans="1:54" x14ac:dyDescent="0.25">
      <c r="A335" s="58">
        <v>43</v>
      </c>
      <c r="B335" s="59">
        <v>0</v>
      </c>
      <c r="C335" s="59">
        <v>1</v>
      </c>
      <c r="D335" s="59">
        <f t="shared" si="95"/>
        <v>1</v>
      </c>
      <c r="E335" s="59">
        <f t="shared" si="96"/>
        <v>0</v>
      </c>
      <c r="F335" s="59">
        <v>1001</v>
      </c>
      <c r="G335" s="59">
        <v>2</v>
      </c>
      <c r="H335" s="59">
        <f t="shared" si="97"/>
        <v>0</v>
      </c>
      <c r="I335" s="59">
        <f t="shared" si="98"/>
        <v>1</v>
      </c>
      <c r="J335" s="59">
        <v>7</v>
      </c>
      <c r="K335" s="59">
        <v>3</v>
      </c>
      <c r="L335" s="59">
        <v>1</v>
      </c>
      <c r="M335" s="59">
        <f t="shared" si="99"/>
        <v>1</v>
      </c>
      <c r="N335" s="59">
        <f t="shared" si="100"/>
        <v>0</v>
      </c>
      <c r="O335" s="59">
        <f t="shared" si="101"/>
        <v>0</v>
      </c>
      <c r="P335" s="59">
        <f t="shared" si="102"/>
        <v>0</v>
      </c>
      <c r="Q335" s="59">
        <f t="shared" si="103"/>
        <v>0</v>
      </c>
      <c r="R335" s="59">
        <v>1</v>
      </c>
      <c r="S335" s="59">
        <v>451</v>
      </c>
      <c r="T335" s="59">
        <v>3</v>
      </c>
      <c r="U335" s="59">
        <v>0</v>
      </c>
      <c r="V335" s="59">
        <v>43</v>
      </c>
      <c r="W335" s="59">
        <v>3</v>
      </c>
      <c r="X335" s="59">
        <v>3</v>
      </c>
      <c r="Y335" s="59">
        <v>5</v>
      </c>
      <c r="Z335" s="59">
        <f t="shared" si="104"/>
        <v>0</v>
      </c>
      <c r="AA335" s="59">
        <f>IF('Updated Dummy'!Y335=2,1,0)</f>
        <v>0</v>
      </c>
      <c r="AB335" s="59">
        <f t="shared" si="105"/>
        <v>0</v>
      </c>
      <c r="AC335" s="59">
        <f t="shared" si="106"/>
        <v>0</v>
      </c>
      <c r="AD335" s="59">
        <f t="shared" si="107"/>
        <v>1</v>
      </c>
      <c r="AE335" s="59">
        <f t="shared" si="108"/>
        <v>0</v>
      </c>
      <c r="AF335" s="59">
        <f t="shared" si="109"/>
        <v>0</v>
      </c>
      <c r="AG335" s="59">
        <f t="shared" si="110"/>
        <v>0</v>
      </c>
      <c r="AH335" s="59">
        <v>1</v>
      </c>
      <c r="AI335" s="59">
        <v>2</v>
      </c>
      <c r="AJ335" s="59">
        <f t="shared" si="111"/>
        <v>0</v>
      </c>
      <c r="AK335" s="59">
        <f t="shared" si="112"/>
        <v>1</v>
      </c>
      <c r="AL335" s="59">
        <v>9985</v>
      </c>
      <c r="AM335" s="59">
        <v>9262</v>
      </c>
      <c r="AN335" s="59">
        <v>8</v>
      </c>
      <c r="AO335" s="59">
        <v>0</v>
      </c>
      <c r="AP335" s="59">
        <v>16</v>
      </c>
      <c r="AQ335" s="59">
        <v>3</v>
      </c>
      <c r="AR335" s="59">
        <v>1</v>
      </c>
      <c r="AS335" s="59">
        <v>80</v>
      </c>
      <c r="AT335" s="59">
        <v>1</v>
      </c>
      <c r="AU335" s="59">
        <v>10</v>
      </c>
      <c r="AV335" s="59">
        <v>1</v>
      </c>
      <c r="AW335" s="59">
        <v>2</v>
      </c>
      <c r="AX335" s="59">
        <v>1</v>
      </c>
      <c r="AY335" s="59">
        <v>0</v>
      </c>
      <c r="AZ335" s="59">
        <v>0</v>
      </c>
      <c r="BA335" s="59">
        <v>0</v>
      </c>
      <c r="BB335" s="57">
        <f t="shared" si="113"/>
        <v>29955</v>
      </c>
    </row>
    <row r="336" spans="1:54" x14ac:dyDescent="0.25">
      <c r="A336" s="58">
        <v>45</v>
      </c>
      <c r="B336" s="59">
        <v>0</v>
      </c>
      <c r="C336" s="59">
        <v>1</v>
      </c>
      <c r="D336" s="59">
        <f t="shared" si="95"/>
        <v>1</v>
      </c>
      <c r="E336" s="59">
        <f t="shared" si="96"/>
        <v>0</v>
      </c>
      <c r="F336" s="59">
        <v>549</v>
      </c>
      <c r="G336" s="59">
        <v>2</v>
      </c>
      <c r="H336" s="59">
        <f t="shared" si="97"/>
        <v>0</v>
      </c>
      <c r="I336" s="59">
        <f t="shared" si="98"/>
        <v>1</v>
      </c>
      <c r="J336" s="59">
        <v>8</v>
      </c>
      <c r="K336" s="59">
        <v>4</v>
      </c>
      <c r="L336" s="59">
        <v>6</v>
      </c>
      <c r="M336" s="59">
        <f t="shared" si="99"/>
        <v>0</v>
      </c>
      <c r="N336" s="59">
        <f t="shared" si="100"/>
        <v>0</v>
      </c>
      <c r="O336" s="59">
        <f t="shared" si="101"/>
        <v>0</v>
      </c>
      <c r="P336" s="59">
        <f t="shared" si="102"/>
        <v>0</v>
      </c>
      <c r="Q336" s="59">
        <f t="shared" si="103"/>
        <v>0</v>
      </c>
      <c r="R336" s="59">
        <v>1</v>
      </c>
      <c r="S336" s="59">
        <v>452</v>
      </c>
      <c r="T336" s="59">
        <v>4</v>
      </c>
      <c r="U336" s="59">
        <v>1</v>
      </c>
      <c r="V336" s="59">
        <v>75</v>
      </c>
      <c r="W336" s="59">
        <v>3</v>
      </c>
      <c r="X336" s="59">
        <v>2</v>
      </c>
      <c r="Y336" s="59">
        <v>2</v>
      </c>
      <c r="Z336" s="59">
        <f t="shared" si="104"/>
        <v>0</v>
      </c>
      <c r="AA336" s="59">
        <f>IF('Updated Dummy'!Y336=2,1,0)</f>
        <v>1</v>
      </c>
      <c r="AB336" s="59">
        <f t="shared" si="105"/>
        <v>0</v>
      </c>
      <c r="AC336" s="59">
        <f t="shared" si="106"/>
        <v>0</v>
      </c>
      <c r="AD336" s="59">
        <f t="shared" si="107"/>
        <v>0</v>
      </c>
      <c r="AE336" s="59">
        <f t="shared" si="108"/>
        <v>0</v>
      </c>
      <c r="AF336" s="59">
        <f t="shared" si="109"/>
        <v>0</v>
      </c>
      <c r="AG336" s="59">
        <f t="shared" si="110"/>
        <v>0</v>
      </c>
      <c r="AH336" s="59">
        <v>4</v>
      </c>
      <c r="AI336" s="59">
        <v>2</v>
      </c>
      <c r="AJ336" s="59">
        <f t="shared" si="111"/>
        <v>0</v>
      </c>
      <c r="AK336" s="59">
        <f t="shared" si="112"/>
        <v>1</v>
      </c>
      <c r="AL336" s="59">
        <v>3697</v>
      </c>
      <c r="AM336" s="59">
        <v>9278</v>
      </c>
      <c r="AN336" s="59">
        <v>9</v>
      </c>
      <c r="AO336" s="59">
        <v>0</v>
      </c>
      <c r="AP336" s="59">
        <v>14</v>
      </c>
      <c r="AQ336" s="59">
        <v>3</v>
      </c>
      <c r="AR336" s="59">
        <v>1</v>
      </c>
      <c r="AS336" s="59">
        <v>80</v>
      </c>
      <c r="AT336" s="59">
        <v>2</v>
      </c>
      <c r="AU336" s="59">
        <v>12</v>
      </c>
      <c r="AV336" s="59">
        <v>3</v>
      </c>
      <c r="AW336" s="59">
        <v>3</v>
      </c>
      <c r="AX336" s="59">
        <v>10</v>
      </c>
      <c r="AY336" s="59">
        <v>9</v>
      </c>
      <c r="AZ336" s="59">
        <v>9</v>
      </c>
      <c r="BA336" s="59">
        <v>8</v>
      </c>
      <c r="BB336" s="57">
        <f t="shared" si="113"/>
        <v>7394</v>
      </c>
    </row>
    <row r="337" spans="1:54" x14ac:dyDescent="0.25">
      <c r="A337" s="58">
        <v>40</v>
      </c>
      <c r="B337" s="59">
        <v>0</v>
      </c>
      <c r="C337" s="59">
        <v>1</v>
      </c>
      <c r="D337" s="59">
        <f t="shared" si="95"/>
        <v>1</v>
      </c>
      <c r="E337" s="59">
        <f t="shared" si="96"/>
        <v>0</v>
      </c>
      <c r="F337" s="59">
        <v>1124</v>
      </c>
      <c r="G337" s="59">
        <v>1</v>
      </c>
      <c r="H337" s="59">
        <f t="shared" si="97"/>
        <v>1</v>
      </c>
      <c r="I337" s="59">
        <f t="shared" si="98"/>
        <v>0</v>
      </c>
      <c r="J337" s="59">
        <v>1</v>
      </c>
      <c r="K337" s="59">
        <v>2</v>
      </c>
      <c r="L337" s="59">
        <v>3</v>
      </c>
      <c r="M337" s="59">
        <f t="shared" si="99"/>
        <v>0</v>
      </c>
      <c r="N337" s="59">
        <f t="shared" si="100"/>
        <v>0</v>
      </c>
      <c r="O337" s="59">
        <f t="shared" si="101"/>
        <v>1</v>
      </c>
      <c r="P337" s="59">
        <f t="shared" si="102"/>
        <v>0</v>
      </c>
      <c r="Q337" s="59">
        <f t="shared" si="103"/>
        <v>0</v>
      </c>
      <c r="R337" s="59">
        <v>1</v>
      </c>
      <c r="S337" s="59">
        <v>453</v>
      </c>
      <c r="T337" s="59">
        <v>2</v>
      </c>
      <c r="U337" s="59">
        <v>1</v>
      </c>
      <c r="V337" s="59">
        <v>57</v>
      </c>
      <c r="W337" s="59">
        <v>1</v>
      </c>
      <c r="X337" s="59">
        <v>2</v>
      </c>
      <c r="Y337" s="59">
        <v>1</v>
      </c>
      <c r="Z337" s="59">
        <f t="shared" si="104"/>
        <v>1</v>
      </c>
      <c r="AA337" s="59">
        <f>IF('Updated Dummy'!Y337=2,1,0)</f>
        <v>0</v>
      </c>
      <c r="AB337" s="59">
        <f t="shared" si="105"/>
        <v>0</v>
      </c>
      <c r="AC337" s="59">
        <f t="shared" si="106"/>
        <v>0</v>
      </c>
      <c r="AD337" s="59">
        <f t="shared" si="107"/>
        <v>0</v>
      </c>
      <c r="AE337" s="59">
        <f t="shared" si="108"/>
        <v>0</v>
      </c>
      <c r="AF337" s="59">
        <f t="shared" si="109"/>
        <v>0</v>
      </c>
      <c r="AG337" s="59">
        <f t="shared" si="110"/>
        <v>0</v>
      </c>
      <c r="AH337" s="59">
        <v>4</v>
      </c>
      <c r="AI337" s="59">
        <v>2</v>
      </c>
      <c r="AJ337" s="59">
        <f t="shared" si="111"/>
        <v>0</v>
      </c>
      <c r="AK337" s="59">
        <f t="shared" si="112"/>
        <v>1</v>
      </c>
      <c r="AL337" s="59">
        <v>7457</v>
      </c>
      <c r="AM337" s="59">
        <v>13273</v>
      </c>
      <c r="AN337" s="59">
        <v>2</v>
      </c>
      <c r="AO337" s="59">
        <v>1</v>
      </c>
      <c r="AP337" s="59">
        <v>22</v>
      </c>
      <c r="AQ337" s="59">
        <v>4</v>
      </c>
      <c r="AR337" s="59">
        <v>3</v>
      </c>
      <c r="AS337" s="59">
        <v>80</v>
      </c>
      <c r="AT337" s="59">
        <v>3</v>
      </c>
      <c r="AU337" s="59">
        <v>6</v>
      </c>
      <c r="AV337" s="59">
        <v>2</v>
      </c>
      <c r="AW337" s="59">
        <v>2</v>
      </c>
      <c r="AX337" s="59">
        <v>4</v>
      </c>
      <c r="AY337" s="59">
        <v>3</v>
      </c>
      <c r="AZ337" s="59">
        <v>0</v>
      </c>
      <c r="BA337" s="59">
        <v>2</v>
      </c>
      <c r="BB337" s="57">
        <f t="shared" si="113"/>
        <v>14914</v>
      </c>
    </row>
    <row r="338" spans="1:54" x14ac:dyDescent="0.25">
      <c r="A338" s="58">
        <v>29</v>
      </c>
      <c r="B338" s="59">
        <v>1</v>
      </c>
      <c r="C338" s="59">
        <v>1</v>
      </c>
      <c r="D338" s="59">
        <f t="shared" si="95"/>
        <v>1</v>
      </c>
      <c r="E338" s="59">
        <f t="shared" si="96"/>
        <v>0</v>
      </c>
      <c r="F338" s="59">
        <v>318</v>
      </c>
      <c r="G338" s="59">
        <v>2</v>
      </c>
      <c r="H338" s="59">
        <f t="shared" si="97"/>
        <v>0</v>
      </c>
      <c r="I338" s="59">
        <f t="shared" si="98"/>
        <v>1</v>
      </c>
      <c r="J338" s="59">
        <v>8</v>
      </c>
      <c r="K338" s="59">
        <v>4</v>
      </c>
      <c r="L338" s="59">
        <v>6</v>
      </c>
      <c r="M338" s="59">
        <f t="shared" si="99"/>
        <v>0</v>
      </c>
      <c r="N338" s="59">
        <f t="shared" si="100"/>
        <v>0</v>
      </c>
      <c r="O338" s="59">
        <f t="shared" si="101"/>
        <v>0</v>
      </c>
      <c r="P338" s="59">
        <f t="shared" si="102"/>
        <v>0</v>
      </c>
      <c r="Q338" s="59">
        <f t="shared" si="103"/>
        <v>0</v>
      </c>
      <c r="R338" s="59">
        <v>1</v>
      </c>
      <c r="S338" s="59">
        <v>454</v>
      </c>
      <c r="T338" s="59">
        <v>2</v>
      </c>
      <c r="U338" s="59">
        <v>1</v>
      </c>
      <c r="V338" s="59">
        <v>77</v>
      </c>
      <c r="W338" s="59">
        <v>1</v>
      </c>
      <c r="X338" s="59">
        <v>1</v>
      </c>
      <c r="Y338" s="59">
        <v>3</v>
      </c>
      <c r="Z338" s="59">
        <f t="shared" si="104"/>
        <v>0</v>
      </c>
      <c r="AA338" s="59">
        <f>IF('Updated Dummy'!Y338=2,1,0)</f>
        <v>0</v>
      </c>
      <c r="AB338" s="59">
        <f t="shared" si="105"/>
        <v>1</v>
      </c>
      <c r="AC338" s="59">
        <f t="shared" si="106"/>
        <v>0</v>
      </c>
      <c r="AD338" s="59">
        <f t="shared" si="107"/>
        <v>0</v>
      </c>
      <c r="AE338" s="59">
        <f t="shared" si="108"/>
        <v>0</v>
      </c>
      <c r="AF338" s="59">
        <f t="shared" si="109"/>
        <v>0</v>
      </c>
      <c r="AG338" s="59">
        <f t="shared" si="110"/>
        <v>0</v>
      </c>
      <c r="AH338" s="59">
        <v>1</v>
      </c>
      <c r="AI338" s="59">
        <v>2</v>
      </c>
      <c r="AJ338" s="59">
        <f t="shared" si="111"/>
        <v>0</v>
      </c>
      <c r="AK338" s="59">
        <f t="shared" si="112"/>
        <v>1</v>
      </c>
      <c r="AL338" s="59">
        <v>2119</v>
      </c>
      <c r="AM338" s="59">
        <v>4759</v>
      </c>
      <c r="AN338" s="59">
        <v>1</v>
      </c>
      <c r="AO338" s="59">
        <v>1</v>
      </c>
      <c r="AP338" s="59">
        <v>11</v>
      </c>
      <c r="AQ338" s="59">
        <v>3</v>
      </c>
      <c r="AR338" s="59">
        <v>4</v>
      </c>
      <c r="AS338" s="59">
        <v>80</v>
      </c>
      <c r="AT338" s="59">
        <v>0</v>
      </c>
      <c r="AU338" s="59">
        <v>7</v>
      </c>
      <c r="AV338" s="59">
        <v>4</v>
      </c>
      <c r="AW338" s="59">
        <v>2</v>
      </c>
      <c r="AX338" s="59">
        <v>7</v>
      </c>
      <c r="AY338" s="59">
        <v>7</v>
      </c>
      <c r="AZ338" s="59">
        <v>0</v>
      </c>
      <c r="BA338" s="59">
        <v>7</v>
      </c>
      <c r="BB338" s="57">
        <f t="shared" si="113"/>
        <v>2119</v>
      </c>
    </row>
    <row r="339" spans="1:54" x14ac:dyDescent="0.25">
      <c r="A339" s="58">
        <v>29</v>
      </c>
      <c r="B339" s="59">
        <v>0</v>
      </c>
      <c r="C339" s="59">
        <v>1</v>
      </c>
      <c r="D339" s="59">
        <f t="shared" si="95"/>
        <v>1</v>
      </c>
      <c r="E339" s="59">
        <f t="shared" si="96"/>
        <v>0</v>
      </c>
      <c r="F339" s="59">
        <v>738</v>
      </c>
      <c r="G339" s="59">
        <v>2</v>
      </c>
      <c r="H339" s="59">
        <f t="shared" si="97"/>
        <v>0</v>
      </c>
      <c r="I339" s="59">
        <f t="shared" si="98"/>
        <v>1</v>
      </c>
      <c r="J339" s="59">
        <v>9</v>
      </c>
      <c r="K339" s="59">
        <v>5</v>
      </c>
      <c r="L339" s="59">
        <v>6</v>
      </c>
      <c r="M339" s="59">
        <f t="shared" si="99"/>
        <v>0</v>
      </c>
      <c r="N339" s="59">
        <f t="shared" si="100"/>
        <v>0</v>
      </c>
      <c r="O339" s="59">
        <f t="shared" si="101"/>
        <v>0</v>
      </c>
      <c r="P339" s="59">
        <f t="shared" si="102"/>
        <v>0</v>
      </c>
      <c r="Q339" s="59">
        <f t="shared" si="103"/>
        <v>0</v>
      </c>
      <c r="R339" s="59">
        <v>1</v>
      </c>
      <c r="S339" s="59">
        <v>455</v>
      </c>
      <c r="T339" s="59">
        <v>2</v>
      </c>
      <c r="U339" s="59">
        <v>1</v>
      </c>
      <c r="V339" s="59">
        <v>30</v>
      </c>
      <c r="W339" s="59">
        <v>2</v>
      </c>
      <c r="X339" s="59">
        <v>1</v>
      </c>
      <c r="Y339" s="59">
        <v>3</v>
      </c>
      <c r="Z339" s="59">
        <f t="shared" si="104"/>
        <v>0</v>
      </c>
      <c r="AA339" s="59">
        <f>IF('Updated Dummy'!Y339=2,1,0)</f>
        <v>0</v>
      </c>
      <c r="AB339" s="59">
        <f t="shared" si="105"/>
        <v>1</v>
      </c>
      <c r="AC339" s="59">
        <f t="shared" si="106"/>
        <v>0</v>
      </c>
      <c r="AD339" s="59">
        <f t="shared" si="107"/>
        <v>0</v>
      </c>
      <c r="AE339" s="59">
        <f t="shared" si="108"/>
        <v>0</v>
      </c>
      <c r="AF339" s="59">
        <f t="shared" si="109"/>
        <v>0</v>
      </c>
      <c r="AG339" s="59">
        <f t="shared" si="110"/>
        <v>0</v>
      </c>
      <c r="AH339" s="59">
        <v>4</v>
      </c>
      <c r="AI339" s="59">
        <v>1</v>
      </c>
      <c r="AJ339" s="59">
        <f t="shared" si="111"/>
        <v>1</v>
      </c>
      <c r="AK339" s="59">
        <f t="shared" si="112"/>
        <v>0</v>
      </c>
      <c r="AL339" s="59">
        <v>3983</v>
      </c>
      <c r="AM339" s="59">
        <v>7621</v>
      </c>
      <c r="AN339" s="59">
        <v>0</v>
      </c>
      <c r="AO339" s="59">
        <v>0</v>
      </c>
      <c r="AP339" s="59">
        <v>17</v>
      </c>
      <c r="AQ339" s="59">
        <v>3</v>
      </c>
      <c r="AR339" s="59">
        <v>3</v>
      </c>
      <c r="AS339" s="59">
        <v>80</v>
      </c>
      <c r="AT339" s="59">
        <v>0</v>
      </c>
      <c r="AU339" s="59">
        <v>4</v>
      </c>
      <c r="AV339" s="59">
        <v>2</v>
      </c>
      <c r="AW339" s="59">
        <v>3</v>
      </c>
      <c r="AX339" s="59">
        <v>3</v>
      </c>
      <c r="AY339" s="59">
        <v>2</v>
      </c>
      <c r="AZ339" s="59">
        <v>2</v>
      </c>
      <c r="BA339" s="59">
        <v>2</v>
      </c>
      <c r="BB339" s="57">
        <f t="shared" si="113"/>
        <v>3983</v>
      </c>
    </row>
    <row r="340" spans="1:54" x14ac:dyDescent="0.25">
      <c r="A340" s="58">
        <v>30</v>
      </c>
      <c r="B340" s="59">
        <v>0</v>
      </c>
      <c r="C340" s="59">
        <v>1</v>
      </c>
      <c r="D340" s="59">
        <f t="shared" si="95"/>
        <v>1</v>
      </c>
      <c r="E340" s="59">
        <f t="shared" si="96"/>
        <v>0</v>
      </c>
      <c r="F340" s="59">
        <v>570</v>
      </c>
      <c r="G340" s="59">
        <v>1</v>
      </c>
      <c r="H340" s="59">
        <f t="shared" si="97"/>
        <v>1</v>
      </c>
      <c r="I340" s="59">
        <f t="shared" si="98"/>
        <v>0</v>
      </c>
      <c r="J340" s="59">
        <v>5</v>
      </c>
      <c r="K340" s="59">
        <v>3</v>
      </c>
      <c r="L340" s="59">
        <v>4</v>
      </c>
      <c r="M340" s="59">
        <f t="shared" si="99"/>
        <v>0</v>
      </c>
      <c r="N340" s="59">
        <f t="shared" si="100"/>
        <v>0</v>
      </c>
      <c r="O340" s="59">
        <f t="shared" si="101"/>
        <v>0</v>
      </c>
      <c r="P340" s="59">
        <f t="shared" si="102"/>
        <v>1</v>
      </c>
      <c r="Q340" s="59">
        <f t="shared" si="103"/>
        <v>0</v>
      </c>
      <c r="R340" s="59">
        <v>1</v>
      </c>
      <c r="S340" s="59">
        <v>456</v>
      </c>
      <c r="T340" s="59">
        <v>4</v>
      </c>
      <c r="U340" s="59">
        <v>0</v>
      </c>
      <c r="V340" s="59">
        <v>30</v>
      </c>
      <c r="W340" s="59">
        <v>2</v>
      </c>
      <c r="X340" s="59">
        <v>2</v>
      </c>
      <c r="Y340" s="59">
        <v>1</v>
      </c>
      <c r="Z340" s="59">
        <f t="shared" si="104"/>
        <v>1</v>
      </c>
      <c r="AA340" s="59">
        <f>IF('Updated Dummy'!Y340=2,1,0)</f>
        <v>0</v>
      </c>
      <c r="AB340" s="59">
        <f t="shared" si="105"/>
        <v>0</v>
      </c>
      <c r="AC340" s="59">
        <f t="shared" si="106"/>
        <v>0</v>
      </c>
      <c r="AD340" s="59">
        <f t="shared" si="107"/>
        <v>0</v>
      </c>
      <c r="AE340" s="59">
        <f t="shared" si="108"/>
        <v>0</v>
      </c>
      <c r="AF340" s="59">
        <f t="shared" si="109"/>
        <v>0</v>
      </c>
      <c r="AG340" s="59">
        <f t="shared" si="110"/>
        <v>0</v>
      </c>
      <c r="AH340" s="59">
        <v>3</v>
      </c>
      <c r="AI340" s="59">
        <v>3</v>
      </c>
      <c r="AJ340" s="59">
        <f t="shared" si="111"/>
        <v>0</v>
      </c>
      <c r="AK340" s="59">
        <f t="shared" si="112"/>
        <v>0</v>
      </c>
      <c r="AL340" s="59">
        <v>6118</v>
      </c>
      <c r="AM340" s="59">
        <v>5431</v>
      </c>
      <c r="AN340" s="59">
        <v>1</v>
      </c>
      <c r="AO340" s="59">
        <v>0</v>
      </c>
      <c r="AP340" s="59">
        <v>13</v>
      </c>
      <c r="AQ340" s="59">
        <v>3</v>
      </c>
      <c r="AR340" s="59">
        <v>3</v>
      </c>
      <c r="AS340" s="59">
        <v>80</v>
      </c>
      <c r="AT340" s="59">
        <v>3</v>
      </c>
      <c r="AU340" s="59">
        <v>10</v>
      </c>
      <c r="AV340" s="59">
        <v>2</v>
      </c>
      <c r="AW340" s="59">
        <v>3</v>
      </c>
      <c r="AX340" s="59">
        <v>10</v>
      </c>
      <c r="AY340" s="59">
        <v>9</v>
      </c>
      <c r="AZ340" s="59">
        <v>1</v>
      </c>
      <c r="BA340" s="59">
        <v>2</v>
      </c>
      <c r="BB340" s="57">
        <f t="shared" si="113"/>
        <v>12236</v>
      </c>
    </row>
    <row r="341" spans="1:54" x14ac:dyDescent="0.25">
      <c r="A341" s="58">
        <v>27</v>
      </c>
      <c r="B341" s="59">
        <v>0</v>
      </c>
      <c r="C341" s="59">
        <v>1</v>
      </c>
      <c r="D341" s="59">
        <f t="shared" si="95"/>
        <v>1</v>
      </c>
      <c r="E341" s="59">
        <f t="shared" si="96"/>
        <v>0</v>
      </c>
      <c r="F341" s="59">
        <v>1130</v>
      </c>
      <c r="G341" s="59">
        <v>1</v>
      </c>
      <c r="H341" s="59">
        <f t="shared" si="97"/>
        <v>1</v>
      </c>
      <c r="I341" s="59">
        <f t="shared" si="98"/>
        <v>0</v>
      </c>
      <c r="J341" s="59">
        <v>8</v>
      </c>
      <c r="K341" s="59">
        <v>4</v>
      </c>
      <c r="L341" s="59">
        <v>4</v>
      </c>
      <c r="M341" s="59">
        <f t="shared" si="99"/>
        <v>0</v>
      </c>
      <c r="N341" s="59">
        <f t="shared" si="100"/>
        <v>0</v>
      </c>
      <c r="O341" s="59">
        <f t="shared" si="101"/>
        <v>0</v>
      </c>
      <c r="P341" s="59">
        <f t="shared" si="102"/>
        <v>1</v>
      </c>
      <c r="Q341" s="59">
        <f t="shared" si="103"/>
        <v>0</v>
      </c>
      <c r="R341" s="59">
        <v>1</v>
      </c>
      <c r="S341" s="59">
        <v>458</v>
      </c>
      <c r="T341" s="59">
        <v>2</v>
      </c>
      <c r="U341" s="59">
        <v>0</v>
      </c>
      <c r="V341" s="59">
        <v>56</v>
      </c>
      <c r="W341" s="59">
        <v>3</v>
      </c>
      <c r="X341" s="59">
        <v>2</v>
      </c>
      <c r="Y341" s="59">
        <v>1</v>
      </c>
      <c r="Z341" s="59">
        <f t="shared" si="104"/>
        <v>1</v>
      </c>
      <c r="AA341" s="59">
        <f>IF('Updated Dummy'!Y341=2,1,0)</f>
        <v>0</v>
      </c>
      <c r="AB341" s="59">
        <f t="shared" si="105"/>
        <v>0</v>
      </c>
      <c r="AC341" s="59">
        <f t="shared" si="106"/>
        <v>0</v>
      </c>
      <c r="AD341" s="59">
        <f t="shared" si="107"/>
        <v>0</v>
      </c>
      <c r="AE341" s="59">
        <f t="shared" si="108"/>
        <v>0</v>
      </c>
      <c r="AF341" s="59">
        <f t="shared" si="109"/>
        <v>0</v>
      </c>
      <c r="AG341" s="59">
        <f t="shared" si="110"/>
        <v>0</v>
      </c>
      <c r="AH341" s="59">
        <v>2</v>
      </c>
      <c r="AI341" s="59">
        <v>2</v>
      </c>
      <c r="AJ341" s="59">
        <f t="shared" si="111"/>
        <v>0</v>
      </c>
      <c r="AK341" s="59">
        <f t="shared" si="112"/>
        <v>1</v>
      </c>
      <c r="AL341" s="59">
        <v>6214</v>
      </c>
      <c r="AM341" s="59">
        <v>3415</v>
      </c>
      <c r="AN341" s="59">
        <v>1</v>
      </c>
      <c r="AO341" s="59">
        <v>0</v>
      </c>
      <c r="AP341" s="59">
        <v>18</v>
      </c>
      <c r="AQ341" s="59">
        <v>3</v>
      </c>
      <c r="AR341" s="59">
        <v>1</v>
      </c>
      <c r="AS341" s="59">
        <v>80</v>
      </c>
      <c r="AT341" s="59">
        <v>1</v>
      </c>
      <c r="AU341" s="59">
        <v>8</v>
      </c>
      <c r="AV341" s="59">
        <v>3</v>
      </c>
      <c r="AW341" s="59">
        <v>3</v>
      </c>
      <c r="AX341" s="59">
        <v>8</v>
      </c>
      <c r="AY341" s="59">
        <v>7</v>
      </c>
      <c r="AZ341" s="59">
        <v>0</v>
      </c>
      <c r="BA341" s="59">
        <v>7</v>
      </c>
      <c r="BB341" s="57">
        <f t="shared" si="113"/>
        <v>12428</v>
      </c>
    </row>
    <row r="342" spans="1:54" x14ac:dyDescent="0.25">
      <c r="A342" s="58">
        <v>37</v>
      </c>
      <c r="B342" s="59">
        <v>0</v>
      </c>
      <c r="C342" s="59">
        <v>1</v>
      </c>
      <c r="D342" s="59">
        <f t="shared" si="95"/>
        <v>1</v>
      </c>
      <c r="E342" s="59">
        <f t="shared" si="96"/>
        <v>0</v>
      </c>
      <c r="F342" s="59">
        <v>1192</v>
      </c>
      <c r="G342" s="59">
        <v>2</v>
      </c>
      <c r="H342" s="59">
        <f t="shared" si="97"/>
        <v>0</v>
      </c>
      <c r="I342" s="59">
        <f t="shared" si="98"/>
        <v>1</v>
      </c>
      <c r="J342" s="59">
        <v>5</v>
      </c>
      <c r="K342" s="59">
        <v>2</v>
      </c>
      <c r="L342" s="59">
        <v>3</v>
      </c>
      <c r="M342" s="59">
        <f t="shared" si="99"/>
        <v>0</v>
      </c>
      <c r="N342" s="59">
        <f t="shared" si="100"/>
        <v>0</v>
      </c>
      <c r="O342" s="59">
        <f t="shared" si="101"/>
        <v>1</v>
      </c>
      <c r="P342" s="59">
        <f t="shared" si="102"/>
        <v>0</v>
      </c>
      <c r="Q342" s="59">
        <f t="shared" si="103"/>
        <v>0</v>
      </c>
      <c r="R342" s="59">
        <v>1</v>
      </c>
      <c r="S342" s="59">
        <v>460</v>
      </c>
      <c r="T342" s="59">
        <v>4</v>
      </c>
      <c r="U342" s="59">
        <v>1</v>
      </c>
      <c r="V342" s="59">
        <v>61</v>
      </c>
      <c r="W342" s="59">
        <v>3</v>
      </c>
      <c r="X342" s="59">
        <v>2</v>
      </c>
      <c r="Y342" s="59">
        <v>4</v>
      </c>
      <c r="Z342" s="59">
        <f t="shared" si="104"/>
        <v>0</v>
      </c>
      <c r="AA342" s="59">
        <f>IF('Updated Dummy'!Y342=2,1,0)</f>
        <v>0</v>
      </c>
      <c r="AB342" s="59">
        <f t="shared" si="105"/>
        <v>0</v>
      </c>
      <c r="AC342" s="59">
        <f t="shared" si="106"/>
        <v>1</v>
      </c>
      <c r="AD342" s="59">
        <f t="shared" si="107"/>
        <v>0</v>
      </c>
      <c r="AE342" s="59">
        <f t="shared" si="108"/>
        <v>0</v>
      </c>
      <c r="AF342" s="59">
        <f t="shared" si="109"/>
        <v>0</v>
      </c>
      <c r="AG342" s="59">
        <f t="shared" si="110"/>
        <v>0</v>
      </c>
      <c r="AH342" s="59">
        <v>4</v>
      </c>
      <c r="AI342" s="59">
        <v>3</v>
      </c>
      <c r="AJ342" s="59">
        <f t="shared" si="111"/>
        <v>0</v>
      </c>
      <c r="AK342" s="59">
        <f t="shared" si="112"/>
        <v>0</v>
      </c>
      <c r="AL342" s="59">
        <v>6347</v>
      </c>
      <c r="AM342" s="59">
        <v>23177</v>
      </c>
      <c r="AN342" s="59">
        <v>7</v>
      </c>
      <c r="AO342" s="59">
        <v>0</v>
      </c>
      <c r="AP342" s="59">
        <v>16</v>
      </c>
      <c r="AQ342" s="59">
        <v>3</v>
      </c>
      <c r="AR342" s="59">
        <v>3</v>
      </c>
      <c r="AS342" s="59">
        <v>80</v>
      </c>
      <c r="AT342" s="59">
        <v>2</v>
      </c>
      <c r="AU342" s="59">
        <v>8</v>
      </c>
      <c r="AV342" s="59">
        <v>2</v>
      </c>
      <c r="AW342" s="59">
        <v>2</v>
      </c>
      <c r="AX342" s="59">
        <v>6</v>
      </c>
      <c r="AY342" s="59">
        <v>2</v>
      </c>
      <c r="AZ342" s="59">
        <v>0</v>
      </c>
      <c r="BA342" s="59">
        <v>4</v>
      </c>
      <c r="BB342" s="57">
        <f t="shared" si="113"/>
        <v>12694</v>
      </c>
    </row>
    <row r="343" spans="1:54" x14ac:dyDescent="0.25">
      <c r="A343" s="58">
        <v>38</v>
      </c>
      <c r="B343" s="59">
        <v>0</v>
      </c>
      <c r="C343" s="59">
        <v>1</v>
      </c>
      <c r="D343" s="59">
        <f t="shared" si="95"/>
        <v>1</v>
      </c>
      <c r="E343" s="59">
        <f t="shared" si="96"/>
        <v>0</v>
      </c>
      <c r="F343" s="59">
        <v>343</v>
      </c>
      <c r="G343" s="59">
        <v>2</v>
      </c>
      <c r="H343" s="59">
        <f t="shared" si="97"/>
        <v>0</v>
      </c>
      <c r="I343" s="59">
        <f t="shared" si="98"/>
        <v>1</v>
      </c>
      <c r="J343" s="59">
        <v>15</v>
      </c>
      <c r="K343" s="59">
        <v>2</v>
      </c>
      <c r="L343" s="59">
        <v>1</v>
      </c>
      <c r="M343" s="59">
        <f t="shared" si="99"/>
        <v>1</v>
      </c>
      <c r="N343" s="59">
        <f t="shared" si="100"/>
        <v>0</v>
      </c>
      <c r="O343" s="59">
        <f t="shared" si="101"/>
        <v>0</v>
      </c>
      <c r="P343" s="59">
        <f t="shared" si="102"/>
        <v>0</v>
      </c>
      <c r="Q343" s="59">
        <f t="shared" si="103"/>
        <v>0</v>
      </c>
      <c r="R343" s="59">
        <v>1</v>
      </c>
      <c r="S343" s="59">
        <v>461</v>
      </c>
      <c r="T343" s="59">
        <v>3</v>
      </c>
      <c r="U343" s="59">
        <v>1</v>
      </c>
      <c r="V343" s="59">
        <v>92</v>
      </c>
      <c r="W343" s="59">
        <v>2</v>
      </c>
      <c r="X343" s="59">
        <v>3</v>
      </c>
      <c r="Y343" s="59">
        <v>8</v>
      </c>
      <c r="Z343" s="59">
        <f t="shared" si="104"/>
        <v>0</v>
      </c>
      <c r="AA343" s="59">
        <f>IF('Updated Dummy'!Y343=2,1,0)</f>
        <v>0</v>
      </c>
      <c r="AB343" s="59">
        <f t="shared" si="105"/>
        <v>0</v>
      </c>
      <c r="AC343" s="59">
        <f t="shared" si="106"/>
        <v>0</v>
      </c>
      <c r="AD343" s="59">
        <f t="shared" si="107"/>
        <v>0</v>
      </c>
      <c r="AE343" s="59">
        <f t="shared" si="108"/>
        <v>0</v>
      </c>
      <c r="AF343" s="59">
        <f t="shared" si="109"/>
        <v>0</v>
      </c>
      <c r="AG343" s="59">
        <f t="shared" si="110"/>
        <v>1</v>
      </c>
      <c r="AH343" s="59">
        <v>4</v>
      </c>
      <c r="AI343" s="59">
        <v>3</v>
      </c>
      <c r="AJ343" s="59">
        <f t="shared" si="111"/>
        <v>0</v>
      </c>
      <c r="AK343" s="59">
        <f t="shared" si="112"/>
        <v>0</v>
      </c>
      <c r="AL343" s="59">
        <v>11510</v>
      </c>
      <c r="AM343" s="59">
        <v>15682</v>
      </c>
      <c r="AN343" s="59">
        <v>0</v>
      </c>
      <c r="AO343" s="59">
        <v>1</v>
      </c>
      <c r="AP343" s="59">
        <v>14</v>
      </c>
      <c r="AQ343" s="59">
        <v>3</v>
      </c>
      <c r="AR343" s="59">
        <v>2</v>
      </c>
      <c r="AS343" s="59">
        <v>80</v>
      </c>
      <c r="AT343" s="59">
        <v>1</v>
      </c>
      <c r="AU343" s="59">
        <v>12</v>
      </c>
      <c r="AV343" s="59">
        <v>3</v>
      </c>
      <c r="AW343" s="59">
        <v>3</v>
      </c>
      <c r="AX343" s="59">
        <v>11</v>
      </c>
      <c r="AY343" s="59">
        <v>10</v>
      </c>
      <c r="AZ343" s="59">
        <v>2</v>
      </c>
      <c r="BA343" s="59">
        <v>9</v>
      </c>
      <c r="BB343" s="57">
        <f t="shared" si="113"/>
        <v>34530</v>
      </c>
    </row>
    <row r="344" spans="1:54" x14ac:dyDescent="0.25">
      <c r="A344" s="58">
        <v>31</v>
      </c>
      <c r="B344" s="59">
        <v>0</v>
      </c>
      <c r="C344" s="59">
        <v>1</v>
      </c>
      <c r="D344" s="59">
        <f t="shared" si="95"/>
        <v>1</v>
      </c>
      <c r="E344" s="59">
        <f t="shared" si="96"/>
        <v>0</v>
      </c>
      <c r="F344" s="59">
        <v>1232</v>
      </c>
      <c r="G344" s="59">
        <v>2</v>
      </c>
      <c r="H344" s="59">
        <f t="shared" si="97"/>
        <v>0</v>
      </c>
      <c r="I344" s="59">
        <f t="shared" si="98"/>
        <v>1</v>
      </c>
      <c r="J344" s="59">
        <v>7</v>
      </c>
      <c r="K344" s="59">
        <v>4</v>
      </c>
      <c r="L344" s="59">
        <v>3</v>
      </c>
      <c r="M344" s="59">
        <f t="shared" si="99"/>
        <v>0</v>
      </c>
      <c r="N344" s="59">
        <f t="shared" si="100"/>
        <v>0</v>
      </c>
      <c r="O344" s="59">
        <f t="shared" si="101"/>
        <v>1</v>
      </c>
      <c r="P344" s="59">
        <f t="shared" si="102"/>
        <v>0</v>
      </c>
      <c r="Q344" s="59">
        <f t="shared" si="103"/>
        <v>0</v>
      </c>
      <c r="R344" s="59">
        <v>1</v>
      </c>
      <c r="S344" s="59">
        <v>462</v>
      </c>
      <c r="T344" s="59">
        <v>3</v>
      </c>
      <c r="U344" s="59">
        <v>0</v>
      </c>
      <c r="V344" s="59">
        <v>39</v>
      </c>
      <c r="W344" s="59">
        <v>3</v>
      </c>
      <c r="X344" s="59">
        <v>3</v>
      </c>
      <c r="Y344" s="59">
        <v>4</v>
      </c>
      <c r="Z344" s="59">
        <f t="shared" si="104"/>
        <v>0</v>
      </c>
      <c r="AA344" s="59">
        <f>IF('Updated Dummy'!Y344=2,1,0)</f>
        <v>0</v>
      </c>
      <c r="AB344" s="59">
        <f t="shared" si="105"/>
        <v>0</v>
      </c>
      <c r="AC344" s="59">
        <f t="shared" si="106"/>
        <v>1</v>
      </c>
      <c r="AD344" s="59">
        <f t="shared" si="107"/>
        <v>0</v>
      </c>
      <c r="AE344" s="59">
        <f t="shared" si="108"/>
        <v>0</v>
      </c>
      <c r="AF344" s="59">
        <f t="shared" si="109"/>
        <v>0</v>
      </c>
      <c r="AG344" s="59">
        <f t="shared" si="110"/>
        <v>0</v>
      </c>
      <c r="AH344" s="59">
        <v>4</v>
      </c>
      <c r="AI344" s="59">
        <v>1</v>
      </c>
      <c r="AJ344" s="59">
        <f t="shared" si="111"/>
        <v>1</v>
      </c>
      <c r="AK344" s="59">
        <f t="shared" si="112"/>
        <v>0</v>
      </c>
      <c r="AL344" s="59">
        <v>7143</v>
      </c>
      <c r="AM344" s="59">
        <v>25713</v>
      </c>
      <c r="AN344" s="59">
        <v>1</v>
      </c>
      <c r="AO344" s="59">
        <v>1</v>
      </c>
      <c r="AP344" s="59">
        <v>14</v>
      </c>
      <c r="AQ344" s="59">
        <v>3</v>
      </c>
      <c r="AR344" s="59">
        <v>3</v>
      </c>
      <c r="AS344" s="59">
        <v>80</v>
      </c>
      <c r="AT344" s="59">
        <v>0</v>
      </c>
      <c r="AU344" s="59">
        <v>11</v>
      </c>
      <c r="AV344" s="59">
        <v>2</v>
      </c>
      <c r="AW344" s="59">
        <v>2</v>
      </c>
      <c r="AX344" s="59">
        <v>11</v>
      </c>
      <c r="AY344" s="59">
        <v>9</v>
      </c>
      <c r="AZ344" s="59">
        <v>4</v>
      </c>
      <c r="BA344" s="59">
        <v>10</v>
      </c>
      <c r="BB344" s="57">
        <f t="shared" si="113"/>
        <v>21429</v>
      </c>
    </row>
    <row r="345" spans="1:54" x14ac:dyDescent="0.25">
      <c r="A345" s="58">
        <v>29</v>
      </c>
      <c r="B345" s="59">
        <v>0</v>
      </c>
      <c r="C345" s="59">
        <v>1</v>
      </c>
      <c r="D345" s="59">
        <f t="shared" si="95"/>
        <v>1</v>
      </c>
      <c r="E345" s="59">
        <f t="shared" si="96"/>
        <v>0</v>
      </c>
      <c r="F345" s="59">
        <v>144</v>
      </c>
      <c r="G345" s="59">
        <v>1</v>
      </c>
      <c r="H345" s="59">
        <f t="shared" si="97"/>
        <v>1</v>
      </c>
      <c r="I345" s="59">
        <f t="shared" si="98"/>
        <v>0</v>
      </c>
      <c r="J345" s="59">
        <v>10</v>
      </c>
      <c r="K345" s="59">
        <v>1</v>
      </c>
      <c r="L345" s="59">
        <v>4</v>
      </c>
      <c r="M345" s="59">
        <f t="shared" si="99"/>
        <v>0</v>
      </c>
      <c r="N345" s="59">
        <f t="shared" si="100"/>
        <v>0</v>
      </c>
      <c r="O345" s="59">
        <f t="shared" si="101"/>
        <v>0</v>
      </c>
      <c r="P345" s="59">
        <f t="shared" si="102"/>
        <v>1</v>
      </c>
      <c r="Q345" s="59">
        <f t="shared" si="103"/>
        <v>0</v>
      </c>
      <c r="R345" s="59">
        <v>1</v>
      </c>
      <c r="S345" s="59">
        <v>463</v>
      </c>
      <c r="T345" s="59">
        <v>4</v>
      </c>
      <c r="U345" s="59">
        <v>0</v>
      </c>
      <c r="V345" s="59">
        <v>39</v>
      </c>
      <c r="W345" s="59">
        <v>2</v>
      </c>
      <c r="X345" s="59">
        <v>2</v>
      </c>
      <c r="Y345" s="59">
        <v>1</v>
      </c>
      <c r="Z345" s="59">
        <f t="shared" si="104"/>
        <v>1</v>
      </c>
      <c r="AA345" s="59">
        <f>IF('Updated Dummy'!Y345=2,1,0)</f>
        <v>0</v>
      </c>
      <c r="AB345" s="59">
        <f t="shared" si="105"/>
        <v>0</v>
      </c>
      <c r="AC345" s="59">
        <f t="shared" si="106"/>
        <v>0</v>
      </c>
      <c r="AD345" s="59">
        <f t="shared" si="107"/>
        <v>0</v>
      </c>
      <c r="AE345" s="59">
        <f t="shared" si="108"/>
        <v>0</v>
      </c>
      <c r="AF345" s="59">
        <f t="shared" si="109"/>
        <v>0</v>
      </c>
      <c r="AG345" s="59">
        <f t="shared" si="110"/>
        <v>0</v>
      </c>
      <c r="AH345" s="59">
        <v>2</v>
      </c>
      <c r="AI345" s="59">
        <v>3</v>
      </c>
      <c r="AJ345" s="59">
        <f t="shared" si="111"/>
        <v>0</v>
      </c>
      <c r="AK345" s="59">
        <f t="shared" si="112"/>
        <v>0</v>
      </c>
      <c r="AL345" s="59">
        <v>8268</v>
      </c>
      <c r="AM345" s="59">
        <v>11866</v>
      </c>
      <c r="AN345" s="59">
        <v>1</v>
      </c>
      <c r="AO345" s="59">
        <v>1</v>
      </c>
      <c r="AP345" s="59">
        <v>14</v>
      </c>
      <c r="AQ345" s="59">
        <v>3</v>
      </c>
      <c r="AR345" s="59">
        <v>1</v>
      </c>
      <c r="AS345" s="59">
        <v>80</v>
      </c>
      <c r="AT345" s="59">
        <v>2</v>
      </c>
      <c r="AU345" s="59">
        <v>7</v>
      </c>
      <c r="AV345" s="59">
        <v>2</v>
      </c>
      <c r="AW345" s="59">
        <v>3</v>
      </c>
      <c r="AX345" s="59">
        <v>7</v>
      </c>
      <c r="AY345" s="59">
        <v>7</v>
      </c>
      <c r="AZ345" s="59">
        <v>1</v>
      </c>
      <c r="BA345" s="59">
        <v>7</v>
      </c>
      <c r="BB345" s="57">
        <f t="shared" si="113"/>
        <v>16536</v>
      </c>
    </row>
    <row r="346" spans="1:54" x14ac:dyDescent="0.25">
      <c r="A346" s="58">
        <v>35</v>
      </c>
      <c r="B346" s="59">
        <v>0</v>
      </c>
      <c r="C346" s="59">
        <v>1</v>
      </c>
      <c r="D346" s="59">
        <f t="shared" si="95"/>
        <v>1</v>
      </c>
      <c r="E346" s="59">
        <f t="shared" si="96"/>
        <v>0</v>
      </c>
      <c r="F346" s="59">
        <v>1296</v>
      </c>
      <c r="G346" s="59">
        <v>2</v>
      </c>
      <c r="H346" s="59">
        <f t="shared" si="97"/>
        <v>0</v>
      </c>
      <c r="I346" s="59">
        <f t="shared" si="98"/>
        <v>1</v>
      </c>
      <c r="J346" s="59">
        <v>5</v>
      </c>
      <c r="K346" s="59">
        <v>4</v>
      </c>
      <c r="L346" s="59">
        <v>5</v>
      </c>
      <c r="M346" s="59">
        <f t="shared" si="99"/>
        <v>0</v>
      </c>
      <c r="N346" s="59">
        <f t="shared" si="100"/>
        <v>0</v>
      </c>
      <c r="O346" s="59">
        <f t="shared" si="101"/>
        <v>0</v>
      </c>
      <c r="P346" s="59">
        <f t="shared" si="102"/>
        <v>0</v>
      </c>
      <c r="Q346" s="59">
        <f t="shared" si="103"/>
        <v>1</v>
      </c>
      <c r="R346" s="59">
        <v>1</v>
      </c>
      <c r="S346" s="59">
        <v>464</v>
      </c>
      <c r="T346" s="59">
        <v>3</v>
      </c>
      <c r="U346" s="59">
        <v>1</v>
      </c>
      <c r="V346" s="59">
        <v>62</v>
      </c>
      <c r="W346" s="59">
        <v>3</v>
      </c>
      <c r="X346" s="59">
        <v>3</v>
      </c>
      <c r="Y346" s="59">
        <v>4</v>
      </c>
      <c r="Z346" s="59">
        <f t="shared" si="104"/>
        <v>0</v>
      </c>
      <c r="AA346" s="59">
        <f>IF('Updated Dummy'!Y346=2,1,0)</f>
        <v>0</v>
      </c>
      <c r="AB346" s="59">
        <f t="shared" si="105"/>
        <v>0</v>
      </c>
      <c r="AC346" s="59">
        <f t="shared" si="106"/>
        <v>1</v>
      </c>
      <c r="AD346" s="59">
        <f t="shared" si="107"/>
        <v>0</v>
      </c>
      <c r="AE346" s="59">
        <f t="shared" si="108"/>
        <v>0</v>
      </c>
      <c r="AF346" s="59">
        <f t="shared" si="109"/>
        <v>0</v>
      </c>
      <c r="AG346" s="59">
        <f t="shared" si="110"/>
        <v>0</v>
      </c>
      <c r="AH346" s="59">
        <v>2</v>
      </c>
      <c r="AI346" s="59">
        <v>1</v>
      </c>
      <c r="AJ346" s="59">
        <f t="shared" si="111"/>
        <v>1</v>
      </c>
      <c r="AK346" s="59">
        <f t="shared" si="112"/>
        <v>0</v>
      </c>
      <c r="AL346" s="59">
        <v>8095</v>
      </c>
      <c r="AM346" s="59">
        <v>18264</v>
      </c>
      <c r="AN346" s="59">
        <v>0</v>
      </c>
      <c r="AO346" s="59">
        <v>0</v>
      </c>
      <c r="AP346" s="59">
        <v>13</v>
      </c>
      <c r="AQ346" s="59">
        <v>3</v>
      </c>
      <c r="AR346" s="59">
        <v>4</v>
      </c>
      <c r="AS346" s="59">
        <v>80</v>
      </c>
      <c r="AT346" s="59">
        <v>0</v>
      </c>
      <c r="AU346" s="59">
        <v>17</v>
      </c>
      <c r="AV346" s="59">
        <v>5</v>
      </c>
      <c r="AW346" s="59">
        <v>3</v>
      </c>
      <c r="AX346" s="59">
        <v>16</v>
      </c>
      <c r="AY346" s="59">
        <v>6</v>
      </c>
      <c r="AZ346" s="59">
        <v>0</v>
      </c>
      <c r="BA346" s="59">
        <v>13</v>
      </c>
      <c r="BB346" s="57">
        <f t="shared" si="113"/>
        <v>24285</v>
      </c>
    </row>
    <row r="347" spans="1:54" x14ac:dyDescent="0.25">
      <c r="A347" s="58">
        <v>23</v>
      </c>
      <c r="B347" s="59">
        <v>0</v>
      </c>
      <c r="C347" s="59">
        <v>1</v>
      </c>
      <c r="D347" s="59">
        <f t="shared" si="95"/>
        <v>1</v>
      </c>
      <c r="E347" s="59">
        <f t="shared" si="96"/>
        <v>0</v>
      </c>
      <c r="F347" s="59">
        <v>1309</v>
      </c>
      <c r="G347" s="59">
        <v>2</v>
      </c>
      <c r="H347" s="59">
        <f t="shared" si="97"/>
        <v>0</v>
      </c>
      <c r="I347" s="59">
        <f t="shared" si="98"/>
        <v>1</v>
      </c>
      <c r="J347" s="59">
        <v>26</v>
      </c>
      <c r="K347" s="59">
        <v>1</v>
      </c>
      <c r="L347" s="59">
        <v>1</v>
      </c>
      <c r="M347" s="59">
        <f t="shared" si="99"/>
        <v>1</v>
      </c>
      <c r="N347" s="59">
        <f t="shared" si="100"/>
        <v>0</v>
      </c>
      <c r="O347" s="59">
        <f t="shared" si="101"/>
        <v>0</v>
      </c>
      <c r="P347" s="59">
        <f t="shared" si="102"/>
        <v>0</v>
      </c>
      <c r="Q347" s="59">
        <f t="shared" si="103"/>
        <v>0</v>
      </c>
      <c r="R347" s="59">
        <v>1</v>
      </c>
      <c r="S347" s="59">
        <v>465</v>
      </c>
      <c r="T347" s="59">
        <v>3</v>
      </c>
      <c r="U347" s="59">
        <v>1</v>
      </c>
      <c r="V347" s="59">
        <v>83</v>
      </c>
      <c r="W347" s="59">
        <v>3</v>
      </c>
      <c r="X347" s="59">
        <v>1</v>
      </c>
      <c r="Y347" s="59">
        <v>2</v>
      </c>
      <c r="Z347" s="59">
        <f t="shared" si="104"/>
        <v>0</v>
      </c>
      <c r="AA347" s="59">
        <f>IF('Updated Dummy'!Y347=2,1,0)</f>
        <v>1</v>
      </c>
      <c r="AB347" s="59">
        <f t="shared" si="105"/>
        <v>0</v>
      </c>
      <c r="AC347" s="59">
        <f t="shared" si="106"/>
        <v>0</v>
      </c>
      <c r="AD347" s="59">
        <f t="shared" si="107"/>
        <v>0</v>
      </c>
      <c r="AE347" s="59">
        <f t="shared" si="108"/>
        <v>0</v>
      </c>
      <c r="AF347" s="59">
        <f t="shared" si="109"/>
        <v>0</v>
      </c>
      <c r="AG347" s="59">
        <f t="shared" si="110"/>
        <v>0</v>
      </c>
      <c r="AH347" s="59">
        <v>4</v>
      </c>
      <c r="AI347" s="59">
        <v>3</v>
      </c>
      <c r="AJ347" s="59">
        <f t="shared" si="111"/>
        <v>0</v>
      </c>
      <c r="AK347" s="59">
        <f t="shared" si="112"/>
        <v>0</v>
      </c>
      <c r="AL347" s="59">
        <v>2904</v>
      </c>
      <c r="AM347" s="59">
        <v>16092</v>
      </c>
      <c r="AN347" s="59">
        <v>1</v>
      </c>
      <c r="AO347" s="59">
        <v>0</v>
      </c>
      <c r="AP347" s="59">
        <v>12</v>
      </c>
      <c r="AQ347" s="59">
        <v>3</v>
      </c>
      <c r="AR347" s="59">
        <v>3</v>
      </c>
      <c r="AS347" s="59">
        <v>80</v>
      </c>
      <c r="AT347" s="59">
        <v>2</v>
      </c>
      <c r="AU347" s="59">
        <v>4</v>
      </c>
      <c r="AV347" s="59">
        <v>2</v>
      </c>
      <c r="AW347" s="59">
        <v>2</v>
      </c>
      <c r="AX347" s="59">
        <v>4</v>
      </c>
      <c r="AY347" s="59">
        <v>2</v>
      </c>
      <c r="AZ347" s="59">
        <v>0</v>
      </c>
      <c r="BA347" s="59">
        <v>2</v>
      </c>
      <c r="BB347" s="57">
        <f t="shared" si="113"/>
        <v>2904</v>
      </c>
    </row>
    <row r="348" spans="1:54" x14ac:dyDescent="0.25">
      <c r="A348" s="58">
        <v>41</v>
      </c>
      <c r="B348" s="59">
        <v>0</v>
      </c>
      <c r="C348" s="59">
        <v>1</v>
      </c>
      <c r="D348" s="59">
        <f t="shared" si="95"/>
        <v>1</v>
      </c>
      <c r="E348" s="59">
        <f t="shared" si="96"/>
        <v>0</v>
      </c>
      <c r="F348" s="59">
        <v>483</v>
      </c>
      <c r="G348" s="59">
        <v>2</v>
      </c>
      <c r="H348" s="59">
        <f t="shared" si="97"/>
        <v>0</v>
      </c>
      <c r="I348" s="59">
        <f t="shared" si="98"/>
        <v>1</v>
      </c>
      <c r="J348" s="59">
        <v>6</v>
      </c>
      <c r="K348" s="59">
        <v>3</v>
      </c>
      <c r="L348" s="59">
        <v>3</v>
      </c>
      <c r="M348" s="59">
        <f t="shared" si="99"/>
        <v>0</v>
      </c>
      <c r="N348" s="59">
        <f t="shared" si="100"/>
        <v>0</v>
      </c>
      <c r="O348" s="59">
        <f t="shared" si="101"/>
        <v>1</v>
      </c>
      <c r="P348" s="59">
        <f t="shared" si="102"/>
        <v>0</v>
      </c>
      <c r="Q348" s="59">
        <f t="shared" si="103"/>
        <v>0</v>
      </c>
      <c r="R348" s="59">
        <v>1</v>
      </c>
      <c r="S348" s="59">
        <v>466</v>
      </c>
      <c r="T348" s="59">
        <v>4</v>
      </c>
      <c r="U348" s="59">
        <v>1</v>
      </c>
      <c r="V348" s="59">
        <v>95</v>
      </c>
      <c r="W348" s="59">
        <v>2</v>
      </c>
      <c r="X348" s="59">
        <v>2</v>
      </c>
      <c r="Y348" s="59">
        <v>4</v>
      </c>
      <c r="Z348" s="59">
        <f t="shared" si="104"/>
        <v>0</v>
      </c>
      <c r="AA348" s="59">
        <f>IF('Updated Dummy'!Y348=2,1,0)</f>
        <v>0</v>
      </c>
      <c r="AB348" s="59">
        <f t="shared" si="105"/>
        <v>0</v>
      </c>
      <c r="AC348" s="59">
        <f t="shared" si="106"/>
        <v>1</v>
      </c>
      <c r="AD348" s="59">
        <f t="shared" si="107"/>
        <v>0</v>
      </c>
      <c r="AE348" s="59">
        <f t="shared" si="108"/>
        <v>0</v>
      </c>
      <c r="AF348" s="59">
        <f t="shared" si="109"/>
        <v>0</v>
      </c>
      <c r="AG348" s="59">
        <f t="shared" si="110"/>
        <v>0</v>
      </c>
      <c r="AH348" s="59">
        <v>2</v>
      </c>
      <c r="AI348" s="59">
        <v>1</v>
      </c>
      <c r="AJ348" s="59">
        <f t="shared" si="111"/>
        <v>1</v>
      </c>
      <c r="AK348" s="59">
        <f t="shared" si="112"/>
        <v>0</v>
      </c>
      <c r="AL348" s="59">
        <v>6032</v>
      </c>
      <c r="AM348" s="59">
        <v>10110</v>
      </c>
      <c r="AN348" s="59">
        <v>6</v>
      </c>
      <c r="AO348" s="59">
        <v>1</v>
      </c>
      <c r="AP348" s="59">
        <v>15</v>
      </c>
      <c r="AQ348" s="59">
        <v>3</v>
      </c>
      <c r="AR348" s="59">
        <v>4</v>
      </c>
      <c r="AS348" s="59">
        <v>80</v>
      </c>
      <c r="AT348" s="59">
        <v>0</v>
      </c>
      <c r="AU348" s="59">
        <v>8</v>
      </c>
      <c r="AV348" s="59">
        <v>3</v>
      </c>
      <c r="AW348" s="59">
        <v>3</v>
      </c>
      <c r="AX348" s="59">
        <v>5</v>
      </c>
      <c r="AY348" s="59">
        <v>4</v>
      </c>
      <c r="AZ348" s="59">
        <v>1</v>
      </c>
      <c r="BA348" s="59">
        <v>2</v>
      </c>
      <c r="BB348" s="57">
        <f t="shared" si="113"/>
        <v>12064</v>
      </c>
    </row>
    <row r="349" spans="1:54" x14ac:dyDescent="0.25">
      <c r="A349" s="58">
        <v>47</v>
      </c>
      <c r="B349" s="59">
        <v>0</v>
      </c>
      <c r="C349" s="59">
        <v>2</v>
      </c>
      <c r="D349" s="59">
        <f t="shared" si="95"/>
        <v>0</v>
      </c>
      <c r="E349" s="59">
        <f t="shared" si="96"/>
        <v>1</v>
      </c>
      <c r="F349" s="59">
        <v>1309</v>
      </c>
      <c r="G349" s="59">
        <v>1</v>
      </c>
      <c r="H349" s="59">
        <f t="shared" si="97"/>
        <v>1</v>
      </c>
      <c r="I349" s="59">
        <f t="shared" si="98"/>
        <v>0</v>
      </c>
      <c r="J349" s="59">
        <v>4</v>
      </c>
      <c r="K349" s="59">
        <v>1</v>
      </c>
      <c r="L349" s="59">
        <v>3</v>
      </c>
      <c r="M349" s="59">
        <f t="shared" si="99"/>
        <v>0</v>
      </c>
      <c r="N349" s="59">
        <f t="shared" si="100"/>
        <v>0</v>
      </c>
      <c r="O349" s="59">
        <f t="shared" si="101"/>
        <v>1</v>
      </c>
      <c r="P349" s="59">
        <f t="shared" si="102"/>
        <v>0</v>
      </c>
      <c r="Q349" s="59">
        <f t="shared" si="103"/>
        <v>0</v>
      </c>
      <c r="R349" s="59">
        <v>1</v>
      </c>
      <c r="S349" s="59">
        <v>467</v>
      </c>
      <c r="T349" s="59">
        <v>2</v>
      </c>
      <c r="U349" s="59">
        <v>1</v>
      </c>
      <c r="V349" s="59">
        <v>99</v>
      </c>
      <c r="W349" s="59">
        <v>3</v>
      </c>
      <c r="X349" s="59">
        <v>2</v>
      </c>
      <c r="Y349" s="59">
        <v>7</v>
      </c>
      <c r="Z349" s="59">
        <f t="shared" si="104"/>
        <v>0</v>
      </c>
      <c r="AA349" s="59">
        <f>IF('Updated Dummy'!Y349=2,1,0)</f>
        <v>0</v>
      </c>
      <c r="AB349" s="59">
        <f t="shared" si="105"/>
        <v>0</v>
      </c>
      <c r="AC349" s="59">
        <f t="shared" si="106"/>
        <v>0</v>
      </c>
      <c r="AD349" s="59">
        <f t="shared" si="107"/>
        <v>0</v>
      </c>
      <c r="AE349" s="59">
        <f t="shared" si="108"/>
        <v>0</v>
      </c>
      <c r="AF349" s="59">
        <f t="shared" si="109"/>
        <v>1</v>
      </c>
      <c r="AG349" s="59">
        <f t="shared" si="110"/>
        <v>0</v>
      </c>
      <c r="AH349" s="59">
        <v>3</v>
      </c>
      <c r="AI349" s="59">
        <v>1</v>
      </c>
      <c r="AJ349" s="59">
        <f t="shared" si="111"/>
        <v>1</v>
      </c>
      <c r="AK349" s="59">
        <f t="shared" si="112"/>
        <v>0</v>
      </c>
      <c r="AL349" s="59">
        <v>2976</v>
      </c>
      <c r="AM349" s="59">
        <v>25751</v>
      </c>
      <c r="AN349" s="59">
        <v>3</v>
      </c>
      <c r="AO349" s="59">
        <v>0</v>
      </c>
      <c r="AP349" s="59">
        <v>19</v>
      </c>
      <c r="AQ349" s="59">
        <v>3</v>
      </c>
      <c r="AR349" s="59">
        <v>1</v>
      </c>
      <c r="AS349" s="59">
        <v>80</v>
      </c>
      <c r="AT349" s="59">
        <v>0</v>
      </c>
      <c r="AU349" s="59">
        <v>5</v>
      </c>
      <c r="AV349" s="59">
        <v>3</v>
      </c>
      <c r="AW349" s="59">
        <v>3</v>
      </c>
      <c r="AX349" s="59">
        <v>0</v>
      </c>
      <c r="AY349" s="59">
        <v>0</v>
      </c>
      <c r="AZ349" s="59">
        <v>0</v>
      </c>
      <c r="BA349" s="59">
        <v>0</v>
      </c>
      <c r="BB349" s="57">
        <f t="shared" si="113"/>
        <v>5952</v>
      </c>
    </row>
    <row r="350" spans="1:54" x14ac:dyDescent="0.25">
      <c r="A350" s="58">
        <v>42</v>
      </c>
      <c r="B350" s="59">
        <v>0</v>
      </c>
      <c r="C350" s="59">
        <v>1</v>
      </c>
      <c r="D350" s="59">
        <f t="shared" si="95"/>
        <v>1</v>
      </c>
      <c r="E350" s="59">
        <f t="shared" si="96"/>
        <v>0</v>
      </c>
      <c r="F350" s="59">
        <v>810</v>
      </c>
      <c r="G350" s="59">
        <v>2</v>
      </c>
      <c r="H350" s="59">
        <f t="shared" si="97"/>
        <v>0</v>
      </c>
      <c r="I350" s="59">
        <f t="shared" si="98"/>
        <v>1</v>
      </c>
      <c r="J350" s="59">
        <v>23</v>
      </c>
      <c r="K350" s="59">
        <v>5</v>
      </c>
      <c r="L350" s="59">
        <v>1</v>
      </c>
      <c r="M350" s="59">
        <f t="shared" si="99"/>
        <v>1</v>
      </c>
      <c r="N350" s="59">
        <f t="shared" si="100"/>
        <v>0</v>
      </c>
      <c r="O350" s="59">
        <f t="shared" si="101"/>
        <v>0</v>
      </c>
      <c r="P350" s="59">
        <f t="shared" si="102"/>
        <v>0</v>
      </c>
      <c r="Q350" s="59">
        <f t="shared" si="103"/>
        <v>0</v>
      </c>
      <c r="R350" s="59">
        <v>1</v>
      </c>
      <c r="S350" s="59">
        <v>468</v>
      </c>
      <c r="T350" s="59">
        <v>1</v>
      </c>
      <c r="U350" s="59">
        <v>0</v>
      </c>
      <c r="V350" s="59">
        <v>44</v>
      </c>
      <c r="W350" s="59">
        <v>3</v>
      </c>
      <c r="X350" s="59">
        <v>4</v>
      </c>
      <c r="Y350" s="59">
        <v>8</v>
      </c>
      <c r="Z350" s="59">
        <f t="shared" si="104"/>
        <v>0</v>
      </c>
      <c r="AA350" s="59">
        <f>IF('Updated Dummy'!Y350=2,1,0)</f>
        <v>0</v>
      </c>
      <c r="AB350" s="59">
        <f t="shared" si="105"/>
        <v>0</v>
      </c>
      <c r="AC350" s="59">
        <f t="shared" si="106"/>
        <v>0</v>
      </c>
      <c r="AD350" s="59">
        <f t="shared" si="107"/>
        <v>0</v>
      </c>
      <c r="AE350" s="59">
        <f t="shared" si="108"/>
        <v>0</v>
      </c>
      <c r="AF350" s="59">
        <f t="shared" si="109"/>
        <v>0</v>
      </c>
      <c r="AG350" s="59">
        <f t="shared" si="110"/>
        <v>1</v>
      </c>
      <c r="AH350" s="59">
        <v>4</v>
      </c>
      <c r="AI350" s="59">
        <v>1</v>
      </c>
      <c r="AJ350" s="59">
        <f t="shared" si="111"/>
        <v>1</v>
      </c>
      <c r="AK350" s="59">
        <f t="shared" si="112"/>
        <v>0</v>
      </c>
      <c r="AL350" s="59">
        <v>15992</v>
      </c>
      <c r="AM350" s="59">
        <v>15901</v>
      </c>
      <c r="AN350" s="59">
        <v>2</v>
      </c>
      <c r="AO350" s="59">
        <v>0</v>
      </c>
      <c r="AP350" s="59">
        <v>14</v>
      </c>
      <c r="AQ350" s="59">
        <v>3</v>
      </c>
      <c r="AR350" s="59">
        <v>2</v>
      </c>
      <c r="AS350" s="59">
        <v>80</v>
      </c>
      <c r="AT350" s="59">
        <v>0</v>
      </c>
      <c r="AU350" s="59">
        <v>16</v>
      </c>
      <c r="AV350" s="59">
        <v>2</v>
      </c>
      <c r="AW350" s="59">
        <v>3</v>
      </c>
      <c r="AX350" s="59">
        <v>1</v>
      </c>
      <c r="AY350" s="59">
        <v>0</v>
      </c>
      <c r="AZ350" s="59">
        <v>0</v>
      </c>
      <c r="BA350" s="59">
        <v>0</v>
      </c>
      <c r="BB350" s="57">
        <f t="shared" si="113"/>
        <v>63968</v>
      </c>
    </row>
    <row r="351" spans="1:54" x14ac:dyDescent="0.25">
      <c r="A351" s="58">
        <v>29</v>
      </c>
      <c r="B351" s="59">
        <v>0</v>
      </c>
      <c r="C351" s="59">
        <v>3</v>
      </c>
      <c r="D351" s="59">
        <f t="shared" si="95"/>
        <v>0</v>
      </c>
      <c r="E351" s="59">
        <f t="shared" si="96"/>
        <v>0</v>
      </c>
      <c r="F351" s="59">
        <v>746</v>
      </c>
      <c r="G351" s="59">
        <v>1</v>
      </c>
      <c r="H351" s="59">
        <f t="shared" si="97"/>
        <v>1</v>
      </c>
      <c r="I351" s="59">
        <f t="shared" si="98"/>
        <v>0</v>
      </c>
      <c r="J351" s="59">
        <v>2</v>
      </c>
      <c r="K351" s="59">
        <v>3</v>
      </c>
      <c r="L351" s="59">
        <v>1</v>
      </c>
      <c r="M351" s="59">
        <f t="shared" si="99"/>
        <v>1</v>
      </c>
      <c r="N351" s="59">
        <f t="shared" si="100"/>
        <v>0</v>
      </c>
      <c r="O351" s="59">
        <f t="shared" si="101"/>
        <v>0</v>
      </c>
      <c r="P351" s="59">
        <f t="shared" si="102"/>
        <v>0</v>
      </c>
      <c r="Q351" s="59">
        <f t="shared" si="103"/>
        <v>0</v>
      </c>
      <c r="R351" s="59">
        <v>1</v>
      </c>
      <c r="S351" s="59">
        <v>469</v>
      </c>
      <c r="T351" s="59">
        <v>4</v>
      </c>
      <c r="U351" s="59">
        <v>1</v>
      </c>
      <c r="V351" s="59">
        <v>61</v>
      </c>
      <c r="W351" s="59">
        <v>3</v>
      </c>
      <c r="X351" s="59">
        <v>2</v>
      </c>
      <c r="Y351" s="59">
        <v>1</v>
      </c>
      <c r="Z351" s="59">
        <f t="shared" si="104"/>
        <v>1</v>
      </c>
      <c r="AA351" s="59">
        <f>IF('Updated Dummy'!Y351=2,1,0)</f>
        <v>0</v>
      </c>
      <c r="AB351" s="59">
        <f t="shared" si="105"/>
        <v>0</v>
      </c>
      <c r="AC351" s="59">
        <f t="shared" si="106"/>
        <v>0</v>
      </c>
      <c r="AD351" s="59">
        <f t="shared" si="107"/>
        <v>0</v>
      </c>
      <c r="AE351" s="59">
        <f t="shared" si="108"/>
        <v>0</v>
      </c>
      <c r="AF351" s="59">
        <f t="shared" si="109"/>
        <v>0</v>
      </c>
      <c r="AG351" s="59">
        <f t="shared" si="110"/>
        <v>0</v>
      </c>
      <c r="AH351" s="59">
        <v>3</v>
      </c>
      <c r="AI351" s="59">
        <v>2</v>
      </c>
      <c r="AJ351" s="59">
        <f t="shared" si="111"/>
        <v>0</v>
      </c>
      <c r="AK351" s="59">
        <f t="shared" si="112"/>
        <v>1</v>
      </c>
      <c r="AL351" s="59">
        <v>4649</v>
      </c>
      <c r="AM351" s="59">
        <v>16928</v>
      </c>
      <c r="AN351" s="59">
        <v>1</v>
      </c>
      <c r="AO351" s="59">
        <v>0</v>
      </c>
      <c r="AP351" s="59">
        <v>14</v>
      </c>
      <c r="AQ351" s="59">
        <v>3</v>
      </c>
      <c r="AR351" s="59">
        <v>1</v>
      </c>
      <c r="AS351" s="59">
        <v>80</v>
      </c>
      <c r="AT351" s="59">
        <v>1</v>
      </c>
      <c r="AU351" s="59">
        <v>4</v>
      </c>
      <c r="AV351" s="59">
        <v>3</v>
      </c>
      <c r="AW351" s="59">
        <v>2</v>
      </c>
      <c r="AX351" s="59">
        <v>4</v>
      </c>
      <c r="AY351" s="59">
        <v>3</v>
      </c>
      <c r="AZ351" s="59">
        <v>0</v>
      </c>
      <c r="BA351" s="59">
        <v>2</v>
      </c>
      <c r="BB351" s="57">
        <f t="shared" si="113"/>
        <v>9298</v>
      </c>
    </row>
    <row r="352" spans="1:54" x14ac:dyDescent="0.25">
      <c r="A352" s="58">
        <v>42</v>
      </c>
      <c r="B352" s="59">
        <v>0</v>
      </c>
      <c r="C352" s="59">
        <v>1</v>
      </c>
      <c r="D352" s="59">
        <f t="shared" si="95"/>
        <v>1</v>
      </c>
      <c r="E352" s="59">
        <f t="shared" si="96"/>
        <v>0</v>
      </c>
      <c r="F352" s="59">
        <v>544</v>
      </c>
      <c r="G352" s="59">
        <v>3</v>
      </c>
      <c r="H352" s="59">
        <f t="shared" si="97"/>
        <v>0</v>
      </c>
      <c r="I352" s="59">
        <f t="shared" si="98"/>
        <v>0</v>
      </c>
      <c r="J352" s="59">
        <v>2</v>
      </c>
      <c r="K352" s="59">
        <v>1</v>
      </c>
      <c r="L352" s="59">
        <v>5</v>
      </c>
      <c r="M352" s="59">
        <f t="shared" si="99"/>
        <v>0</v>
      </c>
      <c r="N352" s="59">
        <f t="shared" si="100"/>
        <v>0</v>
      </c>
      <c r="O352" s="59">
        <f t="shared" si="101"/>
        <v>0</v>
      </c>
      <c r="P352" s="59">
        <f t="shared" si="102"/>
        <v>0</v>
      </c>
      <c r="Q352" s="59">
        <f t="shared" si="103"/>
        <v>1</v>
      </c>
      <c r="R352" s="59">
        <v>1</v>
      </c>
      <c r="S352" s="59">
        <v>470</v>
      </c>
      <c r="T352" s="59">
        <v>3</v>
      </c>
      <c r="U352" s="59">
        <v>1</v>
      </c>
      <c r="V352" s="59">
        <v>52</v>
      </c>
      <c r="W352" s="59">
        <v>3</v>
      </c>
      <c r="X352" s="59">
        <v>1</v>
      </c>
      <c r="Y352" s="59">
        <v>9</v>
      </c>
      <c r="Z352" s="59">
        <f t="shared" si="104"/>
        <v>0</v>
      </c>
      <c r="AA352" s="59">
        <f>IF('Updated Dummy'!Y352=2,1,0)</f>
        <v>0</v>
      </c>
      <c r="AB352" s="59">
        <f t="shared" si="105"/>
        <v>0</v>
      </c>
      <c r="AC352" s="59">
        <f t="shared" si="106"/>
        <v>0</v>
      </c>
      <c r="AD352" s="59">
        <f t="shared" si="107"/>
        <v>0</v>
      </c>
      <c r="AE352" s="59">
        <f t="shared" si="108"/>
        <v>0</v>
      </c>
      <c r="AF352" s="59">
        <f t="shared" si="109"/>
        <v>0</v>
      </c>
      <c r="AG352" s="59">
        <f t="shared" si="110"/>
        <v>0</v>
      </c>
      <c r="AH352" s="59">
        <v>3</v>
      </c>
      <c r="AI352" s="59">
        <v>3</v>
      </c>
      <c r="AJ352" s="59">
        <f t="shared" si="111"/>
        <v>0</v>
      </c>
      <c r="AK352" s="59">
        <f t="shared" si="112"/>
        <v>0</v>
      </c>
      <c r="AL352" s="59">
        <v>2696</v>
      </c>
      <c r="AM352" s="59">
        <v>24017</v>
      </c>
      <c r="AN352" s="59">
        <v>0</v>
      </c>
      <c r="AO352" s="59">
        <v>1</v>
      </c>
      <c r="AP352" s="59">
        <v>11</v>
      </c>
      <c r="AQ352" s="59">
        <v>3</v>
      </c>
      <c r="AR352" s="59">
        <v>3</v>
      </c>
      <c r="AS352" s="59">
        <v>80</v>
      </c>
      <c r="AT352" s="59">
        <v>1</v>
      </c>
      <c r="AU352" s="59">
        <v>4</v>
      </c>
      <c r="AV352" s="59">
        <v>5</v>
      </c>
      <c r="AW352" s="59">
        <v>3</v>
      </c>
      <c r="AX352" s="59">
        <v>3</v>
      </c>
      <c r="AY352" s="59">
        <v>2</v>
      </c>
      <c r="AZ352" s="59">
        <v>1</v>
      </c>
      <c r="BA352" s="59">
        <v>0</v>
      </c>
      <c r="BB352" s="57">
        <f t="shared" si="113"/>
        <v>2696</v>
      </c>
    </row>
    <row r="353" spans="1:54" x14ac:dyDescent="0.25">
      <c r="A353" s="58">
        <v>32</v>
      </c>
      <c r="B353" s="59">
        <v>0</v>
      </c>
      <c r="C353" s="59">
        <v>1</v>
      </c>
      <c r="D353" s="59">
        <f t="shared" si="95"/>
        <v>1</v>
      </c>
      <c r="E353" s="59">
        <f t="shared" si="96"/>
        <v>0</v>
      </c>
      <c r="F353" s="59">
        <v>1062</v>
      </c>
      <c r="G353" s="59">
        <v>2</v>
      </c>
      <c r="H353" s="59">
        <f t="shared" si="97"/>
        <v>0</v>
      </c>
      <c r="I353" s="59">
        <f t="shared" si="98"/>
        <v>1</v>
      </c>
      <c r="J353" s="59">
        <v>2</v>
      </c>
      <c r="K353" s="59">
        <v>3</v>
      </c>
      <c r="L353" s="59">
        <v>3</v>
      </c>
      <c r="M353" s="59">
        <f t="shared" si="99"/>
        <v>0</v>
      </c>
      <c r="N353" s="59">
        <f t="shared" si="100"/>
        <v>0</v>
      </c>
      <c r="O353" s="59">
        <f t="shared" si="101"/>
        <v>1</v>
      </c>
      <c r="P353" s="59">
        <f t="shared" si="102"/>
        <v>0</v>
      </c>
      <c r="Q353" s="59">
        <f t="shared" si="103"/>
        <v>0</v>
      </c>
      <c r="R353" s="59">
        <v>1</v>
      </c>
      <c r="S353" s="59">
        <v>471</v>
      </c>
      <c r="T353" s="59">
        <v>3</v>
      </c>
      <c r="U353" s="59">
        <v>0</v>
      </c>
      <c r="V353" s="59">
        <v>75</v>
      </c>
      <c r="W353" s="59">
        <v>3</v>
      </c>
      <c r="X353" s="59">
        <v>1</v>
      </c>
      <c r="Y353" s="59">
        <v>3</v>
      </c>
      <c r="Z353" s="59">
        <f t="shared" si="104"/>
        <v>0</v>
      </c>
      <c r="AA353" s="59">
        <f>IF('Updated Dummy'!Y353=2,1,0)</f>
        <v>0</v>
      </c>
      <c r="AB353" s="59">
        <f t="shared" si="105"/>
        <v>1</v>
      </c>
      <c r="AC353" s="59">
        <f t="shared" si="106"/>
        <v>0</v>
      </c>
      <c r="AD353" s="59">
        <f t="shared" si="107"/>
        <v>0</v>
      </c>
      <c r="AE353" s="59">
        <f t="shared" si="108"/>
        <v>0</v>
      </c>
      <c r="AF353" s="59">
        <f t="shared" si="109"/>
        <v>0</v>
      </c>
      <c r="AG353" s="59">
        <f t="shared" si="110"/>
        <v>0</v>
      </c>
      <c r="AH353" s="59">
        <v>2</v>
      </c>
      <c r="AI353" s="59">
        <v>2</v>
      </c>
      <c r="AJ353" s="59">
        <f t="shared" si="111"/>
        <v>0</v>
      </c>
      <c r="AK353" s="59">
        <f t="shared" si="112"/>
        <v>1</v>
      </c>
      <c r="AL353" s="59">
        <v>2370</v>
      </c>
      <c r="AM353" s="59">
        <v>3956</v>
      </c>
      <c r="AN353" s="59">
        <v>1</v>
      </c>
      <c r="AO353" s="59">
        <v>0</v>
      </c>
      <c r="AP353" s="59">
        <v>13</v>
      </c>
      <c r="AQ353" s="59">
        <v>3</v>
      </c>
      <c r="AR353" s="59">
        <v>3</v>
      </c>
      <c r="AS353" s="59">
        <v>80</v>
      </c>
      <c r="AT353" s="59">
        <v>1</v>
      </c>
      <c r="AU353" s="59">
        <v>8</v>
      </c>
      <c r="AV353" s="59">
        <v>4</v>
      </c>
      <c r="AW353" s="59">
        <v>3</v>
      </c>
      <c r="AX353" s="59">
        <v>8</v>
      </c>
      <c r="AY353" s="59">
        <v>0</v>
      </c>
      <c r="AZ353" s="59">
        <v>0</v>
      </c>
      <c r="BA353" s="59">
        <v>7</v>
      </c>
      <c r="BB353" s="57">
        <f t="shared" si="113"/>
        <v>2370</v>
      </c>
    </row>
    <row r="354" spans="1:54" x14ac:dyDescent="0.25">
      <c r="A354" s="58">
        <v>48</v>
      </c>
      <c r="B354" s="59">
        <v>0</v>
      </c>
      <c r="C354" s="59">
        <v>1</v>
      </c>
      <c r="D354" s="59">
        <f t="shared" si="95"/>
        <v>1</v>
      </c>
      <c r="E354" s="59">
        <f t="shared" si="96"/>
        <v>0</v>
      </c>
      <c r="F354" s="59">
        <v>530</v>
      </c>
      <c r="G354" s="59">
        <v>1</v>
      </c>
      <c r="H354" s="59">
        <f t="shared" si="97"/>
        <v>1</v>
      </c>
      <c r="I354" s="59">
        <f t="shared" si="98"/>
        <v>0</v>
      </c>
      <c r="J354" s="59">
        <v>29</v>
      </c>
      <c r="K354" s="59">
        <v>1</v>
      </c>
      <c r="L354" s="59">
        <v>3</v>
      </c>
      <c r="M354" s="59">
        <f t="shared" si="99"/>
        <v>0</v>
      </c>
      <c r="N354" s="59">
        <f t="shared" si="100"/>
        <v>0</v>
      </c>
      <c r="O354" s="59">
        <f t="shared" si="101"/>
        <v>1</v>
      </c>
      <c r="P354" s="59">
        <f t="shared" si="102"/>
        <v>0</v>
      </c>
      <c r="Q354" s="59">
        <f t="shared" si="103"/>
        <v>0</v>
      </c>
      <c r="R354" s="59">
        <v>1</v>
      </c>
      <c r="S354" s="59">
        <v>473</v>
      </c>
      <c r="T354" s="59">
        <v>1</v>
      </c>
      <c r="U354" s="59">
        <v>0</v>
      </c>
      <c r="V354" s="59">
        <v>91</v>
      </c>
      <c r="W354" s="59">
        <v>3</v>
      </c>
      <c r="X354" s="59">
        <v>3</v>
      </c>
      <c r="Y354" s="59">
        <v>6</v>
      </c>
      <c r="Z354" s="59">
        <f t="shared" si="104"/>
        <v>0</v>
      </c>
      <c r="AA354" s="59">
        <f>IF('Updated Dummy'!Y354=2,1,0)</f>
        <v>0</v>
      </c>
      <c r="AB354" s="59">
        <f t="shared" si="105"/>
        <v>0</v>
      </c>
      <c r="AC354" s="59">
        <f t="shared" si="106"/>
        <v>0</v>
      </c>
      <c r="AD354" s="59">
        <f t="shared" si="107"/>
        <v>0</v>
      </c>
      <c r="AE354" s="59">
        <f t="shared" si="108"/>
        <v>1</v>
      </c>
      <c r="AF354" s="59">
        <f t="shared" si="109"/>
        <v>0</v>
      </c>
      <c r="AG354" s="59">
        <f t="shared" si="110"/>
        <v>0</v>
      </c>
      <c r="AH354" s="59">
        <v>3</v>
      </c>
      <c r="AI354" s="59">
        <v>2</v>
      </c>
      <c r="AJ354" s="59">
        <f t="shared" si="111"/>
        <v>0</v>
      </c>
      <c r="AK354" s="59">
        <f t="shared" si="112"/>
        <v>1</v>
      </c>
      <c r="AL354" s="59">
        <v>12504</v>
      </c>
      <c r="AM354" s="59">
        <v>23978</v>
      </c>
      <c r="AN354" s="59">
        <v>3</v>
      </c>
      <c r="AO354" s="59">
        <v>0</v>
      </c>
      <c r="AP354" s="59">
        <v>21</v>
      </c>
      <c r="AQ354" s="59">
        <v>4</v>
      </c>
      <c r="AR354" s="59">
        <v>2</v>
      </c>
      <c r="AS354" s="59">
        <v>80</v>
      </c>
      <c r="AT354" s="59">
        <v>1</v>
      </c>
      <c r="AU354" s="59">
        <v>15</v>
      </c>
      <c r="AV354" s="59">
        <v>3</v>
      </c>
      <c r="AW354" s="59">
        <v>1</v>
      </c>
      <c r="AX354" s="59">
        <v>0</v>
      </c>
      <c r="AY354" s="59">
        <v>0</v>
      </c>
      <c r="AZ354" s="59">
        <v>0</v>
      </c>
      <c r="BA354" s="59">
        <v>0</v>
      </c>
      <c r="BB354" s="57">
        <f t="shared" si="113"/>
        <v>37512</v>
      </c>
    </row>
    <row r="355" spans="1:54" x14ac:dyDescent="0.25">
      <c r="A355" s="58">
        <v>37</v>
      </c>
      <c r="B355" s="59">
        <v>0</v>
      </c>
      <c r="C355" s="59">
        <v>1</v>
      </c>
      <c r="D355" s="59">
        <f t="shared" si="95"/>
        <v>1</v>
      </c>
      <c r="E355" s="59">
        <f t="shared" si="96"/>
        <v>0</v>
      </c>
      <c r="F355" s="59">
        <v>1319</v>
      </c>
      <c r="G355" s="59">
        <v>2</v>
      </c>
      <c r="H355" s="59">
        <f t="shared" si="97"/>
        <v>0</v>
      </c>
      <c r="I355" s="59">
        <f t="shared" si="98"/>
        <v>1</v>
      </c>
      <c r="J355" s="59">
        <v>6</v>
      </c>
      <c r="K355" s="59">
        <v>3</v>
      </c>
      <c r="L355" s="59">
        <v>3</v>
      </c>
      <c r="M355" s="59">
        <f t="shared" si="99"/>
        <v>0</v>
      </c>
      <c r="N355" s="59">
        <f t="shared" si="100"/>
        <v>0</v>
      </c>
      <c r="O355" s="59">
        <f t="shared" si="101"/>
        <v>1</v>
      </c>
      <c r="P355" s="59">
        <f t="shared" si="102"/>
        <v>0</v>
      </c>
      <c r="Q355" s="59">
        <f t="shared" si="103"/>
        <v>0</v>
      </c>
      <c r="R355" s="59">
        <v>1</v>
      </c>
      <c r="S355" s="59">
        <v>474</v>
      </c>
      <c r="T355" s="59">
        <v>3</v>
      </c>
      <c r="U355" s="59">
        <v>1</v>
      </c>
      <c r="V355" s="59">
        <v>51</v>
      </c>
      <c r="W355" s="59">
        <v>4</v>
      </c>
      <c r="X355" s="59">
        <v>2</v>
      </c>
      <c r="Y355" s="59">
        <v>2</v>
      </c>
      <c r="Z355" s="59">
        <f t="shared" si="104"/>
        <v>0</v>
      </c>
      <c r="AA355" s="59">
        <f>IF('Updated Dummy'!Y355=2,1,0)</f>
        <v>1</v>
      </c>
      <c r="AB355" s="59">
        <f t="shared" si="105"/>
        <v>0</v>
      </c>
      <c r="AC355" s="59">
        <f t="shared" si="106"/>
        <v>0</v>
      </c>
      <c r="AD355" s="59">
        <f t="shared" si="107"/>
        <v>0</v>
      </c>
      <c r="AE355" s="59">
        <f t="shared" si="108"/>
        <v>0</v>
      </c>
      <c r="AF355" s="59">
        <f t="shared" si="109"/>
        <v>0</v>
      </c>
      <c r="AG355" s="59">
        <f t="shared" si="110"/>
        <v>0</v>
      </c>
      <c r="AH355" s="59">
        <v>1</v>
      </c>
      <c r="AI355" s="59">
        <v>3</v>
      </c>
      <c r="AJ355" s="59">
        <f t="shared" si="111"/>
        <v>0</v>
      </c>
      <c r="AK355" s="59">
        <f t="shared" si="112"/>
        <v>0</v>
      </c>
      <c r="AL355" s="59">
        <v>5974</v>
      </c>
      <c r="AM355" s="59">
        <v>17001</v>
      </c>
      <c r="AN355" s="59">
        <v>4</v>
      </c>
      <c r="AO355" s="59">
        <v>1</v>
      </c>
      <c r="AP355" s="59">
        <v>13</v>
      </c>
      <c r="AQ355" s="59">
        <v>3</v>
      </c>
      <c r="AR355" s="59">
        <v>1</v>
      </c>
      <c r="AS355" s="59">
        <v>80</v>
      </c>
      <c r="AT355" s="59">
        <v>2</v>
      </c>
      <c r="AU355" s="59">
        <v>13</v>
      </c>
      <c r="AV355" s="59">
        <v>2</v>
      </c>
      <c r="AW355" s="59">
        <v>3</v>
      </c>
      <c r="AX355" s="59">
        <v>7</v>
      </c>
      <c r="AY355" s="59">
        <v>7</v>
      </c>
      <c r="AZ355" s="59">
        <v>6</v>
      </c>
      <c r="BA355" s="59">
        <v>7</v>
      </c>
      <c r="BB355" s="57">
        <f t="shared" si="113"/>
        <v>11948</v>
      </c>
    </row>
    <row r="356" spans="1:54" x14ac:dyDescent="0.25">
      <c r="A356" s="58">
        <v>30</v>
      </c>
      <c r="B356" s="59">
        <v>0</v>
      </c>
      <c r="C356" s="59">
        <v>3</v>
      </c>
      <c r="D356" s="59">
        <f t="shared" si="95"/>
        <v>0</v>
      </c>
      <c r="E356" s="59">
        <f t="shared" si="96"/>
        <v>0</v>
      </c>
      <c r="F356" s="59">
        <v>641</v>
      </c>
      <c r="G356" s="59">
        <v>1</v>
      </c>
      <c r="H356" s="59">
        <f t="shared" si="97"/>
        <v>1</v>
      </c>
      <c r="I356" s="59">
        <f t="shared" si="98"/>
        <v>0</v>
      </c>
      <c r="J356" s="59">
        <v>25</v>
      </c>
      <c r="K356" s="59">
        <v>2</v>
      </c>
      <c r="L356" s="59">
        <v>5</v>
      </c>
      <c r="M356" s="59">
        <f t="shared" si="99"/>
        <v>0</v>
      </c>
      <c r="N356" s="59">
        <f t="shared" si="100"/>
        <v>0</v>
      </c>
      <c r="O356" s="59">
        <f t="shared" si="101"/>
        <v>0</v>
      </c>
      <c r="P356" s="59">
        <f t="shared" si="102"/>
        <v>0</v>
      </c>
      <c r="Q356" s="59">
        <f t="shared" si="103"/>
        <v>1</v>
      </c>
      <c r="R356" s="59">
        <v>1</v>
      </c>
      <c r="S356" s="59">
        <v>475</v>
      </c>
      <c r="T356" s="59">
        <v>4</v>
      </c>
      <c r="U356" s="59">
        <v>0</v>
      </c>
      <c r="V356" s="59">
        <v>85</v>
      </c>
      <c r="W356" s="59">
        <v>3</v>
      </c>
      <c r="X356" s="59">
        <v>2</v>
      </c>
      <c r="Y356" s="59">
        <v>1</v>
      </c>
      <c r="Z356" s="59">
        <f t="shared" si="104"/>
        <v>1</v>
      </c>
      <c r="AA356" s="59">
        <f>IF('Updated Dummy'!Y356=2,1,0)</f>
        <v>0</v>
      </c>
      <c r="AB356" s="59">
        <f t="shared" si="105"/>
        <v>0</v>
      </c>
      <c r="AC356" s="59">
        <f t="shared" si="106"/>
        <v>0</v>
      </c>
      <c r="AD356" s="59">
        <f t="shared" si="107"/>
        <v>0</v>
      </c>
      <c r="AE356" s="59">
        <f t="shared" si="108"/>
        <v>0</v>
      </c>
      <c r="AF356" s="59">
        <f t="shared" si="109"/>
        <v>0</v>
      </c>
      <c r="AG356" s="59">
        <f t="shared" si="110"/>
        <v>0</v>
      </c>
      <c r="AH356" s="59">
        <v>3</v>
      </c>
      <c r="AI356" s="59">
        <v>2</v>
      </c>
      <c r="AJ356" s="59">
        <f t="shared" si="111"/>
        <v>0</v>
      </c>
      <c r="AK356" s="59">
        <f t="shared" si="112"/>
        <v>1</v>
      </c>
      <c r="AL356" s="59">
        <v>4736</v>
      </c>
      <c r="AM356" s="59">
        <v>6069</v>
      </c>
      <c r="AN356" s="59">
        <v>7</v>
      </c>
      <c r="AO356" s="59">
        <v>1</v>
      </c>
      <c r="AP356" s="59">
        <v>12</v>
      </c>
      <c r="AQ356" s="59">
        <v>3</v>
      </c>
      <c r="AR356" s="59">
        <v>2</v>
      </c>
      <c r="AS356" s="59">
        <v>80</v>
      </c>
      <c r="AT356" s="59">
        <v>1</v>
      </c>
      <c r="AU356" s="59">
        <v>4</v>
      </c>
      <c r="AV356" s="59">
        <v>2</v>
      </c>
      <c r="AW356" s="59">
        <v>4</v>
      </c>
      <c r="AX356" s="59">
        <v>2</v>
      </c>
      <c r="AY356" s="59">
        <v>2</v>
      </c>
      <c r="AZ356" s="59">
        <v>2</v>
      </c>
      <c r="BA356" s="59">
        <v>2</v>
      </c>
      <c r="BB356" s="57">
        <f t="shared" si="113"/>
        <v>9472</v>
      </c>
    </row>
    <row r="357" spans="1:54" x14ac:dyDescent="0.25">
      <c r="A357" s="58">
        <v>26</v>
      </c>
      <c r="B357" s="59">
        <v>0</v>
      </c>
      <c r="C357" s="59">
        <v>1</v>
      </c>
      <c r="D357" s="59">
        <f t="shared" si="95"/>
        <v>1</v>
      </c>
      <c r="E357" s="59">
        <f t="shared" si="96"/>
        <v>0</v>
      </c>
      <c r="F357" s="59">
        <v>933</v>
      </c>
      <c r="G357" s="59">
        <v>1</v>
      </c>
      <c r="H357" s="59">
        <f t="shared" si="97"/>
        <v>1</v>
      </c>
      <c r="I357" s="59">
        <f t="shared" si="98"/>
        <v>0</v>
      </c>
      <c r="J357" s="59">
        <v>1</v>
      </c>
      <c r="K357" s="59">
        <v>3</v>
      </c>
      <c r="L357" s="59">
        <v>1</v>
      </c>
      <c r="M357" s="59">
        <f t="shared" si="99"/>
        <v>1</v>
      </c>
      <c r="N357" s="59">
        <f t="shared" si="100"/>
        <v>0</v>
      </c>
      <c r="O357" s="59">
        <f t="shared" si="101"/>
        <v>0</v>
      </c>
      <c r="P357" s="59">
        <f t="shared" si="102"/>
        <v>0</v>
      </c>
      <c r="Q357" s="59">
        <f t="shared" si="103"/>
        <v>0</v>
      </c>
      <c r="R357" s="59">
        <v>1</v>
      </c>
      <c r="S357" s="59">
        <v>476</v>
      </c>
      <c r="T357" s="59">
        <v>3</v>
      </c>
      <c r="U357" s="59">
        <v>1</v>
      </c>
      <c r="V357" s="59">
        <v>57</v>
      </c>
      <c r="W357" s="59">
        <v>3</v>
      </c>
      <c r="X357" s="59">
        <v>2</v>
      </c>
      <c r="Y357" s="59">
        <v>1</v>
      </c>
      <c r="Z357" s="59">
        <f t="shared" si="104"/>
        <v>1</v>
      </c>
      <c r="AA357" s="59">
        <f>IF('Updated Dummy'!Y357=2,1,0)</f>
        <v>0</v>
      </c>
      <c r="AB357" s="59">
        <f t="shared" si="105"/>
        <v>0</v>
      </c>
      <c r="AC357" s="59">
        <f t="shared" si="106"/>
        <v>0</v>
      </c>
      <c r="AD357" s="59">
        <f t="shared" si="107"/>
        <v>0</v>
      </c>
      <c r="AE357" s="59">
        <f t="shared" si="108"/>
        <v>0</v>
      </c>
      <c r="AF357" s="59">
        <f t="shared" si="109"/>
        <v>0</v>
      </c>
      <c r="AG357" s="59">
        <f t="shared" si="110"/>
        <v>0</v>
      </c>
      <c r="AH357" s="59">
        <v>3</v>
      </c>
      <c r="AI357" s="59">
        <v>2</v>
      </c>
      <c r="AJ357" s="59">
        <f t="shared" si="111"/>
        <v>0</v>
      </c>
      <c r="AK357" s="59">
        <f t="shared" si="112"/>
        <v>1</v>
      </c>
      <c r="AL357" s="59">
        <v>5296</v>
      </c>
      <c r="AM357" s="59">
        <v>20156</v>
      </c>
      <c r="AN357" s="59">
        <v>1</v>
      </c>
      <c r="AO357" s="59">
        <v>0</v>
      </c>
      <c r="AP357" s="59">
        <v>17</v>
      </c>
      <c r="AQ357" s="59">
        <v>3</v>
      </c>
      <c r="AR357" s="59">
        <v>2</v>
      </c>
      <c r="AS357" s="59">
        <v>80</v>
      </c>
      <c r="AT357" s="59">
        <v>1</v>
      </c>
      <c r="AU357" s="59">
        <v>8</v>
      </c>
      <c r="AV357" s="59">
        <v>3</v>
      </c>
      <c r="AW357" s="59">
        <v>3</v>
      </c>
      <c r="AX357" s="59">
        <v>8</v>
      </c>
      <c r="AY357" s="59">
        <v>7</v>
      </c>
      <c r="AZ357" s="59">
        <v>7</v>
      </c>
      <c r="BA357" s="59">
        <v>7</v>
      </c>
      <c r="BB357" s="57">
        <f t="shared" si="113"/>
        <v>10592</v>
      </c>
    </row>
    <row r="358" spans="1:54" x14ac:dyDescent="0.25">
      <c r="A358" s="58">
        <v>42</v>
      </c>
      <c r="B358" s="59">
        <v>0</v>
      </c>
      <c r="C358" s="59">
        <v>1</v>
      </c>
      <c r="D358" s="59">
        <f t="shared" si="95"/>
        <v>1</v>
      </c>
      <c r="E358" s="59">
        <f t="shared" si="96"/>
        <v>0</v>
      </c>
      <c r="F358" s="59">
        <v>1332</v>
      </c>
      <c r="G358" s="59">
        <v>2</v>
      </c>
      <c r="H358" s="59">
        <f t="shared" si="97"/>
        <v>0</v>
      </c>
      <c r="I358" s="59">
        <f t="shared" si="98"/>
        <v>1</v>
      </c>
      <c r="J358" s="59">
        <v>2</v>
      </c>
      <c r="K358" s="59">
        <v>4</v>
      </c>
      <c r="L358" s="59">
        <v>6</v>
      </c>
      <c r="M358" s="59">
        <f t="shared" si="99"/>
        <v>0</v>
      </c>
      <c r="N358" s="59">
        <f t="shared" si="100"/>
        <v>0</v>
      </c>
      <c r="O358" s="59">
        <f t="shared" si="101"/>
        <v>0</v>
      </c>
      <c r="P358" s="59">
        <f t="shared" si="102"/>
        <v>0</v>
      </c>
      <c r="Q358" s="59">
        <f t="shared" si="103"/>
        <v>0</v>
      </c>
      <c r="R358" s="59">
        <v>1</v>
      </c>
      <c r="S358" s="59">
        <v>477</v>
      </c>
      <c r="T358" s="59">
        <v>1</v>
      </c>
      <c r="U358" s="59">
        <v>1</v>
      </c>
      <c r="V358" s="59">
        <v>98</v>
      </c>
      <c r="W358" s="59">
        <v>2</v>
      </c>
      <c r="X358" s="59">
        <v>2</v>
      </c>
      <c r="Y358" s="59">
        <v>5</v>
      </c>
      <c r="Z358" s="59">
        <f t="shared" si="104"/>
        <v>0</v>
      </c>
      <c r="AA358" s="59">
        <f>IF('Updated Dummy'!Y358=2,1,0)</f>
        <v>0</v>
      </c>
      <c r="AB358" s="59">
        <f t="shared" si="105"/>
        <v>0</v>
      </c>
      <c r="AC358" s="59">
        <f t="shared" si="106"/>
        <v>0</v>
      </c>
      <c r="AD358" s="59">
        <f t="shared" si="107"/>
        <v>1</v>
      </c>
      <c r="AE358" s="59">
        <f t="shared" si="108"/>
        <v>0</v>
      </c>
      <c r="AF358" s="59">
        <f t="shared" si="109"/>
        <v>0</v>
      </c>
      <c r="AG358" s="59">
        <f t="shared" si="110"/>
        <v>0</v>
      </c>
      <c r="AH358" s="59">
        <v>4</v>
      </c>
      <c r="AI358" s="59">
        <v>1</v>
      </c>
      <c r="AJ358" s="59">
        <f t="shared" si="111"/>
        <v>1</v>
      </c>
      <c r="AK358" s="59">
        <f t="shared" si="112"/>
        <v>0</v>
      </c>
      <c r="AL358" s="59">
        <v>6781</v>
      </c>
      <c r="AM358" s="59">
        <v>17078</v>
      </c>
      <c r="AN358" s="59">
        <v>3</v>
      </c>
      <c r="AO358" s="59">
        <v>0</v>
      </c>
      <c r="AP358" s="59">
        <v>23</v>
      </c>
      <c r="AQ358" s="59">
        <v>4</v>
      </c>
      <c r="AR358" s="59">
        <v>2</v>
      </c>
      <c r="AS358" s="59">
        <v>80</v>
      </c>
      <c r="AT358" s="59">
        <v>0</v>
      </c>
      <c r="AU358" s="59">
        <v>14</v>
      </c>
      <c r="AV358" s="59">
        <v>6</v>
      </c>
      <c r="AW358" s="59">
        <v>3</v>
      </c>
      <c r="AX358" s="59">
        <v>1</v>
      </c>
      <c r="AY358" s="59">
        <v>0</v>
      </c>
      <c r="AZ358" s="59">
        <v>0</v>
      </c>
      <c r="BA358" s="59">
        <v>0</v>
      </c>
      <c r="BB358" s="57">
        <f t="shared" si="113"/>
        <v>13562</v>
      </c>
    </row>
    <row r="359" spans="1:54" x14ac:dyDescent="0.25">
      <c r="A359" s="58">
        <v>21</v>
      </c>
      <c r="B359" s="59">
        <v>1</v>
      </c>
      <c r="C359" s="59">
        <v>2</v>
      </c>
      <c r="D359" s="59">
        <f t="shared" si="95"/>
        <v>0</v>
      </c>
      <c r="E359" s="59">
        <f t="shared" si="96"/>
        <v>1</v>
      </c>
      <c r="F359" s="59">
        <v>756</v>
      </c>
      <c r="G359" s="59">
        <v>1</v>
      </c>
      <c r="H359" s="59">
        <f t="shared" si="97"/>
        <v>1</v>
      </c>
      <c r="I359" s="59">
        <f t="shared" si="98"/>
        <v>0</v>
      </c>
      <c r="J359" s="59">
        <v>1</v>
      </c>
      <c r="K359" s="59">
        <v>1</v>
      </c>
      <c r="L359" s="59">
        <v>5</v>
      </c>
      <c r="M359" s="59">
        <f t="shared" si="99"/>
        <v>0</v>
      </c>
      <c r="N359" s="59">
        <f t="shared" si="100"/>
        <v>0</v>
      </c>
      <c r="O359" s="59">
        <f t="shared" si="101"/>
        <v>0</v>
      </c>
      <c r="P359" s="59">
        <f t="shared" si="102"/>
        <v>0</v>
      </c>
      <c r="Q359" s="59">
        <f t="shared" si="103"/>
        <v>1</v>
      </c>
      <c r="R359" s="59">
        <v>1</v>
      </c>
      <c r="S359" s="59">
        <v>478</v>
      </c>
      <c r="T359" s="59">
        <v>1</v>
      </c>
      <c r="U359" s="59">
        <v>0</v>
      </c>
      <c r="V359" s="59">
        <v>99</v>
      </c>
      <c r="W359" s="59">
        <v>2</v>
      </c>
      <c r="X359" s="59">
        <v>1</v>
      </c>
      <c r="Y359" s="59">
        <v>7</v>
      </c>
      <c r="Z359" s="59">
        <f t="shared" si="104"/>
        <v>0</v>
      </c>
      <c r="AA359" s="59">
        <f>IF('Updated Dummy'!Y359=2,1,0)</f>
        <v>0</v>
      </c>
      <c r="AB359" s="59">
        <f t="shared" si="105"/>
        <v>0</v>
      </c>
      <c r="AC359" s="59">
        <f t="shared" si="106"/>
        <v>0</v>
      </c>
      <c r="AD359" s="59">
        <f t="shared" si="107"/>
        <v>0</v>
      </c>
      <c r="AE359" s="59">
        <f t="shared" si="108"/>
        <v>0</v>
      </c>
      <c r="AF359" s="59">
        <f t="shared" si="109"/>
        <v>1</v>
      </c>
      <c r="AG359" s="59">
        <f t="shared" si="110"/>
        <v>0</v>
      </c>
      <c r="AH359" s="59">
        <v>2</v>
      </c>
      <c r="AI359" s="59">
        <v>1</v>
      </c>
      <c r="AJ359" s="59">
        <f t="shared" si="111"/>
        <v>1</v>
      </c>
      <c r="AK359" s="59">
        <f t="shared" si="112"/>
        <v>0</v>
      </c>
      <c r="AL359" s="59">
        <v>2174</v>
      </c>
      <c r="AM359" s="59">
        <v>9150</v>
      </c>
      <c r="AN359" s="59">
        <v>1</v>
      </c>
      <c r="AO359" s="59">
        <v>1</v>
      </c>
      <c r="AP359" s="59">
        <v>11</v>
      </c>
      <c r="AQ359" s="59">
        <v>3</v>
      </c>
      <c r="AR359" s="59">
        <v>3</v>
      </c>
      <c r="AS359" s="59">
        <v>80</v>
      </c>
      <c r="AT359" s="59">
        <v>0</v>
      </c>
      <c r="AU359" s="59">
        <v>3</v>
      </c>
      <c r="AV359" s="59">
        <v>3</v>
      </c>
      <c r="AW359" s="59">
        <v>3</v>
      </c>
      <c r="AX359" s="59">
        <v>3</v>
      </c>
      <c r="AY359" s="59">
        <v>2</v>
      </c>
      <c r="AZ359" s="59">
        <v>1</v>
      </c>
      <c r="BA359" s="59">
        <v>2</v>
      </c>
      <c r="BB359" s="57">
        <f t="shared" si="113"/>
        <v>2174</v>
      </c>
    </row>
    <row r="360" spans="1:54" x14ac:dyDescent="0.25">
      <c r="A360" s="58">
        <v>36</v>
      </c>
      <c r="B360" s="59">
        <v>0</v>
      </c>
      <c r="C360" s="59">
        <v>3</v>
      </c>
      <c r="D360" s="59">
        <f t="shared" si="95"/>
        <v>0</v>
      </c>
      <c r="E360" s="59">
        <f t="shared" si="96"/>
        <v>0</v>
      </c>
      <c r="F360" s="59">
        <v>845</v>
      </c>
      <c r="G360" s="59">
        <v>1</v>
      </c>
      <c r="H360" s="59">
        <f t="shared" si="97"/>
        <v>1</v>
      </c>
      <c r="I360" s="59">
        <f t="shared" si="98"/>
        <v>0</v>
      </c>
      <c r="J360" s="59">
        <v>1</v>
      </c>
      <c r="K360" s="59">
        <v>5</v>
      </c>
      <c r="L360" s="59">
        <v>3</v>
      </c>
      <c r="M360" s="59">
        <f t="shared" si="99"/>
        <v>0</v>
      </c>
      <c r="N360" s="59">
        <f t="shared" si="100"/>
        <v>0</v>
      </c>
      <c r="O360" s="59">
        <f t="shared" si="101"/>
        <v>1</v>
      </c>
      <c r="P360" s="59">
        <f t="shared" si="102"/>
        <v>0</v>
      </c>
      <c r="Q360" s="59">
        <f t="shared" si="103"/>
        <v>0</v>
      </c>
      <c r="R360" s="59">
        <v>1</v>
      </c>
      <c r="S360" s="59">
        <v>479</v>
      </c>
      <c r="T360" s="59">
        <v>4</v>
      </c>
      <c r="U360" s="59">
        <v>0</v>
      </c>
      <c r="V360" s="59">
        <v>45</v>
      </c>
      <c r="W360" s="59">
        <v>3</v>
      </c>
      <c r="X360" s="59">
        <v>2</v>
      </c>
      <c r="Y360" s="59">
        <v>1</v>
      </c>
      <c r="Z360" s="59">
        <f t="shared" si="104"/>
        <v>1</v>
      </c>
      <c r="AA360" s="59">
        <f>IF('Updated Dummy'!Y360=2,1,0)</f>
        <v>0</v>
      </c>
      <c r="AB360" s="59">
        <f t="shared" si="105"/>
        <v>0</v>
      </c>
      <c r="AC360" s="59">
        <f t="shared" si="106"/>
        <v>0</v>
      </c>
      <c r="AD360" s="59">
        <f t="shared" si="107"/>
        <v>0</v>
      </c>
      <c r="AE360" s="59">
        <f t="shared" si="108"/>
        <v>0</v>
      </c>
      <c r="AF360" s="59">
        <f t="shared" si="109"/>
        <v>0</v>
      </c>
      <c r="AG360" s="59">
        <f t="shared" si="110"/>
        <v>0</v>
      </c>
      <c r="AH360" s="59">
        <v>4</v>
      </c>
      <c r="AI360" s="59">
        <v>1</v>
      </c>
      <c r="AJ360" s="59">
        <f t="shared" si="111"/>
        <v>1</v>
      </c>
      <c r="AK360" s="59">
        <f t="shared" si="112"/>
        <v>0</v>
      </c>
      <c r="AL360" s="59">
        <v>6653</v>
      </c>
      <c r="AM360" s="59">
        <v>15276</v>
      </c>
      <c r="AN360" s="59">
        <v>4</v>
      </c>
      <c r="AO360" s="59">
        <v>0</v>
      </c>
      <c r="AP360" s="59">
        <v>15</v>
      </c>
      <c r="AQ360" s="59">
        <v>3</v>
      </c>
      <c r="AR360" s="59">
        <v>2</v>
      </c>
      <c r="AS360" s="59">
        <v>80</v>
      </c>
      <c r="AT360" s="59">
        <v>0</v>
      </c>
      <c r="AU360" s="59">
        <v>7</v>
      </c>
      <c r="AV360" s="59">
        <v>6</v>
      </c>
      <c r="AW360" s="59">
        <v>3</v>
      </c>
      <c r="AX360" s="59">
        <v>1</v>
      </c>
      <c r="AY360" s="59">
        <v>0</v>
      </c>
      <c r="AZ360" s="59">
        <v>0</v>
      </c>
      <c r="BA360" s="59">
        <v>0</v>
      </c>
      <c r="BB360" s="57">
        <f t="shared" si="113"/>
        <v>13306</v>
      </c>
    </row>
    <row r="361" spans="1:54" x14ac:dyDescent="0.25">
      <c r="A361" s="58">
        <v>36</v>
      </c>
      <c r="B361" s="59">
        <v>0</v>
      </c>
      <c r="C361" s="59">
        <v>2</v>
      </c>
      <c r="D361" s="59">
        <f t="shared" si="95"/>
        <v>0</v>
      </c>
      <c r="E361" s="59">
        <f t="shared" si="96"/>
        <v>1</v>
      </c>
      <c r="F361" s="59">
        <v>541</v>
      </c>
      <c r="G361" s="59">
        <v>1</v>
      </c>
      <c r="H361" s="59">
        <f t="shared" si="97"/>
        <v>1</v>
      </c>
      <c r="I361" s="59">
        <f t="shared" si="98"/>
        <v>0</v>
      </c>
      <c r="J361" s="59">
        <v>3</v>
      </c>
      <c r="K361" s="59">
        <v>4</v>
      </c>
      <c r="L361" s="59">
        <v>3</v>
      </c>
      <c r="M361" s="59">
        <f t="shared" si="99"/>
        <v>0</v>
      </c>
      <c r="N361" s="59">
        <f t="shared" si="100"/>
        <v>0</v>
      </c>
      <c r="O361" s="59">
        <f t="shared" si="101"/>
        <v>1</v>
      </c>
      <c r="P361" s="59">
        <f t="shared" si="102"/>
        <v>0</v>
      </c>
      <c r="Q361" s="59">
        <f t="shared" si="103"/>
        <v>0</v>
      </c>
      <c r="R361" s="59">
        <v>1</v>
      </c>
      <c r="S361" s="59">
        <v>481</v>
      </c>
      <c r="T361" s="59">
        <v>1</v>
      </c>
      <c r="U361" s="59">
        <v>1</v>
      </c>
      <c r="V361" s="59">
        <v>48</v>
      </c>
      <c r="W361" s="59">
        <v>2</v>
      </c>
      <c r="X361" s="59">
        <v>3</v>
      </c>
      <c r="Y361" s="59">
        <v>1</v>
      </c>
      <c r="Z361" s="59">
        <f t="shared" si="104"/>
        <v>1</v>
      </c>
      <c r="AA361" s="59">
        <f>IF('Updated Dummy'!Y361=2,1,0)</f>
        <v>0</v>
      </c>
      <c r="AB361" s="59">
        <f t="shared" si="105"/>
        <v>0</v>
      </c>
      <c r="AC361" s="59">
        <f t="shared" si="106"/>
        <v>0</v>
      </c>
      <c r="AD361" s="59">
        <f t="shared" si="107"/>
        <v>0</v>
      </c>
      <c r="AE361" s="59">
        <f t="shared" si="108"/>
        <v>0</v>
      </c>
      <c r="AF361" s="59">
        <f t="shared" si="109"/>
        <v>0</v>
      </c>
      <c r="AG361" s="59">
        <f t="shared" si="110"/>
        <v>0</v>
      </c>
      <c r="AH361" s="59">
        <v>4</v>
      </c>
      <c r="AI361" s="59">
        <v>2</v>
      </c>
      <c r="AJ361" s="59">
        <f t="shared" si="111"/>
        <v>0</v>
      </c>
      <c r="AK361" s="59">
        <f t="shared" si="112"/>
        <v>1</v>
      </c>
      <c r="AL361" s="59">
        <v>9699</v>
      </c>
      <c r="AM361" s="59">
        <v>7246</v>
      </c>
      <c r="AN361" s="59">
        <v>4</v>
      </c>
      <c r="AO361" s="59">
        <v>0</v>
      </c>
      <c r="AP361" s="59">
        <v>11</v>
      </c>
      <c r="AQ361" s="59">
        <v>3</v>
      </c>
      <c r="AR361" s="59">
        <v>1</v>
      </c>
      <c r="AS361" s="59">
        <v>80</v>
      </c>
      <c r="AT361" s="59">
        <v>1</v>
      </c>
      <c r="AU361" s="59">
        <v>16</v>
      </c>
      <c r="AV361" s="59">
        <v>2</v>
      </c>
      <c r="AW361" s="59">
        <v>3</v>
      </c>
      <c r="AX361" s="59">
        <v>13</v>
      </c>
      <c r="AY361" s="59">
        <v>9</v>
      </c>
      <c r="AZ361" s="59">
        <v>1</v>
      </c>
      <c r="BA361" s="59">
        <v>12</v>
      </c>
      <c r="BB361" s="57">
        <f t="shared" si="113"/>
        <v>29097</v>
      </c>
    </row>
    <row r="362" spans="1:54" x14ac:dyDescent="0.25">
      <c r="A362" s="58">
        <v>57</v>
      </c>
      <c r="B362" s="59">
        <v>0</v>
      </c>
      <c r="C362" s="59">
        <v>1</v>
      </c>
      <c r="D362" s="59">
        <f t="shared" si="95"/>
        <v>1</v>
      </c>
      <c r="E362" s="59">
        <f t="shared" si="96"/>
        <v>0</v>
      </c>
      <c r="F362" s="59">
        <v>593</v>
      </c>
      <c r="G362" s="59">
        <v>2</v>
      </c>
      <c r="H362" s="59">
        <f t="shared" si="97"/>
        <v>0</v>
      </c>
      <c r="I362" s="59">
        <f t="shared" si="98"/>
        <v>1</v>
      </c>
      <c r="J362" s="59">
        <v>1</v>
      </c>
      <c r="K362" s="59">
        <v>4</v>
      </c>
      <c r="L362" s="59">
        <v>3</v>
      </c>
      <c r="M362" s="59">
        <f t="shared" si="99"/>
        <v>0</v>
      </c>
      <c r="N362" s="59">
        <f t="shared" si="100"/>
        <v>0</v>
      </c>
      <c r="O362" s="59">
        <f t="shared" si="101"/>
        <v>1</v>
      </c>
      <c r="P362" s="59">
        <f t="shared" si="102"/>
        <v>0</v>
      </c>
      <c r="Q362" s="59">
        <f t="shared" si="103"/>
        <v>0</v>
      </c>
      <c r="R362" s="59">
        <v>1</v>
      </c>
      <c r="S362" s="59">
        <v>482</v>
      </c>
      <c r="T362" s="59">
        <v>4</v>
      </c>
      <c r="U362" s="59">
        <v>1</v>
      </c>
      <c r="V362" s="59">
        <v>88</v>
      </c>
      <c r="W362" s="59">
        <v>3</v>
      </c>
      <c r="X362" s="59">
        <v>2</v>
      </c>
      <c r="Y362" s="59">
        <v>5</v>
      </c>
      <c r="Z362" s="59">
        <f t="shared" si="104"/>
        <v>0</v>
      </c>
      <c r="AA362" s="59">
        <f>IF('Updated Dummy'!Y362=2,1,0)</f>
        <v>0</v>
      </c>
      <c r="AB362" s="59">
        <f t="shared" si="105"/>
        <v>0</v>
      </c>
      <c r="AC362" s="59">
        <f t="shared" si="106"/>
        <v>0</v>
      </c>
      <c r="AD362" s="59">
        <f t="shared" si="107"/>
        <v>1</v>
      </c>
      <c r="AE362" s="59">
        <f t="shared" si="108"/>
        <v>0</v>
      </c>
      <c r="AF362" s="59">
        <f t="shared" si="109"/>
        <v>0</v>
      </c>
      <c r="AG362" s="59">
        <f t="shared" si="110"/>
        <v>0</v>
      </c>
      <c r="AH362" s="59">
        <v>3</v>
      </c>
      <c r="AI362" s="59">
        <v>2</v>
      </c>
      <c r="AJ362" s="59">
        <f t="shared" si="111"/>
        <v>0</v>
      </c>
      <c r="AK362" s="59">
        <f t="shared" si="112"/>
        <v>1</v>
      </c>
      <c r="AL362" s="59">
        <v>6755</v>
      </c>
      <c r="AM362" s="59">
        <v>2967</v>
      </c>
      <c r="AN362" s="59">
        <v>2</v>
      </c>
      <c r="AO362" s="59">
        <v>0</v>
      </c>
      <c r="AP362" s="59">
        <v>11</v>
      </c>
      <c r="AQ362" s="59">
        <v>3</v>
      </c>
      <c r="AR362" s="59">
        <v>3</v>
      </c>
      <c r="AS362" s="59">
        <v>80</v>
      </c>
      <c r="AT362" s="59">
        <v>0</v>
      </c>
      <c r="AU362" s="59">
        <v>15</v>
      </c>
      <c r="AV362" s="59">
        <v>2</v>
      </c>
      <c r="AW362" s="59">
        <v>3</v>
      </c>
      <c r="AX362" s="59">
        <v>3</v>
      </c>
      <c r="AY362" s="59">
        <v>2</v>
      </c>
      <c r="AZ362" s="59">
        <v>1</v>
      </c>
      <c r="BA362" s="59">
        <v>2</v>
      </c>
      <c r="BB362" s="57">
        <f t="shared" si="113"/>
        <v>13510</v>
      </c>
    </row>
    <row r="363" spans="1:54" x14ac:dyDescent="0.25">
      <c r="A363" s="58">
        <v>40</v>
      </c>
      <c r="B363" s="59">
        <v>0</v>
      </c>
      <c r="C363" s="59">
        <v>1</v>
      </c>
      <c r="D363" s="59">
        <f t="shared" si="95"/>
        <v>1</v>
      </c>
      <c r="E363" s="59">
        <f t="shared" si="96"/>
        <v>0</v>
      </c>
      <c r="F363" s="59">
        <v>1171</v>
      </c>
      <c r="G363" s="59">
        <v>2</v>
      </c>
      <c r="H363" s="59">
        <f t="shared" si="97"/>
        <v>0</v>
      </c>
      <c r="I363" s="59">
        <f t="shared" si="98"/>
        <v>1</v>
      </c>
      <c r="J363" s="59">
        <v>10</v>
      </c>
      <c r="K363" s="59">
        <v>4</v>
      </c>
      <c r="L363" s="59">
        <v>1</v>
      </c>
      <c r="M363" s="59">
        <f t="shared" si="99"/>
        <v>1</v>
      </c>
      <c r="N363" s="59">
        <f t="shared" si="100"/>
        <v>0</v>
      </c>
      <c r="O363" s="59">
        <f t="shared" si="101"/>
        <v>0</v>
      </c>
      <c r="P363" s="59">
        <f t="shared" si="102"/>
        <v>0</v>
      </c>
      <c r="Q363" s="59">
        <f t="shared" si="103"/>
        <v>0</v>
      </c>
      <c r="R363" s="59">
        <v>1</v>
      </c>
      <c r="S363" s="59">
        <v>483</v>
      </c>
      <c r="T363" s="59">
        <v>4</v>
      </c>
      <c r="U363" s="59">
        <v>0</v>
      </c>
      <c r="V363" s="59">
        <v>46</v>
      </c>
      <c r="W363" s="59">
        <v>4</v>
      </c>
      <c r="X363" s="59">
        <v>1</v>
      </c>
      <c r="Y363" s="59">
        <v>3</v>
      </c>
      <c r="Z363" s="59">
        <f t="shared" si="104"/>
        <v>0</v>
      </c>
      <c r="AA363" s="59">
        <f>IF('Updated Dummy'!Y363=2,1,0)</f>
        <v>0</v>
      </c>
      <c r="AB363" s="59">
        <f t="shared" si="105"/>
        <v>1</v>
      </c>
      <c r="AC363" s="59">
        <f t="shared" si="106"/>
        <v>0</v>
      </c>
      <c r="AD363" s="59">
        <f t="shared" si="107"/>
        <v>0</v>
      </c>
      <c r="AE363" s="59">
        <f t="shared" si="108"/>
        <v>0</v>
      </c>
      <c r="AF363" s="59">
        <f t="shared" si="109"/>
        <v>0</v>
      </c>
      <c r="AG363" s="59">
        <f t="shared" si="110"/>
        <v>0</v>
      </c>
      <c r="AH363" s="59">
        <v>3</v>
      </c>
      <c r="AI363" s="59">
        <v>2</v>
      </c>
      <c r="AJ363" s="59">
        <f t="shared" si="111"/>
        <v>0</v>
      </c>
      <c r="AK363" s="59">
        <f t="shared" si="112"/>
        <v>1</v>
      </c>
      <c r="AL363" s="59">
        <v>2213</v>
      </c>
      <c r="AM363" s="59">
        <v>22495</v>
      </c>
      <c r="AN363" s="59">
        <v>3</v>
      </c>
      <c r="AO363" s="59">
        <v>1</v>
      </c>
      <c r="AP363" s="59">
        <v>13</v>
      </c>
      <c r="AQ363" s="59">
        <v>3</v>
      </c>
      <c r="AR363" s="59">
        <v>3</v>
      </c>
      <c r="AS363" s="59">
        <v>80</v>
      </c>
      <c r="AT363" s="59">
        <v>1</v>
      </c>
      <c r="AU363" s="59">
        <v>10</v>
      </c>
      <c r="AV363" s="59">
        <v>3</v>
      </c>
      <c r="AW363" s="59">
        <v>3</v>
      </c>
      <c r="AX363" s="59">
        <v>7</v>
      </c>
      <c r="AY363" s="59">
        <v>7</v>
      </c>
      <c r="AZ363" s="59">
        <v>1</v>
      </c>
      <c r="BA363" s="59">
        <v>7</v>
      </c>
      <c r="BB363" s="57">
        <f t="shared" si="113"/>
        <v>2213</v>
      </c>
    </row>
    <row r="364" spans="1:54" x14ac:dyDescent="0.25">
      <c r="A364" s="58">
        <v>21</v>
      </c>
      <c r="B364" s="59">
        <v>0</v>
      </c>
      <c r="C364" s="59">
        <v>3</v>
      </c>
      <c r="D364" s="59">
        <f t="shared" si="95"/>
        <v>0</v>
      </c>
      <c r="E364" s="59">
        <f t="shared" si="96"/>
        <v>0</v>
      </c>
      <c r="F364" s="59">
        <v>895</v>
      </c>
      <c r="G364" s="59">
        <v>1</v>
      </c>
      <c r="H364" s="59">
        <f t="shared" si="97"/>
        <v>1</v>
      </c>
      <c r="I364" s="59">
        <f t="shared" si="98"/>
        <v>0</v>
      </c>
      <c r="J364" s="59">
        <v>9</v>
      </c>
      <c r="K364" s="59">
        <v>2</v>
      </c>
      <c r="L364" s="59">
        <v>3</v>
      </c>
      <c r="M364" s="59">
        <f t="shared" si="99"/>
        <v>0</v>
      </c>
      <c r="N364" s="59">
        <f t="shared" si="100"/>
        <v>0</v>
      </c>
      <c r="O364" s="59">
        <f t="shared" si="101"/>
        <v>1</v>
      </c>
      <c r="P364" s="59">
        <f t="shared" si="102"/>
        <v>0</v>
      </c>
      <c r="Q364" s="59">
        <f t="shared" si="103"/>
        <v>0</v>
      </c>
      <c r="R364" s="59">
        <v>1</v>
      </c>
      <c r="S364" s="59">
        <v>484</v>
      </c>
      <c r="T364" s="59">
        <v>1</v>
      </c>
      <c r="U364" s="59">
        <v>1</v>
      </c>
      <c r="V364" s="59">
        <v>39</v>
      </c>
      <c r="W364" s="59">
        <v>3</v>
      </c>
      <c r="X364" s="59">
        <v>1</v>
      </c>
      <c r="Y364" s="59">
        <v>7</v>
      </c>
      <c r="Z364" s="59">
        <f t="shared" si="104"/>
        <v>0</v>
      </c>
      <c r="AA364" s="59">
        <f>IF('Updated Dummy'!Y364=2,1,0)</f>
        <v>0</v>
      </c>
      <c r="AB364" s="59">
        <f t="shared" si="105"/>
        <v>0</v>
      </c>
      <c r="AC364" s="59">
        <f t="shared" si="106"/>
        <v>0</v>
      </c>
      <c r="AD364" s="59">
        <f t="shared" si="107"/>
        <v>0</v>
      </c>
      <c r="AE364" s="59">
        <f t="shared" si="108"/>
        <v>0</v>
      </c>
      <c r="AF364" s="59">
        <f t="shared" si="109"/>
        <v>1</v>
      </c>
      <c r="AG364" s="59">
        <f t="shared" si="110"/>
        <v>0</v>
      </c>
      <c r="AH364" s="59">
        <v>4</v>
      </c>
      <c r="AI364" s="59">
        <v>1</v>
      </c>
      <c r="AJ364" s="59">
        <f t="shared" si="111"/>
        <v>1</v>
      </c>
      <c r="AK364" s="59">
        <f t="shared" si="112"/>
        <v>0</v>
      </c>
      <c r="AL364" s="59">
        <v>2610</v>
      </c>
      <c r="AM364" s="59">
        <v>2851</v>
      </c>
      <c r="AN364" s="59">
        <v>1</v>
      </c>
      <c r="AO364" s="59">
        <v>0</v>
      </c>
      <c r="AP364" s="59">
        <v>24</v>
      </c>
      <c r="AQ364" s="59">
        <v>4</v>
      </c>
      <c r="AR364" s="59">
        <v>3</v>
      </c>
      <c r="AS364" s="59">
        <v>80</v>
      </c>
      <c r="AT364" s="59">
        <v>0</v>
      </c>
      <c r="AU364" s="59">
        <v>3</v>
      </c>
      <c r="AV364" s="59">
        <v>3</v>
      </c>
      <c r="AW364" s="59">
        <v>2</v>
      </c>
      <c r="AX364" s="59">
        <v>3</v>
      </c>
      <c r="AY364" s="59">
        <v>2</v>
      </c>
      <c r="AZ364" s="59">
        <v>2</v>
      </c>
      <c r="BA364" s="59">
        <v>2</v>
      </c>
      <c r="BB364" s="57">
        <f t="shared" si="113"/>
        <v>2610</v>
      </c>
    </row>
    <row r="365" spans="1:54" x14ac:dyDescent="0.25">
      <c r="A365" s="58">
        <v>33</v>
      </c>
      <c r="B365" s="59">
        <v>1</v>
      </c>
      <c r="C365" s="59">
        <v>1</v>
      </c>
      <c r="D365" s="59">
        <f t="shared" si="95"/>
        <v>1</v>
      </c>
      <c r="E365" s="59">
        <f t="shared" si="96"/>
        <v>0</v>
      </c>
      <c r="F365" s="59">
        <v>350</v>
      </c>
      <c r="G365" s="59">
        <v>1</v>
      </c>
      <c r="H365" s="59">
        <f t="shared" si="97"/>
        <v>1</v>
      </c>
      <c r="I365" s="59">
        <f t="shared" si="98"/>
        <v>0</v>
      </c>
      <c r="J365" s="59">
        <v>5</v>
      </c>
      <c r="K365" s="59">
        <v>3</v>
      </c>
      <c r="L365" s="59">
        <v>4</v>
      </c>
      <c r="M365" s="59">
        <f t="shared" si="99"/>
        <v>0</v>
      </c>
      <c r="N365" s="59">
        <f t="shared" si="100"/>
        <v>0</v>
      </c>
      <c r="O365" s="59">
        <f t="shared" si="101"/>
        <v>0</v>
      </c>
      <c r="P365" s="59">
        <f t="shared" si="102"/>
        <v>1</v>
      </c>
      <c r="Q365" s="59">
        <f t="shared" si="103"/>
        <v>0</v>
      </c>
      <c r="R365" s="59">
        <v>1</v>
      </c>
      <c r="S365" s="59">
        <v>485</v>
      </c>
      <c r="T365" s="59">
        <v>4</v>
      </c>
      <c r="U365" s="59">
        <v>0</v>
      </c>
      <c r="V365" s="59">
        <v>34</v>
      </c>
      <c r="W365" s="59">
        <v>3</v>
      </c>
      <c r="X365" s="59">
        <v>1</v>
      </c>
      <c r="Y365" s="59">
        <v>7</v>
      </c>
      <c r="Z365" s="59">
        <f t="shared" si="104"/>
        <v>0</v>
      </c>
      <c r="AA365" s="59">
        <f>IF('Updated Dummy'!Y365=2,1,0)</f>
        <v>0</v>
      </c>
      <c r="AB365" s="59">
        <f t="shared" si="105"/>
        <v>0</v>
      </c>
      <c r="AC365" s="59">
        <f t="shared" si="106"/>
        <v>0</v>
      </c>
      <c r="AD365" s="59">
        <f t="shared" si="107"/>
        <v>0</v>
      </c>
      <c r="AE365" s="59">
        <f t="shared" si="108"/>
        <v>0</v>
      </c>
      <c r="AF365" s="59">
        <f t="shared" si="109"/>
        <v>1</v>
      </c>
      <c r="AG365" s="59">
        <f t="shared" si="110"/>
        <v>0</v>
      </c>
      <c r="AH365" s="59">
        <v>3</v>
      </c>
      <c r="AI365" s="59">
        <v>1</v>
      </c>
      <c r="AJ365" s="59">
        <f t="shared" si="111"/>
        <v>1</v>
      </c>
      <c r="AK365" s="59">
        <f t="shared" si="112"/>
        <v>0</v>
      </c>
      <c r="AL365" s="59">
        <v>2851</v>
      </c>
      <c r="AM365" s="59">
        <v>9150</v>
      </c>
      <c r="AN365" s="59">
        <v>1</v>
      </c>
      <c r="AO365" s="59">
        <v>1</v>
      </c>
      <c r="AP365" s="59">
        <v>13</v>
      </c>
      <c r="AQ365" s="59">
        <v>3</v>
      </c>
      <c r="AR365" s="59">
        <v>2</v>
      </c>
      <c r="AS365" s="59">
        <v>80</v>
      </c>
      <c r="AT365" s="59">
        <v>0</v>
      </c>
      <c r="AU365" s="59">
        <v>1</v>
      </c>
      <c r="AV365" s="59">
        <v>2</v>
      </c>
      <c r="AW365" s="59">
        <v>3</v>
      </c>
      <c r="AX365" s="59">
        <v>1</v>
      </c>
      <c r="AY365" s="59">
        <v>0</v>
      </c>
      <c r="AZ365" s="59">
        <v>0</v>
      </c>
      <c r="BA365" s="59">
        <v>0</v>
      </c>
      <c r="BB365" s="57">
        <f t="shared" si="113"/>
        <v>2851</v>
      </c>
    </row>
    <row r="366" spans="1:54" x14ac:dyDescent="0.25">
      <c r="A366" s="58">
        <v>37</v>
      </c>
      <c r="B366" s="59">
        <v>0</v>
      </c>
      <c r="C366" s="59">
        <v>1</v>
      </c>
      <c r="D366" s="59">
        <f t="shared" si="95"/>
        <v>1</v>
      </c>
      <c r="E366" s="59">
        <f t="shared" si="96"/>
        <v>0</v>
      </c>
      <c r="F366" s="59">
        <v>921</v>
      </c>
      <c r="G366" s="59">
        <v>2</v>
      </c>
      <c r="H366" s="59">
        <f t="shared" si="97"/>
        <v>0</v>
      </c>
      <c r="I366" s="59">
        <f t="shared" si="98"/>
        <v>1</v>
      </c>
      <c r="J366" s="59">
        <v>10</v>
      </c>
      <c r="K366" s="59">
        <v>3</v>
      </c>
      <c r="L366" s="59">
        <v>3</v>
      </c>
      <c r="M366" s="59">
        <f t="shared" si="99"/>
        <v>0</v>
      </c>
      <c r="N366" s="59">
        <f t="shared" si="100"/>
        <v>0</v>
      </c>
      <c r="O366" s="59">
        <f t="shared" si="101"/>
        <v>1</v>
      </c>
      <c r="P366" s="59">
        <f t="shared" si="102"/>
        <v>0</v>
      </c>
      <c r="Q366" s="59">
        <f t="shared" si="103"/>
        <v>0</v>
      </c>
      <c r="R366" s="59">
        <v>1</v>
      </c>
      <c r="S366" s="59">
        <v>486</v>
      </c>
      <c r="T366" s="59">
        <v>3</v>
      </c>
      <c r="U366" s="59">
        <v>0</v>
      </c>
      <c r="V366" s="59">
        <v>98</v>
      </c>
      <c r="W366" s="59">
        <v>3</v>
      </c>
      <c r="X366" s="59">
        <v>1</v>
      </c>
      <c r="Y366" s="59">
        <v>3</v>
      </c>
      <c r="Z366" s="59">
        <f t="shared" si="104"/>
        <v>0</v>
      </c>
      <c r="AA366" s="59">
        <f>IF('Updated Dummy'!Y366=2,1,0)</f>
        <v>0</v>
      </c>
      <c r="AB366" s="59">
        <f t="shared" si="105"/>
        <v>1</v>
      </c>
      <c r="AC366" s="59">
        <f t="shared" si="106"/>
        <v>0</v>
      </c>
      <c r="AD366" s="59">
        <f t="shared" si="107"/>
        <v>0</v>
      </c>
      <c r="AE366" s="59">
        <f t="shared" si="108"/>
        <v>0</v>
      </c>
      <c r="AF366" s="59">
        <f t="shared" si="109"/>
        <v>0</v>
      </c>
      <c r="AG366" s="59">
        <f t="shared" si="110"/>
        <v>0</v>
      </c>
      <c r="AH366" s="59">
        <v>1</v>
      </c>
      <c r="AI366" s="59">
        <v>2</v>
      </c>
      <c r="AJ366" s="59">
        <f t="shared" si="111"/>
        <v>0</v>
      </c>
      <c r="AK366" s="59">
        <f t="shared" si="112"/>
        <v>1</v>
      </c>
      <c r="AL366" s="59">
        <v>3452</v>
      </c>
      <c r="AM366" s="59">
        <v>17663</v>
      </c>
      <c r="AN366" s="59">
        <v>6</v>
      </c>
      <c r="AO366" s="59">
        <v>0</v>
      </c>
      <c r="AP366" s="59">
        <v>20</v>
      </c>
      <c r="AQ366" s="59">
        <v>4</v>
      </c>
      <c r="AR366" s="59">
        <v>2</v>
      </c>
      <c r="AS366" s="59">
        <v>80</v>
      </c>
      <c r="AT366" s="59">
        <v>1</v>
      </c>
      <c r="AU366" s="59">
        <v>17</v>
      </c>
      <c r="AV366" s="59">
        <v>3</v>
      </c>
      <c r="AW366" s="59">
        <v>3</v>
      </c>
      <c r="AX366" s="59">
        <v>5</v>
      </c>
      <c r="AY366" s="59">
        <v>4</v>
      </c>
      <c r="AZ366" s="59">
        <v>0</v>
      </c>
      <c r="BA366" s="59">
        <v>3</v>
      </c>
      <c r="BB366" s="57">
        <f t="shared" si="113"/>
        <v>3452</v>
      </c>
    </row>
    <row r="367" spans="1:54" x14ac:dyDescent="0.25">
      <c r="A367" s="58">
        <v>46</v>
      </c>
      <c r="B367" s="59">
        <v>0</v>
      </c>
      <c r="C367" s="59">
        <v>3</v>
      </c>
      <c r="D367" s="59">
        <f t="shared" si="95"/>
        <v>0</v>
      </c>
      <c r="E367" s="59">
        <f t="shared" si="96"/>
        <v>0</v>
      </c>
      <c r="F367" s="59">
        <v>1144</v>
      </c>
      <c r="G367" s="59">
        <v>2</v>
      </c>
      <c r="H367" s="59">
        <f t="shared" si="97"/>
        <v>0</v>
      </c>
      <c r="I367" s="59">
        <f t="shared" si="98"/>
        <v>1</v>
      </c>
      <c r="J367" s="59">
        <v>7</v>
      </c>
      <c r="K367" s="59">
        <v>4</v>
      </c>
      <c r="L367" s="59">
        <v>3</v>
      </c>
      <c r="M367" s="59">
        <f t="shared" si="99"/>
        <v>0</v>
      </c>
      <c r="N367" s="59">
        <f t="shared" si="100"/>
        <v>0</v>
      </c>
      <c r="O367" s="59">
        <f t="shared" si="101"/>
        <v>1</v>
      </c>
      <c r="P367" s="59">
        <f t="shared" si="102"/>
        <v>0</v>
      </c>
      <c r="Q367" s="59">
        <f t="shared" si="103"/>
        <v>0</v>
      </c>
      <c r="R367" s="59">
        <v>1</v>
      </c>
      <c r="S367" s="59">
        <v>487</v>
      </c>
      <c r="T367" s="59">
        <v>3</v>
      </c>
      <c r="U367" s="59">
        <v>0</v>
      </c>
      <c r="V367" s="59">
        <v>30</v>
      </c>
      <c r="W367" s="59">
        <v>3</v>
      </c>
      <c r="X367" s="59">
        <v>2</v>
      </c>
      <c r="Y367" s="59">
        <v>4</v>
      </c>
      <c r="Z367" s="59">
        <f t="shared" si="104"/>
        <v>0</v>
      </c>
      <c r="AA367" s="59">
        <f>IF('Updated Dummy'!Y367=2,1,0)</f>
        <v>0</v>
      </c>
      <c r="AB367" s="59">
        <f t="shared" si="105"/>
        <v>0</v>
      </c>
      <c r="AC367" s="59">
        <f t="shared" si="106"/>
        <v>1</v>
      </c>
      <c r="AD367" s="59">
        <f t="shared" si="107"/>
        <v>0</v>
      </c>
      <c r="AE367" s="59">
        <f t="shared" si="108"/>
        <v>0</v>
      </c>
      <c r="AF367" s="59">
        <f t="shared" si="109"/>
        <v>0</v>
      </c>
      <c r="AG367" s="59">
        <f t="shared" si="110"/>
        <v>0</v>
      </c>
      <c r="AH367" s="59">
        <v>3</v>
      </c>
      <c r="AI367" s="59">
        <v>2</v>
      </c>
      <c r="AJ367" s="59">
        <f t="shared" si="111"/>
        <v>0</v>
      </c>
      <c r="AK367" s="59">
        <f t="shared" si="112"/>
        <v>1</v>
      </c>
      <c r="AL367" s="59">
        <v>5258</v>
      </c>
      <c r="AM367" s="59">
        <v>16044</v>
      </c>
      <c r="AN367" s="59">
        <v>2</v>
      </c>
      <c r="AO367" s="59">
        <v>0</v>
      </c>
      <c r="AP367" s="59">
        <v>14</v>
      </c>
      <c r="AQ367" s="59">
        <v>3</v>
      </c>
      <c r="AR367" s="59">
        <v>3</v>
      </c>
      <c r="AS367" s="59">
        <v>80</v>
      </c>
      <c r="AT367" s="59">
        <v>0</v>
      </c>
      <c r="AU367" s="59">
        <v>7</v>
      </c>
      <c r="AV367" s="59">
        <v>2</v>
      </c>
      <c r="AW367" s="59">
        <v>4</v>
      </c>
      <c r="AX367" s="59">
        <v>1</v>
      </c>
      <c r="AY367" s="59">
        <v>0</v>
      </c>
      <c r="AZ367" s="59">
        <v>0</v>
      </c>
      <c r="BA367" s="59">
        <v>0</v>
      </c>
      <c r="BB367" s="57">
        <f t="shared" si="113"/>
        <v>10516</v>
      </c>
    </row>
    <row r="368" spans="1:54" x14ac:dyDescent="0.25">
      <c r="A368" s="58">
        <v>41</v>
      </c>
      <c r="B368" s="59">
        <v>1</v>
      </c>
      <c r="C368" s="59">
        <v>2</v>
      </c>
      <c r="D368" s="59">
        <f t="shared" si="95"/>
        <v>0</v>
      </c>
      <c r="E368" s="59">
        <f t="shared" si="96"/>
        <v>1</v>
      </c>
      <c r="F368" s="59">
        <v>143</v>
      </c>
      <c r="G368" s="59">
        <v>1</v>
      </c>
      <c r="H368" s="59">
        <f t="shared" si="97"/>
        <v>1</v>
      </c>
      <c r="I368" s="59">
        <f t="shared" si="98"/>
        <v>0</v>
      </c>
      <c r="J368" s="59">
        <v>4</v>
      </c>
      <c r="K368" s="59">
        <v>3</v>
      </c>
      <c r="L368" s="59">
        <v>4</v>
      </c>
      <c r="M368" s="59">
        <f t="shared" si="99"/>
        <v>0</v>
      </c>
      <c r="N368" s="59">
        <f t="shared" si="100"/>
        <v>0</v>
      </c>
      <c r="O368" s="59">
        <f t="shared" si="101"/>
        <v>0</v>
      </c>
      <c r="P368" s="59">
        <f t="shared" si="102"/>
        <v>1</v>
      </c>
      <c r="Q368" s="59">
        <f t="shared" si="103"/>
        <v>0</v>
      </c>
      <c r="R368" s="59">
        <v>1</v>
      </c>
      <c r="S368" s="59">
        <v>488</v>
      </c>
      <c r="T368" s="59">
        <v>1</v>
      </c>
      <c r="U368" s="59">
        <v>1</v>
      </c>
      <c r="V368" s="59">
        <v>56</v>
      </c>
      <c r="W368" s="59">
        <v>3</v>
      </c>
      <c r="X368" s="59">
        <v>2</v>
      </c>
      <c r="Y368" s="59">
        <v>1</v>
      </c>
      <c r="Z368" s="59">
        <f t="shared" si="104"/>
        <v>1</v>
      </c>
      <c r="AA368" s="59">
        <f>IF('Updated Dummy'!Y368=2,1,0)</f>
        <v>0</v>
      </c>
      <c r="AB368" s="59">
        <f t="shared" si="105"/>
        <v>0</v>
      </c>
      <c r="AC368" s="59">
        <f t="shared" si="106"/>
        <v>0</v>
      </c>
      <c r="AD368" s="59">
        <f t="shared" si="107"/>
        <v>0</v>
      </c>
      <c r="AE368" s="59">
        <f t="shared" si="108"/>
        <v>0</v>
      </c>
      <c r="AF368" s="59">
        <f t="shared" si="109"/>
        <v>0</v>
      </c>
      <c r="AG368" s="59">
        <f t="shared" si="110"/>
        <v>0</v>
      </c>
      <c r="AH368" s="59">
        <v>2</v>
      </c>
      <c r="AI368" s="59">
        <v>1</v>
      </c>
      <c r="AJ368" s="59">
        <f t="shared" si="111"/>
        <v>1</v>
      </c>
      <c r="AK368" s="59">
        <f t="shared" si="112"/>
        <v>0</v>
      </c>
      <c r="AL368" s="59">
        <v>9355</v>
      </c>
      <c r="AM368" s="59">
        <v>9558</v>
      </c>
      <c r="AN368" s="59">
        <v>1</v>
      </c>
      <c r="AO368" s="59">
        <v>0</v>
      </c>
      <c r="AP368" s="59">
        <v>18</v>
      </c>
      <c r="AQ368" s="59">
        <v>3</v>
      </c>
      <c r="AR368" s="59">
        <v>3</v>
      </c>
      <c r="AS368" s="59">
        <v>80</v>
      </c>
      <c r="AT368" s="59">
        <v>0</v>
      </c>
      <c r="AU368" s="59">
        <v>8</v>
      </c>
      <c r="AV368" s="59">
        <v>5</v>
      </c>
      <c r="AW368" s="59">
        <v>3</v>
      </c>
      <c r="AX368" s="59">
        <v>8</v>
      </c>
      <c r="AY368" s="59">
        <v>7</v>
      </c>
      <c r="AZ368" s="59">
        <v>7</v>
      </c>
      <c r="BA368" s="59">
        <v>7</v>
      </c>
      <c r="BB368" s="57">
        <f t="shared" si="113"/>
        <v>18710</v>
      </c>
    </row>
    <row r="369" spans="1:54" x14ac:dyDescent="0.25">
      <c r="A369" s="58">
        <v>50</v>
      </c>
      <c r="B369" s="59">
        <v>0</v>
      </c>
      <c r="C369" s="59">
        <v>1</v>
      </c>
      <c r="D369" s="59">
        <f t="shared" si="95"/>
        <v>1</v>
      </c>
      <c r="E369" s="59">
        <f t="shared" si="96"/>
        <v>0</v>
      </c>
      <c r="F369" s="59">
        <v>1046</v>
      </c>
      <c r="G369" s="59">
        <v>2</v>
      </c>
      <c r="H369" s="59">
        <f t="shared" si="97"/>
        <v>0</v>
      </c>
      <c r="I369" s="59">
        <f t="shared" si="98"/>
        <v>1</v>
      </c>
      <c r="J369" s="59">
        <v>10</v>
      </c>
      <c r="K369" s="59">
        <v>3</v>
      </c>
      <c r="L369" s="59">
        <v>5</v>
      </c>
      <c r="M369" s="59">
        <f t="shared" si="99"/>
        <v>0</v>
      </c>
      <c r="N369" s="59">
        <f t="shared" si="100"/>
        <v>0</v>
      </c>
      <c r="O369" s="59">
        <f t="shared" si="101"/>
        <v>0</v>
      </c>
      <c r="P369" s="59">
        <f t="shared" si="102"/>
        <v>0</v>
      </c>
      <c r="Q369" s="59">
        <f t="shared" si="103"/>
        <v>1</v>
      </c>
      <c r="R369" s="59">
        <v>1</v>
      </c>
      <c r="S369" s="59">
        <v>491</v>
      </c>
      <c r="T369" s="59">
        <v>4</v>
      </c>
      <c r="U369" s="59">
        <v>1</v>
      </c>
      <c r="V369" s="59">
        <v>100</v>
      </c>
      <c r="W369" s="59">
        <v>2</v>
      </c>
      <c r="X369" s="59">
        <v>3</v>
      </c>
      <c r="Y369" s="59">
        <v>5</v>
      </c>
      <c r="Z369" s="59">
        <f t="shared" si="104"/>
        <v>0</v>
      </c>
      <c r="AA369" s="59">
        <f>IF('Updated Dummy'!Y369=2,1,0)</f>
        <v>0</v>
      </c>
      <c r="AB369" s="59">
        <f t="shared" si="105"/>
        <v>0</v>
      </c>
      <c r="AC369" s="59">
        <f t="shared" si="106"/>
        <v>0</v>
      </c>
      <c r="AD369" s="59">
        <f t="shared" si="107"/>
        <v>1</v>
      </c>
      <c r="AE369" s="59">
        <f t="shared" si="108"/>
        <v>0</v>
      </c>
      <c r="AF369" s="59">
        <f t="shared" si="109"/>
        <v>0</v>
      </c>
      <c r="AG369" s="59">
        <f t="shared" si="110"/>
        <v>0</v>
      </c>
      <c r="AH369" s="59">
        <v>4</v>
      </c>
      <c r="AI369" s="59">
        <v>1</v>
      </c>
      <c r="AJ369" s="59">
        <f t="shared" si="111"/>
        <v>1</v>
      </c>
      <c r="AK369" s="59">
        <f t="shared" si="112"/>
        <v>0</v>
      </c>
      <c r="AL369" s="59">
        <v>10496</v>
      </c>
      <c r="AM369" s="59">
        <v>2755</v>
      </c>
      <c r="AN369" s="59">
        <v>6</v>
      </c>
      <c r="AO369" s="59">
        <v>0</v>
      </c>
      <c r="AP369" s="59">
        <v>15</v>
      </c>
      <c r="AQ369" s="59">
        <v>3</v>
      </c>
      <c r="AR369" s="59">
        <v>4</v>
      </c>
      <c r="AS369" s="59">
        <v>80</v>
      </c>
      <c r="AT369" s="59">
        <v>0</v>
      </c>
      <c r="AU369" s="59">
        <v>20</v>
      </c>
      <c r="AV369" s="59">
        <v>2</v>
      </c>
      <c r="AW369" s="59">
        <v>3</v>
      </c>
      <c r="AX369" s="59">
        <v>4</v>
      </c>
      <c r="AY369" s="59">
        <v>3</v>
      </c>
      <c r="AZ369" s="59">
        <v>1</v>
      </c>
      <c r="BA369" s="59">
        <v>3</v>
      </c>
      <c r="BB369" s="57">
        <f t="shared" si="113"/>
        <v>31488</v>
      </c>
    </row>
    <row r="370" spans="1:54" x14ac:dyDescent="0.25">
      <c r="A370" s="58">
        <v>40</v>
      </c>
      <c r="B370" s="59">
        <v>1</v>
      </c>
      <c r="C370" s="59">
        <v>1</v>
      </c>
      <c r="D370" s="59">
        <f t="shared" si="95"/>
        <v>1</v>
      </c>
      <c r="E370" s="59">
        <f t="shared" si="96"/>
        <v>0</v>
      </c>
      <c r="F370" s="59">
        <v>575</v>
      </c>
      <c r="G370" s="59">
        <v>1</v>
      </c>
      <c r="H370" s="59">
        <f t="shared" si="97"/>
        <v>1</v>
      </c>
      <c r="I370" s="59">
        <f t="shared" si="98"/>
        <v>0</v>
      </c>
      <c r="J370" s="59">
        <v>22</v>
      </c>
      <c r="K370" s="59">
        <v>2</v>
      </c>
      <c r="L370" s="59">
        <v>4</v>
      </c>
      <c r="M370" s="59">
        <f t="shared" si="99"/>
        <v>0</v>
      </c>
      <c r="N370" s="59">
        <f t="shared" si="100"/>
        <v>0</v>
      </c>
      <c r="O370" s="59">
        <f t="shared" si="101"/>
        <v>0</v>
      </c>
      <c r="P370" s="59">
        <f t="shared" si="102"/>
        <v>1</v>
      </c>
      <c r="Q370" s="59">
        <f t="shared" si="103"/>
        <v>0</v>
      </c>
      <c r="R370" s="59">
        <v>1</v>
      </c>
      <c r="S370" s="59">
        <v>492</v>
      </c>
      <c r="T370" s="59">
        <v>3</v>
      </c>
      <c r="U370" s="59">
        <v>1</v>
      </c>
      <c r="V370" s="59">
        <v>68</v>
      </c>
      <c r="W370" s="59">
        <v>2</v>
      </c>
      <c r="X370" s="59">
        <v>2</v>
      </c>
      <c r="Y370" s="59">
        <v>1</v>
      </c>
      <c r="Z370" s="59">
        <f t="shared" si="104"/>
        <v>1</v>
      </c>
      <c r="AA370" s="59">
        <f>IF('Updated Dummy'!Y370=2,1,0)</f>
        <v>0</v>
      </c>
      <c r="AB370" s="59">
        <f t="shared" si="105"/>
        <v>0</v>
      </c>
      <c r="AC370" s="59">
        <f t="shared" si="106"/>
        <v>0</v>
      </c>
      <c r="AD370" s="59">
        <f t="shared" si="107"/>
        <v>0</v>
      </c>
      <c r="AE370" s="59">
        <f t="shared" si="108"/>
        <v>0</v>
      </c>
      <c r="AF370" s="59">
        <f t="shared" si="109"/>
        <v>0</v>
      </c>
      <c r="AG370" s="59">
        <f t="shared" si="110"/>
        <v>0</v>
      </c>
      <c r="AH370" s="59">
        <v>3</v>
      </c>
      <c r="AI370" s="59">
        <v>2</v>
      </c>
      <c r="AJ370" s="59">
        <f t="shared" si="111"/>
        <v>0</v>
      </c>
      <c r="AK370" s="59">
        <f t="shared" si="112"/>
        <v>1</v>
      </c>
      <c r="AL370" s="59">
        <v>6380</v>
      </c>
      <c r="AM370" s="59">
        <v>6110</v>
      </c>
      <c r="AN370" s="59">
        <v>2</v>
      </c>
      <c r="AO370" s="59">
        <v>1</v>
      </c>
      <c r="AP370" s="59">
        <v>12</v>
      </c>
      <c r="AQ370" s="59">
        <v>3</v>
      </c>
      <c r="AR370" s="59">
        <v>1</v>
      </c>
      <c r="AS370" s="59">
        <v>80</v>
      </c>
      <c r="AT370" s="59">
        <v>2</v>
      </c>
      <c r="AU370" s="59">
        <v>8</v>
      </c>
      <c r="AV370" s="59">
        <v>6</v>
      </c>
      <c r="AW370" s="59">
        <v>3</v>
      </c>
      <c r="AX370" s="59">
        <v>6</v>
      </c>
      <c r="AY370" s="59">
        <v>4</v>
      </c>
      <c r="AZ370" s="59">
        <v>1</v>
      </c>
      <c r="BA370" s="59">
        <v>0</v>
      </c>
      <c r="BB370" s="57">
        <f t="shared" si="113"/>
        <v>12760</v>
      </c>
    </row>
    <row r="371" spans="1:54" x14ac:dyDescent="0.25">
      <c r="A371" s="58">
        <v>31</v>
      </c>
      <c r="B371" s="59">
        <v>0</v>
      </c>
      <c r="C371" s="59">
        <v>1</v>
      </c>
      <c r="D371" s="59">
        <f t="shared" si="95"/>
        <v>1</v>
      </c>
      <c r="E371" s="59">
        <f t="shared" si="96"/>
        <v>0</v>
      </c>
      <c r="F371" s="59">
        <v>408</v>
      </c>
      <c r="G371" s="59">
        <v>2</v>
      </c>
      <c r="H371" s="59">
        <f t="shared" si="97"/>
        <v>0</v>
      </c>
      <c r="I371" s="59">
        <f t="shared" si="98"/>
        <v>1</v>
      </c>
      <c r="J371" s="59">
        <v>9</v>
      </c>
      <c r="K371" s="59">
        <v>4</v>
      </c>
      <c r="L371" s="59">
        <v>1</v>
      </c>
      <c r="M371" s="59">
        <f t="shared" si="99"/>
        <v>1</v>
      </c>
      <c r="N371" s="59">
        <f t="shared" si="100"/>
        <v>0</v>
      </c>
      <c r="O371" s="59">
        <f t="shared" si="101"/>
        <v>0</v>
      </c>
      <c r="P371" s="59">
        <f t="shared" si="102"/>
        <v>0</v>
      </c>
      <c r="Q371" s="59">
        <f t="shared" si="103"/>
        <v>0</v>
      </c>
      <c r="R371" s="59">
        <v>1</v>
      </c>
      <c r="S371" s="59">
        <v>493</v>
      </c>
      <c r="T371" s="59">
        <v>3</v>
      </c>
      <c r="U371" s="59">
        <v>1</v>
      </c>
      <c r="V371" s="59">
        <v>42</v>
      </c>
      <c r="W371" s="59">
        <v>2</v>
      </c>
      <c r="X371" s="59">
        <v>1</v>
      </c>
      <c r="Y371" s="59">
        <v>2</v>
      </c>
      <c r="Z371" s="59">
        <f t="shared" si="104"/>
        <v>0</v>
      </c>
      <c r="AA371" s="59">
        <f>IF('Updated Dummy'!Y371=2,1,0)</f>
        <v>1</v>
      </c>
      <c r="AB371" s="59">
        <f t="shared" si="105"/>
        <v>0</v>
      </c>
      <c r="AC371" s="59">
        <f t="shared" si="106"/>
        <v>0</v>
      </c>
      <c r="AD371" s="59">
        <f t="shared" si="107"/>
        <v>0</v>
      </c>
      <c r="AE371" s="59">
        <f t="shared" si="108"/>
        <v>0</v>
      </c>
      <c r="AF371" s="59">
        <f t="shared" si="109"/>
        <v>0</v>
      </c>
      <c r="AG371" s="59">
        <f t="shared" si="110"/>
        <v>0</v>
      </c>
      <c r="AH371" s="59">
        <v>2</v>
      </c>
      <c r="AI371" s="59">
        <v>1</v>
      </c>
      <c r="AJ371" s="59">
        <f t="shared" si="111"/>
        <v>1</v>
      </c>
      <c r="AK371" s="59">
        <f t="shared" si="112"/>
        <v>0</v>
      </c>
      <c r="AL371" s="59">
        <v>2657</v>
      </c>
      <c r="AM371" s="59">
        <v>7551</v>
      </c>
      <c r="AN371" s="59">
        <v>0</v>
      </c>
      <c r="AO371" s="59">
        <v>1</v>
      </c>
      <c r="AP371" s="59">
        <v>16</v>
      </c>
      <c r="AQ371" s="59">
        <v>3</v>
      </c>
      <c r="AR371" s="59">
        <v>4</v>
      </c>
      <c r="AS371" s="59">
        <v>80</v>
      </c>
      <c r="AT371" s="59">
        <v>0</v>
      </c>
      <c r="AU371" s="59">
        <v>3</v>
      </c>
      <c r="AV371" s="59">
        <v>5</v>
      </c>
      <c r="AW371" s="59">
        <v>3</v>
      </c>
      <c r="AX371" s="59">
        <v>2</v>
      </c>
      <c r="AY371" s="59">
        <v>2</v>
      </c>
      <c r="AZ371" s="59">
        <v>2</v>
      </c>
      <c r="BA371" s="59">
        <v>2</v>
      </c>
      <c r="BB371" s="57">
        <f t="shared" si="113"/>
        <v>2657</v>
      </c>
    </row>
    <row r="372" spans="1:54" x14ac:dyDescent="0.25">
      <c r="A372" s="58">
        <v>21</v>
      </c>
      <c r="B372" s="59">
        <v>1</v>
      </c>
      <c r="C372" s="59">
        <v>1</v>
      </c>
      <c r="D372" s="59">
        <f t="shared" si="95"/>
        <v>1</v>
      </c>
      <c r="E372" s="59">
        <f t="shared" si="96"/>
        <v>0</v>
      </c>
      <c r="F372" s="59">
        <v>156</v>
      </c>
      <c r="G372" s="59">
        <v>1</v>
      </c>
      <c r="H372" s="59">
        <f t="shared" si="97"/>
        <v>1</v>
      </c>
      <c r="I372" s="59">
        <f t="shared" si="98"/>
        <v>0</v>
      </c>
      <c r="J372" s="59">
        <v>12</v>
      </c>
      <c r="K372" s="59">
        <v>3</v>
      </c>
      <c r="L372" s="59">
        <v>1</v>
      </c>
      <c r="M372" s="59">
        <f t="shared" si="99"/>
        <v>1</v>
      </c>
      <c r="N372" s="59">
        <f t="shared" si="100"/>
        <v>0</v>
      </c>
      <c r="O372" s="59">
        <f t="shared" si="101"/>
        <v>0</v>
      </c>
      <c r="P372" s="59">
        <f t="shared" si="102"/>
        <v>0</v>
      </c>
      <c r="Q372" s="59">
        <f t="shared" si="103"/>
        <v>0</v>
      </c>
      <c r="R372" s="59">
        <v>1</v>
      </c>
      <c r="S372" s="59">
        <v>494</v>
      </c>
      <c r="T372" s="59">
        <v>3</v>
      </c>
      <c r="U372" s="59">
        <v>0</v>
      </c>
      <c r="V372" s="59">
        <v>90</v>
      </c>
      <c r="W372" s="59">
        <v>4</v>
      </c>
      <c r="X372" s="59">
        <v>1</v>
      </c>
      <c r="Y372" s="59">
        <v>7</v>
      </c>
      <c r="Z372" s="59">
        <f t="shared" si="104"/>
        <v>0</v>
      </c>
      <c r="AA372" s="59">
        <f>IF('Updated Dummy'!Y372=2,1,0)</f>
        <v>0</v>
      </c>
      <c r="AB372" s="59">
        <f t="shared" si="105"/>
        <v>0</v>
      </c>
      <c r="AC372" s="59">
        <f t="shared" si="106"/>
        <v>0</v>
      </c>
      <c r="AD372" s="59">
        <f t="shared" si="107"/>
        <v>0</v>
      </c>
      <c r="AE372" s="59">
        <f t="shared" si="108"/>
        <v>0</v>
      </c>
      <c r="AF372" s="59">
        <f t="shared" si="109"/>
        <v>1</v>
      </c>
      <c r="AG372" s="59">
        <f t="shared" si="110"/>
        <v>0</v>
      </c>
      <c r="AH372" s="59">
        <v>2</v>
      </c>
      <c r="AI372" s="59">
        <v>1</v>
      </c>
      <c r="AJ372" s="59">
        <f t="shared" si="111"/>
        <v>1</v>
      </c>
      <c r="AK372" s="59">
        <f t="shared" si="112"/>
        <v>0</v>
      </c>
      <c r="AL372" s="59">
        <v>2716</v>
      </c>
      <c r="AM372" s="59">
        <v>25422</v>
      </c>
      <c r="AN372" s="59">
        <v>1</v>
      </c>
      <c r="AO372" s="59">
        <v>0</v>
      </c>
      <c r="AP372" s="59">
        <v>15</v>
      </c>
      <c r="AQ372" s="59">
        <v>3</v>
      </c>
      <c r="AR372" s="59">
        <v>4</v>
      </c>
      <c r="AS372" s="59">
        <v>80</v>
      </c>
      <c r="AT372" s="59">
        <v>0</v>
      </c>
      <c r="AU372" s="59">
        <v>1</v>
      </c>
      <c r="AV372" s="59">
        <v>0</v>
      </c>
      <c r="AW372" s="59">
        <v>3</v>
      </c>
      <c r="AX372" s="59">
        <v>1</v>
      </c>
      <c r="AY372" s="59">
        <v>0</v>
      </c>
      <c r="AZ372" s="59">
        <v>0</v>
      </c>
      <c r="BA372" s="59">
        <v>0</v>
      </c>
      <c r="BB372" s="57">
        <f t="shared" si="113"/>
        <v>2716</v>
      </c>
    </row>
    <row r="373" spans="1:54" x14ac:dyDescent="0.25">
      <c r="A373" s="58">
        <v>29</v>
      </c>
      <c r="B373" s="59">
        <v>0</v>
      </c>
      <c r="C373" s="59">
        <v>1</v>
      </c>
      <c r="D373" s="59">
        <f t="shared" si="95"/>
        <v>1</v>
      </c>
      <c r="E373" s="59">
        <f t="shared" si="96"/>
        <v>0</v>
      </c>
      <c r="F373" s="59">
        <v>1283</v>
      </c>
      <c r="G373" s="59">
        <v>2</v>
      </c>
      <c r="H373" s="59">
        <f t="shared" si="97"/>
        <v>0</v>
      </c>
      <c r="I373" s="59">
        <f t="shared" si="98"/>
        <v>1</v>
      </c>
      <c r="J373" s="59">
        <v>23</v>
      </c>
      <c r="K373" s="59">
        <v>3</v>
      </c>
      <c r="L373" s="59">
        <v>1</v>
      </c>
      <c r="M373" s="59">
        <f t="shared" si="99"/>
        <v>1</v>
      </c>
      <c r="N373" s="59">
        <f t="shared" si="100"/>
        <v>0</v>
      </c>
      <c r="O373" s="59">
        <f t="shared" si="101"/>
        <v>0</v>
      </c>
      <c r="P373" s="59">
        <f t="shared" si="102"/>
        <v>0</v>
      </c>
      <c r="Q373" s="59">
        <f t="shared" si="103"/>
        <v>0</v>
      </c>
      <c r="R373" s="59">
        <v>1</v>
      </c>
      <c r="S373" s="59">
        <v>495</v>
      </c>
      <c r="T373" s="59">
        <v>4</v>
      </c>
      <c r="U373" s="59">
        <v>1</v>
      </c>
      <c r="V373" s="59">
        <v>54</v>
      </c>
      <c r="W373" s="59">
        <v>3</v>
      </c>
      <c r="X373" s="59">
        <v>1</v>
      </c>
      <c r="Y373" s="59">
        <v>2</v>
      </c>
      <c r="Z373" s="59">
        <f t="shared" si="104"/>
        <v>0</v>
      </c>
      <c r="AA373" s="59">
        <f>IF('Updated Dummy'!Y373=2,1,0)</f>
        <v>1</v>
      </c>
      <c r="AB373" s="59">
        <f t="shared" si="105"/>
        <v>0</v>
      </c>
      <c r="AC373" s="59">
        <f t="shared" si="106"/>
        <v>0</v>
      </c>
      <c r="AD373" s="59">
        <f t="shared" si="107"/>
        <v>0</v>
      </c>
      <c r="AE373" s="59">
        <f t="shared" si="108"/>
        <v>0</v>
      </c>
      <c r="AF373" s="59">
        <f t="shared" si="109"/>
        <v>0</v>
      </c>
      <c r="AG373" s="59">
        <f t="shared" si="110"/>
        <v>0</v>
      </c>
      <c r="AH373" s="59">
        <v>4</v>
      </c>
      <c r="AI373" s="59">
        <v>1</v>
      </c>
      <c r="AJ373" s="59">
        <f t="shared" si="111"/>
        <v>1</v>
      </c>
      <c r="AK373" s="59">
        <f t="shared" si="112"/>
        <v>0</v>
      </c>
      <c r="AL373" s="59">
        <v>2201</v>
      </c>
      <c r="AM373" s="59">
        <v>18168</v>
      </c>
      <c r="AN373" s="59">
        <v>9</v>
      </c>
      <c r="AO373" s="59">
        <v>0</v>
      </c>
      <c r="AP373" s="59">
        <v>16</v>
      </c>
      <c r="AQ373" s="59">
        <v>3</v>
      </c>
      <c r="AR373" s="59">
        <v>4</v>
      </c>
      <c r="AS373" s="59">
        <v>80</v>
      </c>
      <c r="AT373" s="59">
        <v>0</v>
      </c>
      <c r="AU373" s="59">
        <v>6</v>
      </c>
      <c r="AV373" s="59">
        <v>4</v>
      </c>
      <c r="AW373" s="59">
        <v>3</v>
      </c>
      <c r="AX373" s="59">
        <v>3</v>
      </c>
      <c r="AY373" s="59">
        <v>2</v>
      </c>
      <c r="AZ373" s="59">
        <v>1</v>
      </c>
      <c r="BA373" s="59">
        <v>2</v>
      </c>
      <c r="BB373" s="57">
        <f t="shared" si="113"/>
        <v>2201</v>
      </c>
    </row>
    <row r="374" spans="1:54" x14ac:dyDescent="0.25">
      <c r="A374" s="58">
        <v>35</v>
      </c>
      <c r="B374" s="59">
        <v>0</v>
      </c>
      <c r="C374" s="59">
        <v>1</v>
      </c>
      <c r="D374" s="59">
        <f t="shared" si="95"/>
        <v>1</v>
      </c>
      <c r="E374" s="59">
        <f t="shared" si="96"/>
        <v>0</v>
      </c>
      <c r="F374" s="59">
        <v>755</v>
      </c>
      <c r="G374" s="59">
        <v>2</v>
      </c>
      <c r="H374" s="59">
        <f t="shared" si="97"/>
        <v>0</v>
      </c>
      <c r="I374" s="59">
        <f t="shared" si="98"/>
        <v>1</v>
      </c>
      <c r="J374" s="59">
        <v>9</v>
      </c>
      <c r="K374" s="59">
        <v>4</v>
      </c>
      <c r="L374" s="59">
        <v>1</v>
      </c>
      <c r="M374" s="59">
        <f t="shared" si="99"/>
        <v>1</v>
      </c>
      <c r="N374" s="59">
        <f t="shared" si="100"/>
        <v>0</v>
      </c>
      <c r="O374" s="59">
        <f t="shared" si="101"/>
        <v>0</v>
      </c>
      <c r="P374" s="59">
        <f t="shared" si="102"/>
        <v>0</v>
      </c>
      <c r="Q374" s="59">
        <f t="shared" si="103"/>
        <v>0</v>
      </c>
      <c r="R374" s="59">
        <v>1</v>
      </c>
      <c r="S374" s="59">
        <v>496</v>
      </c>
      <c r="T374" s="59">
        <v>3</v>
      </c>
      <c r="U374" s="59">
        <v>1</v>
      </c>
      <c r="V374" s="59">
        <v>97</v>
      </c>
      <c r="W374" s="59">
        <v>2</v>
      </c>
      <c r="X374" s="59">
        <v>2</v>
      </c>
      <c r="Y374" s="59">
        <v>5</v>
      </c>
      <c r="Z374" s="59">
        <f t="shared" si="104"/>
        <v>0</v>
      </c>
      <c r="AA374" s="59">
        <f>IF('Updated Dummy'!Y374=2,1,0)</f>
        <v>0</v>
      </c>
      <c r="AB374" s="59">
        <f t="shared" si="105"/>
        <v>0</v>
      </c>
      <c r="AC374" s="59">
        <f t="shared" si="106"/>
        <v>0</v>
      </c>
      <c r="AD374" s="59">
        <f t="shared" si="107"/>
        <v>1</v>
      </c>
      <c r="AE374" s="59">
        <f t="shared" si="108"/>
        <v>0</v>
      </c>
      <c r="AF374" s="59">
        <f t="shared" si="109"/>
        <v>0</v>
      </c>
      <c r="AG374" s="59">
        <f t="shared" si="110"/>
        <v>0</v>
      </c>
      <c r="AH374" s="59">
        <v>2</v>
      </c>
      <c r="AI374" s="59">
        <v>1</v>
      </c>
      <c r="AJ374" s="59">
        <f t="shared" si="111"/>
        <v>1</v>
      </c>
      <c r="AK374" s="59">
        <f t="shared" si="112"/>
        <v>0</v>
      </c>
      <c r="AL374" s="59">
        <v>6540</v>
      </c>
      <c r="AM374" s="59">
        <v>19394</v>
      </c>
      <c r="AN374" s="59">
        <v>9</v>
      </c>
      <c r="AO374" s="59">
        <v>0</v>
      </c>
      <c r="AP374" s="59">
        <v>19</v>
      </c>
      <c r="AQ374" s="59">
        <v>3</v>
      </c>
      <c r="AR374" s="59">
        <v>3</v>
      </c>
      <c r="AS374" s="59">
        <v>80</v>
      </c>
      <c r="AT374" s="59">
        <v>0</v>
      </c>
      <c r="AU374" s="59">
        <v>10</v>
      </c>
      <c r="AV374" s="59">
        <v>5</v>
      </c>
      <c r="AW374" s="59">
        <v>3</v>
      </c>
      <c r="AX374" s="59">
        <v>1</v>
      </c>
      <c r="AY374" s="59">
        <v>1</v>
      </c>
      <c r="AZ374" s="59">
        <v>0</v>
      </c>
      <c r="BA374" s="59">
        <v>0</v>
      </c>
      <c r="BB374" s="57">
        <f t="shared" si="113"/>
        <v>13080</v>
      </c>
    </row>
    <row r="375" spans="1:54" x14ac:dyDescent="0.25">
      <c r="A375" s="58">
        <v>27</v>
      </c>
      <c r="B375" s="59">
        <v>0</v>
      </c>
      <c r="C375" s="59">
        <v>1</v>
      </c>
      <c r="D375" s="59">
        <f t="shared" si="95"/>
        <v>1</v>
      </c>
      <c r="E375" s="59">
        <f t="shared" si="96"/>
        <v>0</v>
      </c>
      <c r="F375" s="59">
        <v>1469</v>
      </c>
      <c r="G375" s="59">
        <v>2</v>
      </c>
      <c r="H375" s="59">
        <f t="shared" si="97"/>
        <v>0</v>
      </c>
      <c r="I375" s="59">
        <f t="shared" si="98"/>
        <v>1</v>
      </c>
      <c r="J375" s="59">
        <v>1</v>
      </c>
      <c r="K375" s="59">
        <v>2</v>
      </c>
      <c r="L375" s="59">
        <v>3</v>
      </c>
      <c r="M375" s="59">
        <f t="shared" si="99"/>
        <v>0</v>
      </c>
      <c r="N375" s="59">
        <f t="shared" si="100"/>
        <v>0</v>
      </c>
      <c r="O375" s="59">
        <f t="shared" si="101"/>
        <v>1</v>
      </c>
      <c r="P375" s="59">
        <f t="shared" si="102"/>
        <v>0</v>
      </c>
      <c r="Q375" s="59">
        <f t="shared" si="103"/>
        <v>0</v>
      </c>
      <c r="R375" s="59">
        <v>1</v>
      </c>
      <c r="S375" s="59">
        <v>497</v>
      </c>
      <c r="T375" s="59">
        <v>4</v>
      </c>
      <c r="U375" s="59">
        <v>1</v>
      </c>
      <c r="V375" s="59">
        <v>82</v>
      </c>
      <c r="W375" s="59">
        <v>3</v>
      </c>
      <c r="X375" s="59">
        <v>1</v>
      </c>
      <c r="Y375" s="59">
        <v>3</v>
      </c>
      <c r="Z375" s="59">
        <f t="shared" si="104"/>
        <v>0</v>
      </c>
      <c r="AA375" s="59">
        <f>IF('Updated Dummy'!Y375=2,1,0)</f>
        <v>0</v>
      </c>
      <c r="AB375" s="59">
        <f t="shared" si="105"/>
        <v>1</v>
      </c>
      <c r="AC375" s="59">
        <f t="shared" si="106"/>
        <v>0</v>
      </c>
      <c r="AD375" s="59">
        <f t="shared" si="107"/>
        <v>0</v>
      </c>
      <c r="AE375" s="59">
        <f t="shared" si="108"/>
        <v>0</v>
      </c>
      <c r="AF375" s="59">
        <f t="shared" si="109"/>
        <v>0</v>
      </c>
      <c r="AG375" s="59">
        <f t="shared" si="110"/>
        <v>0</v>
      </c>
      <c r="AH375" s="59">
        <v>2</v>
      </c>
      <c r="AI375" s="59">
        <v>3</v>
      </c>
      <c r="AJ375" s="59">
        <f t="shared" si="111"/>
        <v>0</v>
      </c>
      <c r="AK375" s="59">
        <f t="shared" si="112"/>
        <v>0</v>
      </c>
      <c r="AL375" s="59">
        <v>3816</v>
      </c>
      <c r="AM375" s="59">
        <v>17881</v>
      </c>
      <c r="AN375" s="59">
        <v>1</v>
      </c>
      <c r="AO375" s="59">
        <v>0</v>
      </c>
      <c r="AP375" s="59">
        <v>11</v>
      </c>
      <c r="AQ375" s="59">
        <v>3</v>
      </c>
      <c r="AR375" s="59">
        <v>2</v>
      </c>
      <c r="AS375" s="59">
        <v>80</v>
      </c>
      <c r="AT375" s="59">
        <v>1</v>
      </c>
      <c r="AU375" s="59">
        <v>5</v>
      </c>
      <c r="AV375" s="59">
        <v>2</v>
      </c>
      <c r="AW375" s="59">
        <v>3</v>
      </c>
      <c r="AX375" s="59">
        <v>5</v>
      </c>
      <c r="AY375" s="59">
        <v>2</v>
      </c>
      <c r="AZ375" s="59">
        <v>0</v>
      </c>
      <c r="BA375" s="59">
        <v>4</v>
      </c>
      <c r="BB375" s="57">
        <f t="shared" si="113"/>
        <v>3816</v>
      </c>
    </row>
    <row r="376" spans="1:54" x14ac:dyDescent="0.25">
      <c r="A376" s="58">
        <v>28</v>
      </c>
      <c r="B376" s="59">
        <v>0</v>
      </c>
      <c r="C376" s="59">
        <v>1</v>
      </c>
      <c r="D376" s="59">
        <f t="shared" si="95"/>
        <v>1</v>
      </c>
      <c r="E376" s="59">
        <f t="shared" si="96"/>
        <v>0</v>
      </c>
      <c r="F376" s="59">
        <v>304</v>
      </c>
      <c r="G376" s="59">
        <v>1</v>
      </c>
      <c r="H376" s="59">
        <f t="shared" si="97"/>
        <v>1</v>
      </c>
      <c r="I376" s="59">
        <f t="shared" si="98"/>
        <v>0</v>
      </c>
      <c r="J376" s="59">
        <v>9</v>
      </c>
      <c r="K376" s="59">
        <v>4</v>
      </c>
      <c r="L376" s="59">
        <v>1</v>
      </c>
      <c r="M376" s="59">
        <f t="shared" si="99"/>
        <v>1</v>
      </c>
      <c r="N376" s="59">
        <f t="shared" si="100"/>
        <v>0</v>
      </c>
      <c r="O376" s="59">
        <f t="shared" si="101"/>
        <v>0</v>
      </c>
      <c r="P376" s="59">
        <f t="shared" si="102"/>
        <v>0</v>
      </c>
      <c r="Q376" s="59">
        <f t="shared" si="103"/>
        <v>0</v>
      </c>
      <c r="R376" s="59">
        <v>1</v>
      </c>
      <c r="S376" s="59">
        <v>498</v>
      </c>
      <c r="T376" s="59">
        <v>2</v>
      </c>
      <c r="U376" s="59">
        <v>1</v>
      </c>
      <c r="V376" s="59">
        <v>92</v>
      </c>
      <c r="W376" s="59">
        <v>3</v>
      </c>
      <c r="X376" s="59">
        <v>2</v>
      </c>
      <c r="Y376" s="59">
        <v>1</v>
      </c>
      <c r="Z376" s="59">
        <f t="shared" si="104"/>
        <v>1</v>
      </c>
      <c r="AA376" s="59">
        <f>IF('Updated Dummy'!Y376=2,1,0)</f>
        <v>0</v>
      </c>
      <c r="AB376" s="59">
        <f t="shared" si="105"/>
        <v>0</v>
      </c>
      <c r="AC376" s="59">
        <f t="shared" si="106"/>
        <v>0</v>
      </c>
      <c r="AD376" s="59">
        <f t="shared" si="107"/>
        <v>0</v>
      </c>
      <c r="AE376" s="59">
        <f t="shared" si="108"/>
        <v>0</v>
      </c>
      <c r="AF376" s="59">
        <f t="shared" si="109"/>
        <v>0</v>
      </c>
      <c r="AG376" s="59">
        <f t="shared" si="110"/>
        <v>0</v>
      </c>
      <c r="AH376" s="59">
        <v>4</v>
      </c>
      <c r="AI376" s="59">
        <v>1</v>
      </c>
      <c r="AJ376" s="59">
        <f t="shared" si="111"/>
        <v>1</v>
      </c>
      <c r="AK376" s="59">
        <f t="shared" si="112"/>
        <v>0</v>
      </c>
      <c r="AL376" s="59">
        <v>5253</v>
      </c>
      <c r="AM376" s="59">
        <v>20750</v>
      </c>
      <c r="AN376" s="59">
        <v>1</v>
      </c>
      <c r="AO376" s="59">
        <v>0</v>
      </c>
      <c r="AP376" s="59">
        <v>16</v>
      </c>
      <c r="AQ376" s="59">
        <v>3</v>
      </c>
      <c r="AR376" s="59">
        <v>4</v>
      </c>
      <c r="AS376" s="59">
        <v>80</v>
      </c>
      <c r="AT376" s="59">
        <v>0</v>
      </c>
      <c r="AU376" s="59">
        <v>7</v>
      </c>
      <c r="AV376" s="59">
        <v>1</v>
      </c>
      <c r="AW376" s="59">
        <v>3</v>
      </c>
      <c r="AX376" s="59">
        <v>7</v>
      </c>
      <c r="AY376" s="59">
        <v>5</v>
      </c>
      <c r="AZ376" s="59">
        <v>0</v>
      </c>
      <c r="BA376" s="59">
        <v>7</v>
      </c>
      <c r="BB376" s="57">
        <f t="shared" si="113"/>
        <v>10506</v>
      </c>
    </row>
    <row r="377" spans="1:54" x14ac:dyDescent="0.25">
      <c r="A377" s="58">
        <v>49</v>
      </c>
      <c r="B377" s="59">
        <v>0</v>
      </c>
      <c r="C377" s="59">
        <v>1</v>
      </c>
      <c r="D377" s="59">
        <f t="shared" si="95"/>
        <v>1</v>
      </c>
      <c r="E377" s="59">
        <f t="shared" si="96"/>
        <v>0</v>
      </c>
      <c r="F377" s="59">
        <v>1261</v>
      </c>
      <c r="G377" s="59">
        <v>2</v>
      </c>
      <c r="H377" s="59">
        <f t="shared" si="97"/>
        <v>0</v>
      </c>
      <c r="I377" s="59">
        <f t="shared" si="98"/>
        <v>1</v>
      </c>
      <c r="J377" s="59">
        <v>7</v>
      </c>
      <c r="K377" s="59">
        <v>3</v>
      </c>
      <c r="L377" s="59">
        <v>6</v>
      </c>
      <c r="M377" s="59">
        <f t="shared" si="99"/>
        <v>0</v>
      </c>
      <c r="N377" s="59">
        <f t="shared" si="100"/>
        <v>0</v>
      </c>
      <c r="O377" s="59">
        <f t="shared" si="101"/>
        <v>0</v>
      </c>
      <c r="P377" s="59">
        <f t="shared" si="102"/>
        <v>0</v>
      </c>
      <c r="Q377" s="59">
        <f t="shared" si="103"/>
        <v>0</v>
      </c>
      <c r="R377" s="59">
        <v>1</v>
      </c>
      <c r="S377" s="59">
        <v>499</v>
      </c>
      <c r="T377" s="59">
        <v>2</v>
      </c>
      <c r="U377" s="59">
        <v>1</v>
      </c>
      <c r="V377" s="59">
        <v>31</v>
      </c>
      <c r="W377" s="59">
        <v>2</v>
      </c>
      <c r="X377" s="59">
        <v>3</v>
      </c>
      <c r="Y377" s="59">
        <v>5</v>
      </c>
      <c r="Z377" s="59">
        <f t="shared" si="104"/>
        <v>0</v>
      </c>
      <c r="AA377" s="59">
        <f>IF('Updated Dummy'!Y377=2,1,0)</f>
        <v>0</v>
      </c>
      <c r="AB377" s="59">
        <f t="shared" si="105"/>
        <v>0</v>
      </c>
      <c r="AC377" s="59">
        <f t="shared" si="106"/>
        <v>0</v>
      </c>
      <c r="AD377" s="59">
        <f t="shared" si="107"/>
        <v>1</v>
      </c>
      <c r="AE377" s="59">
        <f t="shared" si="108"/>
        <v>0</v>
      </c>
      <c r="AF377" s="59">
        <f t="shared" si="109"/>
        <v>0</v>
      </c>
      <c r="AG377" s="59">
        <f t="shared" si="110"/>
        <v>0</v>
      </c>
      <c r="AH377" s="59">
        <v>3</v>
      </c>
      <c r="AI377" s="59">
        <v>1</v>
      </c>
      <c r="AJ377" s="59">
        <f t="shared" si="111"/>
        <v>1</v>
      </c>
      <c r="AK377" s="59">
        <f t="shared" si="112"/>
        <v>0</v>
      </c>
      <c r="AL377" s="59">
        <v>10965</v>
      </c>
      <c r="AM377" s="59">
        <v>12066</v>
      </c>
      <c r="AN377" s="59">
        <v>8</v>
      </c>
      <c r="AO377" s="59">
        <v>0</v>
      </c>
      <c r="AP377" s="59">
        <v>24</v>
      </c>
      <c r="AQ377" s="59">
        <v>4</v>
      </c>
      <c r="AR377" s="59">
        <v>3</v>
      </c>
      <c r="AS377" s="59">
        <v>80</v>
      </c>
      <c r="AT377" s="59">
        <v>0</v>
      </c>
      <c r="AU377" s="59">
        <v>26</v>
      </c>
      <c r="AV377" s="59">
        <v>2</v>
      </c>
      <c r="AW377" s="59">
        <v>3</v>
      </c>
      <c r="AX377" s="59">
        <v>5</v>
      </c>
      <c r="AY377" s="59">
        <v>2</v>
      </c>
      <c r="AZ377" s="59">
        <v>0</v>
      </c>
      <c r="BA377" s="59">
        <v>0</v>
      </c>
      <c r="BB377" s="57">
        <f t="shared" si="113"/>
        <v>32895</v>
      </c>
    </row>
    <row r="378" spans="1:54" x14ac:dyDescent="0.25">
      <c r="A378" s="58">
        <v>51</v>
      </c>
      <c r="B378" s="59">
        <v>0</v>
      </c>
      <c r="C378" s="59">
        <v>1</v>
      </c>
      <c r="D378" s="59">
        <f t="shared" si="95"/>
        <v>1</v>
      </c>
      <c r="E378" s="59">
        <f t="shared" si="96"/>
        <v>0</v>
      </c>
      <c r="F378" s="59">
        <v>1178</v>
      </c>
      <c r="G378" s="59">
        <v>1</v>
      </c>
      <c r="H378" s="59">
        <f t="shared" si="97"/>
        <v>1</v>
      </c>
      <c r="I378" s="59">
        <f t="shared" si="98"/>
        <v>0</v>
      </c>
      <c r="J378" s="59">
        <v>14</v>
      </c>
      <c r="K378" s="59">
        <v>2</v>
      </c>
      <c r="L378" s="59">
        <v>1</v>
      </c>
      <c r="M378" s="59">
        <f t="shared" si="99"/>
        <v>1</v>
      </c>
      <c r="N378" s="59">
        <f t="shared" si="100"/>
        <v>0</v>
      </c>
      <c r="O378" s="59">
        <f t="shared" si="101"/>
        <v>0</v>
      </c>
      <c r="P378" s="59">
        <f t="shared" si="102"/>
        <v>0</v>
      </c>
      <c r="Q378" s="59">
        <f t="shared" si="103"/>
        <v>0</v>
      </c>
      <c r="R378" s="59">
        <v>1</v>
      </c>
      <c r="S378" s="59">
        <v>500</v>
      </c>
      <c r="T378" s="59">
        <v>3</v>
      </c>
      <c r="U378" s="59">
        <v>0</v>
      </c>
      <c r="V378" s="59">
        <v>87</v>
      </c>
      <c r="W378" s="59">
        <v>3</v>
      </c>
      <c r="X378" s="59">
        <v>2</v>
      </c>
      <c r="Y378" s="59">
        <v>1</v>
      </c>
      <c r="Z378" s="59">
        <f t="shared" si="104"/>
        <v>1</v>
      </c>
      <c r="AA378" s="59">
        <f>IF('Updated Dummy'!Y378=2,1,0)</f>
        <v>0</v>
      </c>
      <c r="AB378" s="59">
        <f t="shared" si="105"/>
        <v>0</v>
      </c>
      <c r="AC378" s="59">
        <f t="shared" si="106"/>
        <v>0</v>
      </c>
      <c r="AD378" s="59">
        <f t="shared" si="107"/>
        <v>0</v>
      </c>
      <c r="AE378" s="59">
        <f t="shared" si="108"/>
        <v>0</v>
      </c>
      <c r="AF378" s="59">
        <f t="shared" si="109"/>
        <v>0</v>
      </c>
      <c r="AG378" s="59">
        <f t="shared" si="110"/>
        <v>0</v>
      </c>
      <c r="AH378" s="59">
        <v>4</v>
      </c>
      <c r="AI378" s="59">
        <v>2</v>
      </c>
      <c r="AJ378" s="59">
        <f t="shared" si="111"/>
        <v>0</v>
      </c>
      <c r="AK378" s="59">
        <f t="shared" si="112"/>
        <v>1</v>
      </c>
      <c r="AL378" s="59">
        <v>4936</v>
      </c>
      <c r="AM378" s="59">
        <v>14862</v>
      </c>
      <c r="AN378" s="59">
        <v>4</v>
      </c>
      <c r="AO378" s="59">
        <v>0</v>
      </c>
      <c r="AP378" s="59">
        <v>11</v>
      </c>
      <c r="AQ378" s="59">
        <v>3</v>
      </c>
      <c r="AR378" s="59">
        <v>3</v>
      </c>
      <c r="AS378" s="59">
        <v>80</v>
      </c>
      <c r="AT378" s="59">
        <v>1</v>
      </c>
      <c r="AU378" s="59">
        <v>18</v>
      </c>
      <c r="AV378" s="59">
        <v>2</v>
      </c>
      <c r="AW378" s="59">
        <v>2</v>
      </c>
      <c r="AX378" s="59">
        <v>7</v>
      </c>
      <c r="AY378" s="59">
        <v>7</v>
      </c>
      <c r="AZ378" s="59">
        <v>0</v>
      </c>
      <c r="BA378" s="59">
        <v>7</v>
      </c>
      <c r="BB378" s="57">
        <f t="shared" si="113"/>
        <v>9872</v>
      </c>
    </row>
    <row r="379" spans="1:54" x14ac:dyDescent="0.25">
      <c r="A379" s="58">
        <v>36</v>
      </c>
      <c r="B379" s="59">
        <v>0</v>
      </c>
      <c r="C379" s="59">
        <v>1</v>
      </c>
      <c r="D379" s="59">
        <f t="shared" si="95"/>
        <v>1</v>
      </c>
      <c r="E379" s="59">
        <f t="shared" si="96"/>
        <v>0</v>
      </c>
      <c r="F379" s="59">
        <v>329</v>
      </c>
      <c r="G379" s="59">
        <v>2</v>
      </c>
      <c r="H379" s="59">
        <f t="shared" si="97"/>
        <v>0</v>
      </c>
      <c r="I379" s="59">
        <f t="shared" si="98"/>
        <v>1</v>
      </c>
      <c r="J379" s="59">
        <v>2</v>
      </c>
      <c r="K379" s="59">
        <v>3</v>
      </c>
      <c r="L379" s="59">
        <v>1</v>
      </c>
      <c r="M379" s="59">
        <f t="shared" si="99"/>
        <v>1</v>
      </c>
      <c r="N379" s="59">
        <f t="shared" si="100"/>
        <v>0</v>
      </c>
      <c r="O379" s="59">
        <f t="shared" si="101"/>
        <v>0</v>
      </c>
      <c r="P379" s="59">
        <f t="shared" si="102"/>
        <v>0</v>
      </c>
      <c r="Q379" s="59">
        <f t="shared" si="103"/>
        <v>0</v>
      </c>
      <c r="R379" s="59">
        <v>1</v>
      </c>
      <c r="S379" s="59">
        <v>501</v>
      </c>
      <c r="T379" s="59">
        <v>4</v>
      </c>
      <c r="U379" s="59">
        <v>0</v>
      </c>
      <c r="V379" s="59">
        <v>96</v>
      </c>
      <c r="W379" s="59">
        <v>3</v>
      </c>
      <c r="X379" s="59">
        <v>1</v>
      </c>
      <c r="Y379" s="59">
        <v>2</v>
      </c>
      <c r="Z379" s="59">
        <f t="shared" si="104"/>
        <v>0</v>
      </c>
      <c r="AA379" s="59">
        <f>IF('Updated Dummy'!Y379=2,1,0)</f>
        <v>1</v>
      </c>
      <c r="AB379" s="59">
        <f t="shared" si="105"/>
        <v>0</v>
      </c>
      <c r="AC379" s="59">
        <f t="shared" si="106"/>
        <v>0</v>
      </c>
      <c r="AD379" s="59">
        <f t="shared" si="107"/>
        <v>0</v>
      </c>
      <c r="AE379" s="59">
        <f t="shared" si="108"/>
        <v>0</v>
      </c>
      <c r="AF379" s="59">
        <f t="shared" si="109"/>
        <v>0</v>
      </c>
      <c r="AG379" s="59">
        <f t="shared" si="110"/>
        <v>0</v>
      </c>
      <c r="AH379" s="59">
        <v>3</v>
      </c>
      <c r="AI379" s="59">
        <v>2</v>
      </c>
      <c r="AJ379" s="59">
        <f t="shared" si="111"/>
        <v>0</v>
      </c>
      <c r="AK379" s="59">
        <f t="shared" si="112"/>
        <v>1</v>
      </c>
      <c r="AL379" s="59">
        <v>2543</v>
      </c>
      <c r="AM379" s="59">
        <v>11868</v>
      </c>
      <c r="AN379" s="59">
        <v>4</v>
      </c>
      <c r="AO379" s="59">
        <v>0</v>
      </c>
      <c r="AP379" s="59">
        <v>13</v>
      </c>
      <c r="AQ379" s="59">
        <v>3</v>
      </c>
      <c r="AR379" s="59">
        <v>2</v>
      </c>
      <c r="AS379" s="59">
        <v>80</v>
      </c>
      <c r="AT379" s="59">
        <v>1</v>
      </c>
      <c r="AU379" s="59">
        <v>6</v>
      </c>
      <c r="AV379" s="59">
        <v>3</v>
      </c>
      <c r="AW379" s="59">
        <v>3</v>
      </c>
      <c r="AX379" s="59">
        <v>2</v>
      </c>
      <c r="AY379" s="59">
        <v>2</v>
      </c>
      <c r="AZ379" s="59">
        <v>2</v>
      </c>
      <c r="BA379" s="59">
        <v>2</v>
      </c>
      <c r="BB379" s="57">
        <f t="shared" si="113"/>
        <v>2543</v>
      </c>
    </row>
    <row r="380" spans="1:54" x14ac:dyDescent="0.25">
      <c r="A380" s="58">
        <v>34</v>
      </c>
      <c r="B380" s="59">
        <v>1</v>
      </c>
      <c r="C380" s="59">
        <v>3</v>
      </c>
      <c r="D380" s="59">
        <f t="shared" si="95"/>
        <v>0</v>
      </c>
      <c r="E380" s="59">
        <f t="shared" si="96"/>
        <v>0</v>
      </c>
      <c r="F380" s="59">
        <v>1362</v>
      </c>
      <c r="G380" s="59">
        <v>1</v>
      </c>
      <c r="H380" s="59">
        <f t="shared" si="97"/>
        <v>1</v>
      </c>
      <c r="I380" s="59">
        <f t="shared" si="98"/>
        <v>0</v>
      </c>
      <c r="J380" s="59">
        <v>19</v>
      </c>
      <c r="K380" s="59">
        <v>3</v>
      </c>
      <c r="L380" s="59">
        <v>4</v>
      </c>
      <c r="M380" s="59">
        <f t="shared" si="99"/>
        <v>0</v>
      </c>
      <c r="N380" s="59">
        <f t="shared" si="100"/>
        <v>0</v>
      </c>
      <c r="O380" s="59">
        <f t="shared" si="101"/>
        <v>0</v>
      </c>
      <c r="P380" s="59">
        <f t="shared" si="102"/>
        <v>1</v>
      </c>
      <c r="Q380" s="59">
        <f t="shared" si="103"/>
        <v>0</v>
      </c>
      <c r="R380" s="59">
        <v>1</v>
      </c>
      <c r="S380" s="59">
        <v>502</v>
      </c>
      <c r="T380" s="59">
        <v>1</v>
      </c>
      <c r="U380" s="59">
        <v>1</v>
      </c>
      <c r="V380" s="59">
        <v>67</v>
      </c>
      <c r="W380" s="59">
        <v>4</v>
      </c>
      <c r="X380" s="59">
        <v>2</v>
      </c>
      <c r="Y380" s="59">
        <v>1</v>
      </c>
      <c r="Z380" s="59">
        <f t="shared" si="104"/>
        <v>1</v>
      </c>
      <c r="AA380" s="59">
        <f>IF('Updated Dummy'!Y380=2,1,0)</f>
        <v>0</v>
      </c>
      <c r="AB380" s="59">
        <f t="shared" si="105"/>
        <v>0</v>
      </c>
      <c r="AC380" s="59">
        <f t="shared" si="106"/>
        <v>0</v>
      </c>
      <c r="AD380" s="59">
        <f t="shared" si="107"/>
        <v>0</v>
      </c>
      <c r="AE380" s="59">
        <f t="shared" si="108"/>
        <v>0</v>
      </c>
      <c r="AF380" s="59">
        <f t="shared" si="109"/>
        <v>0</v>
      </c>
      <c r="AG380" s="59">
        <f t="shared" si="110"/>
        <v>0</v>
      </c>
      <c r="AH380" s="59">
        <v>4</v>
      </c>
      <c r="AI380" s="59">
        <v>1</v>
      </c>
      <c r="AJ380" s="59">
        <f t="shared" si="111"/>
        <v>1</v>
      </c>
      <c r="AK380" s="59">
        <f t="shared" si="112"/>
        <v>0</v>
      </c>
      <c r="AL380" s="59">
        <v>5304</v>
      </c>
      <c r="AM380" s="59">
        <v>4652</v>
      </c>
      <c r="AN380" s="59">
        <v>8</v>
      </c>
      <c r="AO380" s="59">
        <v>1</v>
      </c>
      <c r="AP380" s="59">
        <v>13</v>
      </c>
      <c r="AQ380" s="59">
        <v>3</v>
      </c>
      <c r="AR380" s="59">
        <v>2</v>
      </c>
      <c r="AS380" s="59">
        <v>80</v>
      </c>
      <c r="AT380" s="59">
        <v>0</v>
      </c>
      <c r="AU380" s="59">
        <v>9</v>
      </c>
      <c r="AV380" s="59">
        <v>3</v>
      </c>
      <c r="AW380" s="59">
        <v>2</v>
      </c>
      <c r="AX380" s="59">
        <v>5</v>
      </c>
      <c r="AY380" s="59">
        <v>2</v>
      </c>
      <c r="AZ380" s="59">
        <v>0</v>
      </c>
      <c r="BA380" s="59">
        <v>4</v>
      </c>
      <c r="BB380" s="57">
        <f t="shared" si="113"/>
        <v>10608</v>
      </c>
    </row>
    <row r="381" spans="1:54" x14ac:dyDescent="0.25">
      <c r="A381" s="58">
        <v>55</v>
      </c>
      <c r="B381" s="59">
        <v>0</v>
      </c>
      <c r="C381" s="59">
        <v>1</v>
      </c>
      <c r="D381" s="59">
        <f t="shared" si="95"/>
        <v>1</v>
      </c>
      <c r="E381" s="59">
        <f t="shared" si="96"/>
        <v>0</v>
      </c>
      <c r="F381" s="59">
        <v>1311</v>
      </c>
      <c r="G381" s="59">
        <v>2</v>
      </c>
      <c r="H381" s="59">
        <f t="shared" si="97"/>
        <v>0</v>
      </c>
      <c r="I381" s="59">
        <f t="shared" si="98"/>
        <v>1</v>
      </c>
      <c r="J381" s="59">
        <v>2</v>
      </c>
      <c r="K381" s="59">
        <v>3</v>
      </c>
      <c r="L381" s="59">
        <v>1</v>
      </c>
      <c r="M381" s="59">
        <f t="shared" si="99"/>
        <v>1</v>
      </c>
      <c r="N381" s="59">
        <f t="shared" si="100"/>
        <v>0</v>
      </c>
      <c r="O381" s="59">
        <f t="shared" si="101"/>
        <v>0</v>
      </c>
      <c r="P381" s="59">
        <f t="shared" si="102"/>
        <v>0</v>
      </c>
      <c r="Q381" s="59">
        <f t="shared" si="103"/>
        <v>0</v>
      </c>
      <c r="R381" s="59">
        <v>1</v>
      </c>
      <c r="S381" s="59">
        <v>505</v>
      </c>
      <c r="T381" s="59">
        <v>3</v>
      </c>
      <c r="U381" s="59">
        <v>0</v>
      </c>
      <c r="V381" s="59">
        <v>97</v>
      </c>
      <c r="W381" s="59">
        <v>3</v>
      </c>
      <c r="X381" s="59">
        <v>4</v>
      </c>
      <c r="Y381" s="59">
        <v>6</v>
      </c>
      <c r="Z381" s="59">
        <f t="shared" si="104"/>
        <v>0</v>
      </c>
      <c r="AA381" s="59">
        <f>IF('Updated Dummy'!Y381=2,1,0)</f>
        <v>0</v>
      </c>
      <c r="AB381" s="59">
        <f t="shared" si="105"/>
        <v>0</v>
      </c>
      <c r="AC381" s="59">
        <f t="shared" si="106"/>
        <v>0</v>
      </c>
      <c r="AD381" s="59">
        <f t="shared" si="107"/>
        <v>0</v>
      </c>
      <c r="AE381" s="59">
        <f t="shared" si="108"/>
        <v>1</v>
      </c>
      <c r="AF381" s="59">
        <f t="shared" si="109"/>
        <v>0</v>
      </c>
      <c r="AG381" s="59">
        <f t="shared" si="110"/>
        <v>0</v>
      </c>
      <c r="AH381" s="59">
        <v>4</v>
      </c>
      <c r="AI381" s="59">
        <v>1</v>
      </c>
      <c r="AJ381" s="59">
        <f t="shared" si="111"/>
        <v>1</v>
      </c>
      <c r="AK381" s="59">
        <f t="shared" si="112"/>
        <v>0</v>
      </c>
      <c r="AL381" s="59">
        <v>16659</v>
      </c>
      <c r="AM381" s="59">
        <v>23258</v>
      </c>
      <c r="AN381" s="59">
        <v>2</v>
      </c>
      <c r="AO381" s="59">
        <v>1</v>
      </c>
      <c r="AP381" s="59">
        <v>13</v>
      </c>
      <c r="AQ381" s="59">
        <v>3</v>
      </c>
      <c r="AR381" s="59">
        <v>3</v>
      </c>
      <c r="AS381" s="59">
        <v>80</v>
      </c>
      <c r="AT381" s="59">
        <v>0</v>
      </c>
      <c r="AU381" s="59">
        <v>30</v>
      </c>
      <c r="AV381" s="59">
        <v>2</v>
      </c>
      <c r="AW381" s="59">
        <v>3</v>
      </c>
      <c r="AX381" s="59">
        <v>5</v>
      </c>
      <c r="AY381" s="59">
        <v>4</v>
      </c>
      <c r="AZ381" s="59">
        <v>1</v>
      </c>
      <c r="BA381" s="59">
        <v>2</v>
      </c>
      <c r="BB381" s="57">
        <f t="shared" si="113"/>
        <v>66636</v>
      </c>
    </row>
    <row r="382" spans="1:54" x14ac:dyDescent="0.25">
      <c r="A382" s="58">
        <v>24</v>
      </c>
      <c r="B382" s="59">
        <v>0</v>
      </c>
      <c r="C382" s="59">
        <v>1</v>
      </c>
      <c r="D382" s="59">
        <f t="shared" si="95"/>
        <v>1</v>
      </c>
      <c r="E382" s="59">
        <f t="shared" si="96"/>
        <v>0</v>
      </c>
      <c r="F382" s="59">
        <v>1371</v>
      </c>
      <c r="G382" s="59">
        <v>1</v>
      </c>
      <c r="H382" s="59">
        <f t="shared" si="97"/>
        <v>1</v>
      </c>
      <c r="I382" s="59">
        <f t="shared" si="98"/>
        <v>0</v>
      </c>
      <c r="J382" s="59">
        <v>10</v>
      </c>
      <c r="K382" s="59">
        <v>4</v>
      </c>
      <c r="L382" s="59">
        <v>4</v>
      </c>
      <c r="M382" s="59">
        <f t="shared" si="99"/>
        <v>0</v>
      </c>
      <c r="N382" s="59">
        <f t="shared" si="100"/>
        <v>0</v>
      </c>
      <c r="O382" s="59">
        <f t="shared" si="101"/>
        <v>0</v>
      </c>
      <c r="P382" s="59">
        <f t="shared" si="102"/>
        <v>1</v>
      </c>
      <c r="Q382" s="59">
        <f t="shared" si="103"/>
        <v>0</v>
      </c>
      <c r="R382" s="59">
        <v>1</v>
      </c>
      <c r="S382" s="59">
        <v>507</v>
      </c>
      <c r="T382" s="59">
        <v>4</v>
      </c>
      <c r="U382" s="59">
        <v>0</v>
      </c>
      <c r="V382" s="59">
        <v>77</v>
      </c>
      <c r="W382" s="59">
        <v>3</v>
      </c>
      <c r="X382" s="59">
        <v>2</v>
      </c>
      <c r="Y382" s="59">
        <v>1</v>
      </c>
      <c r="Z382" s="59">
        <f t="shared" si="104"/>
        <v>1</v>
      </c>
      <c r="AA382" s="59">
        <f>IF('Updated Dummy'!Y382=2,1,0)</f>
        <v>0</v>
      </c>
      <c r="AB382" s="59">
        <f t="shared" si="105"/>
        <v>0</v>
      </c>
      <c r="AC382" s="59">
        <f t="shared" si="106"/>
        <v>0</v>
      </c>
      <c r="AD382" s="59">
        <f t="shared" si="107"/>
        <v>0</v>
      </c>
      <c r="AE382" s="59">
        <f t="shared" si="108"/>
        <v>0</v>
      </c>
      <c r="AF382" s="59">
        <f t="shared" si="109"/>
        <v>0</v>
      </c>
      <c r="AG382" s="59">
        <f t="shared" si="110"/>
        <v>0</v>
      </c>
      <c r="AH382" s="59">
        <v>3</v>
      </c>
      <c r="AI382" s="59">
        <v>3</v>
      </c>
      <c r="AJ382" s="59">
        <f t="shared" si="111"/>
        <v>0</v>
      </c>
      <c r="AK382" s="59">
        <f t="shared" si="112"/>
        <v>0</v>
      </c>
      <c r="AL382" s="59">
        <v>4260</v>
      </c>
      <c r="AM382" s="59">
        <v>5915</v>
      </c>
      <c r="AN382" s="59">
        <v>1</v>
      </c>
      <c r="AO382" s="59">
        <v>1</v>
      </c>
      <c r="AP382" s="59">
        <v>12</v>
      </c>
      <c r="AQ382" s="59">
        <v>3</v>
      </c>
      <c r="AR382" s="59">
        <v>4</v>
      </c>
      <c r="AS382" s="59">
        <v>80</v>
      </c>
      <c r="AT382" s="59">
        <v>1</v>
      </c>
      <c r="AU382" s="59">
        <v>5</v>
      </c>
      <c r="AV382" s="59">
        <v>2</v>
      </c>
      <c r="AW382" s="59">
        <v>4</v>
      </c>
      <c r="AX382" s="59">
        <v>5</v>
      </c>
      <c r="AY382" s="59">
        <v>2</v>
      </c>
      <c r="AZ382" s="59">
        <v>0</v>
      </c>
      <c r="BA382" s="59">
        <v>3</v>
      </c>
      <c r="BB382" s="57">
        <f t="shared" si="113"/>
        <v>8520</v>
      </c>
    </row>
    <row r="383" spans="1:54" x14ac:dyDescent="0.25">
      <c r="A383" s="58">
        <v>30</v>
      </c>
      <c r="B383" s="59">
        <v>0</v>
      </c>
      <c r="C383" s="59">
        <v>1</v>
      </c>
      <c r="D383" s="59">
        <f t="shared" si="95"/>
        <v>1</v>
      </c>
      <c r="E383" s="59">
        <f t="shared" si="96"/>
        <v>0</v>
      </c>
      <c r="F383" s="59">
        <v>202</v>
      </c>
      <c r="G383" s="59">
        <v>1</v>
      </c>
      <c r="H383" s="59">
        <f t="shared" si="97"/>
        <v>1</v>
      </c>
      <c r="I383" s="59">
        <f t="shared" si="98"/>
        <v>0</v>
      </c>
      <c r="J383" s="59">
        <v>2</v>
      </c>
      <c r="K383" s="59">
        <v>1</v>
      </c>
      <c r="L383" s="59">
        <v>5</v>
      </c>
      <c r="M383" s="59">
        <f t="shared" si="99"/>
        <v>0</v>
      </c>
      <c r="N383" s="59">
        <f t="shared" si="100"/>
        <v>0</v>
      </c>
      <c r="O383" s="59">
        <f t="shared" si="101"/>
        <v>0</v>
      </c>
      <c r="P383" s="59">
        <f t="shared" si="102"/>
        <v>0</v>
      </c>
      <c r="Q383" s="59">
        <f t="shared" si="103"/>
        <v>1</v>
      </c>
      <c r="R383" s="59">
        <v>1</v>
      </c>
      <c r="S383" s="59">
        <v>508</v>
      </c>
      <c r="T383" s="59">
        <v>3</v>
      </c>
      <c r="U383" s="59">
        <v>1</v>
      </c>
      <c r="V383" s="59">
        <v>72</v>
      </c>
      <c r="W383" s="59">
        <v>3</v>
      </c>
      <c r="X383" s="59">
        <v>1</v>
      </c>
      <c r="Y383" s="59">
        <v>7</v>
      </c>
      <c r="Z383" s="59">
        <f t="shared" si="104"/>
        <v>0</v>
      </c>
      <c r="AA383" s="59">
        <f>IF('Updated Dummy'!Y383=2,1,0)</f>
        <v>0</v>
      </c>
      <c r="AB383" s="59">
        <f t="shared" si="105"/>
        <v>0</v>
      </c>
      <c r="AC383" s="59">
        <f t="shared" si="106"/>
        <v>0</v>
      </c>
      <c r="AD383" s="59">
        <f t="shared" si="107"/>
        <v>0</v>
      </c>
      <c r="AE383" s="59">
        <f t="shared" si="108"/>
        <v>0</v>
      </c>
      <c r="AF383" s="59">
        <f t="shared" si="109"/>
        <v>1</v>
      </c>
      <c r="AG383" s="59">
        <f t="shared" si="110"/>
        <v>0</v>
      </c>
      <c r="AH383" s="59">
        <v>2</v>
      </c>
      <c r="AI383" s="59">
        <v>2</v>
      </c>
      <c r="AJ383" s="59">
        <f t="shared" si="111"/>
        <v>0</v>
      </c>
      <c r="AK383" s="59">
        <f t="shared" si="112"/>
        <v>1</v>
      </c>
      <c r="AL383" s="59">
        <v>2476</v>
      </c>
      <c r="AM383" s="59">
        <v>17434</v>
      </c>
      <c r="AN383" s="59">
        <v>1</v>
      </c>
      <c r="AO383" s="59">
        <v>0</v>
      </c>
      <c r="AP383" s="59">
        <v>18</v>
      </c>
      <c r="AQ383" s="59">
        <v>3</v>
      </c>
      <c r="AR383" s="59">
        <v>1</v>
      </c>
      <c r="AS383" s="59">
        <v>80</v>
      </c>
      <c r="AT383" s="59">
        <v>1</v>
      </c>
      <c r="AU383" s="59">
        <v>1</v>
      </c>
      <c r="AV383" s="59">
        <v>3</v>
      </c>
      <c r="AW383" s="59">
        <v>3</v>
      </c>
      <c r="AX383" s="59">
        <v>1</v>
      </c>
      <c r="AY383" s="59">
        <v>0</v>
      </c>
      <c r="AZ383" s="59">
        <v>0</v>
      </c>
      <c r="BA383" s="59">
        <v>0</v>
      </c>
      <c r="BB383" s="57">
        <f t="shared" si="113"/>
        <v>2476</v>
      </c>
    </row>
    <row r="384" spans="1:54" x14ac:dyDescent="0.25">
      <c r="A384" s="58">
        <v>26</v>
      </c>
      <c r="B384" s="59">
        <v>1</v>
      </c>
      <c r="C384" s="59">
        <v>2</v>
      </c>
      <c r="D384" s="59">
        <f t="shared" si="95"/>
        <v>0</v>
      </c>
      <c r="E384" s="59">
        <f t="shared" si="96"/>
        <v>1</v>
      </c>
      <c r="F384" s="59">
        <v>575</v>
      </c>
      <c r="G384" s="59">
        <v>2</v>
      </c>
      <c r="H384" s="59">
        <f t="shared" si="97"/>
        <v>0</v>
      </c>
      <c r="I384" s="59">
        <f t="shared" si="98"/>
        <v>1</v>
      </c>
      <c r="J384" s="59">
        <v>3</v>
      </c>
      <c r="K384" s="59">
        <v>1</v>
      </c>
      <c r="L384" s="59">
        <v>5</v>
      </c>
      <c r="M384" s="59">
        <f t="shared" si="99"/>
        <v>0</v>
      </c>
      <c r="N384" s="59">
        <f t="shared" si="100"/>
        <v>0</v>
      </c>
      <c r="O384" s="59">
        <f t="shared" si="101"/>
        <v>0</v>
      </c>
      <c r="P384" s="59">
        <f t="shared" si="102"/>
        <v>0</v>
      </c>
      <c r="Q384" s="59">
        <f t="shared" si="103"/>
        <v>1</v>
      </c>
      <c r="R384" s="59">
        <v>1</v>
      </c>
      <c r="S384" s="59">
        <v>510</v>
      </c>
      <c r="T384" s="59">
        <v>3</v>
      </c>
      <c r="U384" s="59">
        <v>1</v>
      </c>
      <c r="V384" s="59">
        <v>73</v>
      </c>
      <c r="W384" s="59">
        <v>3</v>
      </c>
      <c r="X384" s="59">
        <v>1</v>
      </c>
      <c r="Y384" s="59">
        <v>2</v>
      </c>
      <c r="Z384" s="59">
        <f t="shared" si="104"/>
        <v>0</v>
      </c>
      <c r="AA384" s="59">
        <f>IF('Updated Dummy'!Y384=2,1,0)</f>
        <v>1</v>
      </c>
      <c r="AB384" s="59">
        <f t="shared" si="105"/>
        <v>0</v>
      </c>
      <c r="AC384" s="59">
        <f t="shared" si="106"/>
        <v>0</v>
      </c>
      <c r="AD384" s="59">
        <f t="shared" si="107"/>
        <v>0</v>
      </c>
      <c r="AE384" s="59">
        <f t="shared" si="108"/>
        <v>0</v>
      </c>
      <c r="AF384" s="59">
        <f t="shared" si="109"/>
        <v>0</v>
      </c>
      <c r="AG384" s="59">
        <f t="shared" si="110"/>
        <v>0</v>
      </c>
      <c r="AH384" s="59">
        <v>1</v>
      </c>
      <c r="AI384" s="59">
        <v>1</v>
      </c>
      <c r="AJ384" s="59">
        <f t="shared" si="111"/>
        <v>1</v>
      </c>
      <c r="AK384" s="59">
        <f t="shared" si="112"/>
        <v>0</v>
      </c>
      <c r="AL384" s="59">
        <v>3102</v>
      </c>
      <c r="AM384" s="59">
        <v>6582</v>
      </c>
      <c r="AN384" s="59">
        <v>0</v>
      </c>
      <c r="AO384" s="59">
        <v>0</v>
      </c>
      <c r="AP384" s="59">
        <v>22</v>
      </c>
      <c r="AQ384" s="59">
        <v>4</v>
      </c>
      <c r="AR384" s="59">
        <v>3</v>
      </c>
      <c r="AS384" s="59">
        <v>80</v>
      </c>
      <c r="AT384" s="59">
        <v>0</v>
      </c>
      <c r="AU384" s="59">
        <v>7</v>
      </c>
      <c r="AV384" s="59">
        <v>2</v>
      </c>
      <c r="AW384" s="59">
        <v>3</v>
      </c>
      <c r="AX384" s="59">
        <v>6</v>
      </c>
      <c r="AY384" s="59">
        <v>4</v>
      </c>
      <c r="AZ384" s="59">
        <v>0</v>
      </c>
      <c r="BA384" s="59">
        <v>4</v>
      </c>
      <c r="BB384" s="57">
        <f t="shared" si="113"/>
        <v>3102</v>
      </c>
    </row>
    <row r="385" spans="1:54" x14ac:dyDescent="0.25">
      <c r="A385" s="58">
        <v>22</v>
      </c>
      <c r="B385" s="59">
        <v>0</v>
      </c>
      <c r="C385" s="59">
        <v>1</v>
      </c>
      <c r="D385" s="59">
        <f t="shared" si="95"/>
        <v>1</v>
      </c>
      <c r="E385" s="59">
        <f t="shared" si="96"/>
        <v>0</v>
      </c>
      <c r="F385" s="59">
        <v>253</v>
      </c>
      <c r="G385" s="59">
        <v>2</v>
      </c>
      <c r="H385" s="59">
        <f t="shared" si="97"/>
        <v>0</v>
      </c>
      <c r="I385" s="59">
        <f t="shared" si="98"/>
        <v>1</v>
      </c>
      <c r="J385" s="59">
        <v>11</v>
      </c>
      <c r="K385" s="59">
        <v>3</v>
      </c>
      <c r="L385" s="59">
        <v>3</v>
      </c>
      <c r="M385" s="59">
        <f t="shared" si="99"/>
        <v>0</v>
      </c>
      <c r="N385" s="59">
        <f t="shared" si="100"/>
        <v>0</v>
      </c>
      <c r="O385" s="59">
        <f t="shared" si="101"/>
        <v>1</v>
      </c>
      <c r="P385" s="59">
        <f t="shared" si="102"/>
        <v>0</v>
      </c>
      <c r="Q385" s="59">
        <f t="shared" si="103"/>
        <v>0</v>
      </c>
      <c r="R385" s="59">
        <v>1</v>
      </c>
      <c r="S385" s="59">
        <v>511</v>
      </c>
      <c r="T385" s="59">
        <v>1</v>
      </c>
      <c r="U385" s="59">
        <v>0</v>
      </c>
      <c r="V385" s="59">
        <v>43</v>
      </c>
      <c r="W385" s="59">
        <v>3</v>
      </c>
      <c r="X385" s="59">
        <v>1</v>
      </c>
      <c r="Y385" s="59">
        <v>2</v>
      </c>
      <c r="Z385" s="59">
        <f t="shared" si="104"/>
        <v>0</v>
      </c>
      <c r="AA385" s="59">
        <f>IF('Updated Dummy'!Y385=2,1,0)</f>
        <v>1</v>
      </c>
      <c r="AB385" s="59">
        <f t="shared" si="105"/>
        <v>0</v>
      </c>
      <c r="AC385" s="59">
        <f t="shared" si="106"/>
        <v>0</v>
      </c>
      <c r="AD385" s="59">
        <f t="shared" si="107"/>
        <v>0</v>
      </c>
      <c r="AE385" s="59">
        <f t="shared" si="108"/>
        <v>0</v>
      </c>
      <c r="AF385" s="59">
        <f t="shared" si="109"/>
        <v>0</v>
      </c>
      <c r="AG385" s="59">
        <f t="shared" si="110"/>
        <v>0</v>
      </c>
      <c r="AH385" s="59">
        <v>2</v>
      </c>
      <c r="AI385" s="59">
        <v>2</v>
      </c>
      <c r="AJ385" s="59">
        <f t="shared" si="111"/>
        <v>0</v>
      </c>
      <c r="AK385" s="59">
        <f t="shared" si="112"/>
        <v>1</v>
      </c>
      <c r="AL385" s="59">
        <v>2244</v>
      </c>
      <c r="AM385" s="59">
        <v>24440</v>
      </c>
      <c r="AN385" s="59">
        <v>1</v>
      </c>
      <c r="AO385" s="59">
        <v>0</v>
      </c>
      <c r="AP385" s="59">
        <v>13</v>
      </c>
      <c r="AQ385" s="59">
        <v>3</v>
      </c>
      <c r="AR385" s="59">
        <v>4</v>
      </c>
      <c r="AS385" s="59">
        <v>80</v>
      </c>
      <c r="AT385" s="59">
        <v>1</v>
      </c>
      <c r="AU385" s="59">
        <v>2</v>
      </c>
      <c r="AV385" s="59">
        <v>1</v>
      </c>
      <c r="AW385" s="59">
        <v>3</v>
      </c>
      <c r="AX385" s="59">
        <v>2</v>
      </c>
      <c r="AY385" s="59">
        <v>1</v>
      </c>
      <c r="AZ385" s="59">
        <v>1</v>
      </c>
      <c r="BA385" s="59">
        <v>2</v>
      </c>
      <c r="BB385" s="57">
        <f t="shared" si="113"/>
        <v>2244</v>
      </c>
    </row>
    <row r="386" spans="1:54" x14ac:dyDescent="0.25">
      <c r="A386" s="58">
        <v>36</v>
      </c>
      <c r="B386" s="59">
        <v>0</v>
      </c>
      <c r="C386" s="59">
        <v>1</v>
      </c>
      <c r="D386" s="59">
        <f t="shared" si="95"/>
        <v>1</v>
      </c>
      <c r="E386" s="59">
        <f t="shared" si="96"/>
        <v>0</v>
      </c>
      <c r="F386" s="59">
        <v>164</v>
      </c>
      <c r="G386" s="59">
        <v>1</v>
      </c>
      <c r="H386" s="59">
        <f t="shared" si="97"/>
        <v>1</v>
      </c>
      <c r="I386" s="59">
        <f t="shared" si="98"/>
        <v>0</v>
      </c>
      <c r="J386" s="59">
        <v>2</v>
      </c>
      <c r="K386" s="59">
        <v>2</v>
      </c>
      <c r="L386" s="59">
        <v>3</v>
      </c>
      <c r="M386" s="59">
        <f t="shared" si="99"/>
        <v>0</v>
      </c>
      <c r="N386" s="59">
        <f t="shared" si="100"/>
        <v>0</v>
      </c>
      <c r="O386" s="59">
        <f t="shared" si="101"/>
        <v>1</v>
      </c>
      <c r="P386" s="59">
        <f t="shared" si="102"/>
        <v>0</v>
      </c>
      <c r="Q386" s="59">
        <f t="shared" si="103"/>
        <v>0</v>
      </c>
      <c r="R386" s="59">
        <v>1</v>
      </c>
      <c r="S386" s="59">
        <v>513</v>
      </c>
      <c r="T386" s="59">
        <v>2</v>
      </c>
      <c r="U386" s="59">
        <v>1</v>
      </c>
      <c r="V386" s="59">
        <v>61</v>
      </c>
      <c r="W386" s="59">
        <v>2</v>
      </c>
      <c r="X386" s="59">
        <v>3</v>
      </c>
      <c r="Y386" s="59">
        <v>1</v>
      </c>
      <c r="Z386" s="59">
        <f t="shared" si="104"/>
        <v>1</v>
      </c>
      <c r="AA386" s="59">
        <f>IF('Updated Dummy'!Y386=2,1,0)</f>
        <v>0</v>
      </c>
      <c r="AB386" s="59">
        <f t="shared" si="105"/>
        <v>0</v>
      </c>
      <c r="AC386" s="59">
        <f t="shared" si="106"/>
        <v>0</v>
      </c>
      <c r="AD386" s="59">
        <f t="shared" si="107"/>
        <v>0</v>
      </c>
      <c r="AE386" s="59">
        <f t="shared" si="108"/>
        <v>0</v>
      </c>
      <c r="AF386" s="59">
        <f t="shared" si="109"/>
        <v>0</v>
      </c>
      <c r="AG386" s="59">
        <f t="shared" si="110"/>
        <v>0</v>
      </c>
      <c r="AH386" s="59">
        <v>3</v>
      </c>
      <c r="AI386" s="59">
        <v>2</v>
      </c>
      <c r="AJ386" s="59">
        <f t="shared" si="111"/>
        <v>0</v>
      </c>
      <c r="AK386" s="59">
        <f t="shared" si="112"/>
        <v>1</v>
      </c>
      <c r="AL386" s="59">
        <v>7596</v>
      </c>
      <c r="AM386" s="59">
        <v>3809</v>
      </c>
      <c r="AN386" s="59">
        <v>1</v>
      </c>
      <c r="AO386" s="59">
        <v>0</v>
      </c>
      <c r="AP386" s="59">
        <v>13</v>
      </c>
      <c r="AQ386" s="59">
        <v>3</v>
      </c>
      <c r="AR386" s="59">
        <v>2</v>
      </c>
      <c r="AS386" s="59">
        <v>80</v>
      </c>
      <c r="AT386" s="59">
        <v>2</v>
      </c>
      <c r="AU386" s="59">
        <v>10</v>
      </c>
      <c r="AV386" s="59">
        <v>2</v>
      </c>
      <c r="AW386" s="59">
        <v>3</v>
      </c>
      <c r="AX386" s="59">
        <v>10</v>
      </c>
      <c r="AY386" s="59">
        <v>9</v>
      </c>
      <c r="AZ386" s="59">
        <v>9</v>
      </c>
      <c r="BA386" s="59">
        <v>0</v>
      </c>
      <c r="BB386" s="57">
        <f t="shared" si="113"/>
        <v>22788</v>
      </c>
    </row>
    <row r="387" spans="1:54" x14ac:dyDescent="0.25">
      <c r="A387" s="58">
        <v>30</v>
      </c>
      <c r="B387" s="59">
        <v>1</v>
      </c>
      <c r="C387" s="59">
        <v>2</v>
      </c>
      <c r="D387" s="59">
        <f t="shared" ref="D387:D450" si="114">IF(C387=1,1,0)</f>
        <v>0</v>
      </c>
      <c r="E387" s="59">
        <f t="shared" ref="E387:E450" si="115">IF(C387=2,1,0)</f>
        <v>1</v>
      </c>
      <c r="F387" s="59">
        <v>464</v>
      </c>
      <c r="G387" s="59">
        <v>2</v>
      </c>
      <c r="H387" s="59">
        <f t="shared" ref="H387:H450" si="116">IF(G387=1,1,0)</f>
        <v>0</v>
      </c>
      <c r="I387" s="59">
        <f t="shared" ref="I387:I450" si="117">IF(G387=2,1,0)</f>
        <v>1</v>
      </c>
      <c r="J387" s="59">
        <v>4</v>
      </c>
      <c r="K387" s="59">
        <v>3</v>
      </c>
      <c r="L387" s="59">
        <v>5</v>
      </c>
      <c r="M387" s="59">
        <f t="shared" ref="M387:M450" si="118">IF(L387=1,1,0)</f>
        <v>0</v>
      </c>
      <c r="N387" s="59">
        <f t="shared" ref="N387:N450" si="119">IF(L387=2,1,0)</f>
        <v>0</v>
      </c>
      <c r="O387" s="59">
        <f t="shared" ref="O387:O450" si="120">IF(L387=3,1,0)</f>
        <v>0</v>
      </c>
      <c r="P387" s="59">
        <f t="shared" ref="P387:P450" si="121">IF(L387=4,1,0)</f>
        <v>0</v>
      </c>
      <c r="Q387" s="59">
        <f t="shared" ref="Q387:Q450" si="122">IF(L387=5,1,0)</f>
        <v>1</v>
      </c>
      <c r="R387" s="59">
        <v>1</v>
      </c>
      <c r="S387" s="59">
        <v>514</v>
      </c>
      <c r="T387" s="59">
        <v>3</v>
      </c>
      <c r="U387" s="59">
        <v>1</v>
      </c>
      <c r="V387" s="59">
        <v>40</v>
      </c>
      <c r="W387" s="59">
        <v>3</v>
      </c>
      <c r="X387" s="59">
        <v>1</v>
      </c>
      <c r="Y387" s="59">
        <v>2</v>
      </c>
      <c r="Z387" s="59">
        <f t="shared" ref="Z387:Z450" si="123">IF(Y387=1,1,0)</f>
        <v>0</v>
      </c>
      <c r="AA387" s="59">
        <f>IF('Updated Dummy'!Y387=2,1,0)</f>
        <v>1</v>
      </c>
      <c r="AB387" s="59">
        <f t="shared" ref="AB387:AB450" si="124">IF(Y387=3,1,0)</f>
        <v>0</v>
      </c>
      <c r="AC387" s="59">
        <f t="shared" ref="AC387:AC450" si="125">IF(Y387=4,1,0)</f>
        <v>0</v>
      </c>
      <c r="AD387" s="59">
        <f t="shared" ref="AD387:AD450" si="126">IF(Y387=5,1,0)</f>
        <v>0</v>
      </c>
      <c r="AE387" s="59">
        <f t="shared" ref="AE387:AE450" si="127">IF(Y387=6,1,0)</f>
        <v>0</v>
      </c>
      <c r="AF387" s="59">
        <f t="shared" ref="AF387:AF450" si="128">IF(Y387=7,1,0)</f>
        <v>0</v>
      </c>
      <c r="AG387" s="59">
        <f t="shared" ref="AG387:AG450" si="129">IF(Y387=8,1,0)</f>
        <v>0</v>
      </c>
      <c r="AH387" s="59">
        <v>4</v>
      </c>
      <c r="AI387" s="59">
        <v>1</v>
      </c>
      <c r="AJ387" s="59">
        <f t="shared" ref="AJ387:AJ450" si="130">IF(AI387=1,1,0)</f>
        <v>1</v>
      </c>
      <c r="AK387" s="59">
        <f t="shared" ref="AK387:AK450" si="131">IF(AI387=2,1,0)</f>
        <v>0</v>
      </c>
      <c r="AL387" s="59">
        <v>2285</v>
      </c>
      <c r="AM387" s="59">
        <v>3427</v>
      </c>
      <c r="AN387" s="59">
        <v>9</v>
      </c>
      <c r="AO387" s="59">
        <v>1</v>
      </c>
      <c r="AP387" s="59">
        <v>23</v>
      </c>
      <c r="AQ387" s="59">
        <v>4</v>
      </c>
      <c r="AR387" s="59">
        <v>3</v>
      </c>
      <c r="AS387" s="59">
        <v>80</v>
      </c>
      <c r="AT387" s="59">
        <v>0</v>
      </c>
      <c r="AU387" s="59">
        <v>3</v>
      </c>
      <c r="AV387" s="59">
        <v>4</v>
      </c>
      <c r="AW387" s="59">
        <v>3</v>
      </c>
      <c r="AX387" s="59">
        <v>1</v>
      </c>
      <c r="AY387" s="59">
        <v>0</v>
      </c>
      <c r="AZ387" s="59">
        <v>0</v>
      </c>
      <c r="BA387" s="59">
        <v>0</v>
      </c>
      <c r="BB387" s="57">
        <f t="shared" ref="BB387:BB450" si="132">X387*AL387</f>
        <v>2285</v>
      </c>
    </row>
    <row r="388" spans="1:54" x14ac:dyDescent="0.25">
      <c r="A388" s="58">
        <v>37</v>
      </c>
      <c r="B388" s="59">
        <v>0</v>
      </c>
      <c r="C388" s="59">
        <v>1</v>
      </c>
      <c r="D388" s="59">
        <f t="shared" si="114"/>
        <v>1</v>
      </c>
      <c r="E388" s="59">
        <f t="shared" si="115"/>
        <v>0</v>
      </c>
      <c r="F388" s="59">
        <v>1107</v>
      </c>
      <c r="G388" s="59">
        <v>2</v>
      </c>
      <c r="H388" s="59">
        <f t="shared" si="116"/>
        <v>0</v>
      </c>
      <c r="I388" s="59">
        <f t="shared" si="117"/>
        <v>1</v>
      </c>
      <c r="J388" s="59">
        <v>14</v>
      </c>
      <c r="K388" s="59">
        <v>3</v>
      </c>
      <c r="L388" s="59">
        <v>1</v>
      </c>
      <c r="M388" s="59">
        <f t="shared" si="118"/>
        <v>1</v>
      </c>
      <c r="N388" s="59">
        <f t="shared" si="119"/>
        <v>0</v>
      </c>
      <c r="O388" s="59">
        <f t="shared" si="120"/>
        <v>0</v>
      </c>
      <c r="P388" s="59">
        <f t="shared" si="121"/>
        <v>0</v>
      </c>
      <c r="Q388" s="59">
        <f t="shared" si="122"/>
        <v>0</v>
      </c>
      <c r="R388" s="59">
        <v>1</v>
      </c>
      <c r="S388" s="59">
        <v>515</v>
      </c>
      <c r="T388" s="59">
        <v>4</v>
      </c>
      <c r="U388" s="59">
        <v>0</v>
      </c>
      <c r="V388" s="59">
        <v>95</v>
      </c>
      <c r="W388" s="59">
        <v>3</v>
      </c>
      <c r="X388" s="59">
        <v>1</v>
      </c>
      <c r="Y388" s="59">
        <v>3</v>
      </c>
      <c r="Z388" s="59">
        <f t="shared" si="123"/>
        <v>0</v>
      </c>
      <c r="AA388" s="59">
        <f>IF('Updated Dummy'!Y388=2,1,0)</f>
        <v>0</v>
      </c>
      <c r="AB388" s="59">
        <f t="shared" si="124"/>
        <v>1</v>
      </c>
      <c r="AC388" s="59">
        <f t="shared" si="125"/>
        <v>0</v>
      </c>
      <c r="AD388" s="59">
        <f t="shared" si="126"/>
        <v>0</v>
      </c>
      <c r="AE388" s="59">
        <f t="shared" si="127"/>
        <v>0</v>
      </c>
      <c r="AF388" s="59">
        <f t="shared" si="128"/>
        <v>0</v>
      </c>
      <c r="AG388" s="59">
        <f t="shared" si="129"/>
        <v>0</v>
      </c>
      <c r="AH388" s="59">
        <v>1</v>
      </c>
      <c r="AI388" s="59">
        <v>3</v>
      </c>
      <c r="AJ388" s="59">
        <f t="shared" si="130"/>
        <v>0</v>
      </c>
      <c r="AK388" s="59">
        <f t="shared" si="131"/>
        <v>0</v>
      </c>
      <c r="AL388" s="59">
        <v>3034</v>
      </c>
      <c r="AM388" s="59">
        <v>26914</v>
      </c>
      <c r="AN388" s="59">
        <v>1</v>
      </c>
      <c r="AO388" s="59">
        <v>0</v>
      </c>
      <c r="AP388" s="59">
        <v>12</v>
      </c>
      <c r="AQ388" s="59">
        <v>3</v>
      </c>
      <c r="AR388" s="59">
        <v>3</v>
      </c>
      <c r="AS388" s="59">
        <v>80</v>
      </c>
      <c r="AT388" s="59">
        <v>1</v>
      </c>
      <c r="AU388" s="59">
        <v>18</v>
      </c>
      <c r="AV388" s="59">
        <v>2</v>
      </c>
      <c r="AW388" s="59">
        <v>2</v>
      </c>
      <c r="AX388" s="59">
        <v>18</v>
      </c>
      <c r="AY388" s="59">
        <v>7</v>
      </c>
      <c r="AZ388" s="59">
        <v>12</v>
      </c>
      <c r="BA388" s="59">
        <v>17</v>
      </c>
      <c r="BB388" s="57">
        <f t="shared" si="132"/>
        <v>3034</v>
      </c>
    </row>
    <row r="389" spans="1:54" x14ac:dyDescent="0.25">
      <c r="A389" s="58">
        <v>40</v>
      </c>
      <c r="B389" s="59">
        <v>0</v>
      </c>
      <c r="C389" s="59">
        <v>1</v>
      </c>
      <c r="D389" s="59">
        <f t="shared" si="114"/>
        <v>1</v>
      </c>
      <c r="E389" s="59">
        <f t="shared" si="115"/>
        <v>0</v>
      </c>
      <c r="F389" s="59">
        <v>759</v>
      </c>
      <c r="G389" s="59">
        <v>1</v>
      </c>
      <c r="H389" s="59">
        <f t="shared" si="116"/>
        <v>1</v>
      </c>
      <c r="I389" s="59">
        <f t="shared" si="117"/>
        <v>0</v>
      </c>
      <c r="J389" s="59">
        <v>2</v>
      </c>
      <c r="K389" s="59">
        <v>2</v>
      </c>
      <c r="L389" s="59">
        <v>4</v>
      </c>
      <c r="M389" s="59">
        <f t="shared" si="118"/>
        <v>0</v>
      </c>
      <c r="N389" s="59">
        <f t="shared" si="119"/>
        <v>0</v>
      </c>
      <c r="O389" s="59">
        <f t="shared" si="120"/>
        <v>0</v>
      </c>
      <c r="P389" s="59">
        <f t="shared" si="121"/>
        <v>1</v>
      </c>
      <c r="Q389" s="59">
        <f t="shared" si="122"/>
        <v>0</v>
      </c>
      <c r="R389" s="59">
        <v>1</v>
      </c>
      <c r="S389" s="59">
        <v>516</v>
      </c>
      <c r="T389" s="59">
        <v>4</v>
      </c>
      <c r="U389" s="59">
        <v>0</v>
      </c>
      <c r="V389" s="59">
        <v>46</v>
      </c>
      <c r="W389" s="59">
        <v>3</v>
      </c>
      <c r="X389" s="59">
        <v>2</v>
      </c>
      <c r="Y389" s="59">
        <v>1</v>
      </c>
      <c r="Z389" s="59">
        <f t="shared" si="123"/>
        <v>1</v>
      </c>
      <c r="AA389" s="59">
        <f>IF('Updated Dummy'!Y389=2,1,0)</f>
        <v>0</v>
      </c>
      <c r="AB389" s="59">
        <f t="shared" si="124"/>
        <v>0</v>
      </c>
      <c r="AC389" s="59">
        <f t="shared" si="125"/>
        <v>0</v>
      </c>
      <c r="AD389" s="59">
        <f t="shared" si="126"/>
        <v>0</v>
      </c>
      <c r="AE389" s="59">
        <f t="shared" si="127"/>
        <v>0</v>
      </c>
      <c r="AF389" s="59">
        <f t="shared" si="128"/>
        <v>0</v>
      </c>
      <c r="AG389" s="59">
        <f t="shared" si="129"/>
        <v>0</v>
      </c>
      <c r="AH389" s="59">
        <v>2</v>
      </c>
      <c r="AI389" s="59">
        <v>3</v>
      </c>
      <c r="AJ389" s="59">
        <f t="shared" si="130"/>
        <v>0</v>
      </c>
      <c r="AK389" s="59">
        <f t="shared" si="131"/>
        <v>0</v>
      </c>
      <c r="AL389" s="59">
        <v>5715</v>
      </c>
      <c r="AM389" s="59">
        <v>22553</v>
      </c>
      <c r="AN389" s="59">
        <v>7</v>
      </c>
      <c r="AO389" s="59">
        <v>0</v>
      </c>
      <c r="AP389" s="59">
        <v>12</v>
      </c>
      <c r="AQ389" s="59">
        <v>3</v>
      </c>
      <c r="AR389" s="59">
        <v>3</v>
      </c>
      <c r="AS389" s="59">
        <v>80</v>
      </c>
      <c r="AT389" s="59">
        <v>2</v>
      </c>
      <c r="AU389" s="59">
        <v>8</v>
      </c>
      <c r="AV389" s="59">
        <v>5</v>
      </c>
      <c r="AW389" s="59">
        <v>3</v>
      </c>
      <c r="AX389" s="59">
        <v>5</v>
      </c>
      <c r="AY389" s="59">
        <v>4</v>
      </c>
      <c r="AZ389" s="59">
        <v>1</v>
      </c>
      <c r="BA389" s="59">
        <v>3</v>
      </c>
      <c r="BB389" s="57">
        <f t="shared" si="132"/>
        <v>11430</v>
      </c>
    </row>
    <row r="390" spans="1:54" x14ac:dyDescent="0.25">
      <c r="A390" s="58">
        <v>42</v>
      </c>
      <c r="B390" s="59">
        <v>0</v>
      </c>
      <c r="C390" s="59">
        <v>1</v>
      </c>
      <c r="D390" s="59">
        <f t="shared" si="114"/>
        <v>1</v>
      </c>
      <c r="E390" s="59">
        <f t="shared" si="115"/>
        <v>0</v>
      </c>
      <c r="F390" s="59">
        <v>201</v>
      </c>
      <c r="G390" s="59">
        <v>2</v>
      </c>
      <c r="H390" s="59">
        <f t="shared" si="116"/>
        <v>0</v>
      </c>
      <c r="I390" s="59">
        <f t="shared" si="117"/>
        <v>1</v>
      </c>
      <c r="J390" s="59">
        <v>1</v>
      </c>
      <c r="K390" s="59">
        <v>4</v>
      </c>
      <c r="L390" s="59">
        <v>1</v>
      </c>
      <c r="M390" s="59">
        <f t="shared" si="118"/>
        <v>1</v>
      </c>
      <c r="N390" s="59">
        <f t="shared" si="119"/>
        <v>0</v>
      </c>
      <c r="O390" s="59">
        <f t="shared" si="120"/>
        <v>0</v>
      </c>
      <c r="P390" s="59">
        <f t="shared" si="121"/>
        <v>0</v>
      </c>
      <c r="Q390" s="59">
        <f t="shared" si="122"/>
        <v>0</v>
      </c>
      <c r="R390" s="59">
        <v>1</v>
      </c>
      <c r="S390" s="59">
        <v>517</v>
      </c>
      <c r="T390" s="59">
        <v>2</v>
      </c>
      <c r="U390" s="59">
        <v>0</v>
      </c>
      <c r="V390" s="59">
        <v>95</v>
      </c>
      <c r="W390" s="59">
        <v>3</v>
      </c>
      <c r="X390" s="59">
        <v>1</v>
      </c>
      <c r="Y390" s="59">
        <v>3</v>
      </c>
      <c r="Z390" s="59">
        <f t="shared" si="123"/>
        <v>0</v>
      </c>
      <c r="AA390" s="59">
        <f>IF('Updated Dummy'!Y390=2,1,0)</f>
        <v>0</v>
      </c>
      <c r="AB390" s="59">
        <f t="shared" si="124"/>
        <v>1</v>
      </c>
      <c r="AC390" s="59">
        <f t="shared" si="125"/>
        <v>0</v>
      </c>
      <c r="AD390" s="59">
        <f t="shared" si="126"/>
        <v>0</v>
      </c>
      <c r="AE390" s="59">
        <f t="shared" si="127"/>
        <v>0</v>
      </c>
      <c r="AF390" s="59">
        <f t="shared" si="128"/>
        <v>0</v>
      </c>
      <c r="AG390" s="59">
        <f t="shared" si="129"/>
        <v>0</v>
      </c>
      <c r="AH390" s="59">
        <v>1</v>
      </c>
      <c r="AI390" s="59">
        <v>3</v>
      </c>
      <c r="AJ390" s="59">
        <f t="shared" si="130"/>
        <v>0</v>
      </c>
      <c r="AK390" s="59">
        <f t="shared" si="131"/>
        <v>0</v>
      </c>
      <c r="AL390" s="59">
        <v>2576</v>
      </c>
      <c r="AM390" s="59">
        <v>20490</v>
      </c>
      <c r="AN390" s="59">
        <v>3</v>
      </c>
      <c r="AO390" s="59">
        <v>0</v>
      </c>
      <c r="AP390" s="59">
        <v>16</v>
      </c>
      <c r="AQ390" s="59">
        <v>3</v>
      </c>
      <c r="AR390" s="59">
        <v>2</v>
      </c>
      <c r="AS390" s="59">
        <v>80</v>
      </c>
      <c r="AT390" s="59">
        <v>1</v>
      </c>
      <c r="AU390" s="59">
        <v>8</v>
      </c>
      <c r="AV390" s="59">
        <v>5</v>
      </c>
      <c r="AW390" s="59">
        <v>3</v>
      </c>
      <c r="AX390" s="59">
        <v>5</v>
      </c>
      <c r="AY390" s="59">
        <v>2</v>
      </c>
      <c r="AZ390" s="59">
        <v>1</v>
      </c>
      <c r="BA390" s="59">
        <v>2</v>
      </c>
      <c r="BB390" s="57">
        <f t="shared" si="132"/>
        <v>2576</v>
      </c>
    </row>
    <row r="391" spans="1:54" x14ac:dyDescent="0.25">
      <c r="A391" s="58">
        <v>37</v>
      </c>
      <c r="B391" s="59">
        <v>0</v>
      </c>
      <c r="C391" s="59">
        <v>1</v>
      </c>
      <c r="D391" s="59">
        <f t="shared" si="114"/>
        <v>1</v>
      </c>
      <c r="E391" s="59">
        <f t="shared" si="115"/>
        <v>0</v>
      </c>
      <c r="F391" s="59">
        <v>1305</v>
      </c>
      <c r="G391" s="59">
        <v>2</v>
      </c>
      <c r="H391" s="59">
        <f t="shared" si="116"/>
        <v>0</v>
      </c>
      <c r="I391" s="59">
        <f t="shared" si="117"/>
        <v>1</v>
      </c>
      <c r="J391" s="59">
        <v>10</v>
      </c>
      <c r="K391" s="59">
        <v>4</v>
      </c>
      <c r="L391" s="59">
        <v>1</v>
      </c>
      <c r="M391" s="59">
        <f t="shared" si="118"/>
        <v>1</v>
      </c>
      <c r="N391" s="59">
        <f t="shared" si="119"/>
        <v>0</v>
      </c>
      <c r="O391" s="59">
        <f t="shared" si="120"/>
        <v>0</v>
      </c>
      <c r="P391" s="59">
        <f t="shared" si="121"/>
        <v>0</v>
      </c>
      <c r="Q391" s="59">
        <f t="shared" si="122"/>
        <v>0</v>
      </c>
      <c r="R391" s="59">
        <v>1</v>
      </c>
      <c r="S391" s="59">
        <v>518</v>
      </c>
      <c r="T391" s="59">
        <v>3</v>
      </c>
      <c r="U391" s="59">
        <v>1</v>
      </c>
      <c r="V391" s="59">
        <v>49</v>
      </c>
      <c r="W391" s="59">
        <v>3</v>
      </c>
      <c r="X391" s="59">
        <v>2</v>
      </c>
      <c r="Y391" s="59">
        <v>4</v>
      </c>
      <c r="Z391" s="59">
        <f t="shared" si="123"/>
        <v>0</v>
      </c>
      <c r="AA391" s="59">
        <f>IF('Updated Dummy'!Y391=2,1,0)</f>
        <v>0</v>
      </c>
      <c r="AB391" s="59">
        <f t="shared" si="124"/>
        <v>0</v>
      </c>
      <c r="AC391" s="59">
        <f t="shared" si="125"/>
        <v>1</v>
      </c>
      <c r="AD391" s="59">
        <f t="shared" si="126"/>
        <v>0</v>
      </c>
      <c r="AE391" s="59">
        <f t="shared" si="127"/>
        <v>0</v>
      </c>
      <c r="AF391" s="59">
        <f t="shared" si="128"/>
        <v>0</v>
      </c>
      <c r="AG391" s="59">
        <f t="shared" si="129"/>
        <v>0</v>
      </c>
      <c r="AH391" s="59">
        <v>2</v>
      </c>
      <c r="AI391" s="59">
        <v>1</v>
      </c>
      <c r="AJ391" s="59">
        <f t="shared" si="130"/>
        <v>1</v>
      </c>
      <c r="AK391" s="59">
        <f t="shared" si="131"/>
        <v>0</v>
      </c>
      <c r="AL391" s="59">
        <v>4197</v>
      </c>
      <c r="AM391" s="59">
        <v>21123</v>
      </c>
      <c r="AN391" s="59">
        <v>2</v>
      </c>
      <c r="AO391" s="59">
        <v>1</v>
      </c>
      <c r="AP391" s="59">
        <v>12</v>
      </c>
      <c r="AQ391" s="59">
        <v>3</v>
      </c>
      <c r="AR391" s="59">
        <v>4</v>
      </c>
      <c r="AS391" s="59">
        <v>80</v>
      </c>
      <c r="AT391" s="59">
        <v>0</v>
      </c>
      <c r="AU391" s="59">
        <v>18</v>
      </c>
      <c r="AV391" s="59">
        <v>2</v>
      </c>
      <c r="AW391" s="59">
        <v>2</v>
      </c>
      <c r="AX391" s="59">
        <v>1</v>
      </c>
      <c r="AY391" s="59">
        <v>0</v>
      </c>
      <c r="AZ391" s="59">
        <v>0</v>
      </c>
      <c r="BA391" s="59">
        <v>1</v>
      </c>
      <c r="BB391" s="57">
        <f t="shared" si="132"/>
        <v>8394</v>
      </c>
    </row>
    <row r="392" spans="1:54" x14ac:dyDescent="0.25">
      <c r="A392" s="58">
        <v>43</v>
      </c>
      <c r="B392" s="59">
        <v>0</v>
      </c>
      <c r="C392" s="59">
        <v>1</v>
      </c>
      <c r="D392" s="59">
        <f t="shared" si="114"/>
        <v>1</v>
      </c>
      <c r="E392" s="59">
        <f t="shared" si="115"/>
        <v>0</v>
      </c>
      <c r="F392" s="59">
        <v>982</v>
      </c>
      <c r="G392" s="59">
        <v>2</v>
      </c>
      <c r="H392" s="59">
        <f t="shared" si="116"/>
        <v>0</v>
      </c>
      <c r="I392" s="59">
        <f t="shared" si="117"/>
        <v>1</v>
      </c>
      <c r="J392" s="59">
        <v>12</v>
      </c>
      <c r="K392" s="59">
        <v>3</v>
      </c>
      <c r="L392" s="59">
        <v>1</v>
      </c>
      <c r="M392" s="59">
        <f t="shared" si="118"/>
        <v>1</v>
      </c>
      <c r="N392" s="59">
        <f t="shared" si="119"/>
        <v>0</v>
      </c>
      <c r="O392" s="59">
        <f t="shared" si="120"/>
        <v>0</v>
      </c>
      <c r="P392" s="59">
        <f t="shared" si="121"/>
        <v>0</v>
      </c>
      <c r="Q392" s="59">
        <f t="shared" si="122"/>
        <v>0</v>
      </c>
      <c r="R392" s="59">
        <v>1</v>
      </c>
      <c r="S392" s="59">
        <v>520</v>
      </c>
      <c r="T392" s="59">
        <v>1</v>
      </c>
      <c r="U392" s="59">
        <v>1</v>
      </c>
      <c r="V392" s="59">
        <v>59</v>
      </c>
      <c r="W392" s="59">
        <v>2</v>
      </c>
      <c r="X392" s="59">
        <v>4</v>
      </c>
      <c r="Y392" s="59">
        <v>8</v>
      </c>
      <c r="Z392" s="59">
        <f t="shared" si="123"/>
        <v>0</v>
      </c>
      <c r="AA392" s="59">
        <f>IF('Updated Dummy'!Y392=2,1,0)</f>
        <v>0</v>
      </c>
      <c r="AB392" s="59">
        <f t="shared" si="124"/>
        <v>0</v>
      </c>
      <c r="AC392" s="59">
        <f t="shared" si="125"/>
        <v>0</v>
      </c>
      <c r="AD392" s="59">
        <f t="shared" si="126"/>
        <v>0</v>
      </c>
      <c r="AE392" s="59">
        <f t="shared" si="127"/>
        <v>0</v>
      </c>
      <c r="AF392" s="59">
        <f t="shared" si="128"/>
        <v>0</v>
      </c>
      <c r="AG392" s="59">
        <f t="shared" si="129"/>
        <v>1</v>
      </c>
      <c r="AH392" s="59">
        <v>2</v>
      </c>
      <c r="AI392" s="59">
        <v>3</v>
      </c>
      <c r="AJ392" s="59">
        <f t="shared" si="130"/>
        <v>0</v>
      </c>
      <c r="AK392" s="59">
        <f t="shared" si="131"/>
        <v>0</v>
      </c>
      <c r="AL392" s="59">
        <v>14336</v>
      </c>
      <c r="AM392" s="59">
        <v>4345</v>
      </c>
      <c r="AN392" s="59">
        <v>1</v>
      </c>
      <c r="AO392" s="59">
        <v>0</v>
      </c>
      <c r="AP392" s="59">
        <v>11</v>
      </c>
      <c r="AQ392" s="59">
        <v>3</v>
      </c>
      <c r="AR392" s="59">
        <v>3</v>
      </c>
      <c r="AS392" s="59">
        <v>80</v>
      </c>
      <c r="AT392" s="59">
        <v>1</v>
      </c>
      <c r="AU392" s="59">
        <v>25</v>
      </c>
      <c r="AV392" s="59">
        <v>3</v>
      </c>
      <c r="AW392" s="59">
        <v>3</v>
      </c>
      <c r="AX392" s="59">
        <v>25</v>
      </c>
      <c r="AY392" s="59">
        <v>10</v>
      </c>
      <c r="AZ392" s="59">
        <v>3</v>
      </c>
      <c r="BA392" s="59">
        <v>9</v>
      </c>
      <c r="BB392" s="57">
        <f t="shared" si="132"/>
        <v>57344</v>
      </c>
    </row>
    <row r="393" spans="1:54" x14ac:dyDescent="0.25">
      <c r="A393" s="58">
        <v>40</v>
      </c>
      <c r="B393" s="59">
        <v>0</v>
      </c>
      <c r="C393" s="59">
        <v>1</v>
      </c>
      <c r="D393" s="59">
        <f t="shared" si="114"/>
        <v>1</v>
      </c>
      <c r="E393" s="59">
        <f t="shared" si="115"/>
        <v>0</v>
      </c>
      <c r="F393" s="59">
        <v>555</v>
      </c>
      <c r="G393" s="59">
        <v>2</v>
      </c>
      <c r="H393" s="59">
        <f t="shared" si="116"/>
        <v>0</v>
      </c>
      <c r="I393" s="59">
        <f t="shared" si="117"/>
        <v>1</v>
      </c>
      <c r="J393" s="59">
        <v>2</v>
      </c>
      <c r="K393" s="59">
        <v>3</v>
      </c>
      <c r="L393" s="59">
        <v>3</v>
      </c>
      <c r="M393" s="59">
        <f t="shared" si="118"/>
        <v>0</v>
      </c>
      <c r="N393" s="59">
        <f t="shared" si="119"/>
        <v>0</v>
      </c>
      <c r="O393" s="59">
        <f t="shared" si="120"/>
        <v>1</v>
      </c>
      <c r="P393" s="59">
        <f t="shared" si="121"/>
        <v>0</v>
      </c>
      <c r="Q393" s="59">
        <f t="shared" si="122"/>
        <v>0</v>
      </c>
      <c r="R393" s="59">
        <v>1</v>
      </c>
      <c r="S393" s="59">
        <v>521</v>
      </c>
      <c r="T393" s="59">
        <v>2</v>
      </c>
      <c r="U393" s="59">
        <v>0</v>
      </c>
      <c r="V393" s="59">
        <v>78</v>
      </c>
      <c r="W393" s="59">
        <v>2</v>
      </c>
      <c r="X393" s="59">
        <v>2</v>
      </c>
      <c r="Y393" s="59">
        <v>3</v>
      </c>
      <c r="Z393" s="59">
        <f t="shared" si="123"/>
        <v>0</v>
      </c>
      <c r="AA393" s="59">
        <f>IF('Updated Dummy'!Y393=2,1,0)</f>
        <v>0</v>
      </c>
      <c r="AB393" s="59">
        <f t="shared" si="124"/>
        <v>1</v>
      </c>
      <c r="AC393" s="59">
        <f t="shared" si="125"/>
        <v>0</v>
      </c>
      <c r="AD393" s="59">
        <f t="shared" si="126"/>
        <v>0</v>
      </c>
      <c r="AE393" s="59">
        <f t="shared" si="127"/>
        <v>0</v>
      </c>
      <c r="AF393" s="59">
        <f t="shared" si="128"/>
        <v>0</v>
      </c>
      <c r="AG393" s="59">
        <f t="shared" si="129"/>
        <v>0</v>
      </c>
      <c r="AH393" s="59">
        <v>3</v>
      </c>
      <c r="AI393" s="59">
        <v>2</v>
      </c>
      <c r="AJ393" s="59">
        <f t="shared" si="130"/>
        <v>0</v>
      </c>
      <c r="AK393" s="59">
        <f t="shared" si="131"/>
        <v>1</v>
      </c>
      <c r="AL393" s="59">
        <v>3448</v>
      </c>
      <c r="AM393" s="59">
        <v>13436</v>
      </c>
      <c r="AN393" s="59">
        <v>6</v>
      </c>
      <c r="AO393" s="59">
        <v>0</v>
      </c>
      <c r="AP393" s="59">
        <v>22</v>
      </c>
      <c r="AQ393" s="59">
        <v>4</v>
      </c>
      <c r="AR393" s="59">
        <v>2</v>
      </c>
      <c r="AS393" s="59">
        <v>80</v>
      </c>
      <c r="AT393" s="59">
        <v>1</v>
      </c>
      <c r="AU393" s="59">
        <v>20</v>
      </c>
      <c r="AV393" s="59">
        <v>3</v>
      </c>
      <c r="AW393" s="59">
        <v>3</v>
      </c>
      <c r="AX393" s="59">
        <v>1</v>
      </c>
      <c r="AY393" s="59">
        <v>0</v>
      </c>
      <c r="AZ393" s="59">
        <v>0</v>
      </c>
      <c r="BA393" s="59">
        <v>0</v>
      </c>
      <c r="BB393" s="57">
        <f t="shared" si="132"/>
        <v>6896</v>
      </c>
    </row>
    <row r="394" spans="1:54" x14ac:dyDescent="0.25">
      <c r="A394" s="58">
        <v>54</v>
      </c>
      <c r="B394" s="59">
        <v>0</v>
      </c>
      <c r="C394" s="59">
        <v>1</v>
      </c>
      <c r="D394" s="59">
        <f t="shared" si="114"/>
        <v>1</v>
      </c>
      <c r="E394" s="59">
        <f t="shared" si="115"/>
        <v>0</v>
      </c>
      <c r="F394" s="59">
        <v>821</v>
      </c>
      <c r="G394" s="59">
        <v>2</v>
      </c>
      <c r="H394" s="59">
        <f t="shared" si="116"/>
        <v>0</v>
      </c>
      <c r="I394" s="59">
        <f t="shared" si="117"/>
        <v>1</v>
      </c>
      <c r="J394" s="59">
        <v>5</v>
      </c>
      <c r="K394" s="59">
        <v>2</v>
      </c>
      <c r="L394" s="59">
        <v>3</v>
      </c>
      <c r="M394" s="59">
        <f t="shared" si="118"/>
        <v>0</v>
      </c>
      <c r="N394" s="59">
        <f t="shared" si="119"/>
        <v>0</v>
      </c>
      <c r="O394" s="59">
        <f t="shared" si="120"/>
        <v>1</v>
      </c>
      <c r="P394" s="59">
        <f t="shared" si="121"/>
        <v>0</v>
      </c>
      <c r="Q394" s="59">
        <f t="shared" si="122"/>
        <v>0</v>
      </c>
      <c r="R394" s="59">
        <v>1</v>
      </c>
      <c r="S394" s="59">
        <v>522</v>
      </c>
      <c r="T394" s="59">
        <v>1</v>
      </c>
      <c r="U394" s="59">
        <v>1</v>
      </c>
      <c r="V394" s="59">
        <v>86</v>
      </c>
      <c r="W394" s="59">
        <v>3</v>
      </c>
      <c r="X394" s="59">
        <v>5</v>
      </c>
      <c r="Y394" s="59">
        <v>8</v>
      </c>
      <c r="Z394" s="59">
        <f t="shared" si="123"/>
        <v>0</v>
      </c>
      <c r="AA394" s="59">
        <f>IF('Updated Dummy'!Y394=2,1,0)</f>
        <v>0</v>
      </c>
      <c r="AB394" s="59">
        <f t="shared" si="124"/>
        <v>0</v>
      </c>
      <c r="AC394" s="59">
        <f t="shared" si="125"/>
        <v>0</v>
      </c>
      <c r="AD394" s="59">
        <f t="shared" si="126"/>
        <v>0</v>
      </c>
      <c r="AE394" s="59">
        <f t="shared" si="127"/>
        <v>0</v>
      </c>
      <c r="AF394" s="59">
        <f t="shared" si="128"/>
        <v>0</v>
      </c>
      <c r="AG394" s="59">
        <f t="shared" si="129"/>
        <v>1</v>
      </c>
      <c r="AH394" s="59">
        <v>1</v>
      </c>
      <c r="AI394" s="59">
        <v>2</v>
      </c>
      <c r="AJ394" s="59">
        <f t="shared" si="130"/>
        <v>0</v>
      </c>
      <c r="AK394" s="59">
        <f t="shared" si="131"/>
        <v>1</v>
      </c>
      <c r="AL394" s="59">
        <v>19406</v>
      </c>
      <c r="AM394" s="59">
        <v>8509</v>
      </c>
      <c r="AN394" s="59">
        <v>4</v>
      </c>
      <c r="AO394" s="59">
        <v>0</v>
      </c>
      <c r="AP394" s="59">
        <v>11</v>
      </c>
      <c r="AQ394" s="59">
        <v>3</v>
      </c>
      <c r="AR394" s="59">
        <v>3</v>
      </c>
      <c r="AS394" s="59">
        <v>80</v>
      </c>
      <c r="AT394" s="59">
        <v>1</v>
      </c>
      <c r="AU394" s="59">
        <v>24</v>
      </c>
      <c r="AV394" s="59">
        <v>4</v>
      </c>
      <c r="AW394" s="59">
        <v>2</v>
      </c>
      <c r="AX394" s="59">
        <v>4</v>
      </c>
      <c r="AY394" s="59">
        <v>2</v>
      </c>
      <c r="AZ394" s="59">
        <v>1</v>
      </c>
      <c r="BA394" s="59">
        <v>2</v>
      </c>
      <c r="BB394" s="57">
        <f t="shared" si="132"/>
        <v>97030</v>
      </c>
    </row>
    <row r="395" spans="1:54" x14ac:dyDescent="0.25">
      <c r="A395" s="58">
        <v>34</v>
      </c>
      <c r="B395" s="59">
        <v>0</v>
      </c>
      <c r="C395" s="59">
        <v>3</v>
      </c>
      <c r="D395" s="59">
        <f t="shared" si="114"/>
        <v>0</v>
      </c>
      <c r="E395" s="59">
        <f t="shared" si="115"/>
        <v>0</v>
      </c>
      <c r="F395" s="59">
        <v>1381</v>
      </c>
      <c r="G395" s="59">
        <v>1</v>
      </c>
      <c r="H395" s="59">
        <f t="shared" si="116"/>
        <v>1</v>
      </c>
      <c r="I395" s="59">
        <f t="shared" si="117"/>
        <v>0</v>
      </c>
      <c r="J395" s="59">
        <v>4</v>
      </c>
      <c r="K395" s="59">
        <v>4</v>
      </c>
      <c r="L395" s="59">
        <v>4</v>
      </c>
      <c r="M395" s="59">
        <f t="shared" si="118"/>
        <v>0</v>
      </c>
      <c r="N395" s="59">
        <f t="shared" si="119"/>
        <v>0</v>
      </c>
      <c r="O395" s="59">
        <f t="shared" si="120"/>
        <v>0</v>
      </c>
      <c r="P395" s="59">
        <f t="shared" si="121"/>
        <v>1</v>
      </c>
      <c r="Q395" s="59">
        <f t="shared" si="122"/>
        <v>0</v>
      </c>
      <c r="R395" s="59">
        <v>1</v>
      </c>
      <c r="S395" s="59">
        <v>523</v>
      </c>
      <c r="T395" s="59">
        <v>3</v>
      </c>
      <c r="U395" s="59">
        <v>0</v>
      </c>
      <c r="V395" s="59">
        <v>72</v>
      </c>
      <c r="W395" s="59">
        <v>3</v>
      </c>
      <c r="X395" s="59">
        <v>2</v>
      </c>
      <c r="Y395" s="59">
        <v>1</v>
      </c>
      <c r="Z395" s="59">
        <f t="shared" si="123"/>
        <v>1</v>
      </c>
      <c r="AA395" s="59">
        <f>IF('Updated Dummy'!Y395=2,1,0)</f>
        <v>0</v>
      </c>
      <c r="AB395" s="59">
        <f t="shared" si="124"/>
        <v>0</v>
      </c>
      <c r="AC395" s="59">
        <f t="shared" si="125"/>
        <v>0</v>
      </c>
      <c r="AD395" s="59">
        <f t="shared" si="126"/>
        <v>0</v>
      </c>
      <c r="AE395" s="59">
        <f t="shared" si="127"/>
        <v>0</v>
      </c>
      <c r="AF395" s="59">
        <f t="shared" si="128"/>
        <v>0</v>
      </c>
      <c r="AG395" s="59">
        <f t="shared" si="129"/>
        <v>0</v>
      </c>
      <c r="AH395" s="59">
        <v>3</v>
      </c>
      <c r="AI395" s="59">
        <v>2</v>
      </c>
      <c r="AJ395" s="59">
        <f t="shared" si="130"/>
        <v>0</v>
      </c>
      <c r="AK395" s="59">
        <f t="shared" si="131"/>
        <v>1</v>
      </c>
      <c r="AL395" s="59">
        <v>6538</v>
      </c>
      <c r="AM395" s="59">
        <v>12740</v>
      </c>
      <c r="AN395" s="59">
        <v>9</v>
      </c>
      <c r="AO395" s="59">
        <v>0</v>
      </c>
      <c r="AP395" s="59">
        <v>15</v>
      </c>
      <c r="AQ395" s="59">
        <v>3</v>
      </c>
      <c r="AR395" s="59">
        <v>1</v>
      </c>
      <c r="AS395" s="59">
        <v>80</v>
      </c>
      <c r="AT395" s="59">
        <v>1</v>
      </c>
      <c r="AU395" s="59">
        <v>6</v>
      </c>
      <c r="AV395" s="59">
        <v>3</v>
      </c>
      <c r="AW395" s="59">
        <v>3</v>
      </c>
      <c r="AX395" s="59">
        <v>3</v>
      </c>
      <c r="AY395" s="59">
        <v>2</v>
      </c>
      <c r="AZ395" s="59">
        <v>1</v>
      </c>
      <c r="BA395" s="59">
        <v>2</v>
      </c>
      <c r="BB395" s="57">
        <f t="shared" si="132"/>
        <v>13076</v>
      </c>
    </row>
    <row r="396" spans="1:54" x14ac:dyDescent="0.25">
      <c r="A396" s="58">
        <v>31</v>
      </c>
      <c r="B396" s="59">
        <v>0</v>
      </c>
      <c r="C396" s="59">
        <v>1</v>
      </c>
      <c r="D396" s="59">
        <f t="shared" si="114"/>
        <v>1</v>
      </c>
      <c r="E396" s="59">
        <f t="shared" si="115"/>
        <v>0</v>
      </c>
      <c r="F396" s="59">
        <v>480</v>
      </c>
      <c r="G396" s="59">
        <v>2</v>
      </c>
      <c r="H396" s="59">
        <f t="shared" si="116"/>
        <v>0</v>
      </c>
      <c r="I396" s="59">
        <f t="shared" si="117"/>
        <v>1</v>
      </c>
      <c r="J396" s="59">
        <v>7</v>
      </c>
      <c r="K396" s="59">
        <v>2</v>
      </c>
      <c r="L396" s="59">
        <v>3</v>
      </c>
      <c r="M396" s="59">
        <f t="shared" si="118"/>
        <v>0</v>
      </c>
      <c r="N396" s="59">
        <f t="shared" si="119"/>
        <v>0</v>
      </c>
      <c r="O396" s="59">
        <f t="shared" si="120"/>
        <v>1</v>
      </c>
      <c r="P396" s="59">
        <f t="shared" si="121"/>
        <v>0</v>
      </c>
      <c r="Q396" s="59">
        <f t="shared" si="122"/>
        <v>0</v>
      </c>
      <c r="R396" s="59">
        <v>1</v>
      </c>
      <c r="S396" s="59">
        <v>524</v>
      </c>
      <c r="T396" s="59">
        <v>2</v>
      </c>
      <c r="U396" s="59">
        <v>0</v>
      </c>
      <c r="V396" s="59">
        <v>31</v>
      </c>
      <c r="W396" s="59">
        <v>3</v>
      </c>
      <c r="X396" s="59">
        <v>2</v>
      </c>
      <c r="Y396" s="59">
        <v>4</v>
      </c>
      <c r="Z396" s="59">
        <f t="shared" si="123"/>
        <v>0</v>
      </c>
      <c r="AA396" s="59">
        <f>IF('Updated Dummy'!Y396=2,1,0)</f>
        <v>0</v>
      </c>
      <c r="AB396" s="59">
        <f t="shared" si="124"/>
        <v>0</v>
      </c>
      <c r="AC396" s="59">
        <f t="shared" si="125"/>
        <v>1</v>
      </c>
      <c r="AD396" s="59">
        <f t="shared" si="126"/>
        <v>0</v>
      </c>
      <c r="AE396" s="59">
        <f t="shared" si="127"/>
        <v>0</v>
      </c>
      <c r="AF396" s="59">
        <f t="shared" si="128"/>
        <v>0</v>
      </c>
      <c r="AG396" s="59">
        <f t="shared" si="129"/>
        <v>0</v>
      </c>
      <c r="AH396" s="59">
        <v>1</v>
      </c>
      <c r="AI396" s="59">
        <v>2</v>
      </c>
      <c r="AJ396" s="59">
        <f t="shared" si="130"/>
        <v>0</v>
      </c>
      <c r="AK396" s="59">
        <f t="shared" si="131"/>
        <v>1</v>
      </c>
      <c r="AL396" s="59">
        <v>4306</v>
      </c>
      <c r="AM396" s="59">
        <v>4156</v>
      </c>
      <c r="AN396" s="59">
        <v>1</v>
      </c>
      <c r="AO396" s="59">
        <v>0</v>
      </c>
      <c r="AP396" s="59">
        <v>12</v>
      </c>
      <c r="AQ396" s="59">
        <v>3</v>
      </c>
      <c r="AR396" s="59">
        <v>2</v>
      </c>
      <c r="AS396" s="59">
        <v>80</v>
      </c>
      <c r="AT396" s="59">
        <v>1</v>
      </c>
      <c r="AU396" s="59">
        <v>13</v>
      </c>
      <c r="AV396" s="59">
        <v>5</v>
      </c>
      <c r="AW396" s="59">
        <v>1</v>
      </c>
      <c r="AX396" s="59">
        <v>13</v>
      </c>
      <c r="AY396" s="59">
        <v>10</v>
      </c>
      <c r="AZ396" s="59">
        <v>3</v>
      </c>
      <c r="BA396" s="59">
        <v>12</v>
      </c>
      <c r="BB396" s="57">
        <f t="shared" si="132"/>
        <v>8612</v>
      </c>
    </row>
    <row r="397" spans="1:54" x14ac:dyDescent="0.25">
      <c r="A397" s="58">
        <v>43</v>
      </c>
      <c r="B397" s="59">
        <v>0</v>
      </c>
      <c r="C397" s="59">
        <v>2</v>
      </c>
      <c r="D397" s="59">
        <f t="shared" si="114"/>
        <v>0</v>
      </c>
      <c r="E397" s="59">
        <f t="shared" si="115"/>
        <v>1</v>
      </c>
      <c r="F397" s="59">
        <v>313</v>
      </c>
      <c r="G397" s="59">
        <v>2</v>
      </c>
      <c r="H397" s="59">
        <f t="shared" si="116"/>
        <v>0</v>
      </c>
      <c r="I397" s="59">
        <f t="shared" si="117"/>
        <v>1</v>
      </c>
      <c r="J397" s="59">
        <v>21</v>
      </c>
      <c r="K397" s="59">
        <v>3</v>
      </c>
      <c r="L397" s="59">
        <v>3</v>
      </c>
      <c r="M397" s="59">
        <f t="shared" si="118"/>
        <v>0</v>
      </c>
      <c r="N397" s="59">
        <f t="shared" si="119"/>
        <v>0</v>
      </c>
      <c r="O397" s="59">
        <f t="shared" si="120"/>
        <v>1</v>
      </c>
      <c r="P397" s="59">
        <f t="shared" si="121"/>
        <v>0</v>
      </c>
      <c r="Q397" s="59">
        <f t="shared" si="122"/>
        <v>0</v>
      </c>
      <c r="R397" s="59">
        <v>1</v>
      </c>
      <c r="S397" s="59">
        <v>525</v>
      </c>
      <c r="T397" s="59">
        <v>4</v>
      </c>
      <c r="U397" s="59">
        <v>1</v>
      </c>
      <c r="V397" s="59">
        <v>61</v>
      </c>
      <c r="W397" s="59">
        <v>3</v>
      </c>
      <c r="X397" s="59">
        <v>1</v>
      </c>
      <c r="Y397" s="59">
        <v>3</v>
      </c>
      <c r="Z397" s="59">
        <f t="shared" si="123"/>
        <v>0</v>
      </c>
      <c r="AA397" s="59">
        <f>IF('Updated Dummy'!Y397=2,1,0)</f>
        <v>0</v>
      </c>
      <c r="AB397" s="59">
        <f t="shared" si="124"/>
        <v>1</v>
      </c>
      <c r="AC397" s="59">
        <f t="shared" si="125"/>
        <v>0</v>
      </c>
      <c r="AD397" s="59">
        <f t="shared" si="126"/>
        <v>0</v>
      </c>
      <c r="AE397" s="59">
        <f t="shared" si="127"/>
        <v>0</v>
      </c>
      <c r="AF397" s="59">
        <f t="shared" si="128"/>
        <v>0</v>
      </c>
      <c r="AG397" s="59">
        <f t="shared" si="129"/>
        <v>0</v>
      </c>
      <c r="AH397" s="59">
        <v>4</v>
      </c>
      <c r="AI397" s="59">
        <v>2</v>
      </c>
      <c r="AJ397" s="59">
        <f t="shared" si="130"/>
        <v>0</v>
      </c>
      <c r="AK397" s="59">
        <f t="shared" si="131"/>
        <v>1</v>
      </c>
      <c r="AL397" s="59">
        <v>2258</v>
      </c>
      <c r="AM397" s="59">
        <v>15238</v>
      </c>
      <c r="AN397" s="59">
        <v>7</v>
      </c>
      <c r="AO397" s="59">
        <v>0</v>
      </c>
      <c r="AP397" s="59">
        <v>20</v>
      </c>
      <c r="AQ397" s="59">
        <v>4</v>
      </c>
      <c r="AR397" s="59">
        <v>1</v>
      </c>
      <c r="AS397" s="59">
        <v>80</v>
      </c>
      <c r="AT397" s="59">
        <v>1</v>
      </c>
      <c r="AU397" s="59">
        <v>8</v>
      </c>
      <c r="AV397" s="59">
        <v>1</v>
      </c>
      <c r="AW397" s="59">
        <v>3</v>
      </c>
      <c r="AX397" s="59">
        <v>3</v>
      </c>
      <c r="AY397" s="59">
        <v>2</v>
      </c>
      <c r="AZ397" s="59">
        <v>1</v>
      </c>
      <c r="BA397" s="59">
        <v>2</v>
      </c>
      <c r="BB397" s="57">
        <f t="shared" si="132"/>
        <v>2258</v>
      </c>
    </row>
    <row r="398" spans="1:54" x14ac:dyDescent="0.25">
      <c r="A398" s="58">
        <v>43</v>
      </c>
      <c r="B398" s="59">
        <v>0</v>
      </c>
      <c r="C398" s="59">
        <v>1</v>
      </c>
      <c r="D398" s="59">
        <f t="shared" si="114"/>
        <v>1</v>
      </c>
      <c r="E398" s="59">
        <f t="shared" si="115"/>
        <v>0</v>
      </c>
      <c r="F398" s="59">
        <v>1473</v>
      </c>
      <c r="G398" s="59">
        <v>2</v>
      </c>
      <c r="H398" s="59">
        <f t="shared" si="116"/>
        <v>0</v>
      </c>
      <c r="I398" s="59">
        <f t="shared" si="117"/>
        <v>1</v>
      </c>
      <c r="J398" s="59">
        <v>8</v>
      </c>
      <c r="K398" s="59">
        <v>4</v>
      </c>
      <c r="L398" s="59">
        <v>6</v>
      </c>
      <c r="M398" s="59">
        <f t="shared" si="118"/>
        <v>0</v>
      </c>
      <c r="N398" s="59">
        <f t="shared" si="119"/>
        <v>0</v>
      </c>
      <c r="O398" s="59">
        <f t="shared" si="120"/>
        <v>0</v>
      </c>
      <c r="P398" s="59">
        <f t="shared" si="121"/>
        <v>0</v>
      </c>
      <c r="Q398" s="59">
        <f t="shared" si="122"/>
        <v>0</v>
      </c>
      <c r="R398" s="59">
        <v>1</v>
      </c>
      <c r="S398" s="59">
        <v>526</v>
      </c>
      <c r="T398" s="59">
        <v>3</v>
      </c>
      <c r="U398" s="59">
        <v>0</v>
      </c>
      <c r="V398" s="59">
        <v>74</v>
      </c>
      <c r="W398" s="59">
        <v>3</v>
      </c>
      <c r="X398" s="59">
        <v>2</v>
      </c>
      <c r="Y398" s="59">
        <v>5</v>
      </c>
      <c r="Z398" s="59">
        <f t="shared" si="123"/>
        <v>0</v>
      </c>
      <c r="AA398" s="59">
        <f>IF('Updated Dummy'!Y398=2,1,0)</f>
        <v>0</v>
      </c>
      <c r="AB398" s="59">
        <f t="shared" si="124"/>
        <v>0</v>
      </c>
      <c r="AC398" s="59">
        <f t="shared" si="125"/>
        <v>0</v>
      </c>
      <c r="AD398" s="59">
        <f t="shared" si="126"/>
        <v>1</v>
      </c>
      <c r="AE398" s="59">
        <f t="shared" si="127"/>
        <v>0</v>
      </c>
      <c r="AF398" s="59">
        <f t="shared" si="128"/>
        <v>0</v>
      </c>
      <c r="AG398" s="59">
        <f t="shared" si="129"/>
        <v>0</v>
      </c>
      <c r="AH398" s="59">
        <v>3</v>
      </c>
      <c r="AI398" s="59">
        <v>3</v>
      </c>
      <c r="AJ398" s="59">
        <f t="shared" si="130"/>
        <v>0</v>
      </c>
      <c r="AK398" s="59">
        <f t="shared" si="131"/>
        <v>0</v>
      </c>
      <c r="AL398" s="59">
        <v>4522</v>
      </c>
      <c r="AM398" s="59">
        <v>2227</v>
      </c>
      <c r="AN398" s="59">
        <v>4</v>
      </c>
      <c r="AO398" s="59">
        <v>1</v>
      </c>
      <c r="AP398" s="59">
        <v>14</v>
      </c>
      <c r="AQ398" s="59">
        <v>3</v>
      </c>
      <c r="AR398" s="59">
        <v>4</v>
      </c>
      <c r="AS398" s="59">
        <v>80</v>
      </c>
      <c r="AT398" s="59">
        <v>0</v>
      </c>
      <c r="AU398" s="59">
        <v>8</v>
      </c>
      <c r="AV398" s="59">
        <v>3</v>
      </c>
      <c r="AW398" s="59">
        <v>3</v>
      </c>
      <c r="AX398" s="59">
        <v>5</v>
      </c>
      <c r="AY398" s="59">
        <v>2</v>
      </c>
      <c r="AZ398" s="59">
        <v>0</v>
      </c>
      <c r="BA398" s="59">
        <v>2</v>
      </c>
      <c r="BB398" s="57">
        <f t="shared" si="132"/>
        <v>9044</v>
      </c>
    </row>
    <row r="399" spans="1:54" x14ac:dyDescent="0.25">
      <c r="A399" s="58">
        <v>25</v>
      </c>
      <c r="B399" s="59">
        <v>0</v>
      </c>
      <c r="C399" s="59">
        <v>1</v>
      </c>
      <c r="D399" s="59">
        <f t="shared" si="114"/>
        <v>1</v>
      </c>
      <c r="E399" s="59">
        <f t="shared" si="115"/>
        <v>0</v>
      </c>
      <c r="F399" s="59">
        <v>891</v>
      </c>
      <c r="G399" s="59">
        <v>1</v>
      </c>
      <c r="H399" s="59">
        <f t="shared" si="116"/>
        <v>1</v>
      </c>
      <c r="I399" s="59">
        <f t="shared" si="117"/>
        <v>0</v>
      </c>
      <c r="J399" s="59">
        <v>4</v>
      </c>
      <c r="K399" s="59">
        <v>2</v>
      </c>
      <c r="L399" s="59">
        <v>1</v>
      </c>
      <c r="M399" s="59">
        <f t="shared" si="118"/>
        <v>1</v>
      </c>
      <c r="N399" s="59">
        <f t="shared" si="119"/>
        <v>0</v>
      </c>
      <c r="O399" s="59">
        <f t="shared" si="120"/>
        <v>0</v>
      </c>
      <c r="P399" s="59">
        <f t="shared" si="121"/>
        <v>0</v>
      </c>
      <c r="Q399" s="59">
        <f t="shared" si="122"/>
        <v>0</v>
      </c>
      <c r="R399" s="59">
        <v>1</v>
      </c>
      <c r="S399" s="59">
        <v>527</v>
      </c>
      <c r="T399" s="59">
        <v>2</v>
      </c>
      <c r="U399" s="59">
        <v>0</v>
      </c>
      <c r="V399" s="59">
        <v>99</v>
      </c>
      <c r="W399" s="59">
        <v>2</v>
      </c>
      <c r="X399" s="59">
        <v>2</v>
      </c>
      <c r="Y399" s="59">
        <v>1</v>
      </c>
      <c r="Z399" s="59">
        <f t="shared" si="123"/>
        <v>1</v>
      </c>
      <c r="AA399" s="59">
        <f>IF('Updated Dummy'!Y399=2,1,0)</f>
        <v>0</v>
      </c>
      <c r="AB399" s="59">
        <f t="shared" si="124"/>
        <v>0</v>
      </c>
      <c r="AC399" s="59">
        <f t="shared" si="125"/>
        <v>0</v>
      </c>
      <c r="AD399" s="59">
        <f t="shared" si="126"/>
        <v>0</v>
      </c>
      <c r="AE399" s="59">
        <f t="shared" si="127"/>
        <v>0</v>
      </c>
      <c r="AF399" s="59">
        <f t="shared" si="128"/>
        <v>0</v>
      </c>
      <c r="AG399" s="59">
        <f t="shared" si="129"/>
        <v>0</v>
      </c>
      <c r="AH399" s="59">
        <v>4</v>
      </c>
      <c r="AI399" s="59">
        <v>1</v>
      </c>
      <c r="AJ399" s="59">
        <f t="shared" si="130"/>
        <v>1</v>
      </c>
      <c r="AK399" s="59">
        <f t="shared" si="131"/>
        <v>0</v>
      </c>
      <c r="AL399" s="59">
        <v>4487</v>
      </c>
      <c r="AM399" s="59">
        <v>12090</v>
      </c>
      <c r="AN399" s="59">
        <v>1</v>
      </c>
      <c r="AO399" s="59">
        <v>1</v>
      </c>
      <c r="AP399" s="59">
        <v>11</v>
      </c>
      <c r="AQ399" s="59">
        <v>3</v>
      </c>
      <c r="AR399" s="59">
        <v>2</v>
      </c>
      <c r="AS399" s="59">
        <v>80</v>
      </c>
      <c r="AT399" s="59">
        <v>0</v>
      </c>
      <c r="AU399" s="59">
        <v>5</v>
      </c>
      <c r="AV399" s="59">
        <v>3</v>
      </c>
      <c r="AW399" s="59">
        <v>3</v>
      </c>
      <c r="AX399" s="59">
        <v>5</v>
      </c>
      <c r="AY399" s="59">
        <v>4</v>
      </c>
      <c r="AZ399" s="59">
        <v>1</v>
      </c>
      <c r="BA399" s="59">
        <v>3</v>
      </c>
      <c r="BB399" s="57">
        <f t="shared" si="132"/>
        <v>8974</v>
      </c>
    </row>
    <row r="400" spans="1:54" x14ac:dyDescent="0.25">
      <c r="A400" s="58">
        <v>37</v>
      </c>
      <c r="B400" s="59">
        <v>0</v>
      </c>
      <c r="C400" s="59">
        <v>3</v>
      </c>
      <c r="D400" s="59">
        <f t="shared" si="114"/>
        <v>0</v>
      </c>
      <c r="E400" s="59">
        <f t="shared" si="115"/>
        <v>0</v>
      </c>
      <c r="F400" s="59">
        <v>1063</v>
      </c>
      <c r="G400" s="59">
        <v>2</v>
      </c>
      <c r="H400" s="59">
        <f t="shared" si="116"/>
        <v>0</v>
      </c>
      <c r="I400" s="59">
        <f t="shared" si="117"/>
        <v>1</v>
      </c>
      <c r="J400" s="59">
        <v>25</v>
      </c>
      <c r="K400" s="59">
        <v>5</v>
      </c>
      <c r="L400" s="59">
        <v>3</v>
      </c>
      <c r="M400" s="59">
        <f t="shared" si="118"/>
        <v>0</v>
      </c>
      <c r="N400" s="59">
        <f t="shared" si="119"/>
        <v>0</v>
      </c>
      <c r="O400" s="59">
        <f t="shared" si="120"/>
        <v>1</v>
      </c>
      <c r="P400" s="59">
        <f t="shared" si="121"/>
        <v>0</v>
      </c>
      <c r="Q400" s="59">
        <f t="shared" si="122"/>
        <v>0</v>
      </c>
      <c r="R400" s="59">
        <v>1</v>
      </c>
      <c r="S400" s="59">
        <v>529</v>
      </c>
      <c r="T400" s="59">
        <v>2</v>
      </c>
      <c r="U400" s="59">
        <v>0</v>
      </c>
      <c r="V400" s="59">
        <v>72</v>
      </c>
      <c r="W400" s="59">
        <v>3</v>
      </c>
      <c r="X400" s="59">
        <v>2</v>
      </c>
      <c r="Y400" s="59">
        <v>2</v>
      </c>
      <c r="Z400" s="59">
        <f t="shared" si="123"/>
        <v>0</v>
      </c>
      <c r="AA400" s="59">
        <f>IF('Updated Dummy'!Y400=2,1,0)</f>
        <v>1</v>
      </c>
      <c r="AB400" s="59">
        <f t="shared" si="124"/>
        <v>0</v>
      </c>
      <c r="AC400" s="59">
        <f t="shared" si="125"/>
        <v>0</v>
      </c>
      <c r="AD400" s="59">
        <f t="shared" si="126"/>
        <v>0</v>
      </c>
      <c r="AE400" s="59">
        <f t="shared" si="127"/>
        <v>0</v>
      </c>
      <c r="AF400" s="59">
        <f t="shared" si="128"/>
        <v>0</v>
      </c>
      <c r="AG400" s="59">
        <f t="shared" si="129"/>
        <v>0</v>
      </c>
      <c r="AH400" s="59">
        <v>3</v>
      </c>
      <c r="AI400" s="59">
        <v>2</v>
      </c>
      <c r="AJ400" s="59">
        <f t="shared" si="130"/>
        <v>0</v>
      </c>
      <c r="AK400" s="59">
        <f t="shared" si="131"/>
        <v>1</v>
      </c>
      <c r="AL400" s="59">
        <v>4449</v>
      </c>
      <c r="AM400" s="59">
        <v>23866</v>
      </c>
      <c r="AN400" s="59">
        <v>3</v>
      </c>
      <c r="AO400" s="59">
        <v>1</v>
      </c>
      <c r="AP400" s="59">
        <v>15</v>
      </c>
      <c r="AQ400" s="59">
        <v>3</v>
      </c>
      <c r="AR400" s="59">
        <v>1</v>
      </c>
      <c r="AS400" s="59">
        <v>80</v>
      </c>
      <c r="AT400" s="59">
        <v>2</v>
      </c>
      <c r="AU400" s="59">
        <v>15</v>
      </c>
      <c r="AV400" s="59">
        <v>2</v>
      </c>
      <c r="AW400" s="59">
        <v>3</v>
      </c>
      <c r="AX400" s="59">
        <v>13</v>
      </c>
      <c r="AY400" s="59">
        <v>11</v>
      </c>
      <c r="AZ400" s="59">
        <v>10</v>
      </c>
      <c r="BA400" s="59">
        <v>7</v>
      </c>
      <c r="BB400" s="57">
        <f t="shared" si="132"/>
        <v>8898</v>
      </c>
    </row>
    <row r="401" spans="1:54" x14ac:dyDescent="0.25">
      <c r="A401" s="58">
        <v>31</v>
      </c>
      <c r="B401" s="59">
        <v>0</v>
      </c>
      <c r="C401" s="59">
        <v>1</v>
      </c>
      <c r="D401" s="59">
        <f t="shared" si="114"/>
        <v>1</v>
      </c>
      <c r="E401" s="59">
        <f t="shared" si="115"/>
        <v>0</v>
      </c>
      <c r="F401" s="59">
        <v>329</v>
      </c>
      <c r="G401" s="59">
        <v>2</v>
      </c>
      <c r="H401" s="59">
        <f t="shared" si="116"/>
        <v>0</v>
      </c>
      <c r="I401" s="59">
        <f t="shared" si="117"/>
        <v>1</v>
      </c>
      <c r="J401" s="59">
        <v>1</v>
      </c>
      <c r="K401" s="59">
        <v>2</v>
      </c>
      <c r="L401" s="59">
        <v>1</v>
      </c>
      <c r="M401" s="59">
        <f t="shared" si="118"/>
        <v>1</v>
      </c>
      <c r="N401" s="59">
        <f t="shared" si="119"/>
        <v>0</v>
      </c>
      <c r="O401" s="59">
        <f t="shared" si="120"/>
        <v>0</v>
      </c>
      <c r="P401" s="59">
        <f t="shared" si="121"/>
        <v>0</v>
      </c>
      <c r="Q401" s="59">
        <f t="shared" si="122"/>
        <v>0</v>
      </c>
      <c r="R401" s="59">
        <v>1</v>
      </c>
      <c r="S401" s="59">
        <v>530</v>
      </c>
      <c r="T401" s="59">
        <v>4</v>
      </c>
      <c r="U401" s="59">
        <v>1</v>
      </c>
      <c r="V401" s="59">
        <v>98</v>
      </c>
      <c r="W401" s="59">
        <v>2</v>
      </c>
      <c r="X401" s="59">
        <v>1</v>
      </c>
      <c r="Y401" s="59">
        <v>3</v>
      </c>
      <c r="Z401" s="59">
        <f t="shared" si="123"/>
        <v>0</v>
      </c>
      <c r="AA401" s="59">
        <f>IF('Updated Dummy'!Y401=2,1,0)</f>
        <v>0</v>
      </c>
      <c r="AB401" s="59">
        <f t="shared" si="124"/>
        <v>1</v>
      </c>
      <c r="AC401" s="59">
        <f t="shared" si="125"/>
        <v>0</v>
      </c>
      <c r="AD401" s="59">
        <f t="shared" si="126"/>
        <v>0</v>
      </c>
      <c r="AE401" s="59">
        <f t="shared" si="127"/>
        <v>0</v>
      </c>
      <c r="AF401" s="59">
        <f t="shared" si="128"/>
        <v>0</v>
      </c>
      <c r="AG401" s="59">
        <f t="shared" si="129"/>
        <v>0</v>
      </c>
      <c r="AH401" s="59">
        <v>1</v>
      </c>
      <c r="AI401" s="59">
        <v>2</v>
      </c>
      <c r="AJ401" s="59">
        <f t="shared" si="130"/>
        <v>0</v>
      </c>
      <c r="AK401" s="59">
        <f t="shared" si="131"/>
        <v>1</v>
      </c>
      <c r="AL401" s="59">
        <v>2218</v>
      </c>
      <c r="AM401" s="59">
        <v>16193</v>
      </c>
      <c r="AN401" s="59">
        <v>1</v>
      </c>
      <c r="AO401" s="59">
        <v>0</v>
      </c>
      <c r="AP401" s="59">
        <v>12</v>
      </c>
      <c r="AQ401" s="59">
        <v>3</v>
      </c>
      <c r="AR401" s="59">
        <v>3</v>
      </c>
      <c r="AS401" s="59">
        <v>80</v>
      </c>
      <c r="AT401" s="59">
        <v>1</v>
      </c>
      <c r="AU401" s="59">
        <v>4</v>
      </c>
      <c r="AV401" s="59">
        <v>3</v>
      </c>
      <c r="AW401" s="59">
        <v>3</v>
      </c>
      <c r="AX401" s="59">
        <v>4</v>
      </c>
      <c r="AY401" s="59">
        <v>2</v>
      </c>
      <c r="AZ401" s="59">
        <v>3</v>
      </c>
      <c r="BA401" s="59">
        <v>2</v>
      </c>
      <c r="BB401" s="57">
        <f t="shared" si="132"/>
        <v>2218</v>
      </c>
    </row>
    <row r="402" spans="1:54" x14ac:dyDescent="0.25">
      <c r="A402" s="58">
        <v>39</v>
      </c>
      <c r="B402" s="59">
        <v>0</v>
      </c>
      <c r="C402" s="59">
        <v>2</v>
      </c>
      <c r="D402" s="59">
        <f t="shared" si="114"/>
        <v>0</v>
      </c>
      <c r="E402" s="59">
        <f t="shared" si="115"/>
        <v>1</v>
      </c>
      <c r="F402" s="59">
        <v>1218</v>
      </c>
      <c r="G402" s="59">
        <v>2</v>
      </c>
      <c r="H402" s="59">
        <f t="shared" si="116"/>
        <v>0</v>
      </c>
      <c r="I402" s="59">
        <f t="shared" si="117"/>
        <v>1</v>
      </c>
      <c r="J402" s="59">
        <v>1</v>
      </c>
      <c r="K402" s="59">
        <v>1</v>
      </c>
      <c r="L402" s="59">
        <v>1</v>
      </c>
      <c r="M402" s="59">
        <f t="shared" si="118"/>
        <v>1</v>
      </c>
      <c r="N402" s="59">
        <f t="shared" si="119"/>
        <v>0</v>
      </c>
      <c r="O402" s="59">
        <f t="shared" si="120"/>
        <v>0</v>
      </c>
      <c r="P402" s="59">
        <f t="shared" si="121"/>
        <v>0</v>
      </c>
      <c r="Q402" s="59">
        <f t="shared" si="122"/>
        <v>0</v>
      </c>
      <c r="R402" s="59">
        <v>1</v>
      </c>
      <c r="S402" s="59">
        <v>531</v>
      </c>
      <c r="T402" s="59">
        <v>2</v>
      </c>
      <c r="U402" s="59">
        <v>1</v>
      </c>
      <c r="V402" s="59">
        <v>52</v>
      </c>
      <c r="W402" s="59">
        <v>3</v>
      </c>
      <c r="X402" s="59">
        <v>5</v>
      </c>
      <c r="Y402" s="59">
        <v>6</v>
      </c>
      <c r="Z402" s="59">
        <f t="shared" si="123"/>
        <v>0</v>
      </c>
      <c r="AA402" s="59">
        <f>IF('Updated Dummy'!Y402=2,1,0)</f>
        <v>0</v>
      </c>
      <c r="AB402" s="59">
        <f t="shared" si="124"/>
        <v>0</v>
      </c>
      <c r="AC402" s="59">
        <f t="shared" si="125"/>
        <v>0</v>
      </c>
      <c r="AD402" s="59">
        <f t="shared" si="126"/>
        <v>0</v>
      </c>
      <c r="AE402" s="59">
        <f t="shared" si="127"/>
        <v>1</v>
      </c>
      <c r="AF402" s="59">
        <f t="shared" si="128"/>
        <v>0</v>
      </c>
      <c r="AG402" s="59">
        <f t="shared" si="129"/>
        <v>0</v>
      </c>
      <c r="AH402" s="59">
        <v>3</v>
      </c>
      <c r="AI402" s="59">
        <v>3</v>
      </c>
      <c r="AJ402" s="59">
        <f t="shared" si="130"/>
        <v>0</v>
      </c>
      <c r="AK402" s="59">
        <f t="shared" si="131"/>
        <v>0</v>
      </c>
      <c r="AL402" s="59">
        <v>19197</v>
      </c>
      <c r="AM402" s="59">
        <v>8213</v>
      </c>
      <c r="AN402" s="59">
        <v>1</v>
      </c>
      <c r="AO402" s="59">
        <v>1</v>
      </c>
      <c r="AP402" s="59">
        <v>14</v>
      </c>
      <c r="AQ402" s="59">
        <v>3</v>
      </c>
      <c r="AR402" s="59">
        <v>3</v>
      </c>
      <c r="AS402" s="59">
        <v>80</v>
      </c>
      <c r="AT402" s="59">
        <v>1</v>
      </c>
      <c r="AU402" s="59">
        <v>21</v>
      </c>
      <c r="AV402" s="59">
        <v>3</v>
      </c>
      <c r="AW402" s="59">
        <v>3</v>
      </c>
      <c r="AX402" s="59">
        <v>21</v>
      </c>
      <c r="AY402" s="59">
        <v>8</v>
      </c>
      <c r="AZ402" s="59">
        <v>1</v>
      </c>
      <c r="BA402" s="59">
        <v>6</v>
      </c>
      <c r="BB402" s="57">
        <f t="shared" si="132"/>
        <v>95985</v>
      </c>
    </row>
    <row r="403" spans="1:54" x14ac:dyDescent="0.25">
      <c r="A403" s="58">
        <v>56</v>
      </c>
      <c r="B403" s="59">
        <v>0</v>
      </c>
      <c r="C403" s="59">
        <v>2</v>
      </c>
      <c r="D403" s="59">
        <f t="shared" si="114"/>
        <v>0</v>
      </c>
      <c r="E403" s="59">
        <f t="shared" si="115"/>
        <v>1</v>
      </c>
      <c r="F403" s="59">
        <v>906</v>
      </c>
      <c r="G403" s="59">
        <v>1</v>
      </c>
      <c r="H403" s="59">
        <f t="shared" si="116"/>
        <v>1</v>
      </c>
      <c r="I403" s="59">
        <f t="shared" si="117"/>
        <v>0</v>
      </c>
      <c r="J403" s="59">
        <v>6</v>
      </c>
      <c r="K403" s="59">
        <v>3</v>
      </c>
      <c r="L403" s="59">
        <v>1</v>
      </c>
      <c r="M403" s="59">
        <f t="shared" si="118"/>
        <v>1</v>
      </c>
      <c r="N403" s="59">
        <f t="shared" si="119"/>
        <v>0</v>
      </c>
      <c r="O403" s="59">
        <f t="shared" si="120"/>
        <v>0</v>
      </c>
      <c r="P403" s="59">
        <f t="shared" si="121"/>
        <v>0</v>
      </c>
      <c r="Q403" s="59">
        <f t="shared" si="122"/>
        <v>0</v>
      </c>
      <c r="R403" s="59">
        <v>1</v>
      </c>
      <c r="S403" s="59">
        <v>532</v>
      </c>
      <c r="T403" s="59">
        <v>3</v>
      </c>
      <c r="U403" s="59">
        <v>0</v>
      </c>
      <c r="V403" s="59">
        <v>86</v>
      </c>
      <c r="W403" s="59">
        <v>4</v>
      </c>
      <c r="X403" s="59">
        <v>4</v>
      </c>
      <c r="Y403" s="59">
        <v>1</v>
      </c>
      <c r="Z403" s="59">
        <f t="shared" si="123"/>
        <v>1</v>
      </c>
      <c r="AA403" s="59">
        <f>IF('Updated Dummy'!Y403=2,1,0)</f>
        <v>0</v>
      </c>
      <c r="AB403" s="59">
        <f t="shared" si="124"/>
        <v>0</v>
      </c>
      <c r="AC403" s="59">
        <f t="shared" si="125"/>
        <v>0</v>
      </c>
      <c r="AD403" s="59">
        <f t="shared" si="126"/>
        <v>0</v>
      </c>
      <c r="AE403" s="59">
        <f t="shared" si="127"/>
        <v>0</v>
      </c>
      <c r="AF403" s="59">
        <f t="shared" si="128"/>
        <v>0</v>
      </c>
      <c r="AG403" s="59">
        <f t="shared" si="129"/>
        <v>0</v>
      </c>
      <c r="AH403" s="59">
        <v>1</v>
      </c>
      <c r="AI403" s="59">
        <v>2</v>
      </c>
      <c r="AJ403" s="59">
        <f t="shared" si="130"/>
        <v>0</v>
      </c>
      <c r="AK403" s="59">
        <f t="shared" si="131"/>
        <v>1</v>
      </c>
      <c r="AL403" s="59">
        <v>13212</v>
      </c>
      <c r="AM403" s="59">
        <v>18256</v>
      </c>
      <c r="AN403" s="59">
        <v>9</v>
      </c>
      <c r="AO403" s="59">
        <v>0</v>
      </c>
      <c r="AP403" s="59">
        <v>11</v>
      </c>
      <c r="AQ403" s="59">
        <v>3</v>
      </c>
      <c r="AR403" s="59">
        <v>4</v>
      </c>
      <c r="AS403" s="59">
        <v>80</v>
      </c>
      <c r="AT403" s="59">
        <v>3</v>
      </c>
      <c r="AU403" s="59">
        <v>36</v>
      </c>
      <c r="AV403" s="59">
        <v>0</v>
      </c>
      <c r="AW403" s="59">
        <v>2</v>
      </c>
      <c r="AX403" s="59">
        <v>7</v>
      </c>
      <c r="AY403" s="59">
        <v>7</v>
      </c>
      <c r="AZ403" s="59">
        <v>7</v>
      </c>
      <c r="BA403" s="59">
        <v>7</v>
      </c>
      <c r="BB403" s="57">
        <f t="shared" si="132"/>
        <v>52848</v>
      </c>
    </row>
    <row r="404" spans="1:54" x14ac:dyDescent="0.25">
      <c r="A404" s="58">
        <v>30</v>
      </c>
      <c r="B404" s="59">
        <v>0</v>
      </c>
      <c r="C404" s="59">
        <v>1</v>
      </c>
      <c r="D404" s="59">
        <f t="shared" si="114"/>
        <v>1</v>
      </c>
      <c r="E404" s="59">
        <f t="shared" si="115"/>
        <v>0</v>
      </c>
      <c r="F404" s="59">
        <v>1082</v>
      </c>
      <c r="G404" s="59">
        <v>1</v>
      </c>
      <c r="H404" s="59">
        <f t="shared" si="116"/>
        <v>1</v>
      </c>
      <c r="I404" s="59">
        <f t="shared" si="117"/>
        <v>0</v>
      </c>
      <c r="J404" s="59">
        <v>12</v>
      </c>
      <c r="K404" s="59">
        <v>3</v>
      </c>
      <c r="L404" s="59">
        <v>5</v>
      </c>
      <c r="M404" s="59">
        <f t="shared" si="118"/>
        <v>0</v>
      </c>
      <c r="N404" s="59">
        <f t="shared" si="119"/>
        <v>0</v>
      </c>
      <c r="O404" s="59">
        <f t="shared" si="120"/>
        <v>0</v>
      </c>
      <c r="P404" s="59">
        <f t="shared" si="121"/>
        <v>0</v>
      </c>
      <c r="Q404" s="59">
        <f t="shared" si="122"/>
        <v>1</v>
      </c>
      <c r="R404" s="59">
        <v>1</v>
      </c>
      <c r="S404" s="59">
        <v>533</v>
      </c>
      <c r="T404" s="59">
        <v>2</v>
      </c>
      <c r="U404" s="59">
        <v>0</v>
      </c>
      <c r="V404" s="59">
        <v>83</v>
      </c>
      <c r="W404" s="59">
        <v>3</v>
      </c>
      <c r="X404" s="59">
        <v>2</v>
      </c>
      <c r="Y404" s="59">
        <v>1</v>
      </c>
      <c r="Z404" s="59">
        <f t="shared" si="123"/>
        <v>1</v>
      </c>
      <c r="AA404" s="59">
        <f>IF('Updated Dummy'!Y404=2,1,0)</f>
        <v>0</v>
      </c>
      <c r="AB404" s="59">
        <f t="shared" si="124"/>
        <v>0</v>
      </c>
      <c r="AC404" s="59">
        <f t="shared" si="125"/>
        <v>0</v>
      </c>
      <c r="AD404" s="59">
        <f t="shared" si="126"/>
        <v>0</v>
      </c>
      <c r="AE404" s="59">
        <f t="shared" si="127"/>
        <v>0</v>
      </c>
      <c r="AF404" s="59">
        <f t="shared" si="128"/>
        <v>0</v>
      </c>
      <c r="AG404" s="59">
        <f t="shared" si="129"/>
        <v>0</v>
      </c>
      <c r="AH404" s="59">
        <v>3</v>
      </c>
      <c r="AI404" s="59">
        <v>1</v>
      </c>
      <c r="AJ404" s="59">
        <f t="shared" si="130"/>
        <v>1</v>
      </c>
      <c r="AK404" s="59">
        <f t="shared" si="131"/>
        <v>0</v>
      </c>
      <c r="AL404" s="59">
        <v>6577</v>
      </c>
      <c r="AM404" s="59">
        <v>19558</v>
      </c>
      <c r="AN404" s="59">
        <v>0</v>
      </c>
      <c r="AO404" s="59">
        <v>0</v>
      </c>
      <c r="AP404" s="59">
        <v>11</v>
      </c>
      <c r="AQ404" s="59">
        <v>3</v>
      </c>
      <c r="AR404" s="59">
        <v>2</v>
      </c>
      <c r="AS404" s="59">
        <v>80</v>
      </c>
      <c r="AT404" s="59">
        <v>0</v>
      </c>
      <c r="AU404" s="59">
        <v>6</v>
      </c>
      <c r="AV404" s="59">
        <v>6</v>
      </c>
      <c r="AW404" s="59">
        <v>3</v>
      </c>
      <c r="AX404" s="59">
        <v>5</v>
      </c>
      <c r="AY404" s="59">
        <v>4</v>
      </c>
      <c r="AZ404" s="59">
        <v>4</v>
      </c>
      <c r="BA404" s="59">
        <v>4</v>
      </c>
      <c r="BB404" s="57">
        <f t="shared" si="132"/>
        <v>13154</v>
      </c>
    </row>
    <row r="405" spans="1:54" x14ac:dyDescent="0.25">
      <c r="A405" s="58">
        <v>41</v>
      </c>
      <c r="B405" s="59">
        <v>0</v>
      </c>
      <c r="C405" s="59">
        <v>1</v>
      </c>
      <c r="D405" s="59">
        <f t="shared" si="114"/>
        <v>1</v>
      </c>
      <c r="E405" s="59">
        <f t="shared" si="115"/>
        <v>0</v>
      </c>
      <c r="F405" s="59">
        <v>645</v>
      </c>
      <c r="G405" s="59">
        <v>1</v>
      </c>
      <c r="H405" s="59">
        <f t="shared" si="116"/>
        <v>1</v>
      </c>
      <c r="I405" s="59">
        <f t="shared" si="117"/>
        <v>0</v>
      </c>
      <c r="J405" s="59">
        <v>1</v>
      </c>
      <c r="K405" s="59">
        <v>3</v>
      </c>
      <c r="L405" s="59">
        <v>4</v>
      </c>
      <c r="M405" s="59">
        <f t="shared" si="118"/>
        <v>0</v>
      </c>
      <c r="N405" s="59">
        <f t="shared" si="119"/>
        <v>0</v>
      </c>
      <c r="O405" s="59">
        <f t="shared" si="120"/>
        <v>0</v>
      </c>
      <c r="P405" s="59">
        <f t="shared" si="121"/>
        <v>1</v>
      </c>
      <c r="Q405" s="59">
        <f t="shared" si="122"/>
        <v>0</v>
      </c>
      <c r="R405" s="59">
        <v>1</v>
      </c>
      <c r="S405" s="59">
        <v>534</v>
      </c>
      <c r="T405" s="59">
        <v>2</v>
      </c>
      <c r="U405" s="59">
        <v>1</v>
      </c>
      <c r="V405" s="59">
        <v>49</v>
      </c>
      <c r="W405" s="59">
        <v>4</v>
      </c>
      <c r="X405" s="59">
        <v>3</v>
      </c>
      <c r="Y405" s="59">
        <v>1</v>
      </c>
      <c r="Z405" s="59">
        <f t="shared" si="123"/>
        <v>1</v>
      </c>
      <c r="AA405" s="59">
        <f>IF('Updated Dummy'!Y405=2,1,0)</f>
        <v>0</v>
      </c>
      <c r="AB405" s="59">
        <f t="shared" si="124"/>
        <v>0</v>
      </c>
      <c r="AC405" s="59">
        <f t="shared" si="125"/>
        <v>0</v>
      </c>
      <c r="AD405" s="59">
        <f t="shared" si="126"/>
        <v>0</v>
      </c>
      <c r="AE405" s="59">
        <f t="shared" si="127"/>
        <v>0</v>
      </c>
      <c r="AF405" s="59">
        <f t="shared" si="128"/>
        <v>0</v>
      </c>
      <c r="AG405" s="59">
        <f t="shared" si="129"/>
        <v>0</v>
      </c>
      <c r="AH405" s="59">
        <v>1</v>
      </c>
      <c r="AI405" s="59">
        <v>2</v>
      </c>
      <c r="AJ405" s="59">
        <f t="shared" si="130"/>
        <v>0</v>
      </c>
      <c r="AK405" s="59">
        <f t="shared" si="131"/>
        <v>1</v>
      </c>
      <c r="AL405" s="59">
        <v>8392</v>
      </c>
      <c r="AM405" s="59">
        <v>19566</v>
      </c>
      <c r="AN405" s="59">
        <v>1</v>
      </c>
      <c r="AO405" s="59">
        <v>0</v>
      </c>
      <c r="AP405" s="59">
        <v>16</v>
      </c>
      <c r="AQ405" s="59">
        <v>3</v>
      </c>
      <c r="AR405" s="59">
        <v>3</v>
      </c>
      <c r="AS405" s="59">
        <v>80</v>
      </c>
      <c r="AT405" s="59">
        <v>1</v>
      </c>
      <c r="AU405" s="59">
        <v>10</v>
      </c>
      <c r="AV405" s="59">
        <v>2</v>
      </c>
      <c r="AW405" s="59">
        <v>3</v>
      </c>
      <c r="AX405" s="59">
        <v>10</v>
      </c>
      <c r="AY405" s="59">
        <v>7</v>
      </c>
      <c r="AZ405" s="59">
        <v>0</v>
      </c>
      <c r="BA405" s="59">
        <v>7</v>
      </c>
      <c r="BB405" s="57">
        <f t="shared" si="132"/>
        <v>25176</v>
      </c>
    </row>
    <row r="406" spans="1:54" x14ac:dyDescent="0.25">
      <c r="A406" s="58">
        <v>28</v>
      </c>
      <c r="B406" s="59">
        <v>0</v>
      </c>
      <c r="C406" s="59">
        <v>1</v>
      </c>
      <c r="D406" s="59">
        <f t="shared" si="114"/>
        <v>1</v>
      </c>
      <c r="E406" s="59">
        <f t="shared" si="115"/>
        <v>0</v>
      </c>
      <c r="F406" s="59">
        <v>1300</v>
      </c>
      <c r="G406" s="59">
        <v>2</v>
      </c>
      <c r="H406" s="59">
        <f t="shared" si="116"/>
        <v>0</v>
      </c>
      <c r="I406" s="59">
        <f t="shared" si="117"/>
        <v>1</v>
      </c>
      <c r="J406" s="59">
        <v>17</v>
      </c>
      <c r="K406" s="59">
        <v>2</v>
      </c>
      <c r="L406" s="59">
        <v>3</v>
      </c>
      <c r="M406" s="59">
        <f t="shared" si="118"/>
        <v>0</v>
      </c>
      <c r="N406" s="59">
        <f t="shared" si="119"/>
        <v>0</v>
      </c>
      <c r="O406" s="59">
        <f t="shared" si="120"/>
        <v>1</v>
      </c>
      <c r="P406" s="59">
        <f t="shared" si="121"/>
        <v>0</v>
      </c>
      <c r="Q406" s="59">
        <f t="shared" si="122"/>
        <v>0</v>
      </c>
      <c r="R406" s="59">
        <v>1</v>
      </c>
      <c r="S406" s="59">
        <v>536</v>
      </c>
      <c r="T406" s="59">
        <v>3</v>
      </c>
      <c r="U406" s="59">
        <v>1</v>
      </c>
      <c r="V406" s="59">
        <v>79</v>
      </c>
      <c r="W406" s="59">
        <v>3</v>
      </c>
      <c r="X406" s="59">
        <v>2</v>
      </c>
      <c r="Y406" s="59">
        <v>3</v>
      </c>
      <c r="Z406" s="59">
        <f t="shared" si="123"/>
        <v>0</v>
      </c>
      <c r="AA406" s="59">
        <f>IF('Updated Dummy'!Y406=2,1,0)</f>
        <v>0</v>
      </c>
      <c r="AB406" s="59">
        <f t="shared" si="124"/>
        <v>1</v>
      </c>
      <c r="AC406" s="59">
        <f t="shared" si="125"/>
        <v>0</v>
      </c>
      <c r="AD406" s="59">
        <f t="shared" si="126"/>
        <v>0</v>
      </c>
      <c r="AE406" s="59">
        <f t="shared" si="127"/>
        <v>0</v>
      </c>
      <c r="AF406" s="59">
        <f t="shared" si="128"/>
        <v>0</v>
      </c>
      <c r="AG406" s="59">
        <f t="shared" si="129"/>
        <v>0</v>
      </c>
      <c r="AH406" s="59">
        <v>1</v>
      </c>
      <c r="AI406" s="59">
        <v>3</v>
      </c>
      <c r="AJ406" s="59">
        <f t="shared" si="130"/>
        <v>0</v>
      </c>
      <c r="AK406" s="59">
        <f t="shared" si="131"/>
        <v>0</v>
      </c>
      <c r="AL406" s="59">
        <v>4558</v>
      </c>
      <c r="AM406" s="59">
        <v>13535</v>
      </c>
      <c r="AN406" s="59">
        <v>1</v>
      </c>
      <c r="AO406" s="59">
        <v>0</v>
      </c>
      <c r="AP406" s="59">
        <v>12</v>
      </c>
      <c r="AQ406" s="59">
        <v>3</v>
      </c>
      <c r="AR406" s="59">
        <v>4</v>
      </c>
      <c r="AS406" s="59">
        <v>80</v>
      </c>
      <c r="AT406" s="59">
        <v>1</v>
      </c>
      <c r="AU406" s="59">
        <v>10</v>
      </c>
      <c r="AV406" s="59">
        <v>2</v>
      </c>
      <c r="AW406" s="59">
        <v>3</v>
      </c>
      <c r="AX406" s="59">
        <v>10</v>
      </c>
      <c r="AY406" s="59">
        <v>0</v>
      </c>
      <c r="AZ406" s="59">
        <v>1</v>
      </c>
      <c r="BA406" s="59">
        <v>8</v>
      </c>
      <c r="BB406" s="57">
        <f t="shared" si="132"/>
        <v>9116</v>
      </c>
    </row>
    <row r="407" spans="1:54" x14ac:dyDescent="0.25">
      <c r="A407" s="58">
        <v>25</v>
      </c>
      <c r="B407" s="59">
        <v>1</v>
      </c>
      <c r="C407" s="59">
        <v>1</v>
      </c>
      <c r="D407" s="59">
        <f t="shared" si="114"/>
        <v>1</v>
      </c>
      <c r="E407" s="59">
        <f t="shared" si="115"/>
        <v>0</v>
      </c>
      <c r="F407" s="59">
        <v>688</v>
      </c>
      <c r="G407" s="59">
        <v>2</v>
      </c>
      <c r="H407" s="59">
        <f t="shared" si="116"/>
        <v>0</v>
      </c>
      <c r="I407" s="59">
        <f t="shared" si="117"/>
        <v>1</v>
      </c>
      <c r="J407" s="59">
        <v>3</v>
      </c>
      <c r="K407" s="59">
        <v>3</v>
      </c>
      <c r="L407" s="59">
        <v>3</v>
      </c>
      <c r="M407" s="59">
        <f t="shared" si="118"/>
        <v>0</v>
      </c>
      <c r="N407" s="59">
        <f t="shared" si="119"/>
        <v>0</v>
      </c>
      <c r="O407" s="59">
        <f t="shared" si="120"/>
        <v>1</v>
      </c>
      <c r="P407" s="59">
        <f t="shared" si="121"/>
        <v>0</v>
      </c>
      <c r="Q407" s="59">
        <f t="shared" si="122"/>
        <v>0</v>
      </c>
      <c r="R407" s="59">
        <v>1</v>
      </c>
      <c r="S407" s="59">
        <v>538</v>
      </c>
      <c r="T407" s="59">
        <v>1</v>
      </c>
      <c r="U407" s="59">
        <v>1</v>
      </c>
      <c r="V407" s="59">
        <v>91</v>
      </c>
      <c r="W407" s="59">
        <v>3</v>
      </c>
      <c r="X407" s="59">
        <v>1</v>
      </c>
      <c r="Y407" s="59">
        <v>3</v>
      </c>
      <c r="Z407" s="59">
        <f t="shared" si="123"/>
        <v>0</v>
      </c>
      <c r="AA407" s="59">
        <f>IF('Updated Dummy'!Y407=2,1,0)</f>
        <v>0</v>
      </c>
      <c r="AB407" s="59">
        <f t="shared" si="124"/>
        <v>1</v>
      </c>
      <c r="AC407" s="59">
        <f t="shared" si="125"/>
        <v>0</v>
      </c>
      <c r="AD407" s="59">
        <f t="shared" si="126"/>
        <v>0</v>
      </c>
      <c r="AE407" s="59">
        <f t="shared" si="127"/>
        <v>0</v>
      </c>
      <c r="AF407" s="59">
        <f t="shared" si="128"/>
        <v>0</v>
      </c>
      <c r="AG407" s="59">
        <f t="shared" si="129"/>
        <v>0</v>
      </c>
      <c r="AH407" s="59">
        <v>1</v>
      </c>
      <c r="AI407" s="59">
        <v>2</v>
      </c>
      <c r="AJ407" s="59">
        <f t="shared" si="130"/>
        <v>0</v>
      </c>
      <c r="AK407" s="59">
        <f t="shared" si="131"/>
        <v>1</v>
      </c>
      <c r="AL407" s="59">
        <v>4031</v>
      </c>
      <c r="AM407" s="59">
        <v>9396</v>
      </c>
      <c r="AN407" s="59">
        <v>5</v>
      </c>
      <c r="AO407" s="59">
        <v>0</v>
      </c>
      <c r="AP407" s="59">
        <v>13</v>
      </c>
      <c r="AQ407" s="59">
        <v>3</v>
      </c>
      <c r="AR407" s="59">
        <v>3</v>
      </c>
      <c r="AS407" s="59">
        <v>80</v>
      </c>
      <c r="AT407" s="59">
        <v>1</v>
      </c>
      <c r="AU407" s="59">
        <v>6</v>
      </c>
      <c r="AV407" s="59">
        <v>5</v>
      </c>
      <c r="AW407" s="59">
        <v>3</v>
      </c>
      <c r="AX407" s="59">
        <v>2</v>
      </c>
      <c r="AY407" s="59">
        <v>2</v>
      </c>
      <c r="AZ407" s="59">
        <v>0</v>
      </c>
      <c r="BA407" s="59">
        <v>2</v>
      </c>
      <c r="BB407" s="57">
        <f t="shared" si="132"/>
        <v>4031</v>
      </c>
    </row>
    <row r="408" spans="1:54" x14ac:dyDescent="0.25">
      <c r="A408" s="58">
        <v>52</v>
      </c>
      <c r="B408" s="59">
        <v>0</v>
      </c>
      <c r="C408" s="59">
        <v>1</v>
      </c>
      <c r="D408" s="59">
        <f t="shared" si="114"/>
        <v>1</v>
      </c>
      <c r="E408" s="59">
        <f t="shared" si="115"/>
        <v>0</v>
      </c>
      <c r="F408" s="59">
        <v>319</v>
      </c>
      <c r="G408" s="59">
        <v>2</v>
      </c>
      <c r="H408" s="59">
        <f t="shared" si="116"/>
        <v>0</v>
      </c>
      <c r="I408" s="59">
        <f t="shared" si="117"/>
        <v>1</v>
      </c>
      <c r="J408" s="59">
        <v>3</v>
      </c>
      <c r="K408" s="59">
        <v>3</v>
      </c>
      <c r="L408" s="59">
        <v>3</v>
      </c>
      <c r="M408" s="59">
        <f t="shared" si="118"/>
        <v>0</v>
      </c>
      <c r="N408" s="59">
        <f t="shared" si="119"/>
        <v>0</v>
      </c>
      <c r="O408" s="59">
        <f t="shared" si="120"/>
        <v>1</v>
      </c>
      <c r="P408" s="59">
        <f t="shared" si="121"/>
        <v>0</v>
      </c>
      <c r="Q408" s="59">
        <f t="shared" si="122"/>
        <v>0</v>
      </c>
      <c r="R408" s="59">
        <v>1</v>
      </c>
      <c r="S408" s="59">
        <v>543</v>
      </c>
      <c r="T408" s="59">
        <v>4</v>
      </c>
      <c r="U408" s="59">
        <v>1</v>
      </c>
      <c r="V408" s="59">
        <v>39</v>
      </c>
      <c r="W408" s="59">
        <v>2</v>
      </c>
      <c r="X408" s="59">
        <v>3</v>
      </c>
      <c r="Y408" s="59">
        <v>4</v>
      </c>
      <c r="Z408" s="59">
        <f t="shared" si="123"/>
        <v>0</v>
      </c>
      <c r="AA408" s="59">
        <f>IF('Updated Dummy'!Y408=2,1,0)</f>
        <v>0</v>
      </c>
      <c r="AB408" s="59">
        <f t="shared" si="124"/>
        <v>0</v>
      </c>
      <c r="AC408" s="59">
        <f t="shared" si="125"/>
        <v>1</v>
      </c>
      <c r="AD408" s="59">
        <f t="shared" si="126"/>
        <v>0</v>
      </c>
      <c r="AE408" s="59">
        <f t="shared" si="127"/>
        <v>0</v>
      </c>
      <c r="AF408" s="59">
        <f t="shared" si="128"/>
        <v>0</v>
      </c>
      <c r="AG408" s="59">
        <f t="shared" si="129"/>
        <v>0</v>
      </c>
      <c r="AH408" s="59">
        <v>3</v>
      </c>
      <c r="AI408" s="59">
        <v>2</v>
      </c>
      <c r="AJ408" s="59">
        <f t="shared" si="130"/>
        <v>0</v>
      </c>
      <c r="AK408" s="59">
        <f t="shared" si="131"/>
        <v>1</v>
      </c>
      <c r="AL408" s="59">
        <v>7969</v>
      </c>
      <c r="AM408" s="59">
        <v>19609</v>
      </c>
      <c r="AN408" s="59">
        <v>2</v>
      </c>
      <c r="AO408" s="59">
        <v>1</v>
      </c>
      <c r="AP408" s="59">
        <v>14</v>
      </c>
      <c r="AQ408" s="59">
        <v>3</v>
      </c>
      <c r="AR408" s="59">
        <v>3</v>
      </c>
      <c r="AS408" s="59">
        <v>80</v>
      </c>
      <c r="AT408" s="59">
        <v>0</v>
      </c>
      <c r="AU408" s="59">
        <v>28</v>
      </c>
      <c r="AV408" s="59">
        <v>4</v>
      </c>
      <c r="AW408" s="59">
        <v>3</v>
      </c>
      <c r="AX408" s="59">
        <v>5</v>
      </c>
      <c r="AY408" s="59">
        <v>4</v>
      </c>
      <c r="AZ408" s="59">
        <v>0</v>
      </c>
      <c r="BA408" s="59">
        <v>4</v>
      </c>
      <c r="BB408" s="57">
        <f t="shared" si="132"/>
        <v>23907</v>
      </c>
    </row>
    <row r="409" spans="1:54" x14ac:dyDescent="0.25">
      <c r="A409" s="58">
        <v>45</v>
      </c>
      <c r="B409" s="59">
        <v>0</v>
      </c>
      <c r="C409" s="59">
        <v>1</v>
      </c>
      <c r="D409" s="59">
        <f t="shared" si="114"/>
        <v>1</v>
      </c>
      <c r="E409" s="59">
        <f t="shared" si="115"/>
        <v>0</v>
      </c>
      <c r="F409" s="59">
        <v>192</v>
      </c>
      <c r="G409" s="59">
        <v>2</v>
      </c>
      <c r="H409" s="59">
        <f t="shared" si="116"/>
        <v>0</v>
      </c>
      <c r="I409" s="59">
        <f t="shared" si="117"/>
        <v>1</v>
      </c>
      <c r="J409" s="59">
        <v>10</v>
      </c>
      <c r="K409" s="59">
        <v>2</v>
      </c>
      <c r="L409" s="59">
        <v>1</v>
      </c>
      <c r="M409" s="59">
        <f t="shared" si="118"/>
        <v>1</v>
      </c>
      <c r="N409" s="59">
        <f t="shared" si="119"/>
        <v>0</v>
      </c>
      <c r="O409" s="59">
        <f t="shared" si="120"/>
        <v>0</v>
      </c>
      <c r="P409" s="59">
        <f t="shared" si="121"/>
        <v>0</v>
      </c>
      <c r="Q409" s="59">
        <f t="shared" si="122"/>
        <v>0</v>
      </c>
      <c r="R409" s="59">
        <v>1</v>
      </c>
      <c r="S409" s="59">
        <v>544</v>
      </c>
      <c r="T409" s="59">
        <v>1</v>
      </c>
      <c r="U409" s="59">
        <v>1</v>
      </c>
      <c r="V409" s="59">
        <v>69</v>
      </c>
      <c r="W409" s="59">
        <v>3</v>
      </c>
      <c r="X409" s="59">
        <v>1</v>
      </c>
      <c r="Y409" s="59">
        <v>2</v>
      </c>
      <c r="Z409" s="59">
        <f t="shared" si="123"/>
        <v>0</v>
      </c>
      <c r="AA409" s="59">
        <f>IF('Updated Dummy'!Y409=2,1,0)</f>
        <v>1</v>
      </c>
      <c r="AB409" s="59">
        <f t="shared" si="124"/>
        <v>0</v>
      </c>
      <c r="AC409" s="59">
        <f t="shared" si="125"/>
        <v>0</v>
      </c>
      <c r="AD409" s="59">
        <f t="shared" si="126"/>
        <v>0</v>
      </c>
      <c r="AE409" s="59">
        <f t="shared" si="127"/>
        <v>0</v>
      </c>
      <c r="AF409" s="59">
        <f t="shared" si="128"/>
        <v>0</v>
      </c>
      <c r="AG409" s="59">
        <f t="shared" si="129"/>
        <v>0</v>
      </c>
      <c r="AH409" s="59">
        <v>4</v>
      </c>
      <c r="AI409" s="59">
        <v>2</v>
      </c>
      <c r="AJ409" s="59">
        <f t="shared" si="130"/>
        <v>0</v>
      </c>
      <c r="AK409" s="59">
        <f t="shared" si="131"/>
        <v>1</v>
      </c>
      <c r="AL409" s="59">
        <v>2654</v>
      </c>
      <c r="AM409" s="59">
        <v>9655</v>
      </c>
      <c r="AN409" s="59">
        <v>3</v>
      </c>
      <c r="AO409" s="59">
        <v>0</v>
      </c>
      <c r="AP409" s="59">
        <v>21</v>
      </c>
      <c r="AQ409" s="59">
        <v>4</v>
      </c>
      <c r="AR409" s="59">
        <v>4</v>
      </c>
      <c r="AS409" s="59">
        <v>80</v>
      </c>
      <c r="AT409" s="59">
        <v>2</v>
      </c>
      <c r="AU409" s="59">
        <v>8</v>
      </c>
      <c r="AV409" s="59">
        <v>3</v>
      </c>
      <c r="AW409" s="59">
        <v>2</v>
      </c>
      <c r="AX409" s="59">
        <v>2</v>
      </c>
      <c r="AY409" s="59">
        <v>2</v>
      </c>
      <c r="AZ409" s="59">
        <v>0</v>
      </c>
      <c r="BA409" s="59">
        <v>2</v>
      </c>
      <c r="BB409" s="57">
        <f t="shared" si="132"/>
        <v>2654</v>
      </c>
    </row>
    <row r="410" spans="1:54" x14ac:dyDescent="0.25">
      <c r="A410" s="58">
        <v>52</v>
      </c>
      <c r="B410" s="59">
        <v>0</v>
      </c>
      <c r="C410" s="59">
        <v>1</v>
      </c>
      <c r="D410" s="59">
        <f t="shared" si="114"/>
        <v>1</v>
      </c>
      <c r="E410" s="59">
        <f t="shared" si="115"/>
        <v>0</v>
      </c>
      <c r="F410" s="59">
        <v>1490</v>
      </c>
      <c r="G410" s="59">
        <v>2</v>
      </c>
      <c r="H410" s="59">
        <f t="shared" si="116"/>
        <v>0</v>
      </c>
      <c r="I410" s="59">
        <f t="shared" si="117"/>
        <v>1</v>
      </c>
      <c r="J410" s="59">
        <v>4</v>
      </c>
      <c r="K410" s="59">
        <v>2</v>
      </c>
      <c r="L410" s="59">
        <v>1</v>
      </c>
      <c r="M410" s="59">
        <f t="shared" si="118"/>
        <v>1</v>
      </c>
      <c r="N410" s="59">
        <f t="shared" si="119"/>
        <v>0</v>
      </c>
      <c r="O410" s="59">
        <f t="shared" si="120"/>
        <v>0</v>
      </c>
      <c r="P410" s="59">
        <f t="shared" si="121"/>
        <v>0</v>
      </c>
      <c r="Q410" s="59">
        <f t="shared" si="122"/>
        <v>0</v>
      </c>
      <c r="R410" s="59">
        <v>1</v>
      </c>
      <c r="S410" s="59">
        <v>546</v>
      </c>
      <c r="T410" s="59">
        <v>4</v>
      </c>
      <c r="U410" s="59">
        <v>0</v>
      </c>
      <c r="V410" s="59">
        <v>30</v>
      </c>
      <c r="W410" s="59">
        <v>3</v>
      </c>
      <c r="X410" s="59">
        <v>4</v>
      </c>
      <c r="Y410" s="59">
        <v>6</v>
      </c>
      <c r="Z410" s="59">
        <f t="shared" si="123"/>
        <v>0</v>
      </c>
      <c r="AA410" s="59">
        <f>IF('Updated Dummy'!Y410=2,1,0)</f>
        <v>0</v>
      </c>
      <c r="AB410" s="59">
        <f t="shared" si="124"/>
        <v>0</v>
      </c>
      <c r="AC410" s="59">
        <f t="shared" si="125"/>
        <v>0</v>
      </c>
      <c r="AD410" s="59">
        <f t="shared" si="126"/>
        <v>0</v>
      </c>
      <c r="AE410" s="59">
        <f t="shared" si="127"/>
        <v>1</v>
      </c>
      <c r="AF410" s="59">
        <f t="shared" si="128"/>
        <v>0</v>
      </c>
      <c r="AG410" s="59">
        <f t="shared" si="129"/>
        <v>0</v>
      </c>
      <c r="AH410" s="59">
        <v>4</v>
      </c>
      <c r="AI410" s="59">
        <v>2</v>
      </c>
      <c r="AJ410" s="59">
        <f t="shared" si="130"/>
        <v>0</v>
      </c>
      <c r="AK410" s="59">
        <f t="shared" si="131"/>
        <v>1</v>
      </c>
      <c r="AL410" s="59">
        <v>16555</v>
      </c>
      <c r="AM410" s="59">
        <v>10310</v>
      </c>
      <c r="AN410" s="59">
        <v>2</v>
      </c>
      <c r="AO410" s="59">
        <v>0</v>
      </c>
      <c r="AP410" s="59">
        <v>13</v>
      </c>
      <c r="AQ410" s="59">
        <v>3</v>
      </c>
      <c r="AR410" s="59">
        <v>4</v>
      </c>
      <c r="AS410" s="59">
        <v>80</v>
      </c>
      <c r="AT410" s="59">
        <v>0</v>
      </c>
      <c r="AU410" s="59">
        <v>31</v>
      </c>
      <c r="AV410" s="59">
        <v>2</v>
      </c>
      <c r="AW410" s="59">
        <v>1</v>
      </c>
      <c r="AX410" s="59">
        <v>5</v>
      </c>
      <c r="AY410" s="59">
        <v>2</v>
      </c>
      <c r="AZ410" s="59">
        <v>1</v>
      </c>
      <c r="BA410" s="59">
        <v>4</v>
      </c>
      <c r="BB410" s="57">
        <f t="shared" si="132"/>
        <v>66220</v>
      </c>
    </row>
    <row r="411" spans="1:54" x14ac:dyDescent="0.25">
      <c r="A411" s="58">
        <v>42</v>
      </c>
      <c r="B411" s="59">
        <v>0</v>
      </c>
      <c r="C411" s="59">
        <v>2</v>
      </c>
      <c r="D411" s="59">
        <f t="shared" si="114"/>
        <v>0</v>
      </c>
      <c r="E411" s="59">
        <f t="shared" si="115"/>
        <v>1</v>
      </c>
      <c r="F411" s="59">
        <v>532</v>
      </c>
      <c r="G411" s="59">
        <v>2</v>
      </c>
      <c r="H411" s="59">
        <f t="shared" si="116"/>
        <v>0</v>
      </c>
      <c r="I411" s="59">
        <f t="shared" si="117"/>
        <v>1</v>
      </c>
      <c r="J411" s="59">
        <v>29</v>
      </c>
      <c r="K411" s="59">
        <v>2</v>
      </c>
      <c r="L411" s="59">
        <v>1</v>
      </c>
      <c r="M411" s="59">
        <f t="shared" si="118"/>
        <v>1</v>
      </c>
      <c r="N411" s="59">
        <f t="shared" si="119"/>
        <v>0</v>
      </c>
      <c r="O411" s="59">
        <f t="shared" si="120"/>
        <v>0</v>
      </c>
      <c r="P411" s="59">
        <f t="shared" si="121"/>
        <v>0</v>
      </c>
      <c r="Q411" s="59">
        <f t="shared" si="122"/>
        <v>0</v>
      </c>
      <c r="R411" s="59">
        <v>1</v>
      </c>
      <c r="S411" s="59">
        <v>547</v>
      </c>
      <c r="T411" s="59">
        <v>1</v>
      </c>
      <c r="U411" s="59">
        <v>0</v>
      </c>
      <c r="V411" s="59">
        <v>92</v>
      </c>
      <c r="W411" s="59">
        <v>3</v>
      </c>
      <c r="X411" s="59">
        <v>2</v>
      </c>
      <c r="Y411" s="59">
        <v>2</v>
      </c>
      <c r="Z411" s="59">
        <f t="shared" si="123"/>
        <v>0</v>
      </c>
      <c r="AA411" s="59">
        <f>IF('Updated Dummy'!Y411=2,1,0)</f>
        <v>1</v>
      </c>
      <c r="AB411" s="59">
        <f t="shared" si="124"/>
        <v>0</v>
      </c>
      <c r="AC411" s="59">
        <f t="shared" si="125"/>
        <v>0</v>
      </c>
      <c r="AD411" s="59">
        <f t="shared" si="126"/>
        <v>0</v>
      </c>
      <c r="AE411" s="59">
        <f t="shared" si="127"/>
        <v>0</v>
      </c>
      <c r="AF411" s="59">
        <f t="shared" si="128"/>
        <v>0</v>
      </c>
      <c r="AG411" s="59">
        <f t="shared" si="129"/>
        <v>0</v>
      </c>
      <c r="AH411" s="59">
        <v>3</v>
      </c>
      <c r="AI411" s="59">
        <v>3</v>
      </c>
      <c r="AJ411" s="59">
        <f t="shared" si="130"/>
        <v>0</v>
      </c>
      <c r="AK411" s="59">
        <f t="shared" si="131"/>
        <v>0</v>
      </c>
      <c r="AL411" s="59">
        <v>4556</v>
      </c>
      <c r="AM411" s="59">
        <v>12932</v>
      </c>
      <c r="AN411" s="59">
        <v>2</v>
      </c>
      <c r="AO411" s="59">
        <v>0</v>
      </c>
      <c r="AP411" s="59">
        <v>11</v>
      </c>
      <c r="AQ411" s="59">
        <v>3</v>
      </c>
      <c r="AR411" s="59">
        <v>2</v>
      </c>
      <c r="AS411" s="59">
        <v>80</v>
      </c>
      <c r="AT411" s="59">
        <v>1</v>
      </c>
      <c r="AU411" s="59">
        <v>19</v>
      </c>
      <c r="AV411" s="59">
        <v>3</v>
      </c>
      <c r="AW411" s="59">
        <v>3</v>
      </c>
      <c r="AX411" s="59">
        <v>5</v>
      </c>
      <c r="AY411" s="59">
        <v>4</v>
      </c>
      <c r="AZ411" s="59">
        <v>0</v>
      </c>
      <c r="BA411" s="59">
        <v>2</v>
      </c>
      <c r="BB411" s="57">
        <f t="shared" si="132"/>
        <v>9112</v>
      </c>
    </row>
    <row r="412" spans="1:54" x14ac:dyDescent="0.25">
      <c r="A412" s="58">
        <v>30</v>
      </c>
      <c r="B412" s="59">
        <v>0</v>
      </c>
      <c r="C412" s="59">
        <v>1</v>
      </c>
      <c r="D412" s="59">
        <f t="shared" si="114"/>
        <v>1</v>
      </c>
      <c r="E412" s="59">
        <f t="shared" si="115"/>
        <v>0</v>
      </c>
      <c r="F412" s="59">
        <v>317</v>
      </c>
      <c r="G412" s="59">
        <v>2</v>
      </c>
      <c r="H412" s="59">
        <f t="shared" si="116"/>
        <v>0</v>
      </c>
      <c r="I412" s="59">
        <f t="shared" si="117"/>
        <v>1</v>
      </c>
      <c r="J412" s="59">
        <v>2</v>
      </c>
      <c r="K412" s="59">
        <v>3</v>
      </c>
      <c r="L412" s="59">
        <v>1</v>
      </c>
      <c r="M412" s="59">
        <f t="shared" si="118"/>
        <v>1</v>
      </c>
      <c r="N412" s="59">
        <f t="shared" si="119"/>
        <v>0</v>
      </c>
      <c r="O412" s="59">
        <f t="shared" si="120"/>
        <v>0</v>
      </c>
      <c r="P412" s="59">
        <f t="shared" si="121"/>
        <v>0</v>
      </c>
      <c r="Q412" s="59">
        <f t="shared" si="122"/>
        <v>0</v>
      </c>
      <c r="R412" s="59">
        <v>1</v>
      </c>
      <c r="S412" s="59">
        <v>548</v>
      </c>
      <c r="T412" s="59">
        <v>3</v>
      </c>
      <c r="U412" s="59">
        <v>0</v>
      </c>
      <c r="V412" s="59">
        <v>43</v>
      </c>
      <c r="W412" s="59">
        <v>1</v>
      </c>
      <c r="X412" s="59">
        <v>2</v>
      </c>
      <c r="Y412" s="59">
        <v>4</v>
      </c>
      <c r="Z412" s="59">
        <f t="shared" si="123"/>
        <v>0</v>
      </c>
      <c r="AA412" s="59">
        <f>IF('Updated Dummy'!Y412=2,1,0)</f>
        <v>0</v>
      </c>
      <c r="AB412" s="59">
        <f t="shared" si="124"/>
        <v>0</v>
      </c>
      <c r="AC412" s="59">
        <f t="shared" si="125"/>
        <v>1</v>
      </c>
      <c r="AD412" s="59">
        <f t="shared" si="126"/>
        <v>0</v>
      </c>
      <c r="AE412" s="59">
        <f t="shared" si="127"/>
        <v>0</v>
      </c>
      <c r="AF412" s="59">
        <f t="shared" si="128"/>
        <v>0</v>
      </c>
      <c r="AG412" s="59">
        <f t="shared" si="129"/>
        <v>0</v>
      </c>
      <c r="AH412" s="59">
        <v>4</v>
      </c>
      <c r="AI412" s="59">
        <v>1</v>
      </c>
      <c r="AJ412" s="59">
        <f t="shared" si="130"/>
        <v>1</v>
      </c>
      <c r="AK412" s="59">
        <f t="shared" si="131"/>
        <v>0</v>
      </c>
      <c r="AL412" s="59">
        <v>6091</v>
      </c>
      <c r="AM412" s="59">
        <v>24793</v>
      </c>
      <c r="AN412" s="59">
        <v>2</v>
      </c>
      <c r="AO412" s="59">
        <v>0</v>
      </c>
      <c r="AP412" s="59">
        <v>20</v>
      </c>
      <c r="AQ412" s="59">
        <v>4</v>
      </c>
      <c r="AR412" s="59">
        <v>3</v>
      </c>
      <c r="AS412" s="59">
        <v>80</v>
      </c>
      <c r="AT412" s="59">
        <v>0</v>
      </c>
      <c r="AU412" s="59">
        <v>11</v>
      </c>
      <c r="AV412" s="59">
        <v>2</v>
      </c>
      <c r="AW412" s="59">
        <v>3</v>
      </c>
      <c r="AX412" s="59">
        <v>5</v>
      </c>
      <c r="AY412" s="59">
        <v>4</v>
      </c>
      <c r="AZ412" s="59">
        <v>0</v>
      </c>
      <c r="BA412" s="59">
        <v>2</v>
      </c>
      <c r="BB412" s="57">
        <f t="shared" si="132"/>
        <v>12182</v>
      </c>
    </row>
    <row r="413" spans="1:54" x14ac:dyDescent="0.25">
      <c r="A413" s="58">
        <v>60</v>
      </c>
      <c r="B413" s="59">
        <v>0</v>
      </c>
      <c r="C413" s="59">
        <v>1</v>
      </c>
      <c r="D413" s="59">
        <f t="shared" si="114"/>
        <v>1</v>
      </c>
      <c r="E413" s="59">
        <f t="shared" si="115"/>
        <v>0</v>
      </c>
      <c r="F413" s="59">
        <v>422</v>
      </c>
      <c r="G413" s="59">
        <v>2</v>
      </c>
      <c r="H413" s="59">
        <f t="shared" si="116"/>
        <v>0</v>
      </c>
      <c r="I413" s="59">
        <f t="shared" si="117"/>
        <v>1</v>
      </c>
      <c r="J413" s="59">
        <v>7</v>
      </c>
      <c r="K413" s="59">
        <v>3</v>
      </c>
      <c r="L413" s="59">
        <v>1</v>
      </c>
      <c r="M413" s="59">
        <f t="shared" si="118"/>
        <v>1</v>
      </c>
      <c r="N413" s="59">
        <f t="shared" si="119"/>
        <v>0</v>
      </c>
      <c r="O413" s="59">
        <f t="shared" si="120"/>
        <v>0</v>
      </c>
      <c r="P413" s="59">
        <f t="shared" si="121"/>
        <v>0</v>
      </c>
      <c r="Q413" s="59">
        <f t="shared" si="122"/>
        <v>0</v>
      </c>
      <c r="R413" s="59">
        <v>1</v>
      </c>
      <c r="S413" s="59">
        <v>549</v>
      </c>
      <c r="T413" s="59">
        <v>1</v>
      </c>
      <c r="U413" s="59">
        <v>0</v>
      </c>
      <c r="V413" s="59">
        <v>41</v>
      </c>
      <c r="W413" s="59">
        <v>3</v>
      </c>
      <c r="X413" s="59">
        <v>5</v>
      </c>
      <c r="Y413" s="59">
        <v>6</v>
      </c>
      <c r="Z413" s="59">
        <f t="shared" si="123"/>
        <v>0</v>
      </c>
      <c r="AA413" s="59">
        <f>IF('Updated Dummy'!Y413=2,1,0)</f>
        <v>0</v>
      </c>
      <c r="AB413" s="59">
        <f t="shared" si="124"/>
        <v>0</v>
      </c>
      <c r="AC413" s="59">
        <f t="shared" si="125"/>
        <v>0</v>
      </c>
      <c r="AD413" s="59">
        <f t="shared" si="126"/>
        <v>0</v>
      </c>
      <c r="AE413" s="59">
        <f t="shared" si="127"/>
        <v>1</v>
      </c>
      <c r="AF413" s="59">
        <f t="shared" si="128"/>
        <v>0</v>
      </c>
      <c r="AG413" s="59">
        <f t="shared" si="129"/>
        <v>0</v>
      </c>
      <c r="AH413" s="59">
        <v>1</v>
      </c>
      <c r="AI413" s="59">
        <v>2</v>
      </c>
      <c r="AJ413" s="59">
        <f t="shared" si="130"/>
        <v>0</v>
      </c>
      <c r="AK413" s="59">
        <f t="shared" si="131"/>
        <v>1</v>
      </c>
      <c r="AL413" s="59">
        <v>19566</v>
      </c>
      <c r="AM413" s="59">
        <v>3854</v>
      </c>
      <c r="AN413" s="59">
        <v>5</v>
      </c>
      <c r="AO413" s="59">
        <v>0</v>
      </c>
      <c r="AP413" s="59">
        <v>11</v>
      </c>
      <c r="AQ413" s="59">
        <v>3</v>
      </c>
      <c r="AR413" s="59">
        <v>4</v>
      </c>
      <c r="AS413" s="59">
        <v>80</v>
      </c>
      <c r="AT413" s="59">
        <v>0</v>
      </c>
      <c r="AU413" s="59">
        <v>33</v>
      </c>
      <c r="AV413" s="59">
        <v>5</v>
      </c>
      <c r="AW413" s="59">
        <v>1</v>
      </c>
      <c r="AX413" s="59">
        <v>29</v>
      </c>
      <c r="AY413" s="59">
        <v>8</v>
      </c>
      <c r="AZ413" s="59">
        <v>11</v>
      </c>
      <c r="BA413" s="59">
        <v>10</v>
      </c>
      <c r="BB413" s="57">
        <f t="shared" si="132"/>
        <v>97830</v>
      </c>
    </row>
    <row r="414" spans="1:54" x14ac:dyDescent="0.25">
      <c r="A414" s="58">
        <v>46</v>
      </c>
      <c r="B414" s="59">
        <v>0</v>
      </c>
      <c r="C414" s="59">
        <v>1</v>
      </c>
      <c r="D414" s="59">
        <f t="shared" si="114"/>
        <v>1</v>
      </c>
      <c r="E414" s="59">
        <f t="shared" si="115"/>
        <v>0</v>
      </c>
      <c r="F414" s="59">
        <v>1485</v>
      </c>
      <c r="G414" s="59">
        <v>2</v>
      </c>
      <c r="H414" s="59">
        <f t="shared" si="116"/>
        <v>0</v>
      </c>
      <c r="I414" s="59">
        <f t="shared" si="117"/>
        <v>1</v>
      </c>
      <c r="J414" s="59">
        <v>18</v>
      </c>
      <c r="K414" s="59">
        <v>3</v>
      </c>
      <c r="L414" s="59">
        <v>3</v>
      </c>
      <c r="M414" s="59">
        <f t="shared" si="118"/>
        <v>0</v>
      </c>
      <c r="N414" s="59">
        <f t="shared" si="119"/>
        <v>0</v>
      </c>
      <c r="O414" s="59">
        <f t="shared" si="120"/>
        <v>1</v>
      </c>
      <c r="P414" s="59">
        <f t="shared" si="121"/>
        <v>0</v>
      </c>
      <c r="Q414" s="59">
        <f t="shared" si="122"/>
        <v>0</v>
      </c>
      <c r="R414" s="59">
        <v>1</v>
      </c>
      <c r="S414" s="59">
        <v>550</v>
      </c>
      <c r="T414" s="59">
        <v>3</v>
      </c>
      <c r="U414" s="59">
        <v>0</v>
      </c>
      <c r="V414" s="59">
        <v>87</v>
      </c>
      <c r="W414" s="59">
        <v>3</v>
      </c>
      <c r="X414" s="59">
        <v>2</v>
      </c>
      <c r="Y414" s="59">
        <v>4</v>
      </c>
      <c r="Z414" s="59">
        <f t="shared" si="123"/>
        <v>0</v>
      </c>
      <c r="AA414" s="59">
        <f>IF('Updated Dummy'!Y414=2,1,0)</f>
        <v>0</v>
      </c>
      <c r="AB414" s="59">
        <f t="shared" si="124"/>
        <v>0</v>
      </c>
      <c r="AC414" s="59">
        <f t="shared" si="125"/>
        <v>1</v>
      </c>
      <c r="AD414" s="59">
        <f t="shared" si="126"/>
        <v>0</v>
      </c>
      <c r="AE414" s="59">
        <f t="shared" si="127"/>
        <v>0</v>
      </c>
      <c r="AF414" s="59">
        <f t="shared" si="128"/>
        <v>0</v>
      </c>
      <c r="AG414" s="59">
        <f t="shared" si="129"/>
        <v>0</v>
      </c>
      <c r="AH414" s="59">
        <v>3</v>
      </c>
      <c r="AI414" s="59">
        <v>3</v>
      </c>
      <c r="AJ414" s="59">
        <f t="shared" si="130"/>
        <v>0</v>
      </c>
      <c r="AK414" s="59">
        <f t="shared" si="131"/>
        <v>0</v>
      </c>
      <c r="AL414" s="59">
        <v>4810</v>
      </c>
      <c r="AM414" s="59">
        <v>26314</v>
      </c>
      <c r="AN414" s="59">
        <v>2</v>
      </c>
      <c r="AO414" s="59">
        <v>0</v>
      </c>
      <c r="AP414" s="59">
        <v>14</v>
      </c>
      <c r="AQ414" s="59">
        <v>3</v>
      </c>
      <c r="AR414" s="59">
        <v>3</v>
      </c>
      <c r="AS414" s="59">
        <v>80</v>
      </c>
      <c r="AT414" s="59">
        <v>1</v>
      </c>
      <c r="AU414" s="59">
        <v>19</v>
      </c>
      <c r="AV414" s="59">
        <v>5</v>
      </c>
      <c r="AW414" s="59">
        <v>2</v>
      </c>
      <c r="AX414" s="59">
        <v>10</v>
      </c>
      <c r="AY414" s="59">
        <v>7</v>
      </c>
      <c r="AZ414" s="59">
        <v>0</v>
      </c>
      <c r="BA414" s="59">
        <v>8</v>
      </c>
      <c r="BB414" s="57">
        <f t="shared" si="132"/>
        <v>9620</v>
      </c>
    </row>
    <row r="415" spans="1:54" x14ac:dyDescent="0.25">
      <c r="A415" s="58">
        <v>42</v>
      </c>
      <c r="B415" s="59">
        <v>0</v>
      </c>
      <c r="C415" s="59">
        <v>2</v>
      </c>
      <c r="D415" s="59">
        <f t="shared" si="114"/>
        <v>0</v>
      </c>
      <c r="E415" s="59">
        <f t="shared" si="115"/>
        <v>1</v>
      </c>
      <c r="F415" s="59">
        <v>1368</v>
      </c>
      <c r="G415" s="59">
        <v>2</v>
      </c>
      <c r="H415" s="59">
        <f t="shared" si="116"/>
        <v>0</v>
      </c>
      <c r="I415" s="59">
        <f t="shared" si="117"/>
        <v>1</v>
      </c>
      <c r="J415" s="59">
        <v>28</v>
      </c>
      <c r="K415" s="59">
        <v>4</v>
      </c>
      <c r="L415" s="59">
        <v>5</v>
      </c>
      <c r="M415" s="59">
        <f t="shared" si="118"/>
        <v>0</v>
      </c>
      <c r="N415" s="59">
        <f t="shared" si="119"/>
        <v>0</v>
      </c>
      <c r="O415" s="59">
        <f t="shared" si="120"/>
        <v>0</v>
      </c>
      <c r="P415" s="59">
        <f t="shared" si="121"/>
        <v>0</v>
      </c>
      <c r="Q415" s="59">
        <f t="shared" si="122"/>
        <v>1</v>
      </c>
      <c r="R415" s="59">
        <v>1</v>
      </c>
      <c r="S415" s="59">
        <v>551</v>
      </c>
      <c r="T415" s="59">
        <v>4</v>
      </c>
      <c r="U415" s="59">
        <v>0</v>
      </c>
      <c r="V415" s="59">
        <v>88</v>
      </c>
      <c r="W415" s="59">
        <v>2</v>
      </c>
      <c r="X415" s="59">
        <v>2</v>
      </c>
      <c r="Y415" s="59">
        <v>5</v>
      </c>
      <c r="Z415" s="59">
        <f t="shared" si="123"/>
        <v>0</v>
      </c>
      <c r="AA415" s="59">
        <f>IF('Updated Dummy'!Y415=2,1,0)</f>
        <v>0</v>
      </c>
      <c r="AB415" s="59">
        <f t="shared" si="124"/>
        <v>0</v>
      </c>
      <c r="AC415" s="59">
        <f t="shared" si="125"/>
        <v>0</v>
      </c>
      <c r="AD415" s="59">
        <f t="shared" si="126"/>
        <v>1</v>
      </c>
      <c r="AE415" s="59">
        <f t="shared" si="127"/>
        <v>0</v>
      </c>
      <c r="AF415" s="59">
        <f t="shared" si="128"/>
        <v>0</v>
      </c>
      <c r="AG415" s="59">
        <f t="shared" si="129"/>
        <v>0</v>
      </c>
      <c r="AH415" s="59">
        <v>4</v>
      </c>
      <c r="AI415" s="59">
        <v>2</v>
      </c>
      <c r="AJ415" s="59">
        <f t="shared" si="130"/>
        <v>0</v>
      </c>
      <c r="AK415" s="59">
        <f t="shared" si="131"/>
        <v>1</v>
      </c>
      <c r="AL415" s="59">
        <v>4523</v>
      </c>
      <c r="AM415" s="59">
        <v>4386</v>
      </c>
      <c r="AN415" s="59">
        <v>0</v>
      </c>
      <c r="AO415" s="59">
        <v>0</v>
      </c>
      <c r="AP415" s="59">
        <v>11</v>
      </c>
      <c r="AQ415" s="59">
        <v>3</v>
      </c>
      <c r="AR415" s="59">
        <v>4</v>
      </c>
      <c r="AS415" s="59">
        <v>80</v>
      </c>
      <c r="AT415" s="59">
        <v>3</v>
      </c>
      <c r="AU415" s="59">
        <v>7</v>
      </c>
      <c r="AV415" s="59">
        <v>4</v>
      </c>
      <c r="AW415" s="59">
        <v>4</v>
      </c>
      <c r="AX415" s="59">
        <v>6</v>
      </c>
      <c r="AY415" s="59">
        <v>5</v>
      </c>
      <c r="AZ415" s="59">
        <v>0</v>
      </c>
      <c r="BA415" s="59">
        <v>4</v>
      </c>
      <c r="BB415" s="57">
        <f t="shared" si="132"/>
        <v>9046</v>
      </c>
    </row>
    <row r="416" spans="1:54" x14ac:dyDescent="0.25">
      <c r="A416" s="58">
        <v>24</v>
      </c>
      <c r="B416" s="59">
        <v>1</v>
      </c>
      <c r="C416" s="59">
        <v>1</v>
      </c>
      <c r="D416" s="59">
        <f t="shared" si="114"/>
        <v>1</v>
      </c>
      <c r="E416" s="59">
        <f t="shared" si="115"/>
        <v>0</v>
      </c>
      <c r="F416" s="59">
        <v>1448</v>
      </c>
      <c r="G416" s="59">
        <v>1</v>
      </c>
      <c r="H416" s="59">
        <f t="shared" si="116"/>
        <v>1</v>
      </c>
      <c r="I416" s="59">
        <f t="shared" si="117"/>
        <v>0</v>
      </c>
      <c r="J416" s="59">
        <v>1</v>
      </c>
      <c r="K416" s="59">
        <v>1</v>
      </c>
      <c r="L416" s="59">
        <v>5</v>
      </c>
      <c r="M416" s="59">
        <f t="shared" si="118"/>
        <v>0</v>
      </c>
      <c r="N416" s="59">
        <f t="shared" si="119"/>
        <v>0</v>
      </c>
      <c r="O416" s="59">
        <f t="shared" si="120"/>
        <v>0</v>
      </c>
      <c r="P416" s="59">
        <f t="shared" si="121"/>
        <v>0</v>
      </c>
      <c r="Q416" s="59">
        <f t="shared" si="122"/>
        <v>1</v>
      </c>
      <c r="R416" s="59">
        <v>1</v>
      </c>
      <c r="S416" s="59">
        <v>554</v>
      </c>
      <c r="T416" s="59">
        <v>1</v>
      </c>
      <c r="U416" s="59">
        <v>0</v>
      </c>
      <c r="V416" s="59">
        <v>62</v>
      </c>
      <c r="W416" s="59">
        <v>3</v>
      </c>
      <c r="X416" s="59">
        <v>1</v>
      </c>
      <c r="Y416" s="59">
        <v>7</v>
      </c>
      <c r="Z416" s="59">
        <f t="shared" si="123"/>
        <v>0</v>
      </c>
      <c r="AA416" s="59">
        <f>IF('Updated Dummy'!Y416=2,1,0)</f>
        <v>0</v>
      </c>
      <c r="AB416" s="59">
        <f t="shared" si="124"/>
        <v>0</v>
      </c>
      <c r="AC416" s="59">
        <f t="shared" si="125"/>
        <v>0</v>
      </c>
      <c r="AD416" s="59">
        <f t="shared" si="126"/>
        <v>0</v>
      </c>
      <c r="AE416" s="59">
        <f t="shared" si="127"/>
        <v>0</v>
      </c>
      <c r="AF416" s="59">
        <f t="shared" si="128"/>
        <v>1</v>
      </c>
      <c r="AG416" s="59">
        <f t="shared" si="129"/>
        <v>0</v>
      </c>
      <c r="AH416" s="59">
        <v>2</v>
      </c>
      <c r="AI416" s="59">
        <v>1</v>
      </c>
      <c r="AJ416" s="59">
        <f t="shared" si="130"/>
        <v>1</v>
      </c>
      <c r="AK416" s="59">
        <f t="shared" si="131"/>
        <v>0</v>
      </c>
      <c r="AL416" s="59">
        <v>3202</v>
      </c>
      <c r="AM416" s="59">
        <v>21972</v>
      </c>
      <c r="AN416" s="59">
        <v>1</v>
      </c>
      <c r="AO416" s="59">
        <v>1</v>
      </c>
      <c r="AP416" s="59">
        <v>16</v>
      </c>
      <c r="AQ416" s="59">
        <v>3</v>
      </c>
      <c r="AR416" s="59">
        <v>2</v>
      </c>
      <c r="AS416" s="59">
        <v>80</v>
      </c>
      <c r="AT416" s="59">
        <v>0</v>
      </c>
      <c r="AU416" s="59">
        <v>6</v>
      </c>
      <c r="AV416" s="59">
        <v>4</v>
      </c>
      <c r="AW416" s="59">
        <v>3</v>
      </c>
      <c r="AX416" s="59">
        <v>5</v>
      </c>
      <c r="AY416" s="59">
        <v>3</v>
      </c>
      <c r="AZ416" s="59">
        <v>1</v>
      </c>
      <c r="BA416" s="59">
        <v>4</v>
      </c>
      <c r="BB416" s="57">
        <f t="shared" si="132"/>
        <v>3202</v>
      </c>
    </row>
    <row r="417" spans="1:54" x14ac:dyDescent="0.25">
      <c r="A417" s="58">
        <v>34</v>
      </c>
      <c r="B417" s="59">
        <v>1</v>
      </c>
      <c r="C417" s="59">
        <v>2</v>
      </c>
      <c r="D417" s="59">
        <f t="shared" si="114"/>
        <v>0</v>
      </c>
      <c r="E417" s="59">
        <f t="shared" si="115"/>
        <v>1</v>
      </c>
      <c r="F417" s="59">
        <v>296</v>
      </c>
      <c r="G417" s="59">
        <v>1</v>
      </c>
      <c r="H417" s="59">
        <f t="shared" si="116"/>
        <v>1</v>
      </c>
      <c r="I417" s="59">
        <f t="shared" si="117"/>
        <v>0</v>
      </c>
      <c r="J417" s="59">
        <v>6</v>
      </c>
      <c r="K417" s="59">
        <v>2</v>
      </c>
      <c r="L417" s="59">
        <v>4</v>
      </c>
      <c r="M417" s="59">
        <f t="shared" si="118"/>
        <v>0</v>
      </c>
      <c r="N417" s="59">
        <f t="shared" si="119"/>
        <v>0</v>
      </c>
      <c r="O417" s="59">
        <f t="shared" si="120"/>
        <v>0</v>
      </c>
      <c r="P417" s="59">
        <f t="shared" si="121"/>
        <v>1</v>
      </c>
      <c r="Q417" s="59">
        <f t="shared" si="122"/>
        <v>0</v>
      </c>
      <c r="R417" s="59">
        <v>1</v>
      </c>
      <c r="S417" s="59">
        <v>555</v>
      </c>
      <c r="T417" s="59">
        <v>4</v>
      </c>
      <c r="U417" s="59">
        <v>0</v>
      </c>
      <c r="V417" s="59">
        <v>33</v>
      </c>
      <c r="W417" s="59">
        <v>1</v>
      </c>
      <c r="X417" s="59">
        <v>1</v>
      </c>
      <c r="Y417" s="59">
        <v>7</v>
      </c>
      <c r="Z417" s="59">
        <f t="shared" si="123"/>
        <v>0</v>
      </c>
      <c r="AA417" s="59">
        <f>IF('Updated Dummy'!Y417=2,1,0)</f>
        <v>0</v>
      </c>
      <c r="AB417" s="59">
        <f t="shared" si="124"/>
        <v>0</v>
      </c>
      <c r="AC417" s="59">
        <f t="shared" si="125"/>
        <v>0</v>
      </c>
      <c r="AD417" s="59">
        <f t="shared" si="126"/>
        <v>0</v>
      </c>
      <c r="AE417" s="59">
        <f t="shared" si="127"/>
        <v>0</v>
      </c>
      <c r="AF417" s="59">
        <f t="shared" si="128"/>
        <v>1</v>
      </c>
      <c r="AG417" s="59">
        <f t="shared" si="129"/>
        <v>0</v>
      </c>
      <c r="AH417" s="59">
        <v>3</v>
      </c>
      <c r="AI417" s="59">
        <v>3</v>
      </c>
      <c r="AJ417" s="59">
        <f t="shared" si="130"/>
        <v>0</v>
      </c>
      <c r="AK417" s="59">
        <f t="shared" si="131"/>
        <v>0</v>
      </c>
      <c r="AL417" s="59">
        <v>2351</v>
      </c>
      <c r="AM417" s="59">
        <v>12253</v>
      </c>
      <c r="AN417" s="59">
        <v>0</v>
      </c>
      <c r="AO417" s="59">
        <v>0</v>
      </c>
      <c r="AP417" s="59">
        <v>16</v>
      </c>
      <c r="AQ417" s="59">
        <v>3</v>
      </c>
      <c r="AR417" s="59">
        <v>4</v>
      </c>
      <c r="AS417" s="59">
        <v>80</v>
      </c>
      <c r="AT417" s="59">
        <v>1</v>
      </c>
      <c r="AU417" s="59">
        <v>3</v>
      </c>
      <c r="AV417" s="59">
        <v>3</v>
      </c>
      <c r="AW417" s="59">
        <v>2</v>
      </c>
      <c r="AX417" s="59">
        <v>2</v>
      </c>
      <c r="AY417" s="59">
        <v>2</v>
      </c>
      <c r="AZ417" s="59">
        <v>1</v>
      </c>
      <c r="BA417" s="59">
        <v>0</v>
      </c>
      <c r="BB417" s="57">
        <f t="shared" si="132"/>
        <v>2351</v>
      </c>
    </row>
    <row r="418" spans="1:54" x14ac:dyDescent="0.25">
      <c r="A418" s="58">
        <v>38</v>
      </c>
      <c r="B418" s="59">
        <v>0</v>
      </c>
      <c r="C418" s="59">
        <v>2</v>
      </c>
      <c r="D418" s="59">
        <f t="shared" si="114"/>
        <v>0</v>
      </c>
      <c r="E418" s="59">
        <f t="shared" si="115"/>
        <v>1</v>
      </c>
      <c r="F418" s="59">
        <v>1490</v>
      </c>
      <c r="G418" s="59">
        <v>2</v>
      </c>
      <c r="H418" s="59">
        <f t="shared" si="116"/>
        <v>0</v>
      </c>
      <c r="I418" s="59">
        <f t="shared" si="117"/>
        <v>1</v>
      </c>
      <c r="J418" s="59">
        <v>2</v>
      </c>
      <c r="K418" s="59">
        <v>2</v>
      </c>
      <c r="L418" s="59">
        <v>1</v>
      </c>
      <c r="M418" s="59">
        <f t="shared" si="118"/>
        <v>1</v>
      </c>
      <c r="N418" s="59">
        <f t="shared" si="119"/>
        <v>0</v>
      </c>
      <c r="O418" s="59">
        <f t="shared" si="120"/>
        <v>0</v>
      </c>
      <c r="P418" s="59">
        <f t="shared" si="121"/>
        <v>0</v>
      </c>
      <c r="Q418" s="59">
        <f t="shared" si="122"/>
        <v>0</v>
      </c>
      <c r="R418" s="59">
        <v>1</v>
      </c>
      <c r="S418" s="59">
        <v>556</v>
      </c>
      <c r="T418" s="59">
        <v>4</v>
      </c>
      <c r="U418" s="59">
        <v>1</v>
      </c>
      <c r="V418" s="59">
        <v>42</v>
      </c>
      <c r="W418" s="59">
        <v>3</v>
      </c>
      <c r="X418" s="59">
        <v>1</v>
      </c>
      <c r="Y418" s="59">
        <v>3</v>
      </c>
      <c r="Z418" s="59">
        <f t="shared" si="123"/>
        <v>0</v>
      </c>
      <c r="AA418" s="59">
        <f>IF('Updated Dummy'!Y418=2,1,0)</f>
        <v>0</v>
      </c>
      <c r="AB418" s="59">
        <f t="shared" si="124"/>
        <v>1</v>
      </c>
      <c r="AC418" s="59">
        <f t="shared" si="125"/>
        <v>0</v>
      </c>
      <c r="AD418" s="59">
        <f t="shared" si="126"/>
        <v>0</v>
      </c>
      <c r="AE418" s="59">
        <f t="shared" si="127"/>
        <v>0</v>
      </c>
      <c r="AF418" s="59">
        <f t="shared" si="128"/>
        <v>0</v>
      </c>
      <c r="AG418" s="59">
        <f t="shared" si="129"/>
        <v>0</v>
      </c>
      <c r="AH418" s="59">
        <v>4</v>
      </c>
      <c r="AI418" s="59">
        <v>2</v>
      </c>
      <c r="AJ418" s="59">
        <f t="shared" si="130"/>
        <v>0</v>
      </c>
      <c r="AK418" s="59">
        <f t="shared" si="131"/>
        <v>1</v>
      </c>
      <c r="AL418" s="59">
        <v>1702</v>
      </c>
      <c r="AM418" s="59">
        <v>12106</v>
      </c>
      <c r="AN418" s="59">
        <v>1</v>
      </c>
      <c r="AO418" s="59">
        <v>1</v>
      </c>
      <c r="AP418" s="59">
        <v>23</v>
      </c>
      <c r="AQ418" s="59">
        <v>4</v>
      </c>
      <c r="AR418" s="59">
        <v>3</v>
      </c>
      <c r="AS418" s="59">
        <v>80</v>
      </c>
      <c r="AT418" s="59">
        <v>1</v>
      </c>
      <c r="AU418" s="59">
        <v>1</v>
      </c>
      <c r="AV418" s="59">
        <v>3</v>
      </c>
      <c r="AW418" s="59">
        <v>3</v>
      </c>
      <c r="AX418" s="59">
        <v>1</v>
      </c>
      <c r="AY418" s="59">
        <v>0</v>
      </c>
      <c r="AZ418" s="59">
        <v>0</v>
      </c>
      <c r="BA418" s="59">
        <v>0</v>
      </c>
      <c r="BB418" s="57">
        <f t="shared" si="132"/>
        <v>1702</v>
      </c>
    </row>
    <row r="419" spans="1:54" x14ac:dyDescent="0.25">
      <c r="A419" s="58">
        <v>40</v>
      </c>
      <c r="B419" s="59">
        <v>0</v>
      </c>
      <c r="C419" s="59">
        <v>1</v>
      </c>
      <c r="D419" s="59">
        <f t="shared" si="114"/>
        <v>1</v>
      </c>
      <c r="E419" s="59">
        <f t="shared" si="115"/>
        <v>0</v>
      </c>
      <c r="F419" s="59">
        <v>1398</v>
      </c>
      <c r="G419" s="59">
        <v>1</v>
      </c>
      <c r="H419" s="59">
        <f t="shared" si="116"/>
        <v>1</v>
      </c>
      <c r="I419" s="59">
        <f t="shared" si="117"/>
        <v>0</v>
      </c>
      <c r="J419" s="59">
        <v>2</v>
      </c>
      <c r="K419" s="59">
        <v>4</v>
      </c>
      <c r="L419" s="59">
        <v>1</v>
      </c>
      <c r="M419" s="59">
        <f t="shared" si="118"/>
        <v>1</v>
      </c>
      <c r="N419" s="59">
        <f t="shared" si="119"/>
        <v>0</v>
      </c>
      <c r="O419" s="59">
        <f t="shared" si="120"/>
        <v>0</v>
      </c>
      <c r="P419" s="59">
        <f t="shared" si="121"/>
        <v>0</v>
      </c>
      <c r="Q419" s="59">
        <f t="shared" si="122"/>
        <v>0</v>
      </c>
      <c r="R419" s="59">
        <v>1</v>
      </c>
      <c r="S419" s="59">
        <v>558</v>
      </c>
      <c r="T419" s="59">
        <v>3</v>
      </c>
      <c r="U419" s="59">
        <v>0</v>
      </c>
      <c r="V419" s="59">
        <v>79</v>
      </c>
      <c r="W419" s="59">
        <v>3</v>
      </c>
      <c r="X419" s="59">
        <v>5</v>
      </c>
      <c r="Y419" s="59">
        <v>6</v>
      </c>
      <c r="Z419" s="59">
        <f t="shared" si="123"/>
        <v>0</v>
      </c>
      <c r="AA419" s="59">
        <f>IF('Updated Dummy'!Y419=2,1,0)</f>
        <v>0</v>
      </c>
      <c r="AB419" s="59">
        <f t="shared" si="124"/>
        <v>0</v>
      </c>
      <c r="AC419" s="59">
        <f t="shared" si="125"/>
        <v>0</v>
      </c>
      <c r="AD419" s="59">
        <f t="shared" si="126"/>
        <v>0</v>
      </c>
      <c r="AE419" s="59">
        <f t="shared" si="127"/>
        <v>1</v>
      </c>
      <c r="AF419" s="59">
        <f t="shared" si="128"/>
        <v>0</v>
      </c>
      <c r="AG419" s="59">
        <f t="shared" si="129"/>
        <v>0</v>
      </c>
      <c r="AH419" s="59">
        <v>3</v>
      </c>
      <c r="AI419" s="59">
        <v>2</v>
      </c>
      <c r="AJ419" s="59">
        <f t="shared" si="130"/>
        <v>0</v>
      </c>
      <c r="AK419" s="59">
        <f t="shared" si="131"/>
        <v>1</v>
      </c>
      <c r="AL419" s="59">
        <v>18041</v>
      </c>
      <c r="AM419" s="59">
        <v>13022</v>
      </c>
      <c r="AN419" s="59">
        <v>0</v>
      </c>
      <c r="AO419" s="59">
        <v>0</v>
      </c>
      <c r="AP419" s="59">
        <v>14</v>
      </c>
      <c r="AQ419" s="59">
        <v>3</v>
      </c>
      <c r="AR419" s="59">
        <v>4</v>
      </c>
      <c r="AS419" s="59">
        <v>80</v>
      </c>
      <c r="AT419" s="59">
        <v>0</v>
      </c>
      <c r="AU419" s="59">
        <v>21</v>
      </c>
      <c r="AV419" s="59">
        <v>2</v>
      </c>
      <c r="AW419" s="59">
        <v>3</v>
      </c>
      <c r="AX419" s="59">
        <v>20</v>
      </c>
      <c r="AY419" s="59">
        <v>15</v>
      </c>
      <c r="AZ419" s="59">
        <v>1</v>
      </c>
      <c r="BA419" s="59">
        <v>12</v>
      </c>
      <c r="BB419" s="57">
        <f t="shared" si="132"/>
        <v>90205</v>
      </c>
    </row>
    <row r="420" spans="1:54" x14ac:dyDescent="0.25">
      <c r="A420" s="58">
        <v>26</v>
      </c>
      <c r="B420" s="59">
        <v>0</v>
      </c>
      <c r="C420" s="59">
        <v>1</v>
      </c>
      <c r="D420" s="59">
        <f t="shared" si="114"/>
        <v>1</v>
      </c>
      <c r="E420" s="59">
        <f t="shared" si="115"/>
        <v>0</v>
      </c>
      <c r="F420" s="59">
        <v>1349</v>
      </c>
      <c r="G420" s="59">
        <v>2</v>
      </c>
      <c r="H420" s="59">
        <f t="shared" si="116"/>
        <v>0</v>
      </c>
      <c r="I420" s="59">
        <f t="shared" si="117"/>
        <v>1</v>
      </c>
      <c r="J420" s="59">
        <v>23</v>
      </c>
      <c r="K420" s="59">
        <v>3</v>
      </c>
      <c r="L420" s="59">
        <v>1</v>
      </c>
      <c r="M420" s="59">
        <f t="shared" si="118"/>
        <v>1</v>
      </c>
      <c r="N420" s="59">
        <f t="shared" si="119"/>
        <v>0</v>
      </c>
      <c r="O420" s="59">
        <f t="shared" si="120"/>
        <v>0</v>
      </c>
      <c r="P420" s="59">
        <f t="shared" si="121"/>
        <v>0</v>
      </c>
      <c r="Q420" s="59">
        <f t="shared" si="122"/>
        <v>0</v>
      </c>
      <c r="R420" s="59">
        <v>1</v>
      </c>
      <c r="S420" s="59">
        <v>560</v>
      </c>
      <c r="T420" s="59">
        <v>1</v>
      </c>
      <c r="U420" s="59">
        <v>0</v>
      </c>
      <c r="V420" s="59">
        <v>90</v>
      </c>
      <c r="W420" s="59">
        <v>3</v>
      </c>
      <c r="X420" s="59">
        <v>1</v>
      </c>
      <c r="Y420" s="59">
        <v>2</v>
      </c>
      <c r="Z420" s="59">
        <f t="shared" si="123"/>
        <v>0</v>
      </c>
      <c r="AA420" s="59">
        <f>IF('Updated Dummy'!Y420=2,1,0)</f>
        <v>1</v>
      </c>
      <c r="AB420" s="59">
        <f t="shared" si="124"/>
        <v>0</v>
      </c>
      <c r="AC420" s="59">
        <f t="shared" si="125"/>
        <v>0</v>
      </c>
      <c r="AD420" s="59">
        <f t="shared" si="126"/>
        <v>0</v>
      </c>
      <c r="AE420" s="59">
        <f t="shared" si="127"/>
        <v>0</v>
      </c>
      <c r="AF420" s="59">
        <f t="shared" si="128"/>
        <v>0</v>
      </c>
      <c r="AG420" s="59">
        <f t="shared" si="129"/>
        <v>0</v>
      </c>
      <c r="AH420" s="59">
        <v>4</v>
      </c>
      <c r="AI420" s="59">
        <v>3</v>
      </c>
      <c r="AJ420" s="59">
        <f t="shared" si="130"/>
        <v>0</v>
      </c>
      <c r="AK420" s="59">
        <f t="shared" si="131"/>
        <v>0</v>
      </c>
      <c r="AL420" s="59">
        <v>2886</v>
      </c>
      <c r="AM420" s="59">
        <v>3032</v>
      </c>
      <c r="AN420" s="59">
        <v>1</v>
      </c>
      <c r="AO420" s="59">
        <v>0</v>
      </c>
      <c r="AP420" s="59">
        <v>22</v>
      </c>
      <c r="AQ420" s="59">
        <v>4</v>
      </c>
      <c r="AR420" s="59">
        <v>2</v>
      </c>
      <c r="AS420" s="59">
        <v>80</v>
      </c>
      <c r="AT420" s="59">
        <v>2</v>
      </c>
      <c r="AU420" s="59">
        <v>3</v>
      </c>
      <c r="AV420" s="59">
        <v>3</v>
      </c>
      <c r="AW420" s="59">
        <v>1</v>
      </c>
      <c r="AX420" s="59">
        <v>3</v>
      </c>
      <c r="AY420" s="59">
        <v>2</v>
      </c>
      <c r="AZ420" s="59">
        <v>0</v>
      </c>
      <c r="BA420" s="59">
        <v>2</v>
      </c>
      <c r="BB420" s="57">
        <f t="shared" si="132"/>
        <v>2886</v>
      </c>
    </row>
    <row r="421" spans="1:54" x14ac:dyDescent="0.25">
      <c r="A421" s="58">
        <v>30</v>
      </c>
      <c r="B421" s="59">
        <v>0</v>
      </c>
      <c r="C421" s="59">
        <v>3</v>
      </c>
      <c r="D421" s="59">
        <f t="shared" si="114"/>
        <v>0</v>
      </c>
      <c r="E421" s="59">
        <f t="shared" si="115"/>
        <v>0</v>
      </c>
      <c r="F421" s="59">
        <v>1400</v>
      </c>
      <c r="G421" s="59">
        <v>2</v>
      </c>
      <c r="H421" s="59">
        <f t="shared" si="116"/>
        <v>0</v>
      </c>
      <c r="I421" s="59">
        <f t="shared" si="117"/>
        <v>1</v>
      </c>
      <c r="J421" s="59">
        <v>3</v>
      </c>
      <c r="K421" s="59">
        <v>3</v>
      </c>
      <c r="L421" s="59">
        <v>1</v>
      </c>
      <c r="M421" s="59">
        <f t="shared" si="118"/>
        <v>1</v>
      </c>
      <c r="N421" s="59">
        <f t="shared" si="119"/>
        <v>0</v>
      </c>
      <c r="O421" s="59">
        <f t="shared" si="120"/>
        <v>0</v>
      </c>
      <c r="P421" s="59">
        <f t="shared" si="121"/>
        <v>0</v>
      </c>
      <c r="Q421" s="59">
        <f t="shared" si="122"/>
        <v>0</v>
      </c>
      <c r="R421" s="59">
        <v>1</v>
      </c>
      <c r="S421" s="59">
        <v>562</v>
      </c>
      <c r="T421" s="59">
        <v>3</v>
      </c>
      <c r="U421" s="59">
        <v>1</v>
      </c>
      <c r="V421" s="59">
        <v>53</v>
      </c>
      <c r="W421" s="59">
        <v>3</v>
      </c>
      <c r="X421" s="59">
        <v>1</v>
      </c>
      <c r="Y421" s="59">
        <v>3</v>
      </c>
      <c r="Z421" s="59">
        <f t="shared" si="123"/>
        <v>0</v>
      </c>
      <c r="AA421" s="59">
        <f>IF('Updated Dummy'!Y421=2,1,0)</f>
        <v>0</v>
      </c>
      <c r="AB421" s="59">
        <f t="shared" si="124"/>
        <v>1</v>
      </c>
      <c r="AC421" s="59">
        <f t="shared" si="125"/>
        <v>0</v>
      </c>
      <c r="AD421" s="59">
        <f t="shared" si="126"/>
        <v>0</v>
      </c>
      <c r="AE421" s="59">
        <f t="shared" si="127"/>
        <v>0</v>
      </c>
      <c r="AF421" s="59">
        <f t="shared" si="128"/>
        <v>0</v>
      </c>
      <c r="AG421" s="59">
        <f t="shared" si="129"/>
        <v>0</v>
      </c>
      <c r="AH421" s="59">
        <v>4</v>
      </c>
      <c r="AI421" s="59">
        <v>2</v>
      </c>
      <c r="AJ421" s="59">
        <f t="shared" si="130"/>
        <v>0</v>
      </c>
      <c r="AK421" s="59">
        <f t="shared" si="131"/>
        <v>1</v>
      </c>
      <c r="AL421" s="59">
        <v>2097</v>
      </c>
      <c r="AM421" s="59">
        <v>16734</v>
      </c>
      <c r="AN421" s="59">
        <v>4</v>
      </c>
      <c r="AO421" s="59">
        <v>0</v>
      </c>
      <c r="AP421" s="59">
        <v>15</v>
      </c>
      <c r="AQ421" s="59">
        <v>3</v>
      </c>
      <c r="AR421" s="59">
        <v>3</v>
      </c>
      <c r="AS421" s="59">
        <v>80</v>
      </c>
      <c r="AT421" s="59">
        <v>1</v>
      </c>
      <c r="AU421" s="59">
        <v>9</v>
      </c>
      <c r="AV421" s="59">
        <v>3</v>
      </c>
      <c r="AW421" s="59">
        <v>1</v>
      </c>
      <c r="AX421" s="59">
        <v>5</v>
      </c>
      <c r="AY421" s="59">
        <v>3</v>
      </c>
      <c r="AZ421" s="59">
        <v>1</v>
      </c>
      <c r="BA421" s="59">
        <v>4</v>
      </c>
      <c r="BB421" s="57">
        <f t="shared" si="132"/>
        <v>2097</v>
      </c>
    </row>
    <row r="422" spans="1:54" x14ac:dyDescent="0.25">
      <c r="A422" s="58">
        <v>29</v>
      </c>
      <c r="B422" s="59">
        <v>0</v>
      </c>
      <c r="C422" s="59">
        <v>1</v>
      </c>
      <c r="D422" s="59">
        <f t="shared" si="114"/>
        <v>1</v>
      </c>
      <c r="E422" s="59">
        <f t="shared" si="115"/>
        <v>0</v>
      </c>
      <c r="F422" s="59">
        <v>986</v>
      </c>
      <c r="G422" s="59">
        <v>2</v>
      </c>
      <c r="H422" s="59">
        <f t="shared" si="116"/>
        <v>0</v>
      </c>
      <c r="I422" s="59">
        <f t="shared" si="117"/>
        <v>1</v>
      </c>
      <c r="J422" s="59">
        <v>3</v>
      </c>
      <c r="K422" s="59">
        <v>4</v>
      </c>
      <c r="L422" s="59">
        <v>3</v>
      </c>
      <c r="M422" s="59">
        <f t="shared" si="118"/>
        <v>0</v>
      </c>
      <c r="N422" s="59">
        <f t="shared" si="119"/>
        <v>0</v>
      </c>
      <c r="O422" s="59">
        <f t="shared" si="120"/>
        <v>1</v>
      </c>
      <c r="P422" s="59">
        <f t="shared" si="121"/>
        <v>0</v>
      </c>
      <c r="Q422" s="59">
        <f t="shared" si="122"/>
        <v>0</v>
      </c>
      <c r="R422" s="59">
        <v>1</v>
      </c>
      <c r="S422" s="59">
        <v>564</v>
      </c>
      <c r="T422" s="59">
        <v>2</v>
      </c>
      <c r="U422" s="59">
        <v>1</v>
      </c>
      <c r="V422" s="59">
        <v>93</v>
      </c>
      <c r="W422" s="59">
        <v>2</v>
      </c>
      <c r="X422" s="59">
        <v>3</v>
      </c>
      <c r="Y422" s="59">
        <v>8</v>
      </c>
      <c r="Z422" s="59">
        <f t="shared" si="123"/>
        <v>0</v>
      </c>
      <c r="AA422" s="59">
        <f>IF('Updated Dummy'!Y422=2,1,0)</f>
        <v>0</v>
      </c>
      <c r="AB422" s="59">
        <f t="shared" si="124"/>
        <v>0</v>
      </c>
      <c r="AC422" s="59">
        <f t="shared" si="125"/>
        <v>0</v>
      </c>
      <c r="AD422" s="59">
        <f t="shared" si="126"/>
        <v>0</v>
      </c>
      <c r="AE422" s="59">
        <f t="shared" si="127"/>
        <v>0</v>
      </c>
      <c r="AF422" s="59">
        <f t="shared" si="128"/>
        <v>0</v>
      </c>
      <c r="AG422" s="59">
        <f t="shared" si="129"/>
        <v>1</v>
      </c>
      <c r="AH422" s="59">
        <v>3</v>
      </c>
      <c r="AI422" s="59">
        <v>2</v>
      </c>
      <c r="AJ422" s="59">
        <f t="shared" si="130"/>
        <v>0</v>
      </c>
      <c r="AK422" s="59">
        <f t="shared" si="131"/>
        <v>1</v>
      </c>
      <c r="AL422" s="59">
        <v>11935</v>
      </c>
      <c r="AM422" s="59">
        <v>21526</v>
      </c>
      <c r="AN422" s="59">
        <v>1</v>
      </c>
      <c r="AO422" s="59">
        <v>0</v>
      </c>
      <c r="AP422" s="59">
        <v>18</v>
      </c>
      <c r="AQ422" s="59">
        <v>3</v>
      </c>
      <c r="AR422" s="59">
        <v>3</v>
      </c>
      <c r="AS422" s="59">
        <v>80</v>
      </c>
      <c r="AT422" s="59">
        <v>0</v>
      </c>
      <c r="AU422" s="59">
        <v>10</v>
      </c>
      <c r="AV422" s="59">
        <v>2</v>
      </c>
      <c r="AW422" s="59">
        <v>3</v>
      </c>
      <c r="AX422" s="59">
        <v>10</v>
      </c>
      <c r="AY422" s="59">
        <v>2</v>
      </c>
      <c r="AZ422" s="59">
        <v>0</v>
      </c>
      <c r="BA422" s="59">
        <v>7</v>
      </c>
      <c r="BB422" s="57">
        <f t="shared" si="132"/>
        <v>35805</v>
      </c>
    </row>
    <row r="423" spans="1:54" x14ac:dyDescent="0.25">
      <c r="A423" s="58">
        <v>29</v>
      </c>
      <c r="B423" s="59">
        <v>1</v>
      </c>
      <c r="C423" s="59">
        <v>1</v>
      </c>
      <c r="D423" s="59">
        <f t="shared" si="114"/>
        <v>1</v>
      </c>
      <c r="E423" s="59">
        <f t="shared" si="115"/>
        <v>0</v>
      </c>
      <c r="F423" s="59">
        <v>408</v>
      </c>
      <c r="G423" s="59">
        <v>2</v>
      </c>
      <c r="H423" s="59">
        <f t="shared" si="116"/>
        <v>0</v>
      </c>
      <c r="I423" s="59">
        <f t="shared" si="117"/>
        <v>1</v>
      </c>
      <c r="J423" s="59">
        <v>25</v>
      </c>
      <c r="K423" s="59">
        <v>5</v>
      </c>
      <c r="L423" s="59">
        <v>5</v>
      </c>
      <c r="M423" s="59">
        <f t="shared" si="118"/>
        <v>0</v>
      </c>
      <c r="N423" s="59">
        <f t="shared" si="119"/>
        <v>0</v>
      </c>
      <c r="O423" s="59">
        <f t="shared" si="120"/>
        <v>0</v>
      </c>
      <c r="P423" s="59">
        <f t="shared" si="121"/>
        <v>0</v>
      </c>
      <c r="Q423" s="59">
        <f t="shared" si="122"/>
        <v>1</v>
      </c>
      <c r="R423" s="59">
        <v>1</v>
      </c>
      <c r="S423" s="59">
        <v>565</v>
      </c>
      <c r="T423" s="59">
        <v>3</v>
      </c>
      <c r="U423" s="59">
        <v>0</v>
      </c>
      <c r="V423" s="59">
        <v>71</v>
      </c>
      <c r="W423" s="59">
        <v>2</v>
      </c>
      <c r="X423" s="59">
        <v>1</v>
      </c>
      <c r="Y423" s="59">
        <v>2</v>
      </c>
      <c r="Z423" s="59">
        <f t="shared" si="123"/>
        <v>0</v>
      </c>
      <c r="AA423" s="59">
        <f>IF('Updated Dummy'!Y423=2,1,0)</f>
        <v>1</v>
      </c>
      <c r="AB423" s="59">
        <f t="shared" si="124"/>
        <v>0</v>
      </c>
      <c r="AC423" s="59">
        <f t="shared" si="125"/>
        <v>0</v>
      </c>
      <c r="AD423" s="59">
        <f t="shared" si="126"/>
        <v>0</v>
      </c>
      <c r="AE423" s="59">
        <f t="shared" si="127"/>
        <v>0</v>
      </c>
      <c r="AF423" s="59">
        <f t="shared" si="128"/>
        <v>0</v>
      </c>
      <c r="AG423" s="59">
        <f t="shared" si="129"/>
        <v>0</v>
      </c>
      <c r="AH423" s="59">
        <v>2</v>
      </c>
      <c r="AI423" s="59">
        <v>2</v>
      </c>
      <c r="AJ423" s="59">
        <f t="shared" si="130"/>
        <v>0</v>
      </c>
      <c r="AK423" s="59">
        <f t="shared" si="131"/>
        <v>1</v>
      </c>
      <c r="AL423" s="59">
        <v>2546</v>
      </c>
      <c r="AM423" s="59">
        <v>18300</v>
      </c>
      <c r="AN423" s="59">
        <v>5</v>
      </c>
      <c r="AO423" s="59">
        <v>0</v>
      </c>
      <c r="AP423" s="59">
        <v>16</v>
      </c>
      <c r="AQ423" s="59">
        <v>3</v>
      </c>
      <c r="AR423" s="59">
        <v>2</v>
      </c>
      <c r="AS423" s="59">
        <v>80</v>
      </c>
      <c r="AT423" s="59">
        <v>0</v>
      </c>
      <c r="AU423" s="59">
        <v>6</v>
      </c>
      <c r="AV423" s="59">
        <v>2</v>
      </c>
      <c r="AW423" s="59">
        <v>4</v>
      </c>
      <c r="AX423" s="59">
        <v>2</v>
      </c>
      <c r="AY423" s="59">
        <v>2</v>
      </c>
      <c r="AZ423" s="59">
        <v>1</v>
      </c>
      <c r="BA423" s="59">
        <v>1</v>
      </c>
      <c r="BB423" s="57">
        <f t="shared" si="132"/>
        <v>2546</v>
      </c>
    </row>
    <row r="424" spans="1:54" x14ac:dyDescent="0.25">
      <c r="A424" s="58">
        <v>19</v>
      </c>
      <c r="B424" s="59">
        <v>1</v>
      </c>
      <c r="C424" s="59">
        <v>1</v>
      </c>
      <c r="D424" s="59">
        <f t="shared" si="114"/>
        <v>1</v>
      </c>
      <c r="E424" s="59">
        <f t="shared" si="115"/>
        <v>0</v>
      </c>
      <c r="F424" s="59">
        <v>489</v>
      </c>
      <c r="G424" s="59">
        <v>3</v>
      </c>
      <c r="H424" s="59">
        <f t="shared" si="116"/>
        <v>0</v>
      </c>
      <c r="I424" s="59">
        <f t="shared" si="117"/>
        <v>0</v>
      </c>
      <c r="J424" s="59">
        <v>2</v>
      </c>
      <c r="K424" s="59">
        <v>2</v>
      </c>
      <c r="L424" s="59">
        <v>5</v>
      </c>
      <c r="M424" s="59">
        <f t="shared" si="118"/>
        <v>0</v>
      </c>
      <c r="N424" s="59">
        <f t="shared" si="119"/>
        <v>0</v>
      </c>
      <c r="O424" s="59">
        <f t="shared" si="120"/>
        <v>0</v>
      </c>
      <c r="P424" s="59">
        <f t="shared" si="121"/>
        <v>0</v>
      </c>
      <c r="Q424" s="59">
        <f t="shared" si="122"/>
        <v>1</v>
      </c>
      <c r="R424" s="59">
        <v>1</v>
      </c>
      <c r="S424" s="59">
        <v>566</v>
      </c>
      <c r="T424" s="59">
        <v>1</v>
      </c>
      <c r="U424" s="59">
        <v>1</v>
      </c>
      <c r="V424" s="59">
        <v>52</v>
      </c>
      <c r="W424" s="59">
        <v>2</v>
      </c>
      <c r="X424" s="59">
        <v>1</v>
      </c>
      <c r="Y424" s="59">
        <v>9</v>
      </c>
      <c r="Z424" s="59">
        <f t="shared" si="123"/>
        <v>0</v>
      </c>
      <c r="AA424" s="59">
        <f>IF('Updated Dummy'!Y424=2,1,0)</f>
        <v>0</v>
      </c>
      <c r="AB424" s="59">
        <f t="shared" si="124"/>
        <v>0</v>
      </c>
      <c r="AC424" s="59">
        <f t="shared" si="125"/>
        <v>0</v>
      </c>
      <c r="AD424" s="59">
        <f t="shared" si="126"/>
        <v>0</v>
      </c>
      <c r="AE424" s="59">
        <f t="shared" si="127"/>
        <v>0</v>
      </c>
      <c r="AF424" s="59">
        <f t="shared" si="128"/>
        <v>0</v>
      </c>
      <c r="AG424" s="59">
        <f t="shared" si="129"/>
        <v>0</v>
      </c>
      <c r="AH424" s="59">
        <v>4</v>
      </c>
      <c r="AI424" s="59">
        <v>1</v>
      </c>
      <c r="AJ424" s="59">
        <f t="shared" si="130"/>
        <v>1</v>
      </c>
      <c r="AK424" s="59">
        <f t="shared" si="131"/>
        <v>0</v>
      </c>
      <c r="AL424" s="59">
        <v>2564</v>
      </c>
      <c r="AM424" s="59">
        <v>18437</v>
      </c>
      <c r="AN424" s="59">
        <v>1</v>
      </c>
      <c r="AO424" s="59">
        <v>0</v>
      </c>
      <c r="AP424" s="59">
        <v>12</v>
      </c>
      <c r="AQ424" s="59">
        <v>3</v>
      </c>
      <c r="AR424" s="59">
        <v>3</v>
      </c>
      <c r="AS424" s="59">
        <v>80</v>
      </c>
      <c r="AT424" s="59">
        <v>0</v>
      </c>
      <c r="AU424" s="59">
        <v>1</v>
      </c>
      <c r="AV424" s="59">
        <v>3</v>
      </c>
      <c r="AW424" s="59">
        <v>4</v>
      </c>
      <c r="AX424" s="59">
        <v>1</v>
      </c>
      <c r="AY424" s="59">
        <v>0</v>
      </c>
      <c r="AZ424" s="59">
        <v>0</v>
      </c>
      <c r="BA424" s="59">
        <v>0</v>
      </c>
      <c r="BB424" s="57">
        <f t="shared" si="132"/>
        <v>2564</v>
      </c>
    </row>
    <row r="425" spans="1:54" x14ac:dyDescent="0.25">
      <c r="A425" s="58">
        <v>30</v>
      </c>
      <c r="B425" s="59">
        <v>0</v>
      </c>
      <c r="C425" s="59">
        <v>3</v>
      </c>
      <c r="D425" s="59">
        <f t="shared" si="114"/>
        <v>0</v>
      </c>
      <c r="E425" s="59">
        <f t="shared" si="115"/>
        <v>0</v>
      </c>
      <c r="F425" s="59">
        <v>1398</v>
      </c>
      <c r="G425" s="59">
        <v>1</v>
      </c>
      <c r="H425" s="59">
        <f t="shared" si="116"/>
        <v>1</v>
      </c>
      <c r="I425" s="59">
        <f t="shared" si="117"/>
        <v>0</v>
      </c>
      <c r="J425" s="59">
        <v>22</v>
      </c>
      <c r="K425" s="59">
        <v>4</v>
      </c>
      <c r="L425" s="59">
        <v>6</v>
      </c>
      <c r="M425" s="59">
        <f t="shared" si="118"/>
        <v>0</v>
      </c>
      <c r="N425" s="59">
        <f t="shared" si="119"/>
        <v>0</v>
      </c>
      <c r="O425" s="59">
        <f t="shared" si="120"/>
        <v>0</v>
      </c>
      <c r="P425" s="59">
        <f t="shared" si="121"/>
        <v>0</v>
      </c>
      <c r="Q425" s="59">
        <f t="shared" si="122"/>
        <v>0</v>
      </c>
      <c r="R425" s="59">
        <v>1</v>
      </c>
      <c r="S425" s="59">
        <v>567</v>
      </c>
      <c r="T425" s="59">
        <v>3</v>
      </c>
      <c r="U425" s="59">
        <v>0</v>
      </c>
      <c r="V425" s="59">
        <v>69</v>
      </c>
      <c r="W425" s="59">
        <v>3</v>
      </c>
      <c r="X425" s="59">
        <v>3</v>
      </c>
      <c r="Y425" s="59">
        <v>1</v>
      </c>
      <c r="Z425" s="59">
        <f t="shared" si="123"/>
        <v>1</v>
      </c>
      <c r="AA425" s="59">
        <f>IF('Updated Dummy'!Y425=2,1,0)</f>
        <v>0</v>
      </c>
      <c r="AB425" s="59">
        <f t="shared" si="124"/>
        <v>0</v>
      </c>
      <c r="AC425" s="59">
        <f t="shared" si="125"/>
        <v>0</v>
      </c>
      <c r="AD425" s="59">
        <f t="shared" si="126"/>
        <v>0</v>
      </c>
      <c r="AE425" s="59">
        <f t="shared" si="127"/>
        <v>0</v>
      </c>
      <c r="AF425" s="59">
        <f t="shared" si="128"/>
        <v>0</v>
      </c>
      <c r="AG425" s="59">
        <f t="shared" si="129"/>
        <v>0</v>
      </c>
      <c r="AH425" s="59">
        <v>1</v>
      </c>
      <c r="AI425" s="59">
        <v>2</v>
      </c>
      <c r="AJ425" s="59">
        <f t="shared" si="130"/>
        <v>0</v>
      </c>
      <c r="AK425" s="59">
        <f t="shared" si="131"/>
        <v>1</v>
      </c>
      <c r="AL425" s="59">
        <v>8412</v>
      </c>
      <c r="AM425" s="59">
        <v>2890</v>
      </c>
      <c r="AN425" s="59">
        <v>0</v>
      </c>
      <c r="AO425" s="59">
        <v>0</v>
      </c>
      <c r="AP425" s="59">
        <v>11</v>
      </c>
      <c r="AQ425" s="59">
        <v>3</v>
      </c>
      <c r="AR425" s="59">
        <v>3</v>
      </c>
      <c r="AS425" s="59">
        <v>80</v>
      </c>
      <c r="AT425" s="59">
        <v>0</v>
      </c>
      <c r="AU425" s="59">
        <v>10</v>
      </c>
      <c r="AV425" s="59">
        <v>3</v>
      </c>
      <c r="AW425" s="59">
        <v>3</v>
      </c>
      <c r="AX425" s="59">
        <v>9</v>
      </c>
      <c r="AY425" s="59">
        <v>8</v>
      </c>
      <c r="AZ425" s="59">
        <v>7</v>
      </c>
      <c r="BA425" s="59">
        <v>8</v>
      </c>
      <c r="BB425" s="57">
        <f t="shared" si="132"/>
        <v>25236</v>
      </c>
    </row>
    <row r="426" spans="1:54" x14ac:dyDescent="0.25">
      <c r="A426" s="58">
        <v>57</v>
      </c>
      <c r="B426" s="59">
        <v>0</v>
      </c>
      <c r="C426" s="59">
        <v>1</v>
      </c>
      <c r="D426" s="59">
        <f t="shared" si="114"/>
        <v>1</v>
      </c>
      <c r="E426" s="59">
        <f t="shared" si="115"/>
        <v>0</v>
      </c>
      <c r="F426" s="59">
        <v>210</v>
      </c>
      <c r="G426" s="59">
        <v>1</v>
      </c>
      <c r="H426" s="59">
        <f t="shared" si="116"/>
        <v>1</v>
      </c>
      <c r="I426" s="59">
        <f t="shared" si="117"/>
        <v>0</v>
      </c>
      <c r="J426" s="59">
        <v>29</v>
      </c>
      <c r="K426" s="59">
        <v>3</v>
      </c>
      <c r="L426" s="59">
        <v>4</v>
      </c>
      <c r="M426" s="59">
        <f t="shared" si="118"/>
        <v>0</v>
      </c>
      <c r="N426" s="59">
        <f t="shared" si="119"/>
        <v>0</v>
      </c>
      <c r="O426" s="59">
        <f t="shared" si="120"/>
        <v>0</v>
      </c>
      <c r="P426" s="59">
        <f t="shared" si="121"/>
        <v>1</v>
      </c>
      <c r="Q426" s="59">
        <f t="shared" si="122"/>
        <v>0</v>
      </c>
      <c r="R426" s="59">
        <v>1</v>
      </c>
      <c r="S426" s="59">
        <v>568</v>
      </c>
      <c r="T426" s="59">
        <v>1</v>
      </c>
      <c r="U426" s="59">
        <v>1</v>
      </c>
      <c r="V426" s="59">
        <v>56</v>
      </c>
      <c r="W426" s="59">
        <v>2</v>
      </c>
      <c r="X426" s="59">
        <v>4</v>
      </c>
      <c r="Y426" s="59">
        <v>6</v>
      </c>
      <c r="Z426" s="59">
        <f t="shared" si="123"/>
        <v>0</v>
      </c>
      <c r="AA426" s="59">
        <f>IF('Updated Dummy'!Y426=2,1,0)</f>
        <v>0</v>
      </c>
      <c r="AB426" s="59">
        <f t="shared" si="124"/>
        <v>0</v>
      </c>
      <c r="AC426" s="59">
        <f t="shared" si="125"/>
        <v>0</v>
      </c>
      <c r="AD426" s="59">
        <f t="shared" si="126"/>
        <v>0</v>
      </c>
      <c r="AE426" s="59">
        <f t="shared" si="127"/>
        <v>1</v>
      </c>
      <c r="AF426" s="59">
        <f t="shared" si="128"/>
        <v>0</v>
      </c>
      <c r="AG426" s="59">
        <f t="shared" si="129"/>
        <v>0</v>
      </c>
      <c r="AH426" s="59">
        <v>4</v>
      </c>
      <c r="AI426" s="59">
        <v>3</v>
      </c>
      <c r="AJ426" s="59">
        <f t="shared" si="130"/>
        <v>0</v>
      </c>
      <c r="AK426" s="59">
        <f t="shared" si="131"/>
        <v>0</v>
      </c>
      <c r="AL426" s="59">
        <v>14118</v>
      </c>
      <c r="AM426" s="59">
        <v>22102</v>
      </c>
      <c r="AN426" s="59">
        <v>3</v>
      </c>
      <c r="AO426" s="59">
        <v>0</v>
      </c>
      <c r="AP426" s="59">
        <v>12</v>
      </c>
      <c r="AQ426" s="59">
        <v>3</v>
      </c>
      <c r="AR426" s="59">
        <v>3</v>
      </c>
      <c r="AS426" s="59">
        <v>80</v>
      </c>
      <c r="AT426" s="59">
        <v>1</v>
      </c>
      <c r="AU426" s="59">
        <v>32</v>
      </c>
      <c r="AV426" s="59">
        <v>3</v>
      </c>
      <c r="AW426" s="59">
        <v>2</v>
      </c>
      <c r="AX426" s="59">
        <v>1</v>
      </c>
      <c r="AY426" s="59">
        <v>0</v>
      </c>
      <c r="AZ426" s="59">
        <v>0</v>
      </c>
      <c r="BA426" s="59">
        <v>0</v>
      </c>
      <c r="BB426" s="57">
        <f t="shared" si="132"/>
        <v>56472</v>
      </c>
    </row>
    <row r="427" spans="1:54" x14ac:dyDescent="0.25">
      <c r="A427" s="58">
        <v>50</v>
      </c>
      <c r="B427" s="59">
        <v>0</v>
      </c>
      <c r="C427" s="59">
        <v>1</v>
      </c>
      <c r="D427" s="59">
        <f t="shared" si="114"/>
        <v>1</v>
      </c>
      <c r="E427" s="59">
        <f t="shared" si="115"/>
        <v>0</v>
      </c>
      <c r="F427" s="59">
        <v>1099</v>
      </c>
      <c r="G427" s="59">
        <v>2</v>
      </c>
      <c r="H427" s="59">
        <f t="shared" si="116"/>
        <v>0</v>
      </c>
      <c r="I427" s="59">
        <f t="shared" si="117"/>
        <v>1</v>
      </c>
      <c r="J427" s="59">
        <v>29</v>
      </c>
      <c r="K427" s="59">
        <v>4</v>
      </c>
      <c r="L427" s="59">
        <v>1</v>
      </c>
      <c r="M427" s="59">
        <f t="shared" si="118"/>
        <v>1</v>
      </c>
      <c r="N427" s="59">
        <f t="shared" si="119"/>
        <v>0</v>
      </c>
      <c r="O427" s="59">
        <f t="shared" si="120"/>
        <v>0</v>
      </c>
      <c r="P427" s="59">
        <f t="shared" si="121"/>
        <v>0</v>
      </c>
      <c r="Q427" s="59">
        <f t="shared" si="122"/>
        <v>0</v>
      </c>
      <c r="R427" s="59">
        <v>1</v>
      </c>
      <c r="S427" s="59">
        <v>569</v>
      </c>
      <c r="T427" s="59">
        <v>2</v>
      </c>
      <c r="U427" s="59">
        <v>1</v>
      </c>
      <c r="V427" s="59">
        <v>88</v>
      </c>
      <c r="W427" s="59">
        <v>2</v>
      </c>
      <c r="X427" s="59">
        <v>4</v>
      </c>
      <c r="Y427" s="59">
        <v>6</v>
      </c>
      <c r="Z427" s="59">
        <f t="shared" si="123"/>
        <v>0</v>
      </c>
      <c r="AA427" s="59">
        <f>IF('Updated Dummy'!Y427=2,1,0)</f>
        <v>0</v>
      </c>
      <c r="AB427" s="59">
        <f t="shared" si="124"/>
        <v>0</v>
      </c>
      <c r="AC427" s="59">
        <f t="shared" si="125"/>
        <v>0</v>
      </c>
      <c r="AD427" s="59">
        <f t="shared" si="126"/>
        <v>0</v>
      </c>
      <c r="AE427" s="59">
        <f t="shared" si="127"/>
        <v>1</v>
      </c>
      <c r="AF427" s="59">
        <f t="shared" si="128"/>
        <v>0</v>
      </c>
      <c r="AG427" s="59">
        <f t="shared" si="129"/>
        <v>0</v>
      </c>
      <c r="AH427" s="59">
        <v>3</v>
      </c>
      <c r="AI427" s="59">
        <v>2</v>
      </c>
      <c r="AJ427" s="59">
        <f t="shared" si="130"/>
        <v>0</v>
      </c>
      <c r="AK427" s="59">
        <f t="shared" si="131"/>
        <v>1</v>
      </c>
      <c r="AL427" s="59">
        <v>17046</v>
      </c>
      <c r="AM427" s="59">
        <v>9314</v>
      </c>
      <c r="AN427" s="59">
        <v>0</v>
      </c>
      <c r="AO427" s="59">
        <v>0</v>
      </c>
      <c r="AP427" s="59">
        <v>15</v>
      </c>
      <c r="AQ427" s="59">
        <v>3</v>
      </c>
      <c r="AR427" s="59">
        <v>2</v>
      </c>
      <c r="AS427" s="59">
        <v>80</v>
      </c>
      <c r="AT427" s="59">
        <v>1</v>
      </c>
      <c r="AU427" s="59">
        <v>28</v>
      </c>
      <c r="AV427" s="59">
        <v>2</v>
      </c>
      <c r="AW427" s="59">
        <v>3</v>
      </c>
      <c r="AX427" s="59">
        <v>27</v>
      </c>
      <c r="AY427" s="59">
        <v>10</v>
      </c>
      <c r="AZ427" s="59">
        <v>15</v>
      </c>
      <c r="BA427" s="59">
        <v>7</v>
      </c>
      <c r="BB427" s="57">
        <f t="shared" si="132"/>
        <v>68184</v>
      </c>
    </row>
    <row r="428" spans="1:54" x14ac:dyDescent="0.25">
      <c r="A428" s="58">
        <v>30</v>
      </c>
      <c r="B428" s="59">
        <v>0</v>
      </c>
      <c r="C428" s="59">
        <v>3</v>
      </c>
      <c r="D428" s="59">
        <f t="shared" si="114"/>
        <v>0</v>
      </c>
      <c r="E428" s="59">
        <f t="shared" si="115"/>
        <v>0</v>
      </c>
      <c r="F428" s="59">
        <v>1116</v>
      </c>
      <c r="G428" s="59">
        <v>2</v>
      </c>
      <c r="H428" s="59">
        <f t="shared" si="116"/>
        <v>0</v>
      </c>
      <c r="I428" s="59">
        <f t="shared" si="117"/>
        <v>1</v>
      </c>
      <c r="J428" s="59">
        <v>2</v>
      </c>
      <c r="K428" s="59">
        <v>3</v>
      </c>
      <c r="L428" s="59">
        <v>3</v>
      </c>
      <c r="M428" s="59">
        <f t="shared" si="118"/>
        <v>0</v>
      </c>
      <c r="N428" s="59">
        <f t="shared" si="119"/>
        <v>0</v>
      </c>
      <c r="O428" s="59">
        <f t="shared" si="120"/>
        <v>1</v>
      </c>
      <c r="P428" s="59">
        <f t="shared" si="121"/>
        <v>0</v>
      </c>
      <c r="Q428" s="59">
        <f t="shared" si="122"/>
        <v>0</v>
      </c>
      <c r="R428" s="59">
        <v>1</v>
      </c>
      <c r="S428" s="59">
        <v>571</v>
      </c>
      <c r="T428" s="59">
        <v>3</v>
      </c>
      <c r="U428" s="59">
        <v>0</v>
      </c>
      <c r="V428" s="59">
        <v>49</v>
      </c>
      <c r="W428" s="59">
        <v>3</v>
      </c>
      <c r="X428" s="59">
        <v>1</v>
      </c>
      <c r="Y428" s="59">
        <v>3</v>
      </c>
      <c r="Z428" s="59">
        <f t="shared" si="123"/>
        <v>0</v>
      </c>
      <c r="AA428" s="59">
        <f>IF('Updated Dummy'!Y428=2,1,0)</f>
        <v>0</v>
      </c>
      <c r="AB428" s="59">
        <f t="shared" si="124"/>
        <v>1</v>
      </c>
      <c r="AC428" s="59">
        <f t="shared" si="125"/>
        <v>0</v>
      </c>
      <c r="AD428" s="59">
        <f t="shared" si="126"/>
        <v>0</v>
      </c>
      <c r="AE428" s="59">
        <f t="shared" si="127"/>
        <v>0</v>
      </c>
      <c r="AF428" s="59">
        <f t="shared" si="128"/>
        <v>0</v>
      </c>
      <c r="AG428" s="59">
        <f t="shared" si="129"/>
        <v>0</v>
      </c>
      <c r="AH428" s="59">
        <v>4</v>
      </c>
      <c r="AI428" s="59">
        <v>1</v>
      </c>
      <c r="AJ428" s="59">
        <f t="shared" si="130"/>
        <v>1</v>
      </c>
      <c r="AK428" s="59">
        <f t="shared" si="131"/>
        <v>0</v>
      </c>
      <c r="AL428" s="59">
        <v>2564</v>
      </c>
      <c r="AM428" s="59">
        <v>7181</v>
      </c>
      <c r="AN428" s="59">
        <v>0</v>
      </c>
      <c r="AO428" s="59">
        <v>0</v>
      </c>
      <c r="AP428" s="59">
        <v>14</v>
      </c>
      <c r="AQ428" s="59">
        <v>3</v>
      </c>
      <c r="AR428" s="59">
        <v>3</v>
      </c>
      <c r="AS428" s="59">
        <v>80</v>
      </c>
      <c r="AT428" s="59">
        <v>0</v>
      </c>
      <c r="AU428" s="59">
        <v>12</v>
      </c>
      <c r="AV428" s="59">
        <v>2</v>
      </c>
      <c r="AW428" s="59">
        <v>2</v>
      </c>
      <c r="AX428" s="59">
        <v>11</v>
      </c>
      <c r="AY428" s="59">
        <v>7</v>
      </c>
      <c r="AZ428" s="59">
        <v>6</v>
      </c>
      <c r="BA428" s="59">
        <v>7</v>
      </c>
      <c r="BB428" s="57">
        <f t="shared" si="132"/>
        <v>2564</v>
      </c>
    </row>
    <row r="429" spans="1:54" x14ac:dyDescent="0.25">
      <c r="A429" s="58">
        <v>60</v>
      </c>
      <c r="B429" s="59">
        <v>0</v>
      </c>
      <c r="C429" s="59">
        <v>2</v>
      </c>
      <c r="D429" s="59">
        <f t="shared" si="114"/>
        <v>0</v>
      </c>
      <c r="E429" s="59">
        <f t="shared" si="115"/>
        <v>1</v>
      </c>
      <c r="F429" s="59">
        <v>1499</v>
      </c>
      <c r="G429" s="59">
        <v>1</v>
      </c>
      <c r="H429" s="59">
        <f t="shared" si="116"/>
        <v>1</v>
      </c>
      <c r="I429" s="59">
        <f t="shared" si="117"/>
        <v>0</v>
      </c>
      <c r="J429" s="59">
        <v>28</v>
      </c>
      <c r="K429" s="59">
        <v>3</v>
      </c>
      <c r="L429" s="59">
        <v>4</v>
      </c>
      <c r="M429" s="59">
        <f t="shared" si="118"/>
        <v>0</v>
      </c>
      <c r="N429" s="59">
        <f t="shared" si="119"/>
        <v>0</v>
      </c>
      <c r="O429" s="59">
        <f t="shared" si="120"/>
        <v>0</v>
      </c>
      <c r="P429" s="59">
        <f t="shared" si="121"/>
        <v>1</v>
      </c>
      <c r="Q429" s="59">
        <f t="shared" si="122"/>
        <v>0</v>
      </c>
      <c r="R429" s="59">
        <v>1</v>
      </c>
      <c r="S429" s="59">
        <v>573</v>
      </c>
      <c r="T429" s="59">
        <v>3</v>
      </c>
      <c r="U429" s="59">
        <v>0</v>
      </c>
      <c r="V429" s="59">
        <v>80</v>
      </c>
      <c r="W429" s="59">
        <v>2</v>
      </c>
      <c r="X429" s="59">
        <v>3</v>
      </c>
      <c r="Y429" s="59">
        <v>1</v>
      </c>
      <c r="Z429" s="59">
        <f t="shared" si="123"/>
        <v>1</v>
      </c>
      <c r="AA429" s="59">
        <f>IF('Updated Dummy'!Y429=2,1,0)</f>
        <v>0</v>
      </c>
      <c r="AB429" s="59">
        <f t="shared" si="124"/>
        <v>0</v>
      </c>
      <c r="AC429" s="59">
        <f t="shared" si="125"/>
        <v>0</v>
      </c>
      <c r="AD429" s="59">
        <f t="shared" si="126"/>
        <v>0</v>
      </c>
      <c r="AE429" s="59">
        <f t="shared" si="127"/>
        <v>0</v>
      </c>
      <c r="AF429" s="59">
        <f t="shared" si="128"/>
        <v>0</v>
      </c>
      <c r="AG429" s="59">
        <f t="shared" si="129"/>
        <v>0</v>
      </c>
      <c r="AH429" s="59">
        <v>1</v>
      </c>
      <c r="AI429" s="59">
        <v>2</v>
      </c>
      <c r="AJ429" s="59">
        <f t="shared" si="130"/>
        <v>0</v>
      </c>
      <c r="AK429" s="59">
        <f t="shared" si="131"/>
        <v>1</v>
      </c>
      <c r="AL429" s="59">
        <v>10266</v>
      </c>
      <c r="AM429" s="59">
        <v>2845</v>
      </c>
      <c r="AN429" s="59">
        <v>4</v>
      </c>
      <c r="AO429" s="59">
        <v>0</v>
      </c>
      <c r="AP429" s="59">
        <v>19</v>
      </c>
      <c r="AQ429" s="59">
        <v>3</v>
      </c>
      <c r="AR429" s="59">
        <v>4</v>
      </c>
      <c r="AS429" s="59">
        <v>80</v>
      </c>
      <c r="AT429" s="59">
        <v>0</v>
      </c>
      <c r="AU429" s="59">
        <v>22</v>
      </c>
      <c r="AV429" s="59">
        <v>5</v>
      </c>
      <c r="AW429" s="59">
        <v>4</v>
      </c>
      <c r="AX429" s="59">
        <v>18</v>
      </c>
      <c r="AY429" s="59">
        <v>13</v>
      </c>
      <c r="AZ429" s="59">
        <v>13</v>
      </c>
      <c r="BA429" s="59">
        <v>11</v>
      </c>
      <c r="BB429" s="57">
        <f t="shared" si="132"/>
        <v>30798</v>
      </c>
    </row>
    <row r="430" spans="1:54" x14ac:dyDescent="0.25">
      <c r="A430" s="58">
        <v>47</v>
      </c>
      <c r="B430" s="59">
        <v>0</v>
      </c>
      <c r="C430" s="59">
        <v>1</v>
      </c>
      <c r="D430" s="59">
        <f t="shared" si="114"/>
        <v>1</v>
      </c>
      <c r="E430" s="59">
        <f t="shared" si="115"/>
        <v>0</v>
      </c>
      <c r="F430" s="59">
        <v>983</v>
      </c>
      <c r="G430" s="59">
        <v>2</v>
      </c>
      <c r="H430" s="59">
        <f t="shared" si="116"/>
        <v>0</v>
      </c>
      <c r="I430" s="59">
        <f t="shared" si="117"/>
        <v>1</v>
      </c>
      <c r="J430" s="59">
        <v>2</v>
      </c>
      <c r="K430" s="59">
        <v>2</v>
      </c>
      <c r="L430" s="59">
        <v>3</v>
      </c>
      <c r="M430" s="59">
        <f t="shared" si="118"/>
        <v>0</v>
      </c>
      <c r="N430" s="59">
        <f t="shared" si="119"/>
        <v>0</v>
      </c>
      <c r="O430" s="59">
        <f t="shared" si="120"/>
        <v>1</v>
      </c>
      <c r="P430" s="59">
        <f t="shared" si="121"/>
        <v>0</v>
      </c>
      <c r="Q430" s="59">
        <f t="shared" si="122"/>
        <v>0</v>
      </c>
      <c r="R430" s="59">
        <v>1</v>
      </c>
      <c r="S430" s="59">
        <v>574</v>
      </c>
      <c r="T430" s="59">
        <v>1</v>
      </c>
      <c r="U430" s="59">
        <v>0</v>
      </c>
      <c r="V430" s="59">
        <v>65</v>
      </c>
      <c r="W430" s="59">
        <v>3</v>
      </c>
      <c r="X430" s="59">
        <v>2</v>
      </c>
      <c r="Y430" s="59">
        <v>4</v>
      </c>
      <c r="Z430" s="59">
        <f t="shared" si="123"/>
        <v>0</v>
      </c>
      <c r="AA430" s="59">
        <f>IF('Updated Dummy'!Y430=2,1,0)</f>
        <v>0</v>
      </c>
      <c r="AB430" s="59">
        <f t="shared" si="124"/>
        <v>0</v>
      </c>
      <c r="AC430" s="59">
        <f t="shared" si="125"/>
        <v>1</v>
      </c>
      <c r="AD430" s="59">
        <f t="shared" si="126"/>
        <v>0</v>
      </c>
      <c r="AE430" s="59">
        <f t="shared" si="127"/>
        <v>0</v>
      </c>
      <c r="AF430" s="59">
        <f t="shared" si="128"/>
        <v>0</v>
      </c>
      <c r="AG430" s="59">
        <f t="shared" si="129"/>
        <v>0</v>
      </c>
      <c r="AH430" s="59">
        <v>4</v>
      </c>
      <c r="AI430" s="59">
        <v>3</v>
      </c>
      <c r="AJ430" s="59">
        <f t="shared" si="130"/>
        <v>0</v>
      </c>
      <c r="AK430" s="59">
        <f t="shared" si="131"/>
        <v>0</v>
      </c>
      <c r="AL430" s="59">
        <v>5070</v>
      </c>
      <c r="AM430" s="59">
        <v>7389</v>
      </c>
      <c r="AN430" s="59">
        <v>5</v>
      </c>
      <c r="AO430" s="59">
        <v>0</v>
      </c>
      <c r="AP430" s="59">
        <v>13</v>
      </c>
      <c r="AQ430" s="59">
        <v>3</v>
      </c>
      <c r="AR430" s="59">
        <v>3</v>
      </c>
      <c r="AS430" s="59">
        <v>80</v>
      </c>
      <c r="AT430" s="59">
        <v>3</v>
      </c>
      <c r="AU430" s="59">
        <v>20</v>
      </c>
      <c r="AV430" s="59">
        <v>2</v>
      </c>
      <c r="AW430" s="59">
        <v>3</v>
      </c>
      <c r="AX430" s="59">
        <v>5</v>
      </c>
      <c r="AY430" s="59">
        <v>0</v>
      </c>
      <c r="AZ430" s="59">
        <v>0</v>
      </c>
      <c r="BA430" s="59">
        <v>4</v>
      </c>
      <c r="BB430" s="57">
        <f t="shared" si="132"/>
        <v>10140</v>
      </c>
    </row>
    <row r="431" spans="1:54" x14ac:dyDescent="0.25">
      <c r="A431" s="58">
        <v>46</v>
      </c>
      <c r="B431" s="59">
        <v>0</v>
      </c>
      <c r="C431" s="59">
        <v>1</v>
      </c>
      <c r="D431" s="59">
        <f t="shared" si="114"/>
        <v>1</v>
      </c>
      <c r="E431" s="59">
        <f t="shared" si="115"/>
        <v>0</v>
      </c>
      <c r="F431" s="59">
        <v>1009</v>
      </c>
      <c r="G431" s="59">
        <v>2</v>
      </c>
      <c r="H431" s="59">
        <f t="shared" si="116"/>
        <v>0</v>
      </c>
      <c r="I431" s="59">
        <f t="shared" si="117"/>
        <v>1</v>
      </c>
      <c r="J431" s="59">
        <v>2</v>
      </c>
      <c r="K431" s="59">
        <v>3</v>
      </c>
      <c r="L431" s="59">
        <v>1</v>
      </c>
      <c r="M431" s="59">
        <f t="shared" si="118"/>
        <v>1</v>
      </c>
      <c r="N431" s="59">
        <f t="shared" si="119"/>
        <v>0</v>
      </c>
      <c r="O431" s="59">
        <f t="shared" si="120"/>
        <v>0</v>
      </c>
      <c r="P431" s="59">
        <f t="shared" si="121"/>
        <v>0</v>
      </c>
      <c r="Q431" s="59">
        <f t="shared" si="122"/>
        <v>0</v>
      </c>
      <c r="R431" s="59">
        <v>1</v>
      </c>
      <c r="S431" s="59">
        <v>575</v>
      </c>
      <c r="T431" s="59">
        <v>1</v>
      </c>
      <c r="U431" s="59">
        <v>1</v>
      </c>
      <c r="V431" s="59">
        <v>51</v>
      </c>
      <c r="W431" s="59">
        <v>3</v>
      </c>
      <c r="X431" s="59">
        <v>4</v>
      </c>
      <c r="Y431" s="59">
        <v>8</v>
      </c>
      <c r="Z431" s="59">
        <f t="shared" si="123"/>
        <v>0</v>
      </c>
      <c r="AA431" s="59">
        <f>IF('Updated Dummy'!Y431=2,1,0)</f>
        <v>0</v>
      </c>
      <c r="AB431" s="59">
        <f t="shared" si="124"/>
        <v>0</v>
      </c>
      <c r="AC431" s="59">
        <f t="shared" si="125"/>
        <v>0</v>
      </c>
      <c r="AD431" s="59">
        <f t="shared" si="126"/>
        <v>0</v>
      </c>
      <c r="AE431" s="59">
        <f t="shared" si="127"/>
        <v>0</v>
      </c>
      <c r="AF431" s="59">
        <f t="shared" si="128"/>
        <v>0</v>
      </c>
      <c r="AG431" s="59">
        <f t="shared" si="129"/>
        <v>1</v>
      </c>
      <c r="AH431" s="59">
        <v>3</v>
      </c>
      <c r="AI431" s="59">
        <v>2</v>
      </c>
      <c r="AJ431" s="59">
        <f t="shared" si="130"/>
        <v>0</v>
      </c>
      <c r="AK431" s="59">
        <f t="shared" si="131"/>
        <v>1</v>
      </c>
      <c r="AL431" s="59">
        <v>17861</v>
      </c>
      <c r="AM431" s="59">
        <v>2288</v>
      </c>
      <c r="AN431" s="59">
        <v>6</v>
      </c>
      <c r="AO431" s="59">
        <v>0</v>
      </c>
      <c r="AP431" s="59">
        <v>13</v>
      </c>
      <c r="AQ431" s="59">
        <v>3</v>
      </c>
      <c r="AR431" s="59">
        <v>3</v>
      </c>
      <c r="AS431" s="59">
        <v>80</v>
      </c>
      <c r="AT431" s="59">
        <v>0</v>
      </c>
      <c r="AU431" s="59">
        <v>26</v>
      </c>
      <c r="AV431" s="59">
        <v>2</v>
      </c>
      <c r="AW431" s="59">
        <v>1</v>
      </c>
      <c r="AX431" s="59">
        <v>3</v>
      </c>
      <c r="AY431" s="59">
        <v>2</v>
      </c>
      <c r="AZ431" s="59">
        <v>0</v>
      </c>
      <c r="BA431" s="59">
        <v>1</v>
      </c>
      <c r="BB431" s="57">
        <f t="shared" si="132"/>
        <v>71444</v>
      </c>
    </row>
    <row r="432" spans="1:54" x14ac:dyDescent="0.25">
      <c r="A432" s="58">
        <v>35</v>
      </c>
      <c r="B432" s="59">
        <v>0</v>
      </c>
      <c r="C432" s="59">
        <v>1</v>
      </c>
      <c r="D432" s="59">
        <f t="shared" si="114"/>
        <v>1</v>
      </c>
      <c r="E432" s="59">
        <f t="shared" si="115"/>
        <v>0</v>
      </c>
      <c r="F432" s="59">
        <v>144</v>
      </c>
      <c r="G432" s="59">
        <v>2</v>
      </c>
      <c r="H432" s="59">
        <f t="shared" si="116"/>
        <v>0</v>
      </c>
      <c r="I432" s="59">
        <f t="shared" si="117"/>
        <v>1</v>
      </c>
      <c r="J432" s="59">
        <v>22</v>
      </c>
      <c r="K432" s="59">
        <v>3</v>
      </c>
      <c r="L432" s="59">
        <v>1</v>
      </c>
      <c r="M432" s="59">
        <f t="shared" si="118"/>
        <v>1</v>
      </c>
      <c r="N432" s="59">
        <f t="shared" si="119"/>
        <v>0</v>
      </c>
      <c r="O432" s="59">
        <f t="shared" si="120"/>
        <v>0</v>
      </c>
      <c r="P432" s="59">
        <f t="shared" si="121"/>
        <v>0</v>
      </c>
      <c r="Q432" s="59">
        <f t="shared" si="122"/>
        <v>0</v>
      </c>
      <c r="R432" s="59">
        <v>1</v>
      </c>
      <c r="S432" s="59">
        <v>577</v>
      </c>
      <c r="T432" s="59">
        <v>4</v>
      </c>
      <c r="U432" s="59">
        <v>1</v>
      </c>
      <c r="V432" s="59">
        <v>46</v>
      </c>
      <c r="W432" s="59">
        <v>1</v>
      </c>
      <c r="X432" s="59">
        <v>1</v>
      </c>
      <c r="Y432" s="59">
        <v>3</v>
      </c>
      <c r="Z432" s="59">
        <f t="shared" si="123"/>
        <v>0</v>
      </c>
      <c r="AA432" s="59">
        <f>IF('Updated Dummy'!Y432=2,1,0)</f>
        <v>0</v>
      </c>
      <c r="AB432" s="59">
        <f t="shared" si="124"/>
        <v>1</v>
      </c>
      <c r="AC432" s="59">
        <f t="shared" si="125"/>
        <v>0</v>
      </c>
      <c r="AD432" s="59">
        <f t="shared" si="126"/>
        <v>0</v>
      </c>
      <c r="AE432" s="59">
        <f t="shared" si="127"/>
        <v>0</v>
      </c>
      <c r="AF432" s="59">
        <f t="shared" si="128"/>
        <v>0</v>
      </c>
      <c r="AG432" s="59">
        <f t="shared" si="129"/>
        <v>0</v>
      </c>
      <c r="AH432" s="59">
        <v>3</v>
      </c>
      <c r="AI432" s="59">
        <v>1</v>
      </c>
      <c r="AJ432" s="59">
        <f t="shared" si="130"/>
        <v>1</v>
      </c>
      <c r="AK432" s="59">
        <f t="shared" si="131"/>
        <v>0</v>
      </c>
      <c r="AL432" s="59">
        <v>4230</v>
      </c>
      <c r="AM432" s="59">
        <v>19225</v>
      </c>
      <c r="AN432" s="59">
        <v>0</v>
      </c>
      <c r="AO432" s="59">
        <v>0</v>
      </c>
      <c r="AP432" s="59">
        <v>15</v>
      </c>
      <c r="AQ432" s="59">
        <v>3</v>
      </c>
      <c r="AR432" s="59">
        <v>3</v>
      </c>
      <c r="AS432" s="59">
        <v>80</v>
      </c>
      <c r="AT432" s="59">
        <v>0</v>
      </c>
      <c r="AU432" s="59">
        <v>6</v>
      </c>
      <c r="AV432" s="59">
        <v>2</v>
      </c>
      <c r="AW432" s="59">
        <v>3</v>
      </c>
      <c r="AX432" s="59">
        <v>5</v>
      </c>
      <c r="AY432" s="59">
        <v>4</v>
      </c>
      <c r="AZ432" s="59">
        <v>4</v>
      </c>
      <c r="BA432" s="59">
        <v>3</v>
      </c>
      <c r="BB432" s="57">
        <f t="shared" si="132"/>
        <v>4230</v>
      </c>
    </row>
    <row r="433" spans="1:54" x14ac:dyDescent="0.25">
      <c r="A433" s="58">
        <v>54</v>
      </c>
      <c r="B433" s="59">
        <v>0</v>
      </c>
      <c r="C433" s="59">
        <v>1</v>
      </c>
      <c r="D433" s="59">
        <f t="shared" si="114"/>
        <v>1</v>
      </c>
      <c r="E433" s="59">
        <f t="shared" si="115"/>
        <v>0</v>
      </c>
      <c r="F433" s="59">
        <v>548</v>
      </c>
      <c r="G433" s="59">
        <v>2</v>
      </c>
      <c r="H433" s="59">
        <f t="shared" si="116"/>
        <v>0</v>
      </c>
      <c r="I433" s="59">
        <f t="shared" si="117"/>
        <v>1</v>
      </c>
      <c r="J433" s="59">
        <v>8</v>
      </c>
      <c r="K433" s="59">
        <v>4</v>
      </c>
      <c r="L433" s="59">
        <v>1</v>
      </c>
      <c r="M433" s="59">
        <f t="shared" si="118"/>
        <v>1</v>
      </c>
      <c r="N433" s="59">
        <f t="shared" si="119"/>
        <v>0</v>
      </c>
      <c r="O433" s="59">
        <f t="shared" si="120"/>
        <v>0</v>
      </c>
      <c r="P433" s="59">
        <f t="shared" si="121"/>
        <v>0</v>
      </c>
      <c r="Q433" s="59">
        <f t="shared" si="122"/>
        <v>0</v>
      </c>
      <c r="R433" s="59">
        <v>1</v>
      </c>
      <c r="S433" s="59">
        <v>578</v>
      </c>
      <c r="T433" s="59">
        <v>3</v>
      </c>
      <c r="U433" s="59">
        <v>0</v>
      </c>
      <c r="V433" s="59">
        <v>42</v>
      </c>
      <c r="W433" s="59">
        <v>3</v>
      </c>
      <c r="X433" s="59">
        <v>2</v>
      </c>
      <c r="Y433" s="59">
        <v>3</v>
      </c>
      <c r="Z433" s="59">
        <f t="shared" si="123"/>
        <v>0</v>
      </c>
      <c r="AA433" s="59">
        <f>IF('Updated Dummy'!Y433=2,1,0)</f>
        <v>0</v>
      </c>
      <c r="AB433" s="59">
        <f t="shared" si="124"/>
        <v>1</v>
      </c>
      <c r="AC433" s="59">
        <f t="shared" si="125"/>
        <v>0</v>
      </c>
      <c r="AD433" s="59">
        <f t="shared" si="126"/>
        <v>0</v>
      </c>
      <c r="AE433" s="59">
        <f t="shared" si="127"/>
        <v>0</v>
      </c>
      <c r="AF433" s="59">
        <f t="shared" si="128"/>
        <v>0</v>
      </c>
      <c r="AG433" s="59">
        <f t="shared" si="129"/>
        <v>0</v>
      </c>
      <c r="AH433" s="59">
        <v>3</v>
      </c>
      <c r="AI433" s="59">
        <v>1</v>
      </c>
      <c r="AJ433" s="59">
        <f t="shared" si="130"/>
        <v>1</v>
      </c>
      <c r="AK433" s="59">
        <f t="shared" si="131"/>
        <v>0</v>
      </c>
      <c r="AL433" s="59">
        <v>3780</v>
      </c>
      <c r="AM433" s="59">
        <v>23428</v>
      </c>
      <c r="AN433" s="59">
        <v>7</v>
      </c>
      <c r="AO433" s="59">
        <v>0</v>
      </c>
      <c r="AP433" s="59">
        <v>11</v>
      </c>
      <c r="AQ433" s="59">
        <v>3</v>
      </c>
      <c r="AR433" s="59">
        <v>3</v>
      </c>
      <c r="AS433" s="59">
        <v>80</v>
      </c>
      <c r="AT433" s="59">
        <v>0</v>
      </c>
      <c r="AU433" s="59">
        <v>19</v>
      </c>
      <c r="AV433" s="59">
        <v>3</v>
      </c>
      <c r="AW433" s="59">
        <v>3</v>
      </c>
      <c r="AX433" s="59">
        <v>1</v>
      </c>
      <c r="AY433" s="59">
        <v>0</v>
      </c>
      <c r="AZ433" s="59">
        <v>0</v>
      </c>
      <c r="BA433" s="59">
        <v>0</v>
      </c>
      <c r="BB433" s="57">
        <f t="shared" si="132"/>
        <v>7560</v>
      </c>
    </row>
    <row r="434" spans="1:54" x14ac:dyDescent="0.25">
      <c r="A434" s="58">
        <v>34</v>
      </c>
      <c r="B434" s="59">
        <v>0</v>
      </c>
      <c r="C434" s="59">
        <v>1</v>
      </c>
      <c r="D434" s="59">
        <f t="shared" si="114"/>
        <v>1</v>
      </c>
      <c r="E434" s="59">
        <f t="shared" si="115"/>
        <v>0</v>
      </c>
      <c r="F434" s="59">
        <v>1303</v>
      </c>
      <c r="G434" s="59">
        <v>2</v>
      </c>
      <c r="H434" s="59">
        <f t="shared" si="116"/>
        <v>0</v>
      </c>
      <c r="I434" s="59">
        <f t="shared" si="117"/>
        <v>1</v>
      </c>
      <c r="J434" s="59">
        <v>2</v>
      </c>
      <c r="K434" s="59">
        <v>4</v>
      </c>
      <c r="L434" s="59">
        <v>1</v>
      </c>
      <c r="M434" s="59">
        <f t="shared" si="118"/>
        <v>1</v>
      </c>
      <c r="N434" s="59">
        <f t="shared" si="119"/>
        <v>0</v>
      </c>
      <c r="O434" s="59">
        <f t="shared" si="120"/>
        <v>0</v>
      </c>
      <c r="P434" s="59">
        <f t="shared" si="121"/>
        <v>0</v>
      </c>
      <c r="Q434" s="59">
        <f t="shared" si="122"/>
        <v>0</v>
      </c>
      <c r="R434" s="59">
        <v>1</v>
      </c>
      <c r="S434" s="59">
        <v>579</v>
      </c>
      <c r="T434" s="59">
        <v>4</v>
      </c>
      <c r="U434" s="59">
        <v>1</v>
      </c>
      <c r="V434" s="59">
        <v>62</v>
      </c>
      <c r="W434" s="59">
        <v>2</v>
      </c>
      <c r="X434" s="59">
        <v>1</v>
      </c>
      <c r="Y434" s="59">
        <v>2</v>
      </c>
      <c r="Z434" s="59">
        <f t="shared" si="123"/>
        <v>0</v>
      </c>
      <c r="AA434" s="59">
        <f>IF('Updated Dummy'!Y434=2,1,0)</f>
        <v>1</v>
      </c>
      <c r="AB434" s="59">
        <f t="shared" si="124"/>
        <v>0</v>
      </c>
      <c r="AC434" s="59">
        <f t="shared" si="125"/>
        <v>0</v>
      </c>
      <c r="AD434" s="59">
        <f t="shared" si="126"/>
        <v>0</v>
      </c>
      <c r="AE434" s="59">
        <f t="shared" si="127"/>
        <v>0</v>
      </c>
      <c r="AF434" s="59">
        <f t="shared" si="128"/>
        <v>0</v>
      </c>
      <c r="AG434" s="59">
        <f t="shared" si="129"/>
        <v>0</v>
      </c>
      <c r="AH434" s="59">
        <v>3</v>
      </c>
      <c r="AI434" s="59">
        <v>3</v>
      </c>
      <c r="AJ434" s="59">
        <f t="shared" si="130"/>
        <v>0</v>
      </c>
      <c r="AK434" s="59">
        <f t="shared" si="131"/>
        <v>0</v>
      </c>
      <c r="AL434" s="59">
        <v>2768</v>
      </c>
      <c r="AM434" s="59">
        <v>8416</v>
      </c>
      <c r="AN434" s="59">
        <v>3</v>
      </c>
      <c r="AO434" s="59">
        <v>0</v>
      </c>
      <c r="AP434" s="59">
        <v>12</v>
      </c>
      <c r="AQ434" s="59">
        <v>3</v>
      </c>
      <c r="AR434" s="59">
        <v>3</v>
      </c>
      <c r="AS434" s="59">
        <v>80</v>
      </c>
      <c r="AT434" s="59">
        <v>1</v>
      </c>
      <c r="AU434" s="59">
        <v>14</v>
      </c>
      <c r="AV434" s="59">
        <v>3</v>
      </c>
      <c r="AW434" s="59">
        <v>3</v>
      </c>
      <c r="AX434" s="59">
        <v>7</v>
      </c>
      <c r="AY434" s="59">
        <v>3</v>
      </c>
      <c r="AZ434" s="59">
        <v>5</v>
      </c>
      <c r="BA434" s="59">
        <v>7</v>
      </c>
      <c r="BB434" s="57">
        <f t="shared" si="132"/>
        <v>2768</v>
      </c>
    </row>
    <row r="435" spans="1:54" x14ac:dyDescent="0.25">
      <c r="A435" s="58">
        <v>46</v>
      </c>
      <c r="B435" s="59">
        <v>0</v>
      </c>
      <c r="C435" s="59">
        <v>1</v>
      </c>
      <c r="D435" s="59">
        <f t="shared" si="114"/>
        <v>1</v>
      </c>
      <c r="E435" s="59">
        <f t="shared" si="115"/>
        <v>0</v>
      </c>
      <c r="F435" s="59">
        <v>1125</v>
      </c>
      <c r="G435" s="59">
        <v>1</v>
      </c>
      <c r="H435" s="59">
        <f t="shared" si="116"/>
        <v>1</v>
      </c>
      <c r="I435" s="59">
        <f t="shared" si="117"/>
        <v>0</v>
      </c>
      <c r="J435" s="59">
        <v>10</v>
      </c>
      <c r="K435" s="59">
        <v>3</v>
      </c>
      <c r="L435" s="59">
        <v>4</v>
      </c>
      <c r="M435" s="59">
        <f t="shared" si="118"/>
        <v>0</v>
      </c>
      <c r="N435" s="59">
        <f t="shared" si="119"/>
        <v>0</v>
      </c>
      <c r="O435" s="59">
        <f t="shared" si="120"/>
        <v>0</v>
      </c>
      <c r="P435" s="59">
        <f t="shared" si="121"/>
        <v>1</v>
      </c>
      <c r="Q435" s="59">
        <f t="shared" si="122"/>
        <v>0</v>
      </c>
      <c r="R435" s="59">
        <v>1</v>
      </c>
      <c r="S435" s="59">
        <v>580</v>
      </c>
      <c r="T435" s="59">
        <v>3</v>
      </c>
      <c r="U435" s="59">
        <v>0</v>
      </c>
      <c r="V435" s="59">
        <v>94</v>
      </c>
      <c r="W435" s="59">
        <v>2</v>
      </c>
      <c r="X435" s="59">
        <v>3</v>
      </c>
      <c r="Y435" s="59">
        <v>1</v>
      </c>
      <c r="Z435" s="59">
        <f t="shared" si="123"/>
        <v>1</v>
      </c>
      <c r="AA435" s="59">
        <f>IF('Updated Dummy'!Y435=2,1,0)</f>
        <v>0</v>
      </c>
      <c r="AB435" s="59">
        <f t="shared" si="124"/>
        <v>0</v>
      </c>
      <c r="AC435" s="59">
        <f t="shared" si="125"/>
        <v>0</v>
      </c>
      <c r="AD435" s="59">
        <f t="shared" si="126"/>
        <v>0</v>
      </c>
      <c r="AE435" s="59">
        <f t="shared" si="127"/>
        <v>0</v>
      </c>
      <c r="AF435" s="59">
        <f t="shared" si="128"/>
        <v>0</v>
      </c>
      <c r="AG435" s="59">
        <f t="shared" si="129"/>
        <v>0</v>
      </c>
      <c r="AH435" s="59">
        <v>4</v>
      </c>
      <c r="AI435" s="59">
        <v>2</v>
      </c>
      <c r="AJ435" s="59">
        <f t="shared" si="130"/>
        <v>0</v>
      </c>
      <c r="AK435" s="59">
        <f t="shared" si="131"/>
        <v>1</v>
      </c>
      <c r="AL435" s="59">
        <v>9071</v>
      </c>
      <c r="AM435" s="59">
        <v>11563</v>
      </c>
      <c r="AN435" s="59">
        <v>2</v>
      </c>
      <c r="AO435" s="59">
        <v>1</v>
      </c>
      <c r="AP435" s="59">
        <v>19</v>
      </c>
      <c r="AQ435" s="59">
        <v>3</v>
      </c>
      <c r="AR435" s="59">
        <v>3</v>
      </c>
      <c r="AS435" s="59">
        <v>80</v>
      </c>
      <c r="AT435" s="59">
        <v>1</v>
      </c>
      <c r="AU435" s="59">
        <v>15</v>
      </c>
      <c r="AV435" s="59">
        <v>3</v>
      </c>
      <c r="AW435" s="59">
        <v>3</v>
      </c>
      <c r="AX435" s="59">
        <v>3</v>
      </c>
      <c r="AY435" s="59">
        <v>2</v>
      </c>
      <c r="AZ435" s="59">
        <v>1</v>
      </c>
      <c r="BA435" s="59">
        <v>2</v>
      </c>
      <c r="BB435" s="57">
        <f t="shared" si="132"/>
        <v>27213</v>
      </c>
    </row>
    <row r="436" spans="1:54" x14ac:dyDescent="0.25">
      <c r="A436" s="58">
        <v>31</v>
      </c>
      <c r="B436" s="59">
        <v>0</v>
      </c>
      <c r="C436" s="59">
        <v>1</v>
      </c>
      <c r="D436" s="59">
        <f t="shared" si="114"/>
        <v>1</v>
      </c>
      <c r="E436" s="59">
        <f t="shared" si="115"/>
        <v>0</v>
      </c>
      <c r="F436" s="59">
        <v>1274</v>
      </c>
      <c r="G436" s="59">
        <v>2</v>
      </c>
      <c r="H436" s="59">
        <f t="shared" si="116"/>
        <v>0</v>
      </c>
      <c r="I436" s="59">
        <f t="shared" si="117"/>
        <v>1</v>
      </c>
      <c r="J436" s="59">
        <v>9</v>
      </c>
      <c r="K436" s="59">
        <v>1</v>
      </c>
      <c r="L436" s="59">
        <v>1</v>
      </c>
      <c r="M436" s="59">
        <f t="shared" si="118"/>
        <v>1</v>
      </c>
      <c r="N436" s="59">
        <f t="shared" si="119"/>
        <v>0</v>
      </c>
      <c r="O436" s="59">
        <f t="shared" si="120"/>
        <v>0</v>
      </c>
      <c r="P436" s="59">
        <f t="shared" si="121"/>
        <v>0</v>
      </c>
      <c r="Q436" s="59">
        <f t="shared" si="122"/>
        <v>0</v>
      </c>
      <c r="R436" s="59">
        <v>1</v>
      </c>
      <c r="S436" s="59">
        <v>581</v>
      </c>
      <c r="T436" s="59">
        <v>3</v>
      </c>
      <c r="U436" s="59">
        <v>1</v>
      </c>
      <c r="V436" s="59">
        <v>33</v>
      </c>
      <c r="W436" s="59">
        <v>3</v>
      </c>
      <c r="X436" s="59">
        <v>3</v>
      </c>
      <c r="Y436" s="59">
        <v>4</v>
      </c>
      <c r="Z436" s="59">
        <f t="shared" si="123"/>
        <v>0</v>
      </c>
      <c r="AA436" s="59">
        <f>IF('Updated Dummy'!Y436=2,1,0)</f>
        <v>0</v>
      </c>
      <c r="AB436" s="59">
        <f t="shared" si="124"/>
        <v>0</v>
      </c>
      <c r="AC436" s="59">
        <f t="shared" si="125"/>
        <v>1</v>
      </c>
      <c r="AD436" s="59">
        <f t="shared" si="126"/>
        <v>0</v>
      </c>
      <c r="AE436" s="59">
        <f t="shared" si="127"/>
        <v>0</v>
      </c>
      <c r="AF436" s="59">
        <f t="shared" si="128"/>
        <v>0</v>
      </c>
      <c r="AG436" s="59">
        <f t="shared" si="129"/>
        <v>0</v>
      </c>
      <c r="AH436" s="59">
        <v>2</v>
      </c>
      <c r="AI436" s="59">
        <v>3</v>
      </c>
      <c r="AJ436" s="59">
        <f t="shared" si="130"/>
        <v>0</v>
      </c>
      <c r="AK436" s="59">
        <f t="shared" si="131"/>
        <v>0</v>
      </c>
      <c r="AL436" s="59">
        <v>10648</v>
      </c>
      <c r="AM436" s="59">
        <v>14394</v>
      </c>
      <c r="AN436" s="59">
        <v>1</v>
      </c>
      <c r="AO436" s="59">
        <v>0</v>
      </c>
      <c r="AP436" s="59">
        <v>25</v>
      </c>
      <c r="AQ436" s="59">
        <v>4</v>
      </c>
      <c r="AR436" s="59">
        <v>4</v>
      </c>
      <c r="AS436" s="59">
        <v>80</v>
      </c>
      <c r="AT436" s="59">
        <v>1</v>
      </c>
      <c r="AU436" s="59">
        <v>13</v>
      </c>
      <c r="AV436" s="59">
        <v>6</v>
      </c>
      <c r="AW436" s="59">
        <v>4</v>
      </c>
      <c r="AX436" s="59">
        <v>13</v>
      </c>
      <c r="AY436" s="59">
        <v>8</v>
      </c>
      <c r="AZ436" s="59">
        <v>0</v>
      </c>
      <c r="BA436" s="59">
        <v>8</v>
      </c>
      <c r="BB436" s="57">
        <f t="shared" si="132"/>
        <v>31944</v>
      </c>
    </row>
    <row r="437" spans="1:54" x14ac:dyDescent="0.25">
      <c r="A437" s="58">
        <v>33</v>
      </c>
      <c r="B437" s="59">
        <v>1</v>
      </c>
      <c r="C437" s="59">
        <v>1</v>
      </c>
      <c r="D437" s="59">
        <f t="shared" si="114"/>
        <v>1</v>
      </c>
      <c r="E437" s="59">
        <f t="shared" si="115"/>
        <v>0</v>
      </c>
      <c r="F437" s="59">
        <v>1277</v>
      </c>
      <c r="G437" s="59">
        <v>2</v>
      </c>
      <c r="H437" s="59">
        <f t="shared" si="116"/>
        <v>0</v>
      </c>
      <c r="I437" s="59">
        <f t="shared" si="117"/>
        <v>1</v>
      </c>
      <c r="J437" s="59">
        <v>15</v>
      </c>
      <c r="K437" s="59">
        <v>1</v>
      </c>
      <c r="L437" s="59">
        <v>3</v>
      </c>
      <c r="M437" s="59">
        <f t="shared" si="118"/>
        <v>0</v>
      </c>
      <c r="N437" s="59">
        <f t="shared" si="119"/>
        <v>0</v>
      </c>
      <c r="O437" s="59">
        <f t="shared" si="120"/>
        <v>1</v>
      </c>
      <c r="P437" s="59">
        <f t="shared" si="121"/>
        <v>0</v>
      </c>
      <c r="Q437" s="59">
        <f t="shared" si="122"/>
        <v>0</v>
      </c>
      <c r="R437" s="59">
        <v>1</v>
      </c>
      <c r="S437" s="59">
        <v>582</v>
      </c>
      <c r="T437" s="59">
        <v>2</v>
      </c>
      <c r="U437" s="59">
        <v>1</v>
      </c>
      <c r="V437" s="59">
        <v>56</v>
      </c>
      <c r="W437" s="59">
        <v>3</v>
      </c>
      <c r="X437" s="59">
        <v>3</v>
      </c>
      <c r="Y437" s="59">
        <v>6</v>
      </c>
      <c r="Z437" s="59">
        <f t="shared" si="123"/>
        <v>0</v>
      </c>
      <c r="AA437" s="59">
        <f>IF('Updated Dummy'!Y437=2,1,0)</f>
        <v>0</v>
      </c>
      <c r="AB437" s="59">
        <f t="shared" si="124"/>
        <v>0</v>
      </c>
      <c r="AC437" s="59">
        <f t="shared" si="125"/>
        <v>0</v>
      </c>
      <c r="AD437" s="59">
        <f t="shared" si="126"/>
        <v>0</v>
      </c>
      <c r="AE437" s="59">
        <f t="shared" si="127"/>
        <v>1</v>
      </c>
      <c r="AF437" s="59">
        <f t="shared" si="128"/>
        <v>0</v>
      </c>
      <c r="AG437" s="59">
        <f t="shared" si="129"/>
        <v>0</v>
      </c>
      <c r="AH437" s="59">
        <v>3</v>
      </c>
      <c r="AI437" s="59">
        <v>2</v>
      </c>
      <c r="AJ437" s="59">
        <f t="shared" si="130"/>
        <v>0</v>
      </c>
      <c r="AK437" s="59">
        <f t="shared" si="131"/>
        <v>1</v>
      </c>
      <c r="AL437" s="59">
        <v>13610</v>
      </c>
      <c r="AM437" s="59">
        <v>24619</v>
      </c>
      <c r="AN437" s="59">
        <v>7</v>
      </c>
      <c r="AO437" s="59">
        <v>1</v>
      </c>
      <c r="AP437" s="59">
        <v>12</v>
      </c>
      <c r="AQ437" s="59">
        <v>3</v>
      </c>
      <c r="AR437" s="59">
        <v>4</v>
      </c>
      <c r="AS437" s="59">
        <v>80</v>
      </c>
      <c r="AT437" s="59">
        <v>0</v>
      </c>
      <c r="AU437" s="59">
        <v>15</v>
      </c>
      <c r="AV437" s="59">
        <v>2</v>
      </c>
      <c r="AW437" s="59">
        <v>4</v>
      </c>
      <c r="AX437" s="59">
        <v>7</v>
      </c>
      <c r="AY437" s="59">
        <v>6</v>
      </c>
      <c r="AZ437" s="59">
        <v>7</v>
      </c>
      <c r="BA437" s="59">
        <v>7</v>
      </c>
      <c r="BB437" s="57">
        <f t="shared" si="132"/>
        <v>40830</v>
      </c>
    </row>
    <row r="438" spans="1:54" x14ac:dyDescent="0.25">
      <c r="A438" s="58">
        <v>33</v>
      </c>
      <c r="B438" s="59">
        <v>1</v>
      </c>
      <c r="C438" s="59">
        <v>1</v>
      </c>
      <c r="D438" s="59">
        <f t="shared" si="114"/>
        <v>1</v>
      </c>
      <c r="E438" s="59">
        <f t="shared" si="115"/>
        <v>0</v>
      </c>
      <c r="F438" s="59">
        <v>587</v>
      </c>
      <c r="G438" s="59">
        <v>2</v>
      </c>
      <c r="H438" s="59">
        <f t="shared" si="116"/>
        <v>0</v>
      </c>
      <c r="I438" s="59">
        <f t="shared" si="117"/>
        <v>1</v>
      </c>
      <c r="J438" s="59">
        <v>10</v>
      </c>
      <c r="K438" s="59">
        <v>1</v>
      </c>
      <c r="L438" s="59">
        <v>3</v>
      </c>
      <c r="M438" s="59">
        <f t="shared" si="118"/>
        <v>0</v>
      </c>
      <c r="N438" s="59">
        <f t="shared" si="119"/>
        <v>0</v>
      </c>
      <c r="O438" s="59">
        <f t="shared" si="120"/>
        <v>1</v>
      </c>
      <c r="P438" s="59">
        <f t="shared" si="121"/>
        <v>0</v>
      </c>
      <c r="Q438" s="59">
        <f t="shared" si="122"/>
        <v>0</v>
      </c>
      <c r="R438" s="59">
        <v>1</v>
      </c>
      <c r="S438" s="59">
        <v>584</v>
      </c>
      <c r="T438" s="59">
        <v>1</v>
      </c>
      <c r="U438" s="59">
        <v>1</v>
      </c>
      <c r="V438" s="59">
        <v>38</v>
      </c>
      <c r="W438" s="59">
        <v>1</v>
      </c>
      <c r="X438" s="59">
        <v>1</v>
      </c>
      <c r="Y438" s="59">
        <v>3</v>
      </c>
      <c r="Z438" s="59">
        <f t="shared" si="123"/>
        <v>0</v>
      </c>
      <c r="AA438" s="59">
        <f>IF('Updated Dummy'!Y438=2,1,0)</f>
        <v>0</v>
      </c>
      <c r="AB438" s="59">
        <f t="shared" si="124"/>
        <v>1</v>
      </c>
      <c r="AC438" s="59">
        <f t="shared" si="125"/>
        <v>0</v>
      </c>
      <c r="AD438" s="59">
        <f t="shared" si="126"/>
        <v>0</v>
      </c>
      <c r="AE438" s="59">
        <f t="shared" si="127"/>
        <v>0</v>
      </c>
      <c r="AF438" s="59">
        <f t="shared" si="128"/>
        <v>0</v>
      </c>
      <c r="AG438" s="59">
        <f t="shared" si="129"/>
        <v>0</v>
      </c>
      <c r="AH438" s="59">
        <v>4</v>
      </c>
      <c r="AI438" s="59">
        <v>3</v>
      </c>
      <c r="AJ438" s="59">
        <f t="shared" si="130"/>
        <v>0</v>
      </c>
      <c r="AK438" s="59">
        <f t="shared" si="131"/>
        <v>0</v>
      </c>
      <c r="AL438" s="59">
        <v>3408</v>
      </c>
      <c r="AM438" s="59">
        <v>6705</v>
      </c>
      <c r="AN438" s="59">
        <v>7</v>
      </c>
      <c r="AO438" s="59">
        <v>0</v>
      </c>
      <c r="AP438" s="59">
        <v>13</v>
      </c>
      <c r="AQ438" s="59">
        <v>3</v>
      </c>
      <c r="AR438" s="59">
        <v>1</v>
      </c>
      <c r="AS438" s="59">
        <v>80</v>
      </c>
      <c r="AT438" s="59">
        <v>3</v>
      </c>
      <c r="AU438" s="59">
        <v>8</v>
      </c>
      <c r="AV438" s="59">
        <v>2</v>
      </c>
      <c r="AW438" s="59">
        <v>3</v>
      </c>
      <c r="AX438" s="59">
        <v>4</v>
      </c>
      <c r="AY438" s="59">
        <v>3</v>
      </c>
      <c r="AZ438" s="59">
        <v>1</v>
      </c>
      <c r="BA438" s="59">
        <v>3</v>
      </c>
      <c r="BB438" s="57">
        <f t="shared" si="132"/>
        <v>3408</v>
      </c>
    </row>
    <row r="439" spans="1:54" x14ac:dyDescent="0.25">
      <c r="A439" s="58">
        <v>30</v>
      </c>
      <c r="B439" s="59">
        <v>0</v>
      </c>
      <c r="C439" s="59">
        <v>1</v>
      </c>
      <c r="D439" s="59">
        <f t="shared" si="114"/>
        <v>1</v>
      </c>
      <c r="E439" s="59">
        <f t="shared" si="115"/>
        <v>0</v>
      </c>
      <c r="F439" s="59">
        <v>413</v>
      </c>
      <c r="G439" s="59">
        <v>1</v>
      </c>
      <c r="H439" s="59">
        <f t="shared" si="116"/>
        <v>1</v>
      </c>
      <c r="I439" s="59">
        <f t="shared" si="117"/>
        <v>0</v>
      </c>
      <c r="J439" s="59">
        <v>7</v>
      </c>
      <c r="K439" s="59">
        <v>1</v>
      </c>
      <c r="L439" s="59">
        <v>4</v>
      </c>
      <c r="M439" s="59">
        <f t="shared" si="118"/>
        <v>0</v>
      </c>
      <c r="N439" s="59">
        <f t="shared" si="119"/>
        <v>0</v>
      </c>
      <c r="O439" s="59">
        <f t="shared" si="120"/>
        <v>0</v>
      </c>
      <c r="P439" s="59">
        <f t="shared" si="121"/>
        <v>1</v>
      </c>
      <c r="Q439" s="59">
        <f t="shared" si="122"/>
        <v>0</v>
      </c>
      <c r="R439" s="59">
        <v>1</v>
      </c>
      <c r="S439" s="59">
        <v>585</v>
      </c>
      <c r="T439" s="59">
        <v>4</v>
      </c>
      <c r="U439" s="59">
        <v>1</v>
      </c>
      <c r="V439" s="59">
        <v>57</v>
      </c>
      <c r="W439" s="59">
        <v>3</v>
      </c>
      <c r="X439" s="59">
        <v>1</v>
      </c>
      <c r="Y439" s="59">
        <v>7</v>
      </c>
      <c r="Z439" s="59">
        <f t="shared" si="123"/>
        <v>0</v>
      </c>
      <c r="AA439" s="59">
        <f>IF('Updated Dummy'!Y439=2,1,0)</f>
        <v>0</v>
      </c>
      <c r="AB439" s="59">
        <f t="shared" si="124"/>
        <v>0</v>
      </c>
      <c r="AC439" s="59">
        <f t="shared" si="125"/>
        <v>0</v>
      </c>
      <c r="AD439" s="59">
        <f t="shared" si="126"/>
        <v>0</v>
      </c>
      <c r="AE439" s="59">
        <f t="shared" si="127"/>
        <v>0</v>
      </c>
      <c r="AF439" s="59">
        <f t="shared" si="128"/>
        <v>1</v>
      </c>
      <c r="AG439" s="59">
        <f t="shared" si="129"/>
        <v>0</v>
      </c>
      <c r="AH439" s="59">
        <v>2</v>
      </c>
      <c r="AI439" s="59">
        <v>1</v>
      </c>
      <c r="AJ439" s="59">
        <f t="shared" si="130"/>
        <v>1</v>
      </c>
      <c r="AK439" s="59">
        <f t="shared" si="131"/>
        <v>0</v>
      </c>
      <c r="AL439" s="59">
        <v>2983</v>
      </c>
      <c r="AM439" s="59">
        <v>18398</v>
      </c>
      <c r="AN439" s="59">
        <v>0</v>
      </c>
      <c r="AO439" s="59">
        <v>0</v>
      </c>
      <c r="AP439" s="59">
        <v>14</v>
      </c>
      <c r="AQ439" s="59">
        <v>3</v>
      </c>
      <c r="AR439" s="59">
        <v>1</v>
      </c>
      <c r="AS439" s="59">
        <v>80</v>
      </c>
      <c r="AT439" s="59">
        <v>0</v>
      </c>
      <c r="AU439" s="59">
        <v>4</v>
      </c>
      <c r="AV439" s="59">
        <v>3</v>
      </c>
      <c r="AW439" s="59">
        <v>3</v>
      </c>
      <c r="AX439" s="59">
        <v>3</v>
      </c>
      <c r="AY439" s="59">
        <v>2</v>
      </c>
      <c r="AZ439" s="59">
        <v>1</v>
      </c>
      <c r="BA439" s="59">
        <v>2</v>
      </c>
      <c r="BB439" s="57">
        <f t="shared" si="132"/>
        <v>2983</v>
      </c>
    </row>
    <row r="440" spans="1:54" x14ac:dyDescent="0.25">
      <c r="A440" s="58">
        <v>35</v>
      </c>
      <c r="B440" s="59">
        <v>0</v>
      </c>
      <c r="C440" s="59">
        <v>1</v>
      </c>
      <c r="D440" s="59">
        <f t="shared" si="114"/>
        <v>1</v>
      </c>
      <c r="E440" s="59">
        <f t="shared" si="115"/>
        <v>0</v>
      </c>
      <c r="F440" s="59">
        <v>1276</v>
      </c>
      <c r="G440" s="59">
        <v>2</v>
      </c>
      <c r="H440" s="59">
        <f t="shared" si="116"/>
        <v>0</v>
      </c>
      <c r="I440" s="59">
        <f t="shared" si="117"/>
        <v>1</v>
      </c>
      <c r="J440" s="59">
        <v>16</v>
      </c>
      <c r="K440" s="59">
        <v>3</v>
      </c>
      <c r="L440" s="59">
        <v>1</v>
      </c>
      <c r="M440" s="59">
        <f t="shared" si="118"/>
        <v>1</v>
      </c>
      <c r="N440" s="59">
        <f t="shared" si="119"/>
        <v>0</v>
      </c>
      <c r="O440" s="59">
        <f t="shared" si="120"/>
        <v>0</v>
      </c>
      <c r="P440" s="59">
        <f t="shared" si="121"/>
        <v>0</v>
      </c>
      <c r="Q440" s="59">
        <f t="shared" si="122"/>
        <v>0</v>
      </c>
      <c r="R440" s="59">
        <v>1</v>
      </c>
      <c r="S440" s="59">
        <v>586</v>
      </c>
      <c r="T440" s="59">
        <v>4</v>
      </c>
      <c r="U440" s="59">
        <v>1</v>
      </c>
      <c r="V440" s="59">
        <v>72</v>
      </c>
      <c r="W440" s="59">
        <v>3</v>
      </c>
      <c r="X440" s="59">
        <v>3</v>
      </c>
      <c r="Y440" s="59">
        <v>5</v>
      </c>
      <c r="Z440" s="59">
        <f t="shared" si="123"/>
        <v>0</v>
      </c>
      <c r="AA440" s="59">
        <f>IF('Updated Dummy'!Y440=2,1,0)</f>
        <v>0</v>
      </c>
      <c r="AB440" s="59">
        <f t="shared" si="124"/>
        <v>0</v>
      </c>
      <c r="AC440" s="59">
        <f t="shared" si="125"/>
        <v>0</v>
      </c>
      <c r="AD440" s="59">
        <f t="shared" si="126"/>
        <v>1</v>
      </c>
      <c r="AE440" s="59">
        <f t="shared" si="127"/>
        <v>0</v>
      </c>
      <c r="AF440" s="59">
        <f t="shared" si="128"/>
        <v>0</v>
      </c>
      <c r="AG440" s="59">
        <f t="shared" si="129"/>
        <v>0</v>
      </c>
      <c r="AH440" s="59">
        <v>3</v>
      </c>
      <c r="AI440" s="59">
        <v>2</v>
      </c>
      <c r="AJ440" s="59">
        <f t="shared" si="130"/>
        <v>0</v>
      </c>
      <c r="AK440" s="59">
        <f t="shared" si="131"/>
        <v>1</v>
      </c>
      <c r="AL440" s="59">
        <v>7632</v>
      </c>
      <c r="AM440" s="59">
        <v>14295</v>
      </c>
      <c r="AN440" s="59">
        <v>4</v>
      </c>
      <c r="AO440" s="59">
        <v>1</v>
      </c>
      <c r="AP440" s="59">
        <v>12</v>
      </c>
      <c r="AQ440" s="59">
        <v>3</v>
      </c>
      <c r="AR440" s="59">
        <v>3</v>
      </c>
      <c r="AS440" s="59">
        <v>80</v>
      </c>
      <c r="AT440" s="59">
        <v>0</v>
      </c>
      <c r="AU440" s="59">
        <v>10</v>
      </c>
      <c r="AV440" s="59">
        <v>2</v>
      </c>
      <c r="AW440" s="59">
        <v>3</v>
      </c>
      <c r="AX440" s="59">
        <v>8</v>
      </c>
      <c r="AY440" s="59">
        <v>7</v>
      </c>
      <c r="AZ440" s="59">
        <v>0</v>
      </c>
      <c r="BA440" s="59">
        <v>0</v>
      </c>
      <c r="BB440" s="57">
        <f t="shared" si="132"/>
        <v>22896</v>
      </c>
    </row>
    <row r="441" spans="1:54" x14ac:dyDescent="0.25">
      <c r="A441" s="58">
        <v>31</v>
      </c>
      <c r="B441" s="59">
        <v>1</v>
      </c>
      <c r="C441" s="59">
        <v>2</v>
      </c>
      <c r="D441" s="59">
        <f t="shared" si="114"/>
        <v>0</v>
      </c>
      <c r="E441" s="59">
        <f t="shared" si="115"/>
        <v>1</v>
      </c>
      <c r="F441" s="59">
        <v>534</v>
      </c>
      <c r="G441" s="59">
        <v>2</v>
      </c>
      <c r="H441" s="59">
        <f t="shared" si="116"/>
        <v>0</v>
      </c>
      <c r="I441" s="59">
        <f t="shared" si="117"/>
        <v>1</v>
      </c>
      <c r="J441" s="59">
        <v>20</v>
      </c>
      <c r="K441" s="59">
        <v>3</v>
      </c>
      <c r="L441" s="59">
        <v>1</v>
      </c>
      <c r="M441" s="59">
        <f t="shared" si="118"/>
        <v>1</v>
      </c>
      <c r="N441" s="59">
        <f t="shared" si="119"/>
        <v>0</v>
      </c>
      <c r="O441" s="59">
        <f t="shared" si="120"/>
        <v>0</v>
      </c>
      <c r="P441" s="59">
        <f t="shared" si="121"/>
        <v>0</v>
      </c>
      <c r="Q441" s="59">
        <f t="shared" si="122"/>
        <v>0</v>
      </c>
      <c r="R441" s="59">
        <v>1</v>
      </c>
      <c r="S441" s="59">
        <v>587</v>
      </c>
      <c r="T441" s="59">
        <v>1</v>
      </c>
      <c r="U441" s="59">
        <v>1</v>
      </c>
      <c r="V441" s="59">
        <v>66</v>
      </c>
      <c r="W441" s="59">
        <v>3</v>
      </c>
      <c r="X441" s="59">
        <v>3</v>
      </c>
      <c r="Y441" s="59">
        <v>5</v>
      </c>
      <c r="Z441" s="59">
        <f t="shared" si="123"/>
        <v>0</v>
      </c>
      <c r="AA441" s="59">
        <f>IF('Updated Dummy'!Y441=2,1,0)</f>
        <v>0</v>
      </c>
      <c r="AB441" s="59">
        <f t="shared" si="124"/>
        <v>0</v>
      </c>
      <c r="AC441" s="59">
        <f t="shared" si="125"/>
        <v>0</v>
      </c>
      <c r="AD441" s="59">
        <f t="shared" si="126"/>
        <v>1</v>
      </c>
      <c r="AE441" s="59">
        <f t="shared" si="127"/>
        <v>0</v>
      </c>
      <c r="AF441" s="59">
        <f t="shared" si="128"/>
        <v>0</v>
      </c>
      <c r="AG441" s="59">
        <f t="shared" si="129"/>
        <v>0</v>
      </c>
      <c r="AH441" s="59">
        <v>3</v>
      </c>
      <c r="AI441" s="59">
        <v>2</v>
      </c>
      <c r="AJ441" s="59">
        <f t="shared" si="130"/>
        <v>0</v>
      </c>
      <c r="AK441" s="59">
        <f t="shared" si="131"/>
        <v>1</v>
      </c>
      <c r="AL441" s="59">
        <v>9824</v>
      </c>
      <c r="AM441" s="59">
        <v>22908</v>
      </c>
      <c r="AN441" s="59">
        <v>3</v>
      </c>
      <c r="AO441" s="59">
        <v>0</v>
      </c>
      <c r="AP441" s="59">
        <v>12</v>
      </c>
      <c r="AQ441" s="59">
        <v>3</v>
      </c>
      <c r="AR441" s="59">
        <v>1</v>
      </c>
      <c r="AS441" s="59">
        <v>80</v>
      </c>
      <c r="AT441" s="59">
        <v>0</v>
      </c>
      <c r="AU441" s="59">
        <v>12</v>
      </c>
      <c r="AV441" s="59">
        <v>2</v>
      </c>
      <c r="AW441" s="59">
        <v>3</v>
      </c>
      <c r="AX441" s="59">
        <v>1</v>
      </c>
      <c r="AY441" s="59">
        <v>0</v>
      </c>
      <c r="AZ441" s="59">
        <v>0</v>
      </c>
      <c r="BA441" s="59">
        <v>0</v>
      </c>
      <c r="BB441" s="57">
        <f t="shared" si="132"/>
        <v>29472</v>
      </c>
    </row>
    <row r="442" spans="1:54" x14ac:dyDescent="0.25">
      <c r="A442" s="58">
        <v>34</v>
      </c>
      <c r="B442" s="59">
        <v>1</v>
      </c>
      <c r="C442" s="59">
        <v>2</v>
      </c>
      <c r="D442" s="59">
        <f t="shared" si="114"/>
        <v>0</v>
      </c>
      <c r="E442" s="59">
        <f t="shared" si="115"/>
        <v>1</v>
      </c>
      <c r="F442" s="59">
        <v>988</v>
      </c>
      <c r="G442" s="59">
        <v>3</v>
      </c>
      <c r="H442" s="59">
        <f t="shared" si="116"/>
        <v>0</v>
      </c>
      <c r="I442" s="59">
        <f t="shared" si="117"/>
        <v>0</v>
      </c>
      <c r="J442" s="59">
        <v>23</v>
      </c>
      <c r="K442" s="59">
        <v>3</v>
      </c>
      <c r="L442" s="59">
        <v>2</v>
      </c>
      <c r="M442" s="59">
        <f t="shared" si="118"/>
        <v>0</v>
      </c>
      <c r="N442" s="59">
        <f t="shared" si="119"/>
        <v>1</v>
      </c>
      <c r="O442" s="59">
        <f t="shared" si="120"/>
        <v>0</v>
      </c>
      <c r="P442" s="59">
        <f t="shared" si="121"/>
        <v>0</v>
      </c>
      <c r="Q442" s="59">
        <f t="shared" si="122"/>
        <v>0</v>
      </c>
      <c r="R442" s="59">
        <v>1</v>
      </c>
      <c r="S442" s="59">
        <v>590</v>
      </c>
      <c r="T442" s="59">
        <v>2</v>
      </c>
      <c r="U442" s="59">
        <v>0</v>
      </c>
      <c r="V442" s="59">
        <v>43</v>
      </c>
      <c r="W442" s="59">
        <v>3</v>
      </c>
      <c r="X442" s="59">
        <v>3</v>
      </c>
      <c r="Y442" s="59">
        <v>9</v>
      </c>
      <c r="Z442" s="59">
        <f t="shared" si="123"/>
        <v>0</v>
      </c>
      <c r="AA442" s="59">
        <f>IF('Updated Dummy'!Y442=2,1,0)</f>
        <v>0</v>
      </c>
      <c r="AB442" s="59">
        <f t="shared" si="124"/>
        <v>0</v>
      </c>
      <c r="AC442" s="59">
        <f t="shared" si="125"/>
        <v>0</v>
      </c>
      <c r="AD442" s="59">
        <f t="shared" si="126"/>
        <v>0</v>
      </c>
      <c r="AE442" s="59">
        <f t="shared" si="127"/>
        <v>0</v>
      </c>
      <c r="AF442" s="59">
        <f t="shared" si="128"/>
        <v>0</v>
      </c>
      <c r="AG442" s="59">
        <f t="shared" si="129"/>
        <v>0</v>
      </c>
      <c r="AH442" s="59">
        <v>1</v>
      </c>
      <c r="AI442" s="59">
        <v>3</v>
      </c>
      <c r="AJ442" s="59">
        <f t="shared" si="130"/>
        <v>0</v>
      </c>
      <c r="AK442" s="59">
        <f t="shared" si="131"/>
        <v>0</v>
      </c>
      <c r="AL442" s="59">
        <v>9950</v>
      </c>
      <c r="AM442" s="59">
        <v>11533</v>
      </c>
      <c r="AN442" s="59">
        <v>9</v>
      </c>
      <c r="AO442" s="59">
        <v>1</v>
      </c>
      <c r="AP442" s="59">
        <v>15</v>
      </c>
      <c r="AQ442" s="59">
        <v>3</v>
      </c>
      <c r="AR442" s="59">
        <v>3</v>
      </c>
      <c r="AS442" s="59">
        <v>80</v>
      </c>
      <c r="AT442" s="59">
        <v>3</v>
      </c>
      <c r="AU442" s="59">
        <v>11</v>
      </c>
      <c r="AV442" s="59">
        <v>2</v>
      </c>
      <c r="AW442" s="59">
        <v>3</v>
      </c>
      <c r="AX442" s="59">
        <v>3</v>
      </c>
      <c r="AY442" s="59">
        <v>2</v>
      </c>
      <c r="AZ442" s="59">
        <v>0</v>
      </c>
      <c r="BA442" s="59">
        <v>2</v>
      </c>
      <c r="BB442" s="57">
        <f t="shared" si="132"/>
        <v>29850</v>
      </c>
    </row>
    <row r="443" spans="1:54" x14ac:dyDescent="0.25">
      <c r="A443" s="58">
        <v>42</v>
      </c>
      <c r="B443" s="59">
        <v>0</v>
      </c>
      <c r="C443" s="59">
        <v>2</v>
      </c>
      <c r="D443" s="59">
        <f t="shared" si="114"/>
        <v>0</v>
      </c>
      <c r="E443" s="59">
        <f t="shared" si="115"/>
        <v>1</v>
      </c>
      <c r="F443" s="59">
        <v>1474</v>
      </c>
      <c r="G443" s="59">
        <v>2</v>
      </c>
      <c r="H443" s="59">
        <f t="shared" si="116"/>
        <v>0</v>
      </c>
      <c r="I443" s="59">
        <f t="shared" si="117"/>
        <v>1</v>
      </c>
      <c r="J443" s="59">
        <v>5</v>
      </c>
      <c r="K443" s="59">
        <v>2</v>
      </c>
      <c r="L443" s="59">
        <v>6</v>
      </c>
      <c r="M443" s="59">
        <f t="shared" si="118"/>
        <v>0</v>
      </c>
      <c r="N443" s="59">
        <f t="shared" si="119"/>
        <v>0</v>
      </c>
      <c r="O443" s="59">
        <f t="shared" si="120"/>
        <v>0</v>
      </c>
      <c r="P443" s="59">
        <f t="shared" si="121"/>
        <v>0</v>
      </c>
      <c r="Q443" s="59">
        <f t="shared" si="122"/>
        <v>0</v>
      </c>
      <c r="R443" s="59">
        <v>1</v>
      </c>
      <c r="S443" s="59">
        <v>591</v>
      </c>
      <c r="T443" s="59">
        <v>2</v>
      </c>
      <c r="U443" s="59">
        <v>1</v>
      </c>
      <c r="V443" s="59">
        <v>97</v>
      </c>
      <c r="W443" s="59">
        <v>3</v>
      </c>
      <c r="X443" s="59">
        <v>1</v>
      </c>
      <c r="Y443" s="59">
        <v>3</v>
      </c>
      <c r="Z443" s="59">
        <f t="shared" si="123"/>
        <v>0</v>
      </c>
      <c r="AA443" s="59">
        <f>IF('Updated Dummy'!Y443=2,1,0)</f>
        <v>0</v>
      </c>
      <c r="AB443" s="59">
        <f t="shared" si="124"/>
        <v>1</v>
      </c>
      <c r="AC443" s="59">
        <f t="shared" si="125"/>
        <v>0</v>
      </c>
      <c r="AD443" s="59">
        <f t="shared" si="126"/>
        <v>0</v>
      </c>
      <c r="AE443" s="59">
        <f t="shared" si="127"/>
        <v>0</v>
      </c>
      <c r="AF443" s="59">
        <f t="shared" si="128"/>
        <v>0</v>
      </c>
      <c r="AG443" s="59">
        <f t="shared" si="129"/>
        <v>0</v>
      </c>
      <c r="AH443" s="59">
        <v>3</v>
      </c>
      <c r="AI443" s="59">
        <v>2</v>
      </c>
      <c r="AJ443" s="59">
        <f t="shared" si="130"/>
        <v>0</v>
      </c>
      <c r="AK443" s="59">
        <f t="shared" si="131"/>
        <v>1</v>
      </c>
      <c r="AL443" s="59">
        <v>2093</v>
      </c>
      <c r="AM443" s="59">
        <v>9260</v>
      </c>
      <c r="AN443" s="59">
        <v>4</v>
      </c>
      <c r="AO443" s="59">
        <v>0</v>
      </c>
      <c r="AP443" s="59">
        <v>17</v>
      </c>
      <c r="AQ443" s="59">
        <v>3</v>
      </c>
      <c r="AR443" s="59">
        <v>4</v>
      </c>
      <c r="AS443" s="59">
        <v>80</v>
      </c>
      <c r="AT443" s="59">
        <v>1</v>
      </c>
      <c r="AU443" s="59">
        <v>8</v>
      </c>
      <c r="AV443" s="59">
        <v>4</v>
      </c>
      <c r="AW443" s="59">
        <v>3</v>
      </c>
      <c r="AX443" s="59">
        <v>2</v>
      </c>
      <c r="AY443" s="59">
        <v>2</v>
      </c>
      <c r="AZ443" s="59">
        <v>2</v>
      </c>
      <c r="BA443" s="59">
        <v>0</v>
      </c>
      <c r="BB443" s="57">
        <f t="shared" si="132"/>
        <v>2093</v>
      </c>
    </row>
    <row r="444" spans="1:54" x14ac:dyDescent="0.25">
      <c r="A444" s="58">
        <v>36</v>
      </c>
      <c r="B444" s="59">
        <v>0</v>
      </c>
      <c r="C444" s="59">
        <v>3</v>
      </c>
      <c r="D444" s="59">
        <f t="shared" si="114"/>
        <v>0</v>
      </c>
      <c r="E444" s="59">
        <f t="shared" si="115"/>
        <v>0</v>
      </c>
      <c r="F444" s="59">
        <v>635</v>
      </c>
      <c r="G444" s="59">
        <v>1</v>
      </c>
      <c r="H444" s="59">
        <f t="shared" si="116"/>
        <v>1</v>
      </c>
      <c r="I444" s="59">
        <f t="shared" si="117"/>
        <v>0</v>
      </c>
      <c r="J444" s="59">
        <v>10</v>
      </c>
      <c r="K444" s="59">
        <v>4</v>
      </c>
      <c r="L444" s="59">
        <v>3</v>
      </c>
      <c r="M444" s="59">
        <f t="shared" si="118"/>
        <v>0</v>
      </c>
      <c r="N444" s="59">
        <f t="shared" si="119"/>
        <v>0</v>
      </c>
      <c r="O444" s="59">
        <f t="shared" si="120"/>
        <v>1</v>
      </c>
      <c r="P444" s="59">
        <f t="shared" si="121"/>
        <v>0</v>
      </c>
      <c r="Q444" s="59">
        <f t="shared" si="122"/>
        <v>0</v>
      </c>
      <c r="R444" s="59">
        <v>1</v>
      </c>
      <c r="S444" s="59">
        <v>592</v>
      </c>
      <c r="T444" s="59">
        <v>2</v>
      </c>
      <c r="U444" s="59">
        <v>1</v>
      </c>
      <c r="V444" s="59">
        <v>32</v>
      </c>
      <c r="W444" s="59">
        <v>3</v>
      </c>
      <c r="X444" s="59">
        <v>3</v>
      </c>
      <c r="Y444" s="59">
        <v>1</v>
      </c>
      <c r="Z444" s="59">
        <f t="shared" si="123"/>
        <v>1</v>
      </c>
      <c r="AA444" s="59">
        <f>IF('Updated Dummy'!Y444=2,1,0)</f>
        <v>0</v>
      </c>
      <c r="AB444" s="59">
        <f t="shared" si="124"/>
        <v>0</v>
      </c>
      <c r="AC444" s="59">
        <f t="shared" si="125"/>
        <v>0</v>
      </c>
      <c r="AD444" s="59">
        <f t="shared" si="126"/>
        <v>0</v>
      </c>
      <c r="AE444" s="59">
        <f t="shared" si="127"/>
        <v>0</v>
      </c>
      <c r="AF444" s="59">
        <f t="shared" si="128"/>
        <v>0</v>
      </c>
      <c r="AG444" s="59">
        <f t="shared" si="129"/>
        <v>0</v>
      </c>
      <c r="AH444" s="59">
        <v>4</v>
      </c>
      <c r="AI444" s="59">
        <v>1</v>
      </c>
      <c r="AJ444" s="59">
        <f t="shared" si="130"/>
        <v>1</v>
      </c>
      <c r="AK444" s="59">
        <f t="shared" si="131"/>
        <v>0</v>
      </c>
      <c r="AL444" s="59">
        <v>9980</v>
      </c>
      <c r="AM444" s="59">
        <v>15318</v>
      </c>
      <c r="AN444" s="59">
        <v>1</v>
      </c>
      <c r="AO444" s="59">
        <v>0</v>
      </c>
      <c r="AP444" s="59">
        <v>14</v>
      </c>
      <c r="AQ444" s="59">
        <v>3</v>
      </c>
      <c r="AR444" s="59">
        <v>4</v>
      </c>
      <c r="AS444" s="59">
        <v>80</v>
      </c>
      <c r="AT444" s="59">
        <v>0</v>
      </c>
      <c r="AU444" s="59">
        <v>10</v>
      </c>
      <c r="AV444" s="59">
        <v>3</v>
      </c>
      <c r="AW444" s="59">
        <v>2</v>
      </c>
      <c r="AX444" s="59">
        <v>10</v>
      </c>
      <c r="AY444" s="59">
        <v>3</v>
      </c>
      <c r="AZ444" s="59">
        <v>9</v>
      </c>
      <c r="BA444" s="59">
        <v>7</v>
      </c>
      <c r="BB444" s="57">
        <f t="shared" si="132"/>
        <v>29940</v>
      </c>
    </row>
    <row r="445" spans="1:54" x14ac:dyDescent="0.25">
      <c r="A445" s="58">
        <v>22</v>
      </c>
      <c r="B445" s="59">
        <v>1</v>
      </c>
      <c r="C445" s="59">
        <v>2</v>
      </c>
      <c r="D445" s="59">
        <f t="shared" si="114"/>
        <v>0</v>
      </c>
      <c r="E445" s="59">
        <f t="shared" si="115"/>
        <v>1</v>
      </c>
      <c r="F445" s="59">
        <v>1368</v>
      </c>
      <c r="G445" s="59">
        <v>2</v>
      </c>
      <c r="H445" s="59">
        <f t="shared" si="116"/>
        <v>0</v>
      </c>
      <c r="I445" s="59">
        <f t="shared" si="117"/>
        <v>1</v>
      </c>
      <c r="J445" s="59">
        <v>4</v>
      </c>
      <c r="K445" s="59">
        <v>1</v>
      </c>
      <c r="L445" s="59">
        <v>5</v>
      </c>
      <c r="M445" s="59">
        <f t="shared" si="118"/>
        <v>0</v>
      </c>
      <c r="N445" s="59">
        <f t="shared" si="119"/>
        <v>0</v>
      </c>
      <c r="O445" s="59">
        <f t="shared" si="120"/>
        <v>0</v>
      </c>
      <c r="P445" s="59">
        <f t="shared" si="121"/>
        <v>0</v>
      </c>
      <c r="Q445" s="59">
        <f t="shared" si="122"/>
        <v>1</v>
      </c>
      <c r="R445" s="59">
        <v>1</v>
      </c>
      <c r="S445" s="59">
        <v>593</v>
      </c>
      <c r="T445" s="59">
        <v>3</v>
      </c>
      <c r="U445" s="59">
        <v>1</v>
      </c>
      <c r="V445" s="59">
        <v>99</v>
      </c>
      <c r="W445" s="59">
        <v>2</v>
      </c>
      <c r="X445" s="59">
        <v>1</v>
      </c>
      <c r="Y445" s="59">
        <v>3</v>
      </c>
      <c r="Z445" s="59">
        <f t="shared" si="123"/>
        <v>0</v>
      </c>
      <c r="AA445" s="59">
        <f>IF('Updated Dummy'!Y445=2,1,0)</f>
        <v>0</v>
      </c>
      <c r="AB445" s="59">
        <f t="shared" si="124"/>
        <v>1</v>
      </c>
      <c r="AC445" s="59">
        <f t="shared" si="125"/>
        <v>0</v>
      </c>
      <c r="AD445" s="59">
        <f t="shared" si="126"/>
        <v>0</v>
      </c>
      <c r="AE445" s="59">
        <f t="shared" si="127"/>
        <v>0</v>
      </c>
      <c r="AF445" s="59">
        <f t="shared" si="128"/>
        <v>0</v>
      </c>
      <c r="AG445" s="59">
        <f t="shared" si="129"/>
        <v>0</v>
      </c>
      <c r="AH445" s="59">
        <v>3</v>
      </c>
      <c r="AI445" s="59">
        <v>1</v>
      </c>
      <c r="AJ445" s="59">
        <f t="shared" si="130"/>
        <v>1</v>
      </c>
      <c r="AK445" s="59">
        <f t="shared" si="131"/>
        <v>0</v>
      </c>
      <c r="AL445" s="59">
        <v>3894</v>
      </c>
      <c r="AM445" s="59">
        <v>9129</v>
      </c>
      <c r="AN445" s="59">
        <v>5</v>
      </c>
      <c r="AO445" s="59">
        <v>0</v>
      </c>
      <c r="AP445" s="59">
        <v>16</v>
      </c>
      <c r="AQ445" s="59">
        <v>3</v>
      </c>
      <c r="AR445" s="59">
        <v>3</v>
      </c>
      <c r="AS445" s="59">
        <v>80</v>
      </c>
      <c r="AT445" s="59">
        <v>0</v>
      </c>
      <c r="AU445" s="59">
        <v>4</v>
      </c>
      <c r="AV445" s="59">
        <v>3</v>
      </c>
      <c r="AW445" s="59">
        <v>3</v>
      </c>
      <c r="AX445" s="59">
        <v>2</v>
      </c>
      <c r="AY445" s="59">
        <v>2</v>
      </c>
      <c r="AZ445" s="59">
        <v>1</v>
      </c>
      <c r="BA445" s="59">
        <v>2</v>
      </c>
      <c r="BB445" s="57">
        <f t="shared" si="132"/>
        <v>3894</v>
      </c>
    </row>
    <row r="446" spans="1:54" x14ac:dyDescent="0.25">
      <c r="A446" s="58">
        <v>48</v>
      </c>
      <c r="B446" s="59">
        <v>0</v>
      </c>
      <c r="C446" s="59">
        <v>1</v>
      </c>
      <c r="D446" s="59">
        <f t="shared" si="114"/>
        <v>1</v>
      </c>
      <c r="E446" s="59">
        <f t="shared" si="115"/>
        <v>0</v>
      </c>
      <c r="F446" s="59">
        <v>163</v>
      </c>
      <c r="G446" s="59">
        <v>1</v>
      </c>
      <c r="H446" s="59">
        <f t="shared" si="116"/>
        <v>1</v>
      </c>
      <c r="I446" s="59">
        <f t="shared" si="117"/>
        <v>0</v>
      </c>
      <c r="J446" s="59">
        <v>2</v>
      </c>
      <c r="K446" s="59">
        <v>5</v>
      </c>
      <c r="L446" s="59">
        <v>4</v>
      </c>
      <c r="M446" s="59">
        <f t="shared" si="118"/>
        <v>0</v>
      </c>
      <c r="N446" s="59">
        <f t="shared" si="119"/>
        <v>0</v>
      </c>
      <c r="O446" s="59">
        <f t="shared" si="120"/>
        <v>0</v>
      </c>
      <c r="P446" s="59">
        <f t="shared" si="121"/>
        <v>1</v>
      </c>
      <c r="Q446" s="59">
        <f t="shared" si="122"/>
        <v>0</v>
      </c>
      <c r="R446" s="59">
        <v>1</v>
      </c>
      <c r="S446" s="59">
        <v>595</v>
      </c>
      <c r="T446" s="59">
        <v>2</v>
      </c>
      <c r="U446" s="59">
        <v>0</v>
      </c>
      <c r="V446" s="59">
        <v>37</v>
      </c>
      <c r="W446" s="59">
        <v>3</v>
      </c>
      <c r="X446" s="59">
        <v>2</v>
      </c>
      <c r="Y446" s="59">
        <v>1</v>
      </c>
      <c r="Z446" s="59">
        <f t="shared" si="123"/>
        <v>1</v>
      </c>
      <c r="AA446" s="59">
        <f>IF('Updated Dummy'!Y446=2,1,0)</f>
        <v>0</v>
      </c>
      <c r="AB446" s="59">
        <f t="shared" si="124"/>
        <v>0</v>
      </c>
      <c r="AC446" s="59">
        <f t="shared" si="125"/>
        <v>0</v>
      </c>
      <c r="AD446" s="59">
        <f t="shared" si="126"/>
        <v>0</v>
      </c>
      <c r="AE446" s="59">
        <f t="shared" si="127"/>
        <v>0</v>
      </c>
      <c r="AF446" s="59">
        <f t="shared" si="128"/>
        <v>0</v>
      </c>
      <c r="AG446" s="59">
        <f t="shared" si="129"/>
        <v>0</v>
      </c>
      <c r="AH446" s="59">
        <v>4</v>
      </c>
      <c r="AI446" s="59">
        <v>2</v>
      </c>
      <c r="AJ446" s="59">
        <f t="shared" si="130"/>
        <v>0</v>
      </c>
      <c r="AK446" s="59">
        <f t="shared" si="131"/>
        <v>1</v>
      </c>
      <c r="AL446" s="59">
        <v>4051</v>
      </c>
      <c r="AM446" s="59">
        <v>19658</v>
      </c>
      <c r="AN446" s="59">
        <v>2</v>
      </c>
      <c r="AO446" s="59">
        <v>0</v>
      </c>
      <c r="AP446" s="59">
        <v>14</v>
      </c>
      <c r="AQ446" s="59">
        <v>3</v>
      </c>
      <c r="AR446" s="59">
        <v>1</v>
      </c>
      <c r="AS446" s="59">
        <v>80</v>
      </c>
      <c r="AT446" s="59">
        <v>1</v>
      </c>
      <c r="AU446" s="59">
        <v>14</v>
      </c>
      <c r="AV446" s="59">
        <v>2</v>
      </c>
      <c r="AW446" s="59">
        <v>3</v>
      </c>
      <c r="AX446" s="59">
        <v>9</v>
      </c>
      <c r="AY446" s="59">
        <v>7</v>
      </c>
      <c r="AZ446" s="59">
        <v>6</v>
      </c>
      <c r="BA446" s="59">
        <v>7</v>
      </c>
      <c r="BB446" s="57">
        <f t="shared" si="132"/>
        <v>8102</v>
      </c>
    </row>
    <row r="447" spans="1:54" x14ac:dyDescent="0.25">
      <c r="A447" s="58">
        <v>55</v>
      </c>
      <c r="B447" s="59">
        <v>0</v>
      </c>
      <c r="C447" s="59">
        <v>1</v>
      </c>
      <c r="D447" s="59">
        <f t="shared" si="114"/>
        <v>1</v>
      </c>
      <c r="E447" s="59">
        <f t="shared" si="115"/>
        <v>0</v>
      </c>
      <c r="F447" s="59">
        <v>1117</v>
      </c>
      <c r="G447" s="59">
        <v>1</v>
      </c>
      <c r="H447" s="59">
        <f t="shared" si="116"/>
        <v>1</v>
      </c>
      <c r="I447" s="59">
        <f t="shared" si="117"/>
        <v>0</v>
      </c>
      <c r="J447" s="59">
        <v>18</v>
      </c>
      <c r="K447" s="59">
        <v>5</v>
      </c>
      <c r="L447" s="59">
        <v>1</v>
      </c>
      <c r="M447" s="59">
        <f t="shared" si="118"/>
        <v>1</v>
      </c>
      <c r="N447" s="59">
        <f t="shared" si="119"/>
        <v>0</v>
      </c>
      <c r="O447" s="59">
        <f t="shared" si="120"/>
        <v>0</v>
      </c>
      <c r="P447" s="59">
        <f t="shared" si="121"/>
        <v>0</v>
      </c>
      <c r="Q447" s="59">
        <f t="shared" si="122"/>
        <v>0</v>
      </c>
      <c r="R447" s="59">
        <v>1</v>
      </c>
      <c r="S447" s="59">
        <v>597</v>
      </c>
      <c r="T447" s="59">
        <v>1</v>
      </c>
      <c r="U447" s="59">
        <v>0</v>
      </c>
      <c r="V447" s="59">
        <v>83</v>
      </c>
      <c r="W447" s="59">
        <v>3</v>
      </c>
      <c r="X447" s="59">
        <v>4</v>
      </c>
      <c r="Y447" s="59">
        <v>6</v>
      </c>
      <c r="Z447" s="59">
        <f t="shared" si="123"/>
        <v>0</v>
      </c>
      <c r="AA447" s="59">
        <f>IF('Updated Dummy'!Y447=2,1,0)</f>
        <v>0</v>
      </c>
      <c r="AB447" s="59">
        <f t="shared" si="124"/>
        <v>0</v>
      </c>
      <c r="AC447" s="59">
        <f t="shared" si="125"/>
        <v>0</v>
      </c>
      <c r="AD447" s="59">
        <f t="shared" si="126"/>
        <v>0</v>
      </c>
      <c r="AE447" s="59">
        <f t="shared" si="127"/>
        <v>1</v>
      </c>
      <c r="AF447" s="59">
        <f t="shared" si="128"/>
        <v>0</v>
      </c>
      <c r="AG447" s="59">
        <f t="shared" si="129"/>
        <v>0</v>
      </c>
      <c r="AH447" s="59">
        <v>2</v>
      </c>
      <c r="AI447" s="59">
        <v>1</v>
      </c>
      <c r="AJ447" s="59">
        <f t="shared" si="130"/>
        <v>1</v>
      </c>
      <c r="AK447" s="59">
        <f t="shared" si="131"/>
        <v>0</v>
      </c>
      <c r="AL447" s="59">
        <v>16835</v>
      </c>
      <c r="AM447" s="59">
        <v>9873</v>
      </c>
      <c r="AN447" s="59">
        <v>3</v>
      </c>
      <c r="AO447" s="59">
        <v>0</v>
      </c>
      <c r="AP447" s="59">
        <v>23</v>
      </c>
      <c r="AQ447" s="59">
        <v>4</v>
      </c>
      <c r="AR447" s="59">
        <v>4</v>
      </c>
      <c r="AS447" s="59">
        <v>80</v>
      </c>
      <c r="AT447" s="59">
        <v>0</v>
      </c>
      <c r="AU447" s="59">
        <v>37</v>
      </c>
      <c r="AV447" s="59">
        <v>2</v>
      </c>
      <c r="AW447" s="59">
        <v>3</v>
      </c>
      <c r="AX447" s="59">
        <v>10</v>
      </c>
      <c r="AY447" s="59">
        <v>9</v>
      </c>
      <c r="AZ447" s="59">
        <v>7</v>
      </c>
      <c r="BA447" s="59">
        <v>7</v>
      </c>
      <c r="BB447" s="57">
        <f t="shared" si="132"/>
        <v>67340</v>
      </c>
    </row>
    <row r="448" spans="1:54" x14ac:dyDescent="0.25">
      <c r="A448" s="58">
        <v>41</v>
      </c>
      <c r="B448" s="59">
        <v>0</v>
      </c>
      <c r="C448" s="59">
        <v>3</v>
      </c>
      <c r="D448" s="59">
        <f t="shared" si="114"/>
        <v>0</v>
      </c>
      <c r="E448" s="59">
        <f t="shared" si="115"/>
        <v>0</v>
      </c>
      <c r="F448" s="59">
        <v>267</v>
      </c>
      <c r="G448" s="59">
        <v>1</v>
      </c>
      <c r="H448" s="59">
        <f t="shared" si="116"/>
        <v>1</v>
      </c>
      <c r="I448" s="59">
        <f t="shared" si="117"/>
        <v>0</v>
      </c>
      <c r="J448" s="59">
        <v>10</v>
      </c>
      <c r="K448" s="59">
        <v>2</v>
      </c>
      <c r="L448" s="59">
        <v>1</v>
      </c>
      <c r="M448" s="59">
        <f t="shared" si="118"/>
        <v>1</v>
      </c>
      <c r="N448" s="59">
        <f t="shared" si="119"/>
        <v>0</v>
      </c>
      <c r="O448" s="59">
        <f t="shared" si="120"/>
        <v>0</v>
      </c>
      <c r="P448" s="59">
        <f t="shared" si="121"/>
        <v>0</v>
      </c>
      <c r="Q448" s="59">
        <f t="shared" si="122"/>
        <v>0</v>
      </c>
      <c r="R448" s="59">
        <v>1</v>
      </c>
      <c r="S448" s="59">
        <v>599</v>
      </c>
      <c r="T448" s="59">
        <v>4</v>
      </c>
      <c r="U448" s="59">
        <v>1</v>
      </c>
      <c r="V448" s="59">
        <v>56</v>
      </c>
      <c r="W448" s="59">
        <v>3</v>
      </c>
      <c r="X448" s="59">
        <v>2</v>
      </c>
      <c r="Y448" s="59">
        <v>1</v>
      </c>
      <c r="Z448" s="59">
        <f t="shared" si="123"/>
        <v>1</v>
      </c>
      <c r="AA448" s="59">
        <f>IF('Updated Dummy'!Y448=2,1,0)</f>
        <v>0</v>
      </c>
      <c r="AB448" s="59">
        <f t="shared" si="124"/>
        <v>0</v>
      </c>
      <c r="AC448" s="59">
        <f t="shared" si="125"/>
        <v>0</v>
      </c>
      <c r="AD448" s="59">
        <f t="shared" si="126"/>
        <v>0</v>
      </c>
      <c r="AE448" s="59">
        <f t="shared" si="127"/>
        <v>0</v>
      </c>
      <c r="AF448" s="59">
        <f t="shared" si="128"/>
        <v>0</v>
      </c>
      <c r="AG448" s="59">
        <f t="shared" si="129"/>
        <v>0</v>
      </c>
      <c r="AH448" s="59">
        <v>4</v>
      </c>
      <c r="AI448" s="59">
        <v>1</v>
      </c>
      <c r="AJ448" s="59">
        <f t="shared" si="130"/>
        <v>1</v>
      </c>
      <c r="AK448" s="59">
        <f t="shared" si="131"/>
        <v>0</v>
      </c>
      <c r="AL448" s="59">
        <v>6230</v>
      </c>
      <c r="AM448" s="59">
        <v>13430</v>
      </c>
      <c r="AN448" s="59">
        <v>7</v>
      </c>
      <c r="AO448" s="59">
        <v>0</v>
      </c>
      <c r="AP448" s="59">
        <v>14</v>
      </c>
      <c r="AQ448" s="59">
        <v>3</v>
      </c>
      <c r="AR448" s="59">
        <v>4</v>
      </c>
      <c r="AS448" s="59">
        <v>80</v>
      </c>
      <c r="AT448" s="59">
        <v>0</v>
      </c>
      <c r="AU448" s="59">
        <v>16</v>
      </c>
      <c r="AV448" s="59">
        <v>3</v>
      </c>
      <c r="AW448" s="59">
        <v>3</v>
      </c>
      <c r="AX448" s="59">
        <v>14</v>
      </c>
      <c r="AY448" s="59">
        <v>3</v>
      </c>
      <c r="AZ448" s="59">
        <v>1</v>
      </c>
      <c r="BA448" s="59">
        <v>10</v>
      </c>
      <c r="BB448" s="57">
        <f t="shared" si="132"/>
        <v>12460</v>
      </c>
    </row>
    <row r="449" spans="1:54" x14ac:dyDescent="0.25">
      <c r="A449" s="58">
        <v>35</v>
      </c>
      <c r="B449" s="59">
        <v>0</v>
      </c>
      <c r="C449" s="59">
        <v>1</v>
      </c>
      <c r="D449" s="59">
        <f t="shared" si="114"/>
        <v>1</v>
      </c>
      <c r="E449" s="59">
        <f t="shared" si="115"/>
        <v>0</v>
      </c>
      <c r="F449" s="59">
        <v>619</v>
      </c>
      <c r="G449" s="59">
        <v>1</v>
      </c>
      <c r="H449" s="59">
        <f t="shared" si="116"/>
        <v>1</v>
      </c>
      <c r="I449" s="59">
        <f t="shared" si="117"/>
        <v>0</v>
      </c>
      <c r="J449" s="59">
        <v>1</v>
      </c>
      <c r="K449" s="59">
        <v>3</v>
      </c>
      <c r="L449" s="59">
        <v>4</v>
      </c>
      <c r="M449" s="59">
        <f t="shared" si="118"/>
        <v>0</v>
      </c>
      <c r="N449" s="59">
        <f t="shared" si="119"/>
        <v>0</v>
      </c>
      <c r="O449" s="59">
        <f t="shared" si="120"/>
        <v>0</v>
      </c>
      <c r="P449" s="59">
        <f t="shared" si="121"/>
        <v>1</v>
      </c>
      <c r="Q449" s="59">
        <f t="shared" si="122"/>
        <v>0</v>
      </c>
      <c r="R449" s="59">
        <v>1</v>
      </c>
      <c r="S449" s="59">
        <v>600</v>
      </c>
      <c r="T449" s="59">
        <v>2</v>
      </c>
      <c r="U449" s="59">
        <v>1</v>
      </c>
      <c r="V449" s="59">
        <v>85</v>
      </c>
      <c r="W449" s="59">
        <v>3</v>
      </c>
      <c r="X449" s="59">
        <v>2</v>
      </c>
      <c r="Y449" s="59">
        <v>1</v>
      </c>
      <c r="Z449" s="59">
        <f t="shared" si="123"/>
        <v>1</v>
      </c>
      <c r="AA449" s="59">
        <f>IF('Updated Dummy'!Y449=2,1,0)</f>
        <v>0</v>
      </c>
      <c r="AB449" s="59">
        <f t="shared" si="124"/>
        <v>0</v>
      </c>
      <c r="AC449" s="59">
        <f t="shared" si="125"/>
        <v>0</v>
      </c>
      <c r="AD449" s="59">
        <f t="shared" si="126"/>
        <v>0</v>
      </c>
      <c r="AE449" s="59">
        <f t="shared" si="127"/>
        <v>0</v>
      </c>
      <c r="AF449" s="59">
        <f t="shared" si="128"/>
        <v>0</v>
      </c>
      <c r="AG449" s="59">
        <f t="shared" si="129"/>
        <v>0</v>
      </c>
      <c r="AH449" s="59">
        <v>3</v>
      </c>
      <c r="AI449" s="59">
        <v>2</v>
      </c>
      <c r="AJ449" s="59">
        <f t="shared" si="130"/>
        <v>0</v>
      </c>
      <c r="AK449" s="59">
        <f t="shared" si="131"/>
        <v>1</v>
      </c>
      <c r="AL449" s="59">
        <v>4717</v>
      </c>
      <c r="AM449" s="59">
        <v>18659</v>
      </c>
      <c r="AN449" s="59">
        <v>9</v>
      </c>
      <c r="AO449" s="59">
        <v>0</v>
      </c>
      <c r="AP449" s="59">
        <v>11</v>
      </c>
      <c r="AQ449" s="59">
        <v>3</v>
      </c>
      <c r="AR449" s="59">
        <v>3</v>
      </c>
      <c r="AS449" s="59">
        <v>80</v>
      </c>
      <c r="AT449" s="59">
        <v>0</v>
      </c>
      <c r="AU449" s="59">
        <v>15</v>
      </c>
      <c r="AV449" s="59">
        <v>2</v>
      </c>
      <c r="AW449" s="59">
        <v>3</v>
      </c>
      <c r="AX449" s="59">
        <v>11</v>
      </c>
      <c r="AY449" s="59">
        <v>9</v>
      </c>
      <c r="AZ449" s="59">
        <v>6</v>
      </c>
      <c r="BA449" s="59">
        <v>9</v>
      </c>
      <c r="BB449" s="57">
        <f t="shared" si="132"/>
        <v>9434</v>
      </c>
    </row>
    <row r="450" spans="1:54" x14ac:dyDescent="0.25">
      <c r="A450" s="58">
        <v>40</v>
      </c>
      <c r="B450" s="59">
        <v>0</v>
      </c>
      <c r="C450" s="59">
        <v>1</v>
      </c>
      <c r="D450" s="59">
        <f t="shared" si="114"/>
        <v>1</v>
      </c>
      <c r="E450" s="59">
        <f t="shared" si="115"/>
        <v>0</v>
      </c>
      <c r="F450" s="59">
        <v>302</v>
      </c>
      <c r="G450" s="59">
        <v>2</v>
      </c>
      <c r="H450" s="59">
        <f t="shared" si="116"/>
        <v>0</v>
      </c>
      <c r="I450" s="59">
        <f t="shared" si="117"/>
        <v>1</v>
      </c>
      <c r="J450" s="59">
        <v>6</v>
      </c>
      <c r="K450" s="59">
        <v>3</v>
      </c>
      <c r="L450" s="59">
        <v>1</v>
      </c>
      <c r="M450" s="59">
        <f t="shared" si="118"/>
        <v>1</v>
      </c>
      <c r="N450" s="59">
        <f t="shared" si="119"/>
        <v>0</v>
      </c>
      <c r="O450" s="59">
        <f t="shared" si="120"/>
        <v>0</v>
      </c>
      <c r="P450" s="59">
        <f t="shared" si="121"/>
        <v>0</v>
      </c>
      <c r="Q450" s="59">
        <f t="shared" si="122"/>
        <v>0</v>
      </c>
      <c r="R450" s="59">
        <v>1</v>
      </c>
      <c r="S450" s="59">
        <v>601</v>
      </c>
      <c r="T450" s="59">
        <v>2</v>
      </c>
      <c r="U450" s="59">
        <v>0</v>
      </c>
      <c r="V450" s="59">
        <v>75</v>
      </c>
      <c r="W450" s="59">
        <v>3</v>
      </c>
      <c r="X450" s="59">
        <v>4</v>
      </c>
      <c r="Y450" s="59">
        <v>4</v>
      </c>
      <c r="Z450" s="59">
        <f t="shared" si="123"/>
        <v>0</v>
      </c>
      <c r="AA450" s="59">
        <f>IF('Updated Dummy'!Y450=2,1,0)</f>
        <v>0</v>
      </c>
      <c r="AB450" s="59">
        <f t="shared" si="124"/>
        <v>0</v>
      </c>
      <c r="AC450" s="59">
        <f t="shared" si="125"/>
        <v>1</v>
      </c>
      <c r="AD450" s="59">
        <f t="shared" si="126"/>
        <v>0</v>
      </c>
      <c r="AE450" s="59">
        <f t="shared" si="127"/>
        <v>0</v>
      </c>
      <c r="AF450" s="59">
        <f t="shared" si="128"/>
        <v>0</v>
      </c>
      <c r="AG450" s="59">
        <f t="shared" si="129"/>
        <v>0</v>
      </c>
      <c r="AH450" s="59">
        <v>3</v>
      </c>
      <c r="AI450" s="59">
        <v>1</v>
      </c>
      <c r="AJ450" s="59">
        <f t="shared" si="130"/>
        <v>1</v>
      </c>
      <c r="AK450" s="59">
        <f t="shared" si="131"/>
        <v>0</v>
      </c>
      <c r="AL450" s="59">
        <v>13237</v>
      </c>
      <c r="AM450" s="59">
        <v>20364</v>
      </c>
      <c r="AN450" s="59">
        <v>7</v>
      </c>
      <c r="AO450" s="59">
        <v>0</v>
      </c>
      <c r="AP450" s="59">
        <v>15</v>
      </c>
      <c r="AQ450" s="59">
        <v>3</v>
      </c>
      <c r="AR450" s="59">
        <v>3</v>
      </c>
      <c r="AS450" s="59">
        <v>80</v>
      </c>
      <c r="AT450" s="59">
        <v>0</v>
      </c>
      <c r="AU450" s="59">
        <v>22</v>
      </c>
      <c r="AV450" s="59">
        <v>3</v>
      </c>
      <c r="AW450" s="59">
        <v>3</v>
      </c>
      <c r="AX450" s="59">
        <v>20</v>
      </c>
      <c r="AY450" s="59">
        <v>6</v>
      </c>
      <c r="AZ450" s="59">
        <v>5</v>
      </c>
      <c r="BA450" s="59">
        <v>13</v>
      </c>
      <c r="BB450" s="57">
        <f t="shared" si="132"/>
        <v>52948</v>
      </c>
    </row>
    <row r="451" spans="1:54" x14ac:dyDescent="0.25">
      <c r="A451" s="58">
        <v>39</v>
      </c>
      <c r="B451" s="59">
        <v>0</v>
      </c>
      <c r="C451" s="59">
        <v>2</v>
      </c>
      <c r="D451" s="59">
        <f t="shared" ref="D451:D514" si="133">IF(C451=1,1,0)</f>
        <v>0</v>
      </c>
      <c r="E451" s="59">
        <f t="shared" ref="E451:E514" si="134">IF(C451=2,1,0)</f>
        <v>1</v>
      </c>
      <c r="F451" s="59">
        <v>443</v>
      </c>
      <c r="G451" s="59">
        <v>2</v>
      </c>
      <c r="H451" s="59">
        <f t="shared" ref="H451:H514" si="135">IF(G451=1,1,0)</f>
        <v>0</v>
      </c>
      <c r="I451" s="59">
        <f t="shared" ref="I451:I514" si="136">IF(G451=2,1,0)</f>
        <v>1</v>
      </c>
      <c r="J451" s="59">
        <v>8</v>
      </c>
      <c r="K451" s="59">
        <v>1</v>
      </c>
      <c r="L451" s="59">
        <v>1</v>
      </c>
      <c r="M451" s="59">
        <f t="shared" ref="M451:M514" si="137">IF(L451=1,1,0)</f>
        <v>1</v>
      </c>
      <c r="N451" s="59">
        <f t="shared" ref="N451:N514" si="138">IF(L451=2,1,0)</f>
        <v>0</v>
      </c>
      <c r="O451" s="59">
        <f t="shared" ref="O451:O514" si="139">IF(L451=3,1,0)</f>
        <v>0</v>
      </c>
      <c r="P451" s="59">
        <f t="shared" ref="P451:P514" si="140">IF(L451=4,1,0)</f>
        <v>0</v>
      </c>
      <c r="Q451" s="59">
        <f t="shared" ref="Q451:Q514" si="141">IF(L451=5,1,0)</f>
        <v>0</v>
      </c>
      <c r="R451" s="59">
        <v>1</v>
      </c>
      <c r="S451" s="59">
        <v>602</v>
      </c>
      <c r="T451" s="59">
        <v>3</v>
      </c>
      <c r="U451" s="59">
        <v>0</v>
      </c>
      <c r="V451" s="59">
        <v>48</v>
      </c>
      <c r="W451" s="59">
        <v>3</v>
      </c>
      <c r="X451" s="59">
        <v>1</v>
      </c>
      <c r="Y451" s="59">
        <v>3</v>
      </c>
      <c r="Z451" s="59">
        <f t="shared" ref="Z451:Z514" si="142">IF(Y451=1,1,0)</f>
        <v>0</v>
      </c>
      <c r="AA451" s="59">
        <f>IF('Updated Dummy'!Y451=2,1,0)</f>
        <v>0</v>
      </c>
      <c r="AB451" s="59">
        <f t="shared" ref="AB451:AB514" si="143">IF(Y451=3,1,0)</f>
        <v>1</v>
      </c>
      <c r="AC451" s="59">
        <f t="shared" ref="AC451:AC514" si="144">IF(Y451=4,1,0)</f>
        <v>0</v>
      </c>
      <c r="AD451" s="59">
        <f t="shared" ref="AD451:AD514" si="145">IF(Y451=5,1,0)</f>
        <v>0</v>
      </c>
      <c r="AE451" s="59">
        <f t="shared" ref="AE451:AE514" si="146">IF(Y451=6,1,0)</f>
        <v>0</v>
      </c>
      <c r="AF451" s="59">
        <f t="shared" ref="AF451:AF514" si="147">IF(Y451=7,1,0)</f>
        <v>0</v>
      </c>
      <c r="AG451" s="59">
        <f t="shared" ref="AG451:AG514" si="148">IF(Y451=8,1,0)</f>
        <v>0</v>
      </c>
      <c r="AH451" s="59">
        <v>3</v>
      </c>
      <c r="AI451" s="59">
        <v>2</v>
      </c>
      <c r="AJ451" s="59">
        <f t="shared" ref="AJ451:AJ514" si="149">IF(AI451=1,1,0)</f>
        <v>0</v>
      </c>
      <c r="AK451" s="59">
        <f t="shared" ref="AK451:AK514" si="150">IF(AI451=2,1,0)</f>
        <v>1</v>
      </c>
      <c r="AL451" s="59">
        <v>3755</v>
      </c>
      <c r="AM451" s="59">
        <v>17872</v>
      </c>
      <c r="AN451" s="59">
        <v>1</v>
      </c>
      <c r="AO451" s="59">
        <v>0</v>
      </c>
      <c r="AP451" s="59">
        <v>11</v>
      </c>
      <c r="AQ451" s="59">
        <v>3</v>
      </c>
      <c r="AR451" s="59">
        <v>1</v>
      </c>
      <c r="AS451" s="59">
        <v>80</v>
      </c>
      <c r="AT451" s="59">
        <v>1</v>
      </c>
      <c r="AU451" s="59">
        <v>8</v>
      </c>
      <c r="AV451" s="59">
        <v>3</v>
      </c>
      <c r="AW451" s="59">
        <v>3</v>
      </c>
      <c r="AX451" s="59">
        <v>8</v>
      </c>
      <c r="AY451" s="59">
        <v>3</v>
      </c>
      <c r="AZ451" s="59">
        <v>0</v>
      </c>
      <c r="BA451" s="59">
        <v>7</v>
      </c>
      <c r="BB451" s="57">
        <f t="shared" ref="BB451:BB514" si="151">X451*AL451</f>
        <v>3755</v>
      </c>
    </row>
    <row r="452" spans="1:54" x14ac:dyDescent="0.25">
      <c r="A452" s="58">
        <v>31</v>
      </c>
      <c r="B452" s="59">
        <v>0</v>
      </c>
      <c r="C452" s="59">
        <v>1</v>
      </c>
      <c r="D452" s="59">
        <f t="shared" si="133"/>
        <v>1</v>
      </c>
      <c r="E452" s="59">
        <f t="shared" si="134"/>
        <v>0</v>
      </c>
      <c r="F452" s="59">
        <v>828</v>
      </c>
      <c r="G452" s="59">
        <v>1</v>
      </c>
      <c r="H452" s="59">
        <f t="shared" si="135"/>
        <v>1</v>
      </c>
      <c r="I452" s="59">
        <f t="shared" si="136"/>
        <v>0</v>
      </c>
      <c r="J452" s="59">
        <v>2</v>
      </c>
      <c r="K452" s="59">
        <v>1</v>
      </c>
      <c r="L452" s="59">
        <v>1</v>
      </c>
      <c r="M452" s="59">
        <f t="shared" si="137"/>
        <v>1</v>
      </c>
      <c r="N452" s="59">
        <f t="shared" si="138"/>
        <v>0</v>
      </c>
      <c r="O452" s="59">
        <f t="shared" si="139"/>
        <v>0</v>
      </c>
      <c r="P452" s="59">
        <f t="shared" si="140"/>
        <v>0</v>
      </c>
      <c r="Q452" s="59">
        <f t="shared" si="141"/>
        <v>0</v>
      </c>
      <c r="R452" s="59">
        <v>1</v>
      </c>
      <c r="S452" s="59">
        <v>604</v>
      </c>
      <c r="T452" s="59">
        <v>2</v>
      </c>
      <c r="U452" s="59">
        <v>1</v>
      </c>
      <c r="V452" s="59">
        <v>77</v>
      </c>
      <c r="W452" s="59">
        <v>3</v>
      </c>
      <c r="X452" s="59">
        <v>2</v>
      </c>
      <c r="Y452" s="59">
        <v>1</v>
      </c>
      <c r="Z452" s="59">
        <f t="shared" si="142"/>
        <v>1</v>
      </c>
      <c r="AA452" s="59">
        <f>IF('Updated Dummy'!Y452=2,1,0)</f>
        <v>0</v>
      </c>
      <c r="AB452" s="59">
        <f t="shared" si="143"/>
        <v>0</v>
      </c>
      <c r="AC452" s="59">
        <f t="shared" si="144"/>
        <v>0</v>
      </c>
      <c r="AD452" s="59">
        <f t="shared" si="145"/>
        <v>0</v>
      </c>
      <c r="AE452" s="59">
        <f t="shared" si="146"/>
        <v>0</v>
      </c>
      <c r="AF452" s="59">
        <f t="shared" si="147"/>
        <v>0</v>
      </c>
      <c r="AG452" s="59">
        <f t="shared" si="148"/>
        <v>0</v>
      </c>
      <c r="AH452" s="59">
        <v>4</v>
      </c>
      <c r="AI452" s="59">
        <v>1</v>
      </c>
      <c r="AJ452" s="59">
        <f t="shared" si="149"/>
        <v>1</v>
      </c>
      <c r="AK452" s="59">
        <f t="shared" si="150"/>
        <v>0</v>
      </c>
      <c r="AL452" s="59">
        <v>6582</v>
      </c>
      <c r="AM452" s="59">
        <v>8346</v>
      </c>
      <c r="AN452" s="59">
        <v>4</v>
      </c>
      <c r="AO452" s="59">
        <v>1</v>
      </c>
      <c r="AP452" s="59">
        <v>13</v>
      </c>
      <c r="AQ452" s="59">
        <v>3</v>
      </c>
      <c r="AR452" s="59">
        <v>3</v>
      </c>
      <c r="AS452" s="59">
        <v>80</v>
      </c>
      <c r="AT452" s="59">
        <v>0</v>
      </c>
      <c r="AU452" s="59">
        <v>10</v>
      </c>
      <c r="AV452" s="59">
        <v>2</v>
      </c>
      <c r="AW452" s="59">
        <v>4</v>
      </c>
      <c r="AX452" s="59">
        <v>6</v>
      </c>
      <c r="AY452" s="59">
        <v>5</v>
      </c>
      <c r="AZ452" s="59">
        <v>0</v>
      </c>
      <c r="BA452" s="59">
        <v>5</v>
      </c>
      <c r="BB452" s="57">
        <f t="shared" si="151"/>
        <v>13164</v>
      </c>
    </row>
    <row r="453" spans="1:54" x14ac:dyDescent="0.25">
      <c r="A453" s="58">
        <v>42</v>
      </c>
      <c r="B453" s="59">
        <v>0</v>
      </c>
      <c r="C453" s="59">
        <v>1</v>
      </c>
      <c r="D453" s="59">
        <f t="shared" si="133"/>
        <v>1</v>
      </c>
      <c r="E453" s="59">
        <f t="shared" si="134"/>
        <v>0</v>
      </c>
      <c r="F453" s="59">
        <v>319</v>
      </c>
      <c r="G453" s="59">
        <v>2</v>
      </c>
      <c r="H453" s="59">
        <f t="shared" si="135"/>
        <v>0</v>
      </c>
      <c r="I453" s="59">
        <f t="shared" si="136"/>
        <v>1</v>
      </c>
      <c r="J453" s="59">
        <v>24</v>
      </c>
      <c r="K453" s="59">
        <v>3</v>
      </c>
      <c r="L453" s="59">
        <v>3</v>
      </c>
      <c r="M453" s="59">
        <f t="shared" si="137"/>
        <v>0</v>
      </c>
      <c r="N453" s="59">
        <f t="shared" si="138"/>
        <v>0</v>
      </c>
      <c r="O453" s="59">
        <f t="shared" si="139"/>
        <v>1</v>
      </c>
      <c r="P453" s="59">
        <f t="shared" si="140"/>
        <v>0</v>
      </c>
      <c r="Q453" s="59">
        <f t="shared" si="141"/>
        <v>0</v>
      </c>
      <c r="R453" s="59">
        <v>1</v>
      </c>
      <c r="S453" s="59">
        <v>605</v>
      </c>
      <c r="T453" s="59">
        <v>4</v>
      </c>
      <c r="U453" s="59">
        <v>1</v>
      </c>
      <c r="V453" s="59">
        <v>56</v>
      </c>
      <c r="W453" s="59">
        <v>3</v>
      </c>
      <c r="X453" s="59">
        <v>3</v>
      </c>
      <c r="Y453" s="59">
        <v>4</v>
      </c>
      <c r="Z453" s="59">
        <f t="shared" si="142"/>
        <v>0</v>
      </c>
      <c r="AA453" s="59">
        <f>IF('Updated Dummy'!Y453=2,1,0)</f>
        <v>0</v>
      </c>
      <c r="AB453" s="59">
        <f t="shared" si="143"/>
        <v>0</v>
      </c>
      <c r="AC453" s="59">
        <f t="shared" si="144"/>
        <v>1</v>
      </c>
      <c r="AD453" s="59">
        <f t="shared" si="145"/>
        <v>0</v>
      </c>
      <c r="AE453" s="59">
        <f t="shared" si="146"/>
        <v>0</v>
      </c>
      <c r="AF453" s="59">
        <f t="shared" si="147"/>
        <v>0</v>
      </c>
      <c r="AG453" s="59">
        <f t="shared" si="148"/>
        <v>0</v>
      </c>
      <c r="AH453" s="59">
        <v>1</v>
      </c>
      <c r="AI453" s="59">
        <v>2</v>
      </c>
      <c r="AJ453" s="59">
        <f t="shared" si="149"/>
        <v>0</v>
      </c>
      <c r="AK453" s="59">
        <f t="shared" si="150"/>
        <v>1</v>
      </c>
      <c r="AL453" s="59">
        <v>7406</v>
      </c>
      <c r="AM453" s="59">
        <v>6950</v>
      </c>
      <c r="AN453" s="59">
        <v>1</v>
      </c>
      <c r="AO453" s="59">
        <v>1</v>
      </c>
      <c r="AP453" s="59">
        <v>21</v>
      </c>
      <c r="AQ453" s="59">
        <v>4</v>
      </c>
      <c r="AR453" s="59">
        <v>4</v>
      </c>
      <c r="AS453" s="59">
        <v>80</v>
      </c>
      <c r="AT453" s="59">
        <v>1</v>
      </c>
      <c r="AU453" s="59">
        <v>10</v>
      </c>
      <c r="AV453" s="59">
        <v>5</v>
      </c>
      <c r="AW453" s="59">
        <v>2</v>
      </c>
      <c r="AX453" s="59">
        <v>10</v>
      </c>
      <c r="AY453" s="59">
        <v>9</v>
      </c>
      <c r="AZ453" s="59">
        <v>5</v>
      </c>
      <c r="BA453" s="59">
        <v>8</v>
      </c>
      <c r="BB453" s="57">
        <f t="shared" si="151"/>
        <v>22218</v>
      </c>
    </row>
    <row r="454" spans="1:54" x14ac:dyDescent="0.25">
      <c r="A454" s="58">
        <v>45</v>
      </c>
      <c r="B454" s="59">
        <v>0</v>
      </c>
      <c r="C454" s="59">
        <v>1</v>
      </c>
      <c r="D454" s="59">
        <f t="shared" si="133"/>
        <v>1</v>
      </c>
      <c r="E454" s="59">
        <f t="shared" si="134"/>
        <v>0</v>
      </c>
      <c r="F454" s="59">
        <v>561</v>
      </c>
      <c r="G454" s="59">
        <v>1</v>
      </c>
      <c r="H454" s="59">
        <f t="shared" si="135"/>
        <v>1</v>
      </c>
      <c r="I454" s="59">
        <f t="shared" si="136"/>
        <v>0</v>
      </c>
      <c r="J454" s="59">
        <v>2</v>
      </c>
      <c r="K454" s="59">
        <v>3</v>
      </c>
      <c r="L454" s="59">
        <v>6</v>
      </c>
      <c r="M454" s="59">
        <f t="shared" si="137"/>
        <v>0</v>
      </c>
      <c r="N454" s="59">
        <f t="shared" si="138"/>
        <v>0</v>
      </c>
      <c r="O454" s="59">
        <f t="shared" si="139"/>
        <v>0</v>
      </c>
      <c r="P454" s="59">
        <f t="shared" si="140"/>
        <v>0</v>
      </c>
      <c r="Q454" s="59">
        <f t="shared" si="141"/>
        <v>0</v>
      </c>
      <c r="R454" s="59">
        <v>1</v>
      </c>
      <c r="S454" s="59">
        <v>606</v>
      </c>
      <c r="T454" s="59">
        <v>4</v>
      </c>
      <c r="U454" s="59">
        <v>1</v>
      </c>
      <c r="V454" s="59">
        <v>61</v>
      </c>
      <c r="W454" s="59">
        <v>3</v>
      </c>
      <c r="X454" s="59">
        <v>2</v>
      </c>
      <c r="Y454" s="59">
        <v>1</v>
      </c>
      <c r="Z454" s="59">
        <f t="shared" si="142"/>
        <v>1</v>
      </c>
      <c r="AA454" s="59">
        <f>IF('Updated Dummy'!Y454=2,1,0)</f>
        <v>0</v>
      </c>
      <c r="AB454" s="59">
        <f t="shared" si="143"/>
        <v>0</v>
      </c>
      <c r="AC454" s="59">
        <f t="shared" si="144"/>
        <v>0</v>
      </c>
      <c r="AD454" s="59">
        <f t="shared" si="145"/>
        <v>0</v>
      </c>
      <c r="AE454" s="59">
        <f t="shared" si="146"/>
        <v>0</v>
      </c>
      <c r="AF454" s="59">
        <f t="shared" si="147"/>
        <v>0</v>
      </c>
      <c r="AG454" s="59">
        <f t="shared" si="148"/>
        <v>0</v>
      </c>
      <c r="AH454" s="59">
        <v>2</v>
      </c>
      <c r="AI454" s="59">
        <v>2</v>
      </c>
      <c r="AJ454" s="59">
        <f t="shared" si="149"/>
        <v>0</v>
      </c>
      <c r="AK454" s="59">
        <f t="shared" si="150"/>
        <v>1</v>
      </c>
      <c r="AL454" s="59">
        <v>4805</v>
      </c>
      <c r="AM454" s="59">
        <v>16177</v>
      </c>
      <c r="AN454" s="59">
        <v>0</v>
      </c>
      <c r="AO454" s="59">
        <v>0</v>
      </c>
      <c r="AP454" s="59">
        <v>19</v>
      </c>
      <c r="AQ454" s="59">
        <v>3</v>
      </c>
      <c r="AR454" s="59">
        <v>2</v>
      </c>
      <c r="AS454" s="59">
        <v>80</v>
      </c>
      <c r="AT454" s="59">
        <v>1</v>
      </c>
      <c r="AU454" s="59">
        <v>9</v>
      </c>
      <c r="AV454" s="59">
        <v>3</v>
      </c>
      <c r="AW454" s="59">
        <v>4</v>
      </c>
      <c r="AX454" s="59">
        <v>8</v>
      </c>
      <c r="AY454" s="59">
        <v>7</v>
      </c>
      <c r="AZ454" s="59">
        <v>3</v>
      </c>
      <c r="BA454" s="59">
        <v>7</v>
      </c>
      <c r="BB454" s="57">
        <f t="shared" si="151"/>
        <v>9610</v>
      </c>
    </row>
    <row r="455" spans="1:54" x14ac:dyDescent="0.25">
      <c r="A455" s="58">
        <v>26</v>
      </c>
      <c r="B455" s="59">
        <v>1</v>
      </c>
      <c r="C455" s="59">
        <v>2</v>
      </c>
      <c r="D455" s="59">
        <f t="shared" si="133"/>
        <v>0</v>
      </c>
      <c r="E455" s="59">
        <f t="shared" si="134"/>
        <v>1</v>
      </c>
      <c r="F455" s="59">
        <v>426</v>
      </c>
      <c r="G455" s="59">
        <v>3</v>
      </c>
      <c r="H455" s="59">
        <f t="shared" si="135"/>
        <v>0</v>
      </c>
      <c r="I455" s="59">
        <f t="shared" si="136"/>
        <v>0</v>
      </c>
      <c r="J455" s="59">
        <v>17</v>
      </c>
      <c r="K455" s="59">
        <v>4</v>
      </c>
      <c r="L455" s="59">
        <v>1</v>
      </c>
      <c r="M455" s="59">
        <f t="shared" si="137"/>
        <v>1</v>
      </c>
      <c r="N455" s="59">
        <f t="shared" si="138"/>
        <v>0</v>
      </c>
      <c r="O455" s="59">
        <f t="shared" si="139"/>
        <v>0</v>
      </c>
      <c r="P455" s="59">
        <f t="shared" si="140"/>
        <v>0</v>
      </c>
      <c r="Q455" s="59">
        <f t="shared" si="141"/>
        <v>0</v>
      </c>
      <c r="R455" s="59">
        <v>1</v>
      </c>
      <c r="S455" s="59">
        <v>608</v>
      </c>
      <c r="T455" s="59">
        <v>2</v>
      </c>
      <c r="U455" s="59">
        <v>0</v>
      </c>
      <c r="V455" s="59">
        <v>58</v>
      </c>
      <c r="W455" s="59">
        <v>3</v>
      </c>
      <c r="X455" s="59">
        <v>1</v>
      </c>
      <c r="Y455" s="59">
        <v>9</v>
      </c>
      <c r="Z455" s="59">
        <f t="shared" si="142"/>
        <v>0</v>
      </c>
      <c r="AA455" s="59">
        <f>IF('Updated Dummy'!Y455=2,1,0)</f>
        <v>0</v>
      </c>
      <c r="AB455" s="59">
        <f t="shared" si="143"/>
        <v>0</v>
      </c>
      <c r="AC455" s="59">
        <f t="shared" si="144"/>
        <v>0</v>
      </c>
      <c r="AD455" s="59">
        <f t="shared" si="145"/>
        <v>0</v>
      </c>
      <c r="AE455" s="59">
        <f t="shared" si="146"/>
        <v>0</v>
      </c>
      <c r="AF455" s="59">
        <f t="shared" si="147"/>
        <v>0</v>
      </c>
      <c r="AG455" s="59">
        <f t="shared" si="148"/>
        <v>0</v>
      </c>
      <c r="AH455" s="59">
        <v>3</v>
      </c>
      <c r="AI455" s="59">
        <v>3</v>
      </c>
      <c r="AJ455" s="59">
        <f t="shared" si="149"/>
        <v>0</v>
      </c>
      <c r="AK455" s="59">
        <f t="shared" si="150"/>
        <v>0</v>
      </c>
      <c r="AL455" s="59">
        <v>2741</v>
      </c>
      <c r="AM455" s="59">
        <v>22808</v>
      </c>
      <c r="AN455" s="59">
        <v>0</v>
      </c>
      <c r="AO455" s="59">
        <v>1</v>
      </c>
      <c r="AP455" s="59">
        <v>11</v>
      </c>
      <c r="AQ455" s="59">
        <v>3</v>
      </c>
      <c r="AR455" s="59">
        <v>2</v>
      </c>
      <c r="AS455" s="59">
        <v>80</v>
      </c>
      <c r="AT455" s="59">
        <v>1</v>
      </c>
      <c r="AU455" s="59">
        <v>8</v>
      </c>
      <c r="AV455" s="59">
        <v>2</v>
      </c>
      <c r="AW455" s="59">
        <v>2</v>
      </c>
      <c r="AX455" s="59">
        <v>7</v>
      </c>
      <c r="AY455" s="59">
        <v>7</v>
      </c>
      <c r="AZ455" s="59">
        <v>1</v>
      </c>
      <c r="BA455" s="59">
        <v>0</v>
      </c>
      <c r="BB455" s="57">
        <f t="shared" si="151"/>
        <v>2741</v>
      </c>
    </row>
    <row r="456" spans="1:54" x14ac:dyDescent="0.25">
      <c r="A456" s="58">
        <v>29</v>
      </c>
      <c r="B456" s="59">
        <v>0</v>
      </c>
      <c r="C456" s="59">
        <v>1</v>
      </c>
      <c r="D456" s="59">
        <f t="shared" si="133"/>
        <v>1</v>
      </c>
      <c r="E456" s="59">
        <f t="shared" si="134"/>
        <v>0</v>
      </c>
      <c r="F456" s="59">
        <v>232</v>
      </c>
      <c r="G456" s="59">
        <v>2</v>
      </c>
      <c r="H456" s="59">
        <f t="shared" si="135"/>
        <v>0</v>
      </c>
      <c r="I456" s="59">
        <f t="shared" si="136"/>
        <v>1</v>
      </c>
      <c r="J456" s="59">
        <v>19</v>
      </c>
      <c r="K456" s="59">
        <v>3</v>
      </c>
      <c r="L456" s="59">
        <v>5</v>
      </c>
      <c r="M456" s="59">
        <f t="shared" si="137"/>
        <v>0</v>
      </c>
      <c r="N456" s="59">
        <f t="shared" si="138"/>
        <v>0</v>
      </c>
      <c r="O456" s="59">
        <f t="shared" si="139"/>
        <v>0</v>
      </c>
      <c r="P456" s="59">
        <f t="shared" si="140"/>
        <v>0</v>
      </c>
      <c r="Q456" s="59">
        <f t="shared" si="141"/>
        <v>1</v>
      </c>
      <c r="R456" s="59">
        <v>1</v>
      </c>
      <c r="S456" s="59">
        <v>611</v>
      </c>
      <c r="T456" s="59">
        <v>4</v>
      </c>
      <c r="U456" s="59">
        <v>1</v>
      </c>
      <c r="V456" s="59">
        <v>34</v>
      </c>
      <c r="W456" s="59">
        <v>3</v>
      </c>
      <c r="X456" s="59">
        <v>2</v>
      </c>
      <c r="Y456" s="59">
        <v>4</v>
      </c>
      <c r="Z456" s="59">
        <f t="shared" si="142"/>
        <v>0</v>
      </c>
      <c r="AA456" s="59">
        <f>IF('Updated Dummy'!Y456=2,1,0)</f>
        <v>0</v>
      </c>
      <c r="AB456" s="59">
        <f t="shared" si="143"/>
        <v>0</v>
      </c>
      <c r="AC456" s="59">
        <f t="shared" si="144"/>
        <v>1</v>
      </c>
      <c r="AD456" s="59">
        <f t="shared" si="145"/>
        <v>0</v>
      </c>
      <c r="AE456" s="59">
        <f t="shared" si="146"/>
        <v>0</v>
      </c>
      <c r="AF456" s="59">
        <f t="shared" si="147"/>
        <v>0</v>
      </c>
      <c r="AG456" s="59">
        <f t="shared" si="148"/>
        <v>0</v>
      </c>
      <c r="AH456" s="59">
        <v>4</v>
      </c>
      <c r="AI456" s="59">
        <v>3</v>
      </c>
      <c r="AJ456" s="59">
        <f t="shared" si="149"/>
        <v>0</v>
      </c>
      <c r="AK456" s="59">
        <f t="shared" si="150"/>
        <v>0</v>
      </c>
      <c r="AL456" s="59">
        <v>4262</v>
      </c>
      <c r="AM456" s="59">
        <v>22645</v>
      </c>
      <c r="AN456" s="59">
        <v>4</v>
      </c>
      <c r="AO456" s="59">
        <v>0</v>
      </c>
      <c r="AP456" s="59">
        <v>12</v>
      </c>
      <c r="AQ456" s="59">
        <v>3</v>
      </c>
      <c r="AR456" s="59">
        <v>2</v>
      </c>
      <c r="AS456" s="59">
        <v>80</v>
      </c>
      <c r="AT456" s="59">
        <v>2</v>
      </c>
      <c r="AU456" s="59">
        <v>8</v>
      </c>
      <c r="AV456" s="59">
        <v>2</v>
      </c>
      <c r="AW456" s="59">
        <v>4</v>
      </c>
      <c r="AX456" s="59">
        <v>3</v>
      </c>
      <c r="AY456" s="59">
        <v>2</v>
      </c>
      <c r="AZ456" s="59">
        <v>1</v>
      </c>
      <c r="BA456" s="59">
        <v>2</v>
      </c>
      <c r="BB456" s="57">
        <f t="shared" si="151"/>
        <v>8524</v>
      </c>
    </row>
    <row r="457" spans="1:54" x14ac:dyDescent="0.25">
      <c r="A457" s="58">
        <v>33</v>
      </c>
      <c r="B457" s="59">
        <v>0</v>
      </c>
      <c r="C457" s="59">
        <v>1</v>
      </c>
      <c r="D457" s="59">
        <f t="shared" si="133"/>
        <v>1</v>
      </c>
      <c r="E457" s="59">
        <f t="shared" si="134"/>
        <v>0</v>
      </c>
      <c r="F457" s="59">
        <v>922</v>
      </c>
      <c r="G457" s="59">
        <v>2</v>
      </c>
      <c r="H457" s="59">
        <f t="shared" si="135"/>
        <v>0</v>
      </c>
      <c r="I457" s="59">
        <f t="shared" si="136"/>
        <v>1</v>
      </c>
      <c r="J457" s="59">
        <v>1</v>
      </c>
      <c r="K457" s="59">
        <v>5</v>
      </c>
      <c r="L457" s="59">
        <v>3</v>
      </c>
      <c r="M457" s="59">
        <f t="shared" si="137"/>
        <v>0</v>
      </c>
      <c r="N457" s="59">
        <f t="shared" si="138"/>
        <v>0</v>
      </c>
      <c r="O457" s="59">
        <f t="shared" si="139"/>
        <v>1</v>
      </c>
      <c r="P457" s="59">
        <f t="shared" si="140"/>
        <v>0</v>
      </c>
      <c r="Q457" s="59">
        <f t="shared" si="141"/>
        <v>0</v>
      </c>
      <c r="R457" s="59">
        <v>1</v>
      </c>
      <c r="S457" s="59">
        <v>612</v>
      </c>
      <c r="T457" s="59">
        <v>1</v>
      </c>
      <c r="U457" s="59">
        <v>0</v>
      </c>
      <c r="V457" s="59">
        <v>95</v>
      </c>
      <c r="W457" s="59">
        <v>4</v>
      </c>
      <c r="X457" s="59">
        <v>4</v>
      </c>
      <c r="Y457" s="59">
        <v>8</v>
      </c>
      <c r="Z457" s="59">
        <f t="shared" si="142"/>
        <v>0</v>
      </c>
      <c r="AA457" s="59">
        <f>IF('Updated Dummy'!Y457=2,1,0)</f>
        <v>0</v>
      </c>
      <c r="AB457" s="59">
        <f t="shared" si="143"/>
        <v>0</v>
      </c>
      <c r="AC457" s="59">
        <f t="shared" si="144"/>
        <v>0</v>
      </c>
      <c r="AD457" s="59">
        <f t="shared" si="145"/>
        <v>0</v>
      </c>
      <c r="AE457" s="59">
        <f t="shared" si="146"/>
        <v>0</v>
      </c>
      <c r="AF457" s="59">
        <f t="shared" si="147"/>
        <v>0</v>
      </c>
      <c r="AG457" s="59">
        <f t="shared" si="148"/>
        <v>1</v>
      </c>
      <c r="AH457" s="59">
        <v>3</v>
      </c>
      <c r="AI457" s="59">
        <v>3</v>
      </c>
      <c r="AJ457" s="59">
        <f t="shared" si="149"/>
        <v>0</v>
      </c>
      <c r="AK457" s="59">
        <f t="shared" si="150"/>
        <v>0</v>
      </c>
      <c r="AL457" s="59">
        <v>16184</v>
      </c>
      <c r="AM457" s="59">
        <v>22578</v>
      </c>
      <c r="AN457" s="59">
        <v>4</v>
      </c>
      <c r="AO457" s="59">
        <v>0</v>
      </c>
      <c r="AP457" s="59">
        <v>19</v>
      </c>
      <c r="AQ457" s="59">
        <v>3</v>
      </c>
      <c r="AR457" s="59">
        <v>3</v>
      </c>
      <c r="AS457" s="59">
        <v>80</v>
      </c>
      <c r="AT457" s="59">
        <v>1</v>
      </c>
      <c r="AU457" s="59">
        <v>10</v>
      </c>
      <c r="AV457" s="59">
        <v>2</v>
      </c>
      <c r="AW457" s="59">
        <v>3</v>
      </c>
      <c r="AX457" s="59">
        <v>6</v>
      </c>
      <c r="AY457" s="59">
        <v>1</v>
      </c>
      <c r="AZ457" s="59">
        <v>0</v>
      </c>
      <c r="BA457" s="59">
        <v>5</v>
      </c>
      <c r="BB457" s="57">
        <f t="shared" si="151"/>
        <v>64736</v>
      </c>
    </row>
    <row r="458" spans="1:54" x14ac:dyDescent="0.25">
      <c r="A458" s="58">
        <v>31</v>
      </c>
      <c r="B458" s="59">
        <v>0</v>
      </c>
      <c r="C458" s="59">
        <v>1</v>
      </c>
      <c r="D458" s="59">
        <f t="shared" si="133"/>
        <v>1</v>
      </c>
      <c r="E458" s="59">
        <f t="shared" si="134"/>
        <v>0</v>
      </c>
      <c r="F458" s="59">
        <v>688</v>
      </c>
      <c r="G458" s="59">
        <v>1</v>
      </c>
      <c r="H458" s="59">
        <f t="shared" si="135"/>
        <v>1</v>
      </c>
      <c r="I458" s="59">
        <f t="shared" si="136"/>
        <v>0</v>
      </c>
      <c r="J458" s="59">
        <v>7</v>
      </c>
      <c r="K458" s="59">
        <v>3</v>
      </c>
      <c r="L458" s="59">
        <v>1</v>
      </c>
      <c r="M458" s="59">
        <f t="shared" si="137"/>
        <v>1</v>
      </c>
      <c r="N458" s="59">
        <f t="shared" si="138"/>
        <v>0</v>
      </c>
      <c r="O458" s="59">
        <f t="shared" si="139"/>
        <v>0</v>
      </c>
      <c r="P458" s="59">
        <f t="shared" si="140"/>
        <v>0</v>
      </c>
      <c r="Q458" s="59">
        <f t="shared" si="141"/>
        <v>0</v>
      </c>
      <c r="R458" s="59">
        <v>1</v>
      </c>
      <c r="S458" s="59">
        <v>613</v>
      </c>
      <c r="T458" s="59">
        <v>3</v>
      </c>
      <c r="U458" s="59">
        <v>1</v>
      </c>
      <c r="V458" s="59">
        <v>44</v>
      </c>
      <c r="W458" s="59">
        <v>2</v>
      </c>
      <c r="X458" s="59">
        <v>3</v>
      </c>
      <c r="Y458" s="59">
        <v>6</v>
      </c>
      <c r="Z458" s="59">
        <f t="shared" si="142"/>
        <v>0</v>
      </c>
      <c r="AA458" s="59">
        <f>IF('Updated Dummy'!Y458=2,1,0)</f>
        <v>0</v>
      </c>
      <c r="AB458" s="59">
        <f t="shared" si="143"/>
        <v>0</v>
      </c>
      <c r="AC458" s="59">
        <f t="shared" si="144"/>
        <v>0</v>
      </c>
      <c r="AD458" s="59">
        <f t="shared" si="145"/>
        <v>0</v>
      </c>
      <c r="AE458" s="59">
        <f t="shared" si="146"/>
        <v>1</v>
      </c>
      <c r="AF458" s="59">
        <f t="shared" si="147"/>
        <v>0</v>
      </c>
      <c r="AG458" s="59">
        <f t="shared" si="148"/>
        <v>0</v>
      </c>
      <c r="AH458" s="59">
        <v>4</v>
      </c>
      <c r="AI458" s="59">
        <v>3</v>
      </c>
      <c r="AJ458" s="59">
        <f t="shared" si="149"/>
        <v>0</v>
      </c>
      <c r="AK458" s="59">
        <f t="shared" si="150"/>
        <v>0</v>
      </c>
      <c r="AL458" s="59">
        <v>11557</v>
      </c>
      <c r="AM458" s="59">
        <v>25291</v>
      </c>
      <c r="AN458" s="59">
        <v>9</v>
      </c>
      <c r="AO458" s="59">
        <v>0</v>
      </c>
      <c r="AP458" s="59">
        <v>21</v>
      </c>
      <c r="AQ458" s="59">
        <v>4</v>
      </c>
      <c r="AR458" s="59">
        <v>3</v>
      </c>
      <c r="AS458" s="59">
        <v>80</v>
      </c>
      <c r="AT458" s="59">
        <v>1</v>
      </c>
      <c r="AU458" s="59">
        <v>10</v>
      </c>
      <c r="AV458" s="59">
        <v>3</v>
      </c>
      <c r="AW458" s="59">
        <v>2</v>
      </c>
      <c r="AX458" s="59">
        <v>5</v>
      </c>
      <c r="AY458" s="59">
        <v>4</v>
      </c>
      <c r="AZ458" s="59">
        <v>0</v>
      </c>
      <c r="BA458" s="59">
        <v>1</v>
      </c>
      <c r="BB458" s="57">
        <f t="shared" si="151"/>
        <v>34671</v>
      </c>
    </row>
    <row r="459" spans="1:54" x14ac:dyDescent="0.25">
      <c r="A459" s="58">
        <v>18</v>
      </c>
      <c r="B459" s="59">
        <v>1</v>
      </c>
      <c r="C459" s="59">
        <v>2</v>
      </c>
      <c r="D459" s="59">
        <f t="shared" si="133"/>
        <v>0</v>
      </c>
      <c r="E459" s="59">
        <f t="shared" si="134"/>
        <v>1</v>
      </c>
      <c r="F459" s="59">
        <v>1306</v>
      </c>
      <c r="G459" s="59">
        <v>1</v>
      </c>
      <c r="H459" s="59">
        <f t="shared" si="135"/>
        <v>1</v>
      </c>
      <c r="I459" s="59">
        <f t="shared" si="136"/>
        <v>0</v>
      </c>
      <c r="J459" s="59">
        <v>5</v>
      </c>
      <c r="K459" s="59">
        <v>3</v>
      </c>
      <c r="L459" s="59">
        <v>4</v>
      </c>
      <c r="M459" s="59">
        <f t="shared" si="137"/>
        <v>0</v>
      </c>
      <c r="N459" s="59">
        <f t="shared" si="138"/>
        <v>0</v>
      </c>
      <c r="O459" s="59">
        <f t="shared" si="139"/>
        <v>0</v>
      </c>
      <c r="P459" s="59">
        <f t="shared" si="140"/>
        <v>1</v>
      </c>
      <c r="Q459" s="59">
        <f t="shared" si="141"/>
        <v>0</v>
      </c>
      <c r="R459" s="59">
        <v>1</v>
      </c>
      <c r="S459" s="59">
        <v>614</v>
      </c>
      <c r="T459" s="59">
        <v>2</v>
      </c>
      <c r="U459" s="59">
        <v>1</v>
      </c>
      <c r="V459" s="59">
        <v>69</v>
      </c>
      <c r="W459" s="59">
        <v>3</v>
      </c>
      <c r="X459" s="59">
        <v>1</v>
      </c>
      <c r="Y459" s="59">
        <v>7</v>
      </c>
      <c r="Z459" s="59">
        <f t="shared" si="142"/>
        <v>0</v>
      </c>
      <c r="AA459" s="59">
        <f>IF('Updated Dummy'!Y459=2,1,0)</f>
        <v>0</v>
      </c>
      <c r="AB459" s="59">
        <f t="shared" si="143"/>
        <v>0</v>
      </c>
      <c r="AC459" s="59">
        <f t="shared" si="144"/>
        <v>0</v>
      </c>
      <c r="AD459" s="59">
        <f t="shared" si="145"/>
        <v>0</v>
      </c>
      <c r="AE459" s="59">
        <f t="shared" si="146"/>
        <v>0</v>
      </c>
      <c r="AF459" s="59">
        <f t="shared" si="147"/>
        <v>1</v>
      </c>
      <c r="AG459" s="59">
        <f t="shared" si="148"/>
        <v>0</v>
      </c>
      <c r="AH459" s="59">
        <v>2</v>
      </c>
      <c r="AI459" s="59">
        <v>1</v>
      </c>
      <c r="AJ459" s="59">
        <f t="shared" si="149"/>
        <v>1</v>
      </c>
      <c r="AK459" s="59">
        <f t="shared" si="150"/>
        <v>0</v>
      </c>
      <c r="AL459" s="59">
        <v>1878</v>
      </c>
      <c r="AM459" s="59">
        <v>8059</v>
      </c>
      <c r="AN459" s="59">
        <v>1</v>
      </c>
      <c r="AO459" s="59">
        <v>1</v>
      </c>
      <c r="AP459" s="59">
        <v>14</v>
      </c>
      <c r="AQ459" s="59">
        <v>3</v>
      </c>
      <c r="AR459" s="59">
        <v>4</v>
      </c>
      <c r="AS459" s="59">
        <v>80</v>
      </c>
      <c r="AT459" s="59">
        <v>0</v>
      </c>
      <c r="AU459" s="59">
        <v>0</v>
      </c>
      <c r="AV459" s="59">
        <v>3</v>
      </c>
      <c r="AW459" s="59">
        <v>3</v>
      </c>
      <c r="AX459" s="59">
        <v>0</v>
      </c>
      <c r="AY459" s="59">
        <v>0</v>
      </c>
      <c r="AZ459" s="59">
        <v>0</v>
      </c>
      <c r="BA459" s="59">
        <v>0</v>
      </c>
      <c r="BB459" s="57">
        <f t="shared" si="151"/>
        <v>1878</v>
      </c>
    </row>
    <row r="460" spans="1:54" x14ac:dyDescent="0.25">
      <c r="A460" s="58">
        <v>40</v>
      </c>
      <c r="B460" s="59">
        <v>0</v>
      </c>
      <c r="C460" s="59">
        <v>3</v>
      </c>
      <c r="D460" s="59">
        <f t="shared" si="133"/>
        <v>0</v>
      </c>
      <c r="E460" s="59">
        <f t="shared" si="134"/>
        <v>0</v>
      </c>
      <c r="F460" s="59">
        <v>1094</v>
      </c>
      <c r="G460" s="59">
        <v>1</v>
      </c>
      <c r="H460" s="59">
        <f t="shared" si="135"/>
        <v>1</v>
      </c>
      <c r="I460" s="59">
        <f t="shared" si="136"/>
        <v>0</v>
      </c>
      <c r="J460" s="59">
        <v>28</v>
      </c>
      <c r="K460" s="59">
        <v>3</v>
      </c>
      <c r="L460" s="59">
        <v>6</v>
      </c>
      <c r="M460" s="59">
        <f t="shared" si="137"/>
        <v>0</v>
      </c>
      <c r="N460" s="59">
        <f t="shared" si="138"/>
        <v>0</v>
      </c>
      <c r="O460" s="59">
        <f t="shared" si="139"/>
        <v>0</v>
      </c>
      <c r="P460" s="59">
        <f t="shared" si="140"/>
        <v>0</v>
      </c>
      <c r="Q460" s="59">
        <f t="shared" si="141"/>
        <v>0</v>
      </c>
      <c r="R460" s="59">
        <v>1</v>
      </c>
      <c r="S460" s="59">
        <v>615</v>
      </c>
      <c r="T460" s="59">
        <v>3</v>
      </c>
      <c r="U460" s="59">
        <v>1</v>
      </c>
      <c r="V460" s="59">
        <v>58</v>
      </c>
      <c r="W460" s="59">
        <v>1</v>
      </c>
      <c r="X460" s="59">
        <v>3</v>
      </c>
      <c r="Y460" s="59">
        <v>1</v>
      </c>
      <c r="Z460" s="59">
        <f t="shared" si="142"/>
        <v>1</v>
      </c>
      <c r="AA460" s="59">
        <f>IF('Updated Dummy'!Y460=2,1,0)</f>
        <v>0</v>
      </c>
      <c r="AB460" s="59">
        <f t="shared" si="143"/>
        <v>0</v>
      </c>
      <c r="AC460" s="59">
        <f t="shared" si="144"/>
        <v>0</v>
      </c>
      <c r="AD460" s="59">
        <f t="shared" si="145"/>
        <v>0</v>
      </c>
      <c r="AE460" s="59">
        <f t="shared" si="146"/>
        <v>0</v>
      </c>
      <c r="AF460" s="59">
        <f t="shared" si="147"/>
        <v>0</v>
      </c>
      <c r="AG460" s="59">
        <f t="shared" si="148"/>
        <v>0</v>
      </c>
      <c r="AH460" s="59">
        <v>1</v>
      </c>
      <c r="AI460" s="59">
        <v>3</v>
      </c>
      <c r="AJ460" s="59">
        <f t="shared" si="149"/>
        <v>0</v>
      </c>
      <c r="AK460" s="59">
        <f t="shared" si="150"/>
        <v>0</v>
      </c>
      <c r="AL460" s="59">
        <v>10932</v>
      </c>
      <c r="AM460" s="59">
        <v>11373</v>
      </c>
      <c r="AN460" s="59">
        <v>3</v>
      </c>
      <c r="AO460" s="59">
        <v>0</v>
      </c>
      <c r="AP460" s="59">
        <v>15</v>
      </c>
      <c r="AQ460" s="59">
        <v>3</v>
      </c>
      <c r="AR460" s="59">
        <v>3</v>
      </c>
      <c r="AS460" s="59">
        <v>80</v>
      </c>
      <c r="AT460" s="59">
        <v>1</v>
      </c>
      <c r="AU460" s="59">
        <v>20</v>
      </c>
      <c r="AV460" s="59">
        <v>2</v>
      </c>
      <c r="AW460" s="59">
        <v>3</v>
      </c>
      <c r="AX460" s="59">
        <v>1</v>
      </c>
      <c r="AY460" s="59">
        <v>0</v>
      </c>
      <c r="AZ460" s="59">
        <v>0</v>
      </c>
      <c r="BA460" s="59">
        <v>1</v>
      </c>
      <c r="BB460" s="57">
        <f t="shared" si="151"/>
        <v>32796</v>
      </c>
    </row>
    <row r="461" spans="1:54" x14ac:dyDescent="0.25">
      <c r="A461" s="58">
        <v>41</v>
      </c>
      <c r="B461" s="59">
        <v>0</v>
      </c>
      <c r="C461" s="59">
        <v>3</v>
      </c>
      <c r="D461" s="59">
        <f t="shared" si="133"/>
        <v>0</v>
      </c>
      <c r="E461" s="59">
        <f t="shared" si="134"/>
        <v>0</v>
      </c>
      <c r="F461" s="59">
        <v>509</v>
      </c>
      <c r="G461" s="59">
        <v>2</v>
      </c>
      <c r="H461" s="59">
        <f t="shared" si="135"/>
        <v>0</v>
      </c>
      <c r="I461" s="59">
        <f t="shared" si="136"/>
        <v>1</v>
      </c>
      <c r="J461" s="59">
        <v>2</v>
      </c>
      <c r="K461" s="59">
        <v>4</v>
      </c>
      <c r="L461" s="59">
        <v>6</v>
      </c>
      <c r="M461" s="59">
        <f t="shared" si="137"/>
        <v>0</v>
      </c>
      <c r="N461" s="59">
        <f t="shared" si="138"/>
        <v>0</v>
      </c>
      <c r="O461" s="59">
        <f t="shared" si="139"/>
        <v>0</v>
      </c>
      <c r="P461" s="59">
        <f t="shared" si="140"/>
        <v>0</v>
      </c>
      <c r="Q461" s="59">
        <f t="shared" si="141"/>
        <v>0</v>
      </c>
      <c r="R461" s="59">
        <v>1</v>
      </c>
      <c r="S461" s="59">
        <v>616</v>
      </c>
      <c r="T461" s="59">
        <v>1</v>
      </c>
      <c r="U461" s="59">
        <v>0</v>
      </c>
      <c r="V461" s="59">
        <v>62</v>
      </c>
      <c r="W461" s="59">
        <v>2</v>
      </c>
      <c r="X461" s="59">
        <v>2</v>
      </c>
      <c r="Y461" s="59">
        <v>5</v>
      </c>
      <c r="Z461" s="59">
        <f t="shared" si="142"/>
        <v>0</v>
      </c>
      <c r="AA461" s="59">
        <f>IF('Updated Dummy'!Y461=2,1,0)</f>
        <v>0</v>
      </c>
      <c r="AB461" s="59">
        <f t="shared" si="143"/>
        <v>0</v>
      </c>
      <c r="AC461" s="59">
        <f t="shared" si="144"/>
        <v>0</v>
      </c>
      <c r="AD461" s="59">
        <f t="shared" si="145"/>
        <v>1</v>
      </c>
      <c r="AE461" s="59">
        <f t="shared" si="146"/>
        <v>0</v>
      </c>
      <c r="AF461" s="59">
        <f t="shared" si="147"/>
        <v>0</v>
      </c>
      <c r="AG461" s="59">
        <f t="shared" si="148"/>
        <v>0</v>
      </c>
      <c r="AH461" s="59">
        <v>3</v>
      </c>
      <c r="AI461" s="59">
        <v>1</v>
      </c>
      <c r="AJ461" s="59">
        <f t="shared" si="149"/>
        <v>1</v>
      </c>
      <c r="AK461" s="59">
        <f t="shared" si="150"/>
        <v>0</v>
      </c>
      <c r="AL461" s="59">
        <v>6811</v>
      </c>
      <c r="AM461" s="59">
        <v>2112</v>
      </c>
      <c r="AN461" s="59">
        <v>2</v>
      </c>
      <c r="AO461" s="59">
        <v>1</v>
      </c>
      <c r="AP461" s="59">
        <v>17</v>
      </c>
      <c r="AQ461" s="59">
        <v>3</v>
      </c>
      <c r="AR461" s="59">
        <v>1</v>
      </c>
      <c r="AS461" s="59">
        <v>80</v>
      </c>
      <c r="AT461" s="59">
        <v>0</v>
      </c>
      <c r="AU461" s="59">
        <v>10</v>
      </c>
      <c r="AV461" s="59">
        <v>3</v>
      </c>
      <c r="AW461" s="59">
        <v>3</v>
      </c>
      <c r="AX461" s="59">
        <v>8</v>
      </c>
      <c r="AY461" s="59">
        <v>7</v>
      </c>
      <c r="AZ461" s="59">
        <v>0</v>
      </c>
      <c r="BA461" s="59">
        <v>7</v>
      </c>
      <c r="BB461" s="57">
        <f t="shared" si="151"/>
        <v>13622</v>
      </c>
    </row>
    <row r="462" spans="1:54" x14ac:dyDescent="0.25">
      <c r="A462" s="58">
        <v>26</v>
      </c>
      <c r="B462" s="59">
        <v>0</v>
      </c>
      <c r="C462" s="59">
        <v>1</v>
      </c>
      <c r="D462" s="59">
        <f t="shared" si="133"/>
        <v>1</v>
      </c>
      <c r="E462" s="59">
        <f t="shared" si="134"/>
        <v>0</v>
      </c>
      <c r="F462" s="59">
        <v>775</v>
      </c>
      <c r="G462" s="59">
        <v>1</v>
      </c>
      <c r="H462" s="59">
        <f t="shared" si="135"/>
        <v>1</v>
      </c>
      <c r="I462" s="59">
        <f t="shared" si="136"/>
        <v>0</v>
      </c>
      <c r="J462" s="59">
        <v>29</v>
      </c>
      <c r="K462" s="59">
        <v>2</v>
      </c>
      <c r="L462" s="59">
        <v>3</v>
      </c>
      <c r="M462" s="59">
        <f t="shared" si="137"/>
        <v>0</v>
      </c>
      <c r="N462" s="59">
        <f t="shared" si="138"/>
        <v>0</v>
      </c>
      <c r="O462" s="59">
        <f t="shared" si="139"/>
        <v>1</v>
      </c>
      <c r="P462" s="59">
        <f t="shared" si="140"/>
        <v>0</v>
      </c>
      <c r="Q462" s="59">
        <f t="shared" si="141"/>
        <v>0</v>
      </c>
      <c r="R462" s="59">
        <v>1</v>
      </c>
      <c r="S462" s="59">
        <v>618</v>
      </c>
      <c r="T462" s="59">
        <v>1</v>
      </c>
      <c r="U462" s="59">
        <v>1</v>
      </c>
      <c r="V462" s="59">
        <v>45</v>
      </c>
      <c r="W462" s="59">
        <v>3</v>
      </c>
      <c r="X462" s="59">
        <v>2</v>
      </c>
      <c r="Y462" s="59">
        <v>1</v>
      </c>
      <c r="Z462" s="59">
        <f t="shared" si="142"/>
        <v>1</v>
      </c>
      <c r="AA462" s="59">
        <f>IF('Updated Dummy'!Y462=2,1,0)</f>
        <v>0</v>
      </c>
      <c r="AB462" s="59">
        <f t="shared" si="143"/>
        <v>0</v>
      </c>
      <c r="AC462" s="59">
        <f t="shared" si="144"/>
        <v>0</v>
      </c>
      <c r="AD462" s="59">
        <f t="shared" si="145"/>
        <v>0</v>
      </c>
      <c r="AE462" s="59">
        <f t="shared" si="146"/>
        <v>0</v>
      </c>
      <c r="AF462" s="59">
        <f t="shared" si="147"/>
        <v>0</v>
      </c>
      <c r="AG462" s="59">
        <f t="shared" si="148"/>
        <v>0</v>
      </c>
      <c r="AH462" s="59">
        <v>3</v>
      </c>
      <c r="AI462" s="59">
        <v>3</v>
      </c>
      <c r="AJ462" s="59">
        <f t="shared" si="149"/>
        <v>0</v>
      </c>
      <c r="AK462" s="59">
        <f t="shared" si="150"/>
        <v>0</v>
      </c>
      <c r="AL462" s="59">
        <v>4306</v>
      </c>
      <c r="AM462" s="59">
        <v>4267</v>
      </c>
      <c r="AN462" s="59">
        <v>5</v>
      </c>
      <c r="AO462" s="59">
        <v>0</v>
      </c>
      <c r="AP462" s="59">
        <v>12</v>
      </c>
      <c r="AQ462" s="59">
        <v>3</v>
      </c>
      <c r="AR462" s="59">
        <v>1</v>
      </c>
      <c r="AS462" s="59">
        <v>80</v>
      </c>
      <c r="AT462" s="59">
        <v>2</v>
      </c>
      <c r="AU462" s="59">
        <v>8</v>
      </c>
      <c r="AV462" s="59">
        <v>5</v>
      </c>
      <c r="AW462" s="59">
        <v>3</v>
      </c>
      <c r="AX462" s="59">
        <v>0</v>
      </c>
      <c r="AY462" s="59">
        <v>0</v>
      </c>
      <c r="AZ462" s="59">
        <v>0</v>
      </c>
      <c r="BA462" s="59">
        <v>0</v>
      </c>
      <c r="BB462" s="57">
        <f t="shared" si="151"/>
        <v>8612</v>
      </c>
    </row>
    <row r="463" spans="1:54" x14ac:dyDescent="0.25">
      <c r="A463" s="58">
        <v>35</v>
      </c>
      <c r="B463" s="59">
        <v>0</v>
      </c>
      <c r="C463" s="59">
        <v>1</v>
      </c>
      <c r="D463" s="59">
        <f t="shared" si="133"/>
        <v>1</v>
      </c>
      <c r="E463" s="59">
        <f t="shared" si="134"/>
        <v>0</v>
      </c>
      <c r="F463" s="59">
        <v>195</v>
      </c>
      <c r="G463" s="59">
        <v>1</v>
      </c>
      <c r="H463" s="59">
        <f t="shared" si="135"/>
        <v>1</v>
      </c>
      <c r="I463" s="59">
        <f t="shared" si="136"/>
        <v>0</v>
      </c>
      <c r="J463" s="59">
        <v>1</v>
      </c>
      <c r="K463" s="59">
        <v>3</v>
      </c>
      <c r="L463" s="59">
        <v>3</v>
      </c>
      <c r="M463" s="59">
        <f t="shared" si="137"/>
        <v>0</v>
      </c>
      <c r="N463" s="59">
        <f t="shared" si="138"/>
        <v>0</v>
      </c>
      <c r="O463" s="59">
        <f t="shared" si="139"/>
        <v>1</v>
      </c>
      <c r="P463" s="59">
        <f t="shared" si="140"/>
        <v>0</v>
      </c>
      <c r="Q463" s="59">
        <f t="shared" si="141"/>
        <v>0</v>
      </c>
      <c r="R463" s="59">
        <v>1</v>
      </c>
      <c r="S463" s="59">
        <v>620</v>
      </c>
      <c r="T463" s="59">
        <v>1</v>
      </c>
      <c r="U463" s="59">
        <v>0</v>
      </c>
      <c r="V463" s="59">
        <v>80</v>
      </c>
      <c r="W463" s="59">
        <v>3</v>
      </c>
      <c r="X463" s="59">
        <v>2</v>
      </c>
      <c r="Y463" s="59">
        <v>1</v>
      </c>
      <c r="Z463" s="59">
        <f t="shared" si="142"/>
        <v>1</v>
      </c>
      <c r="AA463" s="59">
        <f>IF('Updated Dummy'!Y463=2,1,0)</f>
        <v>0</v>
      </c>
      <c r="AB463" s="59">
        <f t="shared" si="143"/>
        <v>0</v>
      </c>
      <c r="AC463" s="59">
        <f t="shared" si="144"/>
        <v>0</v>
      </c>
      <c r="AD463" s="59">
        <f t="shared" si="145"/>
        <v>0</v>
      </c>
      <c r="AE463" s="59">
        <f t="shared" si="146"/>
        <v>0</v>
      </c>
      <c r="AF463" s="59">
        <f t="shared" si="147"/>
        <v>0</v>
      </c>
      <c r="AG463" s="59">
        <f t="shared" si="148"/>
        <v>0</v>
      </c>
      <c r="AH463" s="59">
        <v>3</v>
      </c>
      <c r="AI463" s="59">
        <v>1</v>
      </c>
      <c r="AJ463" s="59">
        <f t="shared" si="149"/>
        <v>1</v>
      </c>
      <c r="AK463" s="59">
        <f t="shared" si="150"/>
        <v>0</v>
      </c>
      <c r="AL463" s="59">
        <v>4859</v>
      </c>
      <c r="AM463" s="59">
        <v>6698</v>
      </c>
      <c r="AN463" s="59">
        <v>1</v>
      </c>
      <c r="AO463" s="59">
        <v>0</v>
      </c>
      <c r="AP463" s="59">
        <v>16</v>
      </c>
      <c r="AQ463" s="59">
        <v>3</v>
      </c>
      <c r="AR463" s="59">
        <v>4</v>
      </c>
      <c r="AS463" s="59">
        <v>80</v>
      </c>
      <c r="AT463" s="59">
        <v>0</v>
      </c>
      <c r="AU463" s="59">
        <v>5</v>
      </c>
      <c r="AV463" s="59">
        <v>3</v>
      </c>
      <c r="AW463" s="59">
        <v>3</v>
      </c>
      <c r="AX463" s="59">
        <v>5</v>
      </c>
      <c r="AY463" s="59">
        <v>4</v>
      </c>
      <c r="AZ463" s="59">
        <v>0</v>
      </c>
      <c r="BA463" s="59">
        <v>3</v>
      </c>
      <c r="BB463" s="57">
        <f t="shared" si="151"/>
        <v>9718</v>
      </c>
    </row>
    <row r="464" spans="1:54" x14ac:dyDescent="0.25">
      <c r="A464" s="58">
        <v>34</v>
      </c>
      <c r="B464" s="59">
        <v>0</v>
      </c>
      <c r="C464" s="59">
        <v>1</v>
      </c>
      <c r="D464" s="59">
        <f t="shared" si="133"/>
        <v>1</v>
      </c>
      <c r="E464" s="59">
        <f t="shared" si="134"/>
        <v>0</v>
      </c>
      <c r="F464" s="59">
        <v>258</v>
      </c>
      <c r="G464" s="59">
        <v>1</v>
      </c>
      <c r="H464" s="59">
        <f t="shared" si="135"/>
        <v>1</v>
      </c>
      <c r="I464" s="59">
        <f t="shared" si="136"/>
        <v>0</v>
      </c>
      <c r="J464" s="59">
        <v>21</v>
      </c>
      <c r="K464" s="59">
        <v>4</v>
      </c>
      <c r="L464" s="59">
        <v>1</v>
      </c>
      <c r="M464" s="59">
        <f t="shared" si="137"/>
        <v>1</v>
      </c>
      <c r="N464" s="59">
        <f t="shared" si="138"/>
        <v>0</v>
      </c>
      <c r="O464" s="59">
        <f t="shared" si="139"/>
        <v>0</v>
      </c>
      <c r="P464" s="59">
        <f t="shared" si="140"/>
        <v>0</v>
      </c>
      <c r="Q464" s="59">
        <f t="shared" si="141"/>
        <v>0</v>
      </c>
      <c r="R464" s="59">
        <v>1</v>
      </c>
      <c r="S464" s="59">
        <v>621</v>
      </c>
      <c r="T464" s="59">
        <v>4</v>
      </c>
      <c r="U464" s="59">
        <v>1</v>
      </c>
      <c r="V464" s="59">
        <v>74</v>
      </c>
      <c r="W464" s="59">
        <v>4</v>
      </c>
      <c r="X464" s="59">
        <v>2</v>
      </c>
      <c r="Y464" s="59">
        <v>1</v>
      </c>
      <c r="Z464" s="59">
        <f t="shared" si="142"/>
        <v>1</v>
      </c>
      <c r="AA464" s="59">
        <f>IF('Updated Dummy'!Y464=2,1,0)</f>
        <v>0</v>
      </c>
      <c r="AB464" s="59">
        <f t="shared" si="143"/>
        <v>0</v>
      </c>
      <c r="AC464" s="59">
        <f t="shared" si="144"/>
        <v>0</v>
      </c>
      <c r="AD464" s="59">
        <f t="shared" si="145"/>
        <v>0</v>
      </c>
      <c r="AE464" s="59">
        <f t="shared" si="146"/>
        <v>0</v>
      </c>
      <c r="AF464" s="59">
        <f t="shared" si="147"/>
        <v>0</v>
      </c>
      <c r="AG464" s="59">
        <f t="shared" si="148"/>
        <v>0</v>
      </c>
      <c r="AH464" s="59">
        <v>4</v>
      </c>
      <c r="AI464" s="59">
        <v>1</v>
      </c>
      <c r="AJ464" s="59">
        <f t="shared" si="149"/>
        <v>1</v>
      </c>
      <c r="AK464" s="59">
        <f t="shared" si="150"/>
        <v>0</v>
      </c>
      <c r="AL464" s="59">
        <v>5337</v>
      </c>
      <c r="AM464" s="59">
        <v>19921</v>
      </c>
      <c r="AN464" s="59">
        <v>1</v>
      </c>
      <c r="AO464" s="59">
        <v>0</v>
      </c>
      <c r="AP464" s="59">
        <v>12</v>
      </c>
      <c r="AQ464" s="59">
        <v>3</v>
      </c>
      <c r="AR464" s="59">
        <v>4</v>
      </c>
      <c r="AS464" s="59">
        <v>80</v>
      </c>
      <c r="AT464" s="59">
        <v>0</v>
      </c>
      <c r="AU464" s="59">
        <v>10</v>
      </c>
      <c r="AV464" s="59">
        <v>3</v>
      </c>
      <c r="AW464" s="59">
        <v>3</v>
      </c>
      <c r="AX464" s="59">
        <v>10</v>
      </c>
      <c r="AY464" s="59">
        <v>7</v>
      </c>
      <c r="AZ464" s="59">
        <v>5</v>
      </c>
      <c r="BA464" s="59">
        <v>7</v>
      </c>
      <c r="BB464" s="57">
        <f t="shared" si="151"/>
        <v>10674</v>
      </c>
    </row>
    <row r="465" spans="1:54" x14ac:dyDescent="0.25">
      <c r="A465" s="58">
        <v>26</v>
      </c>
      <c r="B465" s="59">
        <v>1</v>
      </c>
      <c r="C465" s="59">
        <v>1</v>
      </c>
      <c r="D465" s="59">
        <f t="shared" si="133"/>
        <v>1</v>
      </c>
      <c r="E465" s="59">
        <f t="shared" si="134"/>
        <v>0</v>
      </c>
      <c r="F465" s="59">
        <v>471</v>
      </c>
      <c r="G465" s="59">
        <v>2</v>
      </c>
      <c r="H465" s="59">
        <f t="shared" si="135"/>
        <v>0</v>
      </c>
      <c r="I465" s="59">
        <f t="shared" si="136"/>
        <v>1</v>
      </c>
      <c r="J465" s="59">
        <v>24</v>
      </c>
      <c r="K465" s="59">
        <v>3</v>
      </c>
      <c r="L465" s="59">
        <v>5</v>
      </c>
      <c r="M465" s="59">
        <f t="shared" si="137"/>
        <v>0</v>
      </c>
      <c r="N465" s="59">
        <f t="shared" si="138"/>
        <v>0</v>
      </c>
      <c r="O465" s="59">
        <f t="shared" si="139"/>
        <v>0</v>
      </c>
      <c r="P465" s="59">
        <f t="shared" si="140"/>
        <v>0</v>
      </c>
      <c r="Q465" s="59">
        <f t="shared" si="141"/>
        <v>1</v>
      </c>
      <c r="R465" s="59">
        <v>1</v>
      </c>
      <c r="S465" s="59">
        <v>622</v>
      </c>
      <c r="T465" s="59">
        <v>3</v>
      </c>
      <c r="U465" s="59">
        <v>1</v>
      </c>
      <c r="V465" s="59">
        <v>66</v>
      </c>
      <c r="W465" s="59">
        <v>1</v>
      </c>
      <c r="X465" s="59">
        <v>1</v>
      </c>
      <c r="Y465" s="59">
        <v>3</v>
      </c>
      <c r="Z465" s="59">
        <f t="shared" si="142"/>
        <v>0</v>
      </c>
      <c r="AA465" s="59">
        <f>IF('Updated Dummy'!Y465=2,1,0)</f>
        <v>0</v>
      </c>
      <c r="AB465" s="59">
        <f t="shared" si="143"/>
        <v>1</v>
      </c>
      <c r="AC465" s="59">
        <f t="shared" si="144"/>
        <v>0</v>
      </c>
      <c r="AD465" s="59">
        <f t="shared" si="145"/>
        <v>0</v>
      </c>
      <c r="AE465" s="59">
        <f t="shared" si="146"/>
        <v>0</v>
      </c>
      <c r="AF465" s="59">
        <f t="shared" si="147"/>
        <v>0</v>
      </c>
      <c r="AG465" s="59">
        <f t="shared" si="148"/>
        <v>0</v>
      </c>
      <c r="AH465" s="59">
        <v>4</v>
      </c>
      <c r="AI465" s="59">
        <v>1</v>
      </c>
      <c r="AJ465" s="59">
        <f t="shared" si="149"/>
        <v>1</v>
      </c>
      <c r="AK465" s="59">
        <f t="shared" si="150"/>
        <v>0</v>
      </c>
      <c r="AL465" s="59">
        <v>2340</v>
      </c>
      <c r="AM465" s="59">
        <v>23213</v>
      </c>
      <c r="AN465" s="59">
        <v>1</v>
      </c>
      <c r="AO465" s="59">
        <v>1</v>
      </c>
      <c r="AP465" s="59">
        <v>18</v>
      </c>
      <c r="AQ465" s="59">
        <v>3</v>
      </c>
      <c r="AR465" s="59">
        <v>2</v>
      </c>
      <c r="AS465" s="59">
        <v>80</v>
      </c>
      <c r="AT465" s="59">
        <v>0</v>
      </c>
      <c r="AU465" s="59">
        <v>1</v>
      </c>
      <c r="AV465" s="59">
        <v>3</v>
      </c>
      <c r="AW465" s="59">
        <v>1</v>
      </c>
      <c r="AX465" s="59">
        <v>1</v>
      </c>
      <c r="AY465" s="59">
        <v>0</v>
      </c>
      <c r="AZ465" s="59">
        <v>0</v>
      </c>
      <c r="BA465" s="59">
        <v>0</v>
      </c>
      <c r="BB465" s="57">
        <f t="shared" si="151"/>
        <v>2340</v>
      </c>
    </row>
    <row r="466" spans="1:54" x14ac:dyDescent="0.25">
      <c r="A466" s="58">
        <v>37</v>
      </c>
      <c r="B466" s="59">
        <v>0</v>
      </c>
      <c r="C466" s="59">
        <v>1</v>
      </c>
      <c r="D466" s="59">
        <f t="shared" si="133"/>
        <v>1</v>
      </c>
      <c r="E466" s="59">
        <f t="shared" si="134"/>
        <v>0</v>
      </c>
      <c r="F466" s="59">
        <v>799</v>
      </c>
      <c r="G466" s="59">
        <v>2</v>
      </c>
      <c r="H466" s="59">
        <f t="shared" si="135"/>
        <v>0</v>
      </c>
      <c r="I466" s="59">
        <f t="shared" si="136"/>
        <v>1</v>
      </c>
      <c r="J466" s="59">
        <v>1</v>
      </c>
      <c r="K466" s="59">
        <v>3</v>
      </c>
      <c r="L466" s="59">
        <v>5</v>
      </c>
      <c r="M466" s="59">
        <f t="shared" si="137"/>
        <v>0</v>
      </c>
      <c r="N466" s="59">
        <f t="shared" si="138"/>
        <v>0</v>
      </c>
      <c r="O466" s="59">
        <f t="shared" si="139"/>
        <v>0</v>
      </c>
      <c r="P466" s="59">
        <f t="shared" si="140"/>
        <v>0</v>
      </c>
      <c r="Q466" s="59">
        <f t="shared" si="141"/>
        <v>1</v>
      </c>
      <c r="R466" s="59">
        <v>1</v>
      </c>
      <c r="S466" s="59">
        <v>623</v>
      </c>
      <c r="T466" s="59">
        <v>2</v>
      </c>
      <c r="U466" s="59">
        <v>0</v>
      </c>
      <c r="V466" s="59">
        <v>59</v>
      </c>
      <c r="W466" s="59">
        <v>3</v>
      </c>
      <c r="X466" s="59">
        <v>3</v>
      </c>
      <c r="Y466" s="59">
        <v>4</v>
      </c>
      <c r="Z466" s="59">
        <f t="shared" si="142"/>
        <v>0</v>
      </c>
      <c r="AA466" s="59">
        <f>IF('Updated Dummy'!Y466=2,1,0)</f>
        <v>0</v>
      </c>
      <c r="AB466" s="59">
        <f t="shared" si="143"/>
        <v>0</v>
      </c>
      <c r="AC466" s="59">
        <f t="shared" si="144"/>
        <v>1</v>
      </c>
      <c r="AD466" s="59">
        <f t="shared" si="145"/>
        <v>0</v>
      </c>
      <c r="AE466" s="59">
        <f t="shared" si="146"/>
        <v>0</v>
      </c>
      <c r="AF466" s="59">
        <f t="shared" si="147"/>
        <v>0</v>
      </c>
      <c r="AG466" s="59">
        <f t="shared" si="148"/>
        <v>0</v>
      </c>
      <c r="AH466" s="59">
        <v>4</v>
      </c>
      <c r="AI466" s="59">
        <v>1</v>
      </c>
      <c r="AJ466" s="59">
        <f t="shared" si="149"/>
        <v>1</v>
      </c>
      <c r="AK466" s="59">
        <f t="shared" si="150"/>
        <v>0</v>
      </c>
      <c r="AL466" s="59">
        <v>7491</v>
      </c>
      <c r="AM466" s="59">
        <v>23848</v>
      </c>
      <c r="AN466" s="59">
        <v>4</v>
      </c>
      <c r="AO466" s="59">
        <v>0</v>
      </c>
      <c r="AP466" s="59">
        <v>17</v>
      </c>
      <c r="AQ466" s="59">
        <v>3</v>
      </c>
      <c r="AR466" s="59">
        <v>4</v>
      </c>
      <c r="AS466" s="59">
        <v>80</v>
      </c>
      <c r="AT466" s="59">
        <v>0</v>
      </c>
      <c r="AU466" s="59">
        <v>12</v>
      </c>
      <c r="AV466" s="59">
        <v>3</v>
      </c>
      <c r="AW466" s="59">
        <v>4</v>
      </c>
      <c r="AX466" s="59">
        <v>6</v>
      </c>
      <c r="AY466" s="59">
        <v>5</v>
      </c>
      <c r="AZ466" s="59">
        <v>1</v>
      </c>
      <c r="BA466" s="59">
        <v>2</v>
      </c>
      <c r="BB466" s="57">
        <f t="shared" si="151"/>
        <v>22473</v>
      </c>
    </row>
    <row r="467" spans="1:54" x14ac:dyDescent="0.25">
      <c r="A467" s="58">
        <v>46</v>
      </c>
      <c r="B467" s="59">
        <v>0</v>
      </c>
      <c r="C467" s="59">
        <v>2</v>
      </c>
      <c r="D467" s="59">
        <f t="shared" si="133"/>
        <v>0</v>
      </c>
      <c r="E467" s="59">
        <f t="shared" si="134"/>
        <v>1</v>
      </c>
      <c r="F467" s="59">
        <v>1034</v>
      </c>
      <c r="G467" s="59">
        <v>2</v>
      </c>
      <c r="H467" s="59">
        <f t="shared" si="135"/>
        <v>0</v>
      </c>
      <c r="I467" s="59">
        <f t="shared" si="136"/>
        <v>1</v>
      </c>
      <c r="J467" s="59">
        <v>18</v>
      </c>
      <c r="K467" s="59">
        <v>1</v>
      </c>
      <c r="L467" s="59">
        <v>3</v>
      </c>
      <c r="M467" s="59">
        <f t="shared" si="137"/>
        <v>0</v>
      </c>
      <c r="N467" s="59">
        <f t="shared" si="138"/>
        <v>0</v>
      </c>
      <c r="O467" s="59">
        <f t="shared" si="139"/>
        <v>1</v>
      </c>
      <c r="P467" s="59">
        <f t="shared" si="140"/>
        <v>0</v>
      </c>
      <c r="Q467" s="59">
        <f t="shared" si="141"/>
        <v>0</v>
      </c>
      <c r="R467" s="59">
        <v>1</v>
      </c>
      <c r="S467" s="59">
        <v>624</v>
      </c>
      <c r="T467" s="59">
        <v>1</v>
      </c>
      <c r="U467" s="59">
        <v>0</v>
      </c>
      <c r="V467" s="59">
        <v>86</v>
      </c>
      <c r="W467" s="59">
        <v>3</v>
      </c>
      <c r="X467" s="59">
        <v>3</v>
      </c>
      <c r="Y467" s="59">
        <v>5</v>
      </c>
      <c r="Z467" s="59">
        <f t="shared" si="142"/>
        <v>0</v>
      </c>
      <c r="AA467" s="59">
        <f>IF('Updated Dummy'!Y467=2,1,0)</f>
        <v>0</v>
      </c>
      <c r="AB467" s="59">
        <f t="shared" si="143"/>
        <v>0</v>
      </c>
      <c r="AC467" s="59">
        <f t="shared" si="144"/>
        <v>0</v>
      </c>
      <c r="AD467" s="59">
        <f t="shared" si="145"/>
        <v>1</v>
      </c>
      <c r="AE467" s="59">
        <f t="shared" si="146"/>
        <v>0</v>
      </c>
      <c r="AF467" s="59">
        <f t="shared" si="147"/>
        <v>0</v>
      </c>
      <c r="AG467" s="59">
        <f t="shared" si="148"/>
        <v>0</v>
      </c>
      <c r="AH467" s="59">
        <v>3</v>
      </c>
      <c r="AI467" s="59">
        <v>2</v>
      </c>
      <c r="AJ467" s="59">
        <f t="shared" si="149"/>
        <v>0</v>
      </c>
      <c r="AK467" s="59">
        <f t="shared" si="150"/>
        <v>1</v>
      </c>
      <c r="AL467" s="59">
        <v>10527</v>
      </c>
      <c r="AM467" s="59">
        <v>8984</v>
      </c>
      <c r="AN467" s="59">
        <v>5</v>
      </c>
      <c r="AO467" s="59">
        <v>0</v>
      </c>
      <c r="AP467" s="59">
        <v>11</v>
      </c>
      <c r="AQ467" s="59">
        <v>3</v>
      </c>
      <c r="AR467" s="59">
        <v>4</v>
      </c>
      <c r="AS467" s="59">
        <v>80</v>
      </c>
      <c r="AT467" s="59">
        <v>0</v>
      </c>
      <c r="AU467" s="59">
        <v>28</v>
      </c>
      <c r="AV467" s="59">
        <v>3</v>
      </c>
      <c r="AW467" s="59">
        <v>2</v>
      </c>
      <c r="AX467" s="59">
        <v>2</v>
      </c>
      <c r="AY467" s="59">
        <v>2</v>
      </c>
      <c r="AZ467" s="59">
        <v>1</v>
      </c>
      <c r="BA467" s="59">
        <v>2</v>
      </c>
      <c r="BB467" s="57">
        <f t="shared" si="151"/>
        <v>31581</v>
      </c>
    </row>
    <row r="468" spans="1:54" x14ac:dyDescent="0.25">
      <c r="A468" s="58">
        <v>41</v>
      </c>
      <c r="B468" s="59">
        <v>0</v>
      </c>
      <c r="C468" s="59">
        <v>1</v>
      </c>
      <c r="D468" s="59">
        <f t="shared" si="133"/>
        <v>1</v>
      </c>
      <c r="E468" s="59">
        <f t="shared" si="134"/>
        <v>0</v>
      </c>
      <c r="F468" s="59">
        <v>1276</v>
      </c>
      <c r="G468" s="59">
        <v>1</v>
      </c>
      <c r="H468" s="59">
        <f t="shared" si="135"/>
        <v>1</v>
      </c>
      <c r="I468" s="59">
        <f t="shared" si="136"/>
        <v>0</v>
      </c>
      <c r="J468" s="59">
        <v>2</v>
      </c>
      <c r="K468" s="59">
        <v>5</v>
      </c>
      <c r="L468" s="59">
        <v>1</v>
      </c>
      <c r="M468" s="59">
        <f t="shared" si="137"/>
        <v>1</v>
      </c>
      <c r="N468" s="59">
        <f t="shared" si="138"/>
        <v>0</v>
      </c>
      <c r="O468" s="59">
        <f t="shared" si="139"/>
        <v>0</v>
      </c>
      <c r="P468" s="59">
        <f t="shared" si="140"/>
        <v>0</v>
      </c>
      <c r="Q468" s="59">
        <f t="shared" si="141"/>
        <v>0</v>
      </c>
      <c r="R468" s="59">
        <v>1</v>
      </c>
      <c r="S468" s="59">
        <v>625</v>
      </c>
      <c r="T468" s="59">
        <v>2</v>
      </c>
      <c r="U468" s="59">
        <v>0</v>
      </c>
      <c r="V468" s="59">
        <v>91</v>
      </c>
      <c r="W468" s="59">
        <v>3</v>
      </c>
      <c r="X468" s="59">
        <v>4</v>
      </c>
      <c r="Y468" s="59">
        <v>6</v>
      </c>
      <c r="Z468" s="59">
        <f t="shared" si="142"/>
        <v>0</v>
      </c>
      <c r="AA468" s="59">
        <f>IF('Updated Dummy'!Y468=2,1,0)</f>
        <v>0</v>
      </c>
      <c r="AB468" s="59">
        <f t="shared" si="143"/>
        <v>0</v>
      </c>
      <c r="AC468" s="59">
        <f t="shared" si="144"/>
        <v>0</v>
      </c>
      <c r="AD468" s="59">
        <f t="shared" si="145"/>
        <v>0</v>
      </c>
      <c r="AE468" s="59">
        <f t="shared" si="146"/>
        <v>1</v>
      </c>
      <c r="AF468" s="59">
        <f t="shared" si="147"/>
        <v>0</v>
      </c>
      <c r="AG468" s="59">
        <f t="shared" si="148"/>
        <v>0</v>
      </c>
      <c r="AH468" s="59">
        <v>1</v>
      </c>
      <c r="AI468" s="59">
        <v>2</v>
      </c>
      <c r="AJ468" s="59">
        <f t="shared" si="149"/>
        <v>0</v>
      </c>
      <c r="AK468" s="59">
        <f t="shared" si="150"/>
        <v>1</v>
      </c>
      <c r="AL468" s="59">
        <v>16595</v>
      </c>
      <c r="AM468" s="59">
        <v>5626</v>
      </c>
      <c r="AN468" s="59">
        <v>7</v>
      </c>
      <c r="AO468" s="59">
        <v>0</v>
      </c>
      <c r="AP468" s="59">
        <v>16</v>
      </c>
      <c r="AQ468" s="59">
        <v>3</v>
      </c>
      <c r="AR468" s="59">
        <v>2</v>
      </c>
      <c r="AS468" s="59">
        <v>80</v>
      </c>
      <c r="AT468" s="59">
        <v>1</v>
      </c>
      <c r="AU468" s="59">
        <v>22</v>
      </c>
      <c r="AV468" s="59">
        <v>2</v>
      </c>
      <c r="AW468" s="59">
        <v>3</v>
      </c>
      <c r="AX468" s="59">
        <v>18</v>
      </c>
      <c r="AY468" s="59">
        <v>16</v>
      </c>
      <c r="AZ468" s="59">
        <v>11</v>
      </c>
      <c r="BA468" s="59">
        <v>8</v>
      </c>
      <c r="BB468" s="57">
        <f t="shared" si="151"/>
        <v>66380</v>
      </c>
    </row>
    <row r="469" spans="1:54" x14ac:dyDescent="0.25">
      <c r="A469" s="58">
        <v>37</v>
      </c>
      <c r="B469" s="59">
        <v>0</v>
      </c>
      <c r="C469" s="59">
        <v>3</v>
      </c>
      <c r="D469" s="59">
        <f t="shared" si="133"/>
        <v>0</v>
      </c>
      <c r="E469" s="59">
        <f t="shared" si="134"/>
        <v>0</v>
      </c>
      <c r="F469" s="59">
        <v>142</v>
      </c>
      <c r="G469" s="59">
        <v>1</v>
      </c>
      <c r="H469" s="59">
        <f t="shared" si="135"/>
        <v>1</v>
      </c>
      <c r="I469" s="59">
        <f t="shared" si="136"/>
        <v>0</v>
      </c>
      <c r="J469" s="59">
        <v>9</v>
      </c>
      <c r="K469" s="59">
        <v>4</v>
      </c>
      <c r="L469" s="59">
        <v>3</v>
      </c>
      <c r="M469" s="59">
        <f t="shared" si="137"/>
        <v>0</v>
      </c>
      <c r="N469" s="59">
        <f t="shared" si="138"/>
        <v>0</v>
      </c>
      <c r="O469" s="59">
        <f t="shared" si="139"/>
        <v>1</v>
      </c>
      <c r="P469" s="59">
        <f t="shared" si="140"/>
        <v>0</v>
      </c>
      <c r="Q469" s="59">
        <f t="shared" si="141"/>
        <v>0</v>
      </c>
      <c r="R469" s="59">
        <v>1</v>
      </c>
      <c r="S469" s="59">
        <v>626</v>
      </c>
      <c r="T469" s="59">
        <v>1</v>
      </c>
      <c r="U469" s="59">
        <v>1</v>
      </c>
      <c r="V469" s="59">
        <v>69</v>
      </c>
      <c r="W469" s="59">
        <v>3</v>
      </c>
      <c r="X469" s="59">
        <v>3</v>
      </c>
      <c r="Y469" s="59">
        <v>1</v>
      </c>
      <c r="Z469" s="59">
        <f t="shared" si="142"/>
        <v>1</v>
      </c>
      <c r="AA469" s="59">
        <f>IF('Updated Dummy'!Y469=2,1,0)</f>
        <v>0</v>
      </c>
      <c r="AB469" s="59">
        <f t="shared" si="143"/>
        <v>0</v>
      </c>
      <c r="AC469" s="59">
        <f t="shared" si="144"/>
        <v>0</v>
      </c>
      <c r="AD469" s="59">
        <f t="shared" si="145"/>
        <v>0</v>
      </c>
      <c r="AE469" s="59">
        <f t="shared" si="146"/>
        <v>0</v>
      </c>
      <c r="AF469" s="59">
        <f t="shared" si="147"/>
        <v>0</v>
      </c>
      <c r="AG469" s="59">
        <f t="shared" si="148"/>
        <v>0</v>
      </c>
      <c r="AH469" s="59">
        <v>2</v>
      </c>
      <c r="AI469" s="59">
        <v>3</v>
      </c>
      <c r="AJ469" s="59">
        <f t="shared" si="149"/>
        <v>0</v>
      </c>
      <c r="AK469" s="59">
        <f t="shared" si="150"/>
        <v>0</v>
      </c>
      <c r="AL469" s="59">
        <v>8834</v>
      </c>
      <c r="AM469" s="59">
        <v>24666</v>
      </c>
      <c r="AN469" s="59">
        <v>1</v>
      </c>
      <c r="AO469" s="59">
        <v>0</v>
      </c>
      <c r="AP469" s="59">
        <v>13</v>
      </c>
      <c r="AQ469" s="59">
        <v>3</v>
      </c>
      <c r="AR469" s="59">
        <v>4</v>
      </c>
      <c r="AS469" s="59">
        <v>80</v>
      </c>
      <c r="AT469" s="59">
        <v>1</v>
      </c>
      <c r="AU469" s="59">
        <v>9</v>
      </c>
      <c r="AV469" s="59">
        <v>6</v>
      </c>
      <c r="AW469" s="59">
        <v>3</v>
      </c>
      <c r="AX469" s="59">
        <v>9</v>
      </c>
      <c r="AY469" s="59">
        <v>5</v>
      </c>
      <c r="AZ469" s="59">
        <v>7</v>
      </c>
      <c r="BA469" s="59">
        <v>7</v>
      </c>
      <c r="BB469" s="57">
        <f t="shared" si="151"/>
        <v>26502</v>
      </c>
    </row>
    <row r="470" spans="1:54" x14ac:dyDescent="0.25">
      <c r="A470" s="58">
        <v>52</v>
      </c>
      <c r="B470" s="59">
        <v>0</v>
      </c>
      <c r="C470" s="59">
        <v>1</v>
      </c>
      <c r="D470" s="59">
        <f t="shared" si="133"/>
        <v>1</v>
      </c>
      <c r="E470" s="59">
        <f t="shared" si="134"/>
        <v>0</v>
      </c>
      <c r="F470" s="59">
        <v>956</v>
      </c>
      <c r="G470" s="59">
        <v>2</v>
      </c>
      <c r="H470" s="59">
        <f t="shared" si="135"/>
        <v>0</v>
      </c>
      <c r="I470" s="59">
        <f t="shared" si="136"/>
        <v>1</v>
      </c>
      <c r="J470" s="59">
        <v>6</v>
      </c>
      <c r="K470" s="59">
        <v>2</v>
      </c>
      <c r="L470" s="59">
        <v>5</v>
      </c>
      <c r="M470" s="59">
        <f t="shared" si="137"/>
        <v>0</v>
      </c>
      <c r="N470" s="59">
        <f t="shared" si="138"/>
        <v>0</v>
      </c>
      <c r="O470" s="59">
        <f t="shared" si="139"/>
        <v>0</v>
      </c>
      <c r="P470" s="59">
        <f t="shared" si="140"/>
        <v>0</v>
      </c>
      <c r="Q470" s="59">
        <f t="shared" si="141"/>
        <v>1</v>
      </c>
      <c r="R470" s="59">
        <v>1</v>
      </c>
      <c r="S470" s="59">
        <v>630</v>
      </c>
      <c r="T470" s="59">
        <v>4</v>
      </c>
      <c r="U470" s="59">
        <v>1</v>
      </c>
      <c r="V470" s="59">
        <v>78</v>
      </c>
      <c r="W470" s="59">
        <v>3</v>
      </c>
      <c r="X470" s="59">
        <v>2</v>
      </c>
      <c r="Y470" s="59">
        <v>2</v>
      </c>
      <c r="Z470" s="59">
        <f t="shared" si="142"/>
        <v>0</v>
      </c>
      <c r="AA470" s="59">
        <f>IF('Updated Dummy'!Y470=2,1,0)</f>
        <v>1</v>
      </c>
      <c r="AB470" s="59">
        <f t="shared" si="143"/>
        <v>0</v>
      </c>
      <c r="AC470" s="59">
        <f t="shared" si="144"/>
        <v>0</v>
      </c>
      <c r="AD470" s="59">
        <f t="shared" si="145"/>
        <v>0</v>
      </c>
      <c r="AE470" s="59">
        <f t="shared" si="146"/>
        <v>0</v>
      </c>
      <c r="AF470" s="59">
        <f t="shared" si="147"/>
        <v>0</v>
      </c>
      <c r="AG470" s="59">
        <f t="shared" si="148"/>
        <v>0</v>
      </c>
      <c r="AH470" s="59">
        <v>1</v>
      </c>
      <c r="AI470" s="59">
        <v>3</v>
      </c>
      <c r="AJ470" s="59">
        <f t="shared" si="149"/>
        <v>0</v>
      </c>
      <c r="AK470" s="59">
        <f t="shared" si="150"/>
        <v>0</v>
      </c>
      <c r="AL470" s="59">
        <v>5577</v>
      </c>
      <c r="AM470" s="59">
        <v>22087</v>
      </c>
      <c r="AN470" s="59">
        <v>3</v>
      </c>
      <c r="AO470" s="59">
        <v>1</v>
      </c>
      <c r="AP470" s="59">
        <v>12</v>
      </c>
      <c r="AQ470" s="59">
        <v>3</v>
      </c>
      <c r="AR470" s="59">
        <v>2</v>
      </c>
      <c r="AS470" s="59">
        <v>80</v>
      </c>
      <c r="AT470" s="59">
        <v>2</v>
      </c>
      <c r="AU470" s="59">
        <v>18</v>
      </c>
      <c r="AV470" s="59">
        <v>3</v>
      </c>
      <c r="AW470" s="59">
        <v>3</v>
      </c>
      <c r="AX470" s="59">
        <v>10</v>
      </c>
      <c r="AY470" s="59">
        <v>9</v>
      </c>
      <c r="AZ470" s="59">
        <v>6</v>
      </c>
      <c r="BA470" s="59">
        <v>9</v>
      </c>
      <c r="BB470" s="57">
        <f t="shared" si="151"/>
        <v>11154</v>
      </c>
    </row>
    <row r="471" spans="1:54" x14ac:dyDescent="0.25">
      <c r="A471" s="58">
        <v>32</v>
      </c>
      <c r="B471" s="59">
        <v>1</v>
      </c>
      <c r="C471" s="59">
        <v>3</v>
      </c>
      <c r="D471" s="59">
        <f t="shared" si="133"/>
        <v>0</v>
      </c>
      <c r="E471" s="59">
        <f t="shared" si="134"/>
        <v>0</v>
      </c>
      <c r="F471" s="59">
        <v>1474</v>
      </c>
      <c r="G471" s="59">
        <v>1</v>
      </c>
      <c r="H471" s="59">
        <f t="shared" si="135"/>
        <v>1</v>
      </c>
      <c r="I471" s="59">
        <f t="shared" si="136"/>
        <v>0</v>
      </c>
      <c r="J471" s="59">
        <v>11</v>
      </c>
      <c r="K471" s="59">
        <v>4</v>
      </c>
      <c r="L471" s="59">
        <v>6</v>
      </c>
      <c r="M471" s="59">
        <f t="shared" si="137"/>
        <v>0</v>
      </c>
      <c r="N471" s="59">
        <f t="shared" si="138"/>
        <v>0</v>
      </c>
      <c r="O471" s="59">
        <f t="shared" si="139"/>
        <v>0</v>
      </c>
      <c r="P471" s="59">
        <f t="shared" si="140"/>
        <v>0</v>
      </c>
      <c r="Q471" s="59">
        <f t="shared" si="141"/>
        <v>0</v>
      </c>
      <c r="R471" s="59">
        <v>1</v>
      </c>
      <c r="S471" s="59">
        <v>631</v>
      </c>
      <c r="T471" s="59">
        <v>4</v>
      </c>
      <c r="U471" s="59">
        <v>1</v>
      </c>
      <c r="V471" s="59">
        <v>60</v>
      </c>
      <c r="W471" s="59">
        <v>4</v>
      </c>
      <c r="X471" s="59">
        <v>2</v>
      </c>
      <c r="Y471" s="59">
        <v>1</v>
      </c>
      <c r="Z471" s="59">
        <f t="shared" si="142"/>
        <v>1</v>
      </c>
      <c r="AA471" s="59">
        <f>IF('Updated Dummy'!Y471=2,1,0)</f>
        <v>0</v>
      </c>
      <c r="AB471" s="59">
        <f t="shared" si="143"/>
        <v>0</v>
      </c>
      <c r="AC471" s="59">
        <f t="shared" si="144"/>
        <v>0</v>
      </c>
      <c r="AD471" s="59">
        <f t="shared" si="145"/>
        <v>0</v>
      </c>
      <c r="AE471" s="59">
        <f t="shared" si="146"/>
        <v>0</v>
      </c>
      <c r="AF471" s="59">
        <f t="shared" si="147"/>
        <v>0</v>
      </c>
      <c r="AG471" s="59">
        <f t="shared" si="148"/>
        <v>0</v>
      </c>
      <c r="AH471" s="59">
        <v>3</v>
      </c>
      <c r="AI471" s="59">
        <v>2</v>
      </c>
      <c r="AJ471" s="59">
        <f t="shared" si="149"/>
        <v>0</v>
      </c>
      <c r="AK471" s="59">
        <f t="shared" si="150"/>
        <v>1</v>
      </c>
      <c r="AL471" s="59">
        <v>4707</v>
      </c>
      <c r="AM471" s="59">
        <v>23914</v>
      </c>
      <c r="AN471" s="59">
        <v>8</v>
      </c>
      <c r="AO471" s="59">
        <v>0</v>
      </c>
      <c r="AP471" s="59">
        <v>12</v>
      </c>
      <c r="AQ471" s="59">
        <v>3</v>
      </c>
      <c r="AR471" s="59">
        <v>4</v>
      </c>
      <c r="AS471" s="59">
        <v>80</v>
      </c>
      <c r="AT471" s="59">
        <v>0</v>
      </c>
      <c r="AU471" s="59">
        <v>6</v>
      </c>
      <c r="AV471" s="59">
        <v>2</v>
      </c>
      <c r="AW471" s="59">
        <v>3</v>
      </c>
      <c r="AX471" s="59">
        <v>4</v>
      </c>
      <c r="AY471" s="59">
        <v>2</v>
      </c>
      <c r="AZ471" s="59">
        <v>1</v>
      </c>
      <c r="BA471" s="59">
        <v>2</v>
      </c>
      <c r="BB471" s="57">
        <f t="shared" si="151"/>
        <v>9414</v>
      </c>
    </row>
    <row r="472" spans="1:54" x14ac:dyDescent="0.25">
      <c r="A472" s="58">
        <v>24</v>
      </c>
      <c r="B472" s="59">
        <v>0</v>
      </c>
      <c r="C472" s="59">
        <v>2</v>
      </c>
      <c r="D472" s="59">
        <f t="shared" si="133"/>
        <v>0</v>
      </c>
      <c r="E472" s="59">
        <f t="shared" si="134"/>
        <v>1</v>
      </c>
      <c r="F472" s="59">
        <v>535</v>
      </c>
      <c r="G472" s="59">
        <v>1</v>
      </c>
      <c r="H472" s="59">
        <f t="shared" si="135"/>
        <v>1</v>
      </c>
      <c r="I472" s="59">
        <f t="shared" si="136"/>
        <v>0</v>
      </c>
      <c r="J472" s="59">
        <v>24</v>
      </c>
      <c r="K472" s="59">
        <v>3</v>
      </c>
      <c r="L472" s="59">
        <v>3</v>
      </c>
      <c r="M472" s="59">
        <f t="shared" si="137"/>
        <v>0</v>
      </c>
      <c r="N472" s="59">
        <f t="shared" si="138"/>
        <v>0</v>
      </c>
      <c r="O472" s="59">
        <f t="shared" si="139"/>
        <v>1</v>
      </c>
      <c r="P472" s="59">
        <f t="shared" si="140"/>
        <v>0</v>
      </c>
      <c r="Q472" s="59">
        <f t="shared" si="141"/>
        <v>0</v>
      </c>
      <c r="R472" s="59">
        <v>1</v>
      </c>
      <c r="S472" s="59">
        <v>632</v>
      </c>
      <c r="T472" s="59">
        <v>4</v>
      </c>
      <c r="U472" s="59">
        <v>1</v>
      </c>
      <c r="V472" s="59">
        <v>38</v>
      </c>
      <c r="W472" s="59">
        <v>3</v>
      </c>
      <c r="X472" s="59">
        <v>1</v>
      </c>
      <c r="Y472" s="59">
        <v>7</v>
      </c>
      <c r="Z472" s="59">
        <f t="shared" si="142"/>
        <v>0</v>
      </c>
      <c r="AA472" s="59">
        <f>IF('Updated Dummy'!Y472=2,1,0)</f>
        <v>0</v>
      </c>
      <c r="AB472" s="59">
        <f t="shared" si="143"/>
        <v>0</v>
      </c>
      <c r="AC472" s="59">
        <f t="shared" si="144"/>
        <v>0</v>
      </c>
      <c r="AD472" s="59">
        <f t="shared" si="145"/>
        <v>0</v>
      </c>
      <c r="AE472" s="59">
        <f t="shared" si="146"/>
        <v>0</v>
      </c>
      <c r="AF472" s="59">
        <f t="shared" si="147"/>
        <v>1</v>
      </c>
      <c r="AG472" s="59">
        <f t="shared" si="148"/>
        <v>0</v>
      </c>
      <c r="AH472" s="59">
        <v>4</v>
      </c>
      <c r="AI472" s="59">
        <v>2</v>
      </c>
      <c r="AJ472" s="59">
        <f t="shared" si="149"/>
        <v>0</v>
      </c>
      <c r="AK472" s="59">
        <f t="shared" si="150"/>
        <v>1</v>
      </c>
      <c r="AL472" s="59">
        <v>2400</v>
      </c>
      <c r="AM472" s="59">
        <v>5530</v>
      </c>
      <c r="AN472" s="59">
        <v>0</v>
      </c>
      <c r="AO472" s="59">
        <v>0</v>
      </c>
      <c r="AP472" s="59">
        <v>13</v>
      </c>
      <c r="AQ472" s="59">
        <v>3</v>
      </c>
      <c r="AR472" s="59">
        <v>3</v>
      </c>
      <c r="AS472" s="59">
        <v>80</v>
      </c>
      <c r="AT472" s="59">
        <v>2</v>
      </c>
      <c r="AU472" s="59">
        <v>3</v>
      </c>
      <c r="AV472" s="59">
        <v>3</v>
      </c>
      <c r="AW472" s="59">
        <v>3</v>
      </c>
      <c r="AX472" s="59">
        <v>2</v>
      </c>
      <c r="AY472" s="59">
        <v>2</v>
      </c>
      <c r="AZ472" s="59">
        <v>2</v>
      </c>
      <c r="BA472" s="59">
        <v>1</v>
      </c>
      <c r="BB472" s="57">
        <f t="shared" si="151"/>
        <v>2400</v>
      </c>
    </row>
    <row r="473" spans="1:54" x14ac:dyDescent="0.25">
      <c r="A473" s="58">
        <v>38</v>
      </c>
      <c r="B473" s="59">
        <v>0</v>
      </c>
      <c r="C473" s="59">
        <v>1</v>
      </c>
      <c r="D473" s="59">
        <f t="shared" si="133"/>
        <v>1</v>
      </c>
      <c r="E473" s="59">
        <f t="shared" si="134"/>
        <v>0</v>
      </c>
      <c r="F473" s="59">
        <v>1495</v>
      </c>
      <c r="G473" s="59">
        <v>2</v>
      </c>
      <c r="H473" s="59">
        <f t="shared" si="135"/>
        <v>0</v>
      </c>
      <c r="I473" s="59">
        <f t="shared" si="136"/>
        <v>1</v>
      </c>
      <c r="J473" s="59">
        <v>10</v>
      </c>
      <c r="K473" s="59">
        <v>3</v>
      </c>
      <c r="L473" s="59">
        <v>3</v>
      </c>
      <c r="M473" s="59">
        <f t="shared" si="137"/>
        <v>0</v>
      </c>
      <c r="N473" s="59">
        <f t="shared" si="138"/>
        <v>0</v>
      </c>
      <c r="O473" s="59">
        <f t="shared" si="139"/>
        <v>1</v>
      </c>
      <c r="P473" s="59">
        <f t="shared" si="140"/>
        <v>0</v>
      </c>
      <c r="Q473" s="59">
        <f t="shared" si="141"/>
        <v>0</v>
      </c>
      <c r="R473" s="59">
        <v>1</v>
      </c>
      <c r="S473" s="59">
        <v>634</v>
      </c>
      <c r="T473" s="59">
        <v>3</v>
      </c>
      <c r="U473" s="59">
        <v>0</v>
      </c>
      <c r="V473" s="59">
        <v>76</v>
      </c>
      <c r="W473" s="59">
        <v>3</v>
      </c>
      <c r="X473" s="59">
        <v>2</v>
      </c>
      <c r="Y473" s="59">
        <v>5</v>
      </c>
      <c r="Z473" s="59">
        <f t="shared" si="142"/>
        <v>0</v>
      </c>
      <c r="AA473" s="59">
        <f>IF('Updated Dummy'!Y473=2,1,0)</f>
        <v>0</v>
      </c>
      <c r="AB473" s="59">
        <f t="shared" si="143"/>
        <v>0</v>
      </c>
      <c r="AC473" s="59">
        <f t="shared" si="144"/>
        <v>0</v>
      </c>
      <c r="AD473" s="59">
        <f t="shared" si="145"/>
        <v>1</v>
      </c>
      <c r="AE473" s="59">
        <f t="shared" si="146"/>
        <v>0</v>
      </c>
      <c r="AF473" s="59">
        <f t="shared" si="147"/>
        <v>0</v>
      </c>
      <c r="AG473" s="59">
        <f t="shared" si="148"/>
        <v>0</v>
      </c>
      <c r="AH473" s="59">
        <v>3</v>
      </c>
      <c r="AI473" s="59">
        <v>2</v>
      </c>
      <c r="AJ473" s="59">
        <f t="shared" si="149"/>
        <v>0</v>
      </c>
      <c r="AK473" s="59">
        <f t="shared" si="150"/>
        <v>1</v>
      </c>
      <c r="AL473" s="59">
        <v>9824</v>
      </c>
      <c r="AM473" s="59">
        <v>22174</v>
      </c>
      <c r="AN473" s="59">
        <v>3</v>
      </c>
      <c r="AO473" s="59">
        <v>0</v>
      </c>
      <c r="AP473" s="59">
        <v>19</v>
      </c>
      <c r="AQ473" s="59">
        <v>3</v>
      </c>
      <c r="AR473" s="59">
        <v>3</v>
      </c>
      <c r="AS473" s="59">
        <v>80</v>
      </c>
      <c r="AT473" s="59">
        <v>1</v>
      </c>
      <c r="AU473" s="59">
        <v>18</v>
      </c>
      <c r="AV473" s="59">
        <v>4</v>
      </c>
      <c r="AW473" s="59">
        <v>3</v>
      </c>
      <c r="AX473" s="59">
        <v>1</v>
      </c>
      <c r="AY473" s="59">
        <v>0</v>
      </c>
      <c r="AZ473" s="59">
        <v>0</v>
      </c>
      <c r="BA473" s="59">
        <v>0</v>
      </c>
      <c r="BB473" s="57">
        <f t="shared" si="151"/>
        <v>19648</v>
      </c>
    </row>
    <row r="474" spans="1:54" x14ac:dyDescent="0.25">
      <c r="A474" s="58">
        <v>37</v>
      </c>
      <c r="B474" s="59">
        <v>0</v>
      </c>
      <c r="C474" s="59">
        <v>1</v>
      </c>
      <c r="D474" s="59">
        <f t="shared" si="133"/>
        <v>1</v>
      </c>
      <c r="E474" s="59">
        <f t="shared" si="134"/>
        <v>0</v>
      </c>
      <c r="F474" s="59">
        <v>446</v>
      </c>
      <c r="G474" s="59">
        <v>2</v>
      </c>
      <c r="H474" s="59">
        <f t="shared" si="135"/>
        <v>0</v>
      </c>
      <c r="I474" s="59">
        <f t="shared" si="136"/>
        <v>1</v>
      </c>
      <c r="J474" s="59">
        <v>1</v>
      </c>
      <c r="K474" s="59">
        <v>4</v>
      </c>
      <c r="L474" s="59">
        <v>1</v>
      </c>
      <c r="M474" s="59">
        <f t="shared" si="137"/>
        <v>1</v>
      </c>
      <c r="N474" s="59">
        <f t="shared" si="138"/>
        <v>0</v>
      </c>
      <c r="O474" s="59">
        <f t="shared" si="139"/>
        <v>0</v>
      </c>
      <c r="P474" s="59">
        <f t="shared" si="140"/>
        <v>0</v>
      </c>
      <c r="Q474" s="59">
        <f t="shared" si="141"/>
        <v>0</v>
      </c>
      <c r="R474" s="59">
        <v>1</v>
      </c>
      <c r="S474" s="59">
        <v>635</v>
      </c>
      <c r="T474" s="59">
        <v>2</v>
      </c>
      <c r="U474" s="59">
        <v>0</v>
      </c>
      <c r="V474" s="59">
        <v>65</v>
      </c>
      <c r="W474" s="59">
        <v>3</v>
      </c>
      <c r="X474" s="59">
        <v>2</v>
      </c>
      <c r="Y474" s="59">
        <v>4</v>
      </c>
      <c r="Z474" s="59">
        <f t="shared" si="142"/>
        <v>0</v>
      </c>
      <c r="AA474" s="59">
        <f>IF('Updated Dummy'!Y474=2,1,0)</f>
        <v>0</v>
      </c>
      <c r="AB474" s="59">
        <f t="shared" si="143"/>
        <v>0</v>
      </c>
      <c r="AC474" s="59">
        <f t="shared" si="144"/>
        <v>1</v>
      </c>
      <c r="AD474" s="59">
        <f t="shared" si="145"/>
        <v>0</v>
      </c>
      <c r="AE474" s="59">
        <f t="shared" si="146"/>
        <v>0</v>
      </c>
      <c r="AF474" s="59">
        <f t="shared" si="147"/>
        <v>0</v>
      </c>
      <c r="AG474" s="59">
        <f t="shared" si="148"/>
        <v>0</v>
      </c>
      <c r="AH474" s="59">
        <v>2</v>
      </c>
      <c r="AI474" s="59">
        <v>2</v>
      </c>
      <c r="AJ474" s="59">
        <f t="shared" si="149"/>
        <v>0</v>
      </c>
      <c r="AK474" s="59">
        <f t="shared" si="150"/>
        <v>1</v>
      </c>
      <c r="AL474" s="59">
        <v>6447</v>
      </c>
      <c r="AM474" s="59">
        <v>15701</v>
      </c>
      <c r="AN474" s="59">
        <v>6</v>
      </c>
      <c r="AO474" s="59">
        <v>0</v>
      </c>
      <c r="AP474" s="59">
        <v>12</v>
      </c>
      <c r="AQ474" s="59">
        <v>3</v>
      </c>
      <c r="AR474" s="59">
        <v>2</v>
      </c>
      <c r="AS474" s="59">
        <v>80</v>
      </c>
      <c r="AT474" s="59">
        <v>1</v>
      </c>
      <c r="AU474" s="59">
        <v>8</v>
      </c>
      <c r="AV474" s="59">
        <v>2</v>
      </c>
      <c r="AW474" s="59">
        <v>2</v>
      </c>
      <c r="AX474" s="59">
        <v>6</v>
      </c>
      <c r="AY474" s="59">
        <v>5</v>
      </c>
      <c r="AZ474" s="59">
        <v>4</v>
      </c>
      <c r="BA474" s="59">
        <v>3</v>
      </c>
      <c r="BB474" s="57">
        <f t="shared" si="151"/>
        <v>12894</v>
      </c>
    </row>
    <row r="475" spans="1:54" x14ac:dyDescent="0.25">
      <c r="A475" s="58">
        <v>49</v>
      </c>
      <c r="B475" s="59">
        <v>0</v>
      </c>
      <c r="C475" s="59">
        <v>1</v>
      </c>
      <c r="D475" s="59">
        <f t="shared" si="133"/>
        <v>1</v>
      </c>
      <c r="E475" s="59">
        <f t="shared" si="134"/>
        <v>0</v>
      </c>
      <c r="F475" s="59">
        <v>1245</v>
      </c>
      <c r="G475" s="59">
        <v>2</v>
      </c>
      <c r="H475" s="59">
        <f t="shared" si="135"/>
        <v>0</v>
      </c>
      <c r="I475" s="59">
        <f t="shared" si="136"/>
        <v>1</v>
      </c>
      <c r="J475" s="59">
        <v>18</v>
      </c>
      <c r="K475" s="59">
        <v>4</v>
      </c>
      <c r="L475" s="59">
        <v>1</v>
      </c>
      <c r="M475" s="59">
        <f t="shared" si="137"/>
        <v>1</v>
      </c>
      <c r="N475" s="59">
        <f t="shared" si="138"/>
        <v>0</v>
      </c>
      <c r="O475" s="59">
        <f t="shared" si="139"/>
        <v>0</v>
      </c>
      <c r="P475" s="59">
        <f t="shared" si="140"/>
        <v>0</v>
      </c>
      <c r="Q475" s="59">
        <f t="shared" si="141"/>
        <v>0</v>
      </c>
      <c r="R475" s="59">
        <v>1</v>
      </c>
      <c r="S475" s="59">
        <v>638</v>
      </c>
      <c r="T475" s="59">
        <v>4</v>
      </c>
      <c r="U475" s="59">
        <v>1</v>
      </c>
      <c r="V475" s="59">
        <v>58</v>
      </c>
      <c r="W475" s="59">
        <v>2</v>
      </c>
      <c r="X475" s="59">
        <v>5</v>
      </c>
      <c r="Y475" s="59">
        <v>8</v>
      </c>
      <c r="Z475" s="59">
        <f t="shared" si="142"/>
        <v>0</v>
      </c>
      <c r="AA475" s="59">
        <f>IF('Updated Dummy'!Y475=2,1,0)</f>
        <v>0</v>
      </c>
      <c r="AB475" s="59">
        <f t="shared" si="143"/>
        <v>0</v>
      </c>
      <c r="AC475" s="59">
        <f t="shared" si="144"/>
        <v>0</v>
      </c>
      <c r="AD475" s="59">
        <f t="shared" si="145"/>
        <v>0</v>
      </c>
      <c r="AE475" s="59">
        <f t="shared" si="146"/>
        <v>0</v>
      </c>
      <c r="AF475" s="59">
        <f t="shared" si="147"/>
        <v>0</v>
      </c>
      <c r="AG475" s="59">
        <f t="shared" si="148"/>
        <v>1</v>
      </c>
      <c r="AH475" s="59">
        <v>3</v>
      </c>
      <c r="AI475" s="59">
        <v>3</v>
      </c>
      <c r="AJ475" s="59">
        <f t="shared" si="149"/>
        <v>0</v>
      </c>
      <c r="AK475" s="59">
        <f t="shared" si="150"/>
        <v>0</v>
      </c>
      <c r="AL475" s="59">
        <v>19502</v>
      </c>
      <c r="AM475" s="59">
        <v>2125</v>
      </c>
      <c r="AN475" s="59">
        <v>1</v>
      </c>
      <c r="AO475" s="59">
        <v>1</v>
      </c>
      <c r="AP475" s="59">
        <v>17</v>
      </c>
      <c r="AQ475" s="59">
        <v>3</v>
      </c>
      <c r="AR475" s="59">
        <v>3</v>
      </c>
      <c r="AS475" s="59">
        <v>80</v>
      </c>
      <c r="AT475" s="59">
        <v>1</v>
      </c>
      <c r="AU475" s="59">
        <v>31</v>
      </c>
      <c r="AV475" s="59">
        <v>5</v>
      </c>
      <c r="AW475" s="59">
        <v>3</v>
      </c>
      <c r="AX475" s="59">
        <v>31</v>
      </c>
      <c r="AY475" s="59">
        <v>9</v>
      </c>
      <c r="AZ475" s="59">
        <v>0</v>
      </c>
      <c r="BA475" s="59">
        <v>9</v>
      </c>
      <c r="BB475" s="57">
        <f t="shared" si="151"/>
        <v>97510</v>
      </c>
    </row>
    <row r="476" spans="1:54" x14ac:dyDescent="0.25">
      <c r="A476" s="58">
        <v>24</v>
      </c>
      <c r="B476" s="59">
        <v>0</v>
      </c>
      <c r="C476" s="59">
        <v>1</v>
      </c>
      <c r="D476" s="59">
        <f t="shared" si="133"/>
        <v>1</v>
      </c>
      <c r="E476" s="59">
        <f t="shared" si="134"/>
        <v>0</v>
      </c>
      <c r="F476" s="59">
        <v>691</v>
      </c>
      <c r="G476" s="59">
        <v>2</v>
      </c>
      <c r="H476" s="59">
        <f t="shared" si="135"/>
        <v>0</v>
      </c>
      <c r="I476" s="59">
        <f t="shared" si="136"/>
        <v>1</v>
      </c>
      <c r="J476" s="59">
        <v>23</v>
      </c>
      <c r="K476" s="59">
        <v>3</v>
      </c>
      <c r="L476" s="59">
        <v>3</v>
      </c>
      <c r="M476" s="59">
        <f t="shared" si="137"/>
        <v>0</v>
      </c>
      <c r="N476" s="59">
        <f t="shared" si="138"/>
        <v>0</v>
      </c>
      <c r="O476" s="59">
        <f t="shared" si="139"/>
        <v>1</v>
      </c>
      <c r="P476" s="59">
        <f t="shared" si="140"/>
        <v>0</v>
      </c>
      <c r="Q476" s="59">
        <f t="shared" si="141"/>
        <v>0</v>
      </c>
      <c r="R476" s="59">
        <v>1</v>
      </c>
      <c r="S476" s="59">
        <v>639</v>
      </c>
      <c r="T476" s="59">
        <v>2</v>
      </c>
      <c r="U476" s="59">
        <v>1</v>
      </c>
      <c r="V476" s="59">
        <v>89</v>
      </c>
      <c r="W476" s="59">
        <v>4</v>
      </c>
      <c r="X476" s="59">
        <v>1</v>
      </c>
      <c r="Y476" s="59">
        <v>2</v>
      </c>
      <c r="Z476" s="59">
        <f t="shared" si="142"/>
        <v>0</v>
      </c>
      <c r="AA476" s="59">
        <f>IF('Updated Dummy'!Y476=2,1,0)</f>
        <v>1</v>
      </c>
      <c r="AB476" s="59">
        <f t="shared" si="143"/>
        <v>0</v>
      </c>
      <c r="AC476" s="59">
        <f t="shared" si="144"/>
        <v>0</v>
      </c>
      <c r="AD476" s="59">
        <f t="shared" si="145"/>
        <v>0</v>
      </c>
      <c r="AE476" s="59">
        <f t="shared" si="146"/>
        <v>0</v>
      </c>
      <c r="AF476" s="59">
        <f t="shared" si="147"/>
        <v>0</v>
      </c>
      <c r="AG476" s="59">
        <f t="shared" si="148"/>
        <v>0</v>
      </c>
      <c r="AH476" s="59">
        <v>4</v>
      </c>
      <c r="AI476" s="59">
        <v>2</v>
      </c>
      <c r="AJ476" s="59">
        <f t="shared" si="149"/>
        <v>0</v>
      </c>
      <c r="AK476" s="59">
        <f t="shared" si="150"/>
        <v>1</v>
      </c>
      <c r="AL476" s="59">
        <v>2725</v>
      </c>
      <c r="AM476" s="59">
        <v>21630</v>
      </c>
      <c r="AN476" s="59">
        <v>1</v>
      </c>
      <c r="AO476" s="59">
        <v>1</v>
      </c>
      <c r="AP476" s="59">
        <v>11</v>
      </c>
      <c r="AQ476" s="59">
        <v>3</v>
      </c>
      <c r="AR476" s="59">
        <v>2</v>
      </c>
      <c r="AS476" s="59">
        <v>80</v>
      </c>
      <c r="AT476" s="59">
        <v>2</v>
      </c>
      <c r="AU476" s="59">
        <v>6</v>
      </c>
      <c r="AV476" s="59">
        <v>3</v>
      </c>
      <c r="AW476" s="59">
        <v>3</v>
      </c>
      <c r="AX476" s="59">
        <v>6</v>
      </c>
      <c r="AY476" s="59">
        <v>5</v>
      </c>
      <c r="AZ476" s="59">
        <v>1</v>
      </c>
      <c r="BA476" s="59">
        <v>4</v>
      </c>
      <c r="BB476" s="57">
        <f t="shared" si="151"/>
        <v>2725</v>
      </c>
    </row>
    <row r="477" spans="1:54" x14ac:dyDescent="0.25">
      <c r="A477" s="58">
        <v>26</v>
      </c>
      <c r="B477" s="59">
        <v>0</v>
      </c>
      <c r="C477" s="59">
        <v>1</v>
      </c>
      <c r="D477" s="59">
        <f t="shared" si="133"/>
        <v>1</v>
      </c>
      <c r="E477" s="59">
        <f t="shared" si="134"/>
        <v>0</v>
      </c>
      <c r="F477" s="59">
        <v>703</v>
      </c>
      <c r="G477" s="59">
        <v>1</v>
      </c>
      <c r="H477" s="59">
        <f t="shared" si="135"/>
        <v>1</v>
      </c>
      <c r="I477" s="59">
        <f t="shared" si="136"/>
        <v>0</v>
      </c>
      <c r="J477" s="59">
        <v>28</v>
      </c>
      <c r="K477" s="59">
        <v>2</v>
      </c>
      <c r="L477" s="59">
        <v>4</v>
      </c>
      <c r="M477" s="59">
        <f t="shared" si="137"/>
        <v>0</v>
      </c>
      <c r="N477" s="59">
        <f t="shared" si="138"/>
        <v>0</v>
      </c>
      <c r="O477" s="59">
        <f t="shared" si="139"/>
        <v>0</v>
      </c>
      <c r="P477" s="59">
        <f t="shared" si="140"/>
        <v>1</v>
      </c>
      <c r="Q477" s="59">
        <f t="shared" si="141"/>
        <v>0</v>
      </c>
      <c r="R477" s="59">
        <v>1</v>
      </c>
      <c r="S477" s="59">
        <v>641</v>
      </c>
      <c r="T477" s="59">
        <v>1</v>
      </c>
      <c r="U477" s="59">
        <v>1</v>
      </c>
      <c r="V477" s="59">
        <v>66</v>
      </c>
      <c r="W477" s="59">
        <v>3</v>
      </c>
      <c r="X477" s="59">
        <v>2</v>
      </c>
      <c r="Y477" s="59">
        <v>1</v>
      </c>
      <c r="Z477" s="59">
        <f t="shared" si="142"/>
        <v>1</v>
      </c>
      <c r="AA477" s="59">
        <f>IF('Updated Dummy'!Y477=2,1,0)</f>
        <v>0</v>
      </c>
      <c r="AB477" s="59">
        <f t="shared" si="143"/>
        <v>0</v>
      </c>
      <c r="AC477" s="59">
        <f t="shared" si="144"/>
        <v>0</v>
      </c>
      <c r="AD477" s="59">
        <f t="shared" si="145"/>
        <v>0</v>
      </c>
      <c r="AE477" s="59">
        <f t="shared" si="146"/>
        <v>0</v>
      </c>
      <c r="AF477" s="59">
        <f t="shared" si="147"/>
        <v>0</v>
      </c>
      <c r="AG477" s="59">
        <f t="shared" si="148"/>
        <v>0</v>
      </c>
      <c r="AH477" s="59">
        <v>2</v>
      </c>
      <c r="AI477" s="59">
        <v>2</v>
      </c>
      <c r="AJ477" s="59">
        <f t="shared" si="149"/>
        <v>0</v>
      </c>
      <c r="AK477" s="59">
        <f t="shared" si="150"/>
        <v>1</v>
      </c>
      <c r="AL477" s="59">
        <v>6272</v>
      </c>
      <c r="AM477" s="59">
        <v>7428</v>
      </c>
      <c r="AN477" s="59">
        <v>1</v>
      </c>
      <c r="AO477" s="59">
        <v>0</v>
      </c>
      <c r="AP477" s="59">
        <v>20</v>
      </c>
      <c r="AQ477" s="59">
        <v>4</v>
      </c>
      <c r="AR477" s="59">
        <v>4</v>
      </c>
      <c r="AS477" s="59">
        <v>80</v>
      </c>
      <c r="AT477" s="59">
        <v>2</v>
      </c>
      <c r="AU477" s="59">
        <v>6</v>
      </c>
      <c r="AV477" s="59">
        <v>5</v>
      </c>
      <c r="AW477" s="59">
        <v>4</v>
      </c>
      <c r="AX477" s="59">
        <v>5</v>
      </c>
      <c r="AY477" s="59">
        <v>3</v>
      </c>
      <c r="AZ477" s="59">
        <v>1</v>
      </c>
      <c r="BA477" s="59">
        <v>4</v>
      </c>
      <c r="BB477" s="57">
        <f t="shared" si="151"/>
        <v>12544</v>
      </c>
    </row>
    <row r="478" spans="1:54" x14ac:dyDescent="0.25">
      <c r="A478" s="58">
        <v>24</v>
      </c>
      <c r="B478" s="59">
        <v>0</v>
      </c>
      <c r="C478" s="59">
        <v>1</v>
      </c>
      <c r="D478" s="59">
        <f t="shared" si="133"/>
        <v>1</v>
      </c>
      <c r="E478" s="59">
        <f t="shared" si="134"/>
        <v>0</v>
      </c>
      <c r="F478" s="59">
        <v>823</v>
      </c>
      <c r="G478" s="59">
        <v>2</v>
      </c>
      <c r="H478" s="59">
        <f t="shared" si="135"/>
        <v>0</v>
      </c>
      <c r="I478" s="59">
        <f t="shared" si="136"/>
        <v>1</v>
      </c>
      <c r="J478" s="59">
        <v>17</v>
      </c>
      <c r="K478" s="59">
        <v>2</v>
      </c>
      <c r="L478" s="59">
        <v>6</v>
      </c>
      <c r="M478" s="59">
        <f t="shared" si="137"/>
        <v>0</v>
      </c>
      <c r="N478" s="59">
        <f t="shared" si="138"/>
        <v>0</v>
      </c>
      <c r="O478" s="59">
        <f t="shared" si="139"/>
        <v>0</v>
      </c>
      <c r="P478" s="59">
        <f t="shared" si="140"/>
        <v>0</v>
      </c>
      <c r="Q478" s="59">
        <f t="shared" si="141"/>
        <v>0</v>
      </c>
      <c r="R478" s="59">
        <v>1</v>
      </c>
      <c r="S478" s="59">
        <v>643</v>
      </c>
      <c r="T478" s="59">
        <v>4</v>
      </c>
      <c r="U478" s="59">
        <v>1</v>
      </c>
      <c r="V478" s="59">
        <v>94</v>
      </c>
      <c r="W478" s="59">
        <v>2</v>
      </c>
      <c r="X478" s="59">
        <v>1</v>
      </c>
      <c r="Y478" s="59">
        <v>3</v>
      </c>
      <c r="Z478" s="59">
        <f t="shared" si="142"/>
        <v>0</v>
      </c>
      <c r="AA478" s="59">
        <f>IF('Updated Dummy'!Y478=2,1,0)</f>
        <v>0</v>
      </c>
      <c r="AB478" s="59">
        <f t="shared" si="143"/>
        <v>1</v>
      </c>
      <c r="AC478" s="59">
        <f t="shared" si="144"/>
        <v>0</v>
      </c>
      <c r="AD478" s="59">
        <f t="shared" si="145"/>
        <v>0</v>
      </c>
      <c r="AE478" s="59">
        <f t="shared" si="146"/>
        <v>0</v>
      </c>
      <c r="AF478" s="59">
        <f t="shared" si="147"/>
        <v>0</v>
      </c>
      <c r="AG478" s="59">
        <f t="shared" si="148"/>
        <v>0</v>
      </c>
      <c r="AH478" s="59">
        <v>2</v>
      </c>
      <c r="AI478" s="59">
        <v>2</v>
      </c>
      <c r="AJ478" s="59">
        <f t="shared" si="149"/>
        <v>0</v>
      </c>
      <c r="AK478" s="59">
        <f t="shared" si="150"/>
        <v>1</v>
      </c>
      <c r="AL478" s="59">
        <v>2127</v>
      </c>
      <c r="AM478" s="59">
        <v>9100</v>
      </c>
      <c r="AN478" s="59">
        <v>1</v>
      </c>
      <c r="AO478" s="59">
        <v>0</v>
      </c>
      <c r="AP478" s="59">
        <v>21</v>
      </c>
      <c r="AQ478" s="59">
        <v>4</v>
      </c>
      <c r="AR478" s="59">
        <v>4</v>
      </c>
      <c r="AS478" s="59">
        <v>80</v>
      </c>
      <c r="AT478" s="59">
        <v>1</v>
      </c>
      <c r="AU478" s="59">
        <v>1</v>
      </c>
      <c r="AV478" s="59">
        <v>2</v>
      </c>
      <c r="AW478" s="59">
        <v>3</v>
      </c>
      <c r="AX478" s="59">
        <v>1</v>
      </c>
      <c r="AY478" s="59">
        <v>0</v>
      </c>
      <c r="AZ478" s="59">
        <v>0</v>
      </c>
      <c r="BA478" s="59">
        <v>0</v>
      </c>
      <c r="BB478" s="57">
        <f t="shared" si="151"/>
        <v>2127</v>
      </c>
    </row>
    <row r="479" spans="1:54" x14ac:dyDescent="0.25">
      <c r="A479" s="58">
        <v>50</v>
      </c>
      <c r="B479" s="59">
        <v>0</v>
      </c>
      <c r="C479" s="59">
        <v>2</v>
      </c>
      <c r="D479" s="59">
        <f t="shared" si="133"/>
        <v>0</v>
      </c>
      <c r="E479" s="59">
        <f t="shared" si="134"/>
        <v>1</v>
      </c>
      <c r="F479" s="59">
        <v>1246</v>
      </c>
      <c r="G479" s="59">
        <v>3</v>
      </c>
      <c r="H479" s="59">
        <f t="shared" si="135"/>
        <v>0</v>
      </c>
      <c r="I479" s="59">
        <f t="shared" si="136"/>
        <v>0</v>
      </c>
      <c r="J479" s="59">
        <v>3</v>
      </c>
      <c r="K479" s="59">
        <v>3</v>
      </c>
      <c r="L479" s="59">
        <v>3</v>
      </c>
      <c r="M479" s="59">
        <f t="shared" si="137"/>
        <v>0</v>
      </c>
      <c r="N479" s="59">
        <f t="shared" si="138"/>
        <v>0</v>
      </c>
      <c r="O479" s="59">
        <f t="shared" si="139"/>
        <v>1</v>
      </c>
      <c r="P479" s="59">
        <f t="shared" si="140"/>
        <v>0</v>
      </c>
      <c r="Q479" s="59">
        <f t="shared" si="141"/>
        <v>0</v>
      </c>
      <c r="R479" s="59">
        <v>1</v>
      </c>
      <c r="S479" s="59">
        <v>644</v>
      </c>
      <c r="T479" s="59">
        <v>1</v>
      </c>
      <c r="U479" s="59">
        <v>1</v>
      </c>
      <c r="V479" s="59">
        <v>99</v>
      </c>
      <c r="W479" s="59">
        <v>3</v>
      </c>
      <c r="X479" s="59">
        <v>5</v>
      </c>
      <c r="Y479" s="59">
        <v>6</v>
      </c>
      <c r="Z479" s="59">
        <f t="shared" si="142"/>
        <v>0</v>
      </c>
      <c r="AA479" s="59">
        <f>IF('Updated Dummy'!Y479=2,1,0)</f>
        <v>0</v>
      </c>
      <c r="AB479" s="59">
        <f t="shared" si="143"/>
        <v>0</v>
      </c>
      <c r="AC479" s="59">
        <f t="shared" si="144"/>
        <v>0</v>
      </c>
      <c r="AD479" s="59">
        <f t="shared" si="145"/>
        <v>0</v>
      </c>
      <c r="AE479" s="59">
        <f t="shared" si="146"/>
        <v>1</v>
      </c>
      <c r="AF479" s="59">
        <f t="shared" si="147"/>
        <v>0</v>
      </c>
      <c r="AG479" s="59">
        <f t="shared" si="148"/>
        <v>0</v>
      </c>
      <c r="AH479" s="59">
        <v>2</v>
      </c>
      <c r="AI479" s="59">
        <v>2</v>
      </c>
      <c r="AJ479" s="59">
        <f t="shared" si="149"/>
        <v>0</v>
      </c>
      <c r="AK479" s="59">
        <f t="shared" si="150"/>
        <v>1</v>
      </c>
      <c r="AL479" s="59">
        <v>18200</v>
      </c>
      <c r="AM479" s="59">
        <v>7999</v>
      </c>
      <c r="AN479" s="59">
        <v>1</v>
      </c>
      <c r="AO479" s="59">
        <v>0</v>
      </c>
      <c r="AP479" s="59">
        <v>11</v>
      </c>
      <c r="AQ479" s="59">
        <v>3</v>
      </c>
      <c r="AR479" s="59">
        <v>3</v>
      </c>
      <c r="AS479" s="59">
        <v>80</v>
      </c>
      <c r="AT479" s="59">
        <v>1</v>
      </c>
      <c r="AU479" s="59">
        <v>32</v>
      </c>
      <c r="AV479" s="59">
        <v>2</v>
      </c>
      <c r="AW479" s="59">
        <v>3</v>
      </c>
      <c r="AX479" s="59">
        <v>32</v>
      </c>
      <c r="AY479" s="59">
        <v>5</v>
      </c>
      <c r="AZ479" s="59">
        <v>10</v>
      </c>
      <c r="BA479" s="59">
        <v>7</v>
      </c>
      <c r="BB479" s="57">
        <f t="shared" si="151"/>
        <v>91000</v>
      </c>
    </row>
    <row r="480" spans="1:54" x14ac:dyDescent="0.25">
      <c r="A480" s="58">
        <v>25</v>
      </c>
      <c r="B480" s="59">
        <v>0</v>
      </c>
      <c r="C480" s="59">
        <v>1</v>
      </c>
      <c r="D480" s="59">
        <f t="shared" si="133"/>
        <v>1</v>
      </c>
      <c r="E480" s="59">
        <f t="shared" si="134"/>
        <v>0</v>
      </c>
      <c r="F480" s="59">
        <v>622</v>
      </c>
      <c r="G480" s="59">
        <v>1</v>
      </c>
      <c r="H480" s="59">
        <f t="shared" si="135"/>
        <v>1</v>
      </c>
      <c r="I480" s="59">
        <f t="shared" si="136"/>
        <v>0</v>
      </c>
      <c r="J480" s="59">
        <v>13</v>
      </c>
      <c r="K480" s="59">
        <v>1</v>
      </c>
      <c r="L480" s="59">
        <v>3</v>
      </c>
      <c r="M480" s="59">
        <f t="shared" si="137"/>
        <v>0</v>
      </c>
      <c r="N480" s="59">
        <f t="shared" si="138"/>
        <v>0</v>
      </c>
      <c r="O480" s="59">
        <f t="shared" si="139"/>
        <v>1</v>
      </c>
      <c r="P480" s="59">
        <f t="shared" si="140"/>
        <v>0</v>
      </c>
      <c r="Q480" s="59">
        <f t="shared" si="141"/>
        <v>0</v>
      </c>
      <c r="R480" s="59">
        <v>1</v>
      </c>
      <c r="S480" s="59">
        <v>645</v>
      </c>
      <c r="T480" s="59">
        <v>2</v>
      </c>
      <c r="U480" s="59">
        <v>1</v>
      </c>
      <c r="V480" s="59">
        <v>40</v>
      </c>
      <c r="W480" s="59">
        <v>3</v>
      </c>
      <c r="X480" s="59">
        <v>1</v>
      </c>
      <c r="Y480" s="59">
        <v>7</v>
      </c>
      <c r="Z480" s="59">
        <f t="shared" si="142"/>
        <v>0</v>
      </c>
      <c r="AA480" s="59">
        <f>IF('Updated Dummy'!Y480=2,1,0)</f>
        <v>0</v>
      </c>
      <c r="AB480" s="59">
        <f t="shared" si="143"/>
        <v>0</v>
      </c>
      <c r="AC480" s="59">
        <f t="shared" si="144"/>
        <v>0</v>
      </c>
      <c r="AD480" s="59">
        <f t="shared" si="145"/>
        <v>0</v>
      </c>
      <c r="AE480" s="59">
        <f t="shared" si="146"/>
        <v>0</v>
      </c>
      <c r="AF480" s="59">
        <f t="shared" si="147"/>
        <v>1</v>
      </c>
      <c r="AG480" s="59">
        <f t="shared" si="148"/>
        <v>0</v>
      </c>
      <c r="AH480" s="59">
        <v>3</v>
      </c>
      <c r="AI480" s="59">
        <v>2</v>
      </c>
      <c r="AJ480" s="59">
        <f t="shared" si="149"/>
        <v>0</v>
      </c>
      <c r="AK480" s="59">
        <f t="shared" si="150"/>
        <v>1</v>
      </c>
      <c r="AL480" s="59">
        <v>2096</v>
      </c>
      <c r="AM480" s="59">
        <v>26376</v>
      </c>
      <c r="AN480" s="59">
        <v>1</v>
      </c>
      <c r="AO480" s="59">
        <v>0</v>
      </c>
      <c r="AP480" s="59">
        <v>11</v>
      </c>
      <c r="AQ480" s="59">
        <v>3</v>
      </c>
      <c r="AR480" s="59">
        <v>3</v>
      </c>
      <c r="AS480" s="59">
        <v>80</v>
      </c>
      <c r="AT480" s="59">
        <v>0</v>
      </c>
      <c r="AU480" s="59">
        <v>7</v>
      </c>
      <c r="AV480" s="59">
        <v>1</v>
      </c>
      <c r="AW480" s="59">
        <v>3</v>
      </c>
      <c r="AX480" s="59">
        <v>7</v>
      </c>
      <c r="AY480" s="59">
        <v>4</v>
      </c>
      <c r="AZ480" s="59">
        <v>0</v>
      </c>
      <c r="BA480" s="59">
        <v>6</v>
      </c>
      <c r="BB480" s="57">
        <f t="shared" si="151"/>
        <v>2096</v>
      </c>
    </row>
    <row r="481" spans="1:54" x14ac:dyDescent="0.25">
      <c r="A481" s="58">
        <v>24</v>
      </c>
      <c r="B481" s="59">
        <v>1</v>
      </c>
      <c r="C481" s="59">
        <v>2</v>
      </c>
      <c r="D481" s="59">
        <f t="shared" si="133"/>
        <v>0</v>
      </c>
      <c r="E481" s="59">
        <f t="shared" si="134"/>
        <v>1</v>
      </c>
      <c r="F481" s="59">
        <v>1287</v>
      </c>
      <c r="G481" s="59">
        <v>2</v>
      </c>
      <c r="H481" s="59">
        <f t="shared" si="135"/>
        <v>0</v>
      </c>
      <c r="I481" s="59">
        <f t="shared" si="136"/>
        <v>1</v>
      </c>
      <c r="J481" s="59">
        <v>7</v>
      </c>
      <c r="K481" s="59">
        <v>3</v>
      </c>
      <c r="L481" s="59">
        <v>1</v>
      </c>
      <c r="M481" s="59">
        <f t="shared" si="137"/>
        <v>1</v>
      </c>
      <c r="N481" s="59">
        <f t="shared" si="138"/>
        <v>0</v>
      </c>
      <c r="O481" s="59">
        <f t="shared" si="139"/>
        <v>0</v>
      </c>
      <c r="P481" s="59">
        <f t="shared" si="140"/>
        <v>0</v>
      </c>
      <c r="Q481" s="59">
        <f t="shared" si="141"/>
        <v>0</v>
      </c>
      <c r="R481" s="59">
        <v>1</v>
      </c>
      <c r="S481" s="59">
        <v>647</v>
      </c>
      <c r="T481" s="59">
        <v>1</v>
      </c>
      <c r="U481" s="59">
        <v>0</v>
      </c>
      <c r="V481" s="59">
        <v>55</v>
      </c>
      <c r="W481" s="59">
        <v>3</v>
      </c>
      <c r="X481" s="59">
        <v>1</v>
      </c>
      <c r="Y481" s="59">
        <v>3</v>
      </c>
      <c r="Z481" s="59">
        <f t="shared" si="142"/>
        <v>0</v>
      </c>
      <c r="AA481" s="59">
        <f>IF('Updated Dummy'!Y481=2,1,0)</f>
        <v>0</v>
      </c>
      <c r="AB481" s="59">
        <f t="shared" si="143"/>
        <v>1</v>
      </c>
      <c r="AC481" s="59">
        <f t="shared" si="144"/>
        <v>0</v>
      </c>
      <c r="AD481" s="59">
        <f t="shared" si="145"/>
        <v>0</v>
      </c>
      <c r="AE481" s="59">
        <f t="shared" si="146"/>
        <v>0</v>
      </c>
      <c r="AF481" s="59">
        <f t="shared" si="147"/>
        <v>0</v>
      </c>
      <c r="AG481" s="59">
        <f t="shared" si="148"/>
        <v>0</v>
      </c>
      <c r="AH481" s="59">
        <v>3</v>
      </c>
      <c r="AI481" s="59">
        <v>2</v>
      </c>
      <c r="AJ481" s="59">
        <f t="shared" si="149"/>
        <v>0</v>
      </c>
      <c r="AK481" s="59">
        <f t="shared" si="150"/>
        <v>1</v>
      </c>
      <c r="AL481" s="59">
        <v>2886</v>
      </c>
      <c r="AM481" s="59">
        <v>14168</v>
      </c>
      <c r="AN481" s="59">
        <v>1</v>
      </c>
      <c r="AO481" s="59">
        <v>1</v>
      </c>
      <c r="AP481" s="59">
        <v>16</v>
      </c>
      <c r="AQ481" s="59">
        <v>3</v>
      </c>
      <c r="AR481" s="59">
        <v>4</v>
      </c>
      <c r="AS481" s="59">
        <v>80</v>
      </c>
      <c r="AT481" s="59">
        <v>1</v>
      </c>
      <c r="AU481" s="59">
        <v>6</v>
      </c>
      <c r="AV481" s="59">
        <v>4</v>
      </c>
      <c r="AW481" s="59">
        <v>3</v>
      </c>
      <c r="AX481" s="59">
        <v>6</v>
      </c>
      <c r="AY481" s="59">
        <v>3</v>
      </c>
      <c r="AZ481" s="59">
        <v>1</v>
      </c>
      <c r="BA481" s="59">
        <v>2</v>
      </c>
      <c r="BB481" s="57">
        <f t="shared" si="151"/>
        <v>2886</v>
      </c>
    </row>
    <row r="482" spans="1:54" x14ac:dyDescent="0.25">
      <c r="A482" s="58">
        <v>30</v>
      </c>
      <c r="B482" s="59">
        <v>1</v>
      </c>
      <c r="C482" s="59">
        <v>2</v>
      </c>
      <c r="D482" s="59">
        <f t="shared" si="133"/>
        <v>0</v>
      </c>
      <c r="E482" s="59">
        <f t="shared" si="134"/>
        <v>1</v>
      </c>
      <c r="F482" s="59">
        <v>448</v>
      </c>
      <c r="G482" s="59">
        <v>1</v>
      </c>
      <c r="H482" s="59">
        <f t="shared" si="135"/>
        <v>1</v>
      </c>
      <c r="I482" s="59">
        <f t="shared" si="136"/>
        <v>0</v>
      </c>
      <c r="J482" s="59">
        <v>12</v>
      </c>
      <c r="K482" s="59">
        <v>4</v>
      </c>
      <c r="L482" s="59">
        <v>1</v>
      </c>
      <c r="M482" s="59">
        <f t="shared" si="137"/>
        <v>1</v>
      </c>
      <c r="N482" s="59">
        <f t="shared" si="138"/>
        <v>0</v>
      </c>
      <c r="O482" s="59">
        <f t="shared" si="139"/>
        <v>0</v>
      </c>
      <c r="P482" s="59">
        <f t="shared" si="140"/>
        <v>0</v>
      </c>
      <c r="Q482" s="59">
        <f t="shared" si="141"/>
        <v>0</v>
      </c>
      <c r="R482" s="59">
        <v>1</v>
      </c>
      <c r="S482" s="59">
        <v>648</v>
      </c>
      <c r="T482" s="59">
        <v>2</v>
      </c>
      <c r="U482" s="59">
        <v>1</v>
      </c>
      <c r="V482" s="59">
        <v>74</v>
      </c>
      <c r="W482" s="59">
        <v>2</v>
      </c>
      <c r="X482" s="59">
        <v>1</v>
      </c>
      <c r="Y482" s="59">
        <v>7</v>
      </c>
      <c r="Z482" s="59">
        <f t="shared" si="142"/>
        <v>0</v>
      </c>
      <c r="AA482" s="59">
        <f>IF('Updated Dummy'!Y482=2,1,0)</f>
        <v>0</v>
      </c>
      <c r="AB482" s="59">
        <f t="shared" si="143"/>
        <v>0</v>
      </c>
      <c r="AC482" s="59">
        <f t="shared" si="144"/>
        <v>0</v>
      </c>
      <c r="AD482" s="59">
        <f t="shared" si="145"/>
        <v>0</v>
      </c>
      <c r="AE482" s="59">
        <f t="shared" si="146"/>
        <v>0</v>
      </c>
      <c r="AF482" s="59">
        <f t="shared" si="147"/>
        <v>1</v>
      </c>
      <c r="AG482" s="59">
        <f t="shared" si="148"/>
        <v>0</v>
      </c>
      <c r="AH482" s="59">
        <v>1</v>
      </c>
      <c r="AI482" s="59">
        <v>2</v>
      </c>
      <c r="AJ482" s="59">
        <f t="shared" si="149"/>
        <v>0</v>
      </c>
      <c r="AK482" s="59">
        <f t="shared" si="150"/>
        <v>1</v>
      </c>
      <c r="AL482" s="59">
        <v>2033</v>
      </c>
      <c r="AM482" s="59">
        <v>14470</v>
      </c>
      <c r="AN482" s="59">
        <v>1</v>
      </c>
      <c r="AO482" s="59">
        <v>0</v>
      </c>
      <c r="AP482" s="59">
        <v>18</v>
      </c>
      <c r="AQ482" s="59">
        <v>3</v>
      </c>
      <c r="AR482" s="59">
        <v>3</v>
      </c>
      <c r="AS482" s="59">
        <v>80</v>
      </c>
      <c r="AT482" s="59">
        <v>1</v>
      </c>
      <c r="AU482" s="59">
        <v>1</v>
      </c>
      <c r="AV482" s="59">
        <v>2</v>
      </c>
      <c r="AW482" s="59">
        <v>4</v>
      </c>
      <c r="AX482" s="59">
        <v>1</v>
      </c>
      <c r="AY482" s="59">
        <v>0</v>
      </c>
      <c r="AZ482" s="59">
        <v>0</v>
      </c>
      <c r="BA482" s="59">
        <v>0</v>
      </c>
      <c r="BB482" s="57">
        <f t="shared" si="151"/>
        <v>2033</v>
      </c>
    </row>
    <row r="483" spans="1:54" x14ac:dyDescent="0.25">
      <c r="A483" s="58">
        <v>34</v>
      </c>
      <c r="B483" s="59">
        <v>0</v>
      </c>
      <c r="C483" s="59">
        <v>1</v>
      </c>
      <c r="D483" s="59">
        <f t="shared" si="133"/>
        <v>1</v>
      </c>
      <c r="E483" s="59">
        <f t="shared" si="134"/>
        <v>0</v>
      </c>
      <c r="F483" s="59">
        <v>254</v>
      </c>
      <c r="G483" s="59">
        <v>2</v>
      </c>
      <c r="H483" s="59">
        <f t="shared" si="135"/>
        <v>0</v>
      </c>
      <c r="I483" s="59">
        <f t="shared" si="136"/>
        <v>1</v>
      </c>
      <c r="J483" s="59">
        <v>1</v>
      </c>
      <c r="K483" s="59">
        <v>2</v>
      </c>
      <c r="L483" s="59">
        <v>1</v>
      </c>
      <c r="M483" s="59">
        <f t="shared" si="137"/>
        <v>1</v>
      </c>
      <c r="N483" s="59">
        <f t="shared" si="138"/>
        <v>0</v>
      </c>
      <c r="O483" s="59">
        <f t="shared" si="139"/>
        <v>0</v>
      </c>
      <c r="P483" s="59">
        <f t="shared" si="140"/>
        <v>0</v>
      </c>
      <c r="Q483" s="59">
        <f t="shared" si="141"/>
        <v>0</v>
      </c>
      <c r="R483" s="59">
        <v>1</v>
      </c>
      <c r="S483" s="59">
        <v>649</v>
      </c>
      <c r="T483" s="59">
        <v>2</v>
      </c>
      <c r="U483" s="59">
        <v>1</v>
      </c>
      <c r="V483" s="59">
        <v>83</v>
      </c>
      <c r="W483" s="59">
        <v>2</v>
      </c>
      <c r="X483" s="59">
        <v>1</v>
      </c>
      <c r="Y483" s="59">
        <v>2</v>
      </c>
      <c r="Z483" s="59">
        <f t="shared" si="142"/>
        <v>0</v>
      </c>
      <c r="AA483" s="59">
        <f>IF('Updated Dummy'!Y483=2,1,0)</f>
        <v>1</v>
      </c>
      <c r="AB483" s="59">
        <f t="shared" si="143"/>
        <v>0</v>
      </c>
      <c r="AC483" s="59">
        <f t="shared" si="144"/>
        <v>0</v>
      </c>
      <c r="AD483" s="59">
        <f t="shared" si="145"/>
        <v>0</v>
      </c>
      <c r="AE483" s="59">
        <f t="shared" si="146"/>
        <v>0</v>
      </c>
      <c r="AF483" s="59">
        <f t="shared" si="147"/>
        <v>0</v>
      </c>
      <c r="AG483" s="59">
        <f t="shared" si="148"/>
        <v>0</v>
      </c>
      <c r="AH483" s="59">
        <v>4</v>
      </c>
      <c r="AI483" s="59">
        <v>2</v>
      </c>
      <c r="AJ483" s="59">
        <f t="shared" si="149"/>
        <v>0</v>
      </c>
      <c r="AK483" s="59">
        <f t="shared" si="150"/>
        <v>1</v>
      </c>
      <c r="AL483" s="59">
        <v>3622</v>
      </c>
      <c r="AM483" s="59">
        <v>22794</v>
      </c>
      <c r="AN483" s="59">
        <v>1</v>
      </c>
      <c r="AO483" s="59">
        <v>1</v>
      </c>
      <c r="AP483" s="59">
        <v>13</v>
      </c>
      <c r="AQ483" s="59">
        <v>3</v>
      </c>
      <c r="AR483" s="59">
        <v>4</v>
      </c>
      <c r="AS483" s="59">
        <v>80</v>
      </c>
      <c r="AT483" s="59">
        <v>1</v>
      </c>
      <c r="AU483" s="59">
        <v>6</v>
      </c>
      <c r="AV483" s="59">
        <v>3</v>
      </c>
      <c r="AW483" s="59">
        <v>3</v>
      </c>
      <c r="AX483" s="59">
        <v>6</v>
      </c>
      <c r="AY483" s="59">
        <v>5</v>
      </c>
      <c r="AZ483" s="59">
        <v>1</v>
      </c>
      <c r="BA483" s="59">
        <v>3</v>
      </c>
      <c r="BB483" s="57">
        <f t="shared" si="151"/>
        <v>3622</v>
      </c>
    </row>
    <row r="484" spans="1:54" x14ac:dyDescent="0.25">
      <c r="A484" s="58">
        <v>31</v>
      </c>
      <c r="B484" s="59">
        <v>1</v>
      </c>
      <c r="C484" s="59">
        <v>1</v>
      </c>
      <c r="D484" s="59">
        <f t="shared" si="133"/>
        <v>1</v>
      </c>
      <c r="E484" s="59">
        <f t="shared" si="134"/>
        <v>0</v>
      </c>
      <c r="F484" s="59">
        <v>1365</v>
      </c>
      <c r="G484" s="59">
        <v>1</v>
      </c>
      <c r="H484" s="59">
        <f t="shared" si="135"/>
        <v>1</v>
      </c>
      <c r="I484" s="59">
        <f t="shared" si="136"/>
        <v>0</v>
      </c>
      <c r="J484" s="59">
        <v>13</v>
      </c>
      <c r="K484" s="59">
        <v>4</v>
      </c>
      <c r="L484" s="59">
        <v>3</v>
      </c>
      <c r="M484" s="59">
        <f t="shared" si="137"/>
        <v>0</v>
      </c>
      <c r="N484" s="59">
        <f t="shared" si="138"/>
        <v>0</v>
      </c>
      <c r="O484" s="59">
        <f t="shared" si="139"/>
        <v>1</v>
      </c>
      <c r="P484" s="59">
        <f t="shared" si="140"/>
        <v>0</v>
      </c>
      <c r="Q484" s="59">
        <f t="shared" si="141"/>
        <v>0</v>
      </c>
      <c r="R484" s="59">
        <v>1</v>
      </c>
      <c r="S484" s="59">
        <v>650</v>
      </c>
      <c r="T484" s="59">
        <v>2</v>
      </c>
      <c r="U484" s="59">
        <v>1</v>
      </c>
      <c r="V484" s="59">
        <v>46</v>
      </c>
      <c r="W484" s="59">
        <v>3</v>
      </c>
      <c r="X484" s="59">
        <v>2</v>
      </c>
      <c r="Y484" s="59">
        <v>1</v>
      </c>
      <c r="Z484" s="59">
        <f t="shared" si="142"/>
        <v>1</v>
      </c>
      <c r="AA484" s="59">
        <f>IF('Updated Dummy'!Y484=2,1,0)</f>
        <v>0</v>
      </c>
      <c r="AB484" s="59">
        <f t="shared" si="143"/>
        <v>0</v>
      </c>
      <c r="AC484" s="59">
        <f t="shared" si="144"/>
        <v>0</v>
      </c>
      <c r="AD484" s="59">
        <f t="shared" si="145"/>
        <v>0</v>
      </c>
      <c r="AE484" s="59">
        <f t="shared" si="146"/>
        <v>0</v>
      </c>
      <c r="AF484" s="59">
        <f t="shared" si="147"/>
        <v>0</v>
      </c>
      <c r="AG484" s="59">
        <f t="shared" si="148"/>
        <v>0</v>
      </c>
      <c r="AH484" s="59">
        <v>1</v>
      </c>
      <c r="AI484" s="59">
        <v>3</v>
      </c>
      <c r="AJ484" s="59">
        <f t="shared" si="149"/>
        <v>0</v>
      </c>
      <c r="AK484" s="59">
        <f t="shared" si="150"/>
        <v>0</v>
      </c>
      <c r="AL484" s="59">
        <v>4233</v>
      </c>
      <c r="AM484" s="59">
        <v>11512</v>
      </c>
      <c r="AN484" s="59">
        <v>2</v>
      </c>
      <c r="AO484" s="59">
        <v>0</v>
      </c>
      <c r="AP484" s="59">
        <v>17</v>
      </c>
      <c r="AQ484" s="59">
        <v>3</v>
      </c>
      <c r="AR484" s="59">
        <v>3</v>
      </c>
      <c r="AS484" s="59">
        <v>80</v>
      </c>
      <c r="AT484" s="59">
        <v>0</v>
      </c>
      <c r="AU484" s="59">
        <v>9</v>
      </c>
      <c r="AV484" s="59">
        <v>2</v>
      </c>
      <c r="AW484" s="59">
        <v>1</v>
      </c>
      <c r="AX484" s="59">
        <v>3</v>
      </c>
      <c r="AY484" s="59">
        <v>1</v>
      </c>
      <c r="AZ484" s="59">
        <v>1</v>
      </c>
      <c r="BA484" s="59">
        <v>2</v>
      </c>
      <c r="BB484" s="57">
        <f t="shared" si="151"/>
        <v>8466</v>
      </c>
    </row>
    <row r="485" spans="1:54" x14ac:dyDescent="0.25">
      <c r="A485" s="58">
        <v>35</v>
      </c>
      <c r="B485" s="59">
        <v>0</v>
      </c>
      <c r="C485" s="59">
        <v>1</v>
      </c>
      <c r="D485" s="59">
        <f t="shared" si="133"/>
        <v>1</v>
      </c>
      <c r="E485" s="59">
        <f t="shared" si="134"/>
        <v>0</v>
      </c>
      <c r="F485" s="59">
        <v>538</v>
      </c>
      <c r="G485" s="59">
        <v>2</v>
      </c>
      <c r="H485" s="59">
        <f t="shared" si="135"/>
        <v>0</v>
      </c>
      <c r="I485" s="59">
        <f t="shared" si="136"/>
        <v>1</v>
      </c>
      <c r="J485" s="59">
        <v>25</v>
      </c>
      <c r="K485" s="59">
        <v>2</v>
      </c>
      <c r="L485" s="59">
        <v>6</v>
      </c>
      <c r="M485" s="59">
        <f t="shared" si="137"/>
        <v>0</v>
      </c>
      <c r="N485" s="59">
        <f t="shared" si="138"/>
        <v>0</v>
      </c>
      <c r="O485" s="59">
        <f t="shared" si="139"/>
        <v>0</v>
      </c>
      <c r="P485" s="59">
        <f t="shared" si="140"/>
        <v>0</v>
      </c>
      <c r="Q485" s="59">
        <f t="shared" si="141"/>
        <v>0</v>
      </c>
      <c r="R485" s="59">
        <v>1</v>
      </c>
      <c r="S485" s="59">
        <v>652</v>
      </c>
      <c r="T485" s="59">
        <v>1</v>
      </c>
      <c r="U485" s="59">
        <v>1</v>
      </c>
      <c r="V485" s="59">
        <v>54</v>
      </c>
      <c r="W485" s="59">
        <v>2</v>
      </c>
      <c r="X485" s="59">
        <v>2</v>
      </c>
      <c r="Y485" s="59">
        <v>3</v>
      </c>
      <c r="Z485" s="59">
        <f t="shared" si="142"/>
        <v>0</v>
      </c>
      <c r="AA485" s="59">
        <f>IF('Updated Dummy'!Y485=2,1,0)</f>
        <v>0</v>
      </c>
      <c r="AB485" s="59">
        <f t="shared" si="143"/>
        <v>1</v>
      </c>
      <c r="AC485" s="59">
        <f t="shared" si="144"/>
        <v>0</v>
      </c>
      <c r="AD485" s="59">
        <f t="shared" si="145"/>
        <v>0</v>
      </c>
      <c r="AE485" s="59">
        <f t="shared" si="146"/>
        <v>0</v>
      </c>
      <c r="AF485" s="59">
        <f t="shared" si="147"/>
        <v>0</v>
      </c>
      <c r="AG485" s="59">
        <f t="shared" si="148"/>
        <v>0</v>
      </c>
      <c r="AH485" s="59">
        <v>4</v>
      </c>
      <c r="AI485" s="59">
        <v>1</v>
      </c>
      <c r="AJ485" s="59">
        <f t="shared" si="149"/>
        <v>1</v>
      </c>
      <c r="AK485" s="59">
        <f t="shared" si="150"/>
        <v>0</v>
      </c>
      <c r="AL485" s="59">
        <v>3681</v>
      </c>
      <c r="AM485" s="59">
        <v>14004</v>
      </c>
      <c r="AN485" s="59">
        <v>4</v>
      </c>
      <c r="AO485" s="59">
        <v>0</v>
      </c>
      <c r="AP485" s="59">
        <v>14</v>
      </c>
      <c r="AQ485" s="59">
        <v>3</v>
      </c>
      <c r="AR485" s="59">
        <v>4</v>
      </c>
      <c r="AS485" s="59">
        <v>80</v>
      </c>
      <c r="AT485" s="59">
        <v>0</v>
      </c>
      <c r="AU485" s="59">
        <v>9</v>
      </c>
      <c r="AV485" s="59">
        <v>3</v>
      </c>
      <c r="AW485" s="59">
        <v>3</v>
      </c>
      <c r="AX485" s="59">
        <v>3</v>
      </c>
      <c r="AY485" s="59">
        <v>2</v>
      </c>
      <c r="AZ485" s="59">
        <v>0</v>
      </c>
      <c r="BA485" s="59">
        <v>2</v>
      </c>
      <c r="BB485" s="57">
        <f t="shared" si="151"/>
        <v>7362</v>
      </c>
    </row>
    <row r="486" spans="1:54" x14ac:dyDescent="0.25">
      <c r="A486" s="58">
        <v>31</v>
      </c>
      <c r="B486" s="59">
        <v>0</v>
      </c>
      <c r="C486" s="59">
        <v>1</v>
      </c>
      <c r="D486" s="59">
        <f t="shared" si="133"/>
        <v>1</v>
      </c>
      <c r="E486" s="59">
        <f t="shared" si="134"/>
        <v>0</v>
      </c>
      <c r="F486" s="59">
        <v>525</v>
      </c>
      <c r="G486" s="59">
        <v>1</v>
      </c>
      <c r="H486" s="59">
        <f t="shared" si="135"/>
        <v>1</v>
      </c>
      <c r="I486" s="59">
        <f t="shared" si="136"/>
        <v>0</v>
      </c>
      <c r="J486" s="59">
        <v>6</v>
      </c>
      <c r="K486" s="59">
        <v>4</v>
      </c>
      <c r="L486" s="59">
        <v>3</v>
      </c>
      <c r="M486" s="59">
        <f t="shared" si="137"/>
        <v>0</v>
      </c>
      <c r="N486" s="59">
        <f t="shared" si="138"/>
        <v>0</v>
      </c>
      <c r="O486" s="59">
        <f t="shared" si="139"/>
        <v>1</v>
      </c>
      <c r="P486" s="59">
        <f t="shared" si="140"/>
        <v>0</v>
      </c>
      <c r="Q486" s="59">
        <f t="shared" si="141"/>
        <v>0</v>
      </c>
      <c r="R486" s="59">
        <v>1</v>
      </c>
      <c r="S486" s="59">
        <v>653</v>
      </c>
      <c r="T486" s="59">
        <v>1</v>
      </c>
      <c r="U486" s="59">
        <v>1</v>
      </c>
      <c r="V486" s="59">
        <v>66</v>
      </c>
      <c r="W486" s="59">
        <v>4</v>
      </c>
      <c r="X486" s="59">
        <v>2</v>
      </c>
      <c r="Y486" s="59">
        <v>1</v>
      </c>
      <c r="Z486" s="59">
        <f t="shared" si="142"/>
        <v>1</v>
      </c>
      <c r="AA486" s="59">
        <f>IF('Updated Dummy'!Y486=2,1,0)</f>
        <v>0</v>
      </c>
      <c r="AB486" s="59">
        <f t="shared" si="143"/>
        <v>0</v>
      </c>
      <c r="AC486" s="59">
        <f t="shared" si="144"/>
        <v>0</v>
      </c>
      <c r="AD486" s="59">
        <f t="shared" si="145"/>
        <v>0</v>
      </c>
      <c r="AE486" s="59">
        <f t="shared" si="146"/>
        <v>0</v>
      </c>
      <c r="AF486" s="59">
        <f t="shared" si="147"/>
        <v>0</v>
      </c>
      <c r="AG486" s="59">
        <f t="shared" si="148"/>
        <v>0</v>
      </c>
      <c r="AH486" s="59">
        <v>4</v>
      </c>
      <c r="AI486" s="59">
        <v>3</v>
      </c>
      <c r="AJ486" s="59">
        <f t="shared" si="149"/>
        <v>0</v>
      </c>
      <c r="AK486" s="59">
        <f t="shared" si="150"/>
        <v>0</v>
      </c>
      <c r="AL486" s="59">
        <v>5460</v>
      </c>
      <c r="AM486" s="59">
        <v>6219</v>
      </c>
      <c r="AN486" s="59">
        <v>4</v>
      </c>
      <c r="AO486" s="59">
        <v>0</v>
      </c>
      <c r="AP486" s="59">
        <v>22</v>
      </c>
      <c r="AQ486" s="59">
        <v>4</v>
      </c>
      <c r="AR486" s="59">
        <v>4</v>
      </c>
      <c r="AS486" s="59">
        <v>80</v>
      </c>
      <c r="AT486" s="59">
        <v>2</v>
      </c>
      <c r="AU486" s="59">
        <v>13</v>
      </c>
      <c r="AV486" s="59">
        <v>4</v>
      </c>
      <c r="AW486" s="59">
        <v>4</v>
      </c>
      <c r="AX486" s="59">
        <v>7</v>
      </c>
      <c r="AY486" s="59">
        <v>7</v>
      </c>
      <c r="AZ486" s="59">
        <v>5</v>
      </c>
      <c r="BA486" s="59">
        <v>7</v>
      </c>
      <c r="BB486" s="57">
        <f t="shared" si="151"/>
        <v>10920</v>
      </c>
    </row>
    <row r="487" spans="1:54" x14ac:dyDescent="0.25">
      <c r="A487" s="58">
        <v>27</v>
      </c>
      <c r="B487" s="59">
        <v>0</v>
      </c>
      <c r="C487" s="59">
        <v>1</v>
      </c>
      <c r="D487" s="59">
        <f t="shared" si="133"/>
        <v>1</v>
      </c>
      <c r="E487" s="59">
        <f t="shared" si="134"/>
        <v>0</v>
      </c>
      <c r="F487" s="59">
        <v>798</v>
      </c>
      <c r="G487" s="59">
        <v>2</v>
      </c>
      <c r="H487" s="59">
        <f t="shared" si="135"/>
        <v>0</v>
      </c>
      <c r="I487" s="59">
        <f t="shared" si="136"/>
        <v>1</v>
      </c>
      <c r="J487" s="59">
        <v>6</v>
      </c>
      <c r="K487" s="59">
        <v>4</v>
      </c>
      <c r="L487" s="59">
        <v>3</v>
      </c>
      <c r="M487" s="59">
        <f t="shared" si="137"/>
        <v>0</v>
      </c>
      <c r="N487" s="59">
        <f t="shared" si="138"/>
        <v>0</v>
      </c>
      <c r="O487" s="59">
        <f t="shared" si="139"/>
        <v>1</v>
      </c>
      <c r="P487" s="59">
        <f t="shared" si="140"/>
        <v>0</v>
      </c>
      <c r="Q487" s="59">
        <f t="shared" si="141"/>
        <v>0</v>
      </c>
      <c r="R487" s="59">
        <v>1</v>
      </c>
      <c r="S487" s="59">
        <v>655</v>
      </c>
      <c r="T487" s="59">
        <v>1</v>
      </c>
      <c r="U487" s="59">
        <v>0</v>
      </c>
      <c r="V487" s="59">
        <v>66</v>
      </c>
      <c r="W487" s="59">
        <v>2</v>
      </c>
      <c r="X487" s="59">
        <v>1</v>
      </c>
      <c r="Y487" s="59">
        <v>2</v>
      </c>
      <c r="Z487" s="59">
        <f t="shared" si="142"/>
        <v>0</v>
      </c>
      <c r="AA487" s="59">
        <f>IF('Updated Dummy'!Y487=2,1,0)</f>
        <v>1</v>
      </c>
      <c r="AB487" s="59">
        <f t="shared" si="143"/>
        <v>0</v>
      </c>
      <c r="AC487" s="59">
        <f t="shared" si="144"/>
        <v>0</v>
      </c>
      <c r="AD487" s="59">
        <f t="shared" si="145"/>
        <v>0</v>
      </c>
      <c r="AE487" s="59">
        <f t="shared" si="146"/>
        <v>0</v>
      </c>
      <c r="AF487" s="59">
        <f t="shared" si="147"/>
        <v>0</v>
      </c>
      <c r="AG487" s="59">
        <f t="shared" si="148"/>
        <v>0</v>
      </c>
      <c r="AH487" s="59">
        <v>3</v>
      </c>
      <c r="AI487" s="59">
        <v>3</v>
      </c>
      <c r="AJ487" s="59">
        <f t="shared" si="149"/>
        <v>0</v>
      </c>
      <c r="AK487" s="59">
        <f t="shared" si="150"/>
        <v>0</v>
      </c>
      <c r="AL487" s="59">
        <v>2187</v>
      </c>
      <c r="AM487" s="59">
        <v>5013</v>
      </c>
      <c r="AN487" s="59">
        <v>0</v>
      </c>
      <c r="AO487" s="59">
        <v>0</v>
      </c>
      <c r="AP487" s="59">
        <v>12</v>
      </c>
      <c r="AQ487" s="59">
        <v>3</v>
      </c>
      <c r="AR487" s="59">
        <v>3</v>
      </c>
      <c r="AS487" s="59">
        <v>80</v>
      </c>
      <c r="AT487" s="59">
        <v>2</v>
      </c>
      <c r="AU487" s="59">
        <v>6</v>
      </c>
      <c r="AV487" s="59">
        <v>5</v>
      </c>
      <c r="AW487" s="59">
        <v>2</v>
      </c>
      <c r="AX487" s="59">
        <v>5</v>
      </c>
      <c r="AY487" s="59">
        <v>3</v>
      </c>
      <c r="AZ487" s="59">
        <v>0</v>
      </c>
      <c r="BA487" s="59">
        <v>3</v>
      </c>
      <c r="BB487" s="57">
        <f t="shared" si="151"/>
        <v>2187</v>
      </c>
    </row>
    <row r="488" spans="1:54" x14ac:dyDescent="0.25">
      <c r="A488" s="58">
        <v>37</v>
      </c>
      <c r="B488" s="59">
        <v>0</v>
      </c>
      <c r="C488" s="59">
        <v>1</v>
      </c>
      <c r="D488" s="59">
        <f t="shared" si="133"/>
        <v>1</v>
      </c>
      <c r="E488" s="59">
        <f t="shared" si="134"/>
        <v>0</v>
      </c>
      <c r="F488" s="59">
        <v>558</v>
      </c>
      <c r="G488" s="59">
        <v>1</v>
      </c>
      <c r="H488" s="59">
        <f t="shared" si="135"/>
        <v>1</v>
      </c>
      <c r="I488" s="59">
        <f t="shared" si="136"/>
        <v>0</v>
      </c>
      <c r="J488" s="59">
        <v>2</v>
      </c>
      <c r="K488" s="59">
        <v>3</v>
      </c>
      <c r="L488" s="59">
        <v>4</v>
      </c>
      <c r="M488" s="59">
        <f t="shared" si="137"/>
        <v>0</v>
      </c>
      <c r="N488" s="59">
        <f t="shared" si="138"/>
        <v>0</v>
      </c>
      <c r="O488" s="59">
        <f t="shared" si="139"/>
        <v>0</v>
      </c>
      <c r="P488" s="59">
        <f t="shared" si="140"/>
        <v>1</v>
      </c>
      <c r="Q488" s="59">
        <f t="shared" si="141"/>
        <v>0</v>
      </c>
      <c r="R488" s="59">
        <v>1</v>
      </c>
      <c r="S488" s="59">
        <v>656</v>
      </c>
      <c r="T488" s="59">
        <v>4</v>
      </c>
      <c r="U488" s="59">
        <v>1</v>
      </c>
      <c r="V488" s="59">
        <v>75</v>
      </c>
      <c r="W488" s="59">
        <v>3</v>
      </c>
      <c r="X488" s="59">
        <v>2</v>
      </c>
      <c r="Y488" s="59">
        <v>1</v>
      </c>
      <c r="Z488" s="59">
        <f t="shared" si="142"/>
        <v>1</v>
      </c>
      <c r="AA488" s="59">
        <f>IF('Updated Dummy'!Y488=2,1,0)</f>
        <v>0</v>
      </c>
      <c r="AB488" s="59">
        <f t="shared" si="143"/>
        <v>0</v>
      </c>
      <c r="AC488" s="59">
        <f t="shared" si="144"/>
        <v>0</v>
      </c>
      <c r="AD488" s="59">
        <f t="shared" si="145"/>
        <v>0</v>
      </c>
      <c r="AE488" s="59">
        <f t="shared" si="146"/>
        <v>0</v>
      </c>
      <c r="AF488" s="59">
        <f t="shared" si="147"/>
        <v>0</v>
      </c>
      <c r="AG488" s="59">
        <f t="shared" si="148"/>
        <v>0</v>
      </c>
      <c r="AH488" s="59">
        <v>3</v>
      </c>
      <c r="AI488" s="59">
        <v>2</v>
      </c>
      <c r="AJ488" s="59">
        <f t="shared" si="149"/>
        <v>0</v>
      </c>
      <c r="AK488" s="59">
        <f t="shared" si="150"/>
        <v>1</v>
      </c>
      <c r="AL488" s="59">
        <v>9602</v>
      </c>
      <c r="AM488" s="59">
        <v>3010</v>
      </c>
      <c r="AN488" s="59">
        <v>4</v>
      </c>
      <c r="AO488" s="59">
        <v>1</v>
      </c>
      <c r="AP488" s="59">
        <v>11</v>
      </c>
      <c r="AQ488" s="59">
        <v>3</v>
      </c>
      <c r="AR488" s="59">
        <v>3</v>
      </c>
      <c r="AS488" s="59">
        <v>80</v>
      </c>
      <c r="AT488" s="59">
        <v>1</v>
      </c>
      <c r="AU488" s="59">
        <v>17</v>
      </c>
      <c r="AV488" s="59">
        <v>3</v>
      </c>
      <c r="AW488" s="59">
        <v>2</v>
      </c>
      <c r="AX488" s="59">
        <v>3</v>
      </c>
      <c r="AY488" s="59">
        <v>0</v>
      </c>
      <c r="AZ488" s="59">
        <v>1</v>
      </c>
      <c r="BA488" s="59">
        <v>0</v>
      </c>
      <c r="BB488" s="57">
        <f t="shared" si="151"/>
        <v>19204</v>
      </c>
    </row>
    <row r="489" spans="1:54" x14ac:dyDescent="0.25">
      <c r="A489" s="58">
        <v>20</v>
      </c>
      <c r="B489" s="59">
        <v>0</v>
      </c>
      <c r="C489" s="59">
        <v>1</v>
      </c>
      <c r="D489" s="59">
        <f t="shared" si="133"/>
        <v>1</v>
      </c>
      <c r="E489" s="59">
        <f t="shared" si="134"/>
        <v>0</v>
      </c>
      <c r="F489" s="59">
        <v>959</v>
      </c>
      <c r="G489" s="59">
        <v>2</v>
      </c>
      <c r="H489" s="59">
        <f t="shared" si="135"/>
        <v>0</v>
      </c>
      <c r="I489" s="59">
        <f t="shared" si="136"/>
        <v>1</v>
      </c>
      <c r="J489" s="59">
        <v>1</v>
      </c>
      <c r="K489" s="59">
        <v>3</v>
      </c>
      <c r="L489" s="59">
        <v>1</v>
      </c>
      <c r="M489" s="59">
        <f t="shared" si="137"/>
        <v>1</v>
      </c>
      <c r="N489" s="59">
        <f t="shared" si="138"/>
        <v>0</v>
      </c>
      <c r="O489" s="59">
        <f t="shared" si="139"/>
        <v>0</v>
      </c>
      <c r="P489" s="59">
        <f t="shared" si="140"/>
        <v>0</v>
      </c>
      <c r="Q489" s="59">
        <f t="shared" si="141"/>
        <v>0</v>
      </c>
      <c r="R489" s="59">
        <v>1</v>
      </c>
      <c r="S489" s="59">
        <v>657</v>
      </c>
      <c r="T489" s="59">
        <v>4</v>
      </c>
      <c r="U489" s="59">
        <v>0</v>
      </c>
      <c r="V489" s="59">
        <v>83</v>
      </c>
      <c r="W489" s="59">
        <v>2</v>
      </c>
      <c r="X489" s="59">
        <v>1</v>
      </c>
      <c r="Y489" s="59">
        <v>2</v>
      </c>
      <c r="Z489" s="59">
        <f t="shared" si="142"/>
        <v>0</v>
      </c>
      <c r="AA489" s="59">
        <f>IF('Updated Dummy'!Y489=2,1,0)</f>
        <v>1</v>
      </c>
      <c r="AB489" s="59">
        <f t="shared" si="143"/>
        <v>0</v>
      </c>
      <c r="AC489" s="59">
        <f t="shared" si="144"/>
        <v>0</v>
      </c>
      <c r="AD489" s="59">
        <f t="shared" si="145"/>
        <v>0</v>
      </c>
      <c r="AE489" s="59">
        <f t="shared" si="146"/>
        <v>0</v>
      </c>
      <c r="AF489" s="59">
        <f t="shared" si="147"/>
        <v>0</v>
      </c>
      <c r="AG489" s="59">
        <f t="shared" si="148"/>
        <v>0</v>
      </c>
      <c r="AH489" s="59">
        <v>2</v>
      </c>
      <c r="AI489" s="59">
        <v>1</v>
      </c>
      <c r="AJ489" s="59">
        <f t="shared" si="149"/>
        <v>1</v>
      </c>
      <c r="AK489" s="59">
        <f t="shared" si="150"/>
        <v>0</v>
      </c>
      <c r="AL489" s="59">
        <v>2836</v>
      </c>
      <c r="AM489" s="59">
        <v>11757</v>
      </c>
      <c r="AN489" s="59">
        <v>1</v>
      </c>
      <c r="AO489" s="59">
        <v>0</v>
      </c>
      <c r="AP489" s="59">
        <v>13</v>
      </c>
      <c r="AQ489" s="59">
        <v>3</v>
      </c>
      <c r="AR489" s="59">
        <v>4</v>
      </c>
      <c r="AS489" s="59">
        <v>80</v>
      </c>
      <c r="AT489" s="59">
        <v>0</v>
      </c>
      <c r="AU489" s="59">
        <v>1</v>
      </c>
      <c r="AV489" s="59">
        <v>0</v>
      </c>
      <c r="AW489" s="59">
        <v>4</v>
      </c>
      <c r="AX489" s="59">
        <v>1</v>
      </c>
      <c r="AY489" s="59">
        <v>0</v>
      </c>
      <c r="AZ489" s="59">
        <v>0</v>
      </c>
      <c r="BA489" s="59">
        <v>0</v>
      </c>
      <c r="BB489" s="57">
        <f t="shared" si="151"/>
        <v>2836</v>
      </c>
    </row>
    <row r="490" spans="1:54" x14ac:dyDescent="0.25">
      <c r="A490" s="58">
        <v>42</v>
      </c>
      <c r="B490" s="59">
        <v>0</v>
      </c>
      <c r="C490" s="59">
        <v>1</v>
      </c>
      <c r="D490" s="59">
        <f t="shared" si="133"/>
        <v>1</v>
      </c>
      <c r="E490" s="59">
        <f t="shared" si="134"/>
        <v>0</v>
      </c>
      <c r="F490" s="59">
        <v>622</v>
      </c>
      <c r="G490" s="59">
        <v>2</v>
      </c>
      <c r="H490" s="59">
        <f t="shared" si="135"/>
        <v>0</v>
      </c>
      <c r="I490" s="59">
        <f t="shared" si="136"/>
        <v>1</v>
      </c>
      <c r="J490" s="59">
        <v>2</v>
      </c>
      <c r="K490" s="59">
        <v>4</v>
      </c>
      <c r="L490" s="59">
        <v>1</v>
      </c>
      <c r="M490" s="59">
        <f t="shared" si="137"/>
        <v>1</v>
      </c>
      <c r="N490" s="59">
        <f t="shared" si="138"/>
        <v>0</v>
      </c>
      <c r="O490" s="59">
        <f t="shared" si="139"/>
        <v>0</v>
      </c>
      <c r="P490" s="59">
        <f t="shared" si="140"/>
        <v>0</v>
      </c>
      <c r="Q490" s="59">
        <f t="shared" si="141"/>
        <v>0</v>
      </c>
      <c r="R490" s="59">
        <v>1</v>
      </c>
      <c r="S490" s="59">
        <v>659</v>
      </c>
      <c r="T490" s="59">
        <v>3</v>
      </c>
      <c r="U490" s="59">
        <v>0</v>
      </c>
      <c r="V490" s="59">
        <v>81</v>
      </c>
      <c r="W490" s="59">
        <v>3</v>
      </c>
      <c r="X490" s="59">
        <v>2</v>
      </c>
      <c r="Y490" s="59">
        <v>5</v>
      </c>
      <c r="Z490" s="59">
        <f t="shared" si="142"/>
        <v>0</v>
      </c>
      <c r="AA490" s="59">
        <f>IF('Updated Dummy'!Y490=2,1,0)</f>
        <v>0</v>
      </c>
      <c r="AB490" s="59">
        <f t="shared" si="143"/>
        <v>0</v>
      </c>
      <c r="AC490" s="59">
        <f t="shared" si="144"/>
        <v>0</v>
      </c>
      <c r="AD490" s="59">
        <f t="shared" si="145"/>
        <v>1</v>
      </c>
      <c r="AE490" s="59">
        <f t="shared" si="146"/>
        <v>0</v>
      </c>
      <c r="AF490" s="59">
        <f t="shared" si="147"/>
        <v>0</v>
      </c>
      <c r="AG490" s="59">
        <f t="shared" si="148"/>
        <v>0</v>
      </c>
      <c r="AH490" s="59">
        <v>4</v>
      </c>
      <c r="AI490" s="59">
        <v>2</v>
      </c>
      <c r="AJ490" s="59">
        <f t="shared" si="149"/>
        <v>0</v>
      </c>
      <c r="AK490" s="59">
        <f t="shared" si="150"/>
        <v>1</v>
      </c>
      <c r="AL490" s="59">
        <v>4089</v>
      </c>
      <c r="AM490" s="59">
        <v>5718</v>
      </c>
      <c r="AN490" s="59">
        <v>1</v>
      </c>
      <c r="AO490" s="59">
        <v>0</v>
      </c>
      <c r="AP490" s="59">
        <v>13</v>
      </c>
      <c r="AQ490" s="59">
        <v>3</v>
      </c>
      <c r="AR490" s="59">
        <v>2</v>
      </c>
      <c r="AS490" s="59">
        <v>80</v>
      </c>
      <c r="AT490" s="59">
        <v>2</v>
      </c>
      <c r="AU490" s="59">
        <v>10</v>
      </c>
      <c r="AV490" s="59">
        <v>4</v>
      </c>
      <c r="AW490" s="59">
        <v>3</v>
      </c>
      <c r="AX490" s="59">
        <v>10</v>
      </c>
      <c r="AY490" s="59">
        <v>2</v>
      </c>
      <c r="AZ490" s="59">
        <v>2</v>
      </c>
      <c r="BA490" s="59">
        <v>2</v>
      </c>
      <c r="BB490" s="57">
        <f t="shared" si="151"/>
        <v>8178</v>
      </c>
    </row>
    <row r="491" spans="1:54" x14ac:dyDescent="0.25">
      <c r="A491" s="58">
        <v>43</v>
      </c>
      <c r="B491" s="59">
        <v>0</v>
      </c>
      <c r="C491" s="59">
        <v>1</v>
      </c>
      <c r="D491" s="59">
        <f t="shared" si="133"/>
        <v>1</v>
      </c>
      <c r="E491" s="59">
        <f t="shared" si="134"/>
        <v>0</v>
      </c>
      <c r="F491" s="59">
        <v>782</v>
      </c>
      <c r="G491" s="59">
        <v>2</v>
      </c>
      <c r="H491" s="59">
        <f t="shared" si="135"/>
        <v>0</v>
      </c>
      <c r="I491" s="59">
        <f t="shared" si="136"/>
        <v>1</v>
      </c>
      <c r="J491" s="59">
        <v>6</v>
      </c>
      <c r="K491" s="59">
        <v>4</v>
      </c>
      <c r="L491" s="59">
        <v>6</v>
      </c>
      <c r="M491" s="59">
        <f t="shared" si="137"/>
        <v>0</v>
      </c>
      <c r="N491" s="59">
        <f t="shared" si="138"/>
        <v>0</v>
      </c>
      <c r="O491" s="59">
        <f t="shared" si="139"/>
        <v>0</v>
      </c>
      <c r="P491" s="59">
        <f t="shared" si="140"/>
        <v>0</v>
      </c>
      <c r="Q491" s="59">
        <f t="shared" si="141"/>
        <v>0</v>
      </c>
      <c r="R491" s="59">
        <v>1</v>
      </c>
      <c r="S491" s="59">
        <v>661</v>
      </c>
      <c r="T491" s="59">
        <v>2</v>
      </c>
      <c r="U491" s="59">
        <v>1</v>
      </c>
      <c r="V491" s="59">
        <v>50</v>
      </c>
      <c r="W491" s="59">
        <v>2</v>
      </c>
      <c r="X491" s="59">
        <v>4</v>
      </c>
      <c r="Y491" s="59">
        <v>8</v>
      </c>
      <c r="Z491" s="59">
        <f t="shared" si="142"/>
        <v>0</v>
      </c>
      <c r="AA491" s="59">
        <f>IF('Updated Dummy'!Y491=2,1,0)</f>
        <v>0</v>
      </c>
      <c r="AB491" s="59">
        <f t="shared" si="143"/>
        <v>0</v>
      </c>
      <c r="AC491" s="59">
        <f t="shared" si="144"/>
        <v>0</v>
      </c>
      <c r="AD491" s="59">
        <f t="shared" si="145"/>
        <v>0</v>
      </c>
      <c r="AE491" s="59">
        <f t="shared" si="146"/>
        <v>0</v>
      </c>
      <c r="AF491" s="59">
        <f t="shared" si="147"/>
        <v>0</v>
      </c>
      <c r="AG491" s="59">
        <f t="shared" si="148"/>
        <v>1</v>
      </c>
      <c r="AH491" s="59">
        <v>4</v>
      </c>
      <c r="AI491" s="59">
        <v>3</v>
      </c>
      <c r="AJ491" s="59">
        <f t="shared" si="149"/>
        <v>0</v>
      </c>
      <c r="AK491" s="59">
        <f t="shared" si="150"/>
        <v>0</v>
      </c>
      <c r="AL491" s="59">
        <v>16627</v>
      </c>
      <c r="AM491" s="59">
        <v>2671</v>
      </c>
      <c r="AN491" s="59">
        <v>4</v>
      </c>
      <c r="AO491" s="59">
        <v>1</v>
      </c>
      <c r="AP491" s="59">
        <v>14</v>
      </c>
      <c r="AQ491" s="59">
        <v>3</v>
      </c>
      <c r="AR491" s="59">
        <v>3</v>
      </c>
      <c r="AS491" s="59">
        <v>80</v>
      </c>
      <c r="AT491" s="59">
        <v>1</v>
      </c>
      <c r="AU491" s="59">
        <v>21</v>
      </c>
      <c r="AV491" s="59">
        <v>3</v>
      </c>
      <c r="AW491" s="59">
        <v>2</v>
      </c>
      <c r="AX491" s="59">
        <v>1</v>
      </c>
      <c r="AY491" s="59">
        <v>0</v>
      </c>
      <c r="AZ491" s="59">
        <v>0</v>
      </c>
      <c r="BA491" s="59">
        <v>0</v>
      </c>
      <c r="BB491" s="57">
        <f t="shared" si="151"/>
        <v>66508</v>
      </c>
    </row>
    <row r="492" spans="1:54" x14ac:dyDescent="0.25">
      <c r="A492" s="58">
        <v>38</v>
      </c>
      <c r="B492" s="59">
        <v>0</v>
      </c>
      <c r="C492" s="59">
        <v>1</v>
      </c>
      <c r="D492" s="59">
        <f t="shared" si="133"/>
        <v>1</v>
      </c>
      <c r="E492" s="59">
        <f t="shared" si="134"/>
        <v>0</v>
      </c>
      <c r="F492" s="59">
        <v>362</v>
      </c>
      <c r="G492" s="59">
        <v>2</v>
      </c>
      <c r="H492" s="59">
        <f t="shared" si="135"/>
        <v>0</v>
      </c>
      <c r="I492" s="59">
        <f t="shared" si="136"/>
        <v>1</v>
      </c>
      <c r="J492" s="59">
        <v>1</v>
      </c>
      <c r="K492" s="59">
        <v>1</v>
      </c>
      <c r="L492" s="59">
        <v>1</v>
      </c>
      <c r="M492" s="59">
        <f t="shared" si="137"/>
        <v>1</v>
      </c>
      <c r="N492" s="59">
        <f t="shared" si="138"/>
        <v>0</v>
      </c>
      <c r="O492" s="59">
        <f t="shared" si="139"/>
        <v>0</v>
      </c>
      <c r="P492" s="59">
        <f t="shared" si="140"/>
        <v>0</v>
      </c>
      <c r="Q492" s="59">
        <f t="shared" si="141"/>
        <v>0</v>
      </c>
      <c r="R492" s="59">
        <v>1</v>
      </c>
      <c r="S492" s="59">
        <v>662</v>
      </c>
      <c r="T492" s="59">
        <v>3</v>
      </c>
      <c r="U492" s="59">
        <v>0</v>
      </c>
      <c r="V492" s="59">
        <v>43</v>
      </c>
      <c r="W492" s="59">
        <v>3</v>
      </c>
      <c r="X492" s="59">
        <v>1</v>
      </c>
      <c r="Y492" s="59">
        <v>2</v>
      </c>
      <c r="Z492" s="59">
        <f t="shared" si="142"/>
        <v>0</v>
      </c>
      <c r="AA492" s="59">
        <f>IF('Updated Dummy'!Y492=2,1,0)</f>
        <v>1</v>
      </c>
      <c r="AB492" s="59">
        <f t="shared" si="143"/>
        <v>0</v>
      </c>
      <c r="AC492" s="59">
        <f t="shared" si="144"/>
        <v>0</v>
      </c>
      <c r="AD492" s="59">
        <f t="shared" si="145"/>
        <v>0</v>
      </c>
      <c r="AE492" s="59">
        <f t="shared" si="146"/>
        <v>0</v>
      </c>
      <c r="AF492" s="59">
        <f t="shared" si="147"/>
        <v>0</v>
      </c>
      <c r="AG492" s="59">
        <f t="shared" si="148"/>
        <v>0</v>
      </c>
      <c r="AH492" s="59">
        <v>1</v>
      </c>
      <c r="AI492" s="59">
        <v>1</v>
      </c>
      <c r="AJ492" s="59">
        <f t="shared" si="149"/>
        <v>1</v>
      </c>
      <c r="AK492" s="59">
        <f t="shared" si="150"/>
        <v>0</v>
      </c>
      <c r="AL492" s="59">
        <v>2619</v>
      </c>
      <c r="AM492" s="59">
        <v>14561</v>
      </c>
      <c r="AN492" s="59">
        <v>3</v>
      </c>
      <c r="AO492" s="59">
        <v>0</v>
      </c>
      <c r="AP492" s="59">
        <v>17</v>
      </c>
      <c r="AQ492" s="59">
        <v>3</v>
      </c>
      <c r="AR492" s="59">
        <v>4</v>
      </c>
      <c r="AS492" s="59">
        <v>80</v>
      </c>
      <c r="AT492" s="59">
        <v>0</v>
      </c>
      <c r="AU492" s="59">
        <v>8</v>
      </c>
      <c r="AV492" s="59">
        <v>3</v>
      </c>
      <c r="AW492" s="59">
        <v>2</v>
      </c>
      <c r="AX492" s="59">
        <v>0</v>
      </c>
      <c r="AY492" s="59">
        <v>0</v>
      </c>
      <c r="AZ492" s="59">
        <v>0</v>
      </c>
      <c r="BA492" s="59">
        <v>0</v>
      </c>
      <c r="BB492" s="57">
        <f t="shared" si="151"/>
        <v>2619</v>
      </c>
    </row>
    <row r="493" spans="1:54" x14ac:dyDescent="0.25">
      <c r="A493" s="58">
        <v>43</v>
      </c>
      <c r="B493" s="59">
        <v>0</v>
      </c>
      <c r="C493" s="59">
        <v>2</v>
      </c>
      <c r="D493" s="59">
        <f t="shared" si="133"/>
        <v>0</v>
      </c>
      <c r="E493" s="59">
        <f t="shared" si="134"/>
        <v>1</v>
      </c>
      <c r="F493" s="59">
        <v>1001</v>
      </c>
      <c r="G493" s="59">
        <v>2</v>
      </c>
      <c r="H493" s="59">
        <f t="shared" si="135"/>
        <v>0</v>
      </c>
      <c r="I493" s="59">
        <f t="shared" si="136"/>
        <v>1</v>
      </c>
      <c r="J493" s="59">
        <v>9</v>
      </c>
      <c r="K493" s="59">
        <v>5</v>
      </c>
      <c r="L493" s="59">
        <v>3</v>
      </c>
      <c r="M493" s="59">
        <f t="shared" si="137"/>
        <v>0</v>
      </c>
      <c r="N493" s="59">
        <f t="shared" si="138"/>
        <v>0</v>
      </c>
      <c r="O493" s="59">
        <f t="shared" si="139"/>
        <v>1</v>
      </c>
      <c r="P493" s="59">
        <f t="shared" si="140"/>
        <v>0</v>
      </c>
      <c r="Q493" s="59">
        <f t="shared" si="141"/>
        <v>0</v>
      </c>
      <c r="R493" s="59">
        <v>1</v>
      </c>
      <c r="S493" s="59">
        <v>663</v>
      </c>
      <c r="T493" s="59">
        <v>4</v>
      </c>
      <c r="U493" s="59">
        <v>1</v>
      </c>
      <c r="V493" s="59">
        <v>72</v>
      </c>
      <c r="W493" s="59">
        <v>3</v>
      </c>
      <c r="X493" s="59">
        <v>2</v>
      </c>
      <c r="Y493" s="59">
        <v>3</v>
      </c>
      <c r="Z493" s="59">
        <f t="shared" si="142"/>
        <v>0</v>
      </c>
      <c r="AA493" s="59">
        <f>IF('Updated Dummy'!Y493=2,1,0)</f>
        <v>0</v>
      </c>
      <c r="AB493" s="59">
        <f t="shared" si="143"/>
        <v>1</v>
      </c>
      <c r="AC493" s="59">
        <f t="shared" si="144"/>
        <v>0</v>
      </c>
      <c r="AD493" s="59">
        <f t="shared" si="145"/>
        <v>0</v>
      </c>
      <c r="AE493" s="59">
        <f t="shared" si="146"/>
        <v>0</v>
      </c>
      <c r="AF493" s="59">
        <f t="shared" si="147"/>
        <v>0</v>
      </c>
      <c r="AG493" s="59">
        <f t="shared" si="148"/>
        <v>0</v>
      </c>
      <c r="AH493" s="59">
        <v>3</v>
      </c>
      <c r="AI493" s="59">
        <v>3</v>
      </c>
      <c r="AJ493" s="59">
        <f t="shared" si="149"/>
        <v>0</v>
      </c>
      <c r="AK493" s="59">
        <f t="shared" si="150"/>
        <v>0</v>
      </c>
      <c r="AL493" s="59">
        <v>5679</v>
      </c>
      <c r="AM493" s="59">
        <v>19627</v>
      </c>
      <c r="AN493" s="59">
        <v>3</v>
      </c>
      <c r="AO493" s="59">
        <v>1</v>
      </c>
      <c r="AP493" s="59">
        <v>13</v>
      </c>
      <c r="AQ493" s="59">
        <v>3</v>
      </c>
      <c r="AR493" s="59">
        <v>2</v>
      </c>
      <c r="AS493" s="59">
        <v>80</v>
      </c>
      <c r="AT493" s="59">
        <v>1</v>
      </c>
      <c r="AU493" s="59">
        <v>10</v>
      </c>
      <c r="AV493" s="59">
        <v>3</v>
      </c>
      <c r="AW493" s="59">
        <v>3</v>
      </c>
      <c r="AX493" s="59">
        <v>8</v>
      </c>
      <c r="AY493" s="59">
        <v>7</v>
      </c>
      <c r="AZ493" s="59">
        <v>4</v>
      </c>
      <c r="BA493" s="59">
        <v>7</v>
      </c>
      <c r="BB493" s="57">
        <f t="shared" si="151"/>
        <v>11358</v>
      </c>
    </row>
    <row r="494" spans="1:54" x14ac:dyDescent="0.25">
      <c r="A494" s="58">
        <v>48</v>
      </c>
      <c r="B494" s="59">
        <v>0</v>
      </c>
      <c r="C494" s="59">
        <v>1</v>
      </c>
      <c r="D494" s="59">
        <f t="shared" si="133"/>
        <v>1</v>
      </c>
      <c r="E494" s="59">
        <f t="shared" si="134"/>
        <v>0</v>
      </c>
      <c r="F494" s="59">
        <v>1236</v>
      </c>
      <c r="G494" s="59">
        <v>2</v>
      </c>
      <c r="H494" s="59">
        <f t="shared" si="135"/>
        <v>0</v>
      </c>
      <c r="I494" s="59">
        <f t="shared" si="136"/>
        <v>1</v>
      </c>
      <c r="J494" s="59">
        <v>1</v>
      </c>
      <c r="K494" s="59">
        <v>4</v>
      </c>
      <c r="L494" s="59">
        <v>1</v>
      </c>
      <c r="M494" s="59">
        <f t="shared" si="137"/>
        <v>1</v>
      </c>
      <c r="N494" s="59">
        <f t="shared" si="138"/>
        <v>0</v>
      </c>
      <c r="O494" s="59">
        <f t="shared" si="139"/>
        <v>0</v>
      </c>
      <c r="P494" s="59">
        <f t="shared" si="140"/>
        <v>0</v>
      </c>
      <c r="Q494" s="59">
        <f t="shared" si="141"/>
        <v>0</v>
      </c>
      <c r="R494" s="59">
        <v>1</v>
      </c>
      <c r="S494" s="59">
        <v>664</v>
      </c>
      <c r="T494" s="59">
        <v>4</v>
      </c>
      <c r="U494" s="59">
        <v>0</v>
      </c>
      <c r="V494" s="59">
        <v>40</v>
      </c>
      <c r="W494" s="59">
        <v>2</v>
      </c>
      <c r="X494" s="59">
        <v>4</v>
      </c>
      <c r="Y494" s="59">
        <v>6</v>
      </c>
      <c r="Z494" s="59">
        <f t="shared" si="142"/>
        <v>0</v>
      </c>
      <c r="AA494" s="59">
        <f>IF('Updated Dummy'!Y494=2,1,0)</f>
        <v>0</v>
      </c>
      <c r="AB494" s="59">
        <f t="shared" si="143"/>
        <v>0</v>
      </c>
      <c r="AC494" s="59">
        <f t="shared" si="144"/>
        <v>0</v>
      </c>
      <c r="AD494" s="59">
        <f t="shared" si="145"/>
        <v>0</v>
      </c>
      <c r="AE494" s="59">
        <f t="shared" si="146"/>
        <v>1</v>
      </c>
      <c r="AF494" s="59">
        <f t="shared" si="147"/>
        <v>0</v>
      </c>
      <c r="AG494" s="59">
        <f t="shared" si="148"/>
        <v>0</v>
      </c>
      <c r="AH494" s="59">
        <v>1</v>
      </c>
      <c r="AI494" s="59">
        <v>2</v>
      </c>
      <c r="AJ494" s="59">
        <f t="shared" si="149"/>
        <v>0</v>
      </c>
      <c r="AK494" s="59">
        <f t="shared" si="150"/>
        <v>1</v>
      </c>
      <c r="AL494" s="59">
        <v>15402</v>
      </c>
      <c r="AM494" s="59">
        <v>17997</v>
      </c>
      <c r="AN494" s="59">
        <v>7</v>
      </c>
      <c r="AO494" s="59">
        <v>0</v>
      </c>
      <c r="AP494" s="59">
        <v>11</v>
      </c>
      <c r="AQ494" s="59">
        <v>3</v>
      </c>
      <c r="AR494" s="59">
        <v>1</v>
      </c>
      <c r="AS494" s="59">
        <v>80</v>
      </c>
      <c r="AT494" s="59">
        <v>1</v>
      </c>
      <c r="AU494" s="59">
        <v>21</v>
      </c>
      <c r="AV494" s="59">
        <v>3</v>
      </c>
      <c r="AW494" s="59">
        <v>1</v>
      </c>
      <c r="AX494" s="59">
        <v>3</v>
      </c>
      <c r="AY494" s="59">
        <v>2</v>
      </c>
      <c r="AZ494" s="59">
        <v>0</v>
      </c>
      <c r="BA494" s="59">
        <v>2</v>
      </c>
      <c r="BB494" s="57">
        <f t="shared" si="151"/>
        <v>61608</v>
      </c>
    </row>
    <row r="495" spans="1:54" x14ac:dyDescent="0.25">
      <c r="A495" s="58">
        <v>44</v>
      </c>
      <c r="B495" s="59">
        <v>0</v>
      </c>
      <c r="C495" s="59">
        <v>1</v>
      </c>
      <c r="D495" s="59">
        <f t="shared" si="133"/>
        <v>1</v>
      </c>
      <c r="E495" s="59">
        <f t="shared" si="134"/>
        <v>0</v>
      </c>
      <c r="F495" s="59">
        <v>1112</v>
      </c>
      <c r="G495" s="59">
        <v>3</v>
      </c>
      <c r="H495" s="59">
        <f t="shared" si="135"/>
        <v>0</v>
      </c>
      <c r="I495" s="59">
        <f t="shared" si="136"/>
        <v>0</v>
      </c>
      <c r="J495" s="59">
        <v>1</v>
      </c>
      <c r="K495" s="59">
        <v>4</v>
      </c>
      <c r="L495" s="59">
        <v>1</v>
      </c>
      <c r="M495" s="59">
        <f t="shared" si="137"/>
        <v>1</v>
      </c>
      <c r="N495" s="59">
        <f t="shared" si="138"/>
        <v>0</v>
      </c>
      <c r="O495" s="59">
        <f t="shared" si="139"/>
        <v>0</v>
      </c>
      <c r="P495" s="59">
        <f t="shared" si="140"/>
        <v>0</v>
      </c>
      <c r="Q495" s="59">
        <f t="shared" si="141"/>
        <v>0</v>
      </c>
      <c r="R495" s="59">
        <v>1</v>
      </c>
      <c r="S495" s="59">
        <v>665</v>
      </c>
      <c r="T495" s="59">
        <v>1</v>
      </c>
      <c r="U495" s="59">
        <v>0</v>
      </c>
      <c r="V495" s="59">
        <v>50</v>
      </c>
      <c r="W495" s="59">
        <v>2</v>
      </c>
      <c r="X495" s="59">
        <v>2</v>
      </c>
      <c r="Y495" s="59">
        <v>9</v>
      </c>
      <c r="Z495" s="59">
        <f t="shared" si="142"/>
        <v>0</v>
      </c>
      <c r="AA495" s="59">
        <f>IF('Updated Dummy'!Y495=2,1,0)</f>
        <v>0</v>
      </c>
      <c r="AB495" s="59">
        <f t="shared" si="143"/>
        <v>0</v>
      </c>
      <c r="AC495" s="59">
        <f t="shared" si="144"/>
        <v>0</v>
      </c>
      <c r="AD495" s="59">
        <f t="shared" si="145"/>
        <v>0</v>
      </c>
      <c r="AE495" s="59">
        <f t="shared" si="146"/>
        <v>0</v>
      </c>
      <c r="AF495" s="59">
        <f t="shared" si="147"/>
        <v>0</v>
      </c>
      <c r="AG495" s="59">
        <f t="shared" si="148"/>
        <v>0</v>
      </c>
      <c r="AH495" s="59">
        <v>3</v>
      </c>
      <c r="AI495" s="59">
        <v>1</v>
      </c>
      <c r="AJ495" s="59">
        <f t="shared" si="149"/>
        <v>1</v>
      </c>
      <c r="AK495" s="59">
        <f t="shared" si="150"/>
        <v>0</v>
      </c>
      <c r="AL495" s="59">
        <v>5985</v>
      </c>
      <c r="AM495" s="59">
        <v>26894</v>
      </c>
      <c r="AN495" s="59">
        <v>4</v>
      </c>
      <c r="AO495" s="59">
        <v>0</v>
      </c>
      <c r="AP495" s="59">
        <v>11</v>
      </c>
      <c r="AQ495" s="59">
        <v>3</v>
      </c>
      <c r="AR495" s="59">
        <v>2</v>
      </c>
      <c r="AS495" s="59">
        <v>80</v>
      </c>
      <c r="AT495" s="59">
        <v>0</v>
      </c>
      <c r="AU495" s="59">
        <v>10</v>
      </c>
      <c r="AV495" s="59">
        <v>1</v>
      </c>
      <c r="AW495" s="59">
        <v>4</v>
      </c>
      <c r="AX495" s="59">
        <v>2</v>
      </c>
      <c r="AY495" s="59">
        <v>2</v>
      </c>
      <c r="AZ495" s="59">
        <v>0</v>
      </c>
      <c r="BA495" s="59">
        <v>2</v>
      </c>
      <c r="BB495" s="57">
        <f t="shared" si="151"/>
        <v>11970</v>
      </c>
    </row>
    <row r="496" spans="1:54" x14ac:dyDescent="0.25">
      <c r="A496" s="58">
        <v>34</v>
      </c>
      <c r="B496" s="59">
        <v>0</v>
      </c>
      <c r="C496" s="59">
        <v>1</v>
      </c>
      <c r="D496" s="59">
        <f t="shared" si="133"/>
        <v>1</v>
      </c>
      <c r="E496" s="59">
        <f t="shared" si="134"/>
        <v>0</v>
      </c>
      <c r="F496" s="59">
        <v>204</v>
      </c>
      <c r="G496" s="59">
        <v>1</v>
      </c>
      <c r="H496" s="59">
        <f t="shared" si="135"/>
        <v>1</v>
      </c>
      <c r="I496" s="59">
        <f t="shared" si="136"/>
        <v>0</v>
      </c>
      <c r="J496" s="59">
        <v>14</v>
      </c>
      <c r="K496" s="59">
        <v>3</v>
      </c>
      <c r="L496" s="59">
        <v>5</v>
      </c>
      <c r="M496" s="59">
        <f t="shared" si="137"/>
        <v>0</v>
      </c>
      <c r="N496" s="59">
        <f t="shared" si="138"/>
        <v>0</v>
      </c>
      <c r="O496" s="59">
        <f t="shared" si="139"/>
        <v>0</v>
      </c>
      <c r="P496" s="59">
        <f t="shared" si="140"/>
        <v>0</v>
      </c>
      <c r="Q496" s="59">
        <f t="shared" si="141"/>
        <v>1</v>
      </c>
      <c r="R496" s="59">
        <v>1</v>
      </c>
      <c r="S496" s="59">
        <v>666</v>
      </c>
      <c r="T496" s="59">
        <v>3</v>
      </c>
      <c r="U496" s="59">
        <v>0</v>
      </c>
      <c r="V496" s="59">
        <v>31</v>
      </c>
      <c r="W496" s="59">
        <v>3</v>
      </c>
      <c r="X496" s="59">
        <v>1</v>
      </c>
      <c r="Y496" s="59">
        <v>7</v>
      </c>
      <c r="Z496" s="59">
        <f t="shared" si="142"/>
        <v>0</v>
      </c>
      <c r="AA496" s="59">
        <f>IF('Updated Dummy'!Y496=2,1,0)</f>
        <v>0</v>
      </c>
      <c r="AB496" s="59">
        <f t="shared" si="143"/>
        <v>0</v>
      </c>
      <c r="AC496" s="59">
        <f t="shared" si="144"/>
        <v>0</v>
      </c>
      <c r="AD496" s="59">
        <f t="shared" si="145"/>
        <v>0</v>
      </c>
      <c r="AE496" s="59">
        <f t="shared" si="146"/>
        <v>0</v>
      </c>
      <c r="AF496" s="59">
        <f t="shared" si="147"/>
        <v>1</v>
      </c>
      <c r="AG496" s="59">
        <f t="shared" si="148"/>
        <v>0</v>
      </c>
      <c r="AH496" s="59">
        <v>3</v>
      </c>
      <c r="AI496" s="59">
        <v>3</v>
      </c>
      <c r="AJ496" s="59">
        <f t="shared" si="149"/>
        <v>0</v>
      </c>
      <c r="AK496" s="59">
        <f t="shared" si="150"/>
        <v>0</v>
      </c>
      <c r="AL496" s="59">
        <v>2579</v>
      </c>
      <c r="AM496" s="59">
        <v>2912</v>
      </c>
      <c r="AN496" s="59">
        <v>1</v>
      </c>
      <c r="AO496" s="59">
        <v>1</v>
      </c>
      <c r="AP496" s="59">
        <v>18</v>
      </c>
      <c r="AQ496" s="59">
        <v>3</v>
      </c>
      <c r="AR496" s="59">
        <v>4</v>
      </c>
      <c r="AS496" s="59">
        <v>80</v>
      </c>
      <c r="AT496" s="59">
        <v>2</v>
      </c>
      <c r="AU496" s="59">
        <v>8</v>
      </c>
      <c r="AV496" s="59">
        <v>3</v>
      </c>
      <c r="AW496" s="59">
        <v>3</v>
      </c>
      <c r="AX496" s="59">
        <v>8</v>
      </c>
      <c r="AY496" s="59">
        <v>2</v>
      </c>
      <c r="AZ496" s="59">
        <v>0</v>
      </c>
      <c r="BA496" s="59">
        <v>6</v>
      </c>
      <c r="BB496" s="57">
        <f t="shared" si="151"/>
        <v>2579</v>
      </c>
    </row>
    <row r="497" spans="1:54" x14ac:dyDescent="0.25">
      <c r="A497" s="58">
        <v>27</v>
      </c>
      <c r="B497" s="59">
        <v>1</v>
      </c>
      <c r="C497" s="59">
        <v>1</v>
      </c>
      <c r="D497" s="59">
        <f t="shared" si="133"/>
        <v>1</v>
      </c>
      <c r="E497" s="59">
        <f t="shared" si="134"/>
        <v>0</v>
      </c>
      <c r="F497" s="59">
        <v>1420</v>
      </c>
      <c r="G497" s="59">
        <v>1</v>
      </c>
      <c r="H497" s="59">
        <f t="shared" si="135"/>
        <v>1</v>
      </c>
      <c r="I497" s="59">
        <f t="shared" si="136"/>
        <v>0</v>
      </c>
      <c r="J497" s="59">
        <v>2</v>
      </c>
      <c r="K497" s="59">
        <v>1</v>
      </c>
      <c r="L497" s="59">
        <v>4</v>
      </c>
      <c r="M497" s="59">
        <f t="shared" si="137"/>
        <v>0</v>
      </c>
      <c r="N497" s="59">
        <f t="shared" si="138"/>
        <v>0</v>
      </c>
      <c r="O497" s="59">
        <f t="shared" si="139"/>
        <v>0</v>
      </c>
      <c r="P497" s="59">
        <f t="shared" si="140"/>
        <v>1</v>
      </c>
      <c r="Q497" s="59">
        <f t="shared" si="141"/>
        <v>0</v>
      </c>
      <c r="R497" s="59">
        <v>1</v>
      </c>
      <c r="S497" s="59">
        <v>667</v>
      </c>
      <c r="T497" s="59">
        <v>3</v>
      </c>
      <c r="U497" s="59">
        <v>1</v>
      </c>
      <c r="V497" s="59">
        <v>85</v>
      </c>
      <c r="W497" s="59">
        <v>3</v>
      </c>
      <c r="X497" s="59">
        <v>1</v>
      </c>
      <c r="Y497" s="59">
        <v>7</v>
      </c>
      <c r="Z497" s="59">
        <f t="shared" si="142"/>
        <v>0</v>
      </c>
      <c r="AA497" s="59">
        <f>IF('Updated Dummy'!Y497=2,1,0)</f>
        <v>0</v>
      </c>
      <c r="AB497" s="59">
        <f t="shared" si="143"/>
        <v>0</v>
      </c>
      <c r="AC497" s="59">
        <f t="shared" si="144"/>
        <v>0</v>
      </c>
      <c r="AD497" s="59">
        <f t="shared" si="145"/>
        <v>0</v>
      </c>
      <c r="AE497" s="59">
        <f t="shared" si="146"/>
        <v>0</v>
      </c>
      <c r="AF497" s="59">
        <f t="shared" si="147"/>
        <v>1</v>
      </c>
      <c r="AG497" s="59">
        <f t="shared" si="148"/>
        <v>0</v>
      </c>
      <c r="AH497" s="59">
        <v>1</v>
      </c>
      <c r="AI497" s="59">
        <v>3</v>
      </c>
      <c r="AJ497" s="59">
        <f t="shared" si="149"/>
        <v>0</v>
      </c>
      <c r="AK497" s="59">
        <f t="shared" si="150"/>
        <v>0</v>
      </c>
      <c r="AL497" s="59">
        <v>3041</v>
      </c>
      <c r="AM497" s="59">
        <v>16346</v>
      </c>
      <c r="AN497" s="59">
        <v>0</v>
      </c>
      <c r="AO497" s="59">
        <v>0</v>
      </c>
      <c r="AP497" s="59">
        <v>11</v>
      </c>
      <c r="AQ497" s="59">
        <v>3</v>
      </c>
      <c r="AR497" s="59">
        <v>2</v>
      </c>
      <c r="AS497" s="59">
        <v>80</v>
      </c>
      <c r="AT497" s="59">
        <v>1</v>
      </c>
      <c r="AU497" s="59">
        <v>5</v>
      </c>
      <c r="AV497" s="59">
        <v>3</v>
      </c>
      <c r="AW497" s="59">
        <v>3</v>
      </c>
      <c r="AX497" s="59">
        <v>4</v>
      </c>
      <c r="AY497" s="59">
        <v>3</v>
      </c>
      <c r="AZ497" s="59">
        <v>0</v>
      </c>
      <c r="BA497" s="59">
        <v>2</v>
      </c>
      <c r="BB497" s="57">
        <f t="shared" si="151"/>
        <v>3041</v>
      </c>
    </row>
    <row r="498" spans="1:54" x14ac:dyDescent="0.25">
      <c r="A498" s="58">
        <v>21</v>
      </c>
      <c r="B498" s="59">
        <v>0</v>
      </c>
      <c r="C498" s="59">
        <v>1</v>
      </c>
      <c r="D498" s="59">
        <f t="shared" si="133"/>
        <v>1</v>
      </c>
      <c r="E498" s="59">
        <f t="shared" si="134"/>
        <v>0</v>
      </c>
      <c r="F498" s="59">
        <v>1343</v>
      </c>
      <c r="G498" s="59">
        <v>1</v>
      </c>
      <c r="H498" s="59">
        <f t="shared" si="135"/>
        <v>1</v>
      </c>
      <c r="I498" s="59">
        <f t="shared" si="136"/>
        <v>0</v>
      </c>
      <c r="J498" s="59">
        <v>22</v>
      </c>
      <c r="K498" s="59">
        <v>1</v>
      </c>
      <c r="L498" s="59">
        <v>5</v>
      </c>
      <c r="M498" s="59">
        <f t="shared" si="137"/>
        <v>0</v>
      </c>
      <c r="N498" s="59">
        <f t="shared" si="138"/>
        <v>0</v>
      </c>
      <c r="O498" s="59">
        <f t="shared" si="139"/>
        <v>0</v>
      </c>
      <c r="P498" s="59">
        <f t="shared" si="140"/>
        <v>0</v>
      </c>
      <c r="Q498" s="59">
        <f t="shared" si="141"/>
        <v>1</v>
      </c>
      <c r="R498" s="59">
        <v>1</v>
      </c>
      <c r="S498" s="59">
        <v>669</v>
      </c>
      <c r="T498" s="59">
        <v>3</v>
      </c>
      <c r="U498" s="59">
        <v>1</v>
      </c>
      <c r="V498" s="59">
        <v>49</v>
      </c>
      <c r="W498" s="59">
        <v>3</v>
      </c>
      <c r="X498" s="59">
        <v>1</v>
      </c>
      <c r="Y498" s="59">
        <v>7</v>
      </c>
      <c r="Z498" s="59">
        <f t="shared" si="142"/>
        <v>0</v>
      </c>
      <c r="AA498" s="59">
        <f>IF('Updated Dummy'!Y498=2,1,0)</f>
        <v>0</v>
      </c>
      <c r="AB498" s="59">
        <f t="shared" si="143"/>
        <v>0</v>
      </c>
      <c r="AC498" s="59">
        <f t="shared" si="144"/>
        <v>0</v>
      </c>
      <c r="AD498" s="59">
        <f t="shared" si="145"/>
        <v>0</v>
      </c>
      <c r="AE498" s="59">
        <f t="shared" si="146"/>
        <v>0</v>
      </c>
      <c r="AF498" s="59">
        <f t="shared" si="147"/>
        <v>1</v>
      </c>
      <c r="AG498" s="59">
        <f t="shared" si="148"/>
        <v>0</v>
      </c>
      <c r="AH498" s="59">
        <v>3</v>
      </c>
      <c r="AI498" s="59">
        <v>1</v>
      </c>
      <c r="AJ498" s="59">
        <f t="shared" si="149"/>
        <v>1</v>
      </c>
      <c r="AK498" s="59">
        <f t="shared" si="150"/>
        <v>0</v>
      </c>
      <c r="AL498" s="59">
        <v>3447</v>
      </c>
      <c r="AM498" s="59">
        <v>24444</v>
      </c>
      <c r="AN498" s="59">
        <v>1</v>
      </c>
      <c r="AO498" s="59">
        <v>0</v>
      </c>
      <c r="AP498" s="59">
        <v>11</v>
      </c>
      <c r="AQ498" s="59">
        <v>3</v>
      </c>
      <c r="AR498" s="59">
        <v>3</v>
      </c>
      <c r="AS498" s="59">
        <v>80</v>
      </c>
      <c r="AT498" s="59">
        <v>0</v>
      </c>
      <c r="AU498" s="59">
        <v>3</v>
      </c>
      <c r="AV498" s="59">
        <v>2</v>
      </c>
      <c r="AW498" s="59">
        <v>3</v>
      </c>
      <c r="AX498" s="59">
        <v>3</v>
      </c>
      <c r="AY498" s="59">
        <v>2</v>
      </c>
      <c r="AZ498" s="59">
        <v>1</v>
      </c>
      <c r="BA498" s="59">
        <v>2</v>
      </c>
      <c r="BB498" s="57">
        <f t="shared" si="151"/>
        <v>3447</v>
      </c>
    </row>
    <row r="499" spans="1:54" x14ac:dyDescent="0.25">
      <c r="A499" s="58">
        <v>44</v>
      </c>
      <c r="B499" s="59">
        <v>0</v>
      </c>
      <c r="C499" s="59">
        <v>1</v>
      </c>
      <c r="D499" s="59">
        <f t="shared" si="133"/>
        <v>1</v>
      </c>
      <c r="E499" s="59">
        <f t="shared" si="134"/>
        <v>0</v>
      </c>
      <c r="F499" s="59">
        <v>1315</v>
      </c>
      <c r="G499" s="59">
        <v>2</v>
      </c>
      <c r="H499" s="59">
        <f t="shared" si="135"/>
        <v>0</v>
      </c>
      <c r="I499" s="59">
        <f t="shared" si="136"/>
        <v>1</v>
      </c>
      <c r="J499" s="59">
        <v>3</v>
      </c>
      <c r="K499" s="59">
        <v>4</v>
      </c>
      <c r="L499" s="59">
        <v>6</v>
      </c>
      <c r="M499" s="59">
        <f t="shared" si="137"/>
        <v>0</v>
      </c>
      <c r="N499" s="59">
        <f t="shared" si="138"/>
        <v>0</v>
      </c>
      <c r="O499" s="59">
        <f t="shared" si="139"/>
        <v>0</v>
      </c>
      <c r="P499" s="59">
        <f t="shared" si="140"/>
        <v>0</v>
      </c>
      <c r="Q499" s="59">
        <f t="shared" si="141"/>
        <v>0</v>
      </c>
      <c r="R499" s="59">
        <v>1</v>
      </c>
      <c r="S499" s="59">
        <v>671</v>
      </c>
      <c r="T499" s="59">
        <v>4</v>
      </c>
      <c r="U499" s="59">
        <v>1</v>
      </c>
      <c r="V499" s="59">
        <v>35</v>
      </c>
      <c r="W499" s="59">
        <v>3</v>
      </c>
      <c r="X499" s="59">
        <v>5</v>
      </c>
      <c r="Y499" s="59">
        <v>6</v>
      </c>
      <c r="Z499" s="59">
        <f t="shared" si="142"/>
        <v>0</v>
      </c>
      <c r="AA499" s="59">
        <f>IF('Updated Dummy'!Y499=2,1,0)</f>
        <v>0</v>
      </c>
      <c r="AB499" s="59">
        <f t="shared" si="143"/>
        <v>0</v>
      </c>
      <c r="AC499" s="59">
        <f t="shared" si="144"/>
        <v>0</v>
      </c>
      <c r="AD499" s="59">
        <f t="shared" si="145"/>
        <v>0</v>
      </c>
      <c r="AE499" s="59">
        <f t="shared" si="146"/>
        <v>1</v>
      </c>
      <c r="AF499" s="59">
        <f t="shared" si="147"/>
        <v>0</v>
      </c>
      <c r="AG499" s="59">
        <f t="shared" si="148"/>
        <v>0</v>
      </c>
      <c r="AH499" s="59">
        <v>4</v>
      </c>
      <c r="AI499" s="59">
        <v>2</v>
      </c>
      <c r="AJ499" s="59">
        <f t="shared" si="149"/>
        <v>0</v>
      </c>
      <c r="AK499" s="59">
        <f t="shared" si="150"/>
        <v>1</v>
      </c>
      <c r="AL499" s="59">
        <v>19513</v>
      </c>
      <c r="AM499" s="59">
        <v>9358</v>
      </c>
      <c r="AN499" s="59">
        <v>4</v>
      </c>
      <c r="AO499" s="59">
        <v>1</v>
      </c>
      <c r="AP499" s="59">
        <v>12</v>
      </c>
      <c r="AQ499" s="59">
        <v>3</v>
      </c>
      <c r="AR499" s="59">
        <v>1</v>
      </c>
      <c r="AS499" s="59">
        <v>80</v>
      </c>
      <c r="AT499" s="59">
        <v>1</v>
      </c>
      <c r="AU499" s="59">
        <v>26</v>
      </c>
      <c r="AV499" s="59">
        <v>2</v>
      </c>
      <c r="AW499" s="59">
        <v>4</v>
      </c>
      <c r="AX499" s="59">
        <v>2</v>
      </c>
      <c r="AY499" s="59">
        <v>2</v>
      </c>
      <c r="AZ499" s="59">
        <v>0</v>
      </c>
      <c r="BA499" s="59">
        <v>1</v>
      </c>
      <c r="BB499" s="57">
        <f t="shared" si="151"/>
        <v>97565</v>
      </c>
    </row>
    <row r="500" spans="1:54" x14ac:dyDescent="0.25">
      <c r="A500" s="58">
        <v>22</v>
      </c>
      <c r="B500" s="59">
        <v>0</v>
      </c>
      <c r="C500" s="59">
        <v>1</v>
      </c>
      <c r="D500" s="59">
        <f t="shared" si="133"/>
        <v>1</v>
      </c>
      <c r="E500" s="59">
        <f t="shared" si="134"/>
        <v>0</v>
      </c>
      <c r="F500" s="59">
        <v>604</v>
      </c>
      <c r="G500" s="59">
        <v>2</v>
      </c>
      <c r="H500" s="59">
        <f t="shared" si="135"/>
        <v>0</v>
      </c>
      <c r="I500" s="59">
        <f t="shared" si="136"/>
        <v>1</v>
      </c>
      <c r="J500" s="59">
        <v>6</v>
      </c>
      <c r="K500" s="59">
        <v>1</v>
      </c>
      <c r="L500" s="59">
        <v>3</v>
      </c>
      <c r="M500" s="59">
        <f t="shared" si="137"/>
        <v>0</v>
      </c>
      <c r="N500" s="59">
        <f t="shared" si="138"/>
        <v>0</v>
      </c>
      <c r="O500" s="59">
        <f t="shared" si="139"/>
        <v>1</v>
      </c>
      <c r="P500" s="59">
        <f t="shared" si="140"/>
        <v>0</v>
      </c>
      <c r="Q500" s="59">
        <f t="shared" si="141"/>
        <v>0</v>
      </c>
      <c r="R500" s="59">
        <v>1</v>
      </c>
      <c r="S500" s="59">
        <v>675</v>
      </c>
      <c r="T500" s="59">
        <v>1</v>
      </c>
      <c r="U500" s="59">
        <v>1</v>
      </c>
      <c r="V500" s="59">
        <v>69</v>
      </c>
      <c r="W500" s="59">
        <v>3</v>
      </c>
      <c r="X500" s="59">
        <v>1</v>
      </c>
      <c r="Y500" s="59">
        <v>2</v>
      </c>
      <c r="Z500" s="59">
        <f t="shared" si="142"/>
        <v>0</v>
      </c>
      <c r="AA500" s="59">
        <f>IF('Updated Dummy'!Y500=2,1,0)</f>
        <v>1</v>
      </c>
      <c r="AB500" s="59">
        <f t="shared" si="143"/>
        <v>0</v>
      </c>
      <c r="AC500" s="59">
        <f t="shared" si="144"/>
        <v>0</v>
      </c>
      <c r="AD500" s="59">
        <f t="shared" si="145"/>
        <v>0</v>
      </c>
      <c r="AE500" s="59">
        <f t="shared" si="146"/>
        <v>0</v>
      </c>
      <c r="AF500" s="59">
        <f t="shared" si="147"/>
        <v>0</v>
      </c>
      <c r="AG500" s="59">
        <f t="shared" si="148"/>
        <v>0</v>
      </c>
      <c r="AH500" s="59">
        <v>3</v>
      </c>
      <c r="AI500" s="59">
        <v>2</v>
      </c>
      <c r="AJ500" s="59">
        <f t="shared" si="149"/>
        <v>0</v>
      </c>
      <c r="AK500" s="59">
        <f t="shared" si="150"/>
        <v>1</v>
      </c>
      <c r="AL500" s="59">
        <v>2773</v>
      </c>
      <c r="AM500" s="59">
        <v>12145</v>
      </c>
      <c r="AN500" s="59">
        <v>0</v>
      </c>
      <c r="AO500" s="59">
        <v>0</v>
      </c>
      <c r="AP500" s="59">
        <v>20</v>
      </c>
      <c r="AQ500" s="59">
        <v>4</v>
      </c>
      <c r="AR500" s="59">
        <v>4</v>
      </c>
      <c r="AS500" s="59">
        <v>80</v>
      </c>
      <c r="AT500" s="59">
        <v>0</v>
      </c>
      <c r="AU500" s="59">
        <v>3</v>
      </c>
      <c r="AV500" s="59">
        <v>3</v>
      </c>
      <c r="AW500" s="59">
        <v>3</v>
      </c>
      <c r="AX500" s="59">
        <v>2</v>
      </c>
      <c r="AY500" s="59">
        <v>2</v>
      </c>
      <c r="AZ500" s="59">
        <v>2</v>
      </c>
      <c r="BA500" s="59">
        <v>2</v>
      </c>
      <c r="BB500" s="57">
        <f t="shared" si="151"/>
        <v>2773</v>
      </c>
    </row>
    <row r="501" spans="1:54" x14ac:dyDescent="0.25">
      <c r="A501" s="58">
        <v>33</v>
      </c>
      <c r="B501" s="59">
        <v>0</v>
      </c>
      <c r="C501" s="59">
        <v>1</v>
      </c>
      <c r="D501" s="59">
        <f t="shared" si="133"/>
        <v>1</v>
      </c>
      <c r="E501" s="59">
        <f t="shared" si="134"/>
        <v>0</v>
      </c>
      <c r="F501" s="59">
        <v>1216</v>
      </c>
      <c r="G501" s="59">
        <v>1</v>
      </c>
      <c r="H501" s="59">
        <f t="shared" si="135"/>
        <v>1</v>
      </c>
      <c r="I501" s="59">
        <f t="shared" si="136"/>
        <v>0</v>
      </c>
      <c r="J501" s="59">
        <v>8</v>
      </c>
      <c r="K501" s="59">
        <v>4</v>
      </c>
      <c r="L501" s="59">
        <v>4</v>
      </c>
      <c r="M501" s="59">
        <f t="shared" si="137"/>
        <v>0</v>
      </c>
      <c r="N501" s="59">
        <f t="shared" si="138"/>
        <v>0</v>
      </c>
      <c r="O501" s="59">
        <f t="shared" si="139"/>
        <v>0</v>
      </c>
      <c r="P501" s="59">
        <f t="shared" si="140"/>
        <v>1</v>
      </c>
      <c r="Q501" s="59">
        <f t="shared" si="141"/>
        <v>0</v>
      </c>
      <c r="R501" s="59">
        <v>1</v>
      </c>
      <c r="S501" s="59">
        <v>677</v>
      </c>
      <c r="T501" s="59">
        <v>3</v>
      </c>
      <c r="U501" s="59">
        <v>1</v>
      </c>
      <c r="V501" s="59">
        <v>39</v>
      </c>
      <c r="W501" s="59">
        <v>3</v>
      </c>
      <c r="X501" s="59">
        <v>2</v>
      </c>
      <c r="Y501" s="59">
        <v>1</v>
      </c>
      <c r="Z501" s="59">
        <f t="shared" si="142"/>
        <v>1</v>
      </c>
      <c r="AA501" s="59">
        <f>IF('Updated Dummy'!Y501=2,1,0)</f>
        <v>0</v>
      </c>
      <c r="AB501" s="59">
        <f t="shared" si="143"/>
        <v>0</v>
      </c>
      <c r="AC501" s="59">
        <f t="shared" si="144"/>
        <v>0</v>
      </c>
      <c r="AD501" s="59">
        <f t="shared" si="145"/>
        <v>0</v>
      </c>
      <c r="AE501" s="59">
        <f t="shared" si="146"/>
        <v>0</v>
      </c>
      <c r="AF501" s="59">
        <f t="shared" si="147"/>
        <v>0</v>
      </c>
      <c r="AG501" s="59">
        <f t="shared" si="148"/>
        <v>0</v>
      </c>
      <c r="AH501" s="59">
        <v>3</v>
      </c>
      <c r="AI501" s="59">
        <v>3</v>
      </c>
      <c r="AJ501" s="59">
        <f t="shared" si="149"/>
        <v>0</v>
      </c>
      <c r="AK501" s="59">
        <f t="shared" si="150"/>
        <v>0</v>
      </c>
      <c r="AL501" s="59">
        <v>7104</v>
      </c>
      <c r="AM501" s="59">
        <v>20431</v>
      </c>
      <c r="AN501" s="59">
        <v>0</v>
      </c>
      <c r="AO501" s="59">
        <v>0</v>
      </c>
      <c r="AP501" s="59">
        <v>12</v>
      </c>
      <c r="AQ501" s="59">
        <v>3</v>
      </c>
      <c r="AR501" s="59">
        <v>4</v>
      </c>
      <c r="AS501" s="59">
        <v>80</v>
      </c>
      <c r="AT501" s="59">
        <v>0</v>
      </c>
      <c r="AU501" s="59">
        <v>6</v>
      </c>
      <c r="AV501" s="59">
        <v>3</v>
      </c>
      <c r="AW501" s="59">
        <v>3</v>
      </c>
      <c r="AX501" s="59">
        <v>5</v>
      </c>
      <c r="AY501" s="59">
        <v>0</v>
      </c>
      <c r="AZ501" s="59">
        <v>1</v>
      </c>
      <c r="BA501" s="59">
        <v>2</v>
      </c>
      <c r="BB501" s="57">
        <f t="shared" si="151"/>
        <v>14208</v>
      </c>
    </row>
    <row r="502" spans="1:54" x14ac:dyDescent="0.25">
      <c r="A502" s="58">
        <v>32</v>
      </c>
      <c r="B502" s="59">
        <v>0</v>
      </c>
      <c r="C502" s="59">
        <v>1</v>
      </c>
      <c r="D502" s="59">
        <f t="shared" si="133"/>
        <v>1</v>
      </c>
      <c r="E502" s="59">
        <f t="shared" si="134"/>
        <v>0</v>
      </c>
      <c r="F502" s="59">
        <v>646</v>
      </c>
      <c r="G502" s="59">
        <v>2</v>
      </c>
      <c r="H502" s="59">
        <f t="shared" si="135"/>
        <v>0</v>
      </c>
      <c r="I502" s="59">
        <f t="shared" si="136"/>
        <v>1</v>
      </c>
      <c r="J502" s="59">
        <v>9</v>
      </c>
      <c r="K502" s="59">
        <v>4</v>
      </c>
      <c r="L502" s="59">
        <v>1</v>
      </c>
      <c r="M502" s="59">
        <f t="shared" si="137"/>
        <v>1</v>
      </c>
      <c r="N502" s="59">
        <f t="shared" si="138"/>
        <v>0</v>
      </c>
      <c r="O502" s="59">
        <f t="shared" si="139"/>
        <v>0</v>
      </c>
      <c r="P502" s="59">
        <f t="shared" si="140"/>
        <v>0</v>
      </c>
      <c r="Q502" s="59">
        <f t="shared" si="141"/>
        <v>0</v>
      </c>
      <c r="R502" s="59">
        <v>1</v>
      </c>
      <c r="S502" s="59">
        <v>679</v>
      </c>
      <c r="T502" s="59">
        <v>1</v>
      </c>
      <c r="U502" s="59">
        <v>0</v>
      </c>
      <c r="V502" s="59">
        <v>92</v>
      </c>
      <c r="W502" s="59">
        <v>3</v>
      </c>
      <c r="X502" s="59">
        <v>2</v>
      </c>
      <c r="Y502" s="59">
        <v>2</v>
      </c>
      <c r="Z502" s="59">
        <f t="shared" si="142"/>
        <v>0</v>
      </c>
      <c r="AA502" s="59">
        <f>IF('Updated Dummy'!Y502=2,1,0)</f>
        <v>1</v>
      </c>
      <c r="AB502" s="59">
        <f t="shared" si="143"/>
        <v>0</v>
      </c>
      <c r="AC502" s="59">
        <f t="shared" si="144"/>
        <v>0</v>
      </c>
      <c r="AD502" s="59">
        <f t="shared" si="145"/>
        <v>0</v>
      </c>
      <c r="AE502" s="59">
        <f t="shared" si="146"/>
        <v>0</v>
      </c>
      <c r="AF502" s="59">
        <f t="shared" si="147"/>
        <v>0</v>
      </c>
      <c r="AG502" s="59">
        <f t="shared" si="148"/>
        <v>0</v>
      </c>
      <c r="AH502" s="59">
        <v>4</v>
      </c>
      <c r="AI502" s="59">
        <v>2</v>
      </c>
      <c r="AJ502" s="59">
        <f t="shared" si="149"/>
        <v>0</v>
      </c>
      <c r="AK502" s="59">
        <f t="shared" si="150"/>
        <v>1</v>
      </c>
      <c r="AL502" s="59">
        <v>6322</v>
      </c>
      <c r="AM502" s="59">
        <v>18089</v>
      </c>
      <c r="AN502" s="59">
        <v>1</v>
      </c>
      <c r="AO502" s="59">
        <v>1</v>
      </c>
      <c r="AP502" s="59">
        <v>12</v>
      </c>
      <c r="AQ502" s="59">
        <v>3</v>
      </c>
      <c r="AR502" s="59">
        <v>4</v>
      </c>
      <c r="AS502" s="59">
        <v>80</v>
      </c>
      <c r="AT502" s="59">
        <v>1</v>
      </c>
      <c r="AU502" s="59">
        <v>6</v>
      </c>
      <c r="AV502" s="59">
        <v>2</v>
      </c>
      <c r="AW502" s="59">
        <v>2</v>
      </c>
      <c r="AX502" s="59">
        <v>6</v>
      </c>
      <c r="AY502" s="59">
        <v>4</v>
      </c>
      <c r="AZ502" s="59">
        <v>0</v>
      </c>
      <c r="BA502" s="59">
        <v>5</v>
      </c>
      <c r="BB502" s="57">
        <f t="shared" si="151"/>
        <v>12644</v>
      </c>
    </row>
    <row r="503" spans="1:54" x14ac:dyDescent="0.25">
      <c r="A503" s="58">
        <v>30</v>
      </c>
      <c r="B503" s="59">
        <v>0</v>
      </c>
      <c r="C503" s="59">
        <v>2</v>
      </c>
      <c r="D503" s="59">
        <f t="shared" si="133"/>
        <v>0</v>
      </c>
      <c r="E503" s="59">
        <f t="shared" si="134"/>
        <v>1</v>
      </c>
      <c r="F503" s="59">
        <v>160</v>
      </c>
      <c r="G503" s="59">
        <v>2</v>
      </c>
      <c r="H503" s="59">
        <f t="shared" si="135"/>
        <v>0</v>
      </c>
      <c r="I503" s="59">
        <f t="shared" si="136"/>
        <v>1</v>
      </c>
      <c r="J503" s="59">
        <v>3</v>
      </c>
      <c r="K503" s="59">
        <v>3</v>
      </c>
      <c r="L503" s="59">
        <v>3</v>
      </c>
      <c r="M503" s="59">
        <f t="shared" si="137"/>
        <v>0</v>
      </c>
      <c r="N503" s="59">
        <f t="shared" si="138"/>
        <v>0</v>
      </c>
      <c r="O503" s="59">
        <f t="shared" si="139"/>
        <v>1</v>
      </c>
      <c r="P503" s="59">
        <f t="shared" si="140"/>
        <v>0</v>
      </c>
      <c r="Q503" s="59">
        <f t="shared" si="141"/>
        <v>0</v>
      </c>
      <c r="R503" s="59">
        <v>1</v>
      </c>
      <c r="S503" s="59">
        <v>680</v>
      </c>
      <c r="T503" s="59">
        <v>3</v>
      </c>
      <c r="U503" s="59">
        <v>0</v>
      </c>
      <c r="V503" s="59">
        <v>71</v>
      </c>
      <c r="W503" s="59">
        <v>3</v>
      </c>
      <c r="X503" s="59">
        <v>1</v>
      </c>
      <c r="Y503" s="59">
        <v>2</v>
      </c>
      <c r="Z503" s="59">
        <f t="shared" si="142"/>
        <v>0</v>
      </c>
      <c r="AA503" s="59">
        <f>IF('Updated Dummy'!Y503=2,1,0)</f>
        <v>1</v>
      </c>
      <c r="AB503" s="59">
        <f t="shared" si="143"/>
        <v>0</v>
      </c>
      <c r="AC503" s="59">
        <f t="shared" si="144"/>
        <v>0</v>
      </c>
      <c r="AD503" s="59">
        <f t="shared" si="145"/>
        <v>0</v>
      </c>
      <c r="AE503" s="59">
        <f t="shared" si="146"/>
        <v>0</v>
      </c>
      <c r="AF503" s="59">
        <f t="shared" si="147"/>
        <v>0</v>
      </c>
      <c r="AG503" s="59">
        <f t="shared" si="148"/>
        <v>0</v>
      </c>
      <c r="AH503" s="59">
        <v>3</v>
      </c>
      <c r="AI503" s="59">
        <v>3</v>
      </c>
      <c r="AJ503" s="59">
        <f t="shared" si="149"/>
        <v>0</v>
      </c>
      <c r="AK503" s="59">
        <f t="shared" si="150"/>
        <v>0</v>
      </c>
      <c r="AL503" s="59">
        <v>2083</v>
      </c>
      <c r="AM503" s="59">
        <v>22653</v>
      </c>
      <c r="AN503" s="59">
        <v>1</v>
      </c>
      <c r="AO503" s="59">
        <v>0</v>
      </c>
      <c r="AP503" s="59">
        <v>20</v>
      </c>
      <c r="AQ503" s="59">
        <v>4</v>
      </c>
      <c r="AR503" s="59">
        <v>3</v>
      </c>
      <c r="AS503" s="59">
        <v>80</v>
      </c>
      <c r="AT503" s="59">
        <v>1</v>
      </c>
      <c r="AU503" s="59">
        <v>1</v>
      </c>
      <c r="AV503" s="59">
        <v>2</v>
      </c>
      <c r="AW503" s="59">
        <v>3</v>
      </c>
      <c r="AX503" s="59">
        <v>1</v>
      </c>
      <c r="AY503" s="59">
        <v>0</v>
      </c>
      <c r="AZ503" s="59">
        <v>0</v>
      </c>
      <c r="BA503" s="59">
        <v>0</v>
      </c>
      <c r="BB503" s="57">
        <f t="shared" si="151"/>
        <v>2083</v>
      </c>
    </row>
    <row r="504" spans="1:54" x14ac:dyDescent="0.25">
      <c r="A504" s="58">
        <v>53</v>
      </c>
      <c r="B504" s="59">
        <v>0</v>
      </c>
      <c r="C504" s="59">
        <v>1</v>
      </c>
      <c r="D504" s="59">
        <f t="shared" si="133"/>
        <v>1</v>
      </c>
      <c r="E504" s="59">
        <f t="shared" si="134"/>
        <v>0</v>
      </c>
      <c r="F504" s="59">
        <v>238</v>
      </c>
      <c r="G504" s="59">
        <v>1</v>
      </c>
      <c r="H504" s="59">
        <f t="shared" si="135"/>
        <v>1</v>
      </c>
      <c r="I504" s="59">
        <f t="shared" si="136"/>
        <v>0</v>
      </c>
      <c r="J504" s="59">
        <v>1</v>
      </c>
      <c r="K504" s="59">
        <v>1</v>
      </c>
      <c r="L504" s="59">
        <v>3</v>
      </c>
      <c r="M504" s="59">
        <f t="shared" si="137"/>
        <v>0</v>
      </c>
      <c r="N504" s="59">
        <f t="shared" si="138"/>
        <v>0</v>
      </c>
      <c r="O504" s="59">
        <f t="shared" si="139"/>
        <v>1</v>
      </c>
      <c r="P504" s="59">
        <f t="shared" si="140"/>
        <v>0</v>
      </c>
      <c r="Q504" s="59">
        <f t="shared" si="141"/>
        <v>0</v>
      </c>
      <c r="R504" s="59">
        <v>1</v>
      </c>
      <c r="S504" s="59">
        <v>682</v>
      </c>
      <c r="T504" s="59">
        <v>4</v>
      </c>
      <c r="U504" s="59">
        <v>0</v>
      </c>
      <c r="V504" s="59">
        <v>34</v>
      </c>
      <c r="W504" s="59">
        <v>3</v>
      </c>
      <c r="X504" s="59">
        <v>2</v>
      </c>
      <c r="Y504" s="59">
        <v>1</v>
      </c>
      <c r="Z504" s="59">
        <f t="shared" si="142"/>
        <v>1</v>
      </c>
      <c r="AA504" s="59">
        <f>IF('Updated Dummy'!Y504=2,1,0)</f>
        <v>0</v>
      </c>
      <c r="AB504" s="59">
        <f t="shared" si="143"/>
        <v>0</v>
      </c>
      <c r="AC504" s="59">
        <f t="shared" si="144"/>
        <v>0</v>
      </c>
      <c r="AD504" s="59">
        <f t="shared" si="145"/>
        <v>0</v>
      </c>
      <c r="AE504" s="59">
        <f t="shared" si="146"/>
        <v>0</v>
      </c>
      <c r="AF504" s="59">
        <f t="shared" si="147"/>
        <v>0</v>
      </c>
      <c r="AG504" s="59">
        <f t="shared" si="148"/>
        <v>0</v>
      </c>
      <c r="AH504" s="59">
        <v>1</v>
      </c>
      <c r="AI504" s="59">
        <v>1</v>
      </c>
      <c r="AJ504" s="59">
        <f t="shared" si="149"/>
        <v>1</v>
      </c>
      <c r="AK504" s="59">
        <f t="shared" si="150"/>
        <v>0</v>
      </c>
      <c r="AL504" s="59">
        <v>8381</v>
      </c>
      <c r="AM504" s="59">
        <v>7507</v>
      </c>
      <c r="AN504" s="59">
        <v>7</v>
      </c>
      <c r="AO504" s="59">
        <v>0</v>
      </c>
      <c r="AP504" s="59">
        <v>20</v>
      </c>
      <c r="AQ504" s="59">
        <v>4</v>
      </c>
      <c r="AR504" s="59">
        <v>4</v>
      </c>
      <c r="AS504" s="59">
        <v>80</v>
      </c>
      <c r="AT504" s="59">
        <v>0</v>
      </c>
      <c r="AU504" s="59">
        <v>18</v>
      </c>
      <c r="AV504" s="59">
        <v>2</v>
      </c>
      <c r="AW504" s="59">
        <v>4</v>
      </c>
      <c r="AX504" s="59">
        <v>14</v>
      </c>
      <c r="AY504" s="59">
        <v>7</v>
      </c>
      <c r="AZ504" s="59">
        <v>8</v>
      </c>
      <c r="BA504" s="59">
        <v>10</v>
      </c>
      <c r="BB504" s="57">
        <f t="shared" si="151"/>
        <v>16762</v>
      </c>
    </row>
    <row r="505" spans="1:54" x14ac:dyDescent="0.25">
      <c r="A505" s="58">
        <v>34</v>
      </c>
      <c r="B505" s="59">
        <v>0</v>
      </c>
      <c r="C505" s="59">
        <v>1</v>
      </c>
      <c r="D505" s="59">
        <f t="shared" si="133"/>
        <v>1</v>
      </c>
      <c r="E505" s="59">
        <f t="shared" si="134"/>
        <v>0</v>
      </c>
      <c r="F505" s="59">
        <v>1397</v>
      </c>
      <c r="G505" s="59">
        <v>2</v>
      </c>
      <c r="H505" s="59">
        <f t="shared" si="135"/>
        <v>0</v>
      </c>
      <c r="I505" s="59">
        <f t="shared" si="136"/>
        <v>1</v>
      </c>
      <c r="J505" s="59">
        <v>1</v>
      </c>
      <c r="K505" s="59">
        <v>5</v>
      </c>
      <c r="L505" s="59">
        <v>1</v>
      </c>
      <c r="M505" s="59">
        <f t="shared" si="137"/>
        <v>1</v>
      </c>
      <c r="N505" s="59">
        <f t="shared" si="138"/>
        <v>0</v>
      </c>
      <c r="O505" s="59">
        <f t="shared" si="139"/>
        <v>0</v>
      </c>
      <c r="P505" s="59">
        <f t="shared" si="140"/>
        <v>0</v>
      </c>
      <c r="Q505" s="59">
        <f t="shared" si="141"/>
        <v>0</v>
      </c>
      <c r="R505" s="59">
        <v>1</v>
      </c>
      <c r="S505" s="59">
        <v>683</v>
      </c>
      <c r="T505" s="59">
        <v>2</v>
      </c>
      <c r="U505" s="59">
        <v>1</v>
      </c>
      <c r="V505" s="59">
        <v>42</v>
      </c>
      <c r="W505" s="59">
        <v>3</v>
      </c>
      <c r="X505" s="59">
        <v>1</v>
      </c>
      <c r="Y505" s="59">
        <v>2</v>
      </c>
      <c r="Z505" s="59">
        <f t="shared" si="142"/>
        <v>0</v>
      </c>
      <c r="AA505" s="59">
        <f>IF('Updated Dummy'!Y505=2,1,0)</f>
        <v>1</v>
      </c>
      <c r="AB505" s="59">
        <f t="shared" si="143"/>
        <v>0</v>
      </c>
      <c r="AC505" s="59">
        <f t="shared" si="144"/>
        <v>0</v>
      </c>
      <c r="AD505" s="59">
        <f t="shared" si="145"/>
        <v>0</v>
      </c>
      <c r="AE505" s="59">
        <f t="shared" si="146"/>
        <v>0</v>
      </c>
      <c r="AF505" s="59">
        <f t="shared" si="147"/>
        <v>0</v>
      </c>
      <c r="AG505" s="59">
        <f t="shared" si="148"/>
        <v>0</v>
      </c>
      <c r="AH505" s="59">
        <v>4</v>
      </c>
      <c r="AI505" s="59">
        <v>2</v>
      </c>
      <c r="AJ505" s="59">
        <f t="shared" si="149"/>
        <v>0</v>
      </c>
      <c r="AK505" s="59">
        <f t="shared" si="150"/>
        <v>1</v>
      </c>
      <c r="AL505" s="59">
        <v>2691</v>
      </c>
      <c r="AM505" s="59">
        <v>7660</v>
      </c>
      <c r="AN505" s="59">
        <v>1</v>
      </c>
      <c r="AO505" s="59">
        <v>0</v>
      </c>
      <c r="AP505" s="59">
        <v>12</v>
      </c>
      <c r="AQ505" s="59">
        <v>3</v>
      </c>
      <c r="AR505" s="59">
        <v>4</v>
      </c>
      <c r="AS505" s="59">
        <v>80</v>
      </c>
      <c r="AT505" s="59">
        <v>1</v>
      </c>
      <c r="AU505" s="59">
        <v>10</v>
      </c>
      <c r="AV505" s="59">
        <v>4</v>
      </c>
      <c r="AW505" s="59">
        <v>2</v>
      </c>
      <c r="AX505" s="59">
        <v>10</v>
      </c>
      <c r="AY505" s="59">
        <v>9</v>
      </c>
      <c r="AZ505" s="59">
        <v>8</v>
      </c>
      <c r="BA505" s="59">
        <v>8</v>
      </c>
      <c r="BB505" s="57">
        <f t="shared" si="151"/>
        <v>2691</v>
      </c>
    </row>
    <row r="506" spans="1:54" x14ac:dyDescent="0.25">
      <c r="A506" s="58">
        <v>45</v>
      </c>
      <c r="B506" s="59">
        <v>1</v>
      </c>
      <c r="C506" s="59">
        <v>2</v>
      </c>
      <c r="D506" s="59">
        <f t="shared" si="133"/>
        <v>0</v>
      </c>
      <c r="E506" s="59">
        <f t="shared" si="134"/>
        <v>1</v>
      </c>
      <c r="F506" s="59">
        <v>306</v>
      </c>
      <c r="G506" s="59">
        <v>1</v>
      </c>
      <c r="H506" s="59">
        <f t="shared" si="135"/>
        <v>1</v>
      </c>
      <c r="I506" s="59">
        <f t="shared" si="136"/>
        <v>0</v>
      </c>
      <c r="J506" s="59">
        <v>26</v>
      </c>
      <c r="K506" s="59">
        <v>4</v>
      </c>
      <c r="L506" s="59">
        <v>1</v>
      </c>
      <c r="M506" s="59">
        <f t="shared" si="137"/>
        <v>1</v>
      </c>
      <c r="N506" s="59">
        <f t="shared" si="138"/>
        <v>0</v>
      </c>
      <c r="O506" s="59">
        <f t="shared" si="139"/>
        <v>0</v>
      </c>
      <c r="P506" s="59">
        <f t="shared" si="140"/>
        <v>0</v>
      </c>
      <c r="Q506" s="59">
        <f t="shared" si="141"/>
        <v>0</v>
      </c>
      <c r="R506" s="59">
        <v>1</v>
      </c>
      <c r="S506" s="59">
        <v>684</v>
      </c>
      <c r="T506" s="59">
        <v>1</v>
      </c>
      <c r="U506" s="59">
        <v>0</v>
      </c>
      <c r="V506" s="59">
        <v>100</v>
      </c>
      <c r="W506" s="59">
        <v>3</v>
      </c>
      <c r="X506" s="59">
        <v>2</v>
      </c>
      <c r="Y506" s="59">
        <v>1</v>
      </c>
      <c r="Z506" s="59">
        <f t="shared" si="142"/>
        <v>1</v>
      </c>
      <c r="AA506" s="59">
        <f>IF('Updated Dummy'!Y506=2,1,0)</f>
        <v>0</v>
      </c>
      <c r="AB506" s="59">
        <f t="shared" si="143"/>
        <v>0</v>
      </c>
      <c r="AC506" s="59">
        <f t="shared" si="144"/>
        <v>0</v>
      </c>
      <c r="AD506" s="59">
        <f t="shared" si="145"/>
        <v>0</v>
      </c>
      <c r="AE506" s="59">
        <f t="shared" si="146"/>
        <v>0</v>
      </c>
      <c r="AF506" s="59">
        <f t="shared" si="147"/>
        <v>0</v>
      </c>
      <c r="AG506" s="59">
        <f t="shared" si="148"/>
        <v>0</v>
      </c>
      <c r="AH506" s="59">
        <v>1</v>
      </c>
      <c r="AI506" s="59">
        <v>2</v>
      </c>
      <c r="AJ506" s="59">
        <f t="shared" si="149"/>
        <v>0</v>
      </c>
      <c r="AK506" s="59">
        <f t="shared" si="150"/>
        <v>1</v>
      </c>
      <c r="AL506" s="59">
        <v>4286</v>
      </c>
      <c r="AM506" s="59">
        <v>5630</v>
      </c>
      <c r="AN506" s="59">
        <v>2</v>
      </c>
      <c r="AO506" s="59">
        <v>0</v>
      </c>
      <c r="AP506" s="59">
        <v>14</v>
      </c>
      <c r="AQ506" s="59">
        <v>3</v>
      </c>
      <c r="AR506" s="59">
        <v>4</v>
      </c>
      <c r="AS506" s="59">
        <v>80</v>
      </c>
      <c r="AT506" s="59">
        <v>2</v>
      </c>
      <c r="AU506" s="59">
        <v>5</v>
      </c>
      <c r="AV506" s="59">
        <v>4</v>
      </c>
      <c r="AW506" s="59">
        <v>3</v>
      </c>
      <c r="AX506" s="59">
        <v>1</v>
      </c>
      <c r="AY506" s="59">
        <v>1</v>
      </c>
      <c r="AZ506" s="59">
        <v>0</v>
      </c>
      <c r="BA506" s="59">
        <v>0</v>
      </c>
      <c r="BB506" s="57">
        <f t="shared" si="151"/>
        <v>8572</v>
      </c>
    </row>
    <row r="507" spans="1:54" x14ac:dyDescent="0.25">
      <c r="A507" s="58">
        <v>26</v>
      </c>
      <c r="B507" s="59">
        <v>0</v>
      </c>
      <c r="C507" s="59">
        <v>1</v>
      </c>
      <c r="D507" s="59">
        <f t="shared" si="133"/>
        <v>1</v>
      </c>
      <c r="E507" s="59">
        <f t="shared" si="134"/>
        <v>0</v>
      </c>
      <c r="F507" s="59">
        <v>991</v>
      </c>
      <c r="G507" s="59">
        <v>2</v>
      </c>
      <c r="H507" s="59">
        <f t="shared" si="135"/>
        <v>0</v>
      </c>
      <c r="I507" s="59">
        <f t="shared" si="136"/>
        <v>1</v>
      </c>
      <c r="J507" s="59">
        <v>6</v>
      </c>
      <c r="K507" s="59">
        <v>3</v>
      </c>
      <c r="L507" s="59">
        <v>1</v>
      </c>
      <c r="M507" s="59">
        <f t="shared" si="137"/>
        <v>1</v>
      </c>
      <c r="N507" s="59">
        <f t="shared" si="138"/>
        <v>0</v>
      </c>
      <c r="O507" s="59">
        <f t="shared" si="139"/>
        <v>0</v>
      </c>
      <c r="P507" s="59">
        <f t="shared" si="140"/>
        <v>0</v>
      </c>
      <c r="Q507" s="59">
        <f t="shared" si="141"/>
        <v>0</v>
      </c>
      <c r="R507" s="59">
        <v>1</v>
      </c>
      <c r="S507" s="59">
        <v>686</v>
      </c>
      <c r="T507" s="59">
        <v>3</v>
      </c>
      <c r="U507" s="59">
        <v>0</v>
      </c>
      <c r="V507" s="59">
        <v>71</v>
      </c>
      <c r="W507" s="59">
        <v>3</v>
      </c>
      <c r="X507" s="59">
        <v>1</v>
      </c>
      <c r="Y507" s="59">
        <v>3</v>
      </c>
      <c r="Z507" s="59">
        <f t="shared" si="142"/>
        <v>0</v>
      </c>
      <c r="AA507" s="59">
        <f>IF('Updated Dummy'!Y507=2,1,0)</f>
        <v>0</v>
      </c>
      <c r="AB507" s="59">
        <f t="shared" si="143"/>
        <v>1</v>
      </c>
      <c r="AC507" s="59">
        <f t="shared" si="144"/>
        <v>0</v>
      </c>
      <c r="AD507" s="59">
        <f t="shared" si="145"/>
        <v>0</v>
      </c>
      <c r="AE507" s="59">
        <f t="shared" si="146"/>
        <v>0</v>
      </c>
      <c r="AF507" s="59">
        <f t="shared" si="147"/>
        <v>0</v>
      </c>
      <c r="AG507" s="59">
        <f t="shared" si="148"/>
        <v>0</v>
      </c>
      <c r="AH507" s="59">
        <v>4</v>
      </c>
      <c r="AI507" s="59">
        <v>2</v>
      </c>
      <c r="AJ507" s="59">
        <f t="shared" si="149"/>
        <v>0</v>
      </c>
      <c r="AK507" s="59">
        <f t="shared" si="150"/>
        <v>1</v>
      </c>
      <c r="AL507" s="59">
        <v>2659</v>
      </c>
      <c r="AM507" s="59">
        <v>17759</v>
      </c>
      <c r="AN507" s="59">
        <v>1</v>
      </c>
      <c r="AO507" s="59">
        <v>1</v>
      </c>
      <c r="AP507" s="59">
        <v>13</v>
      </c>
      <c r="AQ507" s="59">
        <v>3</v>
      </c>
      <c r="AR507" s="59">
        <v>3</v>
      </c>
      <c r="AS507" s="59">
        <v>80</v>
      </c>
      <c r="AT507" s="59">
        <v>1</v>
      </c>
      <c r="AU507" s="59">
        <v>3</v>
      </c>
      <c r="AV507" s="59">
        <v>2</v>
      </c>
      <c r="AW507" s="59">
        <v>3</v>
      </c>
      <c r="AX507" s="59">
        <v>3</v>
      </c>
      <c r="AY507" s="59">
        <v>2</v>
      </c>
      <c r="AZ507" s="59">
        <v>0</v>
      </c>
      <c r="BA507" s="59">
        <v>2</v>
      </c>
      <c r="BB507" s="57">
        <f t="shared" si="151"/>
        <v>2659</v>
      </c>
    </row>
    <row r="508" spans="1:54" x14ac:dyDescent="0.25">
      <c r="A508" s="58">
        <v>37</v>
      </c>
      <c r="B508" s="59">
        <v>0</v>
      </c>
      <c r="C508" s="59">
        <v>1</v>
      </c>
      <c r="D508" s="59">
        <f t="shared" si="133"/>
        <v>1</v>
      </c>
      <c r="E508" s="59">
        <f t="shared" si="134"/>
        <v>0</v>
      </c>
      <c r="F508" s="59">
        <v>482</v>
      </c>
      <c r="G508" s="59">
        <v>2</v>
      </c>
      <c r="H508" s="59">
        <f t="shared" si="135"/>
        <v>0</v>
      </c>
      <c r="I508" s="59">
        <f t="shared" si="136"/>
        <v>1</v>
      </c>
      <c r="J508" s="59">
        <v>3</v>
      </c>
      <c r="K508" s="59">
        <v>3</v>
      </c>
      <c r="L508" s="59">
        <v>6</v>
      </c>
      <c r="M508" s="59">
        <f t="shared" si="137"/>
        <v>0</v>
      </c>
      <c r="N508" s="59">
        <f t="shared" si="138"/>
        <v>0</v>
      </c>
      <c r="O508" s="59">
        <f t="shared" si="139"/>
        <v>0</v>
      </c>
      <c r="P508" s="59">
        <f t="shared" si="140"/>
        <v>0</v>
      </c>
      <c r="Q508" s="59">
        <f t="shared" si="141"/>
        <v>0</v>
      </c>
      <c r="R508" s="59">
        <v>1</v>
      </c>
      <c r="S508" s="59">
        <v>689</v>
      </c>
      <c r="T508" s="59">
        <v>3</v>
      </c>
      <c r="U508" s="59">
        <v>1</v>
      </c>
      <c r="V508" s="59">
        <v>36</v>
      </c>
      <c r="W508" s="59">
        <v>3</v>
      </c>
      <c r="X508" s="59">
        <v>3</v>
      </c>
      <c r="Y508" s="59">
        <v>4</v>
      </c>
      <c r="Z508" s="59">
        <f t="shared" si="142"/>
        <v>0</v>
      </c>
      <c r="AA508" s="59">
        <f>IF('Updated Dummy'!Y508=2,1,0)</f>
        <v>0</v>
      </c>
      <c r="AB508" s="59">
        <f t="shared" si="143"/>
        <v>0</v>
      </c>
      <c r="AC508" s="59">
        <f t="shared" si="144"/>
        <v>1</v>
      </c>
      <c r="AD508" s="59">
        <f t="shared" si="145"/>
        <v>0</v>
      </c>
      <c r="AE508" s="59">
        <f t="shared" si="146"/>
        <v>0</v>
      </c>
      <c r="AF508" s="59">
        <f t="shared" si="147"/>
        <v>0</v>
      </c>
      <c r="AG508" s="59">
        <f t="shared" si="148"/>
        <v>0</v>
      </c>
      <c r="AH508" s="59">
        <v>3</v>
      </c>
      <c r="AI508" s="59">
        <v>2</v>
      </c>
      <c r="AJ508" s="59">
        <f t="shared" si="149"/>
        <v>0</v>
      </c>
      <c r="AK508" s="59">
        <f t="shared" si="150"/>
        <v>1</v>
      </c>
      <c r="AL508" s="59">
        <v>9434</v>
      </c>
      <c r="AM508" s="59">
        <v>9606</v>
      </c>
      <c r="AN508" s="59">
        <v>1</v>
      </c>
      <c r="AO508" s="59">
        <v>0</v>
      </c>
      <c r="AP508" s="59">
        <v>15</v>
      </c>
      <c r="AQ508" s="59">
        <v>3</v>
      </c>
      <c r="AR508" s="59">
        <v>3</v>
      </c>
      <c r="AS508" s="59">
        <v>80</v>
      </c>
      <c r="AT508" s="59">
        <v>1</v>
      </c>
      <c r="AU508" s="59">
        <v>10</v>
      </c>
      <c r="AV508" s="59">
        <v>2</v>
      </c>
      <c r="AW508" s="59">
        <v>3</v>
      </c>
      <c r="AX508" s="59">
        <v>10</v>
      </c>
      <c r="AY508" s="59">
        <v>7</v>
      </c>
      <c r="AZ508" s="59">
        <v>7</v>
      </c>
      <c r="BA508" s="59">
        <v>8</v>
      </c>
      <c r="BB508" s="57">
        <f t="shared" si="151"/>
        <v>28302</v>
      </c>
    </row>
    <row r="509" spans="1:54" x14ac:dyDescent="0.25">
      <c r="A509" s="58">
        <v>29</v>
      </c>
      <c r="B509" s="59">
        <v>0</v>
      </c>
      <c r="C509" s="59">
        <v>1</v>
      </c>
      <c r="D509" s="59">
        <f t="shared" si="133"/>
        <v>1</v>
      </c>
      <c r="E509" s="59">
        <f t="shared" si="134"/>
        <v>0</v>
      </c>
      <c r="F509" s="59">
        <v>1176</v>
      </c>
      <c r="G509" s="59">
        <v>1</v>
      </c>
      <c r="H509" s="59">
        <f t="shared" si="135"/>
        <v>1</v>
      </c>
      <c r="I509" s="59">
        <f t="shared" si="136"/>
        <v>0</v>
      </c>
      <c r="J509" s="59">
        <v>3</v>
      </c>
      <c r="K509" s="59">
        <v>2</v>
      </c>
      <c r="L509" s="59">
        <v>3</v>
      </c>
      <c r="M509" s="59">
        <f t="shared" si="137"/>
        <v>0</v>
      </c>
      <c r="N509" s="59">
        <f t="shared" si="138"/>
        <v>0</v>
      </c>
      <c r="O509" s="59">
        <f t="shared" si="139"/>
        <v>1</v>
      </c>
      <c r="P509" s="59">
        <f t="shared" si="140"/>
        <v>0</v>
      </c>
      <c r="Q509" s="59">
        <f t="shared" si="141"/>
        <v>0</v>
      </c>
      <c r="R509" s="59">
        <v>1</v>
      </c>
      <c r="S509" s="59">
        <v>690</v>
      </c>
      <c r="T509" s="59">
        <v>2</v>
      </c>
      <c r="U509" s="59">
        <v>0</v>
      </c>
      <c r="V509" s="59">
        <v>62</v>
      </c>
      <c r="W509" s="59">
        <v>3</v>
      </c>
      <c r="X509" s="59">
        <v>2</v>
      </c>
      <c r="Y509" s="59">
        <v>1</v>
      </c>
      <c r="Z509" s="59">
        <f t="shared" si="142"/>
        <v>1</v>
      </c>
      <c r="AA509" s="59">
        <f>IF('Updated Dummy'!Y509=2,1,0)</f>
        <v>0</v>
      </c>
      <c r="AB509" s="59">
        <f t="shared" si="143"/>
        <v>0</v>
      </c>
      <c r="AC509" s="59">
        <f t="shared" si="144"/>
        <v>0</v>
      </c>
      <c r="AD509" s="59">
        <f t="shared" si="145"/>
        <v>0</v>
      </c>
      <c r="AE509" s="59">
        <f t="shared" si="146"/>
        <v>0</v>
      </c>
      <c r="AF509" s="59">
        <f t="shared" si="147"/>
        <v>0</v>
      </c>
      <c r="AG509" s="59">
        <f t="shared" si="148"/>
        <v>0</v>
      </c>
      <c r="AH509" s="59">
        <v>3</v>
      </c>
      <c r="AI509" s="59">
        <v>2</v>
      </c>
      <c r="AJ509" s="59">
        <f t="shared" si="149"/>
        <v>0</v>
      </c>
      <c r="AK509" s="59">
        <f t="shared" si="150"/>
        <v>1</v>
      </c>
      <c r="AL509" s="59">
        <v>5561</v>
      </c>
      <c r="AM509" s="59">
        <v>3487</v>
      </c>
      <c r="AN509" s="59">
        <v>1</v>
      </c>
      <c r="AO509" s="59">
        <v>0</v>
      </c>
      <c r="AP509" s="59">
        <v>14</v>
      </c>
      <c r="AQ509" s="59">
        <v>3</v>
      </c>
      <c r="AR509" s="59">
        <v>1</v>
      </c>
      <c r="AS509" s="59">
        <v>80</v>
      </c>
      <c r="AT509" s="59">
        <v>1</v>
      </c>
      <c r="AU509" s="59">
        <v>6</v>
      </c>
      <c r="AV509" s="59">
        <v>5</v>
      </c>
      <c r="AW509" s="59">
        <v>2</v>
      </c>
      <c r="AX509" s="59">
        <v>6</v>
      </c>
      <c r="AY509" s="59">
        <v>0</v>
      </c>
      <c r="AZ509" s="59">
        <v>1</v>
      </c>
      <c r="BA509" s="59">
        <v>2</v>
      </c>
      <c r="BB509" s="57">
        <f t="shared" si="151"/>
        <v>11122</v>
      </c>
    </row>
    <row r="510" spans="1:54" x14ac:dyDescent="0.25">
      <c r="A510" s="58">
        <v>35</v>
      </c>
      <c r="B510" s="59">
        <v>0</v>
      </c>
      <c r="C510" s="59">
        <v>1</v>
      </c>
      <c r="D510" s="59">
        <f t="shared" si="133"/>
        <v>1</v>
      </c>
      <c r="E510" s="59">
        <f t="shared" si="134"/>
        <v>0</v>
      </c>
      <c r="F510" s="59">
        <v>1017</v>
      </c>
      <c r="G510" s="59">
        <v>2</v>
      </c>
      <c r="H510" s="59">
        <f t="shared" si="135"/>
        <v>0</v>
      </c>
      <c r="I510" s="59">
        <f t="shared" si="136"/>
        <v>1</v>
      </c>
      <c r="J510" s="59">
        <v>6</v>
      </c>
      <c r="K510" s="59">
        <v>4</v>
      </c>
      <c r="L510" s="59">
        <v>1</v>
      </c>
      <c r="M510" s="59">
        <f t="shared" si="137"/>
        <v>1</v>
      </c>
      <c r="N510" s="59">
        <f t="shared" si="138"/>
        <v>0</v>
      </c>
      <c r="O510" s="59">
        <f t="shared" si="139"/>
        <v>0</v>
      </c>
      <c r="P510" s="59">
        <f t="shared" si="140"/>
        <v>0</v>
      </c>
      <c r="Q510" s="59">
        <f t="shared" si="141"/>
        <v>0</v>
      </c>
      <c r="R510" s="59">
        <v>1</v>
      </c>
      <c r="S510" s="59">
        <v>691</v>
      </c>
      <c r="T510" s="59">
        <v>2</v>
      </c>
      <c r="U510" s="59">
        <v>1</v>
      </c>
      <c r="V510" s="59">
        <v>82</v>
      </c>
      <c r="W510" s="59">
        <v>1</v>
      </c>
      <c r="X510" s="59">
        <v>2</v>
      </c>
      <c r="Y510" s="59">
        <v>2</v>
      </c>
      <c r="Z510" s="59">
        <f t="shared" si="142"/>
        <v>0</v>
      </c>
      <c r="AA510" s="59">
        <f>IF('Updated Dummy'!Y510=2,1,0)</f>
        <v>1</v>
      </c>
      <c r="AB510" s="59">
        <f t="shared" si="143"/>
        <v>0</v>
      </c>
      <c r="AC510" s="59">
        <f t="shared" si="144"/>
        <v>0</v>
      </c>
      <c r="AD510" s="59">
        <f t="shared" si="145"/>
        <v>0</v>
      </c>
      <c r="AE510" s="59">
        <f t="shared" si="146"/>
        <v>0</v>
      </c>
      <c r="AF510" s="59">
        <f t="shared" si="147"/>
        <v>0</v>
      </c>
      <c r="AG510" s="59">
        <f t="shared" si="148"/>
        <v>0</v>
      </c>
      <c r="AH510" s="59">
        <v>4</v>
      </c>
      <c r="AI510" s="59">
        <v>1</v>
      </c>
      <c r="AJ510" s="59">
        <f t="shared" si="149"/>
        <v>1</v>
      </c>
      <c r="AK510" s="59">
        <f t="shared" si="150"/>
        <v>0</v>
      </c>
      <c r="AL510" s="59">
        <v>6646</v>
      </c>
      <c r="AM510" s="59">
        <v>19368</v>
      </c>
      <c r="AN510" s="59">
        <v>1</v>
      </c>
      <c r="AO510" s="59">
        <v>0</v>
      </c>
      <c r="AP510" s="59">
        <v>13</v>
      </c>
      <c r="AQ510" s="59">
        <v>3</v>
      </c>
      <c r="AR510" s="59">
        <v>2</v>
      </c>
      <c r="AS510" s="59">
        <v>80</v>
      </c>
      <c r="AT510" s="59">
        <v>0</v>
      </c>
      <c r="AU510" s="59">
        <v>17</v>
      </c>
      <c r="AV510" s="59">
        <v>3</v>
      </c>
      <c r="AW510" s="59">
        <v>3</v>
      </c>
      <c r="AX510" s="59">
        <v>17</v>
      </c>
      <c r="AY510" s="59">
        <v>11</v>
      </c>
      <c r="AZ510" s="59">
        <v>11</v>
      </c>
      <c r="BA510" s="59">
        <v>8</v>
      </c>
      <c r="BB510" s="57">
        <f t="shared" si="151"/>
        <v>13292</v>
      </c>
    </row>
    <row r="511" spans="1:54" x14ac:dyDescent="0.25">
      <c r="A511" s="58">
        <v>33</v>
      </c>
      <c r="B511" s="59">
        <v>0</v>
      </c>
      <c r="C511" s="59">
        <v>2</v>
      </c>
      <c r="D511" s="59">
        <f t="shared" si="133"/>
        <v>0</v>
      </c>
      <c r="E511" s="59">
        <f t="shared" si="134"/>
        <v>1</v>
      </c>
      <c r="F511" s="59">
        <v>1296</v>
      </c>
      <c r="G511" s="59">
        <v>2</v>
      </c>
      <c r="H511" s="59">
        <f t="shared" si="135"/>
        <v>0</v>
      </c>
      <c r="I511" s="59">
        <f t="shared" si="136"/>
        <v>1</v>
      </c>
      <c r="J511" s="59">
        <v>6</v>
      </c>
      <c r="K511" s="59">
        <v>3</v>
      </c>
      <c r="L511" s="59">
        <v>1</v>
      </c>
      <c r="M511" s="59">
        <f t="shared" si="137"/>
        <v>1</v>
      </c>
      <c r="N511" s="59">
        <f t="shared" si="138"/>
        <v>0</v>
      </c>
      <c r="O511" s="59">
        <f t="shared" si="139"/>
        <v>0</v>
      </c>
      <c r="P511" s="59">
        <f t="shared" si="140"/>
        <v>0</v>
      </c>
      <c r="Q511" s="59">
        <f t="shared" si="141"/>
        <v>0</v>
      </c>
      <c r="R511" s="59">
        <v>1</v>
      </c>
      <c r="S511" s="59">
        <v>692</v>
      </c>
      <c r="T511" s="59">
        <v>3</v>
      </c>
      <c r="U511" s="59">
        <v>1</v>
      </c>
      <c r="V511" s="59">
        <v>30</v>
      </c>
      <c r="W511" s="59">
        <v>3</v>
      </c>
      <c r="X511" s="59">
        <v>2</v>
      </c>
      <c r="Y511" s="59">
        <v>5</v>
      </c>
      <c r="Z511" s="59">
        <f t="shared" si="142"/>
        <v>0</v>
      </c>
      <c r="AA511" s="59">
        <f>IF('Updated Dummy'!Y511=2,1,0)</f>
        <v>0</v>
      </c>
      <c r="AB511" s="59">
        <f t="shared" si="143"/>
        <v>0</v>
      </c>
      <c r="AC511" s="59">
        <f t="shared" si="144"/>
        <v>0</v>
      </c>
      <c r="AD511" s="59">
        <f t="shared" si="145"/>
        <v>1</v>
      </c>
      <c r="AE511" s="59">
        <f t="shared" si="146"/>
        <v>0</v>
      </c>
      <c r="AF511" s="59">
        <f t="shared" si="147"/>
        <v>0</v>
      </c>
      <c r="AG511" s="59">
        <f t="shared" si="148"/>
        <v>0</v>
      </c>
      <c r="AH511" s="59">
        <v>4</v>
      </c>
      <c r="AI511" s="59">
        <v>3</v>
      </c>
      <c r="AJ511" s="59">
        <f t="shared" si="149"/>
        <v>0</v>
      </c>
      <c r="AK511" s="59">
        <f t="shared" si="150"/>
        <v>0</v>
      </c>
      <c r="AL511" s="59">
        <v>7725</v>
      </c>
      <c r="AM511" s="59">
        <v>5335</v>
      </c>
      <c r="AN511" s="59">
        <v>3</v>
      </c>
      <c r="AO511" s="59">
        <v>0</v>
      </c>
      <c r="AP511" s="59">
        <v>23</v>
      </c>
      <c r="AQ511" s="59">
        <v>4</v>
      </c>
      <c r="AR511" s="59">
        <v>3</v>
      </c>
      <c r="AS511" s="59">
        <v>80</v>
      </c>
      <c r="AT511" s="59">
        <v>1</v>
      </c>
      <c r="AU511" s="59">
        <v>15</v>
      </c>
      <c r="AV511" s="59">
        <v>2</v>
      </c>
      <c r="AW511" s="59">
        <v>1</v>
      </c>
      <c r="AX511" s="59">
        <v>13</v>
      </c>
      <c r="AY511" s="59">
        <v>11</v>
      </c>
      <c r="AZ511" s="59">
        <v>4</v>
      </c>
      <c r="BA511" s="59">
        <v>7</v>
      </c>
      <c r="BB511" s="57">
        <f t="shared" si="151"/>
        <v>15450</v>
      </c>
    </row>
    <row r="512" spans="1:54" x14ac:dyDescent="0.25">
      <c r="A512" s="58">
        <v>54</v>
      </c>
      <c r="B512" s="59">
        <v>0</v>
      </c>
      <c r="C512" s="59">
        <v>1</v>
      </c>
      <c r="D512" s="59">
        <f t="shared" si="133"/>
        <v>1</v>
      </c>
      <c r="E512" s="59">
        <f t="shared" si="134"/>
        <v>0</v>
      </c>
      <c r="F512" s="59">
        <v>397</v>
      </c>
      <c r="G512" s="59">
        <v>3</v>
      </c>
      <c r="H512" s="59">
        <f t="shared" si="135"/>
        <v>0</v>
      </c>
      <c r="I512" s="59">
        <f t="shared" si="136"/>
        <v>0</v>
      </c>
      <c r="J512" s="59">
        <v>19</v>
      </c>
      <c r="K512" s="59">
        <v>4</v>
      </c>
      <c r="L512" s="59">
        <v>3</v>
      </c>
      <c r="M512" s="59">
        <f t="shared" si="137"/>
        <v>0</v>
      </c>
      <c r="N512" s="59">
        <f t="shared" si="138"/>
        <v>0</v>
      </c>
      <c r="O512" s="59">
        <f t="shared" si="139"/>
        <v>1</v>
      </c>
      <c r="P512" s="59">
        <f t="shared" si="140"/>
        <v>0</v>
      </c>
      <c r="Q512" s="59">
        <f t="shared" si="141"/>
        <v>0</v>
      </c>
      <c r="R512" s="59">
        <v>1</v>
      </c>
      <c r="S512" s="59">
        <v>698</v>
      </c>
      <c r="T512" s="59">
        <v>3</v>
      </c>
      <c r="U512" s="59">
        <v>1</v>
      </c>
      <c r="V512" s="59">
        <v>88</v>
      </c>
      <c r="W512" s="59">
        <v>3</v>
      </c>
      <c r="X512" s="59">
        <v>3</v>
      </c>
      <c r="Y512" s="59">
        <v>9</v>
      </c>
      <c r="Z512" s="59">
        <f t="shared" si="142"/>
        <v>0</v>
      </c>
      <c r="AA512" s="59">
        <f>IF('Updated Dummy'!Y512=2,1,0)</f>
        <v>0</v>
      </c>
      <c r="AB512" s="59">
        <f t="shared" si="143"/>
        <v>0</v>
      </c>
      <c r="AC512" s="59">
        <f t="shared" si="144"/>
        <v>0</v>
      </c>
      <c r="AD512" s="59">
        <f t="shared" si="145"/>
        <v>0</v>
      </c>
      <c r="AE512" s="59">
        <f t="shared" si="146"/>
        <v>0</v>
      </c>
      <c r="AF512" s="59">
        <f t="shared" si="147"/>
        <v>0</v>
      </c>
      <c r="AG512" s="59">
        <f t="shared" si="148"/>
        <v>0</v>
      </c>
      <c r="AH512" s="59">
        <v>2</v>
      </c>
      <c r="AI512" s="59">
        <v>2</v>
      </c>
      <c r="AJ512" s="59">
        <f t="shared" si="149"/>
        <v>0</v>
      </c>
      <c r="AK512" s="59">
        <f t="shared" si="150"/>
        <v>1</v>
      </c>
      <c r="AL512" s="59">
        <v>10725</v>
      </c>
      <c r="AM512" s="59">
        <v>6729</v>
      </c>
      <c r="AN512" s="59">
        <v>2</v>
      </c>
      <c r="AO512" s="59">
        <v>0</v>
      </c>
      <c r="AP512" s="59">
        <v>15</v>
      </c>
      <c r="AQ512" s="59">
        <v>3</v>
      </c>
      <c r="AR512" s="59">
        <v>3</v>
      </c>
      <c r="AS512" s="59">
        <v>80</v>
      </c>
      <c r="AT512" s="59">
        <v>1</v>
      </c>
      <c r="AU512" s="59">
        <v>16</v>
      </c>
      <c r="AV512" s="59">
        <v>1</v>
      </c>
      <c r="AW512" s="59">
        <v>4</v>
      </c>
      <c r="AX512" s="59">
        <v>9</v>
      </c>
      <c r="AY512" s="59">
        <v>7</v>
      </c>
      <c r="AZ512" s="59">
        <v>7</v>
      </c>
      <c r="BA512" s="59">
        <v>1</v>
      </c>
      <c r="BB512" s="57">
        <f t="shared" si="151"/>
        <v>32175</v>
      </c>
    </row>
    <row r="513" spans="1:54" x14ac:dyDescent="0.25">
      <c r="A513" s="58">
        <v>36</v>
      </c>
      <c r="B513" s="59">
        <v>0</v>
      </c>
      <c r="C513" s="59">
        <v>1</v>
      </c>
      <c r="D513" s="59">
        <f t="shared" si="133"/>
        <v>1</v>
      </c>
      <c r="E513" s="59">
        <f t="shared" si="134"/>
        <v>0</v>
      </c>
      <c r="F513" s="59">
        <v>913</v>
      </c>
      <c r="G513" s="59">
        <v>2</v>
      </c>
      <c r="H513" s="59">
        <f t="shared" si="135"/>
        <v>0</v>
      </c>
      <c r="I513" s="59">
        <f t="shared" si="136"/>
        <v>1</v>
      </c>
      <c r="J513" s="59">
        <v>9</v>
      </c>
      <c r="K513" s="59">
        <v>2</v>
      </c>
      <c r="L513" s="59">
        <v>3</v>
      </c>
      <c r="M513" s="59">
        <f t="shared" si="137"/>
        <v>0</v>
      </c>
      <c r="N513" s="59">
        <f t="shared" si="138"/>
        <v>0</v>
      </c>
      <c r="O513" s="59">
        <f t="shared" si="139"/>
        <v>1</v>
      </c>
      <c r="P513" s="59">
        <f t="shared" si="140"/>
        <v>0</v>
      </c>
      <c r="Q513" s="59">
        <f t="shared" si="141"/>
        <v>0</v>
      </c>
      <c r="R513" s="59">
        <v>1</v>
      </c>
      <c r="S513" s="59">
        <v>699</v>
      </c>
      <c r="T513" s="59">
        <v>2</v>
      </c>
      <c r="U513" s="59">
        <v>1</v>
      </c>
      <c r="V513" s="59">
        <v>48</v>
      </c>
      <c r="W513" s="59">
        <v>2</v>
      </c>
      <c r="X513" s="59">
        <v>2</v>
      </c>
      <c r="Y513" s="59">
        <v>4</v>
      </c>
      <c r="Z513" s="59">
        <f t="shared" si="142"/>
        <v>0</v>
      </c>
      <c r="AA513" s="59">
        <f>IF('Updated Dummy'!Y513=2,1,0)</f>
        <v>0</v>
      </c>
      <c r="AB513" s="59">
        <f t="shared" si="143"/>
        <v>0</v>
      </c>
      <c r="AC513" s="59">
        <f t="shared" si="144"/>
        <v>1</v>
      </c>
      <c r="AD513" s="59">
        <f t="shared" si="145"/>
        <v>0</v>
      </c>
      <c r="AE513" s="59">
        <f t="shared" si="146"/>
        <v>0</v>
      </c>
      <c r="AF513" s="59">
        <f t="shared" si="147"/>
        <v>0</v>
      </c>
      <c r="AG513" s="59">
        <f t="shared" si="148"/>
        <v>0</v>
      </c>
      <c r="AH513" s="59">
        <v>2</v>
      </c>
      <c r="AI513" s="59">
        <v>3</v>
      </c>
      <c r="AJ513" s="59">
        <f t="shared" si="149"/>
        <v>0</v>
      </c>
      <c r="AK513" s="59">
        <f t="shared" si="150"/>
        <v>0</v>
      </c>
      <c r="AL513" s="59">
        <v>8847</v>
      </c>
      <c r="AM513" s="59">
        <v>13934</v>
      </c>
      <c r="AN513" s="59">
        <v>2</v>
      </c>
      <c r="AO513" s="59">
        <v>1</v>
      </c>
      <c r="AP513" s="59">
        <v>11</v>
      </c>
      <c r="AQ513" s="59">
        <v>3</v>
      </c>
      <c r="AR513" s="59">
        <v>3</v>
      </c>
      <c r="AS513" s="59">
        <v>80</v>
      </c>
      <c r="AT513" s="59">
        <v>1</v>
      </c>
      <c r="AU513" s="59">
        <v>13</v>
      </c>
      <c r="AV513" s="59">
        <v>2</v>
      </c>
      <c r="AW513" s="59">
        <v>3</v>
      </c>
      <c r="AX513" s="59">
        <v>3</v>
      </c>
      <c r="AY513" s="59">
        <v>2</v>
      </c>
      <c r="AZ513" s="59">
        <v>0</v>
      </c>
      <c r="BA513" s="59">
        <v>2</v>
      </c>
      <c r="BB513" s="57">
        <f t="shared" si="151"/>
        <v>17694</v>
      </c>
    </row>
    <row r="514" spans="1:54" x14ac:dyDescent="0.25">
      <c r="A514" s="58">
        <v>27</v>
      </c>
      <c r="B514" s="59">
        <v>0</v>
      </c>
      <c r="C514" s="59">
        <v>1</v>
      </c>
      <c r="D514" s="59">
        <f t="shared" si="133"/>
        <v>1</v>
      </c>
      <c r="E514" s="59">
        <f t="shared" si="134"/>
        <v>0</v>
      </c>
      <c r="F514" s="59">
        <v>1115</v>
      </c>
      <c r="G514" s="59">
        <v>2</v>
      </c>
      <c r="H514" s="59">
        <f t="shared" si="135"/>
        <v>0</v>
      </c>
      <c r="I514" s="59">
        <f t="shared" si="136"/>
        <v>1</v>
      </c>
      <c r="J514" s="59">
        <v>3</v>
      </c>
      <c r="K514" s="59">
        <v>4</v>
      </c>
      <c r="L514" s="59">
        <v>3</v>
      </c>
      <c r="M514" s="59">
        <f t="shared" si="137"/>
        <v>0</v>
      </c>
      <c r="N514" s="59">
        <f t="shared" si="138"/>
        <v>0</v>
      </c>
      <c r="O514" s="59">
        <f t="shared" si="139"/>
        <v>1</v>
      </c>
      <c r="P514" s="59">
        <f t="shared" si="140"/>
        <v>0</v>
      </c>
      <c r="Q514" s="59">
        <f t="shared" si="141"/>
        <v>0</v>
      </c>
      <c r="R514" s="59">
        <v>1</v>
      </c>
      <c r="S514" s="59">
        <v>700</v>
      </c>
      <c r="T514" s="59">
        <v>1</v>
      </c>
      <c r="U514" s="59">
        <v>1</v>
      </c>
      <c r="V514" s="59">
        <v>54</v>
      </c>
      <c r="W514" s="59">
        <v>2</v>
      </c>
      <c r="X514" s="59">
        <v>1</v>
      </c>
      <c r="Y514" s="59">
        <v>2</v>
      </c>
      <c r="Z514" s="59">
        <f t="shared" si="142"/>
        <v>0</v>
      </c>
      <c r="AA514" s="59">
        <f>IF('Updated Dummy'!Y514=2,1,0)</f>
        <v>1</v>
      </c>
      <c r="AB514" s="59">
        <f t="shared" si="143"/>
        <v>0</v>
      </c>
      <c r="AC514" s="59">
        <f t="shared" si="144"/>
        <v>0</v>
      </c>
      <c r="AD514" s="59">
        <f t="shared" si="145"/>
        <v>0</v>
      </c>
      <c r="AE514" s="59">
        <f t="shared" si="146"/>
        <v>0</v>
      </c>
      <c r="AF514" s="59">
        <f t="shared" si="147"/>
        <v>0</v>
      </c>
      <c r="AG514" s="59">
        <f t="shared" si="148"/>
        <v>0</v>
      </c>
      <c r="AH514" s="59">
        <v>4</v>
      </c>
      <c r="AI514" s="59">
        <v>1</v>
      </c>
      <c r="AJ514" s="59">
        <f t="shared" si="149"/>
        <v>1</v>
      </c>
      <c r="AK514" s="59">
        <f t="shared" si="150"/>
        <v>0</v>
      </c>
      <c r="AL514" s="59">
        <v>2045</v>
      </c>
      <c r="AM514" s="59">
        <v>15174</v>
      </c>
      <c r="AN514" s="59">
        <v>0</v>
      </c>
      <c r="AO514" s="59">
        <v>0</v>
      </c>
      <c r="AP514" s="59">
        <v>13</v>
      </c>
      <c r="AQ514" s="59">
        <v>3</v>
      </c>
      <c r="AR514" s="59">
        <v>4</v>
      </c>
      <c r="AS514" s="59">
        <v>80</v>
      </c>
      <c r="AT514" s="59">
        <v>0</v>
      </c>
      <c r="AU514" s="59">
        <v>5</v>
      </c>
      <c r="AV514" s="59">
        <v>0</v>
      </c>
      <c r="AW514" s="59">
        <v>3</v>
      </c>
      <c r="AX514" s="59">
        <v>4</v>
      </c>
      <c r="AY514" s="59">
        <v>2</v>
      </c>
      <c r="AZ514" s="59">
        <v>1</v>
      </c>
      <c r="BA514" s="59">
        <v>1</v>
      </c>
      <c r="BB514" s="57">
        <f t="shared" si="151"/>
        <v>2045</v>
      </c>
    </row>
    <row r="515" spans="1:54" x14ac:dyDescent="0.25">
      <c r="A515" s="58">
        <v>20</v>
      </c>
      <c r="B515" s="59">
        <v>1</v>
      </c>
      <c r="C515" s="59">
        <v>1</v>
      </c>
      <c r="D515" s="59">
        <f t="shared" ref="D515:D578" si="152">IF(C515=1,1,0)</f>
        <v>1</v>
      </c>
      <c r="E515" s="59">
        <f t="shared" ref="E515:E578" si="153">IF(C515=2,1,0)</f>
        <v>0</v>
      </c>
      <c r="F515" s="59">
        <v>1362</v>
      </c>
      <c r="G515" s="59">
        <v>2</v>
      </c>
      <c r="H515" s="59">
        <f t="shared" ref="H515:H578" si="154">IF(G515=1,1,0)</f>
        <v>0</v>
      </c>
      <c r="I515" s="59">
        <f t="shared" ref="I515:I578" si="155">IF(G515=2,1,0)</f>
        <v>1</v>
      </c>
      <c r="J515" s="59">
        <v>10</v>
      </c>
      <c r="K515" s="59">
        <v>1</v>
      </c>
      <c r="L515" s="59">
        <v>3</v>
      </c>
      <c r="M515" s="59">
        <f t="shared" ref="M515:M578" si="156">IF(L515=1,1,0)</f>
        <v>0</v>
      </c>
      <c r="N515" s="59">
        <f t="shared" ref="N515:N578" si="157">IF(L515=2,1,0)</f>
        <v>0</v>
      </c>
      <c r="O515" s="59">
        <f t="shared" ref="O515:O578" si="158">IF(L515=3,1,0)</f>
        <v>1</v>
      </c>
      <c r="P515" s="59">
        <f t="shared" ref="P515:P578" si="159">IF(L515=4,1,0)</f>
        <v>0</v>
      </c>
      <c r="Q515" s="59">
        <f t="shared" ref="Q515:Q578" si="160">IF(L515=5,1,0)</f>
        <v>0</v>
      </c>
      <c r="R515" s="59">
        <v>1</v>
      </c>
      <c r="S515" s="59">
        <v>701</v>
      </c>
      <c r="T515" s="59">
        <v>4</v>
      </c>
      <c r="U515" s="59">
        <v>1</v>
      </c>
      <c r="V515" s="59">
        <v>32</v>
      </c>
      <c r="W515" s="59">
        <v>3</v>
      </c>
      <c r="X515" s="59">
        <v>1</v>
      </c>
      <c r="Y515" s="59">
        <v>2</v>
      </c>
      <c r="Z515" s="59">
        <f t="shared" ref="Z515:Z578" si="161">IF(Y515=1,1,0)</f>
        <v>0</v>
      </c>
      <c r="AA515" s="59">
        <f>IF('Updated Dummy'!Y515=2,1,0)</f>
        <v>1</v>
      </c>
      <c r="AB515" s="59">
        <f t="shared" ref="AB515:AB578" si="162">IF(Y515=3,1,0)</f>
        <v>0</v>
      </c>
      <c r="AC515" s="59">
        <f t="shared" ref="AC515:AC578" si="163">IF(Y515=4,1,0)</f>
        <v>0</v>
      </c>
      <c r="AD515" s="59">
        <f t="shared" ref="AD515:AD578" si="164">IF(Y515=5,1,0)</f>
        <v>0</v>
      </c>
      <c r="AE515" s="59">
        <f t="shared" ref="AE515:AE578" si="165">IF(Y515=6,1,0)</f>
        <v>0</v>
      </c>
      <c r="AF515" s="59">
        <f t="shared" ref="AF515:AF578" si="166">IF(Y515=7,1,0)</f>
        <v>0</v>
      </c>
      <c r="AG515" s="59">
        <f t="shared" ref="AG515:AG578" si="167">IF(Y515=8,1,0)</f>
        <v>0</v>
      </c>
      <c r="AH515" s="59">
        <v>3</v>
      </c>
      <c r="AI515" s="59">
        <v>1</v>
      </c>
      <c r="AJ515" s="59">
        <f t="shared" ref="AJ515:AJ578" si="168">IF(AI515=1,1,0)</f>
        <v>1</v>
      </c>
      <c r="AK515" s="59">
        <f t="shared" ref="AK515:AK578" si="169">IF(AI515=2,1,0)</f>
        <v>0</v>
      </c>
      <c r="AL515" s="59">
        <v>1009</v>
      </c>
      <c r="AM515" s="59">
        <v>26999</v>
      </c>
      <c r="AN515" s="59">
        <v>1</v>
      </c>
      <c r="AO515" s="59">
        <v>1</v>
      </c>
      <c r="AP515" s="59">
        <v>11</v>
      </c>
      <c r="AQ515" s="59">
        <v>3</v>
      </c>
      <c r="AR515" s="59">
        <v>4</v>
      </c>
      <c r="AS515" s="59">
        <v>80</v>
      </c>
      <c r="AT515" s="59">
        <v>0</v>
      </c>
      <c r="AU515" s="59">
        <v>1</v>
      </c>
      <c r="AV515" s="59">
        <v>5</v>
      </c>
      <c r="AW515" s="59">
        <v>3</v>
      </c>
      <c r="AX515" s="59">
        <v>1</v>
      </c>
      <c r="AY515" s="59">
        <v>0</v>
      </c>
      <c r="AZ515" s="59">
        <v>1</v>
      </c>
      <c r="BA515" s="59">
        <v>1</v>
      </c>
      <c r="BB515" s="57">
        <f t="shared" ref="BB515:BB578" si="170">X515*AL515</f>
        <v>1009</v>
      </c>
    </row>
    <row r="516" spans="1:54" x14ac:dyDescent="0.25">
      <c r="A516" s="58">
        <v>33</v>
      </c>
      <c r="B516" s="59">
        <v>1</v>
      </c>
      <c r="C516" s="59">
        <v>2</v>
      </c>
      <c r="D516" s="59">
        <f t="shared" si="152"/>
        <v>0</v>
      </c>
      <c r="E516" s="59">
        <f t="shared" si="153"/>
        <v>1</v>
      </c>
      <c r="F516" s="59">
        <v>1076</v>
      </c>
      <c r="G516" s="59">
        <v>2</v>
      </c>
      <c r="H516" s="59">
        <f t="shared" si="154"/>
        <v>0</v>
      </c>
      <c r="I516" s="59">
        <f t="shared" si="155"/>
        <v>1</v>
      </c>
      <c r="J516" s="59">
        <v>3</v>
      </c>
      <c r="K516" s="59">
        <v>3</v>
      </c>
      <c r="L516" s="59">
        <v>1</v>
      </c>
      <c r="M516" s="59">
        <f t="shared" si="156"/>
        <v>1</v>
      </c>
      <c r="N516" s="59">
        <f t="shared" si="157"/>
        <v>0</v>
      </c>
      <c r="O516" s="59">
        <f t="shared" si="158"/>
        <v>0</v>
      </c>
      <c r="P516" s="59">
        <f t="shared" si="159"/>
        <v>0</v>
      </c>
      <c r="Q516" s="59">
        <f t="shared" si="160"/>
        <v>0</v>
      </c>
      <c r="R516" s="59">
        <v>1</v>
      </c>
      <c r="S516" s="59">
        <v>702</v>
      </c>
      <c r="T516" s="59">
        <v>1</v>
      </c>
      <c r="U516" s="59">
        <v>1</v>
      </c>
      <c r="V516" s="59">
        <v>70</v>
      </c>
      <c r="W516" s="59">
        <v>3</v>
      </c>
      <c r="X516" s="59">
        <v>1</v>
      </c>
      <c r="Y516" s="59">
        <v>2</v>
      </c>
      <c r="Z516" s="59">
        <f t="shared" si="161"/>
        <v>0</v>
      </c>
      <c r="AA516" s="59">
        <f>IF('Updated Dummy'!Y516=2,1,0)</f>
        <v>1</v>
      </c>
      <c r="AB516" s="59">
        <f t="shared" si="162"/>
        <v>0</v>
      </c>
      <c r="AC516" s="59">
        <f t="shared" si="163"/>
        <v>0</v>
      </c>
      <c r="AD516" s="59">
        <f t="shared" si="164"/>
        <v>0</v>
      </c>
      <c r="AE516" s="59">
        <f t="shared" si="165"/>
        <v>0</v>
      </c>
      <c r="AF516" s="59">
        <f t="shared" si="166"/>
        <v>0</v>
      </c>
      <c r="AG516" s="59">
        <f t="shared" si="167"/>
        <v>0</v>
      </c>
      <c r="AH516" s="59">
        <v>1</v>
      </c>
      <c r="AI516" s="59">
        <v>1</v>
      </c>
      <c r="AJ516" s="59">
        <f t="shared" si="168"/>
        <v>1</v>
      </c>
      <c r="AK516" s="59">
        <f t="shared" si="169"/>
        <v>0</v>
      </c>
      <c r="AL516" s="59">
        <v>3348</v>
      </c>
      <c r="AM516" s="59">
        <v>3164</v>
      </c>
      <c r="AN516" s="59">
        <v>1</v>
      </c>
      <c r="AO516" s="59">
        <v>1</v>
      </c>
      <c r="AP516" s="59">
        <v>11</v>
      </c>
      <c r="AQ516" s="59">
        <v>3</v>
      </c>
      <c r="AR516" s="59">
        <v>1</v>
      </c>
      <c r="AS516" s="59">
        <v>80</v>
      </c>
      <c r="AT516" s="59">
        <v>0</v>
      </c>
      <c r="AU516" s="59">
        <v>10</v>
      </c>
      <c r="AV516" s="59">
        <v>3</v>
      </c>
      <c r="AW516" s="59">
        <v>3</v>
      </c>
      <c r="AX516" s="59">
        <v>10</v>
      </c>
      <c r="AY516" s="59">
        <v>8</v>
      </c>
      <c r="AZ516" s="59">
        <v>9</v>
      </c>
      <c r="BA516" s="59">
        <v>7</v>
      </c>
      <c r="BB516" s="57">
        <f t="shared" si="170"/>
        <v>3348</v>
      </c>
    </row>
    <row r="517" spans="1:54" x14ac:dyDescent="0.25">
      <c r="A517" s="58">
        <v>35</v>
      </c>
      <c r="B517" s="59">
        <v>0</v>
      </c>
      <c r="C517" s="59">
        <v>3</v>
      </c>
      <c r="D517" s="59">
        <f t="shared" si="152"/>
        <v>0</v>
      </c>
      <c r="E517" s="59">
        <f t="shared" si="153"/>
        <v>0</v>
      </c>
      <c r="F517" s="59">
        <v>727</v>
      </c>
      <c r="G517" s="59">
        <v>2</v>
      </c>
      <c r="H517" s="59">
        <f t="shared" si="154"/>
        <v>0</v>
      </c>
      <c r="I517" s="59">
        <f t="shared" si="155"/>
        <v>1</v>
      </c>
      <c r="J517" s="59">
        <v>3</v>
      </c>
      <c r="K517" s="59">
        <v>3</v>
      </c>
      <c r="L517" s="59">
        <v>1</v>
      </c>
      <c r="M517" s="59">
        <f t="shared" si="156"/>
        <v>1</v>
      </c>
      <c r="N517" s="59">
        <f t="shared" si="157"/>
        <v>0</v>
      </c>
      <c r="O517" s="59">
        <f t="shared" si="158"/>
        <v>0</v>
      </c>
      <c r="P517" s="59">
        <f t="shared" si="159"/>
        <v>0</v>
      </c>
      <c r="Q517" s="59">
        <f t="shared" si="160"/>
        <v>0</v>
      </c>
      <c r="R517" s="59">
        <v>1</v>
      </c>
      <c r="S517" s="59">
        <v>704</v>
      </c>
      <c r="T517" s="59">
        <v>3</v>
      </c>
      <c r="U517" s="59">
        <v>1</v>
      </c>
      <c r="V517" s="59">
        <v>41</v>
      </c>
      <c r="W517" s="59">
        <v>2</v>
      </c>
      <c r="X517" s="59">
        <v>1</v>
      </c>
      <c r="Y517" s="59">
        <v>3</v>
      </c>
      <c r="Z517" s="59">
        <f t="shared" si="161"/>
        <v>0</v>
      </c>
      <c r="AA517" s="59">
        <f>IF('Updated Dummy'!Y517=2,1,0)</f>
        <v>0</v>
      </c>
      <c r="AB517" s="59">
        <f t="shared" si="162"/>
        <v>1</v>
      </c>
      <c r="AC517" s="59">
        <f t="shared" si="163"/>
        <v>0</v>
      </c>
      <c r="AD517" s="59">
        <f t="shared" si="164"/>
        <v>0</v>
      </c>
      <c r="AE517" s="59">
        <f t="shared" si="165"/>
        <v>0</v>
      </c>
      <c r="AF517" s="59">
        <f t="shared" si="166"/>
        <v>0</v>
      </c>
      <c r="AG517" s="59">
        <f t="shared" si="167"/>
        <v>0</v>
      </c>
      <c r="AH517" s="59">
        <v>3</v>
      </c>
      <c r="AI517" s="59">
        <v>2</v>
      </c>
      <c r="AJ517" s="59">
        <f t="shared" si="168"/>
        <v>0</v>
      </c>
      <c r="AK517" s="59">
        <f t="shared" si="169"/>
        <v>1</v>
      </c>
      <c r="AL517" s="59">
        <v>1281</v>
      </c>
      <c r="AM517" s="59">
        <v>16900</v>
      </c>
      <c r="AN517" s="59">
        <v>1</v>
      </c>
      <c r="AO517" s="59">
        <v>0</v>
      </c>
      <c r="AP517" s="59">
        <v>18</v>
      </c>
      <c r="AQ517" s="59">
        <v>3</v>
      </c>
      <c r="AR517" s="59">
        <v>3</v>
      </c>
      <c r="AS517" s="59">
        <v>80</v>
      </c>
      <c r="AT517" s="59">
        <v>2</v>
      </c>
      <c r="AU517" s="59">
        <v>1</v>
      </c>
      <c r="AV517" s="59">
        <v>3</v>
      </c>
      <c r="AW517" s="59">
        <v>3</v>
      </c>
      <c r="AX517" s="59">
        <v>1</v>
      </c>
      <c r="AY517" s="59">
        <v>0</v>
      </c>
      <c r="AZ517" s="59">
        <v>0</v>
      </c>
      <c r="BA517" s="59">
        <v>0</v>
      </c>
      <c r="BB517" s="57">
        <f t="shared" si="170"/>
        <v>1281</v>
      </c>
    </row>
    <row r="518" spans="1:54" x14ac:dyDescent="0.25">
      <c r="A518" s="58">
        <v>23</v>
      </c>
      <c r="B518" s="59">
        <v>0</v>
      </c>
      <c r="C518" s="59">
        <v>1</v>
      </c>
      <c r="D518" s="59">
        <f t="shared" si="152"/>
        <v>1</v>
      </c>
      <c r="E518" s="59">
        <f t="shared" si="153"/>
        <v>0</v>
      </c>
      <c r="F518" s="59">
        <v>885</v>
      </c>
      <c r="G518" s="59">
        <v>2</v>
      </c>
      <c r="H518" s="59">
        <f t="shared" si="154"/>
        <v>0</v>
      </c>
      <c r="I518" s="59">
        <f t="shared" si="155"/>
        <v>1</v>
      </c>
      <c r="J518" s="59">
        <v>4</v>
      </c>
      <c r="K518" s="59">
        <v>3</v>
      </c>
      <c r="L518" s="59">
        <v>3</v>
      </c>
      <c r="M518" s="59">
        <f t="shared" si="156"/>
        <v>0</v>
      </c>
      <c r="N518" s="59">
        <f t="shared" si="157"/>
        <v>0</v>
      </c>
      <c r="O518" s="59">
        <f t="shared" si="158"/>
        <v>1</v>
      </c>
      <c r="P518" s="59">
        <f t="shared" si="159"/>
        <v>0</v>
      </c>
      <c r="Q518" s="59">
        <f t="shared" si="160"/>
        <v>0</v>
      </c>
      <c r="R518" s="59">
        <v>1</v>
      </c>
      <c r="S518" s="59">
        <v>705</v>
      </c>
      <c r="T518" s="59">
        <v>1</v>
      </c>
      <c r="U518" s="59">
        <v>1</v>
      </c>
      <c r="V518" s="59">
        <v>58</v>
      </c>
      <c r="W518" s="59">
        <v>4</v>
      </c>
      <c r="X518" s="59">
        <v>1</v>
      </c>
      <c r="Y518" s="59">
        <v>2</v>
      </c>
      <c r="Z518" s="59">
        <f t="shared" si="161"/>
        <v>0</v>
      </c>
      <c r="AA518" s="59">
        <f>IF('Updated Dummy'!Y518=2,1,0)</f>
        <v>1</v>
      </c>
      <c r="AB518" s="59">
        <f t="shared" si="162"/>
        <v>0</v>
      </c>
      <c r="AC518" s="59">
        <f t="shared" si="163"/>
        <v>0</v>
      </c>
      <c r="AD518" s="59">
        <f t="shared" si="164"/>
        <v>0</v>
      </c>
      <c r="AE518" s="59">
        <f t="shared" si="165"/>
        <v>0</v>
      </c>
      <c r="AF518" s="59">
        <f t="shared" si="166"/>
        <v>0</v>
      </c>
      <c r="AG518" s="59">
        <f t="shared" si="167"/>
        <v>0</v>
      </c>
      <c r="AH518" s="59">
        <v>1</v>
      </c>
      <c r="AI518" s="59">
        <v>2</v>
      </c>
      <c r="AJ518" s="59">
        <f t="shared" si="168"/>
        <v>0</v>
      </c>
      <c r="AK518" s="59">
        <f t="shared" si="169"/>
        <v>1</v>
      </c>
      <c r="AL518" s="59">
        <v>2819</v>
      </c>
      <c r="AM518" s="59">
        <v>8544</v>
      </c>
      <c r="AN518" s="59">
        <v>2</v>
      </c>
      <c r="AO518" s="59">
        <v>0</v>
      </c>
      <c r="AP518" s="59">
        <v>16</v>
      </c>
      <c r="AQ518" s="59">
        <v>3</v>
      </c>
      <c r="AR518" s="59">
        <v>1</v>
      </c>
      <c r="AS518" s="59">
        <v>80</v>
      </c>
      <c r="AT518" s="59">
        <v>1</v>
      </c>
      <c r="AU518" s="59">
        <v>5</v>
      </c>
      <c r="AV518" s="59">
        <v>3</v>
      </c>
      <c r="AW518" s="59">
        <v>4</v>
      </c>
      <c r="AX518" s="59">
        <v>3</v>
      </c>
      <c r="AY518" s="59">
        <v>2</v>
      </c>
      <c r="AZ518" s="59">
        <v>0</v>
      </c>
      <c r="BA518" s="59">
        <v>2</v>
      </c>
      <c r="BB518" s="57">
        <f t="shared" si="170"/>
        <v>2819</v>
      </c>
    </row>
    <row r="519" spans="1:54" x14ac:dyDescent="0.25">
      <c r="A519" s="58">
        <v>25</v>
      </c>
      <c r="B519" s="59">
        <v>0</v>
      </c>
      <c r="C519" s="59">
        <v>1</v>
      </c>
      <c r="D519" s="59">
        <f t="shared" si="152"/>
        <v>1</v>
      </c>
      <c r="E519" s="59">
        <f t="shared" si="153"/>
        <v>0</v>
      </c>
      <c r="F519" s="59">
        <v>810</v>
      </c>
      <c r="G519" s="59">
        <v>1</v>
      </c>
      <c r="H519" s="59">
        <f t="shared" si="154"/>
        <v>1</v>
      </c>
      <c r="I519" s="59">
        <f t="shared" si="155"/>
        <v>0</v>
      </c>
      <c r="J519" s="59">
        <v>8</v>
      </c>
      <c r="K519" s="59">
        <v>3</v>
      </c>
      <c r="L519" s="59">
        <v>1</v>
      </c>
      <c r="M519" s="59">
        <f t="shared" si="156"/>
        <v>1</v>
      </c>
      <c r="N519" s="59">
        <f t="shared" si="157"/>
        <v>0</v>
      </c>
      <c r="O519" s="59">
        <f t="shared" si="158"/>
        <v>0</v>
      </c>
      <c r="P519" s="59">
        <f t="shared" si="159"/>
        <v>0</v>
      </c>
      <c r="Q519" s="59">
        <f t="shared" si="160"/>
        <v>0</v>
      </c>
      <c r="R519" s="59">
        <v>1</v>
      </c>
      <c r="S519" s="59">
        <v>707</v>
      </c>
      <c r="T519" s="59">
        <v>4</v>
      </c>
      <c r="U519" s="59">
        <v>1</v>
      </c>
      <c r="V519" s="59">
        <v>57</v>
      </c>
      <c r="W519" s="59">
        <v>4</v>
      </c>
      <c r="X519" s="59">
        <v>2</v>
      </c>
      <c r="Y519" s="59">
        <v>1</v>
      </c>
      <c r="Z519" s="59">
        <f t="shared" si="161"/>
        <v>1</v>
      </c>
      <c r="AA519" s="59">
        <f>IF('Updated Dummy'!Y519=2,1,0)</f>
        <v>0</v>
      </c>
      <c r="AB519" s="59">
        <f t="shared" si="162"/>
        <v>0</v>
      </c>
      <c r="AC519" s="59">
        <f t="shared" si="163"/>
        <v>0</v>
      </c>
      <c r="AD519" s="59">
        <f t="shared" si="164"/>
        <v>0</v>
      </c>
      <c r="AE519" s="59">
        <f t="shared" si="165"/>
        <v>0</v>
      </c>
      <c r="AF519" s="59">
        <f t="shared" si="166"/>
        <v>0</v>
      </c>
      <c r="AG519" s="59">
        <f t="shared" si="167"/>
        <v>0</v>
      </c>
      <c r="AH519" s="59">
        <v>2</v>
      </c>
      <c r="AI519" s="59">
        <v>2</v>
      </c>
      <c r="AJ519" s="59">
        <f t="shared" si="168"/>
        <v>0</v>
      </c>
      <c r="AK519" s="59">
        <f t="shared" si="169"/>
        <v>1</v>
      </c>
      <c r="AL519" s="59">
        <v>4851</v>
      </c>
      <c r="AM519" s="59">
        <v>15678</v>
      </c>
      <c r="AN519" s="59">
        <v>0</v>
      </c>
      <c r="AO519" s="59">
        <v>0</v>
      </c>
      <c r="AP519" s="59">
        <v>22</v>
      </c>
      <c r="AQ519" s="59">
        <v>4</v>
      </c>
      <c r="AR519" s="59">
        <v>3</v>
      </c>
      <c r="AS519" s="59">
        <v>80</v>
      </c>
      <c r="AT519" s="59">
        <v>1</v>
      </c>
      <c r="AU519" s="59">
        <v>4</v>
      </c>
      <c r="AV519" s="59">
        <v>4</v>
      </c>
      <c r="AW519" s="59">
        <v>3</v>
      </c>
      <c r="AX519" s="59">
        <v>3</v>
      </c>
      <c r="AY519" s="59">
        <v>2</v>
      </c>
      <c r="AZ519" s="59">
        <v>1</v>
      </c>
      <c r="BA519" s="59">
        <v>2</v>
      </c>
      <c r="BB519" s="57">
        <f t="shared" si="170"/>
        <v>9702</v>
      </c>
    </row>
    <row r="520" spans="1:54" x14ac:dyDescent="0.25">
      <c r="A520" s="58">
        <v>38</v>
      </c>
      <c r="B520" s="59">
        <v>0</v>
      </c>
      <c r="C520" s="59">
        <v>1</v>
      </c>
      <c r="D520" s="59">
        <f t="shared" si="152"/>
        <v>1</v>
      </c>
      <c r="E520" s="59">
        <f t="shared" si="153"/>
        <v>0</v>
      </c>
      <c r="F520" s="59">
        <v>243</v>
      </c>
      <c r="G520" s="59">
        <v>1</v>
      </c>
      <c r="H520" s="59">
        <f t="shared" si="154"/>
        <v>1</v>
      </c>
      <c r="I520" s="59">
        <f t="shared" si="155"/>
        <v>0</v>
      </c>
      <c r="J520" s="59">
        <v>7</v>
      </c>
      <c r="K520" s="59">
        <v>4</v>
      </c>
      <c r="L520" s="59">
        <v>4</v>
      </c>
      <c r="M520" s="59">
        <f t="shared" si="156"/>
        <v>0</v>
      </c>
      <c r="N520" s="59">
        <f t="shared" si="157"/>
        <v>0</v>
      </c>
      <c r="O520" s="59">
        <f t="shared" si="158"/>
        <v>0</v>
      </c>
      <c r="P520" s="59">
        <f t="shared" si="159"/>
        <v>1</v>
      </c>
      <c r="Q520" s="59">
        <f t="shared" si="160"/>
        <v>0</v>
      </c>
      <c r="R520" s="59">
        <v>1</v>
      </c>
      <c r="S520" s="59">
        <v>709</v>
      </c>
      <c r="T520" s="59">
        <v>4</v>
      </c>
      <c r="U520" s="59">
        <v>0</v>
      </c>
      <c r="V520" s="59">
        <v>46</v>
      </c>
      <c r="W520" s="59">
        <v>2</v>
      </c>
      <c r="X520" s="59">
        <v>2</v>
      </c>
      <c r="Y520" s="59">
        <v>1</v>
      </c>
      <c r="Z520" s="59">
        <f t="shared" si="161"/>
        <v>1</v>
      </c>
      <c r="AA520" s="59">
        <f>IF('Updated Dummy'!Y520=2,1,0)</f>
        <v>0</v>
      </c>
      <c r="AB520" s="59">
        <f t="shared" si="162"/>
        <v>0</v>
      </c>
      <c r="AC520" s="59">
        <f t="shared" si="163"/>
        <v>0</v>
      </c>
      <c r="AD520" s="59">
        <f t="shared" si="164"/>
        <v>0</v>
      </c>
      <c r="AE520" s="59">
        <f t="shared" si="165"/>
        <v>0</v>
      </c>
      <c r="AF520" s="59">
        <f t="shared" si="166"/>
        <v>0</v>
      </c>
      <c r="AG520" s="59">
        <f t="shared" si="167"/>
        <v>0</v>
      </c>
      <c r="AH520" s="59">
        <v>4</v>
      </c>
      <c r="AI520" s="59">
        <v>1</v>
      </c>
      <c r="AJ520" s="59">
        <f t="shared" si="168"/>
        <v>1</v>
      </c>
      <c r="AK520" s="59">
        <f t="shared" si="169"/>
        <v>0</v>
      </c>
      <c r="AL520" s="59">
        <v>4028</v>
      </c>
      <c r="AM520" s="59">
        <v>7791</v>
      </c>
      <c r="AN520" s="59">
        <v>0</v>
      </c>
      <c r="AO520" s="59">
        <v>0</v>
      </c>
      <c r="AP520" s="59">
        <v>20</v>
      </c>
      <c r="AQ520" s="59">
        <v>4</v>
      </c>
      <c r="AR520" s="59">
        <v>1</v>
      </c>
      <c r="AS520" s="59">
        <v>80</v>
      </c>
      <c r="AT520" s="59">
        <v>0</v>
      </c>
      <c r="AU520" s="59">
        <v>8</v>
      </c>
      <c r="AV520" s="59">
        <v>2</v>
      </c>
      <c r="AW520" s="59">
        <v>3</v>
      </c>
      <c r="AX520" s="59">
        <v>7</v>
      </c>
      <c r="AY520" s="59">
        <v>7</v>
      </c>
      <c r="AZ520" s="59">
        <v>0</v>
      </c>
      <c r="BA520" s="59">
        <v>5</v>
      </c>
      <c r="BB520" s="57">
        <f t="shared" si="170"/>
        <v>8056</v>
      </c>
    </row>
    <row r="521" spans="1:54" x14ac:dyDescent="0.25">
      <c r="A521" s="58">
        <v>29</v>
      </c>
      <c r="B521" s="59">
        <v>0</v>
      </c>
      <c r="C521" s="59">
        <v>2</v>
      </c>
      <c r="D521" s="59">
        <f t="shared" si="152"/>
        <v>0</v>
      </c>
      <c r="E521" s="59">
        <f t="shared" si="153"/>
        <v>1</v>
      </c>
      <c r="F521" s="59">
        <v>806</v>
      </c>
      <c r="G521" s="59">
        <v>2</v>
      </c>
      <c r="H521" s="59">
        <f t="shared" si="154"/>
        <v>0</v>
      </c>
      <c r="I521" s="59">
        <f t="shared" si="155"/>
        <v>1</v>
      </c>
      <c r="J521" s="59">
        <v>1</v>
      </c>
      <c r="K521" s="59">
        <v>4</v>
      </c>
      <c r="L521" s="59">
        <v>1</v>
      </c>
      <c r="M521" s="59">
        <f t="shared" si="156"/>
        <v>1</v>
      </c>
      <c r="N521" s="59">
        <f t="shared" si="157"/>
        <v>0</v>
      </c>
      <c r="O521" s="59">
        <f t="shared" si="158"/>
        <v>0</v>
      </c>
      <c r="P521" s="59">
        <f t="shared" si="159"/>
        <v>0</v>
      </c>
      <c r="Q521" s="59">
        <f t="shared" si="160"/>
        <v>0</v>
      </c>
      <c r="R521" s="59">
        <v>1</v>
      </c>
      <c r="S521" s="59">
        <v>710</v>
      </c>
      <c r="T521" s="59">
        <v>2</v>
      </c>
      <c r="U521" s="59">
        <v>1</v>
      </c>
      <c r="V521" s="59">
        <v>76</v>
      </c>
      <c r="W521" s="59">
        <v>1</v>
      </c>
      <c r="X521" s="59">
        <v>1</v>
      </c>
      <c r="Y521" s="59">
        <v>2</v>
      </c>
      <c r="Z521" s="59">
        <f t="shared" si="161"/>
        <v>0</v>
      </c>
      <c r="AA521" s="59">
        <f>IF('Updated Dummy'!Y521=2,1,0)</f>
        <v>1</v>
      </c>
      <c r="AB521" s="59">
        <f t="shared" si="162"/>
        <v>0</v>
      </c>
      <c r="AC521" s="59">
        <f t="shared" si="163"/>
        <v>0</v>
      </c>
      <c r="AD521" s="59">
        <f t="shared" si="164"/>
        <v>0</v>
      </c>
      <c r="AE521" s="59">
        <f t="shared" si="165"/>
        <v>0</v>
      </c>
      <c r="AF521" s="59">
        <f t="shared" si="166"/>
        <v>0</v>
      </c>
      <c r="AG521" s="59">
        <f t="shared" si="167"/>
        <v>0</v>
      </c>
      <c r="AH521" s="59">
        <v>4</v>
      </c>
      <c r="AI521" s="59">
        <v>3</v>
      </c>
      <c r="AJ521" s="59">
        <f t="shared" si="168"/>
        <v>0</v>
      </c>
      <c r="AK521" s="59">
        <f t="shared" si="169"/>
        <v>0</v>
      </c>
      <c r="AL521" s="59">
        <v>2720</v>
      </c>
      <c r="AM521" s="59">
        <v>18959</v>
      </c>
      <c r="AN521" s="59">
        <v>1</v>
      </c>
      <c r="AO521" s="59">
        <v>0</v>
      </c>
      <c r="AP521" s="59">
        <v>18</v>
      </c>
      <c r="AQ521" s="59">
        <v>3</v>
      </c>
      <c r="AR521" s="59">
        <v>4</v>
      </c>
      <c r="AS521" s="59">
        <v>80</v>
      </c>
      <c r="AT521" s="59">
        <v>1</v>
      </c>
      <c r="AU521" s="59">
        <v>10</v>
      </c>
      <c r="AV521" s="59">
        <v>5</v>
      </c>
      <c r="AW521" s="59">
        <v>3</v>
      </c>
      <c r="AX521" s="59">
        <v>10</v>
      </c>
      <c r="AY521" s="59">
        <v>7</v>
      </c>
      <c r="AZ521" s="59">
        <v>2</v>
      </c>
      <c r="BA521" s="59">
        <v>8</v>
      </c>
      <c r="BB521" s="57">
        <f t="shared" si="170"/>
        <v>2720</v>
      </c>
    </row>
    <row r="522" spans="1:54" x14ac:dyDescent="0.25">
      <c r="A522" s="58">
        <v>48</v>
      </c>
      <c r="B522" s="59">
        <v>0</v>
      </c>
      <c r="C522" s="59">
        <v>1</v>
      </c>
      <c r="D522" s="59">
        <f t="shared" si="152"/>
        <v>1</v>
      </c>
      <c r="E522" s="59">
        <f t="shared" si="153"/>
        <v>0</v>
      </c>
      <c r="F522" s="59">
        <v>817</v>
      </c>
      <c r="G522" s="59">
        <v>1</v>
      </c>
      <c r="H522" s="59">
        <f t="shared" si="154"/>
        <v>1</v>
      </c>
      <c r="I522" s="59">
        <f t="shared" si="155"/>
        <v>0</v>
      </c>
      <c r="J522" s="59">
        <v>2</v>
      </c>
      <c r="K522" s="59">
        <v>1</v>
      </c>
      <c r="L522" s="59">
        <v>4</v>
      </c>
      <c r="M522" s="59">
        <f t="shared" si="156"/>
        <v>0</v>
      </c>
      <c r="N522" s="59">
        <f t="shared" si="157"/>
        <v>0</v>
      </c>
      <c r="O522" s="59">
        <f t="shared" si="158"/>
        <v>0</v>
      </c>
      <c r="P522" s="59">
        <f t="shared" si="159"/>
        <v>1</v>
      </c>
      <c r="Q522" s="59">
        <f t="shared" si="160"/>
        <v>0</v>
      </c>
      <c r="R522" s="59">
        <v>1</v>
      </c>
      <c r="S522" s="59">
        <v>712</v>
      </c>
      <c r="T522" s="59">
        <v>2</v>
      </c>
      <c r="U522" s="59">
        <v>1</v>
      </c>
      <c r="V522" s="59">
        <v>56</v>
      </c>
      <c r="W522" s="59">
        <v>4</v>
      </c>
      <c r="X522" s="59">
        <v>2</v>
      </c>
      <c r="Y522" s="59">
        <v>1</v>
      </c>
      <c r="Z522" s="59">
        <f t="shared" si="161"/>
        <v>1</v>
      </c>
      <c r="AA522" s="59">
        <f>IF('Updated Dummy'!Y522=2,1,0)</f>
        <v>0</v>
      </c>
      <c r="AB522" s="59">
        <f t="shared" si="162"/>
        <v>0</v>
      </c>
      <c r="AC522" s="59">
        <f t="shared" si="163"/>
        <v>0</v>
      </c>
      <c r="AD522" s="59">
        <f t="shared" si="164"/>
        <v>0</v>
      </c>
      <c r="AE522" s="59">
        <f t="shared" si="165"/>
        <v>0</v>
      </c>
      <c r="AF522" s="59">
        <f t="shared" si="166"/>
        <v>0</v>
      </c>
      <c r="AG522" s="59">
        <f t="shared" si="167"/>
        <v>0</v>
      </c>
      <c r="AH522" s="59">
        <v>2</v>
      </c>
      <c r="AI522" s="59">
        <v>2</v>
      </c>
      <c r="AJ522" s="59">
        <f t="shared" si="168"/>
        <v>0</v>
      </c>
      <c r="AK522" s="59">
        <f t="shared" si="169"/>
        <v>1</v>
      </c>
      <c r="AL522" s="59">
        <v>8120</v>
      </c>
      <c r="AM522" s="59">
        <v>18597</v>
      </c>
      <c r="AN522" s="59">
        <v>3</v>
      </c>
      <c r="AO522" s="59">
        <v>0</v>
      </c>
      <c r="AP522" s="59">
        <v>12</v>
      </c>
      <c r="AQ522" s="59">
        <v>3</v>
      </c>
      <c r="AR522" s="59">
        <v>4</v>
      </c>
      <c r="AS522" s="59">
        <v>80</v>
      </c>
      <c r="AT522" s="59">
        <v>0</v>
      </c>
      <c r="AU522" s="59">
        <v>12</v>
      </c>
      <c r="AV522" s="59">
        <v>3</v>
      </c>
      <c r="AW522" s="59">
        <v>3</v>
      </c>
      <c r="AX522" s="59">
        <v>2</v>
      </c>
      <c r="AY522" s="59">
        <v>2</v>
      </c>
      <c r="AZ522" s="59">
        <v>2</v>
      </c>
      <c r="BA522" s="59">
        <v>2</v>
      </c>
      <c r="BB522" s="57">
        <f t="shared" si="170"/>
        <v>16240</v>
      </c>
    </row>
    <row r="523" spans="1:54" x14ac:dyDescent="0.25">
      <c r="A523" s="58">
        <v>27</v>
      </c>
      <c r="B523" s="59">
        <v>0</v>
      </c>
      <c r="C523" s="59">
        <v>2</v>
      </c>
      <c r="D523" s="59">
        <f t="shared" si="152"/>
        <v>0</v>
      </c>
      <c r="E523" s="59">
        <f t="shared" si="153"/>
        <v>1</v>
      </c>
      <c r="F523" s="59">
        <v>1410</v>
      </c>
      <c r="G523" s="59">
        <v>1</v>
      </c>
      <c r="H523" s="59">
        <f t="shared" si="154"/>
        <v>1</v>
      </c>
      <c r="I523" s="59">
        <f t="shared" si="155"/>
        <v>0</v>
      </c>
      <c r="J523" s="59">
        <v>3</v>
      </c>
      <c r="K523" s="59">
        <v>1</v>
      </c>
      <c r="L523" s="59">
        <v>3</v>
      </c>
      <c r="M523" s="59">
        <f t="shared" si="156"/>
        <v>0</v>
      </c>
      <c r="N523" s="59">
        <f t="shared" si="157"/>
        <v>0</v>
      </c>
      <c r="O523" s="59">
        <f t="shared" si="158"/>
        <v>1</v>
      </c>
      <c r="P523" s="59">
        <f t="shared" si="159"/>
        <v>0</v>
      </c>
      <c r="Q523" s="59">
        <f t="shared" si="160"/>
        <v>0</v>
      </c>
      <c r="R523" s="59">
        <v>1</v>
      </c>
      <c r="S523" s="59">
        <v>714</v>
      </c>
      <c r="T523" s="59">
        <v>4</v>
      </c>
      <c r="U523" s="59">
        <v>0</v>
      </c>
      <c r="V523" s="59">
        <v>71</v>
      </c>
      <c r="W523" s="59">
        <v>4</v>
      </c>
      <c r="X523" s="59">
        <v>2</v>
      </c>
      <c r="Y523" s="59">
        <v>1</v>
      </c>
      <c r="Z523" s="59">
        <f t="shared" si="161"/>
        <v>1</v>
      </c>
      <c r="AA523" s="59">
        <f>IF('Updated Dummy'!Y523=2,1,0)</f>
        <v>0</v>
      </c>
      <c r="AB523" s="59">
        <f t="shared" si="162"/>
        <v>0</v>
      </c>
      <c r="AC523" s="59">
        <f t="shared" si="163"/>
        <v>0</v>
      </c>
      <c r="AD523" s="59">
        <f t="shared" si="164"/>
        <v>0</v>
      </c>
      <c r="AE523" s="59">
        <f t="shared" si="165"/>
        <v>0</v>
      </c>
      <c r="AF523" s="59">
        <f t="shared" si="166"/>
        <v>0</v>
      </c>
      <c r="AG523" s="59">
        <f t="shared" si="167"/>
        <v>0</v>
      </c>
      <c r="AH523" s="59">
        <v>4</v>
      </c>
      <c r="AI523" s="59">
        <v>3</v>
      </c>
      <c r="AJ523" s="59">
        <f t="shared" si="168"/>
        <v>0</v>
      </c>
      <c r="AK523" s="59">
        <f t="shared" si="169"/>
        <v>0</v>
      </c>
      <c r="AL523" s="59">
        <v>4647</v>
      </c>
      <c r="AM523" s="59">
        <v>16673</v>
      </c>
      <c r="AN523" s="59">
        <v>1</v>
      </c>
      <c r="AO523" s="59">
        <v>1</v>
      </c>
      <c r="AP523" s="59">
        <v>20</v>
      </c>
      <c r="AQ523" s="59">
        <v>4</v>
      </c>
      <c r="AR523" s="59">
        <v>2</v>
      </c>
      <c r="AS523" s="59">
        <v>80</v>
      </c>
      <c r="AT523" s="59">
        <v>2</v>
      </c>
      <c r="AU523" s="59">
        <v>6</v>
      </c>
      <c r="AV523" s="59">
        <v>3</v>
      </c>
      <c r="AW523" s="59">
        <v>3</v>
      </c>
      <c r="AX523" s="59">
        <v>6</v>
      </c>
      <c r="AY523" s="59">
        <v>5</v>
      </c>
      <c r="AZ523" s="59">
        <v>0</v>
      </c>
      <c r="BA523" s="59">
        <v>4</v>
      </c>
      <c r="BB523" s="57">
        <f t="shared" si="170"/>
        <v>9294</v>
      </c>
    </row>
    <row r="524" spans="1:54" x14ac:dyDescent="0.25">
      <c r="A524" s="58">
        <v>37</v>
      </c>
      <c r="B524" s="59">
        <v>0</v>
      </c>
      <c r="C524" s="59">
        <v>1</v>
      </c>
      <c r="D524" s="59">
        <f t="shared" si="152"/>
        <v>1</v>
      </c>
      <c r="E524" s="59">
        <f t="shared" si="153"/>
        <v>0</v>
      </c>
      <c r="F524" s="59">
        <v>1225</v>
      </c>
      <c r="G524" s="59">
        <v>2</v>
      </c>
      <c r="H524" s="59">
        <f t="shared" si="154"/>
        <v>0</v>
      </c>
      <c r="I524" s="59">
        <f t="shared" si="155"/>
        <v>1</v>
      </c>
      <c r="J524" s="59">
        <v>10</v>
      </c>
      <c r="K524" s="59">
        <v>2</v>
      </c>
      <c r="L524" s="59">
        <v>1</v>
      </c>
      <c r="M524" s="59">
        <f t="shared" si="156"/>
        <v>1</v>
      </c>
      <c r="N524" s="59">
        <f t="shared" si="157"/>
        <v>0</v>
      </c>
      <c r="O524" s="59">
        <f t="shared" si="158"/>
        <v>0</v>
      </c>
      <c r="P524" s="59">
        <f t="shared" si="159"/>
        <v>0</v>
      </c>
      <c r="Q524" s="59">
        <f t="shared" si="160"/>
        <v>0</v>
      </c>
      <c r="R524" s="59">
        <v>1</v>
      </c>
      <c r="S524" s="59">
        <v>715</v>
      </c>
      <c r="T524" s="59">
        <v>4</v>
      </c>
      <c r="U524" s="59">
        <v>1</v>
      </c>
      <c r="V524" s="59">
        <v>80</v>
      </c>
      <c r="W524" s="59">
        <v>4</v>
      </c>
      <c r="X524" s="59">
        <v>1</v>
      </c>
      <c r="Y524" s="59">
        <v>2</v>
      </c>
      <c r="Z524" s="59">
        <f t="shared" si="161"/>
        <v>0</v>
      </c>
      <c r="AA524" s="59">
        <f>IF('Updated Dummy'!Y524=2,1,0)</f>
        <v>1</v>
      </c>
      <c r="AB524" s="59">
        <f t="shared" si="162"/>
        <v>0</v>
      </c>
      <c r="AC524" s="59">
        <f t="shared" si="163"/>
        <v>0</v>
      </c>
      <c r="AD524" s="59">
        <f t="shared" si="164"/>
        <v>0</v>
      </c>
      <c r="AE524" s="59">
        <f t="shared" si="165"/>
        <v>0</v>
      </c>
      <c r="AF524" s="59">
        <f t="shared" si="166"/>
        <v>0</v>
      </c>
      <c r="AG524" s="59">
        <f t="shared" si="167"/>
        <v>0</v>
      </c>
      <c r="AH524" s="59">
        <v>4</v>
      </c>
      <c r="AI524" s="59">
        <v>1</v>
      </c>
      <c r="AJ524" s="59">
        <f t="shared" si="168"/>
        <v>1</v>
      </c>
      <c r="AK524" s="59">
        <f t="shared" si="169"/>
        <v>0</v>
      </c>
      <c r="AL524" s="59">
        <v>4680</v>
      </c>
      <c r="AM524" s="59">
        <v>15232</v>
      </c>
      <c r="AN524" s="59">
        <v>3</v>
      </c>
      <c r="AO524" s="59">
        <v>0</v>
      </c>
      <c r="AP524" s="59">
        <v>17</v>
      </c>
      <c r="AQ524" s="59">
        <v>3</v>
      </c>
      <c r="AR524" s="59">
        <v>1</v>
      </c>
      <c r="AS524" s="59">
        <v>80</v>
      </c>
      <c r="AT524" s="59">
        <v>0</v>
      </c>
      <c r="AU524" s="59">
        <v>4</v>
      </c>
      <c r="AV524" s="59">
        <v>2</v>
      </c>
      <c r="AW524" s="59">
        <v>3</v>
      </c>
      <c r="AX524" s="59">
        <v>1</v>
      </c>
      <c r="AY524" s="59">
        <v>0</v>
      </c>
      <c r="AZ524" s="59">
        <v>0</v>
      </c>
      <c r="BA524" s="59">
        <v>0</v>
      </c>
      <c r="BB524" s="57">
        <f t="shared" si="170"/>
        <v>4680</v>
      </c>
    </row>
    <row r="525" spans="1:54" x14ac:dyDescent="0.25">
      <c r="A525" s="58">
        <v>50</v>
      </c>
      <c r="B525" s="59">
        <v>0</v>
      </c>
      <c r="C525" s="59">
        <v>1</v>
      </c>
      <c r="D525" s="59">
        <f t="shared" si="152"/>
        <v>1</v>
      </c>
      <c r="E525" s="59">
        <f t="shared" si="153"/>
        <v>0</v>
      </c>
      <c r="F525" s="59">
        <v>1207</v>
      </c>
      <c r="G525" s="59">
        <v>2</v>
      </c>
      <c r="H525" s="59">
        <f t="shared" si="154"/>
        <v>0</v>
      </c>
      <c r="I525" s="59">
        <f t="shared" si="155"/>
        <v>1</v>
      </c>
      <c r="J525" s="59">
        <v>28</v>
      </c>
      <c r="K525" s="59">
        <v>1</v>
      </c>
      <c r="L525" s="59">
        <v>3</v>
      </c>
      <c r="M525" s="59">
        <f t="shared" si="156"/>
        <v>0</v>
      </c>
      <c r="N525" s="59">
        <f t="shared" si="157"/>
        <v>0</v>
      </c>
      <c r="O525" s="59">
        <f t="shared" si="158"/>
        <v>1</v>
      </c>
      <c r="P525" s="59">
        <f t="shared" si="159"/>
        <v>0</v>
      </c>
      <c r="Q525" s="59">
        <f t="shared" si="160"/>
        <v>0</v>
      </c>
      <c r="R525" s="59">
        <v>1</v>
      </c>
      <c r="S525" s="59">
        <v>716</v>
      </c>
      <c r="T525" s="59">
        <v>4</v>
      </c>
      <c r="U525" s="59">
        <v>1</v>
      </c>
      <c r="V525" s="59">
        <v>74</v>
      </c>
      <c r="W525" s="59">
        <v>4</v>
      </c>
      <c r="X525" s="59">
        <v>1</v>
      </c>
      <c r="Y525" s="59">
        <v>3</v>
      </c>
      <c r="Z525" s="59">
        <f t="shared" si="161"/>
        <v>0</v>
      </c>
      <c r="AA525" s="59">
        <f>IF('Updated Dummy'!Y525=2,1,0)</f>
        <v>0</v>
      </c>
      <c r="AB525" s="59">
        <f t="shared" si="162"/>
        <v>1</v>
      </c>
      <c r="AC525" s="59">
        <f t="shared" si="163"/>
        <v>0</v>
      </c>
      <c r="AD525" s="59">
        <f t="shared" si="164"/>
        <v>0</v>
      </c>
      <c r="AE525" s="59">
        <f t="shared" si="165"/>
        <v>0</v>
      </c>
      <c r="AF525" s="59">
        <f t="shared" si="166"/>
        <v>0</v>
      </c>
      <c r="AG525" s="59">
        <f t="shared" si="167"/>
        <v>0</v>
      </c>
      <c r="AH525" s="59">
        <v>3</v>
      </c>
      <c r="AI525" s="59">
        <v>2</v>
      </c>
      <c r="AJ525" s="59">
        <f t="shared" si="168"/>
        <v>0</v>
      </c>
      <c r="AK525" s="59">
        <f t="shared" si="169"/>
        <v>1</v>
      </c>
      <c r="AL525" s="59">
        <v>3221</v>
      </c>
      <c r="AM525" s="59">
        <v>3297</v>
      </c>
      <c r="AN525" s="59">
        <v>1</v>
      </c>
      <c r="AO525" s="59">
        <v>1</v>
      </c>
      <c r="AP525" s="59">
        <v>11</v>
      </c>
      <c r="AQ525" s="59">
        <v>3</v>
      </c>
      <c r="AR525" s="59">
        <v>3</v>
      </c>
      <c r="AS525" s="59">
        <v>80</v>
      </c>
      <c r="AT525" s="59">
        <v>3</v>
      </c>
      <c r="AU525" s="59">
        <v>20</v>
      </c>
      <c r="AV525" s="59">
        <v>3</v>
      </c>
      <c r="AW525" s="59">
        <v>3</v>
      </c>
      <c r="AX525" s="59">
        <v>20</v>
      </c>
      <c r="AY525" s="59">
        <v>8</v>
      </c>
      <c r="AZ525" s="59">
        <v>3</v>
      </c>
      <c r="BA525" s="59">
        <v>8</v>
      </c>
      <c r="BB525" s="57">
        <f t="shared" si="170"/>
        <v>3221</v>
      </c>
    </row>
    <row r="526" spans="1:54" x14ac:dyDescent="0.25">
      <c r="A526" s="58">
        <v>34</v>
      </c>
      <c r="B526" s="59">
        <v>0</v>
      </c>
      <c r="C526" s="59">
        <v>1</v>
      </c>
      <c r="D526" s="59">
        <f t="shared" si="152"/>
        <v>1</v>
      </c>
      <c r="E526" s="59">
        <f t="shared" si="153"/>
        <v>0</v>
      </c>
      <c r="F526" s="59">
        <v>1442</v>
      </c>
      <c r="G526" s="59">
        <v>2</v>
      </c>
      <c r="H526" s="59">
        <f t="shared" si="154"/>
        <v>0</v>
      </c>
      <c r="I526" s="59">
        <f t="shared" si="155"/>
        <v>1</v>
      </c>
      <c r="J526" s="59">
        <v>9</v>
      </c>
      <c r="K526" s="59">
        <v>3</v>
      </c>
      <c r="L526" s="59">
        <v>3</v>
      </c>
      <c r="M526" s="59">
        <f t="shared" si="156"/>
        <v>0</v>
      </c>
      <c r="N526" s="59">
        <f t="shared" si="157"/>
        <v>0</v>
      </c>
      <c r="O526" s="59">
        <f t="shared" si="158"/>
        <v>1</v>
      </c>
      <c r="P526" s="59">
        <f t="shared" si="159"/>
        <v>0</v>
      </c>
      <c r="Q526" s="59">
        <f t="shared" si="160"/>
        <v>0</v>
      </c>
      <c r="R526" s="59">
        <v>1</v>
      </c>
      <c r="S526" s="59">
        <v>717</v>
      </c>
      <c r="T526" s="59">
        <v>4</v>
      </c>
      <c r="U526" s="59">
        <v>0</v>
      </c>
      <c r="V526" s="59">
        <v>46</v>
      </c>
      <c r="W526" s="59">
        <v>2</v>
      </c>
      <c r="X526" s="59">
        <v>3</v>
      </c>
      <c r="Y526" s="59">
        <v>5</v>
      </c>
      <c r="Z526" s="59">
        <f t="shared" si="161"/>
        <v>0</v>
      </c>
      <c r="AA526" s="59">
        <f>IF('Updated Dummy'!Y526=2,1,0)</f>
        <v>0</v>
      </c>
      <c r="AB526" s="59">
        <f t="shared" si="162"/>
        <v>0</v>
      </c>
      <c r="AC526" s="59">
        <f t="shared" si="163"/>
        <v>0</v>
      </c>
      <c r="AD526" s="59">
        <f t="shared" si="164"/>
        <v>1</v>
      </c>
      <c r="AE526" s="59">
        <f t="shared" si="165"/>
        <v>0</v>
      </c>
      <c r="AF526" s="59">
        <f t="shared" si="166"/>
        <v>0</v>
      </c>
      <c r="AG526" s="59">
        <f t="shared" si="167"/>
        <v>0</v>
      </c>
      <c r="AH526" s="59">
        <v>2</v>
      </c>
      <c r="AI526" s="59">
        <v>1</v>
      </c>
      <c r="AJ526" s="59">
        <f t="shared" si="168"/>
        <v>1</v>
      </c>
      <c r="AK526" s="59">
        <f t="shared" si="169"/>
        <v>0</v>
      </c>
      <c r="AL526" s="59">
        <v>8621</v>
      </c>
      <c r="AM526" s="59">
        <v>17654</v>
      </c>
      <c r="AN526" s="59">
        <v>1</v>
      </c>
      <c r="AO526" s="59">
        <v>0</v>
      </c>
      <c r="AP526" s="59">
        <v>14</v>
      </c>
      <c r="AQ526" s="59">
        <v>3</v>
      </c>
      <c r="AR526" s="59">
        <v>2</v>
      </c>
      <c r="AS526" s="59">
        <v>80</v>
      </c>
      <c r="AT526" s="59">
        <v>0</v>
      </c>
      <c r="AU526" s="59">
        <v>9</v>
      </c>
      <c r="AV526" s="59">
        <v>3</v>
      </c>
      <c r="AW526" s="59">
        <v>4</v>
      </c>
      <c r="AX526" s="59">
        <v>8</v>
      </c>
      <c r="AY526" s="59">
        <v>7</v>
      </c>
      <c r="AZ526" s="59">
        <v>7</v>
      </c>
      <c r="BA526" s="59">
        <v>7</v>
      </c>
      <c r="BB526" s="57">
        <f t="shared" si="170"/>
        <v>25863</v>
      </c>
    </row>
    <row r="527" spans="1:54" x14ac:dyDescent="0.25">
      <c r="A527" s="58">
        <v>24</v>
      </c>
      <c r="B527" s="59">
        <v>1</v>
      </c>
      <c r="C527" s="59">
        <v>1</v>
      </c>
      <c r="D527" s="59">
        <f t="shared" si="152"/>
        <v>1</v>
      </c>
      <c r="E527" s="59">
        <f t="shared" si="153"/>
        <v>0</v>
      </c>
      <c r="F527" s="59">
        <v>693</v>
      </c>
      <c r="G527" s="59">
        <v>1</v>
      </c>
      <c r="H527" s="59">
        <f t="shared" si="154"/>
        <v>1</v>
      </c>
      <c r="I527" s="59">
        <f t="shared" si="155"/>
        <v>0</v>
      </c>
      <c r="J527" s="59">
        <v>3</v>
      </c>
      <c r="K527" s="59">
        <v>2</v>
      </c>
      <c r="L527" s="59">
        <v>1</v>
      </c>
      <c r="M527" s="59">
        <f t="shared" si="156"/>
        <v>1</v>
      </c>
      <c r="N527" s="59">
        <f t="shared" si="157"/>
        <v>0</v>
      </c>
      <c r="O527" s="59">
        <f t="shared" si="158"/>
        <v>0</v>
      </c>
      <c r="P527" s="59">
        <f t="shared" si="159"/>
        <v>0</v>
      </c>
      <c r="Q527" s="59">
        <f t="shared" si="160"/>
        <v>0</v>
      </c>
      <c r="R527" s="59">
        <v>1</v>
      </c>
      <c r="S527" s="59">
        <v>720</v>
      </c>
      <c r="T527" s="59">
        <v>1</v>
      </c>
      <c r="U527" s="59">
        <v>0</v>
      </c>
      <c r="V527" s="59">
        <v>65</v>
      </c>
      <c r="W527" s="59">
        <v>3</v>
      </c>
      <c r="X527" s="59">
        <v>2</v>
      </c>
      <c r="Y527" s="59">
        <v>1</v>
      </c>
      <c r="Z527" s="59">
        <f t="shared" si="161"/>
        <v>1</v>
      </c>
      <c r="AA527" s="59">
        <f>IF('Updated Dummy'!Y527=2,1,0)</f>
        <v>0</v>
      </c>
      <c r="AB527" s="59">
        <f t="shared" si="162"/>
        <v>0</v>
      </c>
      <c r="AC527" s="59">
        <f t="shared" si="163"/>
        <v>0</v>
      </c>
      <c r="AD527" s="59">
        <f t="shared" si="164"/>
        <v>0</v>
      </c>
      <c r="AE527" s="59">
        <f t="shared" si="165"/>
        <v>0</v>
      </c>
      <c r="AF527" s="59">
        <f t="shared" si="166"/>
        <v>0</v>
      </c>
      <c r="AG527" s="59">
        <f t="shared" si="167"/>
        <v>0</v>
      </c>
      <c r="AH527" s="59">
        <v>3</v>
      </c>
      <c r="AI527" s="59">
        <v>1</v>
      </c>
      <c r="AJ527" s="59">
        <f t="shared" si="168"/>
        <v>1</v>
      </c>
      <c r="AK527" s="59">
        <f t="shared" si="169"/>
        <v>0</v>
      </c>
      <c r="AL527" s="59">
        <v>4577</v>
      </c>
      <c r="AM527" s="59">
        <v>24785</v>
      </c>
      <c r="AN527" s="59">
        <v>9</v>
      </c>
      <c r="AO527" s="59">
        <v>0</v>
      </c>
      <c r="AP527" s="59">
        <v>14</v>
      </c>
      <c r="AQ527" s="59">
        <v>3</v>
      </c>
      <c r="AR527" s="59">
        <v>1</v>
      </c>
      <c r="AS527" s="59">
        <v>80</v>
      </c>
      <c r="AT527" s="59">
        <v>0</v>
      </c>
      <c r="AU527" s="59">
        <v>4</v>
      </c>
      <c r="AV527" s="59">
        <v>3</v>
      </c>
      <c r="AW527" s="59">
        <v>3</v>
      </c>
      <c r="AX527" s="59">
        <v>2</v>
      </c>
      <c r="AY527" s="59">
        <v>2</v>
      </c>
      <c r="AZ527" s="59">
        <v>2</v>
      </c>
      <c r="BA527" s="59">
        <v>0</v>
      </c>
      <c r="BB527" s="57">
        <f t="shared" si="170"/>
        <v>9154</v>
      </c>
    </row>
    <row r="528" spans="1:54" x14ac:dyDescent="0.25">
      <c r="A528" s="58">
        <v>39</v>
      </c>
      <c r="B528" s="59">
        <v>0</v>
      </c>
      <c r="C528" s="59">
        <v>1</v>
      </c>
      <c r="D528" s="59">
        <f t="shared" si="152"/>
        <v>1</v>
      </c>
      <c r="E528" s="59">
        <f t="shared" si="153"/>
        <v>0</v>
      </c>
      <c r="F528" s="59">
        <v>408</v>
      </c>
      <c r="G528" s="59">
        <v>2</v>
      </c>
      <c r="H528" s="59">
        <f t="shared" si="154"/>
        <v>0</v>
      </c>
      <c r="I528" s="59">
        <f t="shared" si="155"/>
        <v>1</v>
      </c>
      <c r="J528" s="59">
        <v>2</v>
      </c>
      <c r="K528" s="59">
        <v>4</v>
      </c>
      <c r="L528" s="59">
        <v>5</v>
      </c>
      <c r="M528" s="59">
        <f t="shared" si="156"/>
        <v>0</v>
      </c>
      <c r="N528" s="59">
        <f t="shared" si="157"/>
        <v>0</v>
      </c>
      <c r="O528" s="59">
        <f t="shared" si="158"/>
        <v>0</v>
      </c>
      <c r="P528" s="59">
        <f t="shared" si="159"/>
        <v>0</v>
      </c>
      <c r="Q528" s="59">
        <f t="shared" si="160"/>
        <v>1</v>
      </c>
      <c r="R528" s="59">
        <v>1</v>
      </c>
      <c r="S528" s="59">
        <v>721</v>
      </c>
      <c r="T528" s="59">
        <v>4</v>
      </c>
      <c r="U528" s="59">
        <v>0</v>
      </c>
      <c r="V528" s="59">
        <v>80</v>
      </c>
      <c r="W528" s="59">
        <v>2</v>
      </c>
      <c r="X528" s="59">
        <v>2</v>
      </c>
      <c r="Y528" s="59">
        <v>5</v>
      </c>
      <c r="Z528" s="59">
        <f t="shared" si="161"/>
        <v>0</v>
      </c>
      <c r="AA528" s="59">
        <f>IF('Updated Dummy'!Y528=2,1,0)</f>
        <v>0</v>
      </c>
      <c r="AB528" s="59">
        <f t="shared" si="162"/>
        <v>0</v>
      </c>
      <c r="AC528" s="59">
        <f t="shared" si="163"/>
        <v>0</v>
      </c>
      <c r="AD528" s="59">
        <f t="shared" si="164"/>
        <v>1</v>
      </c>
      <c r="AE528" s="59">
        <f t="shared" si="165"/>
        <v>0</v>
      </c>
      <c r="AF528" s="59">
        <f t="shared" si="166"/>
        <v>0</v>
      </c>
      <c r="AG528" s="59">
        <f t="shared" si="167"/>
        <v>0</v>
      </c>
      <c r="AH528" s="59">
        <v>3</v>
      </c>
      <c r="AI528" s="59">
        <v>1</v>
      </c>
      <c r="AJ528" s="59">
        <f t="shared" si="168"/>
        <v>1</v>
      </c>
      <c r="AK528" s="59">
        <f t="shared" si="169"/>
        <v>0</v>
      </c>
      <c r="AL528" s="59">
        <v>4553</v>
      </c>
      <c r="AM528" s="59">
        <v>20978</v>
      </c>
      <c r="AN528" s="59">
        <v>1</v>
      </c>
      <c r="AO528" s="59">
        <v>0</v>
      </c>
      <c r="AP528" s="59">
        <v>11</v>
      </c>
      <c r="AQ528" s="59">
        <v>3</v>
      </c>
      <c r="AR528" s="59">
        <v>1</v>
      </c>
      <c r="AS528" s="59">
        <v>80</v>
      </c>
      <c r="AT528" s="59">
        <v>0</v>
      </c>
      <c r="AU528" s="59">
        <v>20</v>
      </c>
      <c r="AV528" s="59">
        <v>4</v>
      </c>
      <c r="AW528" s="59">
        <v>3</v>
      </c>
      <c r="AX528" s="59">
        <v>20</v>
      </c>
      <c r="AY528" s="59">
        <v>7</v>
      </c>
      <c r="AZ528" s="59">
        <v>11</v>
      </c>
      <c r="BA528" s="59">
        <v>10</v>
      </c>
      <c r="BB528" s="57">
        <f t="shared" si="170"/>
        <v>9106</v>
      </c>
    </row>
    <row r="529" spans="1:54" x14ac:dyDescent="0.25">
      <c r="A529" s="58">
        <v>32</v>
      </c>
      <c r="B529" s="59">
        <v>0</v>
      </c>
      <c r="C529" s="59">
        <v>1</v>
      </c>
      <c r="D529" s="59">
        <f t="shared" si="152"/>
        <v>1</v>
      </c>
      <c r="E529" s="59">
        <f t="shared" si="153"/>
        <v>0</v>
      </c>
      <c r="F529" s="59">
        <v>929</v>
      </c>
      <c r="G529" s="59">
        <v>1</v>
      </c>
      <c r="H529" s="59">
        <f t="shared" si="154"/>
        <v>1</v>
      </c>
      <c r="I529" s="59">
        <f t="shared" si="155"/>
        <v>0</v>
      </c>
      <c r="J529" s="59">
        <v>10</v>
      </c>
      <c r="K529" s="59">
        <v>3</v>
      </c>
      <c r="L529" s="59">
        <v>4</v>
      </c>
      <c r="M529" s="59">
        <f t="shared" si="156"/>
        <v>0</v>
      </c>
      <c r="N529" s="59">
        <f t="shared" si="157"/>
        <v>0</v>
      </c>
      <c r="O529" s="59">
        <f t="shared" si="158"/>
        <v>0</v>
      </c>
      <c r="P529" s="59">
        <f t="shared" si="159"/>
        <v>1</v>
      </c>
      <c r="Q529" s="59">
        <f t="shared" si="160"/>
        <v>0</v>
      </c>
      <c r="R529" s="59">
        <v>1</v>
      </c>
      <c r="S529" s="59">
        <v>722</v>
      </c>
      <c r="T529" s="59">
        <v>4</v>
      </c>
      <c r="U529" s="59">
        <v>1</v>
      </c>
      <c r="V529" s="59">
        <v>55</v>
      </c>
      <c r="W529" s="59">
        <v>3</v>
      </c>
      <c r="X529" s="59">
        <v>2</v>
      </c>
      <c r="Y529" s="59">
        <v>1</v>
      </c>
      <c r="Z529" s="59">
        <f t="shared" si="161"/>
        <v>1</v>
      </c>
      <c r="AA529" s="59">
        <f>IF('Updated Dummy'!Y529=2,1,0)</f>
        <v>0</v>
      </c>
      <c r="AB529" s="59">
        <f t="shared" si="162"/>
        <v>0</v>
      </c>
      <c r="AC529" s="59">
        <f t="shared" si="163"/>
        <v>0</v>
      </c>
      <c r="AD529" s="59">
        <f t="shared" si="164"/>
        <v>0</v>
      </c>
      <c r="AE529" s="59">
        <f t="shared" si="165"/>
        <v>0</v>
      </c>
      <c r="AF529" s="59">
        <f t="shared" si="166"/>
        <v>0</v>
      </c>
      <c r="AG529" s="59">
        <f t="shared" si="167"/>
        <v>0</v>
      </c>
      <c r="AH529" s="59">
        <v>4</v>
      </c>
      <c r="AI529" s="59">
        <v>1</v>
      </c>
      <c r="AJ529" s="59">
        <f t="shared" si="168"/>
        <v>1</v>
      </c>
      <c r="AK529" s="59">
        <f t="shared" si="169"/>
        <v>0</v>
      </c>
      <c r="AL529" s="59">
        <v>5396</v>
      </c>
      <c r="AM529" s="59">
        <v>21703</v>
      </c>
      <c r="AN529" s="59">
        <v>1</v>
      </c>
      <c r="AO529" s="59">
        <v>0</v>
      </c>
      <c r="AP529" s="59">
        <v>12</v>
      </c>
      <c r="AQ529" s="59">
        <v>3</v>
      </c>
      <c r="AR529" s="59">
        <v>4</v>
      </c>
      <c r="AS529" s="59">
        <v>80</v>
      </c>
      <c r="AT529" s="59">
        <v>0</v>
      </c>
      <c r="AU529" s="59">
        <v>10</v>
      </c>
      <c r="AV529" s="59">
        <v>2</v>
      </c>
      <c r="AW529" s="59">
        <v>2</v>
      </c>
      <c r="AX529" s="59">
        <v>10</v>
      </c>
      <c r="AY529" s="59">
        <v>7</v>
      </c>
      <c r="AZ529" s="59">
        <v>0</v>
      </c>
      <c r="BA529" s="59">
        <v>8</v>
      </c>
      <c r="BB529" s="57">
        <f t="shared" si="170"/>
        <v>10792</v>
      </c>
    </row>
    <row r="530" spans="1:54" x14ac:dyDescent="0.25">
      <c r="A530" s="58">
        <v>50</v>
      </c>
      <c r="B530" s="59">
        <v>1</v>
      </c>
      <c r="C530" s="59">
        <v>2</v>
      </c>
      <c r="D530" s="59">
        <f t="shared" si="152"/>
        <v>0</v>
      </c>
      <c r="E530" s="59">
        <f t="shared" si="153"/>
        <v>1</v>
      </c>
      <c r="F530" s="59">
        <v>562</v>
      </c>
      <c r="G530" s="59">
        <v>1</v>
      </c>
      <c r="H530" s="59">
        <f t="shared" si="154"/>
        <v>1</v>
      </c>
      <c r="I530" s="59">
        <f t="shared" si="155"/>
        <v>0</v>
      </c>
      <c r="J530" s="59">
        <v>8</v>
      </c>
      <c r="K530" s="59">
        <v>2</v>
      </c>
      <c r="L530" s="59">
        <v>5</v>
      </c>
      <c r="M530" s="59">
        <f t="shared" si="156"/>
        <v>0</v>
      </c>
      <c r="N530" s="59">
        <f t="shared" si="157"/>
        <v>0</v>
      </c>
      <c r="O530" s="59">
        <f t="shared" si="158"/>
        <v>0</v>
      </c>
      <c r="P530" s="59">
        <f t="shared" si="159"/>
        <v>0</v>
      </c>
      <c r="Q530" s="59">
        <f t="shared" si="160"/>
        <v>1</v>
      </c>
      <c r="R530" s="59">
        <v>1</v>
      </c>
      <c r="S530" s="59">
        <v>723</v>
      </c>
      <c r="T530" s="59">
        <v>2</v>
      </c>
      <c r="U530" s="59">
        <v>1</v>
      </c>
      <c r="V530" s="59">
        <v>50</v>
      </c>
      <c r="W530" s="59">
        <v>3</v>
      </c>
      <c r="X530" s="59">
        <v>2</v>
      </c>
      <c r="Y530" s="59">
        <v>1</v>
      </c>
      <c r="Z530" s="59">
        <f t="shared" si="161"/>
        <v>1</v>
      </c>
      <c r="AA530" s="59">
        <f>IF('Updated Dummy'!Y530=2,1,0)</f>
        <v>0</v>
      </c>
      <c r="AB530" s="59">
        <f t="shared" si="162"/>
        <v>0</v>
      </c>
      <c r="AC530" s="59">
        <f t="shared" si="163"/>
        <v>0</v>
      </c>
      <c r="AD530" s="59">
        <f t="shared" si="164"/>
        <v>0</v>
      </c>
      <c r="AE530" s="59">
        <f t="shared" si="165"/>
        <v>0</v>
      </c>
      <c r="AF530" s="59">
        <f t="shared" si="166"/>
        <v>0</v>
      </c>
      <c r="AG530" s="59">
        <f t="shared" si="167"/>
        <v>0</v>
      </c>
      <c r="AH530" s="59">
        <v>3</v>
      </c>
      <c r="AI530" s="59">
        <v>2</v>
      </c>
      <c r="AJ530" s="59">
        <f t="shared" si="168"/>
        <v>0</v>
      </c>
      <c r="AK530" s="59">
        <f t="shared" si="169"/>
        <v>1</v>
      </c>
      <c r="AL530" s="59">
        <v>6796</v>
      </c>
      <c r="AM530" s="59">
        <v>23452</v>
      </c>
      <c r="AN530" s="59">
        <v>3</v>
      </c>
      <c r="AO530" s="59">
        <v>1</v>
      </c>
      <c r="AP530" s="59">
        <v>14</v>
      </c>
      <c r="AQ530" s="59">
        <v>3</v>
      </c>
      <c r="AR530" s="59">
        <v>1</v>
      </c>
      <c r="AS530" s="59">
        <v>80</v>
      </c>
      <c r="AT530" s="59">
        <v>1</v>
      </c>
      <c r="AU530" s="59">
        <v>18</v>
      </c>
      <c r="AV530" s="59">
        <v>4</v>
      </c>
      <c r="AW530" s="59">
        <v>3</v>
      </c>
      <c r="AX530" s="59">
        <v>4</v>
      </c>
      <c r="AY530" s="59">
        <v>3</v>
      </c>
      <c r="AZ530" s="59">
        <v>1</v>
      </c>
      <c r="BA530" s="59">
        <v>3</v>
      </c>
      <c r="BB530" s="57">
        <f t="shared" si="170"/>
        <v>13592</v>
      </c>
    </row>
    <row r="531" spans="1:54" x14ac:dyDescent="0.25">
      <c r="A531" s="58">
        <v>38</v>
      </c>
      <c r="B531" s="59">
        <v>0</v>
      </c>
      <c r="C531" s="59">
        <v>1</v>
      </c>
      <c r="D531" s="59">
        <f t="shared" si="152"/>
        <v>1</v>
      </c>
      <c r="E531" s="59">
        <f t="shared" si="153"/>
        <v>0</v>
      </c>
      <c r="F531" s="59">
        <v>827</v>
      </c>
      <c r="G531" s="59">
        <v>2</v>
      </c>
      <c r="H531" s="59">
        <f t="shared" si="154"/>
        <v>0</v>
      </c>
      <c r="I531" s="59">
        <f t="shared" si="155"/>
        <v>1</v>
      </c>
      <c r="J531" s="59">
        <v>1</v>
      </c>
      <c r="K531" s="59">
        <v>4</v>
      </c>
      <c r="L531" s="59">
        <v>1</v>
      </c>
      <c r="M531" s="59">
        <f t="shared" si="156"/>
        <v>1</v>
      </c>
      <c r="N531" s="59">
        <f t="shared" si="157"/>
        <v>0</v>
      </c>
      <c r="O531" s="59">
        <f t="shared" si="158"/>
        <v>0</v>
      </c>
      <c r="P531" s="59">
        <f t="shared" si="159"/>
        <v>0</v>
      </c>
      <c r="Q531" s="59">
        <f t="shared" si="160"/>
        <v>0</v>
      </c>
      <c r="R531" s="59">
        <v>1</v>
      </c>
      <c r="S531" s="59">
        <v>724</v>
      </c>
      <c r="T531" s="59">
        <v>2</v>
      </c>
      <c r="U531" s="59">
        <v>0</v>
      </c>
      <c r="V531" s="59">
        <v>33</v>
      </c>
      <c r="W531" s="59">
        <v>4</v>
      </c>
      <c r="X531" s="59">
        <v>2</v>
      </c>
      <c r="Y531" s="59">
        <v>5</v>
      </c>
      <c r="Z531" s="59">
        <f t="shared" si="161"/>
        <v>0</v>
      </c>
      <c r="AA531" s="59">
        <f>IF('Updated Dummy'!Y531=2,1,0)</f>
        <v>0</v>
      </c>
      <c r="AB531" s="59">
        <f t="shared" si="162"/>
        <v>0</v>
      </c>
      <c r="AC531" s="59">
        <f t="shared" si="163"/>
        <v>0</v>
      </c>
      <c r="AD531" s="59">
        <f t="shared" si="164"/>
        <v>1</v>
      </c>
      <c r="AE531" s="59">
        <f t="shared" si="165"/>
        <v>0</v>
      </c>
      <c r="AF531" s="59">
        <f t="shared" si="166"/>
        <v>0</v>
      </c>
      <c r="AG531" s="59">
        <f t="shared" si="167"/>
        <v>0</v>
      </c>
      <c r="AH531" s="59">
        <v>4</v>
      </c>
      <c r="AI531" s="59">
        <v>1</v>
      </c>
      <c r="AJ531" s="59">
        <f t="shared" si="168"/>
        <v>1</v>
      </c>
      <c r="AK531" s="59">
        <f t="shared" si="169"/>
        <v>0</v>
      </c>
      <c r="AL531" s="59">
        <v>7625</v>
      </c>
      <c r="AM531" s="59">
        <v>19383</v>
      </c>
      <c r="AN531" s="59">
        <v>0</v>
      </c>
      <c r="AO531" s="59">
        <v>0</v>
      </c>
      <c r="AP531" s="59">
        <v>13</v>
      </c>
      <c r="AQ531" s="59">
        <v>3</v>
      </c>
      <c r="AR531" s="59">
        <v>3</v>
      </c>
      <c r="AS531" s="59">
        <v>80</v>
      </c>
      <c r="AT531" s="59">
        <v>0</v>
      </c>
      <c r="AU531" s="59">
        <v>10</v>
      </c>
      <c r="AV531" s="59">
        <v>4</v>
      </c>
      <c r="AW531" s="59">
        <v>2</v>
      </c>
      <c r="AX531" s="59">
        <v>9</v>
      </c>
      <c r="AY531" s="59">
        <v>7</v>
      </c>
      <c r="AZ531" s="59">
        <v>1</v>
      </c>
      <c r="BA531" s="59">
        <v>8</v>
      </c>
      <c r="BB531" s="57">
        <f t="shared" si="170"/>
        <v>15250</v>
      </c>
    </row>
    <row r="532" spans="1:54" x14ac:dyDescent="0.25">
      <c r="A532" s="58">
        <v>27</v>
      </c>
      <c r="B532" s="59">
        <v>0</v>
      </c>
      <c r="C532" s="59">
        <v>1</v>
      </c>
      <c r="D532" s="59">
        <f t="shared" si="152"/>
        <v>1</v>
      </c>
      <c r="E532" s="59">
        <f t="shared" si="153"/>
        <v>0</v>
      </c>
      <c r="F532" s="59">
        <v>608</v>
      </c>
      <c r="G532" s="59">
        <v>2</v>
      </c>
      <c r="H532" s="59">
        <f t="shared" si="154"/>
        <v>0</v>
      </c>
      <c r="I532" s="59">
        <f t="shared" si="155"/>
        <v>1</v>
      </c>
      <c r="J532" s="59">
        <v>1</v>
      </c>
      <c r="K532" s="59">
        <v>2</v>
      </c>
      <c r="L532" s="59">
        <v>1</v>
      </c>
      <c r="M532" s="59">
        <f t="shared" si="156"/>
        <v>1</v>
      </c>
      <c r="N532" s="59">
        <f t="shared" si="157"/>
        <v>0</v>
      </c>
      <c r="O532" s="59">
        <f t="shared" si="158"/>
        <v>0</v>
      </c>
      <c r="P532" s="59">
        <f t="shared" si="159"/>
        <v>0</v>
      </c>
      <c r="Q532" s="59">
        <f t="shared" si="160"/>
        <v>0</v>
      </c>
      <c r="R532" s="59">
        <v>1</v>
      </c>
      <c r="S532" s="59">
        <v>725</v>
      </c>
      <c r="T532" s="59">
        <v>3</v>
      </c>
      <c r="U532" s="59">
        <v>0</v>
      </c>
      <c r="V532" s="59">
        <v>68</v>
      </c>
      <c r="W532" s="59">
        <v>3</v>
      </c>
      <c r="X532" s="59">
        <v>3</v>
      </c>
      <c r="Y532" s="59">
        <v>4</v>
      </c>
      <c r="Z532" s="59">
        <f t="shared" si="161"/>
        <v>0</v>
      </c>
      <c r="AA532" s="59">
        <f>IF('Updated Dummy'!Y532=2,1,0)</f>
        <v>0</v>
      </c>
      <c r="AB532" s="59">
        <f t="shared" si="162"/>
        <v>0</v>
      </c>
      <c r="AC532" s="59">
        <f t="shared" si="163"/>
        <v>1</v>
      </c>
      <c r="AD532" s="59">
        <f t="shared" si="164"/>
        <v>0</v>
      </c>
      <c r="AE532" s="59">
        <f t="shared" si="165"/>
        <v>0</v>
      </c>
      <c r="AF532" s="59">
        <f t="shared" si="166"/>
        <v>0</v>
      </c>
      <c r="AG532" s="59">
        <f t="shared" si="167"/>
        <v>0</v>
      </c>
      <c r="AH532" s="59">
        <v>1</v>
      </c>
      <c r="AI532" s="59">
        <v>2</v>
      </c>
      <c r="AJ532" s="59">
        <f t="shared" si="168"/>
        <v>0</v>
      </c>
      <c r="AK532" s="59">
        <f t="shared" si="169"/>
        <v>1</v>
      </c>
      <c r="AL532" s="59">
        <v>7412</v>
      </c>
      <c r="AM532" s="59">
        <v>6009</v>
      </c>
      <c r="AN532" s="59">
        <v>1</v>
      </c>
      <c r="AO532" s="59">
        <v>0</v>
      </c>
      <c r="AP532" s="59">
        <v>11</v>
      </c>
      <c r="AQ532" s="59">
        <v>3</v>
      </c>
      <c r="AR532" s="59">
        <v>4</v>
      </c>
      <c r="AS532" s="59">
        <v>80</v>
      </c>
      <c r="AT532" s="59">
        <v>0</v>
      </c>
      <c r="AU532" s="59">
        <v>9</v>
      </c>
      <c r="AV532" s="59">
        <v>3</v>
      </c>
      <c r="AW532" s="59">
        <v>3</v>
      </c>
      <c r="AX532" s="59">
        <v>9</v>
      </c>
      <c r="AY532" s="59">
        <v>7</v>
      </c>
      <c r="AZ532" s="59">
        <v>0</v>
      </c>
      <c r="BA532" s="59">
        <v>7</v>
      </c>
      <c r="BB532" s="57">
        <f t="shared" si="170"/>
        <v>22236</v>
      </c>
    </row>
    <row r="533" spans="1:54" x14ac:dyDescent="0.25">
      <c r="A533" s="58">
        <v>32</v>
      </c>
      <c r="B533" s="59">
        <v>0</v>
      </c>
      <c r="C533" s="59">
        <v>1</v>
      </c>
      <c r="D533" s="59">
        <f t="shared" si="152"/>
        <v>1</v>
      </c>
      <c r="E533" s="59">
        <f t="shared" si="153"/>
        <v>0</v>
      </c>
      <c r="F533" s="59">
        <v>1018</v>
      </c>
      <c r="G533" s="59">
        <v>2</v>
      </c>
      <c r="H533" s="59">
        <f t="shared" si="154"/>
        <v>0</v>
      </c>
      <c r="I533" s="59">
        <f t="shared" si="155"/>
        <v>1</v>
      </c>
      <c r="J533" s="59">
        <v>3</v>
      </c>
      <c r="K533" s="59">
        <v>2</v>
      </c>
      <c r="L533" s="59">
        <v>1</v>
      </c>
      <c r="M533" s="59">
        <f t="shared" si="156"/>
        <v>1</v>
      </c>
      <c r="N533" s="59">
        <f t="shared" si="157"/>
        <v>0</v>
      </c>
      <c r="O533" s="59">
        <f t="shared" si="158"/>
        <v>0</v>
      </c>
      <c r="P533" s="59">
        <f t="shared" si="159"/>
        <v>0</v>
      </c>
      <c r="Q533" s="59">
        <f t="shared" si="160"/>
        <v>0</v>
      </c>
      <c r="R533" s="59">
        <v>1</v>
      </c>
      <c r="S533" s="59">
        <v>727</v>
      </c>
      <c r="T533" s="59">
        <v>3</v>
      </c>
      <c r="U533" s="59">
        <v>0</v>
      </c>
      <c r="V533" s="59">
        <v>39</v>
      </c>
      <c r="W533" s="59">
        <v>3</v>
      </c>
      <c r="X533" s="59">
        <v>3</v>
      </c>
      <c r="Y533" s="59">
        <v>8</v>
      </c>
      <c r="Z533" s="59">
        <f t="shared" si="161"/>
        <v>0</v>
      </c>
      <c r="AA533" s="59">
        <f>IF('Updated Dummy'!Y533=2,1,0)</f>
        <v>0</v>
      </c>
      <c r="AB533" s="59">
        <f t="shared" si="162"/>
        <v>0</v>
      </c>
      <c r="AC533" s="59">
        <f t="shared" si="163"/>
        <v>0</v>
      </c>
      <c r="AD533" s="59">
        <f t="shared" si="164"/>
        <v>0</v>
      </c>
      <c r="AE533" s="59">
        <f t="shared" si="165"/>
        <v>0</v>
      </c>
      <c r="AF533" s="59">
        <f t="shared" si="166"/>
        <v>0</v>
      </c>
      <c r="AG533" s="59">
        <f t="shared" si="167"/>
        <v>1</v>
      </c>
      <c r="AH533" s="59">
        <v>4</v>
      </c>
      <c r="AI533" s="59">
        <v>1</v>
      </c>
      <c r="AJ533" s="59">
        <f t="shared" si="168"/>
        <v>1</v>
      </c>
      <c r="AK533" s="59">
        <f t="shared" si="169"/>
        <v>0</v>
      </c>
      <c r="AL533" s="59">
        <v>11159</v>
      </c>
      <c r="AM533" s="59">
        <v>19373</v>
      </c>
      <c r="AN533" s="59">
        <v>3</v>
      </c>
      <c r="AO533" s="59">
        <v>0</v>
      </c>
      <c r="AP533" s="59">
        <v>15</v>
      </c>
      <c r="AQ533" s="59">
        <v>3</v>
      </c>
      <c r="AR533" s="59">
        <v>4</v>
      </c>
      <c r="AS533" s="59">
        <v>80</v>
      </c>
      <c r="AT533" s="59">
        <v>0</v>
      </c>
      <c r="AU533" s="59">
        <v>10</v>
      </c>
      <c r="AV533" s="59">
        <v>6</v>
      </c>
      <c r="AW533" s="59">
        <v>3</v>
      </c>
      <c r="AX533" s="59">
        <v>7</v>
      </c>
      <c r="AY533" s="59">
        <v>7</v>
      </c>
      <c r="AZ533" s="59">
        <v>7</v>
      </c>
      <c r="BA533" s="59">
        <v>7</v>
      </c>
      <c r="BB533" s="57">
        <f t="shared" si="170"/>
        <v>33477</v>
      </c>
    </row>
    <row r="534" spans="1:54" x14ac:dyDescent="0.25">
      <c r="A534" s="58">
        <v>47</v>
      </c>
      <c r="B534" s="59">
        <v>0</v>
      </c>
      <c r="C534" s="59">
        <v>1</v>
      </c>
      <c r="D534" s="59">
        <f t="shared" si="152"/>
        <v>1</v>
      </c>
      <c r="E534" s="59">
        <f t="shared" si="153"/>
        <v>0</v>
      </c>
      <c r="F534" s="59">
        <v>703</v>
      </c>
      <c r="G534" s="59">
        <v>1</v>
      </c>
      <c r="H534" s="59">
        <f t="shared" si="154"/>
        <v>1</v>
      </c>
      <c r="I534" s="59">
        <f t="shared" si="155"/>
        <v>0</v>
      </c>
      <c r="J534" s="59">
        <v>14</v>
      </c>
      <c r="K534" s="59">
        <v>4</v>
      </c>
      <c r="L534" s="59">
        <v>4</v>
      </c>
      <c r="M534" s="59">
        <f t="shared" si="156"/>
        <v>0</v>
      </c>
      <c r="N534" s="59">
        <f t="shared" si="157"/>
        <v>0</v>
      </c>
      <c r="O534" s="59">
        <f t="shared" si="158"/>
        <v>0</v>
      </c>
      <c r="P534" s="59">
        <f t="shared" si="159"/>
        <v>1</v>
      </c>
      <c r="Q534" s="59">
        <f t="shared" si="160"/>
        <v>0</v>
      </c>
      <c r="R534" s="59">
        <v>1</v>
      </c>
      <c r="S534" s="59">
        <v>728</v>
      </c>
      <c r="T534" s="59">
        <v>4</v>
      </c>
      <c r="U534" s="59">
        <v>1</v>
      </c>
      <c r="V534" s="59">
        <v>42</v>
      </c>
      <c r="W534" s="59">
        <v>3</v>
      </c>
      <c r="X534" s="59">
        <v>2</v>
      </c>
      <c r="Y534" s="59">
        <v>1</v>
      </c>
      <c r="Z534" s="59">
        <f t="shared" si="161"/>
        <v>1</v>
      </c>
      <c r="AA534" s="59">
        <f>IF('Updated Dummy'!Y534=2,1,0)</f>
        <v>0</v>
      </c>
      <c r="AB534" s="59">
        <f t="shared" si="162"/>
        <v>0</v>
      </c>
      <c r="AC534" s="59">
        <f t="shared" si="163"/>
        <v>0</v>
      </c>
      <c r="AD534" s="59">
        <f t="shared" si="164"/>
        <v>0</v>
      </c>
      <c r="AE534" s="59">
        <f t="shared" si="165"/>
        <v>0</v>
      </c>
      <c r="AF534" s="59">
        <f t="shared" si="166"/>
        <v>0</v>
      </c>
      <c r="AG534" s="59">
        <f t="shared" si="167"/>
        <v>0</v>
      </c>
      <c r="AH534" s="59">
        <v>1</v>
      </c>
      <c r="AI534" s="59">
        <v>1</v>
      </c>
      <c r="AJ534" s="59">
        <f t="shared" si="168"/>
        <v>1</v>
      </c>
      <c r="AK534" s="59">
        <f t="shared" si="169"/>
        <v>0</v>
      </c>
      <c r="AL534" s="59">
        <v>4960</v>
      </c>
      <c r="AM534" s="59">
        <v>11825</v>
      </c>
      <c r="AN534" s="59">
        <v>2</v>
      </c>
      <c r="AO534" s="59">
        <v>0</v>
      </c>
      <c r="AP534" s="59">
        <v>12</v>
      </c>
      <c r="AQ534" s="59">
        <v>3</v>
      </c>
      <c r="AR534" s="59">
        <v>4</v>
      </c>
      <c r="AS534" s="59">
        <v>80</v>
      </c>
      <c r="AT534" s="59">
        <v>0</v>
      </c>
      <c r="AU534" s="59">
        <v>20</v>
      </c>
      <c r="AV534" s="59">
        <v>2</v>
      </c>
      <c r="AW534" s="59">
        <v>3</v>
      </c>
      <c r="AX534" s="59">
        <v>7</v>
      </c>
      <c r="AY534" s="59">
        <v>7</v>
      </c>
      <c r="AZ534" s="59">
        <v>1</v>
      </c>
      <c r="BA534" s="59">
        <v>7</v>
      </c>
      <c r="BB534" s="57">
        <f t="shared" si="170"/>
        <v>9920</v>
      </c>
    </row>
    <row r="535" spans="1:54" x14ac:dyDescent="0.25">
      <c r="A535" s="58">
        <v>40</v>
      </c>
      <c r="B535" s="59">
        <v>0</v>
      </c>
      <c r="C535" s="59">
        <v>2</v>
      </c>
      <c r="D535" s="59">
        <f t="shared" si="152"/>
        <v>0</v>
      </c>
      <c r="E535" s="59">
        <f t="shared" si="153"/>
        <v>1</v>
      </c>
      <c r="F535" s="59">
        <v>580</v>
      </c>
      <c r="G535" s="59">
        <v>1</v>
      </c>
      <c r="H535" s="59">
        <f t="shared" si="154"/>
        <v>1</v>
      </c>
      <c r="I535" s="59">
        <f t="shared" si="155"/>
        <v>0</v>
      </c>
      <c r="J535" s="59">
        <v>5</v>
      </c>
      <c r="K535" s="59">
        <v>4</v>
      </c>
      <c r="L535" s="59">
        <v>1</v>
      </c>
      <c r="M535" s="59">
        <f t="shared" si="156"/>
        <v>1</v>
      </c>
      <c r="N535" s="59">
        <f t="shared" si="157"/>
        <v>0</v>
      </c>
      <c r="O535" s="59">
        <f t="shared" si="158"/>
        <v>0</v>
      </c>
      <c r="P535" s="59">
        <f t="shared" si="159"/>
        <v>0</v>
      </c>
      <c r="Q535" s="59">
        <f t="shared" si="160"/>
        <v>0</v>
      </c>
      <c r="R535" s="59">
        <v>1</v>
      </c>
      <c r="S535" s="59">
        <v>729</v>
      </c>
      <c r="T535" s="59">
        <v>4</v>
      </c>
      <c r="U535" s="59">
        <v>1</v>
      </c>
      <c r="V535" s="59">
        <v>48</v>
      </c>
      <c r="W535" s="59">
        <v>2</v>
      </c>
      <c r="X535" s="59">
        <v>3</v>
      </c>
      <c r="Y535" s="59">
        <v>1</v>
      </c>
      <c r="Z535" s="59">
        <f t="shared" si="161"/>
        <v>1</v>
      </c>
      <c r="AA535" s="59">
        <f>IF('Updated Dummy'!Y535=2,1,0)</f>
        <v>0</v>
      </c>
      <c r="AB535" s="59">
        <f t="shared" si="162"/>
        <v>0</v>
      </c>
      <c r="AC535" s="59">
        <f t="shared" si="163"/>
        <v>0</v>
      </c>
      <c r="AD535" s="59">
        <f t="shared" si="164"/>
        <v>0</v>
      </c>
      <c r="AE535" s="59">
        <f t="shared" si="165"/>
        <v>0</v>
      </c>
      <c r="AF535" s="59">
        <f t="shared" si="166"/>
        <v>0</v>
      </c>
      <c r="AG535" s="59">
        <f t="shared" si="167"/>
        <v>0</v>
      </c>
      <c r="AH535" s="59">
        <v>1</v>
      </c>
      <c r="AI535" s="59">
        <v>2</v>
      </c>
      <c r="AJ535" s="59">
        <f t="shared" si="168"/>
        <v>0</v>
      </c>
      <c r="AK535" s="59">
        <f t="shared" si="169"/>
        <v>1</v>
      </c>
      <c r="AL535" s="59">
        <v>10475</v>
      </c>
      <c r="AM535" s="59">
        <v>23772</v>
      </c>
      <c r="AN535" s="59">
        <v>5</v>
      </c>
      <c r="AO535" s="59">
        <v>1</v>
      </c>
      <c r="AP535" s="59">
        <v>21</v>
      </c>
      <c r="AQ535" s="59">
        <v>4</v>
      </c>
      <c r="AR535" s="59">
        <v>3</v>
      </c>
      <c r="AS535" s="59">
        <v>80</v>
      </c>
      <c r="AT535" s="59">
        <v>1</v>
      </c>
      <c r="AU535" s="59">
        <v>20</v>
      </c>
      <c r="AV535" s="59">
        <v>2</v>
      </c>
      <c r="AW535" s="59">
        <v>3</v>
      </c>
      <c r="AX535" s="59">
        <v>18</v>
      </c>
      <c r="AY535" s="59">
        <v>13</v>
      </c>
      <c r="AZ535" s="59">
        <v>1</v>
      </c>
      <c r="BA535" s="59">
        <v>12</v>
      </c>
      <c r="BB535" s="57">
        <f t="shared" si="170"/>
        <v>31425</v>
      </c>
    </row>
    <row r="536" spans="1:54" x14ac:dyDescent="0.25">
      <c r="A536" s="58">
        <v>53</v>
      </c>
      <c r="B536" s="59">
        <v>0</v>
      </c>
      <c r="C536" s="59">
        <v>1</v>
      </c>
      <c r="D536" s="59">
        <f t="shared" si="152"/>
        <v>1</v>
      </c>
      <c r="E536" s="59">
        <f t="shared" si="153"/>
        <v>0</v>
      </c>
      <c r="F536" s="59">
        <v>970</v>
      </c>
      <c r="G536" s="59">
        <v>2</v>
      </c>
      <c r="H536" s="59">
        <f t="shared" si="154"/>
        <v>0</v>
      </c>
      <c r="I536" s="59">
        <f t="shared" si="155"/>
        <v>1</v>
      </c>
      <c r="J536" s="59">
        <v>7</v>
      </c>
      <c r="K536" s="59">
        <v>3</v>
      </c>
      <c r="L536" s="59">
        <v>1</v>
      </c>
      <c r="M536" s="59">
        <f t="shared" si="156"/>
        <v>1</v>
      </c>
      <c r="N536" s="59">
        <f t="shared" si="157"/>
        <v>0</v>
      </c>
      <c r="O536" s="59">
        <f t="shared" si="158"/>
        <v>0</v>
      </c>
      <c r="P536" s="59">
        <f t="shared" si="159"/>
        <v>0</v>
      </c>
      <c r="Q536" s="59">
        <f t="shared" si="160"/>
        <v>0</v>
      </c>
      <c r="R536" s="59">
        <v>1</v>
      </c>
      <c r="S536" s="59">
        <v>730</v>
      </c>
      <c r="T536" s="59">
        <v>3</v>
      </c>
      <c r="U536" s="59">
        <v>1</v>
      </c>
      <c r="V536" s="59">
        <v>59</v>
      </c>
      <c r="W536" s="59">
        <v>4</v>
      </c>
      <c r="X536" s="59">
        <v>4</v>
      </c>
      <c r="Y536" s="59">
        <v>8</v>
      </c>
      <c r="Z536" s="59">
        <f t="shared" si="161"/>
        <v>0</v>
      </c>
      <c r="AA536" s="59">
        <f>IF('Updated Dummy'!Y536=2,1,0)</f>
        <v>0</v>
      </c>
      <c r="AB536" s="59">
        <f t="shared" si="162"/>
        <v>0</v>
      </c>
      <c r="AC536" s="59">
        <f t="shared" si="163"/>
        <v>0</v>
      </c>
      <c r="AD536" s="59">
        <f t="shared" si="164"/>
        <v>0</v>
      </c>
      <c r="AE536" s="59">
        <f t="shared" si="165"/>
        <v>0</v>
      </c>
      <c r="AF536" s="59">
        <f t="shared" si="166"/>
        <v>0</v>
      </c>
      <c r="AG536" s="59">
        <f t="shared" si="167"/>
        <v>1</v>
      </c>
      <c r="AH536" s="59">
        <v>3</v>
      </c>
      <c r="AI536" s="59">
        <v>2</v>
      </c>
      <c r="AJ536" s="59">
        <f t="shared" si="168"/>
        <v>0</v>
      </c>
      <c r="AK536" s="59">
        <f t="shared" si="169"/>
        <v>1</v>
      </c>
      <c r="AL536" s="59">
        <v>14814</v>
      </c>
      <c r="AM536" s="59">
        <v>13514</v>
      </c>
      <c r="AN536" s="59">
        <v>3</v>
      </c>
      <c r="AO536" s="59">
        <v>0</v>
      </c>
      <c r="AP536" s="59">
        <v>19</v>
      </c>
      <c r="AQ536" s="59">
        <v>3</v>
      </c>
      <c r="AR536" s="59">
        <v>3</v>
      </c>
      <c r="AS536" s="59">
        <v>80</v>
      </c>
      <c r="AT536" s="59">
        <v>0</v>
      </c>
      <c r="AU536" s="59">
        <v>32</v>
      </c>
      <c r="AV536" s="59">
        <v>3</v>
      </c>
      <c r="AW536" s="59">
        <v>3</v>
      </c>
      <c r="AX536" s="59">
        <v>5</v>
      </c>
      <c r="AY536" s="59">
        <v>1</v>
      </c>
      <c r="AZ536" s="59">
        <v>1</v>
      </c>
      <c r="BA536" s="59">
        <v>3</v>
      </c>
      <c r="BB536" s="57">
        <f t="shared" si="170"/>
        <v>59256</v>
      </c>
    </row>
    <row r="537" spans="1:54" x14ac:dyDescent="0.25">
      <c r="A537" s="58">
        <v>41</v>
      </c>
      <c r="B537" s="59">
        <v>0</v>
      </c>
      <c r="C537" s="59">
        <v>1</v>
      </c>
      <c r="D537" s="59">
        <f t="shared" si="152"/>
        <v>1</v>
      </c>
      <c r="E537" s="59">
        <f t="shared" si="153"/>
        <v>0</v>
      </c>
      <c r="F537" s="59">
        <v>427</v>
      </c>
      <c r="G537" s="59">
        <v>3</v>
      </c>
      <c r="H537" s="59">
        <f t="shared" si="154"/>
        <v>0</v>
      </c>
      <c r="I537" s="59">
        <f t="shared" si="155"/>
        <v>0</v>
      </c>
      <c r="J537" s="59">
        <v>10</v>
      </c>
      <c r="K537" s="59">
        <v>4</v>
      </c>
      <c r="L537" s="59">
        <v>2</v>
      </c>
      <c r="M537" s="59">
        <f t="shared" si="156"/>
        <v>0</v>
      </c>
      <c r="N537" s="59">
        <f t="shared" si="157"/>
        <v>1</v>
      </c>
      <c r="O537" s="59">
        <f t="shared" si="158"/>
        <v>0</v>
      </c>
      <c r="P537" s="59">
        <f t="shared" si="159"/>
        <v>0</v>
      </c>
      <c r="Q537" s="59">
        <f t="shared" si="160"/>
        <v>0</v>
      </c>
      <c r="R537" s="59">
        <v>1</v>
      </c>
      <c r="S537" s="59">
        <v>731</v>
      </c>
      <c r="T537" s="59">
        <v>2</v>
      </c>
      <c r="U537" s="59">
        <v>1</v>
      </c>
      <c r="V537" s="59">
        <v>73</v>
      </c>
      <c r="W537" s="59">
        <v>2</v>
      </c>
      <c r="X537" s="59">
        <v>5</v>
      </c>
      <c r="Y537" s="59">
        <v>6</v>
      </c>
      <c r="Z537" s="59">
        <f t="shared" si="161"/>
        <v>0</v>
      </c>
      <c r="AA537" s="59">
        <f>IF('Updated Dummy'!Y537=2,1,0)</f>
        <v>0</v>
      </c>
      <c r="AB537" s="59">
        <f t="shared" si="162"/>
        <v>0</v>
      </c>
      <c r="AC537" s="59">
        <f t="shared" si="163"/>
        <v>0</v>
      </c>
      <c r="AD537" s="59">
        <f t="shared" si="164"/>
        <v>0</v>
      </c>
      <c r="AE537" s="59">
        <f t="shared" si="165"/>
        <v>1</v>
      </c>
      <c r="AF537" s="59">
        <f t="shared" si="166"/>
        <v>0</v>
      </c>
      <c r="AG537" s="59">
        <f t="shared" si="167"/>
        <v>0</v>
      </c>
      <c r="AH537" s="59">
        <v>4</v>
      </c>
      <c r="AI537" s="59">
        <v>3</v>
      </c>
      <c r="AJ537" s="59">
        <f t="shared" si="168"/>
        <v>0</v>
      </c>
      <c r="AK537" s="59">
        <f t="shared" si="169"/>
        <v>0</v>
      </c>
      <c r="AL537" s="59">
        <v>19141</v>
      </c>
      <c r="AM537" s="59">
        <v>8861</v>
      </c>
      <c r="AN537" s="59">
        <v>3</v>
      </c>
      <c r="AO537" s="59">
        <v>0</v>
      </c>
      <c r="AP537" s="59">
        <v>15</v>
      </c>
      <c r="AQ537" s="59">
        <v>3</v>
      </c>
      <c r="AR537" s="59">
        <v>2</v>
      </c>
      <c r="AS537" s="59">
        <v>80</v>
      </c>
      <c r="AT537" s="59">
        <v>3</v>
      </c>
      <c r="AU537" s="59">
        <v>23</v>
      </c>
      <c r="AV537" s="59">
        <v>2</v>
      </c>
      <c r="AW537" s="59">
        <v>2</v>
      </c>
      <c r="AX537" s="59">
        <v>21</v>
      </c>
      <c r="AY537" s="59">
        <v>6</v>
      </c>
      <c r="AZ537" s="59">
        <v>12</v>
      </c>
      <c r="BA537" s="59">
        <v>6</v>
      </c>
      <c r="BB537" s="57">
        <f t="shared" si="170"/>
        <v>95705</v>
      </c>
    </row>
    <row r="538" spans="1:54" x14ac:dyDescent="0.25">
      <c r="A538" s="58">
        <v>60</v>
      </c>
      <c r="B538" s="59">
        <v>0</v>
      </c>
      <c r="C538" s="59">
        <v>1</v>
      </c>
      <c r="D538" s="59">
        <f t="shared" si="152"/>
        <v>1</v>
      </c>
      <c r="E538" s="59">
        <f t="shared" si="153"/>
        <v>0</v>
      </c>
      <c r="F538" s="59">
        <v>1179</v>
      </c>
      <c r="G538" s="59">
        <v>1</v>
      </c>
      <c r="H538" s="59">
        <f t="shared" si="154"/>
        <v>1</v>
      </c>
      <c r="I538" s="59">
        <f t="shared" si="155"/>
        <v>0</v>
      </c>
      <c r="J538" s="59">
        <v>16</v>
      </c>
      <c r="K538" s="59">
        <v>4</v>
      </c>
      <c r="L538" s="59">
        <v>4</v>
      </c>
      <c r="M538" s="59">
        <f t="shared" si="156"/>
        <v>0</v>
      </c>
      <c r="N538" s="59">
        <f t="shared" si="157"/>
        <v>0</v>
      </c>
      <c r="O538" s="59">
        <f t="shared" si="158"/>
        <v>0</v>
      </c>
      <c r="P538" s="59">
        <f t="shared" si="159"/>
        <v>1</v>
      </c>
      <c r="Q538" s="59">
        <f t="shared" si="160"/>
        <v>0</v>
      </c>
      <c r="R538" s="59">
        <v>1</v>
      </c>
      <c r="S538" s="59">
        <v>732</v>
      </c>
      <c r="T538" s="59">
        <v>1</v>
      </c>
      <c r="U538" s="59">
        <v>1</v>
      </c>
      <c r="V538" s="59">
        <v>84</v>
      </c>
      <c r="W538" s="59">
        <v>3</v>
      </c>
      <c r="X538" s="59">
        <v>2</v>
      </c>
      <c r="Y538" s="59">
        <v>1</v>
      </c>
      <c r="Z538" s="59">
        <f t="shared" si="161"/>
        <v>1</v>
      </c>
      <c r="AA538" s="59">
        <f>IF('Updated Dummy'!Y538=2,1,0)</f>
        <v>0</v>
      </c>
      <c r="AB538" s="59">
        <f t="shared" si="162"/>
        <v>0</v>
      </c>
      <c r="AC538" s="59">
        <f t="shared" si="163"/>
        <v>0</v>
      </c>
      <c r="AD538" s="59">
        <f t="shared" si="164"/>
        <v>0</v>
      </c>
      <c r="AE538" s="59">
        <f t="shared" si="165"/>
        <v>0</v>
      </c>
      <c r="AF538" s="59">
        <f t="shared" si="166"/>
        <v>0</v>
      </c>
      <c r="AG538" s="59">
        <f t="shared" si="167"/>
        <v>0</v>
      </c>
      <c r="AH538" s="59">
        <v>1</v>
      </c>
      <c r="AI538" s="59">
        <v>1</v>
      </c>
      <c r="AJ538" s="59">
        <f t="shared" si="168"/>
        <v>1</v>
      </c>
      <c r="AK538" s="59">
        <f t="shared" si="169"/>
        <v>0</v>
      </c>
      <c r="AL538" s="59">
        <v>5405</v>
      </c>
      <c r="AM538" s="59">
        <v>11924</v>
      </c>
      <c r="AN538" s="59">
        <v>8</v>
      </c>
      <c r="AO538" s="59">
        <v>0</v>
      </c>
      <c r="AP538" s="59">
        <v>14</v>
      </c>
      <c r="AQ538" s="59">
        <v>3</v>
      </c>
      <c r="AR538" s="59">
        <v>4</v>
      </c>
      <c r="AS538" s="59">
        <v>80</v>
      </c>
      <c r="AT538" s="59">
        <v>0</v>
      </c>
      <c r="AU538" s="59">
        <v>10</v>
      </c>
      <c r="AV538" s="59">
        <v>1</v>
      </c>
      <c r="AW538" s="59">
        <v>3</v>
      </c>
      <c r="AX538" s="59">
        <v>2</v>
      </c>
      <c r="AY538" s="59">
        <v>2</v>
      </c>
      <c r="AZ538" s="59">
        <v>2</v>
      </c>
      <c r="BA538" s="59">
        <v>2</v>
      </c>
      <c r="BB538" s="57">
        <f t="shared" si="170"/>
        <v>10810</v>
      </c>
    </row>
    <row r="539" spans="1:54" x14ac:dyDescent="0.25">
      <c r="A539" s="58">
        <v>27</v>
      </c>
      <c r="B539" s="59">
        <v>0</v>
      </c>
      <c r="C539" s="59">
        <v>2</v>
      </c>
      <c r="D539" s="59">
        <f t="shared" si="152"/>
        <v>0</v>
      </c>
      <c r="E539" s="59">
        <f t="shared" si="153"/>
        <v>1</v>
      </c>
      <c r="F539" s="59">
        <v>294</v>
      </c>
      <c r="G539" s="59">
        <v>2</v>
      </c>
      <c r="H539" s="59">
        <f t="shared" si="154"/>
        <v>0</v>
      </c>
      <c r="I539" s="59">
        <f t="shared" si="155"/>
        <v>1</v>
      </c>
      <c r="J539" s="59">
        <v>10</v>
      </c>
      <c r="K539" s="59">
        <v>2</v>
      </c>
      <c r="L539" s="59">
        <v>1</v>
      </c>
      <c r="M539" s="59">
        <f t="shared" si="156"/>
        <v>1</v>
      </c>
      <c r="N539" s="59">
        <f t="shared" si="157"/>
        <v>0</v>
      </c>
      <c r="O539" s="59">
        <f t="shared" si="158"/>
        <v>0</v>
      </c>
      <c r="P539" s="59">
        <f t="shared" si="159"/>
        <v>0</v>
      </c>
      <c r="Q539" s="59">
        <f t="shared" si="160"/>
        <v>0</v>
      </c>
      <c r="R539" s="59">
        <v>1</v>
      </c>
      <c r="S539" s="59">
        <v>733</v>
      </c>
      <c r="T539" s="59">
        <v>4</v>
      </c>
      <c r="U539" s="59">
        <v>1</v>
      </c>
      <c r="V539" s="59">
        <v>32</v>
      </c>
      <c r="W539" s="59">
        <v>3</v>
      </c>
      <c r="X539" s="59">
        <v>3</v>
      </c>
      <c r="Y539" s="59">
        <v>4</v>
      </c>
      <c r="Z539" s="59">
        <f t="shared" si="161"/>
        <v>0</v>
      </c>
      <c r="AA539" s="59">
        <f>IF('Updated Dummy'!Y539=2,1,0)</f>
        <v>0</v>
      </c>
      <c r="AB539" s="59">
        <f t="shared" si="162"/>
        <v>0</v>
      </c>
      <c r="AC539" s="59">
        <f t="shared" si="163"/>
        <v>1</v>
      </c>
      <c r="AD539" s="59">
        <f t="shared" si="164"/>
        <v>0</v>
      </c>
      <c r="AE539" s="59">
        <f t="shared" si="165"/>
        <v>0</v>
      </c>
      <c r="AF539" s="59">
        <f t="shared" si="166"/>
        <v>0</v>
      </c>
      <c r="AG539" s="59">
        <f t="shared" si="167"/>
        <v>0</v>
      </c>
      <c r="AH539" s="59">
        <v>1</v>
      </c>
      <c r="AI539" s="59">
        <v>3</v>
      </c>
      <c r="AJ539" s="59">
        <f t="shared" si="168"/>
        <v>0</v>
      </c>
      <c r="AK539" s="59">
        <f t="shared" si="169"/>
        <v>0</v>
      </c>
      <c r="AL539" s="59">
        <v>8793</v>
      </c>
      <c r="AM539" s="59">
        <v>4809</v>
      </c>
      <c r="AN539" s="59">
        <v>1</v>
      </c>
      <c r="AO539" s="59">
        <v>0</v>
      </c>
      <c r="AP539" s="59">
        <v>21</v>
      </c>
      <c r="AQ539" s="59">
        <v>4</v>
      </c>
      <c r="AR539" s="59">
        <v>3</v>
      </c>
      <c r="AS539" s="59">
        <v>80</v>
      </c>
      <c r="AT539" s="59">
        <v>2</v>
      </c>
      <c r="AU539" s="59">
        <v>9</v>
      </c>
      <c r="AV539" s="59">
        <v>4</v>
      </c>
      <c r="AW539" s="59">
        <v>2</v>
      </c>
      <c r="AX539" s="59">
        <v>9</v>
      </c>
      <c r="AY539" s="59">
        <v>7</v>
      </c>
      <c r="AZ539" s="59">
        <v>1</v>
      </c>
      <c r="BA539" s="59">
        <v>7</v>
      </c>
      <c r="BB539" s="57">
        <f t="shared" si="170"/>
        <v>26379</v>
      </c>
    </row>
    <row r="540" spans="1:54" x14ac:dyDescent="0.25">
      <c r="A540" s="58">
        <v>41</v>
      </c>
      <c r="B540" s="59">
        <v>0</v>
      </c>
      <c r="C540" s="59">
        <v>1</v>
      </c>
      <c r="D540" s="59">
        <f t="shared" si="152"/>
        <v>1</v>
      </c>
      <c r="E540" s="59">
        <f t="shared" si="153"/>
        <v>0</v>
      </c>
      <c r="F540" s="59">
        <v>314</v>
      </c>
      <c r="G540" s="59">
        <v>3</v>
      </c>
      <c r="H540" s="59">
        <f t="shared" si="154"/>
        <v>0</v>
      </c>
      <c r="I540" s="59">
        <f t="shared" si="155"/>
        <v>0</v>
      </c>
      <c r="J540" s="59">
        <v>1</v>
      </c>
      <c r="K540" s="59">
        <v>3</v>
      </c>
      <c r="L540" s="59">
        <v>2</v>
      </c>
      <c r="M540" s="59">
        <f t="shared" si="156"/>
        <v>0</v>
      </c>
      <c r="N540" s="59">
        <f t="shared" si="157"/>
        <v>1</v>
      </c>
      <c r="O540" s="59">
        <f t="shared" si="158"/>
        <v>0</v>
      </c>
      <c r="P540" s="59">
        <f t="shared" si="159"/>
        <v>0</v>
      </c>
      <c r="Q540" s="59">
        <f t="shared" si="160"/>
        <v>0</v>
      </c>
      <c r="R540" s="59">
        <v>1</v>
      </c>
      <c r="S540" s="59">
        <v>734</v>
      </c>
      <c r="T540" s="59">
        <v>4</v>
      </c>
      <c r="U540" s="59">
        <v>1</v>
      </c>
      <c r="V540" s="59">
        <v>59</v>
      </c>
      <c r="W540" s="59">
        <v>2</v>
      </c>
      <c r="X540" s="59">
        <v>5</v>
      </c>
      <c r="Y540" s="59">
        <v>6</v>
      </c>
      <c r="Z540" s="59">
        <f t="shared" si="161"/>
        <v>0</v>
      </c>
      <c r="AA540" s="59">
        <f>IF('Updated Dummy'!Y540=2,1,0)</f>
        <v>0</v>
      </c>
      <c r="AB540" s="59">
        <f t="shared" si="162"/>
        <v>0</v>
      </c>
      <c r="AC540" s="59">
        <f t="shared" si="163"/>
        <v>0</v>
      </c>
      <c r="AD540" s="59">
        <f t="shared" si="164"/>
        <v>0</v>
      </c>
      <c r="AE540" s="59">
        <f t="shared" si="165"/>
        <v>1</v>
      </c>
      <c r="AF540" s="59">
        <f t="shared" si="166"/>
        <v>0</v>
      </c>
      <c r="AG540" s="59">
        <f t="shared" si="167"/>
        <v>0</v>
      </c>
      <c r="AH540" s="59">
        <v>3</v>
      </c>
      <c r="AI540" s="59">
        <v>2</v>
      </c>
      <c r="AJ540" s="59">
        <f t="shared" si="168"/>
        <v>0</v>
      </c>
      <c r="AK540" s="59">
        <f t="shared" si="169"/>
        <v>1</v>
      </c>
      <c r="AL540" s="59">
        <v>19189</v>
      </c>
      <c r="AM540" s="59">
        <v>19562</v>
      </c>
      <c r="AN540" s="59">
        <v>1</v>
      </c>
      <c r="AO540" s="59">
        <v>0</v>
      </c>
      <c r="AP540" s="59">
        <v>12</v>
      </c>
      <c r="AQ540" s="59">
        <v>3</v>
      </c>
      <c r="AR540" s="59">
        <v>2</v>
      </c>
      <c r="AS540" s="59">
        <v>80</v>
      </c>
      <c r="AT540" s="59">
        <v>1</v>
      </c>
      <c r="AU540" s="59">
        <v>22</v>
      </c>
      <c r="AV540" s="59">
        <v>3</v>
      </c>
      <c r="AW540" s="59">
        <v>3</v>
      </c>
      <c r="AX540" s="59">
        <v>22</v>
      </c>
      <c r="AY540" s="59">
        <v>7</v>
      </c>
      <c r="AZ540" s="59">
        <v>2</v>
      </c>
      <c r="BA540" s="59">
        <v>10</v>
      </c>
      <c r="BB540" s="57">
        <f t="shared" si="170"/>
        <v>95945</v>
      </c>
    </row>
    <row r="541" spans="1:54" x14ac:dyDescent="0.25">
      <c r="A541" s="58">
        <v>50</v>
      </c>
      <c r="B541" s="59">
        <v>0</v>
      </c>
      <c r="C541" s="59">
        <v>1</v>
      </c>
      <c r="D541" s="59">
        <f t="shared" si="152"/>
        <v>1</v>
      </c>
      <c r="E541" s="59">
        <f t="shared" si="153"/>
        <v>0</v>
      </c>
      <c r="F541" s="59">
        <v>316</v>
      </c>
      <c r="G541" s="59">
        <v>1</v>
      </c>
      <c r="H541" s="59">
        <f t="shared" si="154"/>
        <v>1</v>
      </c>
      <c r="I541" s="59">
        <f t="shared" si="155"/>
        <v>0</v>
      </c>
      <c r="J541" s="59">
        <v>8</v>
      </c>
      <c r="K541" s="59">
        <v>4</v>
      </c>
      <c r="L541" s="59">
        <v>4</v>
      </c>
      <c r="M541" s="59">
        <f t="shared" si="156"/>
        <v>0</v>
      </c>
      <c r="N541" s="59">
        <f t="shared" si="157"/>
        <v>0</v>
      </c>
      <c r="O541" s="59">
        <f t="shared" si="158"/>
        <v>0</v>
      </c>
      <c r="P541" s="59">
        <f t="shared" si="159"/>
        <v>1</v>
      </c>
      <c r="Q541" s="59">
        <f t="shared" si="160"/>
        <v>0</v>
      </c>
      <c r="R541" s="59">
        <v>1</v>
      </c>
      <c r="S541" s="59">
        <v>738</v>
      </c>
      <c r="T541" s="59">
        <v>4</v>
      </c>
      <c r="U541" s="59">
        <v>1</v>
      </c>
      <c r="V541" s="59">
        <v>54</v>
      </c>
      <c r="W541" s="59">
        <v>3</v>
      </c>
      <c r="X541" s="59">
        <v>1</v>
      </c>
      <c r="Y541" s="59">
        <v>7</v>
      </c>
      <c r="Z541" s="59">
        <f t="shared" si="161"/>
        <v>0</v>
      </c>
      <c r="AA541" s="59">
        <f>IF('Updated Dummy'!Y541=2,1,0)</f>
        <v>0</v>
      </c>
      <c r="AB541" s="59">
        <f t="shared" si="162"/>
        <v>0</v>
      </c>
      <c r="AC541" s="59">
        <f t="shared" si="163"/>
        <v>0</v>
      </c>
      <c r="AD541" s="59">
        <f t="shared" si="164"/>
        <v>0</v>
      </c>
      <c r="AE541" s="59">
        <f t="shared" si="165"/>
        <v>0</v>
      </c>
      <c r="AF541" s="59">
        <f t="shared" si="166"/>
        <v>1</v>
      </c>
      <c r="AG541" s="59">
        <f t="shared" si="167"/>
        <v>0</v>
      </c>
      <c r="AH541" s="59">
        <v>2</v>
      </c>
      <c r="AI541" s="59">
        <v>2</v>
      </c>
      <c r="AJ541" s="59">
        <f t="shared" si="168"/>
        <v>0</v>
      </c>
      <c r="AK541" s="59">
        <f t="shared" si="169"/>
        <v>1</v>
      </c>
      <c r="AL541" s="59">
        <v>3875</v>
      </c>
      <c r="AM541" s="59">
        <v>9983</v>
      </c>
      <c r="AN541" s="59">
        <v>7</v>
      </c>
      <c r="AO541" s="59">
        <v>0</v>
      </c>
      <c r="AP541" s="59">
        <v>15</v>
      </c>
      <c r="AQ541" s="59">
        <v>3</v>
      </c>
      <c r="AR541" s="59">
        <v>4</v>
      </c>
      <c r="AS541" s="59">
        <v>80</v>
      </c>
      <c r="AT541" s="59">
        <v>1</v>
      </c>
      <c r="AU541" s="59">
        <v>4</v>
      </c>
      <c r="AV541" s="59">
        <v>2</v>
      </c>
      <c r="AW541" s="59">
        <v>3</v>
      </c>
      <c r="AX541" s="59">
        <v>2</v>
      </c>
      <c r="AY541" s="59">
        <v>2</v>
      </c>
      <c r="AZ541" s="59">
        <v>2</v>
      </c>
      <c r="BA541" s="59">
        <v>2</v>
      </c>
      <c r="BB541" s="57">
        <f t="shared" si="170"/>
        <v>3875</v>
      </c>
    </row>
    <row r="542" spans="1:54" x14ac:dyDescent="0.25">
      <c r="A542" s="58">
        <v>28</v>
      </c>
      <c r="B542" s="59">
        <v>1</v>
      </c>
      <c r="C542" s="59">
        <v>1</v>
      </c>
      <c r="D542" s="59">
        <f t="shared" si="152"/>
        <v>1</v>
      </c>
      <c r="E542" s="59">
        <f t="shared" si="153"/>
        <v>0</v>
      </c>
      <c r="F542" s="59">
        <v>654</v>
      </c>
      <c r="G542" s="59">
        <v>2</v>
      </c>
      <c r="H542" s="59">
        <f t="shared" si="154"/>
        <v>0</v>
      </c>
      <c r="I542" s="59">
        <f t="shared" si="155"/>
        <v>1</v>
      </c>
      <c r="J542" s="59">
        <v>1</v>
      </c>
      <c r="K542" s="59">
        <v>2</v>
      </c>
      <c r="L542" s="59">
        <v>1</v>
      </c>
      <c r="M542" s="59">
        <f t="shared" si="156"/>
        <v>1</v>
      </c>
      <c r="N542" s="59">
        <f t="shared" si="157"/>
        <v>0</v>
      </c>
      <c r="O542" s="59">
        <f t="shared" si="158"/>
        <v>0</v>
      </c>
      <c r="P542" s="59">
        <f t="shared" si="159"/>
        <v>0</v>
      </c>
      <c r="Q542" s="59">
        <f t="shared" si="160"/>
        <v>0</v>
      </c>
      <c r="R542" s="59">
        <v>1</v>
      </c>
      <c r="S542" s="59">
        <v>741</v>
      </c>
      <c r="T542" s="59">
        <v>1</v>
      </c>
      <c r="U542" s="59">
        <v>0</v>
      </c>
      <c r="V542" s="59">
        <v>67</v>
      </c>
      <c r="W542" s="59">
        <v>1</v>
      </c>
      <c r="X542" s="59">
        <v>1</v>
      </c>
      <c r="Y542" s="59">
        <v>2</v>
      </c>
      <c r="Z542" s="59">
        <f t="shared" si="161"/>
        <v>0</v>
      </c>
      <c r="AA542" s="59">
        <f>IF('Updated Dummy'!Y542=2,1,0)</f>
        <v>1</v>
      </c>
      <c r="AB542" s="59">
        <f t="shared" si="162"/>
        <v>0</v>
      </c>
      <c r="AC542" s="59">
        <f t="shared" si="163"/>
        <v>0</v>
      </c>
      <c r="AD542" s="59">
        <f t="shared" si="164"/>
        <v>0</v>
      </c>
      <c r="AE542" s="59">
        <f t="shared" si="165"/>
        <v>0</v>
      </c>
      <c r="AF542" s="59">
        <f t="shared" si="166"/>
        <v>0</v>
      </c>
      <c r="AG542" s="59">
        <f t="shared" si="167"/>
        <v>0</v>
      </c>
      <c r="AH542" s="59">
        <v>2</v>
      </c>
      <c r="AI542" s="59">
        <v>1</v>
      </c>
      <c r="AJ542" s="59">
        <f t="shared" si="168"/>
        <v>1</v>
      </c>
      <c r="AK542" s="59">
        <f t="shared" si="169"/>
        <v>0</v>
      </c>
      <c r="AL542" s="59">
        <v>2216</v>
      </c>
      <c r="AM542" s="59">
        <v>3872</v>
      </c>
      <c r="AN542" s="59">
        <v>7</v>
      </c>
      <c r="AO542" s="59">
        <v>1</v>
      </c>
      <c r="AP542" s="59">
        <v>13</v>
      </c>
      <c r="AQ542" s="59">
        <v>3</v>
      </c>
      <c r="AR542" s="59">
        <v>4</v>
      </c>
      <c r="AS542" s="59">
        <v>80</v>
      </c>
      <c r="AT542" s="59">
        <v>0</v>
      </c>
      <c r="AU542" s="59">
        <v>10</v>
      </c>
      <c r="AV542" s="59">
        <v>4</v>
      </c>
      <c r="AW542" s="59">
        <v>3</v>
      </c>
      <c r="AX542" s="59">
        <v>7</v>
      </c>
      <c r="AY542" s="59">
        <v>7</v>
      </c>
      <c r="AZ542" s="59">
        <v>3</v>
      </c>
      <c r="BA542" s="59">
        <v>7</v>
      </c>
      <c r="BB542" s="57">
        <f t="shared" si="170"/>
        <v>2216</v>
      </c>
    </row>
    <row r="543" spans="1:54" x14ac:dyDescent="0.25">
      <c r="A543" s="58">
        <v>36</v>
      </c>
      <c r="B543" s="59">
        <v>0</v>
      </c>
      <c r="C543" s="59">
        <v>3</v>
      </c>
      <c r="D543" s="59">
        <f t="shared" si="152"/>
        <v>0</v>
      </c>
      <c r="E543" s="59">
        <f t="shared" si="153"/>
        <v>0</v>
      </c>
      <c r="F543" s="59">
        <v>427</v>
      </c>
      <c r="G543" s="59">
        <v>2</v>
      </c>
      <c r="H543" s="59">
        <f t="shared" si="154"/>
        <v>0</v>
      </c>
      <c r="I543" s="59">
        <f t="shared" si="155"/>
        <v>1</v>
      </c>
      <c r="J543" s="59">
        <v>8</v>
      </c>
      <c r="K543" s="59">
        <v>3</v>
      </c>
      <c r="L543" s="59">
        <v>1</v>
      </c>
      <c r="M543" s="59">
        <f t="shared" si="156"/>
        <v>1</v>
      </c>
      <c r="N543" s="59">
        <f t="shared" si="157"/>
        <v>0</v>
      </c>
      <c r="O543" s="59">
        <f t="shared" si="158"/>
        <v>0</v>
      </c>
      <c r="P543" s="59">
        <f t="shared" si="159"/>
        <v>0</v>
      </c>
      <c r="Q543" s="59">
        <f t="shared" si="160"/>
        <v>0</v>
      </c>
      <c r="R543" s="59">
        <v>1</v>
      </c>
      <c r="S543" s="59">
        <v>742</v>
      </c>
      <c r="T543" s="59">
        <v>1</v>
      </c>
      <c r="U543" s="59">
        <v>0</v>
      </c>
      <c r="V543" s="59">
        <v>63</v>
      </c>
      <c r="W543" s="59">
        <v>4</v>
      </c>
      <c r="X543" s="59">
        <v>3</v>
      </c>
      <c r="Y543" s="59">
        <v>8</v>
      </c>
      <c r="Z543" s="59">
        <f t="shared" si="161"/>
        <v>0</v>
      </c>
      <c r="AA543" s="59">
        <f>IF('Updated Dummy'!Y543=2,1,0)</f>
        <v>0</v>
      </c>
      <c r="AB543" s="59">
        <f t="shared" si="162"/>
        <v>0</v>
      </c>
      <c r="AC543" s="59">
        <f t="shared" si="163"/>
        <v>0</v>
      </c>
      <c r="AD543" s="59">
        <f t="shared" si="164"/>
        <v>0</v>
      </c>
      <c r="AE543" s="59">
        <f t="shared" si="165"/>
        <v>0</v>
      </c>
      <c r="AF543" s="59">
        <f t="shared" si="166"/>
        <v>0</v>
      </c>
      <c r="AG543" s="59">
        <f t="shared" si="167"/>
        <v>1</v>
      </c>
      <c r="AH543" s="59">
        <v>1</v>
      </c>
      <c r="AI543" s="59">
        <v>2</v>
      </c>
      <c r="AJ543" s="59">
        <f t="shared" si="168"/>
        <v>0</v>
      </c>
      <c r="AK543" s="59">
        <f t="shared" si="169"/>
        <v>1</v>
      </c>
      <c r="AL543" s="59">
        <v>11713</v>
      </c>
      <c r="AM543" s="59">
        <v>20335</v>
      </c>
      <c r="AN543" s="59">
        <v>9</v>
      </c>
      <c r="AO543" s="59">
        <v>0</v>
      </c>
      <c r="AP543" s="59">
        <v>14</v>
      </c>
      <c r="AQ543" s="59">
        <v>3</v>
      </c>
      <c r="AR543" s="59">
        <v>1</v>
      </c>
      <c r="AS543" s="59">
        <v>80</v>
      </c>
      <c r="AT543" s="59">
        <v>1</v>
      </c>
      <c r="AU543" s="59">
        <v>10</v>
      </c>
      <c r="AV543" s="59">
        <v>2</v>
      </c>
      <c r="AW543" s="59">
        <v>3</v>
      </c>
      <c r="AX543" s="59">
        <v>8</v>
      </c>
      <c r="AY543" s="59">
        <v>7</v>
      </c>
      <c r="AZ543" s="59">
        <v>0</v>
      </c>
      <c r="BA543" s="59">
        <v>5</v>
      </c>
      <c r="BB543" s="57">
        <f t="shared" si="170"/>
        <v>35139</v>
      </c>
    </row>
    <row r="544" spans="1:54" x14ac:dyDescent="0.25">
      <c r="A544" s="58">
        <v>38</v>
      </c>
      <c r="B544" s="59">
        <v>0</v>
      </c>
      <c r="C544" s="59">
        <v>1</v>
      </c>
      <c r="D544" s="59">
        <f t="shared" si="152"/>
        <v>1</v>
      </c>
      <c r="E544" s="59">
        <f t="shared" si="153"/>
        <v>0</v>
      </c>
      <c r="F544" s="59">
        <v>168</v>
      </c>
      <c r="G544" s="59">
        <v>2</v>
      </c>
      <c r="H544" s="59">
        <f t="shared" si="154"/>
        <v>0</v>
      </c>
      <c r="I544" s="59">
        <f t="shared" si="155"/>
        <v>1</v>
      </c>
      <c r="J544" s="59">
        <v>1</v>
      </c>
      <c r="K544" s="59">
        <v>3</v>
      </c>
      <c r="L544" s="59">
        <v>1</v>
      </c>
      <c r="M544" s="59">
        <f t="shared" si="156"/>
        <v>1</v>
      </c>
      <c r="N544" s="59">
        <f t="shared" si="157"/>
        <v>0</v>
      </c>
      <c r="O544" s="59">
        <f t="shared" si="158"/>
        <v>0</v>
      </c>
      <c r="P544" s="59">
        <f t="shared" si="159"/>
        <v>0</v>
      </c>
      <c r="Q544" s="59">
        <f t="shared" si="160"/>
        <v>0</v>
      </c>
      <c r="R544" s="59">
        <v>1</v>
      </c>
      <c r="S544" s="59">
        <v>743</v>
      </c>
      <c r="T544" s="59">
        <v>3</v>
      </c>
      <c r="U544" s="59">
        <v>0</v>
      </c>
      <c r="V544" s="59">
        <v>81</v>
      </c>
      <c r="W544" s="59">
        <v>3</v>
      </c>
      <c r="X544" s="59">
        <v>3</v>
      </c>
      <c r="Y544" s="59">
        <v>4</v>
      </c>
      <c r="Z544" s="59">
        <f t="shared" si="161"/>
        <v>0</v>
      </c>
      <c r="AA544" s="59">
        <f>IF('Updated Dummy'!Y544=2,1,0)</f>
        <v>0</v>
      </c>
      <c r="AB544" s="59">
        <f t="shared" si="162"/>
        <v>0</v>
      </c>
      <c r="AC544" s="59">
        <f t="shared" si="163"/>
        <v>1</v>
      </c>
      <c r="AD544" s="59">
        <f t="shared" si="164"/>
        <v>0</v>
      </c>
      <c r="AE544" s="59">
        <f t="shared" si="165"/>
        <v>0</v>
      </c>
      <c r="AF544" s="59">
        <f t="shared" si="166"/>
        <v>0</v>
      </c>
      <c r="AG544" s="59">
        <f t="shared" si="167"/>
        <v>0</v>
      </c>
      <c r="AH544" s="59">
        <v>3</v>
      </c>
      <c r="AI544" s="59">
        <v>1</v>
      </c>
      <c r="AJ544" s="59">
        <f t="shared" si="168"/>
        <v>1</v>
      </c>
      <c r="AK544" s="59">
        <f t="shared" si="169"/>
        <v>0</v>
      </c>
      <c r="AL544" s="59">
        <v>7861</v>
      </c>
      <c r="AM544" s="59">
        <v>15397</v>
      </c>
      <c r="AN544" s="59">
        <v>4</v>
      </c>
      <c r="AO544" s="59">
        <v>1</v>
      </c>
      <c r="AP544" s="59">
        <v>14</v>
      </c>
      <c r="AQ544" s="59">
        <v>3</v>
      </c>
      <c r="AR544" s="59">
        <v>4</v>
      </c>
      <c r="AS544" s="59">
        <v>80</v>
      </c>
      <c r="AT544" s="59">
        <v>0</v>
      </c>
      <c r="AU544" s="59">
        <v>10</v>
      </c>
      <c r="AV544" s="59">
        <v>4</v>
      </c>
      <c r="AW544" s="59">
        <v>4</v>
      </c>
      <c r="AX544" s="59">
        <v>1</v>
      </c>
      <c r="AY544" s="59">
        <v>0</v>
      </c>
      <c r="AZ544" s="59">
        <v>0</v>
      </c>
      <c r="BA544" s="59">
        <v>0</v>
      </c>
      <c r="BB544" s="57">
        <f t="shared" si="170"/>
        <v>23583</v>
      </c>
    </row>
    <row r="545" spans="1:54" x14ac:dyDescent="0.25">
      <c r="A545" s="58">
        <v>44</v>
      </c>
      <c r="B545" s="59">
        <v>0</v>
      </c>
      <c r="C545" s="59">
        <v>3</v>
      </c>
      <c r="D545" s="59">
        <f t="shared" si="152"/>
        <v>0</v>
      </c>
      <c r="E545" s="59">
        <f t="shared" si="153"/>
        <v>0</v>
      </c>
      <c r="F545" s="59">
        <v>381</v>
      </c>
      <c r="G545" s="59">
        <v>2</v>
      </c>
      <c r="H545" s="59">
        <f t="shared" si="154"/>
        <v>0</v>
      </c>
      <c r="I545" s="59">
        <f t="shared" si="155"/>
        <v>1</v>
      </c>
      <c r="J545" s="59">
        <v>24</v>
      </c>
      <c r="K545" s="59">
        <v>3</v>
      </c>
      <c r="L545" s="59">
        <v>3</v>
      </c>
      <c r="M545" s="59">
        <f t="shared" si="156"/>
        <v>0</v>
      </c>
      <c r="N545" s="59">
        <f t="shared" si="157"/>
        <v>0</v>
      </c>
      <c r="O545" s="59">
        <f t="shared" si="158"/>
        <v>1</v>
      </c>
      <c r="P545" s="59">
        <f t="shared" si="159"/>
        <v>0</v>
      </c>
      <c r="Q545" s="59">
        <f t="shared" si="160"/>
        <v>0</v>
      </c>
      <c r="R545" s="59">
        <v>1</v>
      </c>
      <c r="S545" s="59">
        <v>744</v>
      </c>
      <c r="T545" s="59">
        <v>1</v>
      </c>
      <c r="U545" s="59">
        <v>1</v>
      </c>
      <c r="V545" s="59">
        <v>49</v>
      </c>
      <c r="W545" s="59">
        <v>1</v>
      </c>
      <c r="X545" s="59">
        <v>1</v>
      </c>
      <c r="Y545" s="59">
        <v>3</v>
      </c>
      <c r="Z545" s="59">
        <f t="shared" si="161"/>
        <v>0</v>
      </c>
      <c r="AA545" s="59">
        <f>IF('Updated Dummy'!Y545=2,1,0)</f>
        <v>0</v>
      </c>
      <c r="AB545" s="59">
        <f t="shared" si="162"/>
        <v>1</v>
      </c>
      <c r="AC545" s="59">
        <f t="shared" si="163"/>
        <v>0</v>
      </c>
      <c r="AD545" s="59">
        <f t="shared" si="164"/>
        <v>0</v>
      </c>
      <c r="AE545" s="59">
        <f t="shared" si="165"/>
        <v>0</v>
      </c>
      <c r="AF545" s="59">
        <f t="shared" si="166"/>
        <v>0</v>
      </c>
      <c r="AG545" s="59">
        <f t="shared" si="167"/>
        <v>0</v>
      </c>
      <c r="AH545" s="59">
        <v>3</v>
      </c>
      <c r="AI545" s="59">
        <v>1</v>
      </c>
      <c r="AJ545" s="59">
        <f t="shared" si="168"/>
        <v>1</v>
      </c>
      <c r="AK545" s="59">
        <f t="shared" si="169"/>
        <v>0</v>
      </c>
      <c r="AL545" s="59">
        <v>3708</v>
      </c>
      <c r="AM545" s="59">
        <v>2104</v>
      </c>
      <c r="AN545" s="59">
        <v>2</v>
      </c>
      <c r="AO545" s="59">
        <v>0</v>
      </c>
      <c r="AP545" s="59">
        <v>14</v>
      </c>
      <c r="AQ545" s="59">
        <v>3</v>
      </c>
      <c r="AR545" s="59">
        <v>3</v>
      </c>
      <c r="AS545" s="59">
        <v>80</v>
      </c>
      <c r="AT545" s="59">
        <v>0</v>
      </c>
      <c r="AU545" s="59">
        <v>9</v>
      </c>
      <c r="AV545" s="59">
        <v>5</v>
      </c>
      <c r="AW545" s="59">
        <v>3</v>
      </c>
      <c r="AX545" s="59">
        <v>5</v>
      </c>
      <c r="AY545" s="59">
        <v>2</v>
      </c>
      <c r="AZ545" s="59">
        <v>1</v>
      </c>
      <c r="BA545" s="59">
        <v>4</v>
      </c>
      <c r="BB545" s="57">
        <f t="shared" si="170"/>
        <v>3708</v>
      </c>
    </row>
    <row r="546" spans="1:54" x14ac:dyDescent="0.25">
      <c r="A546" s="58">
        <v>47</v>
      </c>
      <c r="B546" s="59">
        <v>0</v>
      </c>
      <c r="C546" s="59">
        <v>2</v>
      </c>
      <c r="D546" s="59">
        <f t="shared" si="152"/>
        <v>0</v>
      </c>
      <c r="E546" s="59">
        <f t="shared" si="153"/>
        <v>1</v>
      </c>
      <c r="F546" s="59">
        <v>217</v>
      </c>
      <c r="G546" s="59">
        <v>1</v>
      </c>
      <c r="H546" s="59">
        <f t="shared" si="154"/>
        <v>1</v>
      </c>
      <c r="I546" s="59">
        <f t="shared" si="155"/>
        <v>0</v>
      </c>
      <c r="J546" s="59">
        <v>3</v>
      </c>
      <c r="K546" s="59">
        <v>3</v>
      </c>
      <c r="L546" s="59">
        <v>3</v>
      </c>
      <c r="M546" s="59">
        <f t="shared" si="156"/>
        <v>0</v>
      </c>
      <c r="N546" s="59">
        <f t="shared" si="157"/>
        <v>0</v>
      </c>
      <c r="O546" s="59">
        <f t="shared" si="158"/>
        <v>1</v>
      </c>
      <c r="P546" s="59">
        <f t="shared" si="159"/>
        <v>0</v>
      </c>
      <c r="Q546" s="59">
        <f t="shared" si="160"/>
        <v>0</v>
      </c>
      <c r="R546" s="59">
        <v>1</v>
      </c>
      <c r="S546" s="59">
        <v>746</v>
      </c>
      <c r="T546" s="59">
        <v>4</v>
      </c>
      <c r="U546" s="59">
        <v>0</v>
      </c>
      <c r="V546" s="59">
        <v>49</v>
      </c>
      <c r="W546" s="59">
        <v>3</v>
      </c>
      <c r="X546" s="59">
        <v>4</v>
      </c>
      <c r="Y546" s="59">
        <v>1</v>
      </c>
      <c r="Z546" s="59">
        <f t="shared" si="161"/>
        <v>1</v>
      </c>
      <c r="AA546" s="59">
        <f>IF('Updated Dummy'!Y546=2,1,0)</f>
        <v>0</v>
      </c>
      <c r="AB546" s="59">
        <f t="shared" si="162"/>
        <v>0</v>
      </c>
      <c r="AC546" s="59">
        <f t="shared" si="163"/>
        <v>0</v>
      </c>
      <c r="AD546" s="59">
        <f t="shared" si="164"/>
        <v>0</v>
      </c>
      <c r="AE546" s="59">
        <f t="shared" si="165"/>
        <v>0</v>
      </c>
      <c r="AF546" s="59">
        <f t="shared" si="166"/>
        <v>0</v>
      </c>
      <c r="AG546" s="59">
        <f t="shared" si="167"/>
        <v>0</v>
      </c>
      <c r="AH546" s="59">
        <v>3</v>
      </c>
      <c r="AI546" s="59">
        <v>3</v>
      </c>
      <c r="AJ546" s="59">
        <f t="shared" si="168"/>
        <v>0</v>
      </c>
      <c r="AK546" s="59">
        <f t="shared" si="169"/>
        <v>0</v>
      </c>
      <c r="AL546" s="59">
        <v>13770</v>
      </c>
      <c r="AM546" s="59">
        <v>10225</v>
      </c>
      <c r="AN546" s="59">
        <v>9</v>
      </c>
      <c r="AO546" s="59">
        <v>1</v>
      </c>
      <c r="AP546" s="59">
        <v>12</v>
      </c>
      <c r="AQ546" s="59">
        <v>3</v>
      </c>
      <c r="AR546" s="59">
        <v>4</v>
      </c>
      <c r="AS546" s="59">
        <v>80</v>
      </c>
      <c r="AT546" s="59">
        <v>2</v>
      </c>
      <c r="AU546" s="59">
        <v>28</v>
      </c>
      <c r="AV546" s="59">
        <v>2</v>
      </c>
      <c r="AW546" s="59">
        <v>2</v>
      </c>
      <c r="AX546" s="59">
        <v>22</v>
      </c>
      <c r="AY546" s="59">
        <v>2</v>
      </c>
      <c r="AZ546" s="59">
        <v>11</v>
      </c>
      <c r="BA546" s="59">
        <v>13</v>
      </c>
      <c r="BB546" s="57">
        <f t="shared" si="170"/>
        <v>55080</v>
      </c>
    </row>
    <row r="547" spans="1:54" x14ac:dyDescent="0.25">
      <c r="A547" s="58">
        <v>30</v>
      </c>
      <c r="B547" s="59">
        <v>0</v>
      </c>
      <c r="C547" s="59">
        <v>1</v>
      </c>
      <c r="D547" s="59">
        <f t="shared" si="152"/>
        <v>1</v>
      </c>
      <c r="E547" s="59">
        <f t="shared" si="153"/>
        <v>0</v>
      </c>
      <c r="F547" s="59">
        <v>501</v>
      </c>
      <c r="G547" s="59">
        <v>1</v>
      </c>
      <c r="H547" s="59">
        <f t="shared" si="154"/>
        <v>1</v>
      </c>
      <c r="I547" s="59">
        <f t="shared" si="155"/>
        <v>0</v>
      </c>
      <c r="J547" s="59">
        <v>27</v>
      </c>
      <c r="K547" s="59">
        <v>5</v>
      </c>
      <c r="L547" s="59">
        <v>4</v>
      </c>
      <c r="M547" s="59">
        <f t="shared" si="156"/>
        <v>0</v>
      </c>
      <c r="N547" s="59">
        <f t="shared" si="157"/>
        <v>0</v>
      </c>
      <c r="O547" s="59">
        <f t="shared" si="158"/>
        <v>0</v>
      </c>
      <c r="P547" s="59">
        <f t="shared" si="159"/>
        <v>1</v>
      </c>
      <c r="Q547" s="59">
        <f t="shared" si="160"/>
        <v>0</v>
      </c>
      <c r="R547" s="59">
        <v>1</v>
      </c>
      <c r="S547" s="59">
        <v>747</v>
      </c>
      <c r="T547" s="59">
        <v>3</v>
      </c>
      <c r="U547" s="59">
        <v>1</v>
      </c>
      <c r="V547" s="59">
        <v>99</v>
      </c>
      <c r="W547" s="59">
        <v>3</v>
      </c>
      <c r="X547" s="59">
        <v>2</v>
      </c>
      <c r="Y547" s="59">
        <v>1</v>
      </c>
      <c r="Z547" s="59">
        <f t="shared" si="161"/>
        <v>1</v>
      </c>
      <c r="AA547" s="59">
        <f>IF('Updated Dummy'!Y547=2,1,0)</f>
        <v>0</v>
      </c>
      <c r="AB547" s="59">
        <f t="shared" si="162"/>
        <v>0</v>
      </c>
      <c r="AC547" s="59">
        <f t="shared" si="163"/>
        <v>0</v>
      </c>
      <c r="AD547" s="59">
        <f t="shared" si="164"/>
        <v>0</v>
      </c>
      <c r="AE547" s="59">
        <f t="shared" si="165"/>
        <v>0</v>
      </c>
      <c r="AF547" s="59">
        <f t="shared" si="166"/>
        <v>0</v>
      </c>
      <c r="AG547" s="59">
        <f t="shared" si="167"/>
        <v>0</v>
      </c>
      <c r="AH547" s="59">
        <v>4</v>
      </c>
      <c r="AI547" s="59">
        <v>3</v>
      </c>
      <c r="AJ547" s="59">
        <f t="shared" si="168"/>
        <v>0</v>
      </c>
      <c r="AK547" s="59">
        <f t="shared" si="169"/>
        <v>0</v>
      </c>
      <c r="AL547" s="59">
        <v>5304</v>
      </c>
      <c r="AM547" s="59">
        <v>25275</v>
      </c>
      <c r="AN547" s="59">
        <v>7</v>
      </c>
      <c r="AO547" s="59">
        <v>0</v>
      </c>
      <c r="AP547" s="59">
        <v>23</v>
      </c>
      <c r="AQ547" s="59">
        <v>4</v>
      </c>
      <c r="AR547" s="59">
        <v>4</v>
      </c>
      <c r="AS547" s="59">
        <v>80</v>
      </c>
      <c r="AT547" s="59">
        <v>1</v>
      </c>
      <c r="AU547" s="59">
        <v>10</v>
      </c>
      <c r="AV547" s="59">
        <v>2</v>
      </c>
      <c r="AW547" s="59">
        <v>2</v>
      </c>
      <c r="AX547" s="59">
        <v>8</v>
      </c>
      <c r="AY547" s="59">
        <v>7</v>
      </c>
      <c r="AZ547" s="59">
        <v>7</v>
      </c>
      <c r="BA547" s="59">
        <v>7</v>
      </c>
      <c r="BB547" s="57">
        <f t="shared" si="170"/>
        <v>10608</v>
      </c>
    </row>
    <row r="548" spans="1:54" x14ac:dyDescent="0.25">
      <c r="A548" s="58">
        <v>29</v>
      </c>
      <c r="B548" s="59">
        <v>0</v>
      </c>
      <c r="C548" s="59">
        <v>1</v>
      </c>
      <c r="D548" s="59">
        <f t="shared" si="152"/>
        <v>1</v>
      </c>
      <c r="E548" s="59">
        <f t="shared" si="153"/>
        <v>0</v>
      </c>
      <c r="F548" s="59">
        <v>1396</v>
      </c>
      <c r="G548" s="59">
        <v>1</v>
      </c>
      <c r="H548" s="59">
        <f t="shared" si="154"/>
        <v>1</v>
      </c>
      <c r="I548" s="59">
        <f t="shared" si="155"/>
        <v>0</v>
      </c>
      <c r="J548" s="59">
        <v>10</v>
      </c>
      <c r="K548" s="59">
        <v>3</v>
      </c>
      <c r="L548" s="59">
        <v>1</v>
      </c>
      <c r="M548" s="59">
        <f t="shared" si="156"/>
        <v>1</v>
      </c>
      <c r="N548" s="59">
        <f t="shared" si="157"/>
        <v>0</v>
      </c>
      <c r="O548" s="59">
        <f t="shared" si="158"/>
        <v>0</v>
      </c>
      <c r="P548" s="59">
        <f t="shared" si="159"/>
        <v>0</v>
      </c>
      <c r="Q548" s="59">
        <f t="shared" si="160"/>
        <v>0</v>
      </c>
      <c r="R548" s="59">
        <v>1</v>
      </c>
      <c r="S548" s="59">
        <v>749</v>
      </c>
      <c r="T548" s="59">
        <v>3</v>
      </c>
      <c r="U548" s="59">
        <v>1</v>
      </c>
      <c r="V548" s="59">
        <v>99</v>
      </c>
      <c r="W548" s="59">
        <v>3</v>
      </c>
      <c r="X548" s="59">
        <v>1</v>
      </c>
      <c r="Y548" s="59">
        <v>7</v>
      </c>
      <c r="Z548" s="59">
        <f t="shared" si="161"/>
        <v>0</v>
      </c>
      <c r="AA548" s="59">
        <f>IF('Updated Dummy'!Y548=2,1,0)</f>
        <v>0</v>
      </c>
      <c r="AB548" s="59">
        <f t="shared" si="162"/>
        <v>0</v>
      </c>
      <c r="AC548" s="59">
        <f t="shared" si="163"/>
        <v>0</v>
      </c>
      <c r="AD548" s="59">
        <f t="shared" si="164"/>
        <v>0</v>
      </c>
      <c r="AE548" s="59">
        <f t="shared" si="165"/>
        <v>0</v>
      </c>
      <c r="AF548" s="59">
        <f t="shared" si="166"/>
        <v>1</v>
      </c>
      <c r="AG548" s="59">
        <f t="shared" si="167"/>
        <v>0</v>
      </c>
      <c r="AH548" s="59">
        <v>3</v>
      </c>
      <c r="AI548" s="59">
        <v>1</v>
      </c>
      <c r="AJ548" s="59">
        <f t="shared" si="168"/>
        <v>1</v>
      </c>
      <c r="AK548" s="59">
        <f t="shared" si="169"/>
        <v>0</v>
      </c>
      <c r="AL548" s="59">
        <v>2642</v>
      </c>
      <c r="AM548" s="59">
        <v>2755</v>
      </c>
      <c r="AN548" s="59">
        <v>1</v>
      </c>
      <c r="AO548" s="59">
        <v>0</v>
      </c>
      <c r="AP548" s="59">
        <v>11</v>
      </c>
      <c r="AQ548" s="59">
        <v>3</v>
      </c>
      <c r="AR548" s="59">
        <v>3</v>
      </c>
      <c r="AS548" s="59">
        <v>80</v>
      </c>
      <c r="AT548" s="59">
        <v>0</v>
      </c>
      <c r="AU548" s="59">
        <v>1</v>
      </c>
      <c r="AV548" s="59">
        <v>6</v>
      </c>
      <c r="AW548" s="59">
        <v>3</v>
      </c>
      <c r="AX548" s="59">
        <v>1</v>
      </c>
      <c r="AY548" s="59">
        <v>0</v>
      </c>
      <c r="AZ548" s="59">
        <v>0</v>
      </c>
      <c r="BA548" s="59">
        <v>0</v>
      </c>
      <c r="BB548" s="57">
        <f t="shared" si="170"/>
        <v>2642</v>
      </c>
    </row>
    <row r="549" spans="1:54" x14ac:dyDescent="0.25">
      <c r="A549" s="58">
        <v>42</v>
      </c>
      <c r="B549" s="59">
        <v>1</v>
      </c>
      <c r="C549" s="59">
        <v>2</v>
      </c>
      <c r="D549" s="59">
        <f t="shared" si="152"/>
        <v>0</v>
      </c>
      <c r="E549" s="59">
        <f t="shared" si="153"/>
        <v>1</v>
      </c>
      <c r="F549" s="59">
        <v>933</v>
      </c>
      <c r="G549" s="59">
        <v>2</v>
      </c>
      <c r="H549" s="59">
        <f t="shared" si="154"/>
        <v>0</v>
      </c>
      <c r="I549" s="59">
        <f t="shared" si="155"/>
        <v>1</v>
      </c>
      <c r="J549" s="59">
        <v>19</v>
      </c>
      <c r="K549" s="59">
        <v>3</v>
      </c>
      <c r="L549" s="59">
        <v>3</v>
      </c>
      <c r="M549" s="59">
        <f t="shared" si="156"/>
        <v>0</v>
      </c>
      <c r="N549" s="59">
        <f t="shared" si="157"/>
        <v>0</v>
      </c>
      <c r="O549" s="59">
        <f t="shared" si="158"/>
        <v>1</v>
      </c>
      <c r="P549" s="59">
        <f t="shared" si="159"/>
        <v>0</v>
      </c>
      <c r="Q549" s="59">
        <f t="shared" si="160"/>
        <v>0</v>
      </c>
      <c r="R549" s="59">
        <v>1</v>
      </c>
      <c r="S549" s="59">
        <v>752</v>
      </c>
      <c r="T549" s="59">
        <v>3</v>
      </c>
      <c r="U549" s="59">
        <v>1</v>
      </c>
      <c r="V549" s="59">
        <v>57</v>
      </c>
      <c r="W549" s="59">
        <v>4</v>
      </c>
      <c r="X549" s="59">
        <v>1</v>
      </c>
      <c r="Y549" s="59">
        <v>2</v>
      </c>
      <c r="Z549" s="59">
        <f t="shared" si="161"/>
        <v>0</v>
      </c>
      <c r="AA549" s="59">
        <f>IF('Updated Dummy'!Y549=2,1,0)</f>
        <v>1</v>
      </c>
      <c r="AB549" s="59">
        <f t="shared" si="162"/>
        <v>0</v>
      </c>
      <c r="AC549" s="59">
        <f t="shared" si="163"/>
        <v>0</v>
      </c>
      <c r="AD549" s="59">
        <f t="shared" si="164"/>
        <v>0</v>
      </c>
      <c r="AE549" s="59">
        <f t="shared" si="165"/>
        <v>0</v>
      </c>
      <c r="AF549" s="59">
        <f t="shared" si="166"/>
        <v>0</v>
      </c>
      <c r="AG549" s="59">
        <f t="shared" si="167"/>
        <v>0</v>
      </c>
      <c r="AH549" s="59">
        <v>3</v>
      </c>
      <c r="AI549" s="59">
        <v>3</v>
      </c>
      <c r="AJ549" s="59">
        <f t="shared" si="168"/>
        <v>0</v>
      </c>
      <c r="AK549" s="59">
        <f t="shared" si="169"/>
        <v>0</v>
      </c>
      <c r="AL549" s="59">
        <v>2759</v>
      </c>
      <c r="AM549" s="59">
        <v>20366</v>
      </c>
      <c r="AN549" s="59">
        <v>6</v>
      </c>
      <c r="AO549" s="59">
        <v>1</v>
      </c>
      <c r="AP549" s="59">
        <v>12</v>
      </c>
      <c r="AQ549" s="59">
        <v>3</v>
      </c>
      <c r="AR549" s="59">
        <v>4</v>
      </c>
      <c r="AS549" s="59">
        <v>80</v>
      </c>
      <c r="AT549" s="59">
        <v>0</v>
      </c>
      <c r="AU549" s="59">
        <v>7</v>
      </c>
      <c r="AV549" s="59">
        <v>2</v>
      </c>
      <c r="AW549" s="59">
        <v>3</v>
      </c>
      <c r="AX549" s="59">
        <v>2</v>
      </c>
      <c r="AY549" s="59">
        <v>2</v>
      </c>
      <c r="AZ549" s="59">
        <v>2</v>
      </c>
      <c r="BA549" s="59">
        <v>2</v>
      </c>
      <c r="BB549" s="57">
        <f t="shared" si="170"/>
        <v>2759</v>
      </c>
    </row>
    <row r="550" spans="1:54" x14ac:dyDescent="0.25">
      <c r="A550" s="58">
        <v>43</v>
      </c>
      <c r="B550" s="59">
        <v>0</v>
      </c>
      <c r="C550" s="59">
        <v>2</v>
      </c>
      <c r="D550" s="59">
        <f t="shared" si="152"/>
        <v>0</v>
      </c>
      <c r="E550" s="59">
        <f t="shared" si="153"/>
        <v>1</v>
      </c>
      <c r="F550" s="59">
        <v>775</v>
      </c>
      <c r="G550" s="59">
        <v>1</v>
      </c>
      <c r="H550" s="59">
        <f t="shared" si="154"/>
        <v>1</v>
      </c>
      <c r="I550" s="59">
        <f t="shared" si="155"/>
        <v>0</v>
      </c>
      <c r="J550" s="59">
        <v>15</v>
      </c>
      <c r="K550" s="59">
        <v>3</v>
      </c>
      <c r="L550" s="59">
        <v>1</v>
      </c>
      <c r="M550" s="59">
        <f t="shared" si="156"/>
        <v>1</v>
      </c>
      <c r="N550" s="59">
        <f t="shared" si="157"/>
        <v>0</v>
      </c>
      <c r="O550" s="59">
        <f t="shared" si="158"/>
        <v>0</v>
      </c>
      <c r="P550" s="59">
        <f t="shared" si="159"/>
        <v>0</v>
      </c>
      <c r="Q550" s="59">
        <f t="shared" si="160"/>
        <v>0</v>
      </c>
      <c r="R550" s="59">
        <v>1</v>
      </c>
      <c r="S550" s="59">
        <v>754</v>
      </c>
      <c r="T550" s="59">
        <v>4</v>
      </c>
      <c r="U550" s="59">
        <v>1</v>
      </c>
      <c r="V550" s="59">
        <v>47</v>
      </c>
      <c r="W550" s="59">
        <v>2</v>
      </c>
      <c r="X550" s="59">
        <v>2</v>
      </c>
      <c r="Y550" s="59">
        <v>1</v>
      </c>
      <c r="Z550" s="59">
        <f t="shared" si="161"/>
        <v>1</v>
      </c>
      <c r="AA550" s="59">
        <f>IF('Updated Dummy'!Y550=2,1,0)</f>
        <v>0</v>
      </c>
      <c r="AB550" s="59">
        <f t="shared" si="162"/>
        <v>0</v>
      </c>
      <c r="AC550" s="59">
        <f t="shared" si="163"/>
        <v>0</v>
      </c>
      <c r="AD550" s="59">
        <f t="shared" si="164"/>
        <v>0</v>
      </c>
      <c r="AE550" s="59">
        <f t="shared" si="165"/>
        <v>0</v>
      </c>
      <c r="AF550" s="59">
        <f t="shared" si="166"/>
        <v>0</v>
      </c>
      <c r="AG550" s="59">
        <f t="shared" si="167"/>
        <v>0</v>
      </c>
      <c r="AH550" s="59">
        <v>4</v>
      </c>
      <c r="AI550" s="59">
        <v>2</v>
      </c>
      <c r="AJ550" s="59">
        <f t="shared" si="168"/>
        <v>0</v>
      </c>
      <c r="AK550" s="59">
        <f t="shared" si="169"/>
        <v>1</v>
      </c>
      <c r="AL550" s="59">
        <v>6804</v>
      </c>
      <c r="AM550" s="59">
        <v>23683</v>
      </c>
      <c r="AN550" s="59">
        <v>3</v>
      </c>
      <c r="AO550" s="59">
        <v>0</v>
      </c>
      <c r="AP550" s="59">
        <v>18</v>
      </c>
      <c r="AQ550" s="59">
        <v>3</v>
      </c>
      <c r="AR550" s="59">
        <v>3</v>
      </c>
      <c r="AS550" s="59">
        <v>80</v>
      </c>
      <c r="AT550" s="59">
        <v>1</v>
      </c>
      <c r="AU550" s="59">
        <v>7</v>
      </c>
      <c r="AV550" s="59">
        <v>5</v>
      </c>
      <c r="AW550" s="59">
        <v>3</v>
      </c>
      <c r="AX550" s="59">
        <v>2</v>
      </c>
      <c r="AY550" s="59">
        <v>2</v>
      </c>
      <c r="AZ550" s="59">
        <v>2</v>
      </c>
      <c r="BA550" s="59">
        <v>2</v>
      </c>
      <c r="BB550" s="57">
        <f t="shared" si="170"/>
        <v>13608</v>
      </c>
    </row>
    <row r="551" spans="1:54" x14ac:dyDescent="0.25">
      <c r="A551" s="58">
        <v>34</v>
      </c>
      <c r="B551" s="59">
        <v>0</v>
      </c>
      <c r="C551" s="59">
        <v>1</v>
      </c>
      <c r="D551" s="59">
        <f t="shared" si="152"/>
        <v>1</v>
      </c>
      <c r="E551" s="59">
        <f t="shared" si="153"/>
        <v>0</v>
      </c>
      <c r="F551" s="59">
        <v>970</v>
      </c>
      <c r="G551" s="59">
        <v>2</v>
      </c>
      <c r="H551" s="59">
        <f t="shared" si="154"/>
        <v>0</v>
      </c>
      <c r="I551" s="59">
        <f t="shared" si="155"/>
        <v>1</v>
      </c>
      <c r="J551" s="59">
        <v>8</v>
      </c>
      <c r="K551" s="59">
        <v>2</v>
      </c>
      <c r="L551" s="59">
        <v>3</v>
      </c>
      <c r="M551" s="59">
        <f t="shared" si="156"/>
        <v>0</v>
      </c>
      <c r="N551" s="59">
        <f t="shared" si="157"/>
        <v>0</v>
      </c>
      <c r="O551" s="59">
        <f t="shared" si="158"/>
        <v>1</v>
      </c>
      <c r="P551" s="59">
        <f t="shared" si="159"/>
        <v>0</v>
      </c>
      <c r="Q551" s="59">
        <f t="shared" si="160"/>
        <v>0</v>
      </c>
      <c r="R551" s="59">
        <v>1</v>
      </c>
      <c r="S551" s="59">
        <v>757</v>
      </c>
      <c r="T551" s="59">
        <v>2</v>
      </c>
      <c r="U551" s="59">
        <v>0</v>
      </c>
      <c r="V551" s="59">
        <v>96</v>
      </c>
      <c r="W551" s="59">
        <v>3</v>
      </c>
      <c r="X551" s="59">
        <v>2</v>
      </c>
      <c r="Y551" s="59">
        <v>5</v>
      </c>
      <c r="Z551" s="59">
        <f t="shared" si="161"/>
        <v>0</v>
      </c>
      <c r="AA551" s="59">
        <f>IF('Updated Dummy'!Y551=2,1,0)</f>
        <v>0</v>
      </c>
      <c r="AB551" s="59">
        <f t="shared" si="162"/>
        <v>0</v>
      </c>
      <c r="AC551" s="59">
        <f t="shared" si="163"/>
        <v>0</v>
      </c>
      <c r="AD551" s="59">
        <f t="shared" si="164"/>
        <v>1</v>
      </c>
      <c r="AE551" s="59">
        <f t="shared" si="165"/>
        <v>0</v>
      </c>
      <c r="AF551" s="59">
        <f t="shared" si="166"/>
        <v>0</v>
      </c>
      <c r="AG551" s="59">
        <f t="shared" si="167"/>
        <v>0</v>
      </c>
      <c r="AH551" s="59">
        <v>3</v>
      </c>
      <c r="AI551" s="59">
        <v>1</v>
      </c>
      <c r="AJ551" s="59">
        <f t="shared" si="168"/>
        <v>1</v>
      </c>
      <c r="AK551" s="59">
        <f t="shared" si="169"/>
        <v>0</v>
      </c>
      <c r="AL551" s="59">
        <v>6142</v>
      </c>
      <c r="AM551" s="59">
        <v>7360</v>
      </c>
      <c r="AN551" s="59">
        <v>3</v>
      </c>
      <c r="AO551" s="59">
        <v>0</v>
      </c>
      <c r="AP551" s="59">
        <v>11</v>
      </c>
      <c r="AQ551" s="59">
        <v>3</v>
      </c>
      <c r="AR551" s="59">
        <v>4</v>
      </c>
      <c r="AS551" s="59">
        <v>80</v>
      </c>
      <c r="AT551" s="59">
        <v>0</v>
      </c>
      <c r="AU551" s="59">
        <v>10</v>
      </c>
      <c r="AV551" s="59">
        <v>2</v>
      </c>
      <c r="AW551" s="59">
        <v>3</v>
      </c>
      <c r="AX551" s="59">
        <v>5</v>
      </c>
      <c r="AY551" s="59">
        <v>1</v>
      </c>
      <c r="AZ551" s="59">
        <v>4</v>
      </c>
      <c r="BA551" s="59">
        <v>3</v>
      </c>
      <c r="BB551" s="57">
        <f t="shared" si="170"/>
        <v>12284</v>
      </c>
    </row>
    <row r="552" spans="1:54" x14ac:dyDescent="0.25">
      <c r="A552" s="58">
        <v>23</v>
      </c>
      <c r="B552" s="59">
        <v>0</v>
      </c>
      <c r="C552" s="59">
        <v>1</v>
      </c>
      <c r="D552" s="59">
        <f t="shared" si="152"/>
        <v>1</v>
      </c>
      <c r="E552" s="59">
        <f t="shared" si="153"/>
        <v>0</v>
      </c>
      <c r="F552" s="59">
        <v>650</v>
      </c>
      <c r="G552" s="59">
        <v>2</v>
      </c>
      <c r="H552" s="59">
        <f t="shared" si="154"/>
        <v>0</v>
      </c>
      <c r="I552" s="59">
        <f t="shared" si="155"/>
        <v>1</v>
      </c>
      <c r="J552" s="59">
        <v>9</v>
      </c>
      <c r="K552" s="59">
        <v>1</v>
      </c>
      <c r="L552" s="59">
        <v>3</v>
      </c>
      <c r="M552" s="59">
        <f t="shared" si="156"/>
        <v>0</v>
      </c>
      <c r="N552" s="59">
        <f t="shared" si="157"/>
        <v>0</v>
      </c>
      <c r="O552" s="59">
        <f t="shared" si="158"/>
        <v>1</v>
      </c>
      <c r="P552" s="59">
        <f t="shared" si="159"/>
        <v>0</v>
      </c>
      <c r="Q552" s="59">
        <f t="shared" si="160"/>
        <v>0</v>
      </c>
      <c r="R552" s="59">
        <v>1</v>
      </c>
      <c r="S552" s="59">
        <v>758</v>
      </c>
      <c r="T552" s="59">
        <v>2</v>
      </c>
      <c r="U552" s="59">
        <v>1</v>
      </c>
      <c r="V552" s="59">
        <v>37</v>
      </c>
      <c r="W552" s="59">
        <v>3</v>
      </c>
      <c r="X552" s="59">
        <v>1</v>
      </c>
      <c r="Y552" s="59">
        <v>3</v>
      </c>
      <c r="Z552" s="59">
        <f t="shared" si="161"/>
        <v>0</v>
      </c>
      <c r="AA552" s="59">
        <f>IF('Updated Dummy'!Y552=2,1,0)</f>
        <v>0</v>
      </c>
      <c r="AB552" s="59">
        <f t="shared" si="162"/>
        <v>1</v>
      </c>
      <c r="AC552" s="59">
        <f t="shared" si="163"/>
        <v>0</v>
      </c>
      <c r="AD552" s="59">
        <f t="shared" si="164"/>
        <v>0</v>
      </c>
      <c r="AE552" s="59">
        <f t="shared" si="165"/>
        <v>0</v>
      </c>
      <c r="AF552" s="59">
        <f t="shared" si="166"/>
        <v>0</v>
      </c>
      <c r="AG552" s="59">
        <f t="shared" si="167"/>
        <v>0</v>
      </c>
      <c r="AH552" s="59">
        <v>1</v>
      </c>
      <c r="AI552" s="59">
        <v>2</v>
      </c>
      <c r="AJ552" s="59">
        <f t="shared" si="168"/>
        <v>0</v>
      </c>
      <c r="AK552" s="59">
        <f t="shared" si="169"/>
        <v>1</v>
      </c>
      <c r="AL552" s="59">
        <v>2500</v>
      </c>
      <c r="AM552" s="59">
        <v>4344</v>
      </c>
      <c r="AN552" s="59">
        <v>1</v>
      </c>
      <c r="AO552" s="59">
        <v>0</v>
      </c>
      <c r="AP552" s="59">
        <v>14</v>
      </c>
      <c r="AQ552" s="59">
        <v>3</v>
      </c>
      <c r="AR552" s="59">
        <v>4</v>
      </c>
      <c r="AS552" s="59">
        <v>80</v>
      </c>
      <c r="AT552" s="59">
        <v>1</v>
      </c>
      <c r="AU552" s="59">
        <v>5</v>
      </c>
      <c r="AV552" s="59">
        <v>2</v>
      </c>
      <c r="AW552" s="59">
        <v>4</v>
      </c>
      <c r="AX552" s="59">
        <v>4</v>
      </c>
      <c r="AY552" s="59">
        <v>3</v>
      </c>
      <c r="AZ552" s="59">
        <v>0</v>
      </c>
      <c r="BA552" s="59">
        <v>2</v>
      </c>
      <c r="BB552" s="57">
        <f t="shared" si="170"/>
        <v>2500</v>
      </c>
    </row>
    <row r="553" spans="1:54" x14ac:dyDescent="0.25">
      <c r="A553" s="58">
        <v>39</v>
      </c>
      <c r="B553" s="59">
        <v>0</v>
      </c>
      <c r="C553" s="59">
        <v>1</v>
      </c>
      <c r="D553" s="59">
        <f t="shared" si="152"/>
        <v>1</v>
      </c>
      <c r="E553" s="59">
        <f t="shared" si="153"/>
        <v>0</v>
      </c>
      <c r="F553" s="59">
        <v>141</v>
      </c>
      <c r="G553" s="59">
        <v>3</v>
      </c>
      <c r="H553" s="59">
        <f t="shared" si="154"/>
        <v>0</v>
      </c>
      <c r="I553" s="59">
        <f t="shared" si="155"/>
        <v>0</v>
      </c>
      <c r="J553" s="59">
        <v>3</v>
      </c>
      <c r="K553" s="59">
        <v>3</v>
      </c>
      <c r="L553" s="59">
        <v>2</v>
      </c>
      <c r="M553" s="59">
        <f t="shared" si="156"/>
        <v>0</v>
      </c>
      <c r="N553" s="59">
        <f t="shared" si="157"/>
        <v>1</v>
      </c>
      <c r="O553" s="59">
        <f t="shared" si="158"/>
        <v>0</v>
      </c>
      <c r="P553" s="59">
        <f t="shared" si="159"/>
        <v>0</v>
      </c>
      <c r="Q553" s="59">
        <f t="shared" si="160"/>
        <v>0</v>
      </c>
      <c r="R553" s="59">
        <v>1</v>
      </c>
      <c r="S553" s="59">
        <v>760</v>
      </c>
      <c r="T553" s="59">
        <v>3</v>
      </c>
      <c r="U553" s="59">
        <v>0</v>
      </c>
      <c r="V553" s="59">
        <v>44</v>
      </c>
      <c r="W553" s="59">
        <v>4</v>
      </c>
      <c r="X553" s="59">
        <v>2</v>
      </c>
      <c r="Y553" s="59">
        <v>9</v>
      </c>
      <c r="Z553" s="59">
        <f t="shared" si="161"/>
        <v>0</v>
      </c>
      <c r="AA553" s="59">
        <f>IF('Updated Dummy'!Y553=2,1,0)</f>
        <v>0</v>
      </c>
      <c r="AB553" s="59">
        <f t="shared" si="162"/>
        <v>0</v>
      </c>
      <c r="AC553" s="59">
        <f t="shared" si="163"/>
        <v>0</v>
      </c>
      <c r="AD553" s="59">
        <f t="shared" si="164"/>
        <v>0</v>
      </c>
      <c r="AE553" s="59">
        <f t="shared" si="165"/>
        <v>0</v>
      </c>
      <c r="AF553" s="59">
        <f t="shared" si="166"/>
        <v>0</v>
      </c>
      <c r="AG553" s="59">
        <f t="shared" si="167"/>
        <v>0</v>
      </c>
      <c r="AH553" s="59">
        <v>2</v>
      </c>
      <c r="AI553" s="59">
        <v>2</v>
      </c>
      <c r="AJ553" s="59">
        <f t="shared" si="168"/>
        <v>0</v>
      </c>
      <c r="AK553" s="59">
        <f t="shared" si="169"/>
        <v>1</v>
      </c>
      <c r="AL553" s="59">
        <v>6389</v>
      </c>
      <c r="AM553" s="59">
        <v>18767</v>
      </c>
      <c r="AN553" s="59">
        <v>9</v>
      </c>
      <c r="AO553" s="59">
        <v>0</v>
      </c>
      <c r="AP553" s="59">
        <v>15</v>
      </c>
      <c r="AQ553" s="59">
        <v>3</v>
      </c>
      <c r="AR553" s="59">
        <v>3</v>
      </c>
      <c r="AS553" s="59">
        <v>80</v>
      </c>
      <c r="AT553" s="59">
        <v>1</v>
      </c>
      <c r="AU553" s="59">
        <v>12</v>
      </c>
      <c r="AV553" s="59">
        <v>3</v>
      </c>
      <c r="AW553" s="59">
        <v>1</v>
      </c>
      <c r="AX553" s="59">
        <v>8</v>
      </c>
      <c r="AY553" s="59">
        <v>3</v>
      </c>
      <c r="AZ553" s="59">
        <v>3</v>
      </c>
      <c r="BA553" s="59">
        <v>6</v>
      </c>
      <c r="BB553" s="57">
        <f t="shared" si="170"/>
        <v>12778</v>
      </c>
    </row>
    <row r="554" spans="1:54" x14ac:dyDescent="0.25">
      <c r="A554" s="58">
        <v>56</v>
      </c>
      <c r="B554" s="59">
        <v>0</v>
      </c>
      <c r="C554" s="59">
        <v>1</v>
      </c>
      <c r="D554" s="59">
        <f t="shared" si="152"/>
        <v>1</v>
      </c>
      <c r="E554" s="59">
        <f t="shared" si="153"/>
        <v>0</v>
      </c>
      <c r="F554" s="59">
        <v>832</v>
      </c>
      <c r="G554" s="59">
        <v>2</v>
      </c>
      <c r="H554" s="59">
        <f t="shared" si="154"/>
        <v>0</v>
      </c>
      <c r="I554" s="59">
        <f t="shared" si="155"/>
        <v>1</v>
      </c>
      <c r="J554" s="59">
        <v>9</v>
      </c>
      <c r="K554" s="59">
        <v>3</v>
      </c>
      <c r="L554" s="59">
        <v>3</v>
      </c>
      <c r="M554" s="59">
        <f t="shared" si="156"/>
        <v>0</v>
      </c>
      <c r="N554" s="59">
        <f t="shared" si="157"/>
        <v>0</v>
      </c>
      <c r="O554" s="59">
        <f t="shared" si="158"/>
        <v>1</v>
      </c>
      <c r="P554" s="59">
        <f t="shared" si="159"/>
        <v>0</v>
      </c>
      <c r="Q554" s="59">
        <f t="shared" si="160"/>
        <v>0</v>
      </c>
      <c r="R554" s="59">
        <v>1</v>
      </c>
      <c r="S554" s="59">
        <v>762</v>
      </c>
      <c r="T554" s="59">
        <v>3</v>
      </c>
      <c r="U554" s="59">
        <v>1</v>
      </c>
      <c r="V554" s="59">
        <v>81</v>
      </c>
      <c r="W554" s="59">
        <v>3</v>
      </c>
      <c r="X554" s="59">
        <v>4</v>
      </c>
      <c r="Y554" s="59">
        <v>5</v>
      </c>
      <c r="Z554" s="59">
        <f t="shared" si="161"/>
        <v>0</v>
      </c>
      <c r="AA554" s="59">
        <f>IF('Updated Dummy'!Y554=2,1,0)</f>
        <v>0</v>
      </c>
      <c r="AB554" s="59">
        <f t="shared" si="162"/>
        <v>0</v>
      </c>
      <c r="AC554" s="59">
        <f t="shared" si="163"/>
        <v>0</v>
      </c>
      <c r="AD554" s="59">
        <f t="shared" si="164"/>
        <v>1</v>
      </c>
      <c r="AE554" s="59">
        <f t="shared" si="165"/>
        <v>0</v>
      </c>
      <c r="AF554" s="59">
        <f t="shared" si="166"/>
        <v>0</v>
      </c>
      <c r="AG554" s="59">
        <f t="shared" si="167"/>
        <v>0</v>
      </c>
      <c r="AH554" s="59">
        <v>4</v>
      </c>
      <c r="AI554" s="59">
        <v>2</v>
      </c>
      <c r="AJ554" s="59">
        <f t="shared" si="168"/>
        <v>0</v>
      </c>
      <c r="AK554" s="59">
        <f t="shared" si="169"/>
        <v>1</v>
      </c>
      <c r="AL554" s="59">
        <v>11103</v>
      </c>
      <c r="AM554" s="59">
        <v>20420</v>
      </c>
      <c r="AN554" s="59">
        <v>7</v>
      </c>
      <c r="AO554" s="59">
        <v>0</v>
      </c>
      <c r="AP554" s="59">
        <v>11</v>
      </c>
      <c r="AQ554" s="59">
        <v>3</v>
      </c>
      <c r="AR554" s="59">
        <v>3</v>
      </c>
      <c r="AS554" s="59">
        <v>80</v>
      </c>
      <c r="AT554" s="59">
        <v>0</v>
      </c>
      <c r="AU554" s="59">
        <v>30</v>
      </c>
      <c r="AV554" s="59">
        <v>1</v>
      </c>
      <c r="AW554" s="59">
        <v>2</v>
      </c>
      <c r="AX554" s="59">
        <v>10</v>
      </c>
      <c r="AY554" s="59">
        <v>7</v>
      </c>
      <c r="AZ554" s="59">
        <v>1</v>
      </c>
      <c r="BA554" s="59">
        <v>1</v>
      </c>
      <c r="BB554" s="57">
        <f t="shared" si="170"/>
        <v>44412</v>
      </c>
    </row>
    <row r="555" spans="1:54" x14ac:dyDescent="0.25">
      <c r="A555" s="58">
        <v>40</v>
      </c>
      <c r="B555" s="59">
        <v>0</v>
      </c>
      <c r="C555" s="59">
        <v>1</v>
      </c>
      <c r="D555" s="59">
        <f t="shared" si="152"/>
        <v>1</v>
      </c>
      <c r="E555" s="59">
        <f t="shared" si="153"/>
        <v>0</v>
      </c>
      <c r="F555" s="59">
        <v>804</v>
      </c>
      <c r="G555" s="59">
        <v>2</v>
      </c>
      <c r="H555" s="59">
        <f t="shared" si="154"/>
        <v>0</v>
      </c>
      <c r="I555" s="59">
        <f t="shared" si="155"/>
        <v>1</v>
      </c>
      <c r="J555" s="59">
        <v>2</v>
      </c>
      <c r="K555" s="59">
        <v>1</v>
      </c>
      <c r="L555" s="59">
        <v>3</v>
      </c>
      <c r="M555" s="59">
        <f t="shared" si="156"/>
        <v>0</v>
      </c>
      <c r="N555" s="59">
        <f t="shared" si="157"/>
        <v>0</v>
      </c>
      <c r="O555" s="59">
        <f t="shared" si="158"/>
        <v>1</v>
      </c>
      <c r="P555" s="59">
        <f t="shared" si="159"/>
        <v>0</v>
      </c>
      <c r="Q555" s="59">
        <f t="shared" si="160"/>
        <v>0</v>
      </c>
      <c r="R555" s="59">
        <v>1</v>
      </c>
      <c r="S555" s="59">
        <v>763</v>
      </c>
      <c r="T555" s="59">
        <v>4</v>
      </c>
      <c r="U555" s="59">
        <v>0</v>
      </c>
      <c r="V555" s="59">
        <v>86</v>
      </c>
      <c r="W555" s="59">
        <v>2</v>
      </c>
      <c r="X555" s="59">
        <v>1</v>
      </c>
      <c r="Y555" s="59">
        <v>2</v>
      </c>
      <c r="Z555" s="59">
        <f t="shared" si="161"/>
        <v>0</v>
      </c>
      <c r="AA555" s="59">
        <f>IF('Updated Dummy'!Y555=2,1,0)</f>
        <v>1</v>
      </c>
      <c r="AB555" s="59">
        <f t="shared" si="162"/>
        <v>0</v>
      </c>
      <c r="AC555" s="59">
        <f t="shared" si="163"/>
        <v>0</v>
      </c>
      <c r="AD555" s="59">
        <f t="shared" si="164"/>
        <v>0</v>
      </c>
      <c r="AE555" s="59">
        <f t="shared" si="165"/>
        <v>0</v>
      </c>
      <c r="AF555" s="59">
        <f t="shared" si="166"/>
        <v>0</v>
      </c>
      <c r="AG555" s="59">
        <f t="shared" si="167"/>
        <v>0</v>
      </c>
      <c r="AH555" s="59">
        <v>4</v>
      </c>
      <c r="AI555" s="59">
        <v>1</v>
      </c>
      <c r="AJ555" s="59">
        <f t="shared" si="168"/>
        <v>1</v>
      </c>
      <c r="AK555" s="59">
        <f t="shared" si="169"/>
        <v>0</v>
      </c>
      <c r="AL555" s="59">
        <v>2342</v>
      </c>
      <c r="AM555" s="59">
        <v>22929</v>
      </c>
      <c r="AN555" s="59">
        <v>0</v>
      </c>
      <c r="AO555" s="59">
        <v>1</v>
      </c>
      <c r="AP555" s="59">
        <v>20</v>
      </c>
      <c r="AQ555" s="59">
        <v>4</v>
      </c>
      <c r="AR555" s="59">
        <v>4</v>
      </c>
      <c r="AS555" s="59">
        <v>80</v>
      </c>
      <c r="AT555" s="59">
        <v>0</v>
      </c>
      <c r="AU555" s="59">
        <v>5</v>
      </c>
      <c r="AV555" s="59">
        <v>2</v>
      </c>
      <c r="AW555" s="59">
        <v>2</v>
      </c>
      <c r="AX555" s="59">
        <v>4</v>
      </c>
      <c r="AY555" s="59">
        <v>2</v>
      </c>
      <c r="AZ555" s="59">
        <v>2</v>
      </c>
      <c r="BA555" s="59">
        <v>3</v>
      </c>
      <c r="BB555" s="57">
        <f t="shared" si="170"/>
        <v>2342</v>
      </c>
    </row>
    <row r="556" spans="1:54" x14ac:dyDescent="0.25">
      <c r="A556" s="58">
        <v>27</v>
      </c>
      <c r="B556" s="59">
        <v>0</v>
      </c>
      <c r="C556" s="59">
        <v>1</v>
      </c>
      <c r="D556" s="59">
        <f t="shared" si="152"/>
        <v>1</v>
      </c>
      <c r="E556" s="59">
        <f t="shared" si="153"/>
        <v>0</v>
      </c>
      <c r="F556" s="59">
        <v>975</v>
      </c>
      <c r="G556" s="59">
        <v>2</v>
      </c>
      <c r="H556" s="59">
        <f t="shared" si="154"/>
        <v>0</v>
      </c>
      <c r="I556" s="59">
        <f t="shared" si="155"/>
        <v>1</v>
      </c>
      <c r="J556" s="59">
        <v>7</v>
      </c>
      <c r="K556" s="59">
        <v>3</v>
      </c>
      <c r="L556" s="59">
        <v>3</v>
      </c>
      <c r="M556" s="59">
        <f t="shared" si="156"/>
        <v>0</v>
      </c>
      <c r="N556" s="59">
        <f t="shared" si="157"/>
        <v>0</v>
      </c>
      <c r="O556" s="59">
        <f t="shared" si="158"/>
        <v>1</v>
      </c>
      <c r="P556" s="59">
        <f t="shared" si="159"/>
        <v>0</v>
      </c>
      <c r="Q556" s="59">
        <f t="shared" si="160"/>
        <v>0</v>
      </c>
      <c r="R556" s="59">
        <v>1</v>
      </c>
      <c r="S556" s="59">
        <v>764</v>
      </c>
      <c r="T556" s="59">
        <v>4</v>
      </c>
      <c r="U556" s="59">
        <v>0</v>
      </c>
      <c r="V556" s="59">
        <v>55</v>
      </c>
      <c r="W556" s="59">
        <v>2</v>
      </c>
      <c r="X556" s="59">
        <v>2</v>
      </c>
      <c r="Y556" s="59">
        <v>5</v>
      </c>
      <c r="Z556" s="59">
        <f t="shared" si="161"/>
        <v>0</v>
      </c>
      <c r="AA556" s="59">
        <f>IF('Updated Dummy'!Y556=2,1,0)</f>
        <v>0</v>
      </c>
      <c r="AB556" s="59">
        <f t="shared" si="162"/>
        <v>0</v>
      </c>
      <c r="AC556" s="59">
        <f t="shared" si="163"/>
        <v>0</v>
      </c>
      <c r="AD556" s="59">
        <f t="shared" si="164"/>
        <v>1</v>
      </c>
      <c r="AE556" s="59">
        <f t="shared" si="165"/>
        <v>0</v>
      </c>
      <c r="AF556" s="59">
        <f t="shared" si="166"/>
        <v>0</v>
      </c>
      <c r="AG556" s="59">
        <f t="shared" si="167"/>
        <v>0</v>
      </c>
      <c r="AH556" s="59">
        <v>1</v>
      </c>
      <c r="AI556" s="59">
        <v>1</v>
      </c>
      <c r="AJ556" s="59">
        <f t="shared" si="168"/>
        <v>1</v>
      </c>
      <c r="AK556" s="59">
        <f t="shared" si="169"/>
        <v>0</v>
      </c>
      <c r="AL556" s="59">
        <v>6811</v>
      </c>
      <c r="AM556" s="59">
        <v>23398</v>
      </c>
      <c r="AN556" s="59">
        <v>8</v>
      </c>
      <c r="AO556" s="59">
        <v>0</v>
      </c>
      <c r="AP556" s="59">
        <v>19</v>
      </c>
      <c r="AQ556" s="59">
        <v>3</v>
      </c>
      <c r="AR556" s="59">
        <v>1</v>
      </c>
      <c r="AS556" s="59">
        <v>80</v>
      </c>
      <c r="AT556" s="59">
        <v>0</v>
      </c>
      <c r="AU556" s="59">
        <v>9</v>
      </c>
      <c r="AV556" s="59">
        <v>2</v>
      </c>
      <c r="AW556" s="59">
        <v>1</v>
      </c>
      <c r="AX556" s="59">
        <v>7</v>
      </c>
      <c r="AY556" s="59">
        <v>6</v>
      </c>
      <c r="AZ556" s="59">
        <v>0</v>
      </c>
      <c r="BA556" s="59">
        <v>7</v>
      </c>
      <c r="BB556" s="57">
        <f t="shared" si="170"/>
        <v>13622</v>
      </c>
    </row>
    <row r="557" spans="1:54" x14ac:dyDescent="0.25">
      <c r="A557" s="58">
        <v>29</v>
      </c>
      <c r="B557" s="59">
        <v>0</v>
      </c>
      <c r="C557" s="59">
        <v>1</v>
      </c>
      <c r="D557" s="59">
        <f t="shared" si="152"/>
        <v>1</v>
      </c>
      <c r="E557" s="59">
        <f t="shared" si="153"/>
        <v>0</v>
      </c>
      <c r="F557" s="59">
        <v>1090</v>
      </c>
      <c r="G557" s="59">
        <v>1</v>
      </c>
      <c r="H557" s="59">
        <f t="shared" si="154"/>
        <v>1</v>
      </c>
      <c r="I557" s="59">
        <f t="shared" si="155"/>
        <v>0</v>
      </c>
      <c r="J557" s="59">
        <v>10</v>
      </c>
      <c r="K557" s="59">
        <v>3</v>
      </c>
      <c r="L557" s="59">
        <v>4</v>
      </c>
      <c r="M557" s="59">
        <f t="shared" si="156"/>
        <v>0</v>
      </c>
      <c r="N557" s="59">
        <f t="shared" si="157"/>
        <v>0</v>
      </c>
      <c r="O557" s="59">
        <f t="shared" si="158"/>
        <v>0</v>
      </c>
      <c r="P557" s="59">
        <f t="shared" si="159"/>
        <v>1</v>
      </c>
      <c r="Q557" s="59">
        <f t="shared" si="160"/>
        <v>0</v>
      </c>
      <c r="R557" s="59">
        <v>1</v>
      </c>
      <c r="S557" s="59">
        <v>766</v>
      </c>
      <c r="T557" s="59">
        <v>4</v>
      </c>
      <c r="U557" s="59">
        <v>1</v>
      </c>
      <c r="V557" s="59">
        <v>83</v>
      </c>
      <c r="W557" s="59">
        <v>3</v>
      </c>
      <c r="X557" s="59">
        <v>1</v>
      </c>
      <c r="Y557" s="59">
        <v>7</v>
      </c>
      <c r="Z557" s="59">
        <f t="shared" si="161"/>
        <v>0</v>
      </c>
      <c r="AA557" s="59">
        <f>IF('Updated Dummy'!Y557=2,1,0)</f>
        <v>0</v>
      </c>
      <c r="AB557" s="59">
        <f t="shared" si="162"/>
        <v>0</v>
      </c>
      <c r="AC557" s="59">
        <f t="shared" si="163"/>
        <v>0</v>
      </c>
      <c r="AD557" s="59">
        <f t="shared" si="164"/>
        <v>0</v>
      </c>
      <c r="AE557" s="59">
        <f t="shared" si="165"/>
        <v>0</v>
      </c>
      <c r="AF557" s="59">
        <f t="shared" si="166"/>
        <v>1</v>
      </c>
      <c r="AG557" s="59">
        <f t="shared" si="167"/>
        <v>0</v>
      </c>
      <c r="AH557" s="59">
        <v>2</v>
      </c>
      <c r="AI557" s="59">
        <v>3</v>
      </c>
      <c r="AJ557" s="59">
        <f t="shared" si="168"/>
        <v>0</v>
      </c>
      <c r="AK557" s="59">
        <f t="shared" si="169"/>
        <v>0</v>
      </c>
      <c r="AL557" s="59">
        <v>2297</v>
      </c>
      <c r="AM557" s="59">
        <v>17967</v>
      </c>
      <c r="AN557" s="59">
        <v>1</v>
      </c>
      <c r="AO557" s="59">
        <v>0</v>
      </c>
      <c r="AP557" s="59">
        <v>14</v>
      </c>
      <c r="AQ557" s="59">
        <v>3</v>
      </c>
      <c r="AR557" s="59">
        <v>4</v>
      </c>
      <c r="AS557" s="59">
        <v>80</v>
      </c>
      <c r="AT557" s="59">
        <v>2</v>
      </c>
      <c r="AU557" s="59">
        <v>2</v>
      </c>
      <c r="AV557" s="59">
        <v>2</v>
      </c>
      <c r="AW557" s="59">
        <v>3</v>
      </c>
      <c r="AX557" s="59">
        <v>2</v>
      </c>
      <c r="AY557" s="59">
        <v>2</v>
      </c>
      <c r="AZ557" s="59">
        <v>2</v>
      </c>
      <c r="BA557" s="59">
        <v>2</v>
      </c>
      <c r="BB557" s="57">
        <f t="shared" si="170"/>
        <v>2297</v>
      </c>
    </row>
    <row r="558" spans="1:54" x14ac:dyDescent="0.25">
      <c r="A558" s="58">
        <v>53</v>
      </c>
      <c r="B558" s="59">
        <v>0</v>
      </c>
      <c r="C558" s="59">
        <v>1</v>
      </c>
      <c r="D558" s="59">
        <f t="shared" si="152"/>
        <v>1</v>
      </c>
      <c r="E558" s="59">
        <f t="shared" si="153"/>
        <v>0</v>
      </c>
      <c r="F558" s="59">
        <v>346</v>
      </c>
      <c r="G558" s="59">
        <v>2</v>
      </c>
      <c r="H558" s="59">
        <f t="shared" si="154"/>
        <v>0</v>
      </c>
      <c r="I558" s="59">
        <f t="shared" si="155"/>
        <v>1</v>
      </c>
      <c r="J558" s="59">
        <v>6</v>
      </c>
      <c r="K558" s="59">
        <v>3</v>
      </c>
      <c r="L558" s="59">
        <v>1</v>
      </c>
      <c r="M558" s="59">
        <f t="shared" si="156"/>
        <v>1</v>
      </c>
      <c r="N558" s="59">
        <f t="shared" si="157"/>
        <v>0</v>
      </c>
      <c r="O558" s="59">
        <f t="shared" si="158"/>
        <v>0</v>
      </c>
      <c r="P558" s="59">
        <f t="shared" si="159"/>
        <v>0</v>
      </c>
      <c r="Q558" s="59">
        <f t="shared" si="160"/>
        <v>0</v>
      </c>
      <c r="R558" s="59">
        <v>1</v>
      </c>
      <c r="S558" s="59">
        <v>769</v>
      </c>
      <c r="T558" s="59">
        <v>4</v>
      </c>
      <c r="U558" s="59">
        <v>1</v>
      </c>
      <c r="V558" s="59">
        <v>86</v>
      </c>
      <c r="W558" s="59">
        <v>3</v>
      </c>
      <c r="X558" s="59">
        <v>2</v>
      </c>
      <c r="Y558" s="59">
        <v>3</v>
      </c>
      <c r="Z558" s="59">
        <f t="shared" si="161"/>
        <v>0</v>
      </c>
      <c r="AA558" s="59">
        <f>IF('Updated Dummy'!Y558=2,1,0)</f>
        <v>0</v>
      </c>
      <c r="AB558" s="59">
        <f t="shared" si="162"/>
        <v>1</v>
      </c>
      <c r="AC558" s="59">
        <f t="shared" si="163"/>
        <v>0</v>
      </c>
      <c r="AD558" s="59">
        <f t="shared" si="164"/>
        <v>0</v>
      </c>
      <c r="AE558" s="59">
        <f t="shared" si="165"/>
        <v>0</v>
      </c>
      <c r="AF558" s="59">
        <f t="shared" si="166"/>
        <v>0</v>
      </c>
      <c r="AG558" s="59">
        <f t="shared" si="167"/>
        <v>0</v>
      </c>
      <c r="AH558" s="59">
        <v>4</v>
      </c>
      <c r="AI558" s="59">
        <v>1</v>
      </c>
      <c r="AJ558" s="59">
        <f t="shared" si="168"/>
        <v>1</v>
      </c>
      <c r="AK558" s="59">
        <f t="shared" si="169"/>
        <v>0</v>
      </c>
      <c r="AL558" s="59">
        <v>2450</v>
      </c>
      <c r="AM558" s="59">
        <v>10919</v>
      </c>
      <c r="AN558" s="59">
        <v>2</v>
      </c>
      <c r="AO558" s="59">
        <v>0</v>
      </c>
      <c r="AP558" s="59">
        <v>17</v>
      </c>
      <c r="AQ558" s="59">
        <v>3</v>
      </c>
      <c r="AR558" s="59">
        <v>4</v>
      </c>
      <c r="AS558" s="59">
        <v>80</v>
      </c>
      <c r="AT558" s="59">
        <v>0</v>
      </c>
      <c r="AU558" s="59">
        <v>19</v>
      </c>
      <c r="AV558" s="59">
        <v>4</v>
      </c>
      <c r="AW558" s="59">
        <v>3</v>
      </c>
      <c r="AX558" s="59">
        <v>2</v>
      </c>
      <c r="AY558" s="59">
        <v>2</v>
      </c>
      <c r="AZ558" s="59">
        <v>2</v>
      </c>
      <c r="BA558" s="59">
        <v>2</v>
      </c>
      <c r="BB558" s="57">
        <f t="shared" si="170"/>
        <v>4900</v>
      </c>
    </row>
    <row r="559" spans="1:54" x14ac:dyDescent="0.25">
      <c r="A559" s="58">
        <v>35</v>
      </c>
      <c r="B559" s="59">
        <v>0</v>
      </c>
      <c r="C559" s="59">
        <v>3</v>
      </c>
      <c r="D559" s="59">
        <f t="shared" si="152"/>
        <v>0</v>
      </c>
      <c r="E559" s="59">
        <f t="shared" si="153"/>
        <v>0</v>
      </c>
      <c r="F559" s="59">
        <v>1225</v>
      </c>
      <c r="G559" s="59">
        <v>2</v>
      </c>
      <c r="H559" s="59">
        <f t="shared" si="154"/>
        <v>0</v>
      </c>
      <c r="I559" s="59">
        <f t="shared" si="155"/>
        <v>1</v>
      </c>
      <c r="J559" s="59">
        <v>2</v>
      </c>
      <c r="K559" s="59">
        <v>4</v>
      </c>
      <c r="L559" s="59">
        <v>1</v>
      </c>
      <c r="M559" s="59">
        <f t="shared" si="156"/>
        <v>1</v>
      </c>
      <c r="N559" s="59">
        <f t="shared" si="157"/>
        <v>0</v>
      </c>
      <c r="O559" s="59">
        <f t="shared" si="158"/>
        <v>0</v>
      </c>
      <c r="P559" s="59">
        <f t="shared" si="159"/>
        <v>0</v>
      </c>
      <c r="Q559" s="59">
        <f t="shared" si="160"/>
        <v>0</v>
      </c>
      <c r="R559" s="59">
        <v>1</v>
      </c>
      <c r="S559" s="59">
        <v>771</v>
      </c>
      <c r="T559" s="59">
        <v>4</v>
      </c>
      <c r="U559" s="59">
        <v>0</v>
      </c>
      <c r="V559" s="59">
        <v>61</v>
      </c>
      <c r="W559" s="59">
        <v>3</v>
      </c>
      <c r="X559" s="59">
        <v>2</v>
      </c>
      <c r="Y559" s="59">
        <v>5</v>
      </c>
      <c r="Z559" s="59">
        <f t="shared" si="161"/>
        <v>0</v>
      </c>
      <c r="AA559" s="59">
        <f>IF('Updated Dummy'!Y559=2,1,0)</f>
        <v>0</v>
      </c>
      <c r="AB559" s="59">
        <f t="shared" si="162"/>
        <v>0</v>
      </c>
      <c r="AC559" s="59">
        <f t="shared" si="163"/>
        <v>0</v>
      </c>
      <c r="AD559" s="59">
        <f t="shared" si="164"/>
        <v>1</v>
      </c>
      <c r="AE559" s="59">
        <f t="shared" si="165"/>
        <v>0</v>
      </c>
      <c r="AF559" s="59">
        <f t="shared" si="166"/>
        <v>0</v>
      </c>
      <c r="AG559" s="59">
        <f t="shared" si="167"/>
        <v>0</v>
      </c>
      <c r="AH559" s="59">
        <v>1</v>
      </c>
      <c r="AI559" s="59">
        <v>3</v>
      </c>
      <c r="AJ559" s="59">
        <f t="shared" si="168"/>
        <v>0</v>
      </c>
      <c r="AK559" s="59">
        <f t="shared" si="169"/>
        <v>0</v>
      </c>
      <c r="AL559" s="59">
        <v>5093</v>
      </c>
      <c r="AM559" s="59">
        <v>4761</v>
      </c>
      <c r="AN559" s="59">
        <v>2</v>
      </c>
      <c r="AO559" s="59">
        <v>0</v>
      </c>
      <c r="AP559" s="59">
        <v>11</v>
      </c>
      <c r="AQ559" s="59">
        <v>3</v>
      </c>
      <c r="AR559" s="59">
        <v>1</v>
      </c>
      <c r="AS559" s="59">
        <v>80</v>
      </c>
      <c r="AT559" s="59">
        <v>1</v>
      </c>
      <c r="AU559" s="59">
        <v>16</v>
      </c>
      <c r="AV559" s="59">
        <v>2</v>
      </c>
      <c r="AW559" s="59">
        <v>4</v>
      </c>
      <c r="AX559" s="59">
        <v>1</v>
      </c>
      <c r="AY559" s="59">
        <v>0</v>
      </c>
      <c r="AZ559" s="59">
        <v>0</v>
      </c>
      <c r="BA559" s="59">
        <v>0</v>
      </c>
      <c r="BB559" s="57">
        <f t="shared" si="170"/>
        <v>10186</v>
      </c>
    </row>
    <row r="560" spans="1:54" x14ac:dyDescent="0.25">
      <c r="A560" s="58">
        <v>32</v>
      </c>
      <c r="B560" s="59">
        <v>0</v>
      </c>
      <c r="C560" s="59">
        <v>2</v>
      </c>
      <c r="D560" s="59">
        <f t="shared" si="152"/>
        <v>0</v>
      </c>
      <c r="E560" s="59">
        <f t="shared" si="153"/>
        <v>1</v>
      </c>
      <c r="F560" s="59">
        <v>430</v>
      </c>
      <c r="G560" s="59">
        <v>2</v>
      </c>
      <c r="H560" s="59">
        <f t="shared" si="154"/>
        <v>0</v>
      </c>
      <c r="I560" s="59">
        <f t="shared" si="155"/>
        <v>1</v>
      </c>
      <c r="J560" s="59">
        <v>24</v>
      </c>
      <c r="K560" s="59">
        <v>4</v>
      </c>
      <c r="L560" s="59">
        <v>1</v>
      </c>
      <c r="M560" s="59">
        <f t="shared" si="156"/>
        <v>1</v>
      </c>
      <c r="N560" s="59">
        <f t="shared" si="157"/>
        <v>0</v>
      </c>
      <c r="O560" s="59">
        <f t="shared" si="158"/>
        <v>0</v>
      </c>
      <c r="P560" s="59">
        <f t="shared" si="159"/>
        <v>0</v>
      </c>
      <c r="Q560" s="59">
        <f t="shared" si="160"/>
        <v>0</v>
      </c>
      <c r="R560" s="59">
        <v>1</v>
      </c>
      <c r="S560" s="59">
        <v>772</v>
      </c>
      <c r="T560" s="59">
        <v>1</v>
      </c>
      <c r="U560" s="59">
        <v>1</v>
      </c>
      <c r="V560" s="59">
        <v>80</v>
      </c>
      <c r="W560" s="59">
        <v>3</v>
      </c>
      <c r="X560" s="59">
        <v>2</v>
      </c>
      <c r="Y560" s="59">
        <v>3</v>
      </c>
      <c r="Z560" s="59">
        <f t="shared" si="161"/>
        <v>0</v>
      </c>
      <c r="AA560" s="59">
        <f>IF('Updated Dummy'!Y560=2,1,0)</f>
        <v>0</v>
      </c>
      <c r="AB560" s="59">
        <f t="shared" si="162"/>
        <v>1</v>
      </c>
      <c r="AC560" s="59">
        <f t="shared" si="163"/>
        <v>0</v>
      </c>
      <c r="AD560" s="59">
        <f t="shared" si="164"/>
        <v>0</v>
      </c>
      <c r="AE560" s="59">
        <f t="shared" si="165"/>
        <v>0</v>
      </c>
      <c r="AF560" s="59">
        <f t="shared" si="166"/>
        <v>0</v>
      </c>
      <c r="AG560" s="59">
        <f t="shared" si="167"/>
        <v>0</v>
      </c>
      <c r="AH560" s="59">
        <v>4</v>
      </c>
      <c r="AI560" s="59">
        <v>2</v>
      </c>
      <c r="AJ560" s="59">
        <f t="shared" si="168"/>
        <v>0</v>
      </c>
      <c r="AK560" s="59">
        <f t="shared" si="169"/>
        <v>1</v>
      </c>
      <c r="AL560" s="59">
        <v>5309</v>
      </c>
      <c r="AM560" s="59">
        <v>21146</v>
      </c>
      <c r="AN560" s="59">
        <v>1</v>
      </c>
      <c r="AO560" s="59">
        <v>0</v>
      </c>
      <c r="AP560" s="59">
        <v>15</v>
      </c>
      <c r="AQ560" s="59">
        <v>3</v>
      </c>
      <c r="AR560" s="59">
        <v>4</v>
      </c>
      <c r="AS560" s="59">
        <v>80</v>
      </c>
      <c r="AT560" s="59">
        <v>2</v>
      </c>
      <c r="AU560" s="59">
        <v>10</v>
      </c>
      <c r="AV560" s="59">
        <v>2</v>
      </c>
      <c r="AW560" s="59">
        <v>3</v>
      </c>
      <c r="AX560" s="59">
        <v>10</v>
      </c>
      <c r="AY560" s="59">
        <v>8</v>
      </c>
      <c r="AZ560" s="59">
        <v>4</v>
      </c>
      <c r="BA560" s="59">
        <v>7</v>
      </c>
      <c r="BB560" s="57">
        <f t="shared" si="170"/>
        <v>10618</v>
      </c>
    </row>
    <row r="561" spans="1:54" x14ac:dyDescent="0.25">
      <c r="A561" s="58">
        <v>38</v>
      </c>
      <c r="B561" s="59">
        <v>0</v>
      </c>
      <c r="C561" s="59">
        <v>1</v>
      </c>
      <c r="D561" s="59">
        <f t="shared" si="152"/>
        <v>1</v>
      </c>
      <c r="E561" s="59">
        <f t="shared" si="153"/>
        <v>0</v>
      </c>
      <c r="F561" s="59">
        <v>268</v>
      </c>
      <c r="G561" s="59">
        <v>2</v>
      </c>
      <c r="H561" s="59">
        <f t="shared" si="154"/>
        <v>0</v>
      </c>
      <c r="I561" s="59">
        <f t="shared" si="155"/>
        <v>1</v>
      </c>
      <c r="J561" s="59">
        <v>2</v>
      </c>
      <c r="K561" s="59">
        <v>5</v>
      </c>
      <c r="L561" s="59">
        <v>3</v>
      </c>
      <c r="M561" s="59">
        <f t="shared" si="156"/>
        <v>0</v>
      </c>
      <c r="N561" s="59">
        <f t="shared" si="157"/>
        <v>0</v>
      </c>
      <c r="O561" s="59">
        <f t="shared" si="158"/>
        <v>1</v>
      </c>
      <c r="P561" s="59">
        <f t="shared" si="159"/>
        <v>0</v>
      </c>
      <c r="Q561" s="59">
        <f t="shared" si="160"/>
        <v>0</v>
      </c>
      <c r="R561" s="59">
        <v>1</v>
      </c>
      <c r="S561" s="59">
        <v>773</v>
      </c>
      <c r="T561" s="59">
        <v>4</v>
      </c>
      <c r="U561" s="59">
        <v>1</v>
      </c>
      <c r="V561" s="59">
        <v>92</v>
      </c>
      <c r="W561" s="59">
        <v>3</v>
      </c>
      <c r="X561" s="59">
        <v>1</v>
      </c>
      <c r="Y561" s="59">
        <v>2</v>
      </c>
      <c r="Z561" s="59">
        <f t="shared" si="161"/>
        <v>0</v>
      </c>
      <c r="AA561" s="59">
        <f>IF('Updated Dummy'!Y561=2,1,0)</f>
        <v>1</v>
      </c>
      <c r="AB561" s="59">
        <f t="shared" si="162"/>
        <v>0</v>
      </c>
      <c r="AC561" s="59">
        <f t="shared" si="163"/>
        <v>0</v>
      </c>
      <c r="AD561" s="59">
        <f t="shared" si="164"/>
        <v>0</v>
      </c>
      <c r="AE561" s="59">
        <f t="shared" si="165"/>
        <v>0</v>
      </c>
      <c r="AF561" s="59">
        <f t="shared" si="166"/>
        <v>0</v>
      </c>
      <c r="AG561" s="59">
        <f t="shared" si="167"/>
        <v>0</v>
      </c>
      <c r="AH561" s="59">
        <v>3</v>
      </c>
      <c r="AI561" s="59">
        <v>2</v>
      </c>
      <c r="AJ561" s="59">
        <f t="shared" si="168"/>
        <v>0</v>
      </c>
      <c r="AK561" s="59">
        <f t="shared" si="169"/>
        <v>1</v>
      </c>
      <c r="AL561" s="59">
        <v>3057</v>
      </c>
      <c r="AM561" s="59">
        <v>20471</v>
      </c>
      <c r="AN561" s="59">
        <v>6</v>
      </c>
      <c r="AO561" s="59">
        <v>1</v>
      </c>
      <c r="AP561" s="59">
        <v>13</v>
      </c>
      <c r="AQ561" s="59">
        <v>3</v>
      </c>
      <c r="AR561" s="59">
        <v>2</v>
      </c>
      <c r="AS561" s="59">
        <v>80</v>
      </c>
      <c r="AT561" s="59">
        <v>1</v>
      </c>
      <c r="AU561" s="59">
        <v>6</v>
      </c>
      <c r="AV561" s="59">
        <v>0</v>
      </c>
      <c r="AW561" s="59">
        <v>1</v>
      </c>
      <c r="AX561" s="59">
        <v>1</v>
      </c>
      <c r="AY561" s="59">
        <v>0</v>
      </c>
      <c r="AZ561" s="59">
        <v>0</v>
      </c>
      <c r="BA561" s="59">
        <v>1</v>
      </c>
      <c r="BB561" s="57">
        <f t="shared" si="170"/>
        <v>3057</v>
      </c>
    </row>
    <row r="562" spans="1:54" x14ac:dyDescent="0.25">
      <c r="A562" s="58">
        <v>34</v>
      </c>
      <c r="B562" s="59">
        <v>0</v>
      </c>
      <c r="C562" s="59">
        <v>1</v>
      </c>
      <c r="D562" s="59">
        <f t="shared" si="152"/>
        <v>1</v>
      </c>
      <c r="E562" s="59">
        <f t="shared" si="153"/>
        <v>0</v>
      </c>
      <c r="F562" s="59">
        <v>167</v>
      </c>
      <c r="G562" s="59">
        <v>2</v>
      </c>
      <c r="H562" s="59">
        <f t="shared" si="154"/>
        <v>0</v>
      </c>
      <c r="I562" s="59">
        <f t="shared" si="155"/>
        <v>1</v>
      </c>
      <c r="J562" s="59">
        <v>8</v>
      </c>
      <c r="K562" s="59">
        <v>5</v>
      </c>
      <c r="L562" s="59">
        <v>1</v>
      </c>
      <c r="M562" s="59">
        <f t="shared" si="156"/>
        <v>1</v>
      </c>
      <c r="N562" s="59">
        <f t="shared" si="157"/>
        <v>0</v>
      </c>
      <c r="O562" s="59">
        <f t="shared" si="158"/>
        <v>0</v>
      </c>
      <c r="P562" s="59">
        <f t="shared" si="159"/>
        <v>0</v>
      </c>
      <c r="Q562" s="59">
        <f t="shared" si="160"/>
        <v>0</v>
      </c>
      <c r="R562" s="59">
        <v>1</v>
      </c>
      <c r="S562" s="59">
        <v>775</v>
      </c>
      <c r="T562" s="59">
        <v>2</v>
      </c>
      <c r="U562" s="59">
        <v>0</v>
      </c>
      <c r="V562" s="59">
        <v>32</v>
      </c>
      <c r="W562" s="59">
        <v>3</v>
      </c>
      <c r="X562" s="59">
        <v>2</v>
      </c>
      <c r="Y562" s="59">
        <v>4</v>
      </c>
      <c r="Z562" s="59">
        <f t="shared" si="161"/>
        <v>0</v>
      </c>
      <c r="AA562" s="59">
        <f>IF('Updated Dummy'!Y562=2,1,0)</f>
        <v>0</v>
      </c>
      <c r="AB562" s="59">
        <f t="shared" si="162"/>
        <v>0</v>
      </c>
      <c r="AC562" s="59">
        <f t="shared" si="163"/>
        <v>1</v>
      </c>
      <c r="AD562" s="59">
        <f t="shared" si="164"/>
        <v>0</v>
      </c>
      <c r="AE562" s="59">
        <f t="shared" si="165"/>
        <v>0</v>
      </c>
      <c r="AF562" s="59">
        <f t="shared" si="166"/>
        <v>0</v>
      </c>
      <c r="AG562" s="59">
        <f t="shared" si="167"/>
        <v>0</v>
      </c>
      <c r="AH562" s="59">
        <v>1</v>
      </c>
      <c r="AI562" s="59">
        <v>3</v>
      </c>
      <c r="AJ562" s="59">
        <f t="shared" si="168"/>
        <v>0</v>
      </c>
      <c r="AK562" s="59">
        <f t="shared" si="169"/>
        <v>0</v>
      </c>
      <c r="AL562" s="59">
        <v>5121</v>
      </c>
      <c r="AM562" s="59">
        <v>4187</v>
      </c>
      <c r="AN562" s="59">
        <v>3</v>
      </c>
      <c r="AO562" s="59">
        <v>0</v>
      </c>
      <c r="AP562" s="59">
        <v>14</v>
      </c>
      <c r="AQ562" s="59">
        <v>3</v>
      </c>
      <c r="AR562" s="59">
        <v>3</v>
      </c>
      <c r="AS562" s="59">
        <v>80</v>
      </c>
      <c r="AT562" s="59">
        <v>1</v>
      </c>
      <c r="AU562" s="59">
        <v>7</v>
      </c>
      <c r="AV562" s="59">
        <v>3</v>
      </c>
      <c r="AW562" s="59">
        <v>3</v>
      </c>
      <c r="AX562" s="59">
        <v>0</v>
      </c>
      <c r="AY562" s="59">
        <v>0</v>
      </c>
      <c r="AZ562" s="59">
        <v>0</v>
      </c>
      <c r="BA562" s="59">
        <v>0</v>
      </c>
      <c r="BB562" s="57">
        <f t="shared" si="170"/>
        <v>10242</v>
      </c>
    </row>
    <row r="563" spans="1:54" x14ac:dyDescent="0.25">
      <c r="A563" s="58">
        <v>52</v>
      </c>
      <c r="B563" s="59">
        <v>0</v>
      </c>
      <c r="C563" s="59">
        <v>1</v>
      </c>
      <c r="D563" s="59">
        <f t="shared" si="152"/>
        <v>1</v>
      </c>
      <c r="E563" s="59">
        <f t="shared" si="153"/>
        <v>0</v>
      </c>
      <c r="F563" s="59">
        <v>621</v>
      </c>
      <c r="G563" s="59">
        <v>1</v>
      </c>
      <c r="H563" s="59">
        <f t="shared" si="154"/>
        <v>1</v>
      </c>
      <c r="I563" s="59">
        <f t="shared" si="155"/>
        <v>0</v>
      </c>
      <c r="J563" s="59">
        <v>3</v>
      </c>
      <c r="K563" s="59">
        <v>4</v>
      </c>
      <c r="L563" s="59">
        <v>4</v>
      </c>
      <c r="M563" s="59">
        <f t="shared" si="156"/>
        <v>0</v>
      </c>
      <c r="N563" s="59">
        <f t="shared" si="157"/>
        <v>0</v>
      </c>
      <c r="O563" s="59">
        <f t="shared" si="158"/>
        <v>0</v>
      </c>
      <c r="P563" s="59">
        <f t="shared" si="159"/>
        <v>1</v>
      </c>
      <c r="Q563" s="59">
        <f t="shared" si="160"/>
        <v>0</v>
      </c>
      <c r="R563" s="59">
        <v>1</v>
      </c>
      <c r="S563" s="59">
        <v>776</v>
      </c>
      <c r="T563" s="59">
        <v>3</v>
      </c>
      <c r="U563" s="59">
        <v>1</v>
      </c>
      <c r="V563" s="59">
        <v>31</v>
      </c>
      <c r="W563" s="59">
        <v>2</v>
      </c>
      <c r="X563" s="59">
        <v>4</v>
      </c>
      <c r="Y563" s="59">
        <v>6</v>
      </c>
      <c r="Z563" s="59">
        <f t="shared" si="161"/>
        <v>0</v>
      </c>
      <c r="AA563" s="59">
        <f>IF('Updated Dummy'!Y563=2,1,0)</f>
        <v>0</v>
      </c>
      <c r="AB563" s="59">
        <f t="shared" si="162"/>
        <v>0</v>
      </c>
      <c r="AC563" s="59">
        <f t="shared" si="163"/>
        <v>0</v>
      </c>
      <c r="AD563" s="59">
        <f t="shared" si="164"/>
        <v>0</v>
      </c>
      <c r="AE563" s="59">
        <f t="shared" si="165"/>
        <v>1</v>
      </c>
      <c r="AF563" s="59">
        <f t="shared" si="166"/>
        <v>0</v>
      </c>
      <c r="AG563" s="59">
        <f t="shared" si="167"/>
        <v>0</v>
      </c>
      <c r="AH563" s="59">
        <v>1</v>
      </c>
      <c r="AI563" s="59">
        <v>2</v>
      </c>
      <c r="AJ563" s="59">
        <f t="shared" si="168"/>
        <v>0</v>
      </c>
      <c r="AK563" s="59">
        <f t="shared" si="169"/>
        <v>1</v>
      </c>
      <c r="AL563" s="59">
        <v>16856</v>
      </c>
      <c r="AM563" s="59">
        <v>10084</v>
      </c>
      <c r="AN563" s="59">
        <v>1</v>
      </c>
      <c r="AO563" s="59">
        <v>0</v>
      </c>
      <c r="AP563" s="59">
        <v>11</v>
      </c>
      <c r="AQ563" s="59">
        <v>3</v>
      </c>
      <c r="AR563" s="59">
        <v>1</v>
      </c>
      <c r="AS563" s="59">
        <v>80</v>
      </c>
      <c r="AT563" s="59">
        <v>0</v>
      </c>
      <c r="AU563" s="59">
        <v>34</v>
      </c>
      <c r="AV563" s="59">
        <v>3</v>
      </c>
      <c r="AW563" s="59">
        <v>4</v>
      </c>
      <c r="AX563" s="59">
        <v>34</v>
      </c>
      <c r="AY563" s="59">
        <v>6</v>
      </c>
      <c r="AZ563" s="59">
        <v>1</v>
      </c>
      <c r="BA563" s="59">
        <v>16</v>
      </c>
      <c r="BB563" s="57">
        <f t="shared" si="170"/>
        <v>67424</v>
      </c>
    </row>
    <row r="564" spans="1:54" x14ac:dyDescent="0.25">
      <c r="A564" s="58">
        <v>33</v>
      </c>
      <c r="B564" s="59">
        <v>1</v>
      </c>
      <c r="C564" s="59">
        <v>1</v>
      </c>
      <c r="D564" s="59">
        <f t="shared" si="152"/>
        <v>1</v>
      </c>
      <c r="E564" s="59">
        <f t="shared" si="153"/>
        <v>0</v>
      </c>
      <c r="F564" s="59">
        <v>527</v>
      </c>
      <c r="G564" s="59">
        <v>2</v>
      </c>
      <c r="H564" s="59">
        <f t="shared" si="154"/>
        <v>0</v>
      </c>
      <c r="I564" s="59">
        <f t="shared" si="155"/>
        <v>1</v>
      </c>
      <c r="J564" s="59">
        <v>1</v>
      </c>
      <c r="K564" s="59">
        <v>4</v>
      </c>
      <c r="L564" s="59">
        <v>6</v>
      </c>
      <c r="M564" s="59">
        <f t="shared" si="156"/>
        <v>0</v>
      </c>
      <c r="N564" s="59">
        <f t="shared" si="157"/>
        <v>0</v>
      </c>
      <c r="O564" s="59">
        <f t="shared" si="158"/>
        <v>0</v>
      </c>
      <c r="P564" s="59">
        <f t="shared" si="159"/>
        <v>0</v>
      </c>
      <c r="Q564" s="59">
        <f t="shared" si="160"/>
        <v>0</v>
      </c>
      <c r="R564" s="59">
        <v>1</v>
      </c>
      <c r="S564" s="59">
        <v>780</v>
      </c>
      <c r="T564" s="59">
        <v>4</v>
      </c>
      <c r="U564" s="59">
        <v>1</v>
      </c>
      <c r="V564" s="59">
        <v>63</v>
      </c>
      <c r="W564" s="59">
        <v>3</v>
      </c>
      <c r="X564" s="59">
        <v>1</v>
      </c>
      <c r="Y564" s="59">
        <v>2</v>
      </c>
      <c r="Z564" s="59">
        <f t="shared" si="161"/>
        <v>0</v>
      </c>
      <c r="AA564" s="59">
        <f>IF('Updated Dummy'!Y564=2,1,0)</f>
        <v>1</v>
      </c>
      <c r="AB564" s="59">
        <f t="shared" si="162"/>
        <v>0</v>
      </c>
      <c r="AC564" s="59">
        <f t="shared" si="163"/>
        <v>0</v>
      </c>
      <c r="AD564" s="59">
        <f t="shared" si="164"/>
        <v>0</v>
      </c>
      <c r="AE564" s="59">
        <f t="shared" si="165"/>
        <v>0</v>
      </c>
      <c r="AF564" s="59">
        <f t="shared" si="166"/>
        <v>0</v>
      </c>
      <c r="AG564" s="59">
        <f t="shared" si="167"/>
        <v>0</v>
      </c>
      <c r="AH564" s="59">
        <v>4</v>
      </c>
      <c r="AI564" s="59">
        <v>1</v>
      </c>
      <c r="AJ564" s="59">
        <f t="shared" si="168"/>
        <v>1</v>
      </c>
      <c r="AK564" s="59">
        <f t="shared" si="169"/>
        <v>0</v>
      </c>
      <c r="AL564" s="59">
        <v>2686</v>
      </c>
      <c r="AM564" s="59">
        <v>5207</v>
      </c>
      <c r="AN564" s="59">
        <v>1</v>
      </c>
      <c r="AO564" s="59">
        <v>1</v>
      </c>
      <c r="AP564" s="59">
        <v>13</v>
      </c>
      <c r="AQ564" s="59">
        <v>3</v>
      </c>
      <c r="AR564" s="59">
        <v>3</v>
      </c>
      <c r="AS564" s="59">
        <v>80</v>
      </c>
      <c r="AT564" s="59">
        <v>0</v>
      </c>
      <c r="AU564" s="59">
        <v>10</v>
      </c>
      <c r="AV564" s="59">
        <v>2</v>
      </c>
      <c r="AW564" s="59">
        <v>2</v>
      </c>
      <c r="AX564" s="59">
        <v>10</v>
      </c>
      <c r="AY564" s="59">
        <v>9</v>
      </c>
      <c r="AZ564" s="59">
        <v>7</v>
      </c>
      <c r="BA564" s="59">
        <v>8</v>
      </c>
      <c r="BB564" s="57">
        <f t="shared" si="170"/>
        <v>2686</v>
      </c>
    </row>
    <row r="565" spans="1:54" x14ac:dyDescent="0.25">
      <c r="A565" s="58">
        <v>25</v>
      </c>
      <c r="B565" s="59">
        <v>0</v>
      </c>
      <c r="C565" s="59">
        <v>1</v>
      </c>
      <c r="D565" s="59">
        <f t="shared" si="152"/>
        <v>1</v>
      </c>
      <c r="E565" s="59">
        <f t="shared" si="153"/>
        <v>0</v>
      </c>
      <c r="F565" s="59">
        <v>883</v>
      </c>
      <c r="G565" s="59">
        <v>1</v>
      </c>
      <c r="H565" s="59">
        <f t="shared" si="154"/>
        <v>1</v>
      </c>
      <c r="I565" s="59">
        <f t="shared" si="155"/>
        <v>0</v>
      </c>
      <c r="J565" s="59">
        <v>26</v>
      </c>
      <c r="K565" s="59">
        <v>1</v>
      </c>
      <c r="L565" s="59">
        <v>3</v>
      </c>
      <c r="M565" s="59">
        <f t="shared" si="156"/>
        <v>0</v>
      </c>
      <c r="N565" s="59">
        <f t="shared" si="157"/>
        <v>0</v>
      </c>
      <c r="O565" s="59">
        <f t="shared" si="158"/>
        <v>1</v>
      </c>
      <c r="P565" s="59">
        <f t="shared" si="159"/>
        <v>0</v>
      </c>
      <c r="Q565" s="59">
        <f t="shared" si="160"/>
        <v>0</v>
      </c>
      <c r="R565" s="59">
        <v>1</v>
      </c>
      <c r="S565" s="59">
        <v>781</v>
      </c>
      <c r="T565" s="59">
        <v>3</v>
      </c>
      <c r="U565" s="59">
        <v>0</v>
      </c>
      <c r="V565" s="59">
        <v>32</v>
      </c>
      <c r="W565" s="59">
        <v>3</v>
      </c>
      <c r="X565" s="59">
        <v>2</v>
      </c>
      <c r="Y565" s="59">
        <v>1</v>
      </c>
      <c r="Z565" s="59">
        <f t="shared" si="161"/>
        <v>1</v>
      </c>
      <c r="AA565" s="59">
        <f>IF('Updated Dummy'!Y565=2,1,0)</f>
        <v>0</v>
      </c>
      <c r="AB565" s="59">
        <f t="shared" si="162"/>
        <v>0</v>
      </c>
      <c r="AC565" s="59">
        <f t="shared" si="163"/>
        <v>0</v>
      </c>
      <c r="AD565" s="59">
        <f t="shared" si="164"/>
        <v>0</v>
      </c>
      <c r="AE565" s="59">
        <f t="shared" si="165"/>
        <v>0</v>
      </c>
      <c r="AF565" s="59">
        <f t="shared" si="166"/>
        <v>0</v>
      </c>
      <c r="AG565" s="59">
        <f t="shared" si="167"/>
        <v>0</v>
      </c>
      <c r="AH565" s="59">
        <v>4</v>
      </c>
      <c r="AI565" s="59">
        <v>1</v>
      </c>
      <c r="AJ565" s="59">
        <f t="shared" si="168"/>
        <v>1</v>
      </c>
      <c r="AK565" s="59">
        <f t="shared" si="169"/>
        <v>0</v>
      </c>
      <c r="AL565" s="59">
        <v>6180</v>
      </c>
      <c r="AM565" s="59">
        <v>22807</v>
      </c>
      <c r="AN565" s="59">
        <v>1</v>
      </c>
      <c r="AO565" s="59">
        <v>0</v>
      </c>
      <c r="AP565" s="59">
        <v>23</v>
      </c>
      <c r="AQ565" s="59">
        <v>4</v>
      </c>
      <c r="AR565" s="59">
        <v>2</v>
      </c>
      <c r="AS565" s="59">
        <v>80</v>
      </c>
      <c r="AT565" s="59">
        <v>0</v>
      </c>
      <c r="AU565" s="59">
        <v>6</v>
      </c>
      <c r="AV565" s="59">
        <v>5</v>
      </c>
      <c r="AW565" s="59">
        <v>2</v>
      </c>
      <c r="AX565" s="59">
        <v>6</v>
      </c>
      <c r="AY565" s="59">
        <v>5</v>
      </c>
      <c r="AZ565" s="59">
        <v>1</v>
      </c>
      <c r="BA565" s="59">
        <v>4</v>
      </c>
      <c r="BB565" s="57">
        <f t="shared" si="170"/>
        <v>12360</v>
      </c>
    </row>
    <row r="566" spans="1:54" x14ac:dyDescent="0.25">
      <c r="A566" s="58">
        <v>45</v>
      </c>
      <c r="B566" s="59">
        <v>0</v>
      </c>
      <c r="C566" s="59">
        <v>1</v>
      </c>
      <c r="D566" s="59">
        <f t="shared" si="152"/>
        <v>1</v>
      </c>
      <c r="E566" s="59">
        <f t="shared" si="153"/>
        <v>0</v>
      </c>
      <c r="F566" s="59">
        <v>954</v>
      </c>
      <c r="G566" s="59">
        <v>1</v>
      </c>
      <c r="H566" s="59">
        <f t="shared" si="154"/>
        <v>1</v>
      </c>
      <c r="I566" s="59">
        <f t="shared" si="155"/>
        <v>0</v>
      </c>
      <c r="J566" s="59">
        <v>2</v>
      </c>
      <c r="K566" s="59">
        <v>2</v>
      </c>
      <c r="L566" s="59">
        <v>5</v>
      </c>
      <c r="M566" s="59">
        <f t="shared" si="156"/>
        <v>0</v>
      </c>
      <c r="N566" s="59">
        <f t="shared" si="157"/>
        <v>0</v>
      </c>
      <c r="O566" s="59">
        <f t="shared" si="158"/>
        <v>0</v>
      </c>
      <c r="P566" s="59">
        <f t="shared" si="159"/>
        <v>0</v>
      </c>
      <c r="Q566" s="59">
        <f t="shared" si="160"/>
        <v>1</v>
      </c>
      <c r="R566" s="59">
        <v>1</v>
      </c>
      <c r="S566" s="59">
        <v>783</v>
      </c>
      <c r="T566" s="59">
        <v>2</v>
      </c>
      <c r="U566" s="59">
        <v>1</v>
      </c>
      <c r="V566" s="59">
        <v>46</v>
      </c>
      <c r="W566" s="59">
        <v>1</v>
      </c>
      <c r="X566" s="59">
        <v>2</v>
      </c>
      <c r="Y566" s="59">
        <v>7</v>
      </c>
      <c r="Z566" s="59">
        <f t="shared" si="161"/>
        <v>0</v>
      </c>
      <c r="AA566" s="59">
        <f>IF('Updated Dummy'!Y566=2,1,0)</f>
        <v>0</v>
      </c>
      <c r="AB566" s="59">
        <f t="shared" si="162"/>
        <v>0</v>
      </c>
      <c r="AC566" s="59">
        <f t="shared" si="163"/>
        <v>0</v>
      </c>
      <c r="AD566" s="59">
        <f t="shared" si="164"/>
        <v>0</v>
      </c>
      <c r="AE566" s="59">
        <f t="shared" si="165"/>
        <v>0</v>
      </c>
      <c r="AF566" s="59">
        <f t="shared" si="166"/>
        <v>1</v>
      </c>
      <c r="AG566" s="59">
        <f t="shared" si="167"/>
        <v>0</v>
      </c>
      <c r="AH566" s="59">
        <v>3</v>
      </c>
      <c r="AI566" s="59">
        <v>1</v>
      </c>
      <c r="AJ566" s="59">
        <f t="shared" si="168"/>
        <v>1</v>
      </c>
      <c r="AK566" s="59">
        <f t="shared" si="169"/>
        <v>0</v>
      </c>
      <c r="AL566" s="59">
        <v>6632</v>
      </c>
      <c r="AM566" s="59">
        <v>12388</v>
      </c>
      <c r="AN566" s="59">
        <v>0</v>
      </c>
      <c r="AO566" s="59">
        <v>0</v>
      </c>
      <c r="AP566" s="59">
        <v>13</v>
      </c>
      <c r="AQ566" s="59">
        <v>3</v>
      </c>
      <c r="AR566" s="59">
        <v>1</v>
      </c>
      <c r="AS566" s="59">
        <v>80</v>
      </c>
      <c r="AT566" s="59">
        <v>0</v>
      </c>
      <c r="AU566" s="59">
        <v>9</v>
      </c>
      <c r="AV566" s="59">
        <v>3</v>
      </c>
      <c r="AW566" s="59">
        <v>3</v>
      </c>
      <c r="AX566" s="59">
        <v>8</v>
      </c>
      <c r="AY566" s="59">
        <v>7</v>
      </c>
      <c r="AZ566" s="59">
        <v>3</v>
      </c>
      <c r="BA566" s="59">
        <v>1</v>
      </c>
      <c r="BB566" s="57">
        <f t="shared" si="170"/>
        <v>13264</v>
      </c>
    </row>
    <row r="567" spans="1:54" x14ac:dyDescent="0.25">
      <c r="A567" s="58">
        <v>23</v>
      </c>
      <c r="B567" s="59">
        <v>0</v>
      </c>
      <c r="C567" s="59">
        <v>1</v>
      </c>
      <c r="D567" s="59">
        <f t="shared" si="152"/>
        <v>1</v>
      </c>
      <c r="E567" s="59">
        <f t="shared" si="153"/>
        <v>0</v>
      </c>
      <c r="F567" s="59">
        <v>310</v>
      </c>
      <c r="G567" s="59">
        <v>2</v>
      </c>
      <c r="H567" s="59">
        <f t="shared" si="154"/>
        <v>0</v>
      </c>
      <c r="I567" s="59">
        <f t="shared" si="155"/>
        <v>1</v>
      </c>
      <c r="J567" s="59">
        <v>10</v>
      </c>
      <c r="K567" s="59">
        <v>1</v>
      </c>
      <c r="L567" s="59">
        <v>3</v>
      </c>
      <c r="M567" s="59">
        <f t="shared" si="156"/>
        <v>0</v>
      </c>
      <c r="N567" s="59">
        <f t="shared" si="157"/>
        <v>0</v>
      </c>
      <c r="O567" s="59">
        <f t="shared" si="158"/>
        <v>1</v>
      </c>
      <c r="P567" s="59">
        <f t="shared" si="159"/>
        <v>0</v>
      </c>
      <c r="Q567" s="59">
        <f t="shared" si="160"/>
        <v>0</v>
      </c>
      <c r="R567" s="59">
        <v>1</v>
      </c>
      <c r="S567" s="59">
        <v>784</v>
      </c>
      <c r="T567" s="59">
        <v>1</v>
      </c>
      <c r="U567" s="59">
        <v>1</v>
      </c>
      <c r="V567" s="59">
        <v>79</v>
      </c>
      <c r="W567" s="59">
        <v>4</v>
      </c>
      <c r="X567" s="59">
        <v>1</v>
      </c>
      <c r="Y567" s="59">
        <v>2</v>
      </c>
      <c r="Z567" s="59">
        <f t="shared" si="161"/>
        <v>0</v>
      </c>
      <c r="AA567" s="59">
        <f>IF('Updated Dummy'!Y567=2,1,0)</f>
        <v>1</v>
      </c>
      <c r="AB567" s="59">
        <f t="shared" si="162"/>
        <v>0</v>
      </c>
      <c r="AC567" s="59">
        <f t="shared" si="163"/>
        <v>0</v>
      </c>
      <c r="AD567" s="59">
        <f t="shared" si="164"/>
        <v>0</v>
      </c>
      <c r="AE567" s="59">
        <f t="shared" si="165"/>
        <v>0</v>
      </c>
      <c r="AF567" s="59">
        <f t="shared" si="166"/>
        <v>0</v>
      </c>
      <c r="AG567" s="59">
        <f t="shared" si="167"/>
        <v>0</v>
      </c>
      <c r="AH567" s="59">
        <v>3</v>
      </c>
      <c r="AI567" s="59">
        <v>1</v>
      </c>
      <c r="AJ567" s="59">
        <f t="shared" si="168"/>
        <v>1</v>
      </c>
      <c r="AK567" s="59">
        <f t="shared" si="169"/>
        <v>0</v>
      </c>
      <c r="AL567" s="59">
        <v>3505</v>
      </c>
      <c r="AM567" s="59">
        <v>19630</v>
      </c>
      <c r="AN567" s="59">
        <v>1</v>
      </c>
      <c r="AO567" s="59">
        <v>0</v>
      </c>
      <c r="AP567" s="59">
        <v>18</v>
      </c>
      <c r="AQ567" s="59">
        <v>3</v>
      </c>
      <c r="AR567" s="59">
        <v>4</v>
      </c>
      <c r="AS567" s="59">
        <v>80</v>
      </c>
      <c r="AT567" s="59">
        <v>0</v>
      </c>
      <c r="AU567" s="59">
        <v>2</v>
      </c>
      <c r="AV567" s="59">
        <v>3</v>
      </c>
      <c r="AW567" s="59">
        <v>3</v>
      </c>
      <c r="AX567" s="59">
        <v>2</v>
      </c>
      <c r="AY567" s="59">
        <v>2</v>
      </c>
      <c r="AZ567" s="59">
        <v>0</v>
      </c>
      <c r="BA567" s="59">
        <v>2</v>
      </c>
      <c r="BB567" s="57">
        <f t="shared" si="170"/>
        <v>3505</v>
      </c>
    </row>
    <row r="568" spans="1:54" x14ac:dyDescent="0.25">
      <c r="A568" s="58">
        <v>47</v>
      </c>
      <c r="B568" s="59">
        <v>1</v>
      </c>
      <c r="C568" s="59">
        <v>2</v>
      </c>
      <c r="D568" s="59">
        <f t="shared" si="152"/>
        <v>0</v>
      </c>
      <c r="E568" s="59">
        <f t="shared" si="153"/>
        <v>1</v>
      </c>
      <c r="F568" s="59">
        <v>719</v>
      </c>
      <c r="G568" s="59">
        <v>1</v>
      </c>
      <c r="H568" s="59">
        <f t="shared" si="154"/>
        <v>1</v>
      </c>
      <c r="I568" s="59">
        <f t="shared" si="155"/>
        <v>0</v>
      </c>
      <c r="J568" s="59">
        <v>27</v>
      </c>
      <c r="K568" s="59">
        <v>2</v>
      </c>
      <c r="L568" s="59">
        <v>1</v>
      </c>
      <c r="M568" s="59">
        <f t="shared" si="156"/>
        <v>1</v>
      </c>
      <c r="N568" s="59">
        <f t="shared" si="157"/>
        <v>0</v>
      </c>
      <c r="O568" s="59">
        <f t="shared" si="158"/>
        <v>0</v>
      </c>
      <c r="P568" s="59">
        <f t="shared" si="159"/>
        <v>0</v>
      </c>
      <c r="Q568" s="59">
        <f t="shared" si="160"/>
        <v>0</v>
      </c>
      <c r="R568" s="59">
        <v>1</v>
      </c>
      <c r="S568" s="59">
        <v>785</v>
      </c>
      <c r="T568" s="59">
        <v>2</v>
      </c>
      <c r="U568" s="59">
        <v>0</v>
      </c>
      <c r="V568" s="59">
        <v>77</v>
      </c>
      <c r="W568" s="59">
        <v>4</v>
      </c>
      <c r="X568" s="59">
        <v>2</v>
      </c>
      <c r="Y568" s="59">
        <v>1</v>
      </c>
      <c r="Z568" s="59">
        <f t="shared" si="161"/>
        <v>1</v>
      </c>
      <c r="AA568" s="59">
        <f>IF('Updated Dummy'!Y568=2,1,0)</f>
        <v>0</v>
      </c>
      <c r="AB568" s="59">
        <f t="shared" si="162"/>
        <v>0</v>
      </c>
      <c r="AC568" s="59">
        <f t="shared" si="163"/>
        <v>0</v>
      </c>
      <c r="AD568" s="59">
        <f t="shared" si="164"/>
        <v>0</v>
      </c>
      <c r="AE568" s="59">
        <f t="shared" si="165"/>
        <v>0</v>
      </c>
      <c r="AF568" s="59">
        <f t="shared" si="166"/>
        <v>0</v>
      </c>
      <c r="AG568" s="59">
        <f t="shared" si="167"/>
        <v>0</v>
      </c>
      <c r="AH568" s="59">
        <v>3</v>
      </c>
      <c r="AI568" s="59">
        <v>1</v>
      </c>
      <c r="AJ568" s="59">
        <f t="shared" si="168"/>
        <v>1</v>
      </c>
      <c r="AK568" s="59">
        <f t="shared" si="169"/>
        <v>0</v>
      </c>
      <c r="AL568" s="59">
        <v>6397</v>
      </c>
      <c r="AM568" s="59">
        <v>10339</v>
      </c>
      <c r="AN568" s="59">
        <v>4</v>
      </c>
      <c r="AO568" s="59">
        <v>1</v>
      </c>
      <c r="AP568" s="59">
        <v>12</v>
      </c>
      <c r="AQ568" s="59">
        <v>3</v>
      </c>
      <c r="AR568" s="59">
        <v>4</v>
      </c>
      <c r="AS568" s="59">
        <v>80</v>
      </c>
      <c r="AT568" s="59">
        <v>0</v>
      </c>
      <c r="AU568" s="59">
        <v>8</v>
      </c>
      <c r="AV568" s="59">
        <v>2</v>
      </c>
      <c r="AW568" s="59">
        <v>3</v>
      </c>
      <c r="AX568" s="59">
        <v>5</v>
      </c>
      <c r="AY568" s="59">
        <v>4</v>
      </c>
      <c r="AZ568" s="59">
        <v>1</v>
      </c>
      <c r="BA568" s="59">
        <v>3</v>
      </c>
      <c r="BB568" s="57">
        <f t="shared" si="170"/>
        <v>12794</v>
      </c>
    </row>
    <row r="569" spans="1:54" x14ac:dyDescent="0.25">
      <c r="A569" s="58">
        <v>34</v>
      </c>
      <c r="B569" s="59">
        <v>0</v>
      </c>
      <c r="C569" s="59">
        <v>1</v>
      </c>
      <c r="D569" s="59">
        <f t="shared" si="152"/>
        <v>1</v>
      </c>
      <c r="E569" s="59">
        <f t="shared" si="153"/>
        <v>0</v>
      </c>
      <c r="F569" s="59">
        <v>304</v>
      </c>
      <c r="G569" s="59">
        <v>1</v>
      </c>
      <c r="H569" s="59">
        <f t="shared" si="154"/>
        <v>1</v>
      </c>
      <c r="I569" s="59">
        <f t="shared" si="155"/>
        <v>0</v>
      </c>
      <c r="J569" s="59">
        <v>2</v>
      </c>
      <c r="K569" s="59">
        <v>3</v>
      </c>
      <c r="L569" s="59">
        <v>6</v>
      </c>
      <c r="M569" s="59">
        <f t="shared" si="156"/>
        <v>0</v>
      </c>
      <c r="N569" s="59">
        <f t="shared" si="157"/>
        <v>0</v>
      </c>
      <c r="O569" s="59">
        <f t="shared" si="158"/>
        <v>0</v>
      </c>
      <c r="P569" s="59">
        <f t="shared" si="159"/>
        <v>0</v>
      </c>
      <c r="Q569" s="59">
        <f t="shared" si="160"/>
        <v>0</v>
      </c>
      <c r="R569" s="59">
        <v>1</v>
      </c>
      <c r="S569" s="59">
        <v>786</v>
      </c>
      <c r="T569" s="59">
        <v>4</v>
      </c>
      <c r="U569" s="59">
        <v>1</v>
      </c>
      <c r="V569" s="59">
        <v>60</v>
      </c>
      <c r="W569" s="59">
        <v>3</v>
      </c>
      <c r="X569" s="59">
        <v>2</v>
      </c>
      <c r="Y569" s="59">
        <v>1</v>
      </c>
      <c r="Z569" s="59">
        <f t="shared" si="161"/>
        <v>1</v>
      </c>
      <c r="AA569" s="59">
        <f>IF('Updated Dummy'!Y569=2,1,0)</f>
        <v>0</v>
      </c>
      <c r="AB569" s="59">
        <f t="shared" si="162"/>
        <v>0</v>
      </c>
      <c r="AC569" s="59">
        <f t="shared" si="163"/>
        <v>0</v>
      </c>
      <c r="AD569" s="59">
        <f t="shared" si="164"/>
        <v>0</v>
      </c>
      <c r="AE569" s="59">
        <f t="shared" si="165"/>
        <v>0</v>
      </c>
      <c r="AF569" s="59">
        <f t="shared" si="166"/>
        <v>0</v>
      </c>
      <c r="AG569" s="59">
        <f t="shared" si="167"/>
        <v>0</v>
      </c>
      <c r="AH569" s="59">
        <v>4</v>
      </c>
      <c r="AI569" s="59">
        <v>1</v>
      </c>
      <c r="AJ569" s="59">
        <f t="shared" si="168"/>
        <v>1</v>
      </c>
      <c r="AK569" s="59">
        <f t="shared" si="169"/>
        <v>0</v>
      </c>
      <c r="AL569" s="59">
        <v>6274</v>
      </c>
      <c r="AM569" s="59">
        <v>18686</v>
      </c>
      <c r="AN569" s="59">
        <v>1</v>
      </c>
      <c r="AO569" s="59">
        <v>0</v>
      </c>
      <c r="AP569" s="59">
        <v>22</v>
      </c>
      <c r="AQ569" s="59">
        <v>4</v>
      </c>
      <c r="AR569" s="59">
        <v>3</v>
      </c>
      <c r="AS569" s="59">
        <v>80</v>
      </c>
      <c r="AT569" s="59">
        <v>0</v>
      </c>
      <c r="AU569" s="59">
        <v>6</v>
      </c>
      <c r="AV569" s="59">
        <v>5</v>
      </c>
      <c r="AW569" s="59">
        <v>3</v>
      </c>
      <c r="AX569" s="59">
        <v>6</v>
      </c>
      <c r="AY569" s="59">
        <v>5</v>
      </c>
      <c r="AZ569" s="59">
        <v>1</v>
      </c>
      <c r="BA569" s="59">
        <v>4</v>
      </c>
      <c r="BB569" s="57">
        <f t="shared" si="170"/>
        <v>12548</v>
      </c>
    </row>
    <row r="570" spans="1:54" x14ac:dyDescent="0.25">
      <c r="A570" s="58">
        <v>55</v>
      </c>
      <c r="B570" s="59">
        <v>1</v>
      </c>
      <c r="C570" s="59">
        <v>1</v>
      </c>
      <c r="D570" s="59">
        <f t="shared" si="152"/>
        <v>1</v>
      </c>
      <c r="E570" s="59">
        <f t="shared" si="153"/>
        <v>0</v>
      </c>
      <c r="F570" s="59">
        <v>725</v>
      </c>
      <c r="G570" s="59">
        <v>2</v>
      </c>
      <c r="H570" s="59">
        <f t="shared" si="154"/>
        <v>0</v>
      </c>
      <c r="I570" s="59">
        <f t="shared" si="155"/>
        <v>1</v>
      </c>
      <c r="J570" s="59">
        <v>2</v>
      </c>
      <c r="K570" s="59">
        <v>3</v>
      </c>
      <c r="L570" s="59">
        <v>3</v>
      </c>
      <c r="M570" s="59">
        <f t="shared" si="156"/>
        <v>0</v>
      </c>
      <c r="N570" s="59">
        <f t="shared" si="157"/>
        <v>0</v>
      </c>
      <c r="O570" s="59">
        <f t="shared" si="158"/>
        <v>1</v>
      </c>
      <c r="P570" s="59">
        <f t="shared" si="159"/>
        <v>0</v>
      </c>
      <c r="Q570" s="59">
        <f t="shared" si="160"/>
        <v>0</v>
      </c>
      <c r="R570" s="59">
        <v>1</v>
      </c>
      <c r="S570" s="59">
        <v>787</v>
      </c>
      <c r="T570" s="59">
        <v>4</v>
      </c>
      <c r="U570" s="59">
        <v>1</v>
      </c>
      <c r="V570" s="59">
        <v>78</v>
      </c>
      <c r="W570" s="59">
        <v>3</v>
      </c>
      <c r="X570" s="59">
        <v>5</v>
      </c>
      <c r="Y570" s="59">
        <v>6</v>
      </c>
      <c r="Z570" s="59">
        <f t="shared" si="161"/>
        <v>0</v>
      </c>
      <c r="AA570" s="59">
        <f>IF('Updated Dummy'!Y570=2,1,0)</f>
        <v>0</v>
      </c>
      <c r="AB570" s="59">
        <f t="shared" si="162"/>
        <v>0</v>
      </c>
      <c r="AC570" s="59">
        <f t="shared" si="163"/>
        <v>0</v>
      </c>
      <c r="AD570" s="59">
        <f t="shared" si="164"/>
        <v>0</v>
      </c>
      <c r="AE570" s="59">
        <f t="shared" si="165"/>
        <v>1</v>
      </c>
      <c r="AF570" s="59">
        <f t="shared" si="166"/>
        <v>0</v>
      </c>
      <c r="AG570" s="59">
        <f t="shared" si="167"/>
        <v>0</v>
      </c>
      <c r="AH570" s="59">
        <v>1</v>
      </c>
      <c r="AI570" s="59">
        <v>2</v>
      </c>
      <c r="AJ570" s="59">
        <f t="shared" si="168"/>
        <v>0</v>
      </c>
      <c r="AK570" s="59">
        <f t="shared" si="169"/>
        <v>1</v>
      </c>
      <c r="AL570" s="59">
        <v>19859</v>
      </c>
      <c r="AM570" s="59">
        <v>21199</v>
      </c>
      <c r="AN570" s="59">
        <v>5</v>
      </c>
      <c r="AO570" s="59">
        <v>1</v>
      </c>
      <c r="AP570" s="59">
        <v>13</v>
      </c>
      <c r="AQ570" s="59">
        <v>3</v>
      </c>
      <c r="AR570" s="59">
        <v>4</v>
      </c>
      <c r="AS570" s="59">
        <v>80</v>
      </c>
      <c r="AT570" s="59">
        <v>1</v>
      </c>
      <c r="AU570" s="59">
        <v>24</v>
      </c>
      <c r="AV570" s="59">
        <v>2</v>
      </c>
      <c r="AW570" s="59">
        <v>3</v>
      </c>
      <c r="AX570" s="59">
        <v>5</v>
      </c>
      <c r="AY570" s="59">
        <v>2</v>
      </c>
      <c r="AZ570" s="59">
        <v>1</v>
      </c>
      <c r="BA570" s="59">
        <v>4</v>
      </c>
      <c r="BB570" s="57">
        <f t="shared" si="170"/>
        <v>99295</v>
      </c>
    </row>
    <row r="571" spans="1:54" x14ac:dyDescent="0.25">
      <c r="A571" s="58">
        <v>36</v>
      </c>
      <c r="B571" s="59">
        <v>0</v>
      </c>
      <c r="C571" s="59">
        <v>3</v>
      </c>
      <c r="D571" s="59">
        <f t="shared" si="152"/>
        <v>0</v>
      </c>
      <c r="E571" s="59">
        <f t="shared" si="153"/>
        <v>0</v>
      </c>
      <c r="F571" s="59">
        <v>1434</v>
      </c>
      <c r="G571" s="59">
        <v>1</v>
      </c>
      <c r="H571" s="59">
        <f t="shared" si="154"/>
        <v>1</v>
      </c>
      <c r="I571" s="59">
        <f t="shared" si="155"/>
        <v>0</v>
      </c>
      <c r="J571" s="59">
        <v>8</v>
      </c>
      <c r="K571" s="59">
        <v>4</v>
      </c>
      <c r="L571" s="59">
        <v>1</v>
      </c>
      <c r="M571" s="59">
        <f t="shared" si="156"/>
        <v>1</v>
      </c>
      <c r="N571" s="59">
        <f t="shared" si="157"/>
        <v>0</v>
      </c>
      <c r="O571" s="59">
        <f t="shared" si="158"/>
        <v>0</v>
      </c>
      <c r="P571" s="59">
        <f t="shared" si="159"/>
        <v>0</v>
      </c>
      <c r="Q571" s="59">
        <f t="shared" si="160"/>
        <v>0</v>
      </c>
      <c r="R571" s="59">
        <v>1</v>
      </c>
      <c r="S571" s="59">
        <v>789</v>
      </c>
      <c r="T571" s="59">
        <v>1</v>
      </c>
      <c r="U571" s="59">
        <v>1</v>
      </c>
      <c r="V571" s="59">
        <v>76</v>
      </c>
      <c r="W571" s="59">
        <v>2</v>
      </c>
      <c r="X571" s="59">
        <v>3</v>
      </c>
      <c r="Y571" s="59">
        <v>1</v>
      </c>
      <c r="Z571" s="59">
        <f t="shared" si="161"/>
        <v>1</v>
      </c>
      <c r="AA571" s="59">
        <f>IF('Updated Dummy'!Y571=2,1,0)</f>
        <v>0</v>
      </c>
      <c r="AB571" s="59">
        <f t="shared" si="162"/>
        <v>0</v>
      </c>
      <c r="AC571" s="59">
        <f t="shared" si="163"/>
        <v>0</v>
      </c>
      <c r="AD571" s="59">
        <f t="shared" si="164"/>
        <v>0</v>
      </c>
      <c r="AE571" s="59">
        <f t="shared" si="165"/>
        <v>0</v>
      </c>
      <c r="AF571" s="59">
        <f t="shared" si="166"/>
        <v>0</v>
      </c>
      <c r="AG571" s="59">
        <f t="shared" si="167"/>
        <v>0</v>
      </c>
      <c r="AH571" s="59">
        <v>1</v>
      </c>
      <c r="AI571" s="59">
        <v>1</v>
      </c>
      <c r="AJ571" s="59">
        <f t="shared" si="168"/>
        <v>1</v>
      </c>
      <c r="AK571" s="59">
        <f t="shared" si="169"/>
        <v>0</v>
      </c>
      <c r="AL571" s="59">
        <v>7587</v>
      </c>
      <c r="AM571" s="59">
        <v>14229</v>
      </c>
      <c r="AN571" s="59">
        <v>1</v>
      </c>
      <c r="AO571" s="59">
        <v>0</v>
      </c>
      <c r="AP571" s="59">
        <v>15</v>
      </c>
      <c r="AQ571" s="59">
        <v>3</v>
      </c>
      <c r="AR571" s="59">
        <v>2</v>
      </c>
      <c r="AS571" s="59">
        <v>80</v>
      </c>
      <c r="AT571" s="59">
        <v>0</v>
      </c>
      <c r="AU571" s="59">
        <v>10</v>
      </c>
      <c r="AV571" s="59">
        <v>1</v>
      </c>
      <c r="AW571" s="59">
        <v>3</v>
      </c>
      <c r="AX571" s="59">
        <v>10</v>
      </c>
      <c r="AY571" s="59">
        <v>7</v>
      </c>
      <c r="AZ571" s="59">
        <v>0</v>
      </c>
      <c r="BA571" s="59">
        <v>9</v>
      </c>
      <c r="BB571" s="57">
        <f t="shared" si="170"/>
        <v>22761</v>
      </c>
    </row>
    <row r="572" spans="1:54" x14ac:dyDescent="0.25">
      <c r="A572" s="58">
        <v>52</v>
      </c>
      <c r="B572" s="59">
        <v>0</v>
      </c>
      <c r="C572" s="59">
        <v>3</v>
      </c>
      <c r="D572" s="59">
        <f t="shared" si="152"/>
        <v>0</v>
      </c>
      <c r="E572" s="59">
        <f t="shared" si="153"/>
        <v>0</v>
      </c>
      <c r="F572" s="59">
        <v>715</v>
      </c>
      <c r="G572" s="59">
        <v>2</v>
      </c>
      <c r="H572" s="59">
        <f t="shared" si="154"/>
        <v>0</v>
      </c>
      <c r="I572" s="59">
        <f t="shared" si="155"/>
        <v>1</v>
      </c>
      <c r="J572" s="59">
        <v>19</v>
      </c>
      <c r="K572" s="59">
        <v>4</v>
      </c>
      <c r="L572" s="59">
        <v>3</v>
      </c>
      <c r="M572" s="59">
        <f t="shared" si="156"/>
        <v>0</v>
      </c>
      <c r="N572" s="59">
        <f t="shared" si="157"/>
        <v>0</v>
      </c>
      <c r="O572" s="59">
        <f t="shared" si="158"/>
        <v>1</v>
      </c>
      <c r="P572" s="59">
        <f t="shared" si="159"/>
        <v>0</v>
      </c>
      <c r="Q572" s="59">
        <f t="shared" si="160"/>
        <v>0</v>
      </c>
      <c r="R572" s="59">
        <v>1</v>
      </c>
      <c r="S572" s="59">
        <v>791</v>
      </c>
      <c r="T572" s="59">
        <v>4</v>
      </c>
      <c r="U572" s="59">
        <v>1</v>
      </c>
      <c r="V572" s="59">
        <v>41</v>
      </c>
      <c r="W572" s="59">
        <v>3</v>
      </c>
      <c r="X572" s="59">
        <v>1</v>
      </c>
      <c r="Y572" s="59">
        <v>2</v>
      </c>
      <c r="Z572" s="59">
        <f t="shared" si="161"/>
        <v>0</v>
      </c>
      <c r="AA572" s="59">
        <f>IF('Updated Dummy'!Y572=2,1,0)</f>
        <v>1</v>
      </c>
      <c r="AB572" s="59">
        <f t="shared" si="162"/>
        <v>0</v>
      </c>
      <c r="AC572" s="59">
        <f t="shared" si="163"/>
        <v>0</v>
      </c>
      <c r="AD572" s="59">
        <f t="shared" si="164"/>
        <v>0</v>
      </c>
      <c r="AE572" s="59">
        <f t="shared" si="165"/>
        <v>0</v>
      </c>
      <c r="AF572" s="59">
        <f t="shared" si="166"/>
        <v>0</v>
      </c>
      <c r="AG572" s="59">
        <f t="shared" si="167"/>
        <v>0</v>
      </c>
      <c r="AH572" s="59">
        <v>4</v>
      </c>
      <c r="AI572" s="59">
        <v>2</v>
      </c>
      <c r="AJ572" s="59">
        <f t="shared" si="168"/>
        <v>0</v>
      </c>
      <c r="AK572" s="59">
        <f t="shared" si="169"/>
        <v>1</v>
      </c>
      <c r="AL572" s="59">
        <v>4258</v>
      </c>
      <c r="AM572" s="59">
        <v>26589</v>
      </c>
      <c r="AN572" s="59">
        <v>0</v>
      </c>
      <c r="AO572" s="59">
        <v>0</v>
      </c>
      <c r="AP572" s="59">
        <v>18</v>
      </c>
      <c r="AQ572" s="59">
        <v>3</v>
      </c>
      <c r="AR572" s="59">
        <v>1</v>
      </c>
      <c r="AS572" s="59">
        <v>80</v>
      </c>
      <c r="AT572" s="59">
        <v>1</v>
      </c>
      <c r="AU572" s="59">
        <v>5</v>
      </c>
      <c r="AV572" s="59">
        <v>3</v>
      </c>
      <c r="AW572" s="59">
        <v>3</v>
      </c>
      <c r="AX572" s="59">
        <v>4</v>
      </c>
      <c r="AY572" s="59">
        <v>3</v>
      </c>
      <c r="AZ572" s="59">
        <v>1</v>
      </c>
      <c r="BA572" s="59">
        <v>2</v>
      </c>
      <c r="BB572" s="57">
        <f t="shared" si="170"/>
        <v>4258</v>
      </c>
    </row>
    <row r="573" spans="1:54" x14ac:dyDescent="0.25">
      <c r="A573" s="58">
        <v>26</v>
      </c>
      <c r="B573" s="59">
        <v>0</v>
      </c>
      <c r="C573" s="59">
        <v>2</v>
      </c>
      <c r="D573" s="59">
        <f t="shared" si="152"/>
        <v>0</v>
      </c>
      <c r="E573" s="59">
        <f t="shared" si="153"/>
        <v>1</v>
      </c>
      <c r="F573" s="59">
        <v>575</v>
      </c>
      <c r="G573" s="59">
        <v>2</v>
      </c>
      <c r="H573" s="59">
        <f t="shared" si="154"/>
        <v>0</v>
      </c>
      <c r="I573" s="59">
        <f t="shared" si="155"/>
        <v>1</v>
      </c>
      <c r="J573" s="59">
        <v>1</v>
      </c>
      <c r="K573" s="59">
        <v>2</v>
      </c>
      <c r="L573" s="59">
        <v>1</v>
      </c>
      <c r="M573" s="59">
        <f t="shared" si="156"/>
        <v>1</v>
      </c>
      <c r="N573" s="59">
        <f t="shared" si="157"/>
        <v>0</v>
      </c>
      <c r="O573" s="59">
        <f t="shared" si="158"/>
        <v>0</v>
      </c>
      <c r="P573" s="59">
        <f t="shared" si="159"/>
        <v>0</v>
      </c>
      <c r="Q573" s="59">
        <f t="shared" si="160"/>
        <v>0</v>
      </c>
      <c r="R573" s="59">
        <v>1</v>
      </c>
      <c r="S573" s="59">
        <v>792</v>
      </c>
      <c r="T573" s="59">
        <v>1</v>
      </c>
      <c r="U573" s="59">
        <v>0</v>
      </c>
      <c r="V573" s="59">
        <v>71</v>
      </c>
      <c r="W573" s="59">
        <v>1</v>
      </c>
      <c r="X573" s="59">
        <v>1</v>
      </c>
      <c r="Y573" s="59">
        <v>3</v>
      </c>
      <c r="Z573" s="59">
        <f t="shared" si="161"/>
        <v>0</v>
      </c>
      <c r="AA573" s="59">
        <f>IF('Updated Dummy'!Y573=2,1,0)</f>
        <v>0</v>
      </c>
      <c r="AB573" s="59">
        <f t="shared" si="162"/>
        <v>1</v>
      </c>
      <c r="AC573" s="59">
        <f t="shared" si="163"/>
        <v>0</v>
      </c>
      <c r="AD573" s="59">
        <f t="shared" si="164"/>
        <v>0</v>
      </c>
      <c r="AE573" s="59">
        <f t="shared" si="165"/>
        <v>0</v>
      </c>
      <c r="AF573" s="59">
        <f t="shared" si="166"/>
        <v>0</v>
      </c>
      <c r="AG573" s="59">
        <f t="shared" si="167"/>
        <v>0</v>
      </c>
      <c r="AH573" s="59">
        <v>4</v>
      </c>
      <c r="AI573" s="59">
        <v>3</v>
      </c>
      <c r="AJ573" s="59">
        <f t="shared" si="168"/>
        <v>0</v>
      </c>
      <c r="AK573" s="59">
        <f t="shared" si="169"/>
        <v>0</v>
      </c>
      <c r="AL573" s="59">
        <v>4364</v>
      </c>
      <c r="AM573" s="59">
        <v>5288</v>
      </c>
      <c r="AN573" s="59">
        <v>3</v>
      </c>
      <c r="AO573" s="59">
        <v>0</v>
      </c>
      <c r="AP573" s="59">
        <v>14</v>
      </c>
      <c r="AQ573" s="59">
        <v>3</v>
      </c>
      <c r="AR573" s="59">
        <v>1</v>
      </c>
      <c r="AS573" s="59">
        <v>80</v>
      </c>
      <c r="AT573" s="59">
        <v>1</v>
      </c>
      <c r="AU573" s="59">
        <v>5</v>
      </c>
      <c r="AV573" s="59">
        <v>2</v>
      </c>
      <c r="AW573" s="59">
        <v>3</v>
      </c>
      <c r="AX573" s="59">
        <v>2</v>
      </c>
      <c r="AY573" s="59">
        <v>2</v>
      </c>
      <c r="AZ573" s="59">
        <v>2</v>
      </c>
      <c r="BA573" s="59">
        <v>0</v>
      </c>
      <c r="BB573" s="57">
        <f t="shared" si="170"/>
        <v>4364</v>
      </c>
    </row>
    <row r="574" spans="1:54" x14ac:dyDescent="0.25">
      <c r="A574" s="58">
        <v>29</v>
      </c>
      <c r="B574" s="59">
        <v>0</v>
      </c>
      <c r="C574" s="59">
        <v>1</v>
      </c>
      <c r="D574" s="59">
        <f t="shared" si="152"/>
        <v>1</v>
      </c>
      <c r="E574" s="59">
        <f t="shared" si="153"/>
        <v>0</v>
      </c>
      <c r="F574" s="59">
        <v>657</v>
      </c>
      <c r="G574" s="59">
        <v>2</v>
      </c>
      <c r="H574" s="59">
        <f t="shared" si="154"/>
        <v>0</v>
      </c>
      <c r="I574" s="59">
        <f t="shared" si="155"/>
        <v>1</v>
      </c>
      <c r="J574" s="59">
        <v>27</v>
      </c>
      <c r="K574" s="59">
        <v>3</v>
      </c>
      <c r="L574" s="59">
        <v>3</v>
      </c>
      <c r="M574" s="59">
        <f t="shared" si="156"/>
        <v>0</v>
      </c>
      <c r="N574" s="59">
        <f t="shared" si="157"/>
        <v>0</v>
      </c>
      <c r="O574" s="59">
        <f t="shared" si="158"/>
        <v>1</v>
      </c>
      <c r="P574" s="59">
        <f t="shared" si="159"/>
        <v>0</v>
      </c>
      <c r="Q574" s="59">
        <f t="shared" si="160"/>
        <v>0</v>
      </c>
      <c r="R574" s="59">
        <v>1</v>
      </c>
      <c r="S574" s="59">
        <v>793</v>
      </c>
      <c r="T574" s="59">
        <v>2</v>
      </c>
      <c r="U574" s="59">
        <v>0</v>
      </c>
      <c r="V574" s="59">
        <v>66</v>
      </c>
      <c r="W574" s="59">
        <v>3</v>
      </c>
      <c r="X574" s="59">
        <v>2</v>
      </c>
      <c r="Y574" s="59">
        <v>5</v>
      </c>
      <c r="Z574" s="59">
        <f t="shared" si="161"/>
        <v>0</v>
      </c>
      <c r="AA574" s="59">
        <f>IF('Updated Dummy'!Y574=2,1,0)</f>
        <v>0</v>
      </c>
      <c r="AB574" s="59">
        <f t="shared" si="162"/>
        <v>0</v>
      </c>
      <c r="AC574" s="59">
        <f t="shared" si="163"/>
        <v>0</v>
      </c>
      <c r="AD574" s="59">
        <f t="shared" si="164"/>
        <v>1</v>
      </c>
      <c r="AE574" s="59">
        <f t="shared" si="165"/>
        <v>0</v>
      </c>
      <c r="AF574" s="59">
        <f t="shared" si="166"/>
        <v>0</v>
      </c>
      <c r="AG574" s="59">
        <f t="shared" si="167"/>
        <v>0</v>
      </c>
      <c r="AH574" s="59">
        <v>3</v>
      </c>
      <c r="AI574" s="59">
        <v>2</v>
      </c>
      <c r="AJ574" s="59">
        <f t="shared" si="168"/>
        <v>0</v>
      </c>
      <c r="AK574" s="59">
        <f t="shared" si="169"/>
        <v>1</v>
      </c>
      <c r="AL574" s="59">
        <v>4335</v>
      </c>
      <c r="AM574" s="59">
        <v>25549</v>
      </c>
      <c r="AN574" s="59">
        <v>4</v>
      </c>
      <c r="AO574" s="59">
        <v>0</v>
      </c>
      <c r="AP574" s="59">
        <v>12</v>
      </c>
      <c r="AQ574" s="59">
        <v>3</v>
      </c>
      <c r="AR574" s="59">
        <v>1</v>
      </c>
      <c r="AS574" s="59">
        <v>80</v>
      </c>
      <c r="AT574" s="59">
        <v>1</v>
      </c>
      <c r="AU574" s="59">
        <v>11</v>
      </c>
      <c r="AV574" s="59">
        <v>3</v>
      </c>
      <c r="AW574" s="59">
        <v>2</v>
      </c>
      <c r="AX574" s="59">
        <v>8</v>
      </c>
      <c r="AY574" s="59">
        <v>7</v>
      </c>
      <c r="AZ574" s="59">
        <v>1</v>
      </c>
      <c r="BA574" s="59">
        <v>1</v>
      </c>
      <c r="BB574" s="57">
        <f t="shared" si="170"/>
        <v>8670</v>
      </c>
    </row>
    <row r="575" spans="1:54" x14ac:dyDescent="0.25">
      <c r="A575" s="58">
        <v>26</v>
      </c>
      <c r="B575" s="59">
        <v>1</v>
      </c>
      <c r="C575" s="59">
        <v>1</v>
      </c>
      <c r="D575" s="59">
        <f t="shared" si="152"/>
        <v>1</v>
      </c>
      <c r="E575" s="59">
        <f t="shared" si="153"/>
        <v>0</v>
      </c>
      <c r="F575" s="59">
        <v>1146</v>
      </c>
      <c r="G575" s="59">
        <v>1</v>
      </c>
      <c r="H575" s="59">
        <f t="shared" si="154"/>
        <v>1</v>
      </c>
      <c r="I575" s="59">
        <f t="shared" si="155"/>
        <v>0</v>
      </c>
      <c r="J575" s="59">
        <v>8</v>
      </c>
      <c r="K575" s="59">
        <v>3</v>
      </c>
      <c r="L575" s="59">
        <v>5</v>
      </c>
      <c r="M575" s="59">
        <f t="shared" si="156"/>
        <v>0</v>
      </c>
      <c r="N575" s="59">
        <f t="shared" si="157"/>
        <v>0</v>
      </c>
      <c r="O575" s="59">
        <f t="shared" si="158"/>
        <v>0</v>
      </c>
      <c r="P575" s="59">
        <f t="shared" si="159"/>
        <v>0</v>
      </c>
      <c r="Q575" s="59">
        <f t="shared" si="160"/>
        <v>1</v>
      </c>
      <c r="R575" s="59">
        <v>1</v>
      </c>
      <c r="S575" s="59">
        <v>796</v>
      </c>
      <c r="T575" s="59">
        <v>4</v>
      </c>
      <c r="U575" s="59">
        <v>1</v>
      </c>
      <c r="V575" s="59">
        <v>38</v>
      </c>
      <c r="W575" s="59">
        <v>2</v>
      </c>
      <c r="X575" s="59">
        <v>2</v>
      </c>
      <c r="Y575" s="59">
        <v>1</v>
      </c>
      <c r="Z575" s="59">
        <f t="shared" si="161"/>
        <v>1</v>
      </c>
      <c r="AA575" s="59">
        <f>IF('Updated Dummy'!Y575=2,1,0)</f>
        <v>0</v>
      </c>
      <c r="AB575" s="59">
        <f t="shared" si="162"/>
        <v>0</v>
      </c>
      <c r="AC575" s="59">
        <f t="shared" si="163"/>
        <v>0</v>
      </c>
      <c r="AD575" s="59">
        <f t="shared" si="164"/>
        <v>0</v>
      </c>
      <c r="AE575" s="59">
        <f t="shared" si="165"/>
        <v>0</v>
      </c>
      <c r="AF575" s="59">
        <f t="shared" si="166"/>
        <v>0</v>
      </c>
      <c r="AG575" s="59">
        <f t="shared" si="167"/>
        <v>0</v>
      </c>
      <c r="AH575" s="59">
        <v>1</v>
      </c>
      <c r="AI575" s="59">
        <v>1</v>
      </c>
      <c r="AJ575" s="59">
        <f t="shared" si="168"/>
        <v>1</v>
      </c>
      <c r="AK575" s="59">
        <f t="shared" si="169"/>
        <v>0</v>
      </c>
      <c r="AL575" s="59">
        <v>5326</v>
      </c>
      <c r="AM575" s="59">
        <v>3064</v>
      </c>
      <c r="AN575" s="59">
        <v>6</v>
      </c>
      <c r="AO575" s="59">
        <v>0</v>
      </c>
      <c r="AP575" s="59">
        <v>17</v>
      </c>
      <c r="AQ575" s="59">
        <v>3</v>
      </c>
      <c r="AR575" s="59">
        <v>3</v>
      </c>
      <c r="AS575" s="59">
        <v>80</v>
      </c>
      <c r="AT575" s="59">
        <v>0</v>
      </c>
      <c r="AU575" s="59">
        <v>6</v>
      </c>
      <c r="AV575" s="59">
        <v>2</v>
      </c>
      <c r="AW575" s="59">
        <v>2</v>
      </c>
      <c r="AX575" s="59">
        <v>4</v>
      </c>
      <c r="AY575" s="59">
        <v>3</v>
      </c>
      <c r="AZ575" s="59">
        <v>1</v>
      </c>
      <c r="BA575" s="59">
        <v>2</v>
      </c>
      <c r="BB575" s="57">
        <f t="shared" si="170"/>
        <v>10652</v>
      </c>
    </row>
    <row r="576" spans="1:54" x14ac:dyDescent="0.25">
      <c r="A576" s="58">
        <v>34</v>
      </c>
      <c r="B576" s="59">
        <v>0</v>
      </c>
      <c r="C576" s="59">
        <v>1</v>
      </c>
      <c r="D576" s="59">
        <f t="shared" si="152"/>
        <v>1</v>
      </c>
      <c r="E576" s="59">
        <f t="shared" si="153"/>
        <v>0</v>
      </c>
      <c r="F576" s="59">
        <v>182</v>
      </c>
      <c r="G576" s="59">
        <v>2</v>
      </c>
      <c r="H576" s="59">
        <f t="shared" si="154"/>
        <v>0</v>
      </c>
      <c r="I576" s="59">
        <f t="shared" si="155"/>
        <v>1</v>
      </c>
      <c r="J576" s="59">
        <v>1</v>
      </c>
      <c r="K576" s="59">
        <v>4</v>
      </c>
      <c r="L576" s="59">
        <v>1</v>
      </c>
      <c r="M576" s="59">
        <f t="shared" si="156"/>
        <v>1</v>
      </c>
      <c r="N576" s="59">
        <f t="shared" si="157"/>
        <v>0</v>
      </c>
      <c r="O576" s="59">
        <f t="shared" si="158"/>
        <v>0</v>
      </c>
      <c r="P576" s="59">
        <f t="shared" si="159"/>
        <v>0</v>
      </c>
      <c r="Q576" s="59">
        <f t="shared" si="160"/>
        <v>0</v>
      </c>
      <c r="R576" s="59">
        <v>1</v>
      </c>
      <c r="S576" s="59">
        <v>797</v>
      </c>
      <c r="T576" s="59">
        <v>2</v>
      </c>
      <c r="U576" s="59">
        <v>0</v>
      </c>
      <c r="V576" s="59">
        <v>72</v>
      </c>
      <c r="W576" s="59">
        <v>4</v>
      </c>
      <c r="X576" s="59">
        <v>1</v>
      </c>
      <c r="Y576" s="59">
        <v>2</v>
      </c>
      <c r="Z576" s="59">
        <f t="shared" si="161"/>
        <v>0</v>
      </c>
      <c r="AA576" s="59">
        <f>IF('Updated Dummy'!Y576=2,1,0)</f>
        <v>1</v>
      </c>
      <c r="AB576" s="59">
        <f t="shared" si="162"/>
        <v>0</v>
      </c>
      <c r="AC576" s="59">
        <f t="shared" si="163"/>
        <v>0</v>
      </c>
      <c r="AD576" s="59">
        <f t="shared" si="164"/>
        <v>0</v>
      </c>
      <c r="AE576" s="59">
        <f t="shared" si="165"/>
        <v>0</v>
      </c>
      <c r="AF576" s="59">
        <f t="shared" si="166"/>
        <v>0</v>
      </c>
      <c r="AG576" s="59">
        <f t="shared" si="167"/>
        <v>0</v>
      </c>
      <c r="AH576" s="59">
        <v>4</v>
      </c>
      <c r="AI576" s="59">
        <v>1</v>
      </c>
      <c r="AJ576" s="59">
        <f t="shared" si="168"/>
        <v>1</v>
      </c>
      <c r="AK576" s="59">
        <f t="shared" si="169"/>
        <v>0</v>
      </c>
      <c r="AL576" s="59">
        <v>3280</v>
      </c>
      <c r="AM576" s="59">
        <v>13551</v>
      </c>
      <c r="AN576" s="59">
        <v>2</v>
      </c>
      <c r="AO576" s="59">
        <v>0</v>
      </c>
      <c r="AP576" s="59">
        <v>16</v>
      </c>
      <c r="AQ576" s="59">
        <v>3</v>
      </c>
      <c r="AR576" s="59">
        <v>3</v>
      </c>
      <c r="AS576" s="59">
        <v>80</v>
      </c>
      <c r="AT576" s="59">
        <v>0</v>
      </c>
      <c r="AU576" s="59">
        <v>10</v>
      </c>
      <c r="AV576" s="59">
        <v>2</v>
      </c>
      <c r="AW576" s="59">
        <v>3</v>
      </c>
      <c r="AX576" s="59">
        <v>4</v>
      </c>
      <c r="AY576" s="59">
        <v>2</v>
      </c>
      <c r="AZ576" s="59">
        <v>1</v>
      </c>
      <c r="BA576" s="59">
        <v>3</v>
      </c>
      <c r="BB576" s="57">
        <f t="shared" si="170"/>
        <v>3280</v>
      </c>
    </row>
    <row r="577" spans="1:54" x14ac:dyDescent="0.25">
      <c r="A577" s="58">
        <v>54</v>
      </c>
      <c r="B577" s="59">
        <v>0</v>
      </c>
      <c r="C577" s="59">
        <v>1</v>
      </c>
      <c r="D577" s="59">
        <f t="shared" si="152"/>
        <v>1</v>
      </c>
      <c r="E577" s="59">
        <f t="shared" si="153"/>
        <v>0</v>
      </c>
      <c r="F577" s="59">
        <v>376</v>
      </c>
      <c r="G577" s="59">
        <v>2</v>
      </c>
      <c r="H577" s="59">
        <f t="shared" si="154"/>
        <v>0</v>
      </c>
      <c r="I577" s="59">
        <f t="shared" si="155"/>
        <v>1</v>
      </c>
      <c r="J577" s="59">
        <v>19</v>
      </c>
      <c r="K577" s="59">
        <v>4</v>
      </c>
      <c r="L577" s="59">
        <v>3</v>
      </c>
      <c r="M577" s="59">
        <f t="shared" si="156"/>
        <v>0</v>
      </c>
      <c r="N577" s="59">
        <f t="shared" si="157"/>
        <v>0</v>
      </c>
      <c r="O577" s="59">
        <f t="shared" si="158"/>
        <v>1</v>
      </c>
      <c r="P577" s="59">
        <f t="shared" si="159"/>
        <v>0</v>
      </c>
      <c r="Q577" s="59">
        <f t="shared" si="160"/>
        <v>0</v>
      </c>
      <c r="R577" s="59">
        <v>1</v>
      </c>
      <c r="S577" s="59">
        <v>799</v>
      </c>
      <c r="T577" s="59">
        <v>4</v>
      </c>
      <c r="U577" s="59">
        <v>0</v>
      </c>
      <c r="V577" s="59">
        <v>95</v>
      </c>
      <c r="W577" s="59">
        <v>3</v>
      </c>
      <c r="X577" s="59">
        <v>2</v>
      </c>
      <c r="Y577" s="59">
        <v>4</v>
      </c>
      <c r="Z577" s="59">
        <f t="shared" si="161"/>
        <v>0</v>
      </c>
      <c r="AA577" s="59">
        <f>IF('Updated Dummy'!Y577=2,1,0)</f>
        <v>0</v>
      </c>
      <c r="AB577" s="59">
        <f t="shared" si="162"/>
        <v>0</v>
      </c>
      <c r="AC577" s="59">
        <f t="shared" si="163"/>
        <v>1</v>
      </c>
      <c r="AD577" s="59">
        <f t="shared" si="164"/>
        <v>0</v>
      </c>
      <c r="AE577" s="59">
        <f t="shared" si="165"/>
        <v>0</v>
      </c>
      <c r="AF577" s="59">
        <f t="shared" si="166"/>
        <v>0</v>
      </c>
      <c r="AG577" s="59">
        <f t="shared" si="167"/>
        <v>0</v>
      </c>
      <c r="AH577" s="59">
        <v>1</v>
      </c>
      <c r="AI577" s="59">
        <v>3</v>
      </c>
      <c r="AJ577" s="59">
        <f t="shared" si="168"/>
        <v>0</v>
      </c>
      <c r="AK577" s="59">
        <f t="shared" si="169"/>
        <v>0</v>
      </c>
      <c r="AL577" s="59">
        <v>5485</v>
      </c>
      <c r="AM577" s="59">
        <v>22670</v>
      </c>
      <c r="AN577" s="59">
        <v>9</v>
      </c>
      <c r="AO577" s="59">
        <v>1</v>
      </c>
      <c r="AP577" s="59">
        <v>11</v>
      </c>
      <c r="AQ577" s="59">
        <v>3</v>
      </c>
      <c r="AR577" s="59">
        <v>2</v>
      </c>
      <c r="AS577" s="59">
        <v>80</v>
      </c>
      <c r="AT577" s="59">
        <v>2</v>
      </c>
      <c r="AU577" s="59">
        <v>9</v>
      </c>
      <c r="AV577" s="59">
        <v>4</v>
      </c>
      <c r="AW577" s="59">
        <v>3</v>
      </c>
      <c r="AX577" s="59">
        <v>5</v>
      </c>
      <c r="AY577" s="59">
        <v>3</v>
      </c>
      <c r="AZ577" s="59">
        <v>1</v>
      </c>
      <c r="BA577" s="59">
        <v>4</v>
      </c>
      <c r="BB577" s="57">
        <f t="shared" si="170"/>
        <v>10970</v>
      </c>
    </row>
    <row r="578" spans="1:54" x14ac:dyDescent="0.25">
      <c r="A578" s="58">
        <v>27</v>
      </c>
      <c r="B578" s="59">
        <v>0</v>
      </c>
      <c r="C578" s="59">
        <v>2</v>
      </c>
      <c r="D578" s="59">
        <f t="shared" si="152"/>
        <v>0</v>
      </c>
      <c r="E578" s="59">
        <f t="shared" si="153"/>
        <v>1</v>
      </c>
      <c r="F578" s="59">
        <v>829</v>
      </c>
      <c r="G578" s="59">
        <v>1</v>
      </c>
      <c r="H578" s="59">
        <f t="shared" si="154"/>
        <v>1</v>
      </c>
      <c r="I578" s="59">
        <f t="shared" si="155"/>
        <v>0</v>
      </c>
      <c r="J578" s="59">
        <v>8</v>
      </c>
      <c r="K578" s="59">
        <v>1</v>
      </c>
      <c r="L578" s="59">
        <v>4</v>
      </c>
      <c r="M578" s="59">
        <f t="shared" si="156"/>
        <v>0</v>
      </c>
      <c r="N578" s="59">
        <f t="shared" si="157"/>
        <v>0</v>
      </c>
      <c r="O578" s="59">
        <f t="shared" si="158"/>
        <v>0</v>
      </c>
      <c r="P578" s="59">
        <f t="shared" si="159"/>
        <v>1</v>
      </c>
      <c r="Q578" s="59">
        <f t="shared" si="160"/>
        <v>0</v>
      </c>
      <c r="R578" s="59">
        <v>1</v>
      </c>
      <c r="S578" s="59">
        <v>800</v>
      </c>
      <c r="T578" s="59">
        <v>3</v>
      </c>
      <c r="U578" s="59">
        <v>1</v>
      </c>
      <c r="V578" s="59">
        <v>84</v>
      </c>
      <c r="W578" s="59">
        <v>3</v>
      </c>
      <c r="X578" s="59">
        <v>2</v>
      </c>
      <c r="Y578" s="59">
        <v>1</v>
      </c>
      <c r="Z578" s="59">
        <f t="shared" si="161"/>
        <v>1</v>
      </c>
      <c r="AA578" s="59">
        <f>IF('Updated Dummy'!Y578=2,1,0)</f>
        <v>0</v>
      </c>
      <c r="AB578" s="59">
        <f t="shared" si="162"/>
        <v>0</v>
      </c>
      <c r="AC578" s="59">
        <f t="shared" si="163"/>
        <v>0</v>
      </c>
      <c r="AD578" s="59">
        <f t="shared" si="164"/>
        <v>0</v>
      </c>
      <c r="AE578" s="59">
        <f t="shared" si="165"/>
        <v>0</v>
      </c>
      <c r="AF578" s="59">
        <f t="shared" si="166"/>
        <v>0</v>
      </c>
      <c r="AG578" s="59">
        <f t="shared" si="167"/>
        <v>0</v>
      </c>
      <c r="AH578" s="59">
        <v>4</v>
      </c>
      <c r="AI578" s="59">
        <v>2</v>
      </c>
      <c r="AJ578" s="59">
        <f t="shared" si="168"/>
        <v>0</v>
      </c>
      <c r="AK578" s="59">
        <f t="shared" si="169"/>
        <v>1</v>
      </c>
      <c r="AL578" s="59">
        <v>4342</v>
      </c>
      <c r="AM578" s="59">
        <v>24008</v>
      </c>
      <c r="AN578" s="59">
        <v>0</v>
      </c>
      <c r="AO578" s="59">
        <v>0</v>
      </c>
      <c r="AP578" s="59">
        <v>19</v>
      </c>
      <c r="AQ578" s="59">
        <v>3</v>
      </c>
      <c r="AR578" s="59">
        <v>2</v>
      </c>
      <c r="AS578" s="59">
        <v>80</v>
      </c>
      <c r="AT578" s="59">
        <v>1</v>
      </c>
      <c r="AU578" s="59">
        <v>5</v>
      </c>
      <c r="AV578" s="59">
        <v>3</v>
      </c>
      <c r="AW578" s="59">
        <v>3</v>
      </c>
      <c r="AX578" s="59">
        <v>4</v>
      </c>
      <c r="AY578" s="59">
        <v>2</v>
      </c>
      <c r="AZ578" s="59">
        <v>1</v>
      </c>
      <c r="BA578" s="59">
        <v>1</v>
      </c>
      <c r="BB578" s="57">
        <f t="shared" si="170"/>
        <v>8684</v>
      </c>
    </row>
    <row r="579" spans="1:54" x14ac:dyDescent="0.25">
      <c r="A579" s="58">
        <v>37</v>
      </c>
      <c r="B579" s="59">
        <v>0</v>
      </c>
      <c r="C579" s="59">
        <v>1</v>
      </c>
      <c r="D579" s="59">
        <f t="shared" ref="D579:D642" si="171">IF(C579=1,1,0)</f>
        <v>1</v>
      </c>
      <c r="E579" s="59">
        <f t="shared" ref="E579:E642" si="172">IF(C579=2,1,0)</f>
        <v>0</v>
      </c>
      <c r="F579" s="59">
        <v>571</v>
      </c>
      <c r="G579" s="59">
        <v>2</v>
      </c>
      <c r="H579" s="59">
        <f t="shared" ref="H579:H642" si="173">IF(G579=1,1,0)</f>
        <v>0</v>
      </c>
      <c r="I579" s="59">
        <f t="shared" ref="I579:I642" si="174">IF(G579=2,1,0)</f>
        <v>1</v>
      </c>
      <c r="J579" s="59">
        <v>10</v>
      </c>
      <c r="K579" s="59">
        <v>1</v>
      </c>
      <c r="L579" s="59">
        <v>1</v>
      </c>
      <c r="M579" s="59">
        <f t="shared" ref="M579:M642" si="175">IF(L579=1,1,0)</f>
        <v>1</v>
      </c>
      <c r="N579" s="59">
        <f t="shared" ref="N579:N642" si="176">IF(L579=2,1,0)</f>
        <v>0</v>
      </c>
      <c r="O579" s="59">
        <f t="shared" ref="O579:O642" si="177">IF(L579=3,1,0)</f>
        <v>0</v>
      </c>
      <c r="P579" s="59">
        <f t="shared" ref="P579:P642" si="178">IF(L579=4,1,0)</f>
        <v>0</v>
      </c>
      <c r="Q579" s="59">
        <f t="shared" ref="Q579:Q642" si="179">IF(L579=5,1,0)</f>
        <v>0</v>
      </c>
      <c r="R579" s="59">
        <v>1</v>
      </c>
      <c r="S579" s="59">
        <v>802</v>
      </c>
      <c r="T579" s="59">
        <v>4</v>
      </c>
      <c r="U579" s="59">
        <v>0</v>
      </c>
      <c r="V579" s="59">
        <v>82</v>
      </c>
      <c r="W579" s="59">
        <v>3</v>
      </c>
      <c r="X579" s="59">
        <v>1</v>
      </c>
      <c r="Y579" s="59">
        <v>2</v>
      </c>
      <c r="Z579" s="59">
        <f t="shared" ref="Z579:Z642" si="180">IF(Y579=1,1,0)</f>
        <v>0</v>
      </c>
      <c r="AA579" s="59">
        <f>IF('Updated Dummy'!Y579=2,1,0)</f>
        <v>1</v>
      </c>
      <c r="AB579" s="59">
        <f t="shared" ref="AB579:AB642" si="181">IF(Y579=3,1,0)</f>
        <v>0</v>
      </c>
      <c r="AC579" s="59">
        <f t="shared" ref="AC579:AC642" si="182">IF(Y579=4,1,0)</f>
        <v>0</v>
      </c>
      <c r="AD579" s="59">
        <f t="shared" ref="AD579:AD642" si="183">IF(Y579=5,1,0)</f>
        <v>0</v>
      </c>
      <c r="AE579" s="59">
        <f t="shared" ref="AE579:AE642" si="184">IF(Y579=6,1,0)</f>
        <v>0</v>
      </c>
      <c r="AF579" s="59">
        <f t="shared" ref="AF579:AF642" si="185">IF(Y579=7,1,0)</f>
        <v>0</v>
      </c>
      <c r="AG579" s="59">
        <f t="shared" ref="AG579:AG642" si="186">IF(Y579=8,1,0)</f>
        <v>0</v>
      </c>
      <c r="AH579" s="59">
        <v>1</v>
      </c>
      <c r="AI579" s="59">
        <v>3</v>
      </c>
      <c r="AJ579" s="59">
        <f t="shared" ref="AJ579:AJ642" si="187">IF(AI579=1,1,0)</f>
        <v>0</v>
      </c>
      <c r="AK579" s="59">
        <f t="shared" ref="AK579:AK642" si="188">IF(AI579=2,1,0)</f>
        <v>0</v>
      </c>
      <c r="AL579" s="59">
        <v>2782</v>
      </c>
      <c r="AM579" s="59">
        <v>19905</v>
      </c>
      <c r="AN579" s="59">
        <v>0</v>
      </c>
      <c r="AO579" s="59">
        <v>1</v>
      </c>
      <c r="AP579" s="59">
        <v>13</v>
      </c>
      <c r="AQ579" s="59">
        <v>3</v>
      </c>
      <c r="AR579" s="59">
        <v>2</v>
      </c>
      <c r="AS579" s="59">
        <v>80</v>
      </c>
      <c r="AT579" s="59">
        <v>2</v>
      </c>
      <c r="AU579" s="59">
        <v>6</v>
      </c>
      <c r="AV579" s="59">
        <v>3</v>
      </c>
      <c r="AW579" s="59">
        <v>2</v>
      </c>
      <c r="AX579" s="59">
        <v>5</v>
      </c>
      <c r="AY579" s="59">
        <v>3</v>
      </c>
      <c r="AZ579" s="59">
        <v>4</v>
      </c>
      <c r="BA579" s="59">
        <v>3</v>
      </c>
      <c r="BB579" s="57">
        <f t="shared" ref="BB579:BB642" si="189">X579*AL579</f>
        <v>2782</v>
      </c>
    </row>
    <row r="580" spans="1:54" x14ac:dyDescent="0.25">
      <c r="A580" s="58">
        <v>38</v>
      </c>
      <c r="B580" s="59">
        <v>0</v>
      </c>
      <c r="C580" s="59">
        <v>2</v>
      </c>
      <c r="D580" s="59">
        <f t="shared" si="171"/>
        <v>0</v>
      </c>
      <c r="E580" s="59">
        <f t="shared" si="172"/>
        <v>1</v>
      </c>
      <c r="F580" s="59">
        <v>240</v>
      </c>
      <c r="G580" s="59">
        <v>2</v>
      </c>
      <c r="H580" s="59">
        <f t="shared" si="173"/>
        <v>0</v>
      </c>
      <c r="I580" s="59">
        <f t="shared" si="174"/>
        <v>1</v>
      </c>
      <c r="J580" s="59">
        <v>2</v>
      </c>
      <c r="K580" s="59">
        <v>4</v>
      </c>
      <c r="L580" s="59">
        <v>1</v>
      </c>
      <c r="M580" s="59">
        <f t="shared" si="175"/>
        <v>1</v>
      </c>
      <c r="N580" s="59">
        <f t="shared" si="176"/>
        <v>0</v>
      </c>
      <c r="O580" s="59">
        <f t="shared" si="177"/>
        <v>0</v>
      </c>
      <c r="P580" s="59">
        <f t="shared" si="178"/>
        <v>0</v>
      </c>
      <c r="Q580" s="59">
        <f t="shared" si="179"/>
        <v>0</v>
      </c>
      <c r="R580" s="59">
        <v>1</v>
      </c>
      <c r="S580" s="59">
        <v>803</v>
      </c>
      <c r="T580" s="59">
        <v>1</v>
      </c>
      <c r="U580" s="59">
        <v>0</v>
      </c>
      <c r="V580" s="59">
        <v>75</v>
      </c>
      <c r="W580" s="59">
        <v>4</v>
      </c>
      <c r="X580" s="59">
        <v>2</v>
      </c>
      <c r="Y580" s="59">
        <v>4</v>
      </c>
      <c r="Z580" s="59">
        <f t="shared" si="180"/>
        <v>0</v>
      </c>
      <c r="AA580" s="59">
        <f>IF('Updated Dummy'!Y580=2,1,0)</f>
        <v>0</v>
      </c>
      <c r="AB580" s="59">
        <f t="shared" si="181"/>
        <v>0</v>
      </c>
      <c r="AC580" s="59">
        <f t="shared" si="182"/>
        <v>1</v>
      </c>
      <c r="AD580" s="59">
        <f t="shared" si="183"/>
        <v>0</v>
      </c>
      <c r="AE580" s="59">
        <f t="shared" si="184"/>
        <v>0</v>
      </c>
      <c r="AF580" s="59">
        <f t="shared" si="185"/>
        <v>0</v>
      </c>
      <c r="AG580" s="59">
        <f t="shared" si="186"/>
        <v>0</v>
      </c>
      <c r="AH580" s="59">
        <v>1</v>
      </c>
      <c r="AI580" s="59">
        <v>1</v>
      </c>
      <c r="AJ580" s="59">
        <f t="shared" si="187"/>
        <v>1</v>
      </c>
      <c r="AK580" s="59">
        <f t="shared" si="188"/>
        <v>0</v>
      </c>
      <c r="AL580" s="59">
        <v>5980</v>
      </c>
      <c r="AM580" s="59">
        <v>26085</v>
      </c>
      <c r="AN580" s="59">
        <v>6</v>
      </c>
      <c r="AO580" s="59">
        <v>1</v>
      </c>
      <c r="AP580" s="59">
        <v>12</v>
      </c>
      <c r="AQ580" s="59">
        <v>3</v>
      </c>
      <c r="AR580" s="59">
        <v>4</v>
      </c>
      <c r="AS580" s="59">
        <v>80</v>
      </c>
      <c r="AT580" s="59">
        <v>0</v>
      </c>
      <c r="AU580" s="59">
        <v>17</v>
      </c>
      <c r="AV580" s="59">
        <v>2</v>
      </c>
      <c r="AW580" s="59">
        <v>3</v>
      </c>
      <c r="AX580" s="59">
        <v>15</v>
      </c>
      <c r="AY580" s="59">
        <v>7</v>
      </c>
      <c r="AZ580" s="59">
        <v>4</v>
      </c>
      <c r="BA580" s="59">
        <v>12</v>
      </c>
      <c r="BB580" s="57">
        <f t="shared" si="189"/>
        <v>11960</v>
      </c>
    </row>
    <row r="581" spans="1:54" x14ac:dyDescent="0.25">
      <c r="A581" s="58">
        <v>34</v>
      </c>
      <c r="B581" s="59">
        <v>0</v>
      </c>
      <c r="C581" s="59">
        <v>1</v>
      </c>
      <c r="D581" s="59">
        <f t="shared" si="171"/>
        <v>1</v>
      </c>
      <c r="E581" s="59">
        <f t="shared" si="172"/>
        <v>0</v>
      </c>
      <c r="F581" s="59">
        <v>121</v>
      </c>
      <c r="G581" s="59">
        <v>2</v>
      </c>
      <c r="H581" s="59">
        <f t="shared" si="173"/>
        <v>0</v>
      </c>
      <c r="I581" s="59">
        <f t="shared" si="174"/>
        <v>1</v>
      </c>
      <c r="J581" s="59">
        <v>2</v>
      </c>
      <c r="K581" s="59">
        <v>4</v>
      </c>
      <c r="L581" s="59">
        <v>3</v>
      </c>
      <c r="M581" s="59">
        <f t="shared" si="175"/>
        <v>0</v>
      </c>
      <c r="N581" s="59">
        <f t="shared" si="176"/>
        <v>0</v>
      </c>
      <c r="O581" s="59">
        <f t="shared" si="177"/>
        <v>1</v>
      </c>
      <c r="P581" s="59">
        <f t="shared" si="178"/>
        <v>0</v>
      </c>
      <c r="Q581" s="59">
        <f t="shared" si="179"/>
        <v>0</v>
      </c>
      <c r="R581" s="59">
        <v>1</v>
      </c>
      <c r="S581" s="59">
        <v>804</v>
      </c>
      <c r="T581" s="59">
        <v>3</v>
      </c>
      <c r="U581" s="59">
        <v>0</v>
      </c>
      <c r="V581" s="59">
        <v>86</v>
      </c>
      <c r="W581" s="59">
        <v>2</v>
      </c>
      <c r="X581" s="59">
        <v>1</v>
      </c>
      <c r="Y581" s="59">
        <v>2</v>
      </c>
      <c r="Z581" s="59">
        <f t="shared" si="180"/>
        <v>0</v>
      </c>
      <c r="AA581" s="59">
        <f>IF('Updated Dummy'!Y581=2,1,0)</f>
        <v>1</v>
      </c>
      <c r="AB581" s="59">
        <f t="shared" si="181"/>
        <v>0</v>
      </c>
      <c r="AC581" s="59">
        <f t="shared" si="182"/>
        <v>0</v>
      </c>
      <c r="AD581" s="59">
        <f t="shared" si="183"/>
        <v>0</v>
      </c>
      <c r="AE581" s="59">
        <f t="shared" si="184"/>
        <v>0</v>
      </c>
      <c r="AF581" s="59">
        <f t="shared" si="185"/>
        <v>0</v>
      </c>
      <c r="AG581" s="59">
        <f t="shared" si="186"/>
        <v>0</v>
      </c>
      <c r="AH581" s="59">
        <v>1</v>
      </c>
      <c r="AI581" s="59">
        <v>1</v>
      </c>
      <c r="AJ581" s="59">
        <f t="shared" si="187"/>
        <v>1</v>
      </c>
      <c r="AK581" s="59">
        <f t="shared" si="188"/>
        <v>0</v>
      </c>
      <c r="AL581" s="59">
        <v>4381</v>
      </c>
      <c r="AM581" s="59">
        <v>7530</v>
      </c>
      <c r="AN581" s="59">
        <v>1</v>
      </c>
      <c r="AO581" s="59">
        <v>0</v>
      </c>
      <c r="AP581" s="59">
        <v>11</v>
      </c>
      <c r="AQ581" s="59">
        <v>3</v>
      </c>
      <c r="AR581" s="59">
        <v>3</v>
      </c>
      <c r="AS581" s="59">
        <v>80</v>
      </c>
      <c r="AT581" s="59">
        <v>0</v>
      </c>
      <c r="AU581" s="59">
        <v>6</v>
      </c>
      <c r="AV581" s="59">
        <v>3</v>
      </c>
      <c r="AW581" s="59">
        <v>3</v>
      </c>
      <c r="AX581" s="59">
        <v>6</v>
      </c>
      <c r="AY581" s="59">
        <v>5</v>
      </c>
      <c r="AZ581" s="59">
        <v>1</v>
      </c>
      <c r="BA581" s="59">
        <v>3</v>
      </c>
      <c r="BB581" s="57">
        <f t="shared" si="189"/>
        <v>4381</v>
      </c>
    </row>
    <row r="582" spans="1:54" x14ac:dyDescent="0.25">
      <c r="A582" s="58">
        <v>35</v>
      </c>
      <c r="B582" s="59">
        <v>0</v>
      </c>
      <c r="C582" s="59">
        <v>1</v>
      </c>
      <c r="D582" s="59">
        <f t="shared" si="171"/>
        <v>1</v>
      </c>
      <c r="E582" s="59">
        <f t="shared" si="172"/>
        <v>0</v>
      </c>
      <c r="F582" s="59">
        <v>384</v>
      </c>
      <c r="G582" s="59">
        <v>1</v>
      </c>
      <c r="H582" s="59">
        <f t="shared" si="173"/>
        <v>1</v>
      </c>
      <c r="I582" s="59">
        <f t="shared" si="174"/>
        <v>0</v>
      </c>
      <c r="J582" s="59">
        <v>8</v>
      </c>
      <c r="K582" s="59">
        <v>4</v>
      </c>
      <c r="L582" s="59">
        <v>1</v>
      </c>
      <c r="M582" s="59">
        <f t="shared" si="175"/>
        <v>1</v>
      </c>
      <c r="N582" s="59">
        <f t="shared" si="176"/>
        <v>0</v>
      </c>
      <c r="O582" s="59">
        <f t="shared" si="177"/>
        <v>0</v>
      </c>
      <c r="P582" s="59">
        <f t="shared" si="178"/>
        <v>0</v>
      </c>
      <c r="Q582" s="59">
        <f t="shared" si="179"/>
        <v>0</v>
      </c>
      <c r="R582" s="59">
        <v>1</v>
      </c>
      <c r="S582" s="59">
        <v>805</v>
      </c>
      <c r="T582" s="59">
        <v>1</v>
      </c>
      <c r="U582" s="59">
        <v>0</v>
      </c>
      <c r="V582" s="59">
        <v>72</v>
      </c>
      <c r="W582" s="59">
        <v>3</v>
      </c>
      <c r="X582" s="59">
        <v>1</v>
      </c>
      <c r="Y582" s="59">
        <v>7</v>
      </c>
      <c r="Z582" s="59">
        <f t="shared" si="180"/>
        <v>0</v>
      </c>
      <c r="AA582" s="59">
        <f>IF('Updated Dummy'!Y582=2,1,0)</f>
        <v>0</v>
      </c>
      <c r="AB582" s="59">
        <f t="shared" si="181"/>
        <v>0</v>
      </c>
      <c r="AC582" s="59">
        <f t="shared" si="182"/>
        <v>0</v>
      </c>
      <c r="AD582" s="59">
        <f t="shared" si="183"/>
        <v>0</v>
      </c>
      <c r="AE582" s="59">
        <f t="shared" si="184"/>
        <v>0</v>
      </c>
      <c r="AF582" s="59">
        <f t="shared" si="185"/>
        <v>1</v>
      </c>
      <c r="AG582" s="59">
        <f t="shared" si="186"/>
        <v>0</v>
      </c>
      <c r="AH582" s="59">
        <v>4</v>
      </c>
      <c r="AI582" s="59">
        <v>2</v>
      </c>
      <c r="AJ582" s="59">
        <f t="shared" si="187"/>
        <v>0</v>
      </c>
      <c r="AK582" s="59">
        <f t="shared" si="188"/>
        <v>1</v>
      </c>
      <c r="AL582" s="59">
        <v>2572</v>
      </c>
      <c r="AM582" s="59">
        <v>20317</v>
      </c>
      <c r="AN582" s="59">
        <v>1</v>
      </c>
      <c r="AO582" s="59">
        <v>0</v>
      </c>
      <c r="AP582" s="59">
        <v>16</v>
      </c>
      <c r="AQ582" s="59">
        <v>3</v>
      </c>
      <c r="AR582" s="59">
        <v>2</v>
      </c>
      <c r="AS582" s="59">
        <v>80</v>
      </c>
      <c r="AT582" s="59">
        <v>1</v>
      </c>
      <c r="AU582" s="59">
        <v>3</v>
      </c>
      <c r="AV582" s="59">
        <v>1</v>
      </c>
      <c r="AW582" s="59">
        <v>2</v>
      </c>
      <c r="AX582" s="59">
        <v>3</v>
      </c>
      <c r="AY582" s="59">
        <v>2</v>
      </c>
      <c r="AZ582" s="59">
        <v>0</v>
      </c>
      <c r="BA582" s="59">
        <v>2</v>
      </c>
      <c r="BB582" s="57">
        <f t="shared" si="189"/>
        <v>2572</v>
      </c>
    </row>
    <row r="583" spans="1:54" x14ac:dyDescent="0.25">
      <c r="A583" s="58">
        <v>30</v>
      </c>
      <c r="B583" s="59">
        <v>0</v>
      </c>
      <c r="C583" s="59">
        <v>1</v>
      </c>
      <c r="D583" s="59">
        <f t="shared" si="171"/>
        <v>1</v>
      </c>
      <c r="E583" s="59">
        <f t="shared" si="172"/>
        <v>0</v>
      </c>
      <c r="F583" s="59">
        <v>921</v>
      </c>
      <c r="G583" s="59">
        <v>2</v>
      </c>
      <c r="H583" s="59">
        <f t="shared" si="173"/>
        <v>0</v>
      </c>
      <c r="I583" s="59">
        <f t="shared" si="174"/>
        <v>1</v>
      </c>
      <c r="J583" s="59">
        <v>1</v>
      </c>
      <c r="K583" s="59">
        <v>3</v>
      </c>
      <c r="L583" s="59">
        <v>1</v>
      </c>
      <c r="M583" s="59">
        <f t="shared" si="175"/>
        <v>1</v>
      </c>
      <c r="N583" s="59">
        <f t="shared" si="176"/>
        <v>0</v>
      </c>
      <c r="O583" s="59">
        <f t="shared" si="177"/>
        <v>0</v>
      </c>
      <c r="P583" s="59">
        <f t="shared" si="178"/>
        <v>0</v>
      </c>
      <c r="Q583" s="59">
        <f t="shared" si="179"/>
        <v>0</v>
      </c>
      <c r="R583" s="59">
        <v>1</v>
      </c>
      <c r="S583" s="59">
        <v>806</v>
      </c>
      <c r="T583" s="59">
        <v>4</v>
      </c>
      <c r="U583" s="59">
        <v>1</v>
      </c>
      <c r="V583" s="59">
        <v>38</v>
      </c>
      <c r="W583" s="59">
        <v>1</v>
      </c>
      <c r="X583" s="59">
        <v>1</v>
      </c>
      <c r="Y583" s="59">
        <v>3</v>
      </c>
      <c r="Z583" s="59">
        <f t="shared" si="180"/>
        <v>0</v>
      </c>
      <c r="AA583" s="59">
        <f>IF('Updated Dummy'!Y583=2,1,0)</f>
        <v>0</v>
      </c>
      <c r="AB583" s="59">
        <f t="shared" si="181"/>
        <v>1</v>
      </c>
      <c r="AC583" s="59">
        <f t="shared" si="182"/>
        <v>0</v>
      </c>
      <c r="AD583" s="59">
        <f t="shared" si="183"/>
        <v>0</v>
      </c>
      <c r="AE583" s="59">
        <f t="shared" si="184"/>
        <v>0</v>
      </c>
      <c r="AF583" s="59">
        <f t="shared" si="185"/>
        <v>0</v>
      </c>
      <c r="AG583" s="59">
        <f t="shared" si="186"/>
        <v>0</v>
      </c>
      <c r="AH583" s="59">
        <v>3</v>
      </c>
      <c r="AI583" s="59">
        <v>2</v>
      </c>
      <c r="AJ583" s="59">
        <f t="shared" si="187"/>
        <v>0</v>
      </c>
      <c r="AK583" s="59">
        <f t="shared" si="188"/>
        <v>1</v>
      </c>
      <c r="AL583" s="59">
        <v>3833</v>
      </c>
      <c r="AM583" s="59">
        <v>24375</v>
      </c>
      <c r="AN583" s="59">
        <v>3</v>
      </c>
      <c r="AO583" s="59">
        <v>0</v>
      </c>
      <c r="AP583" s="59">
        <v>21</v>
      </c>
      <c r="AQ583" s="59">
        <v>4</v>
      </c>
      <c r="AR583" s="59">
        <v>3</v>
      </c>
      <c r="AS583" s="59">
        <v>80</v>
      </c>
      <c r="AT583" s="59">
        <v>2</v>
      </c>
      <c r="AU583" s="59">
        <v>7</v>
      </c>
      <c r="AV583" s="59">
        <v>2</v>
      </c>
      <c r="AW583" s="59">
        <v>3</v>
      </c>
      <c r="AX583" s="59">
        <v>2</v>
      </c>
      <c r="AY583" s="59">
        <v>2</v>
      </c>
      <c r="AZ583" s="59">
        <v>0</v>
      </c>
      <c r="BA583" s="59">
        <v>2</v>
      </c>
      <c r="BB583" s="57">
        <f t="shared" si="189"/>
        <v>3833</v>
      </c>
    </row>
    <row r="584" spans="1:54" x14ac:dyDescent="0.25">
      <c r="A584" s="58">
        <v>40</v>
      </c>
      <c r="B584" s="59">
        <v>0</v>
      </c>
      <c r="C584" s="59">
        <v>2</v>
      </c>
      <c r="D584" s="59">
        <f t="shared" si="171"/>
        <v>0</v>
      </c>
      <c r="E584" s="59">
        <f t="shared" si="172"/>
        <v>1</v>
      </c>
      <c r="F584" s="59">
        <v>791</v>
      </c>
      <c r="G584" s="59">
        <v>2</v>
      </c>
      <c r="H584" s="59">
        <f t="shared" si="173"/>
        <v>0</v>
      </c>
      <c r="I584" s="59">
        <f t="shared" si="174"/>
        <v>1</v>
      </c>
      <c r="J584" s="59">
        <v>2</v>
      </c>
      <c r="K584" s="59">
        <v>2</v>
      </c>
      <c r="L584" s="59">
        <v>3</v>
      </c>
      <c r="M584" s="59">
        <f t="shared" si="175"/>
        <v>0</v>
      </c>
      <c r="N584" s="59">
        <f t="shared" si="176"/>
        <v>0</v>
      </c>
      <c r="O584" s="59">
        <f t="shared" si="177"/>
        <v>1</v>
      </c>
      <c r="P584" s="59">
        <f t="shared" si="178"/>
        <v>0</v>
      </c>
      <c r="Q584" s="59">
        <f t="shared" si="179"/>
        <v>0</v>
      </c>
      <c r="R584" s="59">
        <v>1</v>
      </c>
      <c r="S584" s="59">
        <v>807</v>
      </c>
      <c r="T584" s="59">
        <v>3</v>
      </c>
      <c r="U584" s="59">
        <v>0</v>
      </c>
      <c r="V584" s="59">
        <v>38</v>
      </c>
      <c r="W584" s="59">
        <v>4</v>
      </c>
      <c r="X584" s="59">
        <v>2</v>
      </c>
      <c r="Y584" s="59">
        <v>5</v>
      </c>
      <c r="Z584" s="59">
        <f t="shared" si="180"/>
        <v>0</v>
      </c>
      <c r="AA584" s="59">
        <f>IF('Updated Dummy'!Y584=2,1,0)</f>
        <v>0</v>
      </c>
      <c r="AB584" s="59">
        <f t="shared" si="181"/>
        <v>0</v>
      </c>
      <c r="AC584" s="59">
        <f t="shared" si="182"/>
        <v>0</v>
      </c>
      <c r="AD584" s="59">
        <f t="shared" si="183"/>
        <v>1</v>
      </c>
      <c r="AE584" s="59">
        <f t="shared" si="184"/>
        <v>0</v>
      </c>
      <c r="AF584" s="59">
        <f t="shared" si="185"/>
        <v>0</v>
      </c>
      <c r="AG584" s="59">
        <f t="shared" si="186"/>
        <v>0</v>
      </c>
      <c r="AH584" s="59">
        <v>2</v>
      </c>
      <c r="AI584" s="59">
        <v>2</v>
      </c>
      <c r="AJ584" s="59">
        <f t="shared" si="187"/>
        <v>0</v>
      </c>
      <c r="AK584" s="59">
        <f t="shared" si="188"/>
        <v>1</v>
      </c>
      <c r="AL584" s="59">
        <v>4244</v>
      </c>
      <c r="AM584" s="59">
        <v>9931</v>
      </c>
      <c r="AN584" s="59">
        <v>1</v>
      </c>
      <c r="AO584" s="59">
        <v>0</v>
      </c>
      <c r="AP584" s="59">
        <v>24</v>
      </c>
      <c r="AQ584" s="59">
        <v>4</v>
      </c>
      <c r="AR584" s="59">
        <v>4</v>
      </c>
      <c r="AS584" s="59">
        <v>80</v>
      </c>
      <c r="AT584" s="59">
        <v>1</v>
      </c>
      <c r="AU584" s="59">
        <v>8</v>
      </c>
      <c r="AV584" s="59">
        <v>2</v>
      </c>
      <c r="AW584" s="59">
        <v>3</v>
      </c>
      <c r="AX584" s="59">
        <v>8</v>
      </c>
      <c r="AY584" s="59">
        <v>7</v>
      </c>
      <c r="AZ584" s="59">
        <v>3</v>
      </c>
      <c r="BA584" s="59">
        <v>7</v>
      </c>
      <c r="BB584" s="57">
        <f t="shared" si="189"/>
        <v>8488</v>
      </c>
    </row>
    <row r="585" spans="1:54" x14ac:dyDescent="0.25">
      <c r="A585" s="58">
        <v>34</v>
      </c>
      <c r="B585" s="59">
        <v>0</v>
      </c>
      <c r="C585" s="59">
        <v>1</v>
      </c>
      <c r="D585" s="59">
        <f t="shared" si="171"/>
        <v>1</v>
      </c>
      <c r="E585" s="59">
        <f t="shared" si="172"/>
        <v>0</v>
      </c>
      <c r="F585" s="59">
        <v>1111</v>
      </c>
      <c r="G585" s="59">
        <v>1</v>
      </c>
      <c r="H585" s="59">
        <f t="shared" si="173"/>
        <v>1</v>
      </c>
      <c r="I585" s="59">
        <f t="shared" si="174"/>
        <v>0</v>
      </c>
      <c r="J585" s="59">
        <v>8</v>
      </c>
      <c r="K585" s="59">
        <v>2</v>
      </c>
      <c r="L585" s="59">
        <v>1</v>
      </c>
      <c r="M585" s="59">
        <f t="shared" si="175"/>
        <v>1</v>
      </c>
      <c r="N585" s="59">
        <f t="shared" si="176"/>
        <v>0</v>
      </c>
      <c r="O585" s="59">
        <f t="shared" si="177"/>
        <v>0</v>
      </c>
      <c r="P585" s="59">
        <f t="shared" si="178"/>
        <v>0</v>
      </c>
      <c r="Q585" s="59">
        <f t="shared" si="179"/>
        <v>0</v>
      </c>
      <c r="R585" s="59">
        <v>1</v>
      </c>
      <c r="S585" s="59">
        <v>808</v>
      </c>
      <c r="T585" s="59">
        <v>3</v>
      </c>
      <c r="U585" s="59">
        <v>0</v>
      </c>
      <c r="V585" s="59">
        <v>93</v>
      </c>
      <c r="W585" s="59">
        <v>3</v>
      </c>
      <c r="X585" s="59">
        <v>2</v>
      </c>
      <c r="Y585" s="59">
        <v>1</v>
      </c>
      <c r="Z585" s="59">
        <f t="shared" si="180"/>
        <v>1</v>
      </c>
      <c r="AA585" s="59">
        <f>IF('Updated Dummy'!Y585=2,1,0)</f>
        <v>0</v>
      </c>
      <c r="AB585" s="59">
        <f t="shared" si="181"/>
        <v>0</v>
      </c>
      <c r="AC585" s="59">
        <f t="shared" si="182"/>
        <v>0</v>
      </c>
      <c r="AD585" s="59">
        <f t="shared" si="183"/>
        <v>0</v>
      </c>
      <c r="AE585" s="59">
        <f t="shared" si="184"/>
        <v>0</v>
      </c>
      <c r="AF585" s="59">
        <f t="shared" si="185"/>
        <v>0</v>
      </c>
      <c r="AG585" s="59">
        <f t="shared" si="186"/>
        <v>0</v>
      </c>
      <c r="AH585" s="59">
        <v>1</v>
      </c>
      <c r="AI585" s="59">
        <v>2</v>
      </c>
      <c r="AJ585" s="59">
        <f t="shared" si="187"/>
        <v>0</v>
      </c>
      <c r="AK585" s="59">
        <f t="shared" si="188"/>
        <v>1</v>
      </c>
      <c r="AL585" s="59">
        <v>6500</v>
      </c>
      <c r="AM585" s="59">
        <v>13305</v>
      </c>
      <c r="AN585" s="59">
        <v>5</v>
      </c>
      <c r="AO585" s="59">
        <v>0</v>
      </c>
      <c r="AP585" s="59">
        <v>17</v>
      </c>
      <c r="AQ585" s="59">
        <v>3</v>
      </c>
      <c r="AR585" s="59">
        <v>2</v>
      </c>
      <c r="AS585" s="59">
        <v>80</v>
      </c>
      <c r="AT585" s="59">
        <v>1</v>
      </c>
      <c r="AU585" s="59">
        <v>6</v>
      </c>
      <c r="AV585" s="59">
        <v>1</v>
      </c>
      <c r="AW585" s="59">
        <v>3</v>
      </c>
      <c r="AX585" s="59">
        <v>3</v>
      </c>
      <c r="AY585" s="59">
        <v>2</v>
      </c>
      <c r="AZ585" s="59">
        <v>1</v>
      </c>
      <c r="BA585" s="59">
        <v>2</v>
      </c>
      <c r="BB585" s="57">
        <f t="shared" si="189"/>
        <v>13000</v>
      </c>
    </row>
    <row r="586" spans="1:54" x14ac:dyDescent="0.25">
      <c r="A586" s="58">
        <v>42</v>
      </c>
      <c r="B586" s="59">
        <v>0</v>
      </c>
      <c r="C586" s="59">
        <v>2</v>
      </c>
      <c r="D586" s="59">
        <f t="shared" si="171"/>
        <v>0</v>
      </c>
      <c r="E586" s="59">
        <f t="shared" si="172"/>
        <v>1</v>
      </c>
      <c r="F586" s="59">
        <v>570</v>
      </c>
      <c r="G586" s="59">
        <v>2</v>
      </c>
      <c r="H586" s="59">
        <f t="shared" si="173"/>
        <v>0</v>
      </c>
      <c r="I586" s="59">
        <f t="shared" si="174"/>
        <v>1</v>
      </c>
      <c r="J586" s="59">
        <v>8</v>
      </c>
      <c r="K586" s="59">
        <v>3</v>
      </c>
      <c r="L586" s="59">
        <v>1</v>
      </c>
      <c r="M586" s="59">
        <f t="shared" si="175"/>
        <v>1</v>
      </c>
      <c r="N586" s="59">
        <f t="shared" si="176"/>
        <v>0</v>
      </c>
      <c r="O586" s="59">
        <f t="shared" si="177"/>
        <v>0</v>
      </c>
      <c r="P586" s="59">
        <f t="shared" si="178"/>
        <v>0</v>
      </c>
      <c r="Q586" s="59">
        <f t="shared" si="179"/>
        <v>0</v>
      </c>
      <c r="R586" s="59">
        <v>1</v>
      </c>
      <c r="S586" s="59">
        <v>809</v>
      </c>
      <c r="T586" s="59">
        <v>2</v>
      </c>
      <c r="U586" s="59">
        <v>1</v>
      </c>
      <c r="V586" s="59">
        <v>66</v>
      </c>
      <c r="W586" s="59">
        <v>3</v>
      </c>
      <c r="X586" s="59">
        <v>5</v>
      </c>
      <c r="Y586" s="59">
        <v>6</v>
      </c>
      <c r="Z586" s="59">
        <f t="shared" si="180"/>
        <v>0</v>
      </c>
      <c r="AA586" s="59">
        <f>IF('Updated Dummy'!Y586=2,1,0)</f>
        <v>0</v>
      </c>
      <c r="AB586" s="59">
        <f t="shared" si="181"/>
        <v>0</v>
      </c>
      <c r="AC586" s="59">
        <f t="shared" si="182"/>
        <v>0</v>
      </c>
      <c r="AD586" s="59">
        <f t="shared" si="183"/>
        <v>0</v>
      </c>
      <c r="AE586" s="59">
        <f t="shared" si="184"/>
        <v>1</v>
      </c>
      <c r="AF586" s="59">
        <f t="shared" si="185"/>
        <v>0</v>
      </c>
      <c r="AG586" s="59">
        <f t="shared" si="186"/>
        <v>0</v>
      </c>
      <c r="AH586" s="59">
        <v>4</v>
      </c>
      <c r="AI586" s="59">
        <v>3</v>
      </c>
      <c r="AJ586" s="59">
        <f t="shared" si="187"/>
        <v>0</v>
      </c>
      <c r="AK586" s="59">
        <f t="shared" si="188"/>
        <v>0</v>
      </c>
      <c r="AL586" s="59">
        <v>18430</v>
      </c>
      <c r="AM586" s="59">
        <v>16225</v>
      </c>
      <c r="AN586" s="59">
        <v>1</v>
      </c>
      <c r="AO586" s="59">
        <v>0</v>
      </c>
      <c r="AP586" s="59">
        <v>13</v>
      </c>
      <c r="AQ586" s="59">
        <v>3</v>
      </c>
      <c r="AR586" s="59">
        <v>2</v>
      </c>
      <c r="AS586" s="59">
        <v>80</v>
      </c>
      <c r="AT586" s="59">
        <v>1</v>
      </c>
      <c r="AU586" s="59">
        <v>24</v>
      </c>
      <c r="AV586" s="59">
        <v>4</v>
      </c>
      <c r="AW586" s="59">
        <v>2</v>
      </c>
      <c r="AX586" s="59">
        <v>24</v>
      </c>
      <c r="AY586" s="59">
        <v>7</v>
      </c>
      <c r="AZ586" s="59">
        <v>14</v>
      </c>
      <c r="BA586" s="59">
        <v>9</v>
      </c>
      <c r="BB586" s="57">
        <f t="shared" si="189"/>
        <v>92150</v>
      </c>
    </row>
    <row r="587" spans="1:54" x14ac:dyDescent="0.25">
      <c r="A587" s="58">
        <v>23</v>
      </c>
      <c r="B587" s="59">
        <v>1</v>
      </c>
      <c r="C587" s="59">
        <v>1</v>
      </c>
      <c r="D587" s="59">
        <f t="shared" si="171"/>
        <v>1</v>
      </c>
      <c r="E587" s="59">
        <f t="shared" si="172"/>
        <v>0</v>
      </c>
      <c r="F587" s="59">
        <v>1243</v>
      </c>
      <c r="G587" s="59">
        <v>2</v>
      </c>
      <c r="H587" s="59">
        <f t="shared" si="173"/>
        <v>0</v>
      </c>
      <c r="I587" s="59">
        <f t="shared" si="174"/>
        <v>1</v>
      </c>
      <c r="J587" s="59">
        <v>6</v>
      </c>
      <c r="K587" s="59">
        <v>3</v>
      </c>
      <c r="L587" s="59">
        <v>1</v>
      </c>
      <c r="M587" s="59">
        <f t="shared" si="175"/>
        <v>1</v>
      </c>
      <c r="N587" s="59">
        <f t="shared" si="176"/>
        <v>0</v>
      </c>
      <c r="O587" s="59">
        <f t="shared" si="177"/>
        <v>0</v>
      </c>
      <c r="P587" s="59">
        <f t="shared" si="178"/>
        <v>0</v>
      </c>
      <c r="Q587" s="59">
        <f t="shared" si="179"/>
        <v>0</v>
      </c>
      <c r="R587" s="59">
        <v>1</v>
      </c>
      <c r="S587" s="59">
        <v>811</v>
      </c>
      <c r="T587" s="59">
        <v>3</v>
      </c>
      <c r="U587" s="59">
        <v>1</v>
      </c>
      <c r="V587" s="59">
        <v>63</v>
      </c>
      <c r="W587" s="59">
        <v>4</v>
      </c>
      <c r="X587" s="59">
        <v>1</v>
      </c>
      <c r="Y587" s="59">
        <v>3</v>
      </c>
      <c r="Z587" s="59">
        <f t="shared" si="180"/>
        <v>0</v>
      </c>
      <c r="AA587" s="59">
        <f>IF('Updated Dummy'!Y587=2,1,0)</f>
        <v>0</v>
      </c>
      <c r="AB587" s="59">
        <f t="shared" si="181"/>
        <v>1</v>
      </c>
      <c r="AC587" s="59">
        <f t="shared" si="182"/>
        <v>0</v>
      </c>
      <c r="AD587" s="59">
        <f t="shared" si="183"/>
        <v>0</v>
      </c>
      <c r="AE587" s="59">
        <f t="shared" si="184"/>
        <v>0</v>
      </c>
      <c r="AF587" s="59">
        <f t="shared" si="185"/>
        <v>0</v>
      </c>
      <c r="AG587" s="59">
        <f t="shared" si="186"/>
        <v>0</v>
      </c>
      <c r="AH587" s="59">
        <v>1</v>
      </c>
      <c r="AI587" s="59">
        <v>2</v>
      </c>
      <c r="AJ587" s="59">
        <f t="shared" si="187"/>
        <v>0</v>
      </c>
      <c r="AK587" s="59">
        <f t="shared" si="188"/>
        <v>1</v>
      </c>
      <c r="AL587" s="59">
        <v>1601</v>
      </c>
      <c r="AM587" s="59">
        <v>3445</v>
      </c>
      <c r="AN587" s="59">
        <v>1</v>
      </c>
      <c r="AO587" s="59">
        <v>1</v>
      </c>
      <c r="AP587" s="59">
        <v>21</v>
      </c>
      <c r="AQ587" s="59">
        <v>4</v>
      </c>
      <c r="AR587" s="59">
        <v>3</v>
      </c>
      <c r="AS587" s="59">
        <v>80</v>
      </c>
      <c r="AT587" s="59">
        <v>2</v>
      </c>
      <c r="AU587" s="59">
        <v>1</v>
      </c>
      <c r="AV587" s="59">
        <v>2</v>
      </c>
      <c r="AW587" s="59">
        <v>3</v>
      </c>
      <c r="AX587" s="59">
        <v>0</v>
      </c>
      <c r="AY587" s="59">
        <v>0</v>
      </c>
      <c r="AZ587" s="59">
        <v>0</v>
      </c>
      <c r="BA587" s="59">
        <v>0</v>
      </c>
      <c r="BB587" s="57">
        <f t="shared" si="189"/>
        <v>1601</v>
      </c>
    </row>
    <row r="588" spans="1:54" x14ac:dyDescent="0.25">
      <c r="A588" s="58">
        <v>24</v>
      </c>
      <c r="B588" s="59">
        <v>0</v>
      </c>
      <c r="C588" s="59">
        <v>3</v>
      </c>
      <c r="D588" s="59">
        <f t="shared" si="171"/>
        <v>0</v>
      </c>
      <c r="E588" s="59">
        <f t="shared" si="172"/>
        <v>0</v>
      </c>
      <c r="F588" s="59">
        <v>1092</v>
      </c>
      <c r="G588" s="59">
        <v>2</v>
      </c>
      <c r="H588" s="59">
        <f t="shared" si="173"/>
        <v>0</v>
      </c>
      <c r="I588" s="59">
        <f t="shared" si="174"/>
        <v>1</v>
      </c>
      <c r="J588" s="59">
        <v>9</v>
      </c>
      <c r="K588" s="59">
        <v>3</v>
      </c>
      <c r="L588" s="59">
        <v>1</v>
      </c>
      <c r="M588" s="59">
        <f t="shared" si="175"/>
        <v>1</v>
      </c>
      <c r="N588" s="59">
        <f t="shared" si="176"/>
        <v>0</v>
      </c>
      <c r="O588" s="59">
        <f t="shared" si="177"/>
        <v>0</v>
      </c>
      <c r="P588" s="59">
        <f t="shared" si="178"/>
        <v>0</v>
      </c>
      <c r="Q588" s="59">
        <f t="shared" si="179"/>
        <v>0</v>
      </c>
      <c r="R588" s="59">
        <v>1</v>
      </c>
      <c r="S588" s="59">
        <v>812</v>
      </c>
      <c r="T588" s="59">
        <v>3</v>
      </c>
      <c r="U588" s="59">
        <v>1</v>
      </c>
      <c r="V588" s="59">
        <v>60</v>
      </c>
      <c r="W588" s="59">
        <v>2</v>
      </c>
      <c r="X588" s="59">
        <v>1</v>
      </c>
      <c r="Y588" s="59">
        <v>3</v>
      </c>
      <c r="Z588" s="59">
        <f t="shared" si="180"/>
        <v>0</v>
      </c>
      <c r="AA588" s="59">
        <f>IF('Updated Dummy'!Y588=2,1,0)</f>
        <v>0</v>
      </c>
      <c r="AB588" s="59">
        <f t="shared" si="181"/>
        <v>1</v>
      </c>
      <c r="AC588" s="59">
        <f t="shared" si="182"/>
        <v>0</v>
      </c>
      <c r="AD588" s="59">
        <f t="shared" si="183"/>
        <v>0</v>
      </c>
      <c r="AE588" s="59">
        <f t="shared" si="184"/>
        <v>0</v>
      </c>
      <c r="AF588" s="59">
        <f t="shared" si="185"/>
        <v>0</v>
      </c>
      <c r="AG588" s="59">
        <f t="shared" si="186"/>
        <v>0</v>
      </c>
      <c r="AH588" s="59">
        <v>2</v>
      </c>
      <c r="AI588" s="59">
        <v>3</v>
      </c>
      <c r="AJ588" s="59">
        <f t="shared" si="187"/>
        <v>0</v>
      </c>
      <c r="AK588" s="59">
        <f t="shared" si="188"/>
        <v>0</v>
      </c>
      <c r="AL588" s="59">
        <v>2694</v>
      </c>
      <c r="AM588" s="59">
        <v>26551</v>
      </c>
      <c r="AN588" s="59">
        <v>1</v>
      </c>
      <c r="AO588" s="59">
        <v>0</v>
      </c>
      <c r="AP588" s="59">
        <v>11</v>
      </c>
      <c r="AQ588" s="59">
        <v>3</v>
      </c>
      <c r="AR588" s="59">
        <v>3</v>
      </c>
      <c r="AS588" s="59">
        <v>80</v>
      </c>
      <c r="AT588" s="59">
        <v>3</v>
      </c>
      <c r="AU588" s="59">
        <v>1</v>
      </c>
      <c r="AV588" s="59">
        <v>4</v>
      </c>
      <c r="AW588" s="59">
        <v>3</v>
      </c>
      <c r="AX588" s="59">
        <v>1</v>
      </c>
      <c r="AY588" s="59">
        <v>0</v>
      </c>
      <c r="AZ588" s="59">
        <v>0</v>
      </c>
      <c r="BA588" s="59">
        <v>0</v>
      </c>
      <c r="BB588" s="57">
        <f t="shared" si="189"/>
        <v>2694</v>
      </c>
    </row>
    <row r="589" spans="1:54" x14ac:dyDescent="0.25">
      <c r="A589" s="58">
        <v>52</v>
      </c>
      <c r="B589" s="59">
        <v>0</v>
      </c>
      <c r="C589" s="59">
        <v>1</v>
      </c>
      <c r="D589" s="59">
        <f t="shared" si="171"/>
        <v>1</v>
      </c>
      <c r="E589" s="59">
        <f t="shared" si="172"/>
        <v>0</v>
      </c>
      <c r="F589" s="59">
        <v>1325</v>
      </c>
      <c r="G589" s="59">
        <v>2</v>
      </c>
      <c r="H589" s="59">
        <f t="shared" si="173"/>
        <v>0</v>
      </c>
      <c r="I589" s="59">
        <f t="shared" si="174"/>
        <v>1</v>
      </c>
      <c r="J589" s="59">
        <v>11</v>
      </c>
      <c r="K589" s="59">
        <v>4</v>
      </c>
      <c r="L589" s="59">
        <v>1</v>
      </c>
      <c r="M589" s="59">
        <f t="shared" si="175"/>
        <v>1</v>
      </c>
      <c r="N589" s="59">
        <f t="shared" si="176"/>
        <v>0</v>
      </c>
      <c r="O589" s="59">
        <f t="shared" si="177"/>
        <v>0</v>
      </c>
      <c r="P589" s="59">
        <f t="shared" si="178"/>
        <v>0</v>
      </c>
      <c r="Q589" s="59">
        <f t="shared" si="179"/>
        <v>0</v>
      </c>
      <c r="R589" s="59">
        <v>1</v>
      </c>
      <c r="S589" s="59">
        <v>813</v>
      </c>
      <c r="T589" s="59">
        <v>4</v>
      </c>
      <c r="U589" s="59">
        <v>0</v>
      </c>
      <c r="V589" s="59">
        <v>82</v>
      </c>
      <c r="W589" s="59">
        <v>3</v>
      </c>
      <c r="X589" s="59">
        <v>2</v>
      </c>
      <c r="Y589" s="59">
        <v>3</v>
      </c>
      <c r="Z589" s="59">
        <f t="shared" si="180"/>
        <v>0</v>
      </c>
      <c r="AA589" s="59">
        <f>IF('Updated Dummy'!Y589=2,1,0)</f>
        <v>0</v>
      </c>
      <c r="AB589" s="59">
        <f t="shared" si="181"/>
        <v>1</v>
      </c>
      <c r="AC589" s="59">
        <f t="shared" si="182"/>
        <v>0</v>
      </c>
      <c r="AD589" s="59">
        <f t="shared" si="183"/>
        <v>0</v>
      </c>
      <c r="AE589" s="59">
        <f t="shared" si="184"/>
        <v>0</v>
      </c>
      <c r="AF589" s="59">
        <f t="shared" si="185"/>
        <v>0</v>
      </c>
      <c r="AG589" s="59">
        <f t="shared" si="186"/>
        <v>0</v>
      </c>
      <c r="AH589" s="59">
        <v>3</v>
      </c>
      <c r="AI589" s="59">
        <v>2</v>
      </c>
      <c r="AJ589" s="59">
        <f t="shared" si="187"/>
        <v>0</v>
      </c>
      <c r="AK589" s="59">
        <f t="shared" si="188"/>
        <v>1</v>
      </c>
      <c r="AL589" s="59">
        <v>3149</v>
      </c>
      <c r="AM589" s="59">
        <v>21821</v>
      </c>
      <c r="AN589" s="59">
        <v>8</v>
      </c>
      <c r="AO589" s="59">
        <v>0</v>
      </c>
      <c r="AP589" s="59">
        <v>20</v>
      </c>
      <c r="AQ589" s="59">
        <v>4</v>
      </c>
      <c r="AR589" s="59">
        <v>2</v>
      </c>
      <c r="AS589" s="59">
        <v>80</v>
      </c>
      <c r="AT589" s="59">
        <v>1</v>
      </c>
      <c r="AU589" s="59">
        <v>9</v>
      </c>
      <c r="AV589" s="59">
        <v>3</v>
      </c>
      <c r="AW589" s="59">
        <v>3</v>
      </c>
      <c r="AX589" s="59">
        <v>5</v>
      </c>
      <c r="AY589" s="59">
        <v>2</v>
      </c>
      <c r="AZ589" s="59">
        <v>1</v>
      </c>
      <c r="BA589" s="59">
        <v>4</v>
      </c>
      <c r="BB589" s="57">
        <f t="shared" si="189"/>
        <v>6298</v>
      </c>
    </row>
    <row r="590" spans="1:54" x14ac:dyDescent="0.25">
      <c r="A590" s="58">
        <v>50</v>
      </c>
      <c r="B590" s="59">
        <v>0</v>
      </c>
      <c r="C590" s="59">
        <v>1</v>
      </c>
      <c r="D590" s="59">
        <f t="shared" si="171"/>
        <v>1</v>
      </c>
      <c r="E590" s="59">
        <f t="shared" si="172"/>
        <v>0</v>
      </c>
      <c r="F590" s="59">
        <v>691</v>
      </c>
      <c r="G590" s="59">
        <v>2</v>
      </c>
      <c r="H590" s="59">
        <f t="shared" si="173"/>
        <v>0</v>
      </c>
      <c r="I590" s="59">
        <f t="shared" si="174"/>
        <v>1</v>
      </c>
      <c r="J590" s="59">
        <v>2</v>
      </c>
      <c r="K590" s="59">
        <v>3</v>
      </c>
      <c r="L590" s="59">
        <v>3</v>
      </c>
      <c r="M590" s="59">
        <f t="shared" si="175"/>
        <v>0</v>
      </c>
      <c r="N590" s="59">
        <f t="shared" si="176"/>
        <v>0</v>
      </c>
      <c r="O590" s="59">
        <f t="shared" si="177"/>
        <v>1</v>
      </c>
      <c r="P590" s="59">
        <f t="shared" si="178"/>
        <v>0</v>
      </c>
      <c r="Q590" s="59">
        <f t="shared" si="179"/>
        <v>0</v>
      </c>
      <c r="R590" s="59">
        <v>1</v>
      </c>
      <c r="S590" s="59">
        <v>815</v>
      </c>
      <c r="T590" s="59">
        <v>3</v>
      </c>
      <c r="U590" s="59">
        <v>1</v>
      </c>
      <c r="V590" s="59">
        <v>64</v>
      </c>
      <c r="W590" s="59">
        <v>3</v>
      </c>
      <c r="X590" s="59">
        <v>4</v>
      </c>
      <c r="Y590" s="59">
        <v>8</v>
      </c>
      <c r="Z590" s="59">
        <f t="shared" si="180"/>
        <v>0</v>
      </c>
      <c r="AA590" s="59">
        <f>IF('Updated Dummy'!Y590=2,1,0)</f>
        <v>0</v>
      </c>
      <c r="AB590" s="59">
        <f t="shared" si="181"/>
        <v>0</v>
      </c>
      <c r="AC590" s="59">
        <f t="shared" si="182"/>
        <v>0</v>
      </c>
      <c r="AD590" s="59">
        <f t="shared" si="183"/>
        <v>0</v>
      </c>
      <c r="AE590" s="59">
        <f t="shared" si="184"/>
        <v>0</v>
      </c>
      <c r="AF590" s="59">
        <f t="shared" si="185"/>
        <v>0</v>
      </c>
      <c r="AG590" s="59">
        <f t="shared" si="186"/>
        <v>1</v>
      </c>
      <c r="AH590" s="59">
        <v>3</v>
      </c>
      <c r="AI590" s="59">
        <v>2</v>
      </c>
      <c r="AJ590" s="59">
        <f t="shared" si="187"/>
        <v>0</v>
      </c>
      <c r="AK590" s="59">
        <f t="shared" si="188"/>
        <v>1</v>
      </c>
      <c r="AL590" s="59">
        <v>17639</v>
      </c>
      <c r="AM590" s="59">
        <v>6881</v>
      </c>
      <c r="AN590" s="59">
        <v>5</v>
      </c>
      <c r="AO590" s="59">
        <v>0</v>
      </c>
      <c r="AP590" s="59">
        <v>16</v>
      </c>
      <c r="AQ590" s="59">
        <v>3</v>
      </c>
      <c r="AR590" s="59">
        <v>4</v>
      </c>
      <c r="AS590" s="59">
        <v>80</v>
      </c>
      <c r="AT590" s="59">
        <v>0</v>
      </c>
      <c r="AU590" s="59">
        <v>30</v>
      </c>
      <c r="AV590" s="59">
        <v>3</v>
      </c>
      <c r="AW590" s="59">
        <v>3</v>
      </c>
      <c r="AX590" s="59">
        <v>4</v>
      </c>
      <c r="AY590" s="59">
        <v>3</v>
      </c>
      <c r="AZ590" s="59">
        <v>0</v>
      </c>
      <c r="BA590" s="59">
        <v>3</v>
      </c>
      <c r="BB590" s="57">
        <f t="shared" si="189"/>
        <v>70556</v>
      </c>
    </row>
    <row r="591" spans="1:54" x14ac:dyDescent="0.25">
      <c r="A591" s="58">
        <v>29</v>
      </c>
      <c r="B591" s="59">
        <v>1</v>
      </c>
      <c r="C591" s="59">
        <v>1</v>
      </c>
      <c r="D591" s="59">
        <f t="shared" si="171"/>
        <v>1</v>
      </c>
      <c r="E591" s="59">
        <f t="shared" si="172"/>
        <v>0</v>
      </c>
      <c r="F591" s="59">
        <v>805</v>
      </c>
      <c r="G591" s="59">
        <v>2</v>
      </c>
      <c r="H591" s="59">
        <f t="shared" si="173"/>
        <v>0</v>
      </c>
      <c r="I591" s="59">
        <f t="shared" si="174"/>
        <v>1</v>
      </c>
      <c r="J591" s="59">
        <v>1</v>
      </c>
      <c r="K591" s="59">
        <v>2</v>
      </c>
      <c r="L591" s="59">
        <v>1</v>
      </c>
      <c r="M591" s="59">
        <f t="shared" si="175"/>
        <v>1</v>
      </c>
      <c r="N591" s="59">
        <f t="shared" si="176"/>
        <v>0</v>
      </c>
      <c r="O591" s="59">
        <f t="shared" si="177"/>
        <v>0</v>
      </c>
      <c r="P591" s="59">
        <f t="shared" si="178"/>
        <v>0</v>
      </c>
      <c r="Q591" s="59">
        <f t="shared" si="179"/>
        <v>0</v>
      </c>
      <c r="R591" s="59">
        <v>1</v>
      </c>
      <c r="S591" s="59">
        <v>816</v>
      </c>
      <c r="T591" s="59">
        <v>2</v>
      </c>
      <c r="U591" s="59">
        <v>0</v>
      </c>
      <c r="V591" s="59">
        <v>36</v>
      </c>
      <c r="W591" s="59">
        <v>2</v>
      </c>
      <c r="X591" s="59">
        <v>1</v>
      </c>
      <c r="Y591" s="59">
        <v>3</v>
      </c>
      <c r="Z591" s="59">
        <f t="shared" si="180"/>
        <v>0</v>
      </c>
      <c r="AA591" s="59">
        <f>IF('Updated Dummy'!Y591=2,1,0)</f>
        <v>0</v>
      </c>
      <c r="AB591" s="59">
        <f t="shared" si="181"/>
        <v>1</v>
      </c>
      <c r="AC591" s="59">
        <f t="shared" si="182"/>
        <v>0</v>
      </c>
      <c r="AD591" s="59">
        <f t="shared" si="183"/>
        <v>0</v>
      </c>
      <c r="AE591" s="59">
        <f t="shared" si="184"/>
        <v>0</v>
      </c>
      <c r="AF591" s="59">
        <f t="shared" si="185"/>
        <v>0</v>
      </c>
      <c r="AG591" s="59">
        <f t="shared" si="186"/>
        <v>0</v>
      </c>
      <c r="AH591" s="59">
        <v>1</v>
      </c>
      <c r="AI591" s="59">
        <v>2</v>
      </c>
      <c r="AJ591" s="59">
        <f t="shared" si="187"/>
        <v>0</v>
      </c>
      <c r="AK591" s="59">
        <f t="shared" si="188"/>
        <v>1</v>
      </c>
      <c r="AL591" s="59">
        <v>2319</v>
      </c>
      <c r="AM591" s="59">
        <v>6689</v>
      </c>
      <c r="AN591" s="59">
        <v>1</v>
      </c>
      <c r="AO591" s="59">
        <v>1</v>
      </c>
      <c r="AP591" s="59">
        <v>11</v>
      </c>
      <c r="AQ591" s="59">
        <v>3</v>
      </c>
      <c r="AR591" s="59">
        <v>4</v>
      </c>
      <c r="AS591" s="59">
        <v>80</v>
      </c>
      <c r="AT591" s="59">
        <v>1</v>
      </c>
      <c r="AU591" s="59">
        <v>1</v>
      </c>
      <c r="AV591" s="59">
        <v>1</v>
      </c>
      <c r="AW591" s="59">
        <v>3</v>
      </c>
      <c r="AX591" s="59">
        <v>1</v>
      </c>
      <c r="AY591" s="59">
        <v>0</v>
      </c>
      <c r="AZ591" s="59">
        <v>0</v>
      </c>
      <c r="BA591" s="59">
        <v>0</v>
      </c>
      <c r="BB591" s="57">
        <f t="shared" si="189"/>
        <v>2319</v>
      </c>
    </row>
    <row r="592" spans="1:54" x14ac:dyDescent="0.25">
      <c r="A592" s="58">
        <v>33</v>
      </c>
      <c r="B592" s="59">
        <v>0</v>
      </c>
      <c r="C592" s="59">
        <v>1</v>
      </c>
      <c r="D592" s="59">
        <f t="shared" si="171"/>
        <v>1</v>
      </c>
      <c r="E592" s="59">
        <f t="shared" si="172"/>
        <v>0</v>
      </c>
      <c r="F592" s="59">
        <v>213</v>
      </c>
      <c r="G592" s="59">
        <v>2</v>
      </c>
      <c r="H592" s="59">
        <f t="shared" si="173"/>
        <v>0</v>
      </c>
      <c r="I592" s="59">
        <f t="shared" si="174"/>
        <v>1</v>
      </c>
      <c r="J592" s="59">
        <v>7</v>
      </c>
      <c r="K592" s="59">
        <v>3</v>
      </c>
      <c r="L592" s="59">
        <v>3</v>
      </c>
      <c r="M592" s="59">
        <f t="shared" si="175"/>
        <v>0</v>
      </c>
      <c r="N592" s="59">
        <f t="shared" si="176"/>
        <v>0</v>
      </c>
      <c r="O592" s="59">
        <f t="shared" si="177"/>
        <v>1</v>
      </c>
      <c r="P592" s="59">
        <f t="shared" si="178"/>
        <v>0</v>
      </c>
      <c r="Q592" s="59">
        <f t="shared" si="179"/>
        <v>0</v>
      </c>
      <c r="R592" s="59">
        <v>1</v>
      </c>
      <c r="S592" s="59">
        <v>817</v>
      </c>
      <c r="T592" s="59">
        <v>3</v>
      </c>
      <c r="U592" s="59">
        <v>1</v>
      </c>
      <c r="V592" s="59">
        <v>49</v>
      </c>
      <c r="W592" s="59">
        <v>3</v>
      </c>
      <c r="X592" s="59">
        <v>3</v>
      </c>
      <c r="Y592" s="59">
        <v>8</v>
      </c>
      <c r="Z592" s="59">
        <f t="shared" si="180"/>
        <v>0</v>
      </c>
      <c r="AA592" s="59">
        <f>IF('Updated Dummy'!Y592=2,1,0)</f>
        <v>0</v>
      </c>
      <c r="AB592" s="59">
        <f t="shared" si="181"/>
        <v>0</v>
      </c>
      <c r="AC592" s="59">
        <f t="shared" si="182"/>
        <v>0</v>
      </c>
      <c r="AD592" s="59">
        <f t="shared" si="183"/>
        <v>0</v>
      </c>
      <c r="AE592" s="59">
        <f t="shared" si="184"/>
        <v>0</v>
      </c>
      <c r="AF592" s="59">
        <f t="shared" si="185"/>
        <v>0</v>
      </c>
      <c r="AG592" s="59">
        <f t="shared" si="186"/>
        <v>1</v>
      </c>
      <c r="AH592" s="59">
        <v>3</v>
      </c>
      <c r="AI592" s="59">
        <v>2</v>
      </c>
      <c r="AJ592" s="59">
        <f t="shared" si="187"/>
        <v>0</v>
      </c>
      <c r="AK592" s="59">
        <f t="shared" si="188"/>
        <v>1</v>
      </c>
      <c r="AL592" s="59">
        <v>11691</v>
      </c>
      <c r="AM592" s="59">
        <v>25995</v>
      </c>
      <c r="AN592" s="59">
        <v>0</v>
      </c>
      <c r="AO592" s="59">
        <v>0</v>
      </c>
      <c r="AP592" s="59">
        <v>11</v>
      </c>
      <c r="AQ592" s="59">
        <v>3</v>
      </c>
      <c r="AR592" s="59">
        <v>4</v>
      </c>
      <c r="AS592" s="59">
        <v>80</v>
      </c>
      <c r="AT592" s="59">
        <v>0</v>
      </c>
      <c r="AU592" s="59">
        <v>14</v>
      </c>
      <c r="AV592" s="59">
        <v>3</v>
      </c>
      <c r="AW592" s="59">
        <v>4</v>
      </c>
      <c r="AX592" s="59">
        <v>13</v>
      </c>
      <c r="AY592" s="59">
        <v>9</v>
      </c>
      <c r="AZ592" s="59">
        <v>3</v>
      </c>
      <c r="BA592" s="59">
        <v>7</v>
      </c>
      <c r="BB592" s="57">
        <f t="shared" si="189"/>
        <v>35073</v>
      </c>
    </row>
    <row r="593" spans="1:54" x14ac:dyDescent="0.25">
      <c r="A593" s="58">
        <v>33</v>
      </c>
      <c r="B593" s="59">
        <v>1</v>
      </c>
      <c r="C593" s="59">
        <v>1</v>
      </c>
      <c r="D593" s="59">
        <f t="shared" si="171"/>
        <v>1</v>
      </c>
      <c r="E593" s="59">
        <f t="shared" si="172"/>
        <v>0</v>
      </c>
      <c r="F593" s="59">
        <v>118</v>
      </c>
      <c r="G593" s="59">
        <v>1</v>
      </c>
      <c r="H593" s="59">
        <f t="shared" si="173"/>
        <v>1</v>
      </c>
      <c r="I593" s="59">
        <f t="shared" si="174"/>
        <v>0</v>
      </c>
      <c r="J593" s="59">
        <v>16</v>
      </c>
      <c r="K593" s="59">
        <v>3</v>
      </c>
      <c r="L593" s="59">
        <v>4</v>
      </c>
      <c r="M593" s="59">
        <f t="shared" si="175"/>
        <v>0</v>
      </c>
      <c r="N593" s="59">
        <f t="shared" si="176"/>
        <v>0</v>
      </c>
      <c r="O593" s="59">
        <f t="shared" si="177"/>
        <v>0</v>
      </c>
      <c r="P593" s="59">
        <f t="shared" si="178"/>
        <v>1</v>
      </c>
      <c r="Q593" s="59">
        <f t="shared" si="179"/>
        <v>0</v>
      </c>
      <c r="R593" s="59">
        <v>1</v>
      </c>
      <c r="S593" s="59">
        <v>819</v>
      </c>
      <c r="T593" s="59">
        <v>1</v>
      </c>
      <c r="U593" s="59">
        <v>0</v>
      </c>
      <c r="V593" s="59">
        <v>69</v>
      </c>
      <c r="W593" s="59">
        <v>3</v>
      </c>
      <c r="X593" s="59">
        <v>2</v>
      </c>
      <c r="Y593" s="59">
        <v>1</v>
      </c>
      <c r="Z593" s="59">
        <f t="shared" si="180"/>
        <v>1</v>
      </c>
      <c r="AA593" s="59">
        <f>IF('Updated Dummy'!Y593=2,1,0)</f>
        <v>0</v>
      </c>
      <c r="AB593" s="59">
        <f t="shared" si="181"/>
        <v>0</v>
      </c>
      <c r="AC593" s="59">
        <f t="shared" si="182"/>
        <v>0</v>
      </c>
      <c r="AD593" s="59">
        <f t="shared" si="183"/>
        <v>0</v>
      </c>
      <c r="AE593" s="59">
        <f t="shared" si="184"/>
        <v>0</v>
      </c>
      <c r="AF593" s="59">
        <f t="shared" si="185"/>
        <v>0</v>
      </c>
      <c r="AG593" s="59">
        <f t="shared" si="186"/>
        <v>0</v>
      </c>
      <c r="AH593" s="59">
        <v>1</v>
      </c>
      <c r="AI593" s="59">
        <v>1</v>
      </c>
      <c r="AJ593" s="59">
        <f t="shared" si="187"/>
        <v>1</v>
      </c>
      <c r="AK593" s="59">
        <f t="shared" si="188"/>
        <v>0</v>
      </c>
      <c r="AL593" s="59">
        <v>5324</v>
      </c>
      <c r="AM593" s="59">
        <v>26507</v>
      </c>
      <c r="AN593" s="59">
        <v>5</v>
      </c>
      <c r="AO593" s="59">
        <v>0</v>
      </c>
      <c r="AP593" s="59">
        <v>15</v>
      </c>
      <c r="AQ593" s="59">
        <v>3</v>
      </c>
      <c r="AR593" s="59">
        <v>3</v>
      </c>
      <c r="AS593" s="59">
        <v>80</v>
      </c>
      <c r="AT593" s="59">
        <v>0</v>
      </c>
      <c r="AU593" s="59">
        <v>6</v>
      </c>
      <c r="AV593" s="59">
        <v>3</v>
      </c>
      <c r="AW593" s="59">
        <v>3</v>
      </c>
      <c r="AX593" s="59">
        <v>3</v>
      </c>
      <c r="AY593" s="59">
        <v>2</v>
      </c>
      <c r="AZ593" s="59">
        <v>0</v>
      </c>
      <c r="BA593" s="59">
        <v>2</v>
      </c>
      <c r="BB593" s="57">
        <f t="shared" si="189"/>
        <v>10648</v>
      </c>
    </row>
    <row r="594" spans="1:54" x14ac:dyDescent="0.25">
      <c r="A594" s="58">
        <v>47</v>
      </c>
      <c r="B594" s="59">
        <v>0</v>
      </c>
      <c r="C594" s="59">
        <v>1</v>
      </c>
      <c r="D594" s="59">
        <f t="shared" si="171"/>
        <v>1</v>
      </c>
      <c r="E594" s="59">
        <f t="shared" si="172"/>
        <v>0</v>
      </c>
      <c r="F594" s="59">
        <v>202</v>
      </c>
      <c r="G594" s="59">
        <v>2</v>
      </c>
      <c r="H594" s="59">
        <f t="shared" si="173"/>
        <v>0</v>
      </c>
      <c r="I594" s="59">
        <f t="shared" si="174"/>
        <v>1</v>
      </c>
      <c r="J594" s="59">
        <v>2</v>
      </c>
      <c r="K594" s="59">
        <v>2</v>
      </c>
      <c r="L594" s="59">
        <v>6</v>
      </c>
      <c r="M594" s="59">
        <f t="shared" si="175"/>
        <v>0</v>
      </c>
      <c r="N594" s="59">
        <f t="shared" si="176"/>
        <v>0</v>
      </c>
      <c r="O594" s="59">
        <f t="shared" si="177"/>
        <v>0</v>
      </c>
      <c r="P594" s="59">
        <f t="shared" si="178"/>
        <v>0</v>
      </c>
      <c r="Q594" s="59">
        <f t="shared" si="179"/>
        <v>0</v>
      </c>
      <c r="R594" s="59">
        <v>1</v>
      </c>
      <c r="S594" s="59">
        <v>820</v>
      </c>
      <c r="T594" s="59">
        <v>3</v>
      </c>
      <c r="U594" s="59">
        <v>0</v>
      </c>
      <c r="V594" s="59">
        <v>33</v>
      </c>
      <c r="W594" s="59">
        <v>3</v>
      </c>
      <c r="X594" s="59">
        <v>4</v>
      </c>
      <c r="Y594" s="59">
        <v>6</v>
      </c>
      <c r="Z594" s="59">
        <f t="shared" si="180"/>
        <v>0</v>
      </c>
      <c r="AA594" s="59">
        <f>IF('Updated Dummy'!Y594=2,1,0)</f>
        <v>0</v>
      </c>
      <c r="AB594" s="59">
        <f t="shared" si="181"/>
        <v>0</v>
      </c>
      <c r="AC594" s="59">
        <f t="shared" si="182"/>
        <v>0</v>
      </c>
      <c r="AD594" s="59">
        <f t="shared" si="183"/>
        <v>0</v>
      </c>
      <c r="AE594" s="59">
        <f t="shared" si="184"/>
        <v>1</v>
      </c>
      <c r="AF594" s="59">
        <f t="shared" si="185"/>
        <v>0</v>
      </c>
      <c r="AG594" s="59">
        <f t="shared" si="186"/>
        <v>0</v>
      </c>
      <c r="AH594" s="59">
        <v>4</v>
      </c>
      <c r="AI594" s="59">
        <v>2</v>
      </c>
      <c r="AJ594" s="59">
        <f t="shared" si="187"/>
        <v>0</v>
      </c>
      <c r="AK594" s="59">
        <f t="shared" si="188"/>
        <v>1</v>
      </c>
      <c r="AL594" s="59">
        <v>16752</v>
      </c>
      <c r="AM594" s="59">
        <v>12982</v>
      </c>
      <c r="AN594" s="59">
        <v>1</v>
      </c>
      <c r="AO594" s="59">
        <v>1</v>
      </c>
      <c r="AP594" s="59">
        <v>11</v>
      </c>
      <c r="AQ594" s="59">
        <v>3</v>
      </c>
      <c r="AR594" s="59">
        <v>3</v>
      </c>
      <c r="AS594" s="59">
        <v>80</v>
      </c>
      <c r="AT594" s="59">
        <v>1</v>
      </c>
      <c r="AU594" s="59">
        <v>26</v>
      </c>
      <c r="AV594" s="59">
        <v>3</v>
      </c>
      <c r="AW594" s="59">
        <v>2</v>
      </c>
      <c r="AX594" s="59">
        <v>26</v>
      </c>
      <c r="AY594" s="59">
        <v>14</v>
      </c>
      <c r="AZ594" s="59">
        <v>3</v>
      </c>
      <c r="BA594" s="59">
        <v>0</v>
      </c>
      <c r="BB594" s="57">
        <f t="shared" si="189"/>
        <v>67008</v>
      </c>
    </row>
    <row r="595" spans="1:54" x14ac:dyDescent="0.25">
      <c r="A595" s="58">
        <v>36</v>
      </c>
      <c r="B595" s="59">
        <v>0</v>
      </c>
      <c r="C595" s="59">
        <v>1</v>
      </c>
      <c r="D595" s="59">
        <f t="shared" si="171"/>
        <v>1</v>
      </c>
      <c r="E595" s="59">
        <f t="shared" si="172"/>
        <v>0</v>
      </c>
      <c r="F595" s="59">
        <v>676</v>
      </c>
      <c r="G595" s="59">
        <v>2</v>
      </c>
      <c r="H595" s="59">
        <f t="shared" si="173"/>
        <v>0</v>
      </c>
      <c r="I595" s="59">
        <f t="shared" si="174"/>
        <v>1</v>
      </c>
      <c r="J595" s="59">
        <v>1</v>
      </c>
      <c r="K595" s="59">
        <v>3</v>
      </c>
      <c r="L595" s="59">
        <v>6</v>
      </c>
      <c r="M595" s="59">
        <f t="shared" si="175"/>
        <v>0</v>
      </c>
      <c r="N595" s="59">
        <f t="shared" si="176"/>
        <v>0</v>
      </c>
      <c r="O595" s="59">
        <f t="shared" si="177"/>
        <v>0</v>
      </c>
      <c r="P595" s="59">
        <f t="shared" si="178"/>
        <v>0</v>
      </c>
      <c r="Q595" s="59">
        <f t="shared" si="179"/>
        <v>0</v>
      </c>
      <c r="R595" s="59">
        <v>1</v>
      </c>
      <c r="S595" s="59">
        <v>823</v>
      </c>
      <c r="T595" s="59">
        <v>3</v>
      </c>
      <c r="U595" s="59">
        <v>0</v>
      </c>
      <c r="V595" s="59">
        <v>35</v>
      </c>
      <c r="W595" s="59">
        <v>3</v>
      </c>
      <c r="X595" s="59">
        <v>2</v>
      </c>
      <c r="Y595" s="59">
        <v>4</v>
      </c>
      <c r="Z595" s="59">
        <f t="shared" si="180"/>
        <v>0</v>
      </c>
      <c r="AA595" s="59">
        <f>IF('Updated Dummy'!Y595=2,1,0)</f>
        <v>0</v>
      </c>
      <c r="AB595" s="59">
        <f t="shared" si="181"/>
        <v>0</v>
      </c>
      <c r="AC595" s="59">
        <f t="shared" si="182"/>
        <v>1</v>
      </c>
      <c r="AD595" s="59">
        <f t="shared" si="183"/>
        <v>0</v>
      </c>
      <c r="AE595" s="59">
        <f t="shared" si="184"/>
        <v>0</v>
      </c>
      <c r="AF595" s="59">
        <f t="shared" si="185"/>
        <v>0</v>
      </c>
      <c r="AG595" s="59">
        <f t="shared" si="186"/>
        <v>0</v>
      </c>
      <c r="AH595" s="59">
        <v>2</v>
      </c>
      <c r="AI595" s="59">
        <v>2</v>
      </c>
      <c r="AJ595" s="59">
        <f t="shared" si="187"/>
        <v>0</v>
      </c>
      <c r="AK595" s="59">
        <f t="shared" si="188"/>
        <v>1</v>
      </c>
      <c r="AL595" s="59">
        <v>5228</v>
      </c>
      <c r="AM595" s="59">
        <v>23361</v>
      </c>
      <c r="AN595" s="59">
        <v>0</v>
      </c>
      <c r="AO595" s="59">
        <v>0</v>
      </c>
      <c r="AP595" s="59">
        <v>15</v>
      </c>
      <c r="AQ595" s="59">
        <v>3</v>
      </c>
      <c r="AR595" s="59">
        <v>1</v>
      </c>
      <c r="AS595" s="59">
        <v>80</v>
      </c>
      <c r="AT595" s="59">
        <v>1</v>
      </c>
      <c r="AU595" s="59">
        <v>10</v>
      </c>
      <c r="AV595" s="59">
        <v>2</v>
      </c>
      <c r="AW595" s="59">
        <v>3</v>
      </c>
      <c r="AX595" s="59">
        <v>9</v>
      </c>
      <c r="AY595" s="59">
        <v>7</v>
      </c>
      <c r="AZ595" s="59">
        <v>0</v>
      </c>
      <c r="BA595" s="59">
        <v>5</v>
      </c>
      <c r="BB595" s="57">
        <f t="shared" si="189"/>
        <v>10456</v>
      </c>
    </row>
    <row r="596" spans="1:54" x14ac:dyDescent="0.25">
      <c r="A596" s="58">
        <v>29</v>
      </c>
      <c r="B596" s="59">
        <v>0</v>
      </c>
      <c r="C596" s="59">
        <v>1</v>
      </c>
      <c r="D596" s="59">
        <f t="shared" si="171"/>
        <v>1</v>
      </c>
      <c r="E596" s="59">
        <f t="shared" si="172"/>
        <v>0</v>
      </c>
      <c r="F596" s="59">
        <v>1252</v>
      </c>
      <c r="G596" s="59">
        <v>2</v>
      </c>
      <c r="H596" s="59">
        <f t="shared" si="173"/>
        <v>0</v>
      </c>
      <c r="I596" s="59">
        <f t="shared" si="174"/>
        <v>1</v>
      </c>
      <c r="J596" s="59">
        <v>23</v>
      </c>
      <c r="K596" s="59">
        <v>2</v>
      </c>
      <c r="L596" s="59">
        <v>1</v>
      </c>
      <c r="M596" s="59">
        <f t="shared" si="175"/>
        <v>1</v>
      </c>
      <c r="N596" s="59">
        <f t="shared" si="176"/>
        <v>0</v>
      </c>
      <c r="O596" s="59">
        <f t="shared" si="177"/>
        <v>0</v>
      </c>
      <c r="P596" s="59">
        <f t="shared" si="178"/>
        <v>0</v>
      </c>
      <c r="Q596" s="59">
        <f t="shared" si="179"/>
        <v>0</v>
      </c>
      <c r="R596" s="59">
        <v>1</v>
      </c>
      <c r="S596" s="59">
        <v>824</v>
      </c>
      <c r="T596" s="59">
        <v>3</v>
      </c>
      <c r="U596" s="59">
        <v>1</v>
      </c>
      <c r="V596" s="59">
        <v>81</v>
      </c>
      <c r="W596" s="59">
        <v>4</v>
      </c>
      <c r="X596" s="59">
        <v>1</v>
      </c>
      <c r="Y596" s="59">
        <v>2</v>
      </c>
      <c r="Z596" s="59">
        <f t="shared" si="180"/>
        <v>0</v>
      </c>
      <c r="AA596" s="59">
        <f>IF('Updated Dummy'!Y596=2,1,0)</f>
        <v>1</v>
      </c>
      <c r="AB596" s="59">
        <f t="shared" si="181"/>
        <v>0</v>
      </c>
      <c r="AC596" s="59">
        <f t="shared" si="182"/>
        <v>0</v>
      </c>
      <c r="AD596" s="59">
        <f t="shared" si="183"/>
        <v>0</v>
      </c>
      <c r="AE596" s="59">
        <f t="shared" si="184"/>
        <v>0</v>
      </c>
      <c r="AF596" s="59">
        <f t="shared" si="185"/>
        <v>0</v>
      </c>
      <c r="AG596" s="59">
        <f t="shared" si="186"/>
        <v>0</v>
      </c>
      <c r="AH596" s="59">
        <v>3</v>
      </c>
      <c r="AI596" s="59">
        <v>2</v>
      </c>
      <c r="AJ596" s="59">
        <f t="shared" si="187"/>
        <v>0</v>
      </c>
      <c r="AK596" s="59">
        <f t="shared" si="188"/>
        <v>1</v>
      </c>
      <c r="AL596" s="59">
        <v>2700</v>
      </c>
      <c r="AM596" s="59">
        <v>23779</v>
      </c>
      <c r="AN596" s="59">
        <v>1</v>
      </c>
      <c r="AO596" s="59">
        <v>0</v>
      </c>
      <c r="AP596" s="59">
        <v>24</v>
      </c>
      <c r="AQ596" s="59">
        <v>4</v>
      </c>
      <c r="AR596" s="59">
        <v>3</v>
      </c>
      <c r="AS596" s="59">
        <v>80</v>
      </c>
      <c r="AT596" s="59">
        <v>1</v>
      </c>
      <c r="AU596" s="59">
        <v>10</v>
      </c>
      <c r="AV596" s="59">
        <v>3</v>
      </c>
      <c r="AW596" s="59">
        <v>3</v>
      </c>
      <c r="AX596" s="59">
        <v>10</v>
      </c>
      <c r="AY596" s="59">
        <v>7</v>
      </c>
      <c r="AZ596" s="59">
        <v>0</v>
      </c>
      <c r="BA596" s="59">
        <v>7</v>
      </c>
      <c r="BB596" s="57">
        <f t="shared" si="189"/>
        <v>2700</v>
      </c>
    </row>
    <row r="597" spans="1:54" x14ac:dyDescent="0.25">
      <c r="A597" s="58">
        <v>58</v>
      </c>
      <c r="B597" s="59">
        <v>1</v>
      </c>
      <c r="C597" s="59">
        <v>1</v>
      </c>
      <c r="D597" s="59">
        <f t="shared" si="171"/>
        <v>1</v>
      </c>
      <c r="E597" s="59">
        <f t="shared" si="172"/>
        <v>0</v>
      </c>
      <c r="F597" s="59">
        <v>286</v>
      </c>
      <c r="G597" s="59">
        <v>2</v>
      </c>
      <c r="H597" s="59">
        <f t="shared" si="173"/>
        <v>0</v>
      </c>
      <c r="I597" s="59">
        <f t="shared" si="174"/>
        <v>1</v>
      </c>
      <c r="J597" s="59">
        <v>2</v>
      </c>
      <c r="K597" s="59">
        <v>4</v>
      </c>
      <c r="L597" s="59">
        <v>1</v>
      </c>
      <c r="M597" s="59">
        <f t="shared" si="175"/>
        <v>1</v>
      </c>
      <c r="N597" s="59">
        <f t="shared" si="176"/>
        <v>0</v>
      </c>
      <c r="O597" s="59">
        <f t="shared" si="177"/>
        <v>0</v>
      </c>
      <c r="P597" s="59">
        <f t="shared" si="178"/>
        <v>0</v>
      </c>
      <c r="Q597" s="59">
        <f t="shared" si="179"/>
        <v>0</v>
      </c>
      <c r="R597" s="59">
        <v>1</v>
      </c>
      <c r="S597" s="59">
        <v>825</v>
      </c>
      <c r="T597" s="59">
        <v>4</v>
      </c>
      <c r="U597" s="59">
        <v>1</v>
      </c>
      <c r="V597" s="59">
        <v>31</v>
      </c>
      <c r="W597" s="59">
        <v>3</v>
      </c>
      <c r="X597" s="59">
        <v>5</v>
      </c>
      <c r="Y597" s="59">
        <v>8</v>
      </c>
      <c r="Z597" s="59">
        <f t="shared" si="180"/>
        <v>0</v>
      </c>
      <c r="AA597" s="59">
        <f>IF('Updated Dummy'!Y597=2,1,0)</f>
        <v>0</v>
      </c>
      <c r="AB597" s="59">
        <f t="shared" si="181"/>
        <v>0</v>
      </c>
      <c r="AC597" s="59">
        <f t="shared" si="182"/>
        <v>0</v>
      </c>
      <c r="AD597" s="59">
        <f t="shared" si="183"/>
        <v>0</v>
      </c>
      <c r="AE597" s="59">
        <f t="shared" si="184"/>
        <v>0</v>
      </c>
      <c r="AF597" s="59">
        <f t="shared" si="185"/>
        <v>0</v>
      </c>
      <c r="AG597" s="59">
        <f t="shared" si="186"/>
        <v>1</v>
      </c>
      <c r="AH597" s="59">
        <v>2</v>
      </c>
      <c r="AI597" s="59">
        <v>1</v>
      </c>
      <c r="AJ597" s="59">
        <f t="shared" si="187"/>
        <v>1</v>
      </c>
      <c r="AK597" s="59">
        <f t="shared" si="188"/>
        <v>0</v>
      </c>
      <c r="AL597" s="59">
        <v>19246</v>
      </c>
      <c r="AM597" s="59">
        <v>25761</v>
      </c>
      <c r="AN597" s="59">
        <v>7</v>
      </c>
      <c r="AO597" s="59">
        <v>1</v>
      </c>
      <c r="AP597" s="59">
        <v>12</v>
      </c>
      <c r="AQ597" s="59">
        <v>3</v>
      </c>
      <c r="AR597" s="59">
        <v>4</v>
      </c>
      <c r="AS597" s="59">
        <v>80</v>
      </c>
      <c r="AT597" s="59">
        <v>0</v>
      </c>
      <c r="AU597" s="59">
        <v>40</v>
      </c>
      <c r="AV597" s="59">
        <v>2</v>
      </c>
      <c r="AW597" s="59">
        <v>3</v>
      </c>
      <c r="AX597" s="59">
        <v>31</v>
      </c>
      <c r="AY597" s="59">
        <v>15</v>
      </c>
      <c r="AZ597" s="59">
        <v>13</v>
      </c>
      <c r="BA597" s="59">
        <v>8</v>
      </c>
      <c r="BB597" s="57">
        <f t="shared" si="189"/>
        <v>96230</v>
      </c>
    </row>
    <row r="598" spans="1:54" x14ac:dyDescent="0.25">
      <c r="A598" s="58">
        <v>35</v>
      </c>
      <c r="B598" s="59">
        <v>0</v>
      </c>
      <c r="C598" s="59">
        <v>1</v>
      </c>
      <c r="D598" s="59">
        <f t="shared" si="171"/>
        <v>1</v>
      </c>
      <c r="E598" s="59">
        <f t="shared" si="172"/>
        <v>0</v>
      </c>
      <c r="F598" s="59">
        <v>1258</v>
      </c>
      <c r="G598" s="59">
        <v>2</v>
      </c>
      <c r="H598" s="59">
        <f t="shared" si="173"/>
        <v>0</v>
      </c>
      <c r="I598" s="59">
        <f t="shared" si="174"/>
        <v>1</v>
      </c>
      <c r="J598" s="59">
        <v>1</v>
      </c>
      <c r="K598" s="59">
        <v>4</v>
      </c>
      <c r="L598" s="59">
        <v>1</v>
      </c>
      <c r="M598" s="59">
        <f t="shared" si="175"/>
        <v>1</v>
      </c>
      <c r="N598" s="59">
        <f t="shared" si="176"/>
        <v>0</v>
      </c>
      <c r="O598" s="59">
        <f t="shared" si="177"/>
        <v>0</v>
      </c>
      <c r="P598" s="59">
        <f t="shared" si="178"/>
        <v>0</v>
      </c>
      <c r="Q598" s="59">
        <f t="shared" si="179"/>
        <v>0</v>
      </c>
      <c r="R598" s="59">
        <v>1</v>
      </c>
      <c r="S598" s="59">
        <v>826</v>
      </c>
      <c r="T598" s="59">
        <v>4</v>
      </c>
      <c r="U598" s="59">
        <v>0</v>
      </c>
      <c r="V598" s="59">
        <v>40</v>
      </c>
      <c r="W598" s="59">
        <v>4</v>
      </c>
      <c r="X598" s="59">
        <v>1</v>
      </c>
      <c r="Y598" s="59">
        <v>2</v>
      </c>
      <c r="Z598" s="59">
        <f t="shared" si="180"/>
        <v>0</v>
      </c>
      <c r="AA598" s="59">
        <f>IF('Updated Dummy'!Y598=2,1,0)</f>
        <v>1</v>
      </c>
      <c r="AB598" s="59">
        <f t="shared" si="181"/>
        <v>0</v>
      </c>
      <c r="AC598" s="59">
        <f t="shared" si="182"/>
        <v>0</v>
      </c>
      <c r="AD598" s="59">
        <f t="shared" si="183"/>
        <v>0</v>
      </c>
      <c r="AE598" s="59">
        <f t="shared" si="184"/>
        <v>0</v>
      </c>
      <c r="AF598" s="59">
        <f t="shared" si="185"/>
        <v>0</v>
      </c>
      <c r="AG598" s="59">
        <f t="shared" si="186"/>
        <v>0</v>
      </c>
      <c r="AH598" s="59">
        <v>3</v>
      </c>
      <c r="AI598" s="59">
        <v>1</v>
      </c>
      <c r="AJ598" s="59">
        <f t="shared" si="187"/>
        <v>1</v>
      </c>
      <c r="AK598" s="59">
        <f t="shared" si="188"/>
        <v>0</v>
      </c>
      <c r="AL598" s="59">
        <v>2506</v>
      </c>
      <c r="AM598" s="59">
        <v>13301</v>
      </c>
      <c r="AN598" s="59">
        <v>3</v>
      </c>
      <c r="AO598" s="59">
        <v>0</v>
      </c>
      <c r="AP598" s="59">
        <v>13</v>
      </c>
      <c r="AQ598" s="59">
        <v>3</v>
      </c>
      <c r="AR598" s="59">
        <v>3</v>
      </c>
      <c r="AS598" s="59">
        <v>80</v>
      </c>
      <c r="AT598" s="59">
        <v>0</v>
      </c>
      <c r="AU598" s="59">
        <v>7</v>
      </c>
      <c r="AV598" s="59">
        <v>0</v>
      </c>
      <c r="AW598" s="59">
        <v>3</v>
      </c>
      <c r="AX598" s="59">
        <v>2</v>
      </c>
      <c r="AY598" s="59">
        <v>2</v>
      </c>
      <c r="AZ598" s="59">
        <v>2</v>
      </c>
      <c r="BA598" s="59">
        <v>2</v>
      </c>
      <c r="BB598" s="57">
        <f t="shared" si="189"/>
        <v>2506</v>
      </c>
    </row>
    <row r="599" spans="1:54" x14ac:dyDescent="0.25">
      <c r="A599" s="58">
        <v>42</v>
      </c>
      <c r="B599" s="59">
        <v>0</v>
      </c>
      <c r="C599" s="59">
        <v>1</v>
      </c>
      <c r="D599" s="59">
        <f t="shared" si="171"/>
        <v>1</v>
      </c>
      <c r="E599" s="59">
        <f t="shared" si="172"/>
        <v>0</v>
      </c>
      <c r="F599" s="59">
        <v>932</v>
      </c>
      <c r="G599" s="59">
        <v>2</v>
      </c>
      <c r="H599" s="59">
        <f t="shared" si="173"/>
        <v>0</v>
      </c>
      <c r="I599" s="59">
        <f t="shared" si="174"/>
        <v>1</v>
      </c>
      <c r="J599" s="59">
        <v>1</v>
      </c>
      <c r="K599" s="59">
        <v>2</v>
      </c>
      <c r="L599" s="59">
        <v>1</v>
      </c>
      <c r="M599" s="59">
        <f t="shared" si="175"/>
        <v>1</v>
      </c>
      <c r="N599" s="59">
        <f t="shared" si="176"/>
        <v>0</v>
      </c>
      <c r="O599" s="59">
        <f t="shared" si="177"/>
        <v>0</v>
      </c>
      <c r="P599" s="59">
        <f t="shared" si="178"/>
        <v>0</v>
      </c>
      <c r="Q599" s="59">
        <f t="shared" si="179"/>
        <v>0</v>
      </c>
      <c r="R599" s="59">
        <v>1</v>
      </c>
      <c r="S599" s="59">
        <v>827</v>
      </c>
      <c r="T599" s="59">
        <v>4</v>
      </c>
      <c r="U599" s="59">
        <v>0</v>
      </c>
      <c r="V599" s="59">
        <v>43</v>
      </c>
      <c r="W599" s="59">
        <v>2</v>
      </c>
      <c r="X599" s="59">
        <v>2</v>
      </c>
      <c r="Y599" s="59">
        <v>4</v>
      </c>
      <c r="Z599" s="59">
        <f t="shared" si="180"/>
        <v>0</v>
      </c>
      <c r="AA599" s="59">
        <f>IF('Updated Dummy'!Y599=2,1,0)</f>
        <v>0</v>
      </c>
      <c r="AB599" s="59">
        <f t="shared" si="181"/>
        <v>0</v>
      </c>
      <c r="AC599" s="59">
        <f t="shared" si="182"/>
        <v>1</v>
      </c>
      <c r="AD599" s="59">
        <f t="shared" si="183"/>
        <v>0</v>
      </c>
      <c r="AE599" s="59">
        <f t="shared" si="184"/>
        <v>0</v>
      </c>
      <c r="AF599" s="59">
        <f t="shared" si="185"/>
        <v>0</v>
      </c>
      <c r="AG599" s="59">
        <f t="shared" si="186"/>
        <v>0</v>
      </c>
      <c r="AH599" s="59">
        <v>4</v>
      </c>
      <c r="AI599" s="59">
        <v>2</v>
      </c>
      <c r="AJ599" s="59">
        <f t="shared" si="187"/>
        <v>0</v>
      </c>
      <c r="AK599" s="59">
        <f t="shared" si="188"/>
        <v>1</v>
      </c>
      <c r="AL599" s="59">
        <v>6062</v>
      </c>
      <c r="AM599" s="59">
        <v>4051</v>
      </c>
      <c r="AN599" s="59">
        <v>9</v>
      </c>
      <c r="AO599" s="59">
        <v>1</v>
      </c>
      <c r="AP599" s="59">
        <v>13</v>
      </c>
      <c r="AQ599" s="59">
        <v>3</v>
      </c>
      <c r="AR599" s="59">
        <v>4</v>
      </c>
      <c r="AS599" s="59">
        <v>80</v>
      </c>
      <c r="AT599" s="59">
        <v>1</v>
      </c>
      <c r="AU599" s="59">
        <v>8</v>
      </c>
      <c r="AV599" s="59">
        <v>4</v>
      </c>
      <c r="AW599" s="59">
        <v>3</v>
      </c>
      <c r="AX599" s="59">
        <v>4</v>
      </c>
      <c r="AY599" s="59">
        <v>3</v>
      </c>
      <c r="AZ599" s="59">
        <v>0</v>
      </c>
      <c r="BA599" s="59">
        <v>2</v>
      </c>
      <c r="BB599" s="57">
        <f t="shared" si="189"/>
        <v>12124</v>
      </c>
    </row>
    <row r="600" spans="1:54" x14ac:dyDescent="0.25">
      <c r="A600" s="58">
        <v>28</v>
      </c>
      <c r="B600" s="59">
        <v>1</v>
      </c>
      <c r="C600" s="59">
        <v>1</v>
      </c>
      <c r="D600" s="59">
        <f t="shared" si="171"/>
        <v>1</v>
      </c>
      <c r="E600" s="59">
        <f t="shared" si="172"/>
        <v>0</v>
      </c>
      <c r="F600" s="59">
        <v>890</v>
      </c>
      <c r="G600" s="59">
        <v>2</v>
      </c>
      <c r="H600" s="59">
        <f t="shared" si="173"/>
        <v>0</v>
      </c>
      <c r="I600" s="59">
        <f t="shared" si="174"/>
        <v>1</v>
      </c>
      <c r="J600" s="59">
        <v>2</v>
      </c>
      <c r="K600" s="59">
        <v>4</v>
      </c>
      <c r="L600" s="59">
        <v>3</v>
      </c>
      <c r="M600" s="59">
        <f t="shared" si="175"/>
        <v>0</v>
      </c>
      <c r="N600" s="59">
        <f t="shared" si="176"/>
        <v>0</v>
      </c>
      <c r="O600" s="59">
        <f t="shared" si="177"/>
        <v>1</v>
      </c>
      <c r="P600" s="59">
        <f t="shared" si="178"/>
        <v>0</v>
      </c>
      <c r="Q600" s="59">
        <f t="shared" si="179"/>
        <v>0</v>
      </c>
      <c r="R600" s="59">
        <v>1</v>
      </c>
      <c r="S600" s="59">
        <v>828</v>
      </c>
      <c r="T600" s="59">
        <v>3</v>
      </c>
      <c r="U600" s="59">
        <v>1</v>
      </c>
      <c r="V600" s="59">
        <v>46</v>
      </c>
      <c r="W600" s="59">
        <v>3</v>
      </c>
      <c r="X600" s="59">
        <v>1</v>
      </c>
      <c r="Y600" s="59">
        <v>2</v>
      </c>
      <c r="Z600" s="59">
        <f t="shared" si="180"/>
        <v>0</v>
      </c>
      <c r="AA600" s="59">
        <f>IF('Updated Dummy'!Y600=2,1,0)</f>
        <v>1</v>
      </c>
      <c r="AB600" s="59">
        <f t="shared" si="181"/>
        <v>0</v>
      </c>
      <c r="AC600" s="59">
        <f t="shared" si="182"/>
        <v>0</v>
      </c>
      <c r="AD600" s="59">
        <f t="shared" si="183"/>
        <v>0</v>
      </c>
      <c r="AE600" s="59">
        <f t="shared" si="184"/>
        <v>0</v>
      </c>
      <c r="AF600" s="59">
        <f t="shared" si="185"/>
        <v>0</v>
      </c>
      <c r="AG600" s="59">
        <f t="shared" si="186"/>
        <v>0</v>
      </c>
      <c r="AH600" s="59">
        <v>3</v>
      </c>
      <c r="AI600" s="59">
        <v>1</v>
      </c>
      <c r="AJ600" s="59">
        <f t="shared" si="187"/>
        <v>1</v>
      </c>
      <c r="AK600" s="59">
        <f t="shared" si="188"/>
        <v>0</v>
      </c>
      <c r="AL600" s="59">
        <v>4382</v>
      </c>
      <c r="AM600" s="59">
        <v>16374</v>
      </c>
      <c r="AN600" s="59">
        <v>6</v>
      </c>
      <c r="AO600" s="59">
        <v>0</v>
      </c>
      <c r="AP600" s="59">
        <v>17</v>
      </c>
      <c r="AQ600" s="59">
        <v>3</v>
      </c>
      <c r="AR600" s="59">
        <v>4</v>
      </c>
      <c r="AS600" s="59">
        <v>80</v>
      </c>
      <c r="AT600" s="59">
        <v>0</v>
      </c>
      <c r="AU600" s="59">
        <v>5</v>
      </c>
      <c r="AV600" s="59">
        <v>3</v>
      </c>
      <c r="AW600" s="59">
        <v>2</v>
      </c>
      <c r="AX600" s="59">
        <v>2</v>
      </c>
      <c r="AY600" s="59">
        <v>2</v>
      </c>
      <c r="AZ600" s="59">
        <v>2</v>
      </c>
      <c r="BA600" s="59">
        <v>1</v>
      </c>
      <c r="BB600" s="57">
        <f t="shared" si="189"/>
        <v>4382</v>
      </c>
    </row>
    <row r="601" spans="1:54" x14ac:dyDescent="0.25">
      <c r="A601" s="58">
        <v>36</v>
      </c>
      <c r="B601" s="59">
        <v>0</v>
      </c>
      <c r="C601" s="59">
        <v>1</v>
      </c>
      <c r="D601" s="59">
        <f t="shared" si="171"/>
        <v>1</v>
      </c>
      <c r="E601" s="59">
        <f t="shared" si="172"/>
        <v>0</v>
      </c>
      <c r="F601" s="59">
        <v>1041</v>
      </c>
      <c r="G601" s="59">
        <v>3</v>
      </c>
      <c r="H601" s="59">
        <f t="shared" si="173"/>
        <v>0</v>
      </c>
      <c r="I601" s="59">
        <f t="shared" si="174"/>
        <v>0</v>
      </c>
      <c r="J601" s="59">
        <v>13</v>
      </c>
      <c r="K601" s="59">
        <v>3</v>
      </c>
      <c r="L601" s="59">
        <v>2</v>
      </c>
      <c r="M601" s="59">
        <f t="shared" si="175"/>
        <v>0</v>
      </c>
      <c r="N601" s="59">
        <f t="shared" si="176"/>
        <v>1</v>
      </c>
      <c r="O601" s="59">
        <f t="shared" si="177"/>
        <v>0</v>
      </c>
      <c r="P601" s="59">
        <f t="shared" si="178"/>
        <v>0</v>
      </c>
      <c r="Q601" s="59">
        <f t="shared" si="179"/>
        <v>0</v>
      </c>
      <c r="R601" s="59">
        <v>1</v>
      </c>
      <c r="S601" s="59">
        <v>829</v>
      </c>
      <c r="T601" s="59">
        <v>3</v>
      </c>
      <c r="U601" s="59">
        <v>1</v>
      </c>
      <c r="V601" s="59">
        <v>36</v>
      </c>
      <c r="W601" s="59">
        <v>3</v>
      </c>
      <c r="X601" s="59">
        <v>1</v>
      </c>
      <c r="Y601" s="59">
        <v>9</v>
      </c>
      <c r="Z601" s="59">
        <f t="shared" si="180"/>
        <v>0</v>
      </c>
      <c r="AA601" s="59">
        <f>IF('Updated Dummy'!Y601=2,1,0)</f>
        <v>0</v>
      </c>
      <c r="AB601" s="59">
        <f t="shared" si="181"/>
        <v>0</v>
      </c>
      <c r="AC601" s="59">
        <f t="shared" si="182"/>
        <v>0</v>
      </c>
      <c r="AD601" s="59">
        <f t="shared" si="183"/>
        <v>0</v>
      </c>
      <c r="AE601" s="59">
        <f t="shared" si="184"/>
        <v>0</v>
      </c>
      <c r="AF601" s="59">
        <f t="shared" si="185"/>
        <v>0</v>
      </c>
      <c r="AG601" s="59">
        <f t="shared" si="186"/>
        <v>0</v>
      </c>
      <c r="AH601" s="59">
        <v>2</v>
      </c>
      <c r="AI601" s="59">
        <v>2</v>
      </c>
      <c r="AJ601" s="59">
        <f t="shared" si="187"/>
        <v>0</v>
      </c>
      <c r="AK601" s="59">
        <f t="shared" si="188"/>
        <v>1</v>
      </c>
      <c r="AL601" s="59">
        <v>2143</v>
      </c>
      <c r="AM601" s="59">
        <v>25527</v>
      </c>
      <c r="AN601" s="59">
        <v>4</v>
      </c>
      <c r="AO601" s="59">
        <v>0</v>
      </c>
      <c r="AP601" s="59">
        <v>13</v>
      </c>
      <c r="AQ601" s="59">
        <v>3</v>
      </c>
      <c r="AR601" s="59">
        <v>2</v>
      </c>
      <c r="AS601" s="59">
        <v>80</v>
      </c>
      <c r="AT601" s="59">
        <v>1</v>
      </c>
      <c r="AU601" s="59">
        <v>8</v>
      </c>
      <c r="AV601" s="59">
        <v>2</v>
      </c>
      <c r="AW601" s="59">
        <v>3</v>
      </c>
      <c r="AX601" s="59">
        <v>5</v>
      </c>
      <c r="AY601" s="59">
        <v>2</v>
      </c>
      <c r="AZ601" s="59">
        <v>0</v>
      </c>
      <c r="BA601" s="59">
        <v>4</v>
      </c>
      <c r="BB601" s="57">
        <f t="shared" si="189"/>
        <v>2143</v>
      </c>
    </row>
    <row r="602" spans="1:54" x14ac:dyDescent="0.25">
      <c r="A602" s="58">
        <v>32</v>
      </c>
      <c r="B602" s="59">
        <v>0</v>
      </c>
      <c r="C602" s="59">
        <v>1</v>
      </c>
      <c r="D602" s="59">
        <f t="shared" si="171"/>
        <v>1</v>
      </c>
      <c r="E602" s="59">
        <f t="shared" si="172"/>
        <v>0</v>
      </c>
      <c r="F602" s="59">
        <v>859</v>
      </c>
      <c r="G602" s="59">
        <v>2</v>
      </c>
      <c r="H602" s="59">
        <f t="shared" si="173"/>
        <v>0</v>
      </c>
      <c r="I602" s="59">
        <f t="shared" si="174"/>
        <v>1</v>
      </c>
      <c r="J602" s="59">
        <v>4</v>
      </c>
      <c r="K602" s="59">
        <v>3</v>
      </c>
      <c r="L602" s="59">
        <v>1</v>
      </c>
      <c r="M602" s="59">
        <f t="shared" si="175"/>
        <v>1</v>
      </c>
      <c r="N602" s="59">
        <f t="shared" si="176"/>
        <v>0</v>
      </c>
      <c r="O602" s="59">
        <f t="shared" si="177"/>
        <v>0</v>
      </c>
      <c r="P602" s="59">
        <f t="shared" si="178"/>
        <v>0</v>
      </c>
      <c r="Q602" s="59">
        <f t="shared" si="179"/>
        <v>0</v>
      </c>
      <c r="R602" s="59">
        <v>1</v>
      </c>
      <c r="S602" s="59">
        <v>830</v>
      </c>
      <c r="T602" s="59">
        <v>3</v>
      </c>
      <c r="U602" s="59">
        <v>0</v>
      </c>
      <c r="V602" s="59">
        <v>98</v>
      </c>
      <c r="W602" s="59">
        <v>2</v>
      </c>
      <c r="X602" s="59">
        <v>2</v>
      </c>
      <c r="Y602" s="59">
        <v>4</v>
      </c>
      <c r="Z602" s="59">
        <f t="shared" si="180"/>
        <v>0</v>
      </c>
      <c r="AA602" s="59">
        <f>IF('Updated Dummy'!Y602=2,1,0)</f>
        <v>0</v>
      </c>
      <c r="AB602" s="59">
        <f t="shared" si="181"/>
        <v>0</v>
      </c>
      <c r="AC602" s="59">
        <f t="shared" si="182"/>
        <v>1</v>
      </c>
      <c r="AD602" s="59">
        <f t="shared" si="183"/>
        <v>0</v>
      </c>
      <c r="AE602" s="59">
        <f t="shared" si="184"/>
        <v>0</v>
      </c>
      <c r="AF602" s="59">
        <f t="shared" si="185"/>
        <v>0</v>
      </c>
      <c r="AG602" s="59">
        <f t="shared" si="186"/>
        <v>0</v>
      </c>
      <c r="AH602" s="59">
        <v>3</v>
      </c>
      <c r="AI602" s="59">
        <v>2</v>
      </c>
      <c r="AJ602" s="59">
        <f t="shared" si="187"/>
        <v>0</v>
      </c>
      <c r="AK602" s="59">
        <f t="shared" si="188"/>
        <v>1</v>
      </c>
      <c r="AL602" s="59">
        <v>6162</v>
      </c>
      <c r="AM602" s="59">
        <v>19124</v>
      </c>
      <c r="AN602" s="59">
        <v>1</v>
      </c>
      <c r="AO602" s="59">
        <v>0</v>
      </c>
      <c r="AP602" s="59">
        <v>12</v>
      </c>
      <c r="AQ602" s="59">
        <v>3</v>
      </c>
      <c r="AR602" s="59">
        <v>3</v>
      </c>
      <c r="AS602" s="59">
        <v>80</v>
      </c>
      <c r="AT602" s="59">
        <v>1</v>
      </c>
      <c r="AU602" s="59">
        <v>14</v>
      </c>
      <c r="AV602" s="59">
        <v>3</v>
      </c>
      <c r="AW602" s="59">
        <v>3</v>
      </c>
      <c r="AX602" s="59">
        <v>14</v>
      </c>
      <c r="AY602" s="59">
        <v>13</v>
      </c>
      <c r="AZ602" s="59">
        <v>6</v>
      </c>
      <c r="BA602" s="59">
        <v>8</v>
      </c>
      <c r="BB602" s="57">
        <f t="shared" si="189"/>
        <v>12324</v>
      </c>
    </row>
    <row r="603" spans="1:54" x14ac:dyDescent="0.25">
      <c r="A603" s="58">
        <v>40</v>
      </c>
      <c r="B603" s="59">
        <v>0</v>
      </c>
      <c r="C603" s="59">
        <v>2</v>
      </c>
      <c r="D603" s="59">
        <f t="shared" si="171"/>
        <v>0</v>
      </c>
      <c r="E603" s="59">
        <f t="shared" si="172"/>
        <v>1</v>
      </c>
      <c r="F603" s="59">
        <v>720</v>
      </c>
      <c r="G603" s="59">
        <v>2</v>
      </c>
      <c r="H603" s="59">
        <f t="shared" si="173"/>
        <v>0</v>
      </c>
      <c r="I603" s="59">
        <f t="shared" si="174"/>
        <v>1</v>
      </c>
      <c r="J603" s="59">
        <v>16</v>
      </c>
      <c r="K603" s="59">
        <v>4</v>
      </c>
      <c r="L603" s="59">
        <v>3</v>
      </c>
      <c r="M603" s="59">
        <f t="shared" si="175"/>
        <v>0</v>
      </c>
      <c r="N603" s="59">
        <f t="shared" si="176"/>
        <v>0</v>
      </c>
      <c r="O603" s="59">
        <f t="shared" si="177"/>
        <v>1</v>
      </c>
      <c r="P603" s="59">
        <f t="shared" si="178"/>
        <v>0</v>
      </c>
      <c r="Q603" s="59">
        <f t="shared" si="179"/>
        <v>0</v>
      </c>
      <c r="R603" s="59">
        <v>1</v>
      </c>
      <c r="S603" s="59">
        <v>832</v>
      </c>
      <c r="T603" s="59">
        <v>1</v>
      </c>
      <c r="U603" s="59">
        <v>1</v>
      </c>
      <c r="V603" s="59">
        <v>51</v>
      </c>
      <c r="W603" s="59">
        <v>2</v>
      </c>
      <c r="X603" s="59">
        <v>2</v>
      </c>
      <c r="Y603" s="59">
        <v>3</v>
      </c>
      <c r="Z603" s="59">
        <f t="shared" si="180"/>
        <v>0</v>
      </c>
      <c r="AA603" s="59">
        <f>IF('Updated Dummy'!Y603=2,1,0)</f>
        <v>0</v>
      </c>
      <c r="AB603" s="59">
        <f t="shared" si="181"/>
        <v>1</v>
      </c>
      <c r="AC603" s="59">
        <f t="shared" si="182"/>
        <v>0</v>
      </c>
      <c r="AD603" s="59">
        <f t="shared" si="183"/>
        <v>0</v>
      </c>
      <c r="AE603" s="59">
        <f t="shared" si="184"/>
        <v>0</v>
      </c>
      <c r="AF603" s="59">
        <f t="shared" si="185"/>
        <v>0</v>
      </c>
      <c r="AG603" s="59">
        <f t="shared" si="186"/>
        <v>0</v>
      </c>
      <c r="AH603" s="59">
        <v>3</v>
      </c>
      <c r="AI603" s="59">
        <v>1</v>
      </c>
      <c r="AJ603" s="59">
        <f t="shared" si="187"/>
        <v>1</v>
      </c>
      <c r="AK603" s="59">
        <f t="shared" si="188"/>
        <v>0</v>
      </c>
      <c r="AL603" s="59">
        <v>5094</v>
      </c>
      <c r="AM603" s="59">
        <v>11983</v>
      </c>
      <c r="AN603" s="59">
        <v>6</v>
      </c>
      <c r="AO603" s="59">
        <v>0</v>
      </c>
      <c r="AP603" s="59">
        <v>14</v>
      </c>
      <c r="AQ603" s="59">
        <v>3</v>
      </c>
      <c r="AR603" s="59">
        <v>4</v>
      </c>
      <c r="AS603" s="59">
        <v>80</v>
      </c>
      <c r="AT603" s="59">
        <v>0</v>
      </c>
      <c r="AU603" s="59">
        <v>10</v>
      </c>
      <c r="AV603" s="59">
        <v>6</v>
      </c>
      <c r="AW603" s="59">
        <v>3</v>
      </c>
      <c r="AX603" s="59">
        <v>1</v>
      </c>
      <c r="AY603" s="59">
        <v>0</v>
      </c>
      <c r="AZ603" s="59">
        <v>0</v>
      </c>
      <c r="BA603" s="59">
        <v>0</v>
      </c>
      <c r="BB603" s="57">
        <f t="shared" si="189"/>
        <v>10188</v>
      </c>
    </row>
    <row r="604" spans="1:54" x14ac:dyDescent="0.25">
      <c r="A604" s="58">
        <v>30</v>
      </c>
      <c r="B604" s="59">
        <v>0</v>
      </c>
      <c r="C604" s="59">
        <v>1</v>
      </c>
      <c r="D604" s="59">
        <f t="shared" si="171"/>
        <v>1</v>
      </c>
      <c r="E604" s="59">
        <f t="shared" si="172"/>
        <v>0</v>
      </c>
      <c r="F604" s="59">
        <v>946</v>
      </c>
      <c r="G604" s="59">
        <v>2</v>
      </c>
      <c r="H604" s="59">
        <f t="shared" si="173"/>
        <v>0</v>
      </c>
      <c r="I604" s="59">
        <f t="shared" si="174"/>
        <v>1</v>
      </c>
      <c r="J604" s="59">
        <v>2</v>
      </c>
      <c r="K604" s="59">
        <v>3</v>
      </c>
      <c r="L604" s="59">
        <v>3</v>
      </c>
      <c r="M604" s="59">
        <f t="shared" si="175"/>
        <v>0</v>
      </c>
      <c r="N604" s="59">
        <f t="shared" si="176"/>
        <v>0</v>
      </c>
      <c r="O604" s="59">
        <f t="shared" si="177"/>
        <v>1</v>
      </c>
      <c r="P604" s="59">
        <f t="shared" si="178"/>
        <v>0</v>
      </c>
      <c r="Q604" s="59">
        <f t="shared" si="179"/>
        <v>0</v>
      </c>
      <c r="R604" s="59">
        <v>1</v>
      </c>
      <c r="S604" s="59">
        <v>833</v>
      </c>
      <c r="T604" s="59">
        <v>3</v>
      </c>
      <c r="U604" s="59">
        <v>0</v>
      </c>
      <c r="V604" s="59">
        <v>52</v>
      </c>
      <c r="W604" s="59">
        <v>2</v>
      </c>
      <c r="X604" s="59">
        <v>2</v>
      </c>
      <c r="Y604" s="59">
        <v>4</v>
      </c>
      <c r="Z604" s="59">
        <f t="shared" si="180"/>
        <v>0</v>
      </c>
      <c r="AA604" s="59">
        <f>IF('Updated Dummy'!Y604=2,1,0)</f>
        <v>0</v>
      </c>
      <c r="AB604" s="59">
        <f t="shared" si="181"/>
        <v>0</v>
      </c>
      <c r="AC604" s="59">
        <f t="shared" si="182"/>
        <v>1</v>
      </c>
      <c r="AD604" s="59">
        <f t="shared" si="183"/>
        <v>0</v>
      </c>
      <c r="AE604" s="59">
        <f t="shared" si="184"/>
        <v>0</v>
      </c>
      <c r="AF604" s="59">
        <f t="shared" si="185"/>
        <v>0</v>
      </c>
      <c r="AG604" s="59">
        <f t="shared" si="186"/>
        <v>0</v>
      </c>
      <c r="AH604" s="59">
        <v>4</v>
      </c>
      <c r="AI604" s="59">
        <v>1</v>
      </c>
      <c r="AJ604" s="59">
        <f t="shared" si="187"/>
        <v>1</v>
      </c>
      <c r="AK604" s="59">
        <f t="shared" si="188"/>
        <v>0</v>
      </c>
      <c r="AL604" s="59">
        <v>6877</v>
      </c>
      <c r="AM604" s="59">
        <v>20234</v>
      </c>
      <c r="AN604" s="59">
        <v>5</v>
      </c>
      <c r="AO604" s="59">
        <v>1</v>
      </c>
      <c r="AP604" s="59">
        <v>24</v>
      </c>
      <c r="AQ604" s="59">
        <v>4</v>
      </c>
      <c r="AR604" s="59">
        <v>2</v>
      </c>
      <c r="AS604" s="59">
        <v>80</v>
      </c>
      <c r="AT604" s="59">
        <v>0</v>
      </c>
      <c r="AU604" s="59">
        <v>12</v>
      </c>
      <c r="AV604" s="59">
        <v>4</v>
      </c>
      <c r="AW604" s="59">
        <v>2</v>
      </c>
      <c r="AX604" s="59">
        <v>0</v>
      </c>
      <c r="AY604" s="59">
        <v>0</v>
      </c>
      <c r="AZ604" s="59">
        <v>0</v>
      </c>
      <c r="BA604" s="59">
        <v>0</v>
      </c>
      <c r="BB604" s="57">
        <f t="shared" si="189"/>
        <v>13754</v>
      </c>
    </row>
    <row r="605" spans="1:54" x14ac:dyDescent="0.25">
      <c r="A605" s="58">
        <v>45</v>
      </c>
      <c r="B605" s="59">
        <v>0</v>
      </c>
      <c r="C605" s="59">
        <v>1</v>
      </c>
      <c r="D605" s="59">
        <f t="shared" si="171"/>
        <v>1</v>
      </c>
      <c r="E605" s="59">
        <f t="shared" si="172"/>
        <v>0</v>
      </c>
      <c r="F605" s="59">
        <v>252</v>
      </c>
      <c r="G605" s="59">
        <v>2</v>
      </c>
      <c r="H605" s="59">
        <f t="shared" si="173"/>
        <v>0</v>
      </c>
      <c r="I605" s="59">
        <f t="shared" si="174"/>
        <v>1</v>
      </c>
      <c r="J605" s="59">
        <v>2</v>
      </c>
      <c r="K605" s="59">
        <v>3</v>
      </c>
      <c r="L605" s="59">
        <v>1</v>
      </c>
      <c r="M605" s="59">
        <f t="shared" si="175"/>
        <v>1</v>
      </c>
      <c r="N605" s="59">
        <f t="shared" si="176"/>
        <v>0</v>
      </c>
      <c r="O605" s="59">
        <f t="shared" si="177"/>
        <v>0</v>
      </c>
      <c r="P605" s="59">
        <f t="shared" si="178"/>
        <v>0</v>
      </c>
      <c r="Q605" s="59">
        <f t="shared" si="179"/>
        <v>0</v>
      </c>
      <c r="R605" s="59">
        <v>1</v>
      </c>
      <c r="S605" s="59">
        <v>834</v>
      </c>
      <c r="T605" s="59">
        <v>2</v>
      </c>
      <c r="U605" s="59">
        <v>0</v>
      </c>
      <c r="V605" s="59">
        <v>95</v>
      </c>
      <c r="W605" s="59">
        <v>2</v>
      </c>
      <c r="X605" s="59">
        <v>1</v>
      </c>
      <c r="Y605" s="59">
        <v>2</v>
      </c>
      <c r="Z605" s="59">
        <f t="shared" si="180"/>
        <v>0</v>
      </c>
      <c r="AA605" s="59">
        <f>IF('Updated Dummy'!Y605=2,1,0)</f>
        <v>1</v>
      </c>
      <c r="AB605" s="59">
        <f t="shared" si="181"/>
        <v>0</v>
      </c>
      <c r="AC605" s="59">
        <f t="shared" si="182"/>
        <v>0</v>
      </c>
      <c r="AD605" s="59">
        <f t="shared" si="183"/>
        <v>0</v>
      </c>
      <c r="AE605" s="59">
        <f t="shared" si="184"/>
        <v>0</v>
      </c>
      <c r="AF605" s="59">
        <f t="shared" si="185"/>
        <v>0</v>
      </c>
      <c r="AG605" s="59">
        <f t="shared" si="186"/>
        <v>0</v>
      </c>
      <c r="AH605" s="59">
        <v>3</v>
      </c>
      <c r="AI605" s="59">
        <v>1</v>
      </c>
      <c r="AJ605" s="59">
        <f t="shared" si="187"/>
        <v>1</v>
      </c>
      <c r="AK605" s="59">
        <f t="shared" si="188"/>
        <v>0</v>
      </c>
      <c r="AL605" s="59">
        <v>2274</v>
      </c>
      <c r="AM605" s="59">
        <v>6153</v>
      </c>
      <c r="AN605" s="59">
        <v>1</v>
      </c>
      <c r="AO605" s="59">
        <v>0</v>
      </c>
      <c r="AP605" s="59">
        <v>14</v>
      </c>
      <c r="AQ605" s="59">
        <v>3</v>
      </c>
      <c r="AR605" s="59">
        <v>4</v>
      </c>
      <c r="AS605" s="59">
        <v>80</v>
      </c>
      <c r="AT605" s="59">
        <v>0</v>
      </c>
      <c r="AU605" s="59">
        <v>1</v>
      </c>
      <c r="AV605" s="59">
        <v>3</v>
      </c>
      <c r="AW605" s="59">
        <v>3</v>
      </c>
      <c r="AX605" s="59">
        <v>1</v>
      </c>
      <c r="AY605" s="59">
        <v>0</v>
      </c>
      <c r="AZ605" s="59">
        <v>0</v>
      </c>
      <c r="BA605" s="59">
        <v>0</v>
      </c>
      <c r="BB605" s="57">
        <f t="shared" si="189"/>
        <v>2274</v>
      </c>
    </row>
    <row r="606" spans="1:54" x14ac:dyDescent="0.25">
      <c r="A606" s="58">
        <v>42</v>
      </c>
      <c r="B606" s="59">
        <v>0</v>
      </c>
      <c r="C606" s="59">
        <v>1</v>
      </c>
      <c r="D606" s="59">
        <f t="shared" si="171"/>
        <v>1</v>
      </c>
      <c r="E606" s="59">
        <f t="shared" si="172"/>
        <v>0</v>
      </c>
      <c r="F606" s="59">
        <v>933</v>
      </c>
      <c r="G606" s="59">
        <v>2</v>
      </c>
      <c r="H606" s="59">
        <f t="shared" si="173"/>
        <v>0</v>
      </c>
      <c r="I606" s="59">
        <f t="shared" si="174"/>
        <v>1</v>
      </c>
      <c r="J606" s="59">
        <v>29</v>
      </c>
      <c r="K606" s="59">
        <v>3</v>
      </c>
      <c r="L606" s="59">
        <v>1</v>
      </c>
      <c r="M606" s="59">
        <f t="shared" si="175"/>
        <v>1</v>
      </c>
      <c r="N606" s="59">
        <f t="shared" si="176"/>
        <v>0</v>
      </c>
      <c r="O606" s="59">
        <f t="shared" si="177"/>
        <v>0</v>
      </c>
      <c r="P606" s="59">
        <f t="shared" si="178"/>
        <v>0</v>
      </c>
      <c r="Q606" s="59">
        <f t="shared" si="179"/>
        <v>0</v>
      </c>
      <c r="R606" s="59">
        <v>1</v>
      </c>
      <c r="S606" s="59">
        <v>836</v>
      </c>
      <c r="T606" s="59">
        <v>2</v>
      </c>
      <c r="U606" s="59">
        <v>1</v>
      </c>
      <c r="V606" s="59">
        <v>98</v>
      </c>
      <c r="W606" s="59">
        <v>3</v>
      </c>
      <c r="X606" s="59">
        <v>2</v>
      </c>
      <c r="Y606" s="59">
        <v>4</v>
      </c>
      <c r="Z606" s="59">
        <f t="shared" si="180"/>
        <v>0</v>
      </c>
      <c r="AA606" s="59">
        <f>IF('Updated Dummy'!Y606=2,1,0)</f>
        <v>0</v>
      </c>
      <c r="AB606" s="59">
        <f t="shared" si="181"/>
        <v>0</v>
      </c>
      <c r="AC606" s="59">
        <f t="shared" si="182"/>
        <v>1</v>
      </c>
      <c r="AD606" s="59">
        <f t="shared" si="183"/>
        <v>0</v>
      </c>
      <c r="AE606" s="59">
        <f t="shared" si="184"/>
        <v>0</v>
      </c>
      <c r="AF606" s="59">
        <f t="shared" si="185"/>
        <v>0</v>
      </c>
      <c r="AG606" s="59">
        <f t="shared" si="186"/>
        <v>0</v>
      </c>
      <c r="AH606" s="59">
        <v>2</v>
      </c>
      <c r="AI606" s="59">
        <v>2</v>
      </c>
      <c r="AJ606" s="59">
        <f t="shared" si="187"/>
        <v>0</v>
      </c>
      <c r="AK606" s="59">
        <f t="shared" si="188"/>
        <v>1</v>
      </c>
      <c r="AL606" s="59">
        <v>4434</v>
      </c>
      <c r="AM606" s="59">
        <v>11806</v>
      </c>
      <c r="AN606" s="59">
        <v>1</v>
      </c>
      <c r="AO606" s="59">
        <v>0</v>
      </c>
      <c r="AP606" s="59">
        <v>13</v>
      </c>
      <c r="AQ606" s="59">
        <v>3</v>
      </c>
      <c r="AR606" s="59">
        <v>4</v>
      </c>
      <c r="AS606" s="59">
        <v>80</v>
      </c>
      <c r="AT606" s="59">
        <v>1</v>
      </c>
      <c r="AU606" s="59">
        <v>10</v>
      </c>
      <c r="AV606" s="59">
        <v>3</v>
      </c>
      <c r="AW606" s="59">
        <v>2</v>
      </c>
      <c r="AX606" s="59">
        <v>9</v>
      </c>
      <c r="AY606" s="59">
        <v>8</v>
      </c>
      <c r="AZ606" s="59">
        <v>7</v>
      </c>
      <c r="BA606" s="59">
        <v>8</v>
      </c>
      <c r="BB606" s="57">
        <f t="shared" si="189"/>
        <v>8868</v>
      </c>
    </row>
    <row r="607" spans="1:54" x14ac:dyDescent="0.25">
      <c r="A607" s="58">
        <v>38</v>
      </c>
      <c r="B607" s="59">
        <v>0</v>
      </c>
      <c r="C607" s="59">
        <v>2</v>
      </c>
      <c r="D607" s="59">
        <f t="shared" si="171"/>
        <v>0</v>
      </c>
      <c r="E607" s="59">
        <f t="shared" si="172"/>
        <v>1</v>
      </c>
      <c r="F607" s="59">
        <v>471</v>
      </c>
      <c r="G607" s="59">
        <v>2</v>
      </c>
      <c r="H607" s="59">
        <f t="shared" si="173"/>
        <v>0</v>
      </c>
      <c r="I607" s="59">
        <f t="shared" si="174"/>
        <v>1</v>
      </c>
      <c r="J607" s="59">
        <v>12</v>
      </c>
      <c r="K607" s="59">
        <v>3</v>
      </c>
      <c r="L607" s="59">
        <v>1</v>
      </c>
      <c r="M607" s="59">
        <f t="shared" si="175"/>
        <v>1</v>
      </c>
      <c r="N607" s="59">
        <f t="shared" si="176"/>
        <v>0</v>
      </c>
      <c r="O607" s="59">
        <f t="shared" si="177"/>
        <v>0</v>
      </c>
      <c r="P607" s="59">
        <f t="shared" si="178"/>
        <v>0</v>
      </c>
      <c r="Q607" s="59">
        <f t="shared" si="179"/>
        <v>0</v>
      </c>
      <c r="R607" s="59">
        <v>1</v>
      </c>
      <c r="S607" s="59">
        <v>837</v>
      </c>
      <c r="T607" s="59">
        <v>1</v>
      </c>
      <c r="U607" s="59">
        <v>1</v>
      </c>
      <c r="V607" s="59">
        <v>45</v>
      </c>
      <c r="W607" s="59">
        <v>2</v>
      </c>
      <c r="X607" s="59">
        <v>2</v>
      </c>
      <c r="Y607" s="59">
        <v>5</v>
      </c>
      <c r="Z607" s="59">
        <f t="shared" si="180"/>
        <v>0</v>
      </c>
      <c r="AA607" s="59">
        <f>IF('Updated Dummy'!Y607=2,1,0)</f>
        <v>0</v>
      </c>
      <c r="AB607" s="59">
        <f t="shared" si="181"/>
        <v>0</v>
      </c>
      <c r="AC607" s="59">
        <f t="shared" si="182"/>
        <v>0</v>
      </c>
      <c r="AD607" s="59">
        <f t="shared" si="183"/>
        <v>1</v>
      </c>
      <c r="AE607" s="59">
        <f t="shared" si="184"/>
        <v>0</v>
      </c>
      <c r="AF607" s="59">
        <f t="shared" si="185"/>
        <v>0</v>
      </c>
      <c r="AG607" s="59">
        <f t="shared" si="186"/>
        <v>0</v>
      </c>
      <c r="AH607" s="59">
        <v>1</v>
      </c>
      <c r="AI607" s="59">
        <v>3</v>
      </c>
      <c r="AJ607" s="59">
        <f t="shared" si="187"/>
        <v>0</v>
      </c>
      <c r="AK607" s="59">
        <f t="shared" si="188"/>
        <v>0</v>
      </c>
      <c r="AL607" s="59">
        <v>6288</v>
      </c>
      <c r="AM607" s="59">
        <v>4284</v>
      </c>
      <c r="AN607" s="59">
        <v>2</v>
      </c>
      <c r="AO607" s="59">
        <v>0</v>
      </c>
      <c r="AP607" s="59">
        <v>15</v>
      </c>
      <c r="AQ607" s="59">
        <v>3</v>
      </c>
      <c r="AR607" s="59">
        <v>3</v>
      </c>
      <c r="AS607" s="59">
        <v>80</v>
      </c>
      <c r="AT607" s="59">
        <v>1</v>
      </c>
      <c r="AU607" s="59">
        <v>13</v>
      </c>
      <c r="AV607" s="59">
        <v>3</v>
      </c>
      <c r="AW607" s="59">
        <v>2</v>
      </c>
      <c r="AX607" s="59">
        <v>4</v>
      </c>
      <c r="AY607" s="59">
        <v>3</v>
      </c>
      <c r="AZ607" s="59">
        <v>1</v>
      </c>
      <c r="BA607" s="59">
        <v>2</v>
      </c>
      <c r="BB607" s="57">
        <f t="shared" si="189"/>
        <v>12576</v>
      </c>
    </row>
    <row r="608" spans="1:54" x14ac:dyDescent="0.25">
      <c r="A608" s="58">
        <v>34</v>
      </c>
      <c r="B608" s="59">
        <v>0</v>
      </c>
      <c r="C608" s="59">
        <v>2</v>
      </c>
      <c r="D608" s="59">
        <f t="shared" si="171"/>
        <v>0</v>
      </c>
      <c r="E608" s="59">
        <f t="shared" si="172"/>
        <v>1</v>
      </c>
      <c r="F608" s="59">
        <v>702</v>
      </c>
      <c r="G608" s="59">
        <v>2</v>
      </c>
      <c r="H608" s="59">
        <f t="shared" si="173"/>
        <v>0</v>
      </c>
      <c r="I608" s="59">
        <f t="shared" si="174"/>
        <v>1</v>
      </c>
      <c r="J608" s="59">
        <v>16</v>
      </c>
      <c r="K608" s="59">
        <v>4</v>
      </c>
      <c r="L608" s="59">
        <v>1</v>
      </c>
      <c r="M608" s="59">
        <f t="shared" si="175"/>
        <v>1</v>
      </c>
      <c r="N608" s="59">
        <f t="shared" si="176"/>
        <v>0</v>
      </c>
      <c r="O608" s="59">
        <f t="shared" si="177"/>
        <v>0</v>
      </c>
      <c r="P608" s="59">
        <f t="shared" si="178"/>
        <v>0</v>
      </c>
      <c r="Q608" s="59">
        <f t="shared" si="179"/>
        <v>0</v>
      </c>
      <c r="R608" s="59">
        <v>1</v>
      </c>
      <c r="S608" s="59">
        <v>838</v>
      </c>
      <c r="T608" s="59">
        <v>3</v>
      </c>
      <c r="U608" s="59">
        <v>0</v>
      </c>
      <c r="V608" s="59">
        <v>100</v>
      </c>
      <c r="W608" s="59">
        <v>2</v>
      </c>
      <c r="X608" s="59">
        <v>1</v>
      </c>
      <c r="Y608" s="59">
        <v>2</v>
      </c>
      <c r="Z608" s="59">
        <f t="shared" si="180"/>
        <v>0</v>
      </c>
      <c r="AA608" s="59">
        <f>IF('Updated Dummy'!Y608=2,1,0)</f>
        <v>1</v>
      </c>
      <c r="AB608" s="59">
        <f t="shared" si="181"/>
        <v>0</v>
      </c>
      <c r="AC608" s="59">
        <f t="shared" si="182"/>
        <v>0</v>
      </c>
      <c r="AD608" s="59">
        <f t="shared" si="183"/>
        <v>0</v>
      </c>
      <c r="AE608" s="59">
        <f t="shared" si="184"/>
        <v>0</v>
      </c>
      <c r="AF608" s="59">
        <f t="shared" si="185"/>
        <v>0</v>
      </c>
      <c r="AG608" s="59">
        <f t="shared" si="186"/>
        <v>0</v>
      </c>
      <c r="AH608" s="59">
        <v>4</v>
      </c>
      <c r="AI608" s="59">
        <v>1</v>
      </c>
      <c r="AJ608" s="59">
        <f t="shared" si="187"/>
        <v>1</v>
      </c>
      <c r="AK608" s="59">
        <f t="shared" si="188"/>
        <v>0</v>
      </c>
      <c r="AL608" s="59">
        <v>2553</v>
      </c>
      <c r="AM608" s="59">
        <v>8306</v>
      </c>
      <c r="AN608" s="59">
        <v>1</v>
      </c>
      <c r="AO608" s="59">
        <v>0</v>
      </c>
      <c r="AP608" s="59">
        <v>16</v>
      </c>
      <c r="AQ608" s="59">
        <v>3</v>
      </c>
      <c r="AR608" s="59">
        <v>3</v>
      </c>
      <c r="AS608" s="59">
        <v>80</v>
      </c>
      <c r="AT608" s="59">
        <v>0</v>
      </c>
      <c r="AU608" s="59">
        <v>6</v>
      </c>
      <c r="AV608" s="59">
        <v>3</v>
      </c>
      <c r="AW608" s="59">
        <v>3</v>
      </c>
      <c r="AX608" s="59">
        <v>5</v>
      </c>
      <c r="AY608" s="59">
        <v>2</v>
      </c>
      <c r="AZ608" s="59">
        <v>1</v>
      </c>
      <c r="BA608" s="59">
        <v>3</v>
      </c>
      <c r="BB608" s="57">
        <f t="shared" si="189"/>
        <v>2553</v>
      </c>
    </row>
    <row r="609" spans="1:54" x14ac:dyDescent="0.25">
      <c r="A609" s="58">
        <v>49</v>
      </c>
      <c r="B609" s="59">
        <v>1</v>
      </c>
      <c r="C609" s="59">
        <v>1</v>
      </c>
      <c r="D609" s="59">
        <f t="shared" si="171"/>
        <v>1</v>
      </c>
      <c r="E609" s="59">
        <f t="shared" si="172"/>
        <v>0</v>
      </c>
      <c r="F609" s="59">
        <v>1184</v>
      </c>
      <c r="G609" s="59">
        <v>1</v>
      </c>
      <c r="H609" s="59">
        <f t="shared" si="173"/>
        <v>1</v>
      </c>
      <c r="I609" s="59">
        <f t="shared" si="174"/>
        <v>0</v>
      </c>
      <c r="J609" s="59">
        <v>11</v>
      </c>
      <c r="K609" s="59">
        <v>3</v>
      </c>
      <c r="L609" s="59">
        <v>4</v>
      </c>
      <c r="M609" s="59">
        <f t="shared" si="175"/>
        <v>0</v>
      </c>
      <c r="N609" s="59">
        <f t="shared" si="176"/>
        <v>0</v>
      </c>
      <c r="O609" s="59">
        <f t="shared" si="177"/>
        <v>0</v>
      </c>
      <c r="P609" s="59">
        <f t="shared" si="178"/>
        <v>1</v>
      </c>
      <c r="Q609" s="59">
        <f t="shared" si="179"/>
        <v>0</v>
      </c>
      <c r="R609" s="59">
        <v>1</v>
      </c>
      <c r="S609" s="59">
        <v>840</v>
      </c>
      <c r="T609" s="59">
        <v>3</v>
      </c>
      <c r="U609" s="59">
        <v>0</v>
      </c>
      <c r="V609" s="59">
        <v>43</v>
      </c>
      <c r="W609" s="59">
        <v>3</v>
      </c>
      <c r="X609" s="59">
        <v>3</v>
      </c>
      <c r="Y609" s="59">
        <v>1</v>
      </c>
      <c r="Z609" s="59">
        <f t="shared" si="180"/>
        <v>1</v>
      </c>
      <c r="AA609" s="59">
        <f>IF('Updated Dummy'!Y609=2,1,0)</f>
        <v>0</v>
      </c>
      <c r="AB609" s="59">
        <f t="shared" si="181"/>
        <v>0</v>
      </c>
      <c r="AC609" s="59">
        <f t="shared" si="182"/>
        <v>0</v>
      </c>
      <c r="AD609" s="59">
        <f t="shared" si="183"/>
        <v>0</v>
      </c>
      <c r="AE609" s="59">
        <f t="shared" si="184"/>
        <v>0</v>
      </c>
      <c r="AF609" s="59">
        <f t="shared" si="185"/>
        <v>0</v>
      </c>
      <c r="AG609" s="59">
        <f t="shared" si="186"/>
        <v>0</v>
      </c>
      <c r="AH609" s="59">
        <v>4</v>
      </c>
      <c r="AI609" s="59">
        <v>2</v>
      </c>
      <c r="AJ609" s="59">
        <f t="shared" si="187"/>
        <v>0</v>
      </c>
      <c r="AK609" s="59">
        <f t="shared" si="188"/>
        <v>1</v>
      </c>
      <c r="AL609" s="59">
        <v>7654</v>
      </c>
      <c r="AM609" s="59">
        <v>5860</v>
      </c>
      <c r="AN609" s="59">
        <v>1</v>
      </c>
      <c r="AO609" s="59">
        <v>0</v>
      </c>
      <c r="AP609" s="59">
        <v>18</v>
      </c>
      <c r="AQ609" s="59">
        <v>3</v>
      </c>
      <c r="AR609" s="59">
        <v>1</v>
      </c>
      <c r="AS609" s="59">
        <v>80</v>
      </c>
      <c r="AT609" s="59">
        <v>2</v>
      </c>
      <c r="AU609" s="59">
        <v>9</v>
      </c>
      <c r="AV609" s="59">
        <v>3</v>
      </c>
      <c r="AW609" s="59">
        <v>4</v>
      </c>
      <c r="AX609" s="59">
        <v>9</v>
      </c>
      <c r="AY609" s="59">
        <v>8</v>
      </c>
      <c r="AZ609" s="59">
        <v>7</v>
      </c>
      <c r="BA609" s="59">
        <v>7</v>
      </c>
      <c r="BB609" s="57">
        <f t="shared" si="189"/>
        <v>22962</v>
      </c>
    </row>
    <row r="610" spans="1:54" x14ac:dyDescent="0.25">
      <c r="A610" s="58">
        <v>55</v>
      </c>
      <c r="B610" s="59">
        <v>1</v>
      </c>
      <c r="C610" s="59">
        <v>1</v>
      </c>
      <c r="D610" s="59">
        <f t="shared" si="171"/>
        <v>1</v>
      </c>
      <c r="E610" s="59">
        <f t="shared" si="172"/>
        <v>0</v>
      </c>
      <c r="F610" s="59">
        <v>436</v>
      </c>
      <c r="G610" s="59">
        <v>1</v>
      </c>
      <c r="H610" s="59">
        <f t="shared" si="173"/>
        <v>1</v>
      </c>
      <c r="I610" s="59">
        <f t="shared" si="174"/>
        <v>0</v>
      </c>
      <c r="J610" s="59">
        <v>2</v>
      </c>
      <c r="K610" s="59">
        <v>1</v>
      </c>
      <c r="L610" s="59">
        <v>3</v>
      </c>
      <c r="M610" s="59">
        <f t="shared" si="175"/>
        <v>0</v>
      </c>
      <c r="N610" s="59">
        <f t="shared" si="176"/>
        <v>0</v>
      </c>
      <c r="O610" s="59">
        <f t="shared" si="177"/>
        <v>1</v>
      </c>
      <c r="P610" s="59">
        <f t="shared" si="178"/>
        <v>0</v>
      </c>
      <c r="Q610" s="59">
        <f t="shared" si="179"/>
        <v>0</v>
      </c>
      <c r="R610" s="59">
        <v>1</v>
      </c>
      <c r="S610" s="59">
        <v>842</v>
      </c>
      <c r="T610" s="59">
        <v>3</v>
      </c>
      <c r="U610" s="59">
        <v>1</v>
      </c>
      <c r="V610" s="59">
        <v>37</v>
      </c>
      <c r="W610" s="59">
        <v>3</v>
      </c>
      <c r="X610" s="59">
        <v>2</v>
      </c>
      <c r="Y610" s="59">
        <v>1</v>
      </c>
      <c r="Z610" s="59">
        <f t="shared" si="180"/>
        <v>1</v>
      </c>
      <c r="AA610" s="59">
        <f>IF('Updated Dummy'!Y610=2,1,0)</f>
        <v>0</v>
      </c>
      <c r="AB610" s="59">
        <f t="shared" si="181"/>
        <v>0</v>
      </c>
      <c r="AC610" s="59">
        <f t="shared" si="182"/>
        <v>0</v>
      </c>
      <c r="AD610" s="59">
        <f t="shared" si="183"/>
        <v>0</v>
      </c>
      <c r="AE610" s="59">
        <f t="shared" si="184"/>
        <v>0</v>
      </c>
      <c r="AF610" s="59">
        <f t="shared" si="185"/>
        <v>0</v>
      </c>
      <c r="AG610" s="59">
        <f t="shared" si="186"/>
        <v>0</v>
      </c>
      <c r="AH610" s="59">
        <v>4</v>
      </c>
      <c r="AI610" s="59">
        <v>1</v>
      </c>
      <c r="AJ610" s="59">
        <f t="shared" si="187"/>
        <v>1</v>
      </c>
      <c r="AK610" s="59">
        <f t="shared" si="188"/>
        <v>0</v>
      </c>
      <c r="AL610" s="59">
        <v>5160</v>
      </c>
      <c r="AM610" s="59">
        <v>21519</v>
      </c>
      <c r="AN610" s="59">
        <v>4</v>
      </c>
      <c r="AO610" s="59">
        <v>0</v>
      </c>
      <c r="AP610" s="59">
        <v>16</v>
      </c>
      <c r="AQ610" s="59">
        <v>3</v>
      </c>
      <c r="AR610" s="59">
        <v>3</v>
      </c>
      <c r="AS610" s="59">
        <v>80</v>
      </c>
      <c r="AT610" s="59">
        <v>0</v>
      </c>
      <c r="AU610" s="59">
        <v>12</v>
      </c>
      <c r="AV610" s="59">
        <v>3</v>
      </c>
      <c r="AW610" s="59">
        <v>2</v>
      </c>
      <c r="AX610" s="59">
        <v>9</v>
      </c>
      <c r="AY610" s="59">
        <v>7</v>
      </c>
      <c r="AZ610" s="59">
        <v>7</v>
      </c>
      <c r="BA610" s="59">
        <v>3</v>
      </c>
      <c r="BB610" s="57">
        <f t="shared" si="189"/>
        <v>10320</v>
      </c>
    </row>
    <row r="611" spans="1:54" x14ac:dyDescent="0.25">
      <c r="A611" s="58">
        <v>43</v>
      </c>
      <c r="B611" s="59">
        <v>0</v>
      </c>
      <c r="C611" s="59">
        <v>1</v>
      </c>
      <c r="D611" s="59">
        <f t="shared" si="171"/>
        <v>1</v>
      </c>
      <c r="E611" s="59">
        <f t="shared" si="172"/>
        <v>0</v>
      </c>
      <c r="F611" s="59">
        <v>589</v>
      </c>
      <c r="G611" s="59">
        <v>2</v>
      </c>
      <c r="H611" s="59">
        <f t="shared" si="173"/>
        <v>0</v>
      </c>
      <c r="I611" s="59">
        <f t="shared" si="174"/>
        <v>1</v>
      </c>
      <c r="J611" s="59">
        <v>14</v>
      </c>
      <c r="K611" s="59">
        <v>2</v>
      </c>
      <c r="L611" s="59">
        <v>1</v>
      </c>
      <c r="M611" s="59">
        <f t="shared" si="175"/>
        <v>1</v>
      </c>
      <c r="N611" s="59">
        <f t="shared" si="176"/>
        <v>0</v>
      </c>
      <c r="O611" s="59">
        <f t="shared" si="177"/>
        <v>0</v>
      </c>
      <c r="P611" s="59">
        <f t="shared" si="178"/>
        <v>0</v>
      </c>
      <c r="Q611" s="59">
        <f t="shared" si="179"/>
        <v>0</v>
      </c>
      <c r="R611" s="59">
        <v>1</v>
      </c>
      <c r="S611" s="59">
        <v>843</v>
      </c>
      <c r="T611" s="59">
        <v>2</v>
      </c>
      <c r="U611" s="59">
        <v>1</v>
      </c>
      <c r="V611" s="59">
        <v>94</v>
      </c>
      <c r="W611" s="59">
        <v>3</v>
      </c>
      <c r="X611" s="59">
        <v>4</v>
      </c>
      <c r="Y611" s="59">
        <v>8</v>
      </c>
      <c r="Z611" s="59">
        <f t="shared" si="180"/>
        <v>0</v>
      </c>
      <c r="AA611" s="59">
        <f>IF('Updated Dummy'!Y611=2,1,0)</f>
        <v>0</v>
      </c>
      <c r="AB611" s="59">
        <f t="shared" si="181"/>
        <v>0</v>
      </c>
      <c r="AC611" s="59">
        <f t="shared" si="182"/>
        <v>0</v>
      </c>
      <c r="AD611" s="59">
        <f t="shared" si="183"/>
        <v>0</v>
      </c>
      <c r="AE611" s="59">
        <f t="shared" si="184"/>
        <v>0</v>
      </c>
      <c r="AF611" s="59">
        <f t="shared" si="185"/>
        <v>0</v>
      </c>
      <c r="AG611" s="59">
        <f t="shared" si="186"/>
        <v>1</v>
      </c>
      <c r="AH611" s="59">
        <v>1</v>
      </c>
      <c r="AI611" s="59">
        <v>2</v>
      </c>
      <c r="AJ611" s="59">
        <f t="shared" si="187"/>
        <v>0</v>
      </c>
      <c r="AK611" s="59">
        <f t="shared" si="188"/>
        <v>1</v>
      </c>
      <c r="AL611" s="59">
        <v>17159</v>
      </c>
      <c r="AM611" s="59">
        <v>5200</v>
      </c>
      <c r="AN611" s="59">
        <v>6</v>
      </c>
      <c r="AO611" s="59">
        <v>0</v>
      </c>
      <c r="AP611" s="59">
        <v>24</v>
      </c>
      <c r="AQ611" s="59">
        <v>4</v>
      </c>
      <c r="AR611" s="59">
        <v>3</v>
      </c>
      <c r="AS611" s="59">
        <v>80</v>
      </c>
      <c r="AT611" s="59">
        <v>1</v>
      </c>
      <c r="AU611" s="59">
        <v>22</v>
      </c>
      <c r="AV611" s="59">
        <v>3</v>
      </c>
      <c r="AW611" s="59">
        <v>3</v>
      </c>
      <c r="AX611" s="59">
        <v>4</v>
      </c>
      <c r="AY611" s="59">
        <v>1</v>
      </c>
      <c r="AZ611" s="59">
        <v>1</v>
      </c>
      <c r="BA611" s="59">
        <v>0</v>
      </c>
      <c r="BB611" s="57">
        <f t="shared" si="189"/>
        <v>68636</v>
      </c>
    </row>
    <row r="612" spans="1:54" x14ac:dyDescent="0.25">
      <c r="A612" s="58">
        <v>27</v>
      </c>
      <c r="B612" s="59">
        <v>0</v>
      </c>
      <c r="C612" s="59">
        <v>1</v>
      </c>
      <c r="D612" s="59">
        <f t="shared" si="171"/>
        <v>1</v>
      </c>
      <c r="E612" s="59">
        <f t="shared" si="172"/>
        <v>0</v>
      </c>
      <c r="F612" s="59">
        <v>269</v>
      </c>
      <c r="G612" s="59">
        <v>2</v>
      </c>
      <c r="H612" s="59">
        <f t="shared" si="173"/>
        <v>0</v>
      </c>
      <c r="I612" s="59">
        <f t="shared" si="174"/>
        <v>1</v>
      </c>
      <c r="J612" s="59">
        <v>5</v>
      </c>
      <c r="K612" s="59">
        <v>1</v>
      </c>
      <c r="L612" s="59">
        <v>5</v>
      </c>
      <c r="M612" s="59">
        <f t="shared" si="175"/>
        <v>0</v>
      </c>
      <c r="N612" s="59">
        <f t="shared" si="176"/>
        <v>0</v>
      </c>
      <c r="O612" s="59">
        <f t="shared" si="177"/>
        <v>0</v>
      </c>
      <c r="P612" s="59">
        <f t="shared" si="178"/>
        <v>0</v>
      </c>
      <c r="Q612" s="59">
        <f t="shared" si="179"/>
        <v>1</v>
      </c>
      <c r="R612" s="59">
        <v>1</v>
      </c>
      <c r="S612" s="59">
        <v>844</v>
      </c>
      <c r="T612" s="59">
        <v>3</v>
      </c>
      <c r="U612" s="59">
        <v>1</v>
      </c>
      <c r="V612" s="59">
        <v>42</v>
      </c>
      <c r="W612" s="59">
        <v>2</v>
      </c>
      <c r="X612" s="59">
        <v>3</v>
      </c>
      <c r="Y612" s="59">
        <v>8</v>
      </c>
      <c r="Z612" s="59">
        <f t="shared" si="180"/>
        <v>0</v>
      </c>
      <c r="AA612" s="59">
        <f>IF('Updated Dummy'!Y612=2,1,0)</f>
        <v>0</v>
      </c>
      <c r="AB612" s="59">
        <f t="shared" si="181"/>
        <v>0</v>
      </c>
      <c r="AC612" s="59">
        <f t="shared" si="182"/>
        <v>0</v>
      </c>
      <c r="AD612" s="59">
        <f t="shared" si="183"/>
        <v>0</v>
      </c>
      <c r="AE612" s="59">
        <f t="shared" si="184"/>
        <v>0</v>
      </c>
      <c r="AF612" s="59">
        <f t="shared" si="185"/>
        <v>0</v>
      </c>
      <c r="AG612" s="59">
        <f t="shared" si="186"/>
        <v>1</v>
      </c>
      <c r="AH612" s="59">
        <v>4</v>
      </c>
      <c r="AI612" s="59">
        <v>3</v>
      </c>
      <c r="AJ612" s="59">
        <f t="shared" si="187"/>
        <v>0</v>
      </c>
      <c r="AK612" s="59">
        <f t="shared" si="188"/>
        <v>0</v>
      </c>
      <c r="AL612" s="59">
        <v>12808</v>
      </c>
      <c r="AM612" s="59">
        <v>8842</v>
      </c>
      <c r="AN612" s="59">
        <v>1</v>
      </c>
      <c r="AO612" s="59">
        <v>1</v>
      </c>
      <c r="AP612" s="59">
        <v>16</v>
      </c>
      <c r="AQ612" s="59">
        <v>3</v>
      </c>
      <c r="AR612" s="59">
        <v>2</v>
      </c>
      <c r="AS612" s="59">
        <v>80</v>
      </c>
      <c r="AT612" s="59">
        <v>1</v>
      </c>
      <c r="AU612" s="59">
        <v>9</v>
      </c>
      <c r="AV612" s="59">
        <v>3</v>
      </c>
      <c r="AW612" s="59">
        <v>3</v>
      </c>
      <c r="AX612" s="59">
        <v>9</v>
      </c>
      <c r="AY612" s="59">
        <v>8</v>
      </c>
      <c r="AZ612" s="59">
        <v>0</v>
      </c>
      <c r="BA612" s="59">
        <v>8</v>
      </c>
      <c r="BB612" s="57">
        <f t="shared" si="189"/>
        <v>38424</v>
      </c>
    </row>
    <row r="613" spans="1:54" x14ac:dyDescent="0.25">
      <c r="A613" s="58">
        <v>35</v>
      </c>
      <c r="B613" s="59">
        <v>0</v>
      </c>
      <c r="C613" s="59">
        <v>1</v>
      </c>
      <c r="D613" s="59">
        <f t="shared" si="171"/>
        <v>1</v>
      </c>
      <c r="E613" s="59">
        <f t="shared" si="172"/>
        <v>0</v>
      </c>
      <c r="F613" s="59">
        <v>950</v>
      </c>
      <c r="G613" s="59">
        <v>2</v>
      </c>
      <c r="H613" s="59">
        <f t="shared" si="173"/>
        <v>0</v>
      </c>
      <c r="I613" s="59">
        <f t="shared" si="174"/>
        <v>1</v>
      </c>
      <c r="J613" s="59">
        <v>7</v>
      </c>
      <c r="K613" s="59">
        <v>3</v>
      </c>
      <c r="L613" s="59">
        <v>6</v>
      </c>
      <c r="M613" s="59">
        <f t="shared" si="175"/>
        <v>0</v>
      </c>
      <c r="N613" s="59">
        <f t="shared" si="176"/>
        <v>0</v>
      </c>
      <c r="O613" s="59">
        <f t="shared" si="177"/>
        <v>0</v>
      </c>
      <c r="P613" s="59">
        <f t="shared" si="178"/>
        <v>0</v>
      </c>
      <c r="Q613" s="59">
        <f t="shared" si="179"/>
        <v>0</v>
      </c>
      <c r="R613" s="59">
        <v>1</v>
      </c>
      <c r="S613" s="59">
        <v>845</v>
      </c>
      <c r="T613" s="59">
        <v>3</v>
      </c>
      <c r="U613" s="59">
        <v>1</v>
      </c>
      <c r="V613" s="59">
        <v>59</v>
      </c>
      <c r="W613" s="59">
        <v>3</v>
      </c>
      <c r="X613" s="59">
        <v>3</v>
      </c>
      <c r="Y613" s="59">
        <v>4</v>
      </c>
      <c r="Z613" s="59">
        <f t="shared" si="180"/>
        <v>0</v>
      </c>
      <c r="AA613" s="59">
        <f>IF('Updated Dummy'!Y613=2,1,0)</f>
        <v>0</v>
      </c>
      <c r="AB613" s="59">
        <f t="shared" si="181"/>
        <v>0</v>
      </c>
      <c r="AC613" s="59">
        <f t="shared" si="182"/>
        <v>1</v>
      </c>
      <c r="AD613" s="59">
        <f t="shared" si="183"/>
        <v>0</v>
      </c>
      <c r="AE613" s="59">
        <f t="shared" si="184"/>
        <v>0</v>
      </c>
      <c r="AF613" s="59">
        <f t="shared" si="185"/>
        <v>0</v>
      </c>
      <c r="AG613" s="59">
        <f t="shared" si="186"/>
        <v>0</v>
      </c>
      <c r="AH613" s="59">
        <v>3</v>
      </c>
      <c r="AI613" s="59">
        <v>1</v>
      </c>
      <c r="AJ613" s="59">
        <f t="shared" si="187"/>
        <v>1</v>
      </c>
      <c r="AK613" s="59">
        <f t="shared" si="188"/>
        <v>0</v>
      </c>
      <c r="AL613" s="59">
        <v>10221</v>
      </c>
      <c r="AM613" s="59">
        <v>18869</v>
      </c>
      <c r="AN613" s="59">
        <v>3</v>
      </c>
      <c r="AO613" s="59">
        <v>0</v>
      </c>
      <c r="AP613" s="59">
        <v>21</v>
      </c>
      <c r="AQ613" s="59">
        <v>4</v>
      </c>
      <c r="AR613" s="59">
        <v>2</v>
      </c>
      <c r="AS613" s="59">
        <v>80</v>
      </c>
      <c r="AT613" s="59">
        <v>0</v>
      </c>
      <c r="AU613" s="59">
        <v>17</v>
      </c>
      <c r="AV613" s="59">
        <v>3</v>
      </c>
      <c r="AW613" s="59">
        <v>4</v>
      </c>
      <c r="AX613" s="59">
        <v>8</v>
      </c>
      <c r="AY613" s="59">
        <v>5</v>
      </c>
      <c r="AZ613" s="59">
        <v>1</v>
      </c>
      <c r="BA613" s="59">
        <v>6</v>
      </c>
      <c r="BB613" s="57">
        <f t="shared" si="189"/>
        <v>30663</v>
      </c>
    </row>
    <row r="614" spans="1:54" x14ac:dyDescent="0.25">
      <c r="A614" s="58">
        <v>28</v>
      </c>
      <c r="B614" s="59">
        <v>0</v>
      </c>
      <c r="C614" s="59">
        <v>1</v>
      </c>
      <c r="D614" s="59">
        <f t="shared" si="171"/>
        <v>1</v>
      </c>
      <c r="E614" s="59">
        <f t="shared" si="172"/>
        <v>0</v>
      </c>
      <c r="F614" s="59">
        <v>760</v>
      </c>
      <c r="G614" s="59">
        <v>1</v>
      </c>
      <c r="H614" s="59">
        <f t="shared" si="173"/>
        <v>1</v>
      </c>
      <c r="I614" s="59">
        <f t="shared" si="174"/>
        <v>0</v>
      </c>
      <c r="J614" s="59">
        <v>2</v>
      </c>
      <c r="K614" s="59">
        <v>4</v>
      </c>
      <c r="L614" s="59">
        <v>4</v>
      </c>
      <c r="M614" s="59">
        <f t="shared" si="175"/>
        <v>0</v>
      </c>
      <c r="N614" s="59">
        <f t="shared" si="176"/>
        <v>0</v>
      </c>
      <c r="O614" s="59">
        <f t="shared" si="177"/>
        <v>0</v>
      </c>
      <c r="P614" s="59">
        <f t="shared" si="178"/>
        <v>1</v>
      </c>
      <c r="Q614" s="59">
        <f t="shared" si="179"/>
        <v>0</v>
      </c>
      <c r="R614" s="59">
        <v>1</v>
      </c>
      <c r="S614" s="59">
        <v>846</v>
      </c>
      <c r="T614" s="59">
        <v>2</v>
      </c>
      <c r="U614" s="59">
        <v>0</v>
      </c>
      <c r="V614" s="59">
        <v>81</v>
      </c>
      <c r="W614" s="59">
        <v>3</v>
      </c>
      <c r="X614" s="59">
        <v>2</v>
      </c>
      <c r="Y614" s="59">
        <v>1</v>
      </c>
      <c r="Z614" s="59">
        <f t="shared" si="180"/>
        <v>1</v>
      </c>
      <c r="AA614" s="59">
        <f>IF('Updated Dummy'!Y614=2,1,0)</f>
        <v>0</v>
      </c>
      <c r="AB614" s="59">
        <f t="shared" si="181"/>
        <v>0</v>
      </c>
      <c r="AC614" s="59">
        <f t="shared" si="182"/>
        <v>0</v>
      </c>
      <c r="AD614" s="59">
        <f t="shared" si="183"/>
        <v>0</v>
      </c>
      <c r="AE614" s="59">
        <f t="shared" si="184"/>
        <v>0</v>
      </c>
      <c r="AF614" s="59">
        <f t="shared" si="185"/>
        <v>0</v>
      </c>
      <c r="AG614" s="59">
        <f t="shared" si="186"/>
        <v>0</v>
      </c>
      <c r="AH614" s="59">
        <v>2</v>
      </c>
      <c r="AI614" s="59">
        <v>2</v>
      </c>
      <c r="AJ614" s="59">
        <f t="shared" si="187"/>
        <v>0</v>
      </c>
      <c r="AK614" s="59">
        <f t="shared" si="188"/>
        <v>1</v>
      </c>
      <c r="AL614" s="59">
        <v>4779</v>
      </c>
      <c r="AM614" s="59">
        <v>3698</v>
      </c>
      <c r="AN614" s="59">
        <v>1</v>
      </c>
      <c r="AO614" s="59">
        <v>1</v>
      </c>
      <c r="AP614" s="59">
        <v>20</v>
      </c>
      <c r="AQ614" s="59">
        <v>4</v>
      </c>
      <c r="AR614" s="59">
        <v>1</v>
      </c>
      <c r="AS614" s="59">
        <v>80</v>
      </c>
      <c r="AT614" s="59">
        <v>0</v>
      </c>
      <c r="AU614" s="59">
        <v>8</v>
      </c>
      <c r="AV614" s="59">
        <v>2</v>
      </c>
      <c r="AW614" s="59">
        <v>3</v>
      </c>
      <c r="AX614" s="59">
        <v>8</v>
      </c>
      <c r="AY614" s="59">
        <v>7</v>
      </c>
      <c r="AZ614" s="59">
        <v>7</v>
      </c>
      <c r="BA614" s="59">
        <v>5</v>
      </c>
      <c r="BB614" s="57">
        <f t="shared" si="189"/>
        <v>9558</v>
      </c>
    </row>
    <row r="615" spans="1:54" x14ac:dyDescent="0.25">
      <c r="A615" s="58">
        <v>34</v>
      </c>
      <c r="B615" s="59">
        <v>0</v>
      </c>
      <c r="C615" s="59">
        <v>1</v>
      </c>
      <c r="D615" s="59">
        <f t="shared" si="171"/>
        <v>1</v>
      </c>
      <c r="E615" s="59">
        <f t="shared" si="172"/>
        <v>0</v>
      </c>
      <c r="F615" s="59">
        <v>829</v>
      </c>
      <c r="G615" s="59">
        <v>3</v>
      </c>
      <c r="H615" s="59">
        <f t="shared" si="173"/>
        <v>0</v>
      </c>
      <c r="I615" s="59">
        <f t="shared" si="174"/>
        <v>0</v>
      </c>
      <c r="J615" s="59">
        <v>3</v>
      </c>
      <c r="K615" s="59">
        <v>2</v>
      </c>
      <c r="L615" s="59">
        <v>2</v>
      </c>
      <c r="M615" s="59">
        <f t="shared" si="175"/>
        <v>0</v>
      </c>
      <c r="N615" s="59">
        <f t="shared" si="176"/>
        <v>1</v>
      </c>
      <c r="O615" s="59">
        <f t="shared" si="177"/>
        <v>0</v>
      </c>
      <c r="P615" s="59">
        <f t="shared" si="178"/>
        <v>0</v>
      </c>
      <c r="Q615" s="59">
        <f t="shared" si="179"/>
        <v>0</v>
      </c>
      <c r="R615" s="59">
        <v>1</v>
      </c>
      <c r="S615" s="59">
        <v>847</v>
      </c>
      <c r="T615" s="59">
        <v>3</v>
      </c>
      <c r="U615" s="59">
        <v>1</v>
      </c>
      <c r="V615" s="59">
        <v>88</v>
      </c>
      <c r="W615" s="59">
        <v>3</v>
      </c>
      <c r="X615" s="59">
        <v>1</v>
      </c>
      <c r="Y615" s="59">
        <v>9</v>
      </c>
      <c r="Z615" s="59">
        <f t="shared" si="180"/>
        <v>0</v>
      </c>
      <c r="AA615" s="59">
        <f>IF('Updated Dummy'!Y615=2,1,0)</f>
        <v>0</v>
      </c>
      <c r="AB615" s="59">
        <f t="shared" si="181"/>
        <v>0</v>
      </c>
      <c r="AC615" s="59">
        <f t="shared" si="182"/>
        <v>0</v>
      </c>
      <c r="AD615" s="59">
        <f t="shared" si="183"/>
        <v>0</v>
      </c>
      <c r="AE615" s="59">
        <f t="shared" si="184"/>
        <v>0</v>
      </c>
      <c r="AF615" s="59">
        <f t="shared" si="185"/>
        <v>0</v>
      </c>
      <c r="AG615" s="59">
        <f t="shared" si="186"/>
        <v>0</v>
      </c>
      <c r="AH615" s="59">
        <v>4</v>
      </c>
      <c r="AI615" s="59">
        <v>2</v>
      </c>
      <c r="AJ615" s="59">
        <f t="shared" si="187"/>
        <v>0</v>
      </c>
      <c r="AK615" s="59">
        <f t="shared" si="188"/>
        <v>1</v>
      </c>
      <c r="AL615" s="59">
        <v>3737</v>
      </c>
      <c r="AM615" s="59">
        <v>2243</v>
      </c>
      <c r="AN615" s="59">
        <v>0</v>
      </c>
      <c r="AO615" s="59">
        <v>0</v>
      </c>
      <c r="AP615" s="59">
        <v>19</v>
      </c>
      <c r="AQ615" s="59">
        <v>3</v>
      </c>
      <c r="AR615" s="59">
        <v>3</v>
      </c>
      <c r="AS615" s="59">
        <v>80</v>
      </c>
      <c r="AT615" s="59">
        <v>1</v>
      </c>
      <c r="AU615" s="59">
        <v>4</v>
      </c>
      <c r="AV615" s="59">
        <v>1</v>
      </c>
      <c r="AW615" s="59">
        <v>1</v>
      </c>
      <c r="AX615" s="59">
        <v>3</v>
      </c>
      <c r="AY615" s="59">
        <v>2</v>
      </c>
      <c r="AZ615" s="59">
        <v>0</v>
      </c>
      <c r="BA615" s="59">
        <v>2</v>
      </c>
      <c r="BB615" s="57">
        <f t="shared" si="189"/>
        <v>3737</v>
      </c>
    </row>
    <row r="616" spans="1:54" x14ac:dyDescent="0.25">
      <c r="A616" s="58">
        <v>26</v>
      </c>
      <c r="B616" s="59">
        <v>1</v>
      </c>
      <c r="C616" s="59">
        <v>2</v>
      </c>
      <c r="D616" s="59">
        <f t="shared" si="171"/>
        <v>0</v>
      </c>
      <c r="E616" s="59">
        <f t="shared" si="172"/>
        <v>1</v>
      </c>
      <c r="F616" s="59">
        <v>887</v>
      </c>
      <c r="G616" s="59">
        <v>2</v>
      </c>
      <c r="H616" s="59">
        <f t="shared" si="173"/>
        <v>0</v>
      </c>
      <c r="I616" s="59">
        <f t="shared" si="174"/>
        <v>1</v>
      </c>
      <c r="J616" s="59">
        <v>5</v>
      </c>
      <c r="K616" s="59">
        <v>2</v>
      </c>
      <c r="L616" s="59">
        <v>3</v>
      </c>
      <c r="M616" s="59">
        <f t="shared" si="175"/>
        <v>0</v>
      </c>
      <c r="N616" s="59">
        <f t="shared" si="176"/>
        <v>0</v>
      </c>
      <c r="O616" s="59">
        <f t="shared" si="177"/>
        <v>1</v>
      </c>
      <c r="P616" s="59">
        <f t="shared" si="178"/>
        <v>0</v>
      </c>
      <c r="Q616" s="59">
        <f t="shared" si="179"/>
        <v>0</v>
      </c>
      <c r="R616" s="59">
        <v>1</v>
      </c>
      <c r="S616" s="59">
        <v>848</v>
      </c>
      <c r="T616" s="59">
        <v>3</v>
      </c>
      <c r="U616" s="59">
        <v>0</v>
      </c>
      <c r="V616" s="59">
        <v>88</v>
      </c>
      <c r="W616" s="59">
        <v>2</v>
      </c>
      <c r="X616" s="59">
        <v>1</v>
      </c>
      <c r="Y616" s="59">
        <v>2</v>
      </c>
      <c r="Z616" s="59">
        <f t="shared" si="180"/>
        <v>0</v>
      </c>
      <c r="AA616" s="59">
        <f>IF('Updated Dummy'!Y616=2,1,0)</f>
        <v>1</v>
      </c>
      <c r="AB616" s="59">
        <f t="shared" si="181"/>
        <v>0</v>
      </c>
      <c r="AC616" s="59">
        <f t="shared" si="182"/>
        <v>0</v>
      </c>
      <c r="AD616" s="59">
        <f t="shared" si="183"/>
        <v>0</v>
      </c>
      <c r="AE616" s="59">
        <f t="shared" si="184"/>
        <v>0</v>
      </c>
      <c r="AF616" s="59">
        <f t="shared" si="185"/>
        <v>0</v>
      </c>
      <c r="AG616" s="59">
        <f t="shared" si="186"/>
        <v>0</v>
      </c>
      <c r="AH616" s="59">
        <v>3</v>
      </c>
      <c r="AI616" s="59">
        <v>2</v>
      </c>
      <c r="AJ616" s="59">
        <f t="shared" si="187"/>
        <v>0</v>
      </c>
      <c r="AK616" s="59">
        <f t="shared" si="188"/>
        <v>1</v>
      </c>
      <c r="AL616" s="59">
        <v>2366</v>
      </c>
      <c r="AM616" s="59">
        <v>20898</v>
      </c>
      <c r="AN616" s="59">
        <v>1</v>
      </c>
      <c r="AO616" s="59">
        <v>1</v>
      </c>
      <c r="AP616" s="59">
        <v>14</v>
      </c>
      <c r="AQ616" s="59">
        <v>3</v>
      </c>
      <c r="AR616" s="59">
        <v>1</v>
      </c>
      <c r="AS616" s="59">
        <v>80</v>
      </c>
      <c r="AT616" s="59">
        <v>1</v>
      </c>
      <c r="AU616" s="59">
        <v>8</v>
      </c>
      <c r="AV616" s="59">
        <v>2</v>
      </c>
      <c r="AW616" s="59">
        <v>3</v>
      </c>
      <c r="AX616" s="59">
        <v>8</v>
      </c>
      <c r="AY616" s="59">
        <v>7</v>
      </c>
      <c r="AZ616" s="59">
        <v>1</v>
      </c>
      <c r="BA616" s="59">
        <v>7</v>
      </c>
      <c r="BB616" s="57">
        <f t="shared" si="189"/>
        <v>2366</v>
      </c>
    </row>
    <row r="617" spans="1:54" x14ac:dyDescent="0.25">
      <c r="A617" s="58">
        <v>27</v>
      </c>
      <c r="B617" s="59">
        <v>0</v>
      </c>
      <c r="C617" s="59">
        <v>3</v>
      </c>
      <c r="D617" s="59">
        <f t="shared" si="171"/>
        <v>0</v>
      </c>
      <c r="E617" s="59">
        <f t="shared" si="172"/>
        <v>0</v>
      </c>
      <c r="F617" s="59">
        <v>443</v>
      </c>
      <c r="G617" s="59">
        <v>2</v>
      </c>
      <c r="H617" s="59">
        <f t="shared" si="173"/>
        <v>0</v>
      </c>
      <c r="I617" s="59">
        <f t="shared" si="174"/>
        <v>1</v>
      </c>
      <c r="J617" s="59">
        <v>3</v>
      </c>
      <c r="K617" s="59">
        <v>3</v>
      </c>
      <c r="L617" s="59">
        <v>3</v>
      </c>
      <c r="M617" s="59">
        <f t="shared" si="175"/>
        <v>0</v>
      </c>
      <c r="N617" s="59">
        <f t="shared" si="176"/>
        <v>0</v>
      </c>
      <c r="O617" s="59">
        <f t="shared" si="177"/>
        <v>1</v>
      </c>
      <c r="P617" s="59">
        <f t="shared" si="178"/>
        <v>0</v>
      </c>
      <c r="Q617" s="59">
        <f t="shared" si="179"/>
        <v>0</v>
      </c>
      <c r="R617" s="59">
        <v>1</v>
      </c>
      <c r="S617" s="59">
        <v>850</v>
      </c>
      <c r="T617" s="59">
        <v>4</v>
      </c>
      <c r="U617" s="59">
        <v>1</v>
      </c>
      <c r="V617" s="59">
        <v>50</v>
      </c>
      <c r="W617" s="59">
        <v>3</v>
      </c>
      <c r="X617" s="59">
        <v>1</v>
      </c>
      <c r="Y617" s="59">
        <v>2</v>
      </c>
      <c r="Z617" s="59">
        <f t="shared" si="180"/>
        <v>0</v>
      </c>
      <c r="AA617" s="59">
        <f>IF('Updated Dummy'!Y617=2,1,0)</f>
        <v>1</v>
      </c>
      <c r="AB617" s="59">
        <f t="shared" si="181"/>
        <v>0</v>
      </c>
      <c r="AC617" s="59">
        <f t="shared" si="182"/>
        <v>0</v>
      </c>
      <c r="AD617" s="59">
        <f t="shared" si="183"/>
        <v>0</v>
      </c>
      <c r="AE617" s="59">
        <f t="shared" si="184"/>
        <v>0</v>
      </c>
      <c r="AF617" s="59">
        <f t="shared" si="185"/>
        <v>0</v>
      </c>
      <c r="AG617" s="59">
        <f t="shared" si="186"/>
        <v>0</v>
      </c>
      <c r="AH617" s="59">
        <v>4</v>
      </c>
      <c r="AI617" s="59">
        <v>2</v>
      </c>
      <c r="AJ617" s="59">
        <f t="shared" si="187"/>
        <v>0</v>
      </c>
      <c r="AK617" s="59">
        <f t="shared" si="188"/>
        <v>1</v>
      </c>
      <c r="AL617" s="59">
        <v>1706</v>
      </c>
      <c r="AM617" s="59">
        <v>16571</v>
      </c>
      <c r="AN617" s="59">
        <v>1</v>
      </c>
      <c r="AO617" s="59">
        <v>0</v>
      </c>
      <c r="AP617" s="59">
        <v>11</v>
      </c>
      <c r="AQ617" s="59">
        <v>3</v>
      </c>
      <c r="AR617" s="59">
        <v>3</v>
      </c>
      <c r="AS617" s="59">
        <v>80</v>
      </c>
      <c r="AT617" s="59">
        <v>3</v>
      </c>
      <c r="AU617" s="59">
        <v>0</v>
      </c>
      <c r="AV617" s="59">
        <v>6</v>
      </c>
      <c r="AW617" s="59">
        <v>2</v>
      </c>
      <c r="AX617" s="59">
        <v>0</v>
      </c>
      <c r="AY617" s="59">
        <v>0</v>
      </c>
      <c r="AZ617" s="59">
        <v>0</v>
      </c>
      <c r="BA617" s="59">
        <v>0</v>
      </c>
      <c r="BB617" s="57">
        <f t="shared" si="189"/>
        <v>1706</v>
      </c>
    </row>
    <row r="618" spans="1:54" x14ac:dyDescent="0.25">
      <c r="A618" s="58">
        <v>51</v>
      </c>
      <c r="B618" s="59">
        <v>0</v>
      </c>
      <c r="C618" s="59">
        <v>1</v>
      </c>
      <c r="D618" s="59">
        <f t="shared" si="171"/>
        <v>1</v>
      </c>
      <c r="E618" s="59">
        <f t="shared" si="172"/>
        <v>0</v>
      </c>
      <c r="F618" s="59">
        <v>1318</v>
      </c>
      <c r="G618" s="59">
        <v>1</v>
      </c>
      <c r="H618" s="59">
        <f t="shared" si="173"/>
        <v>1</v>
      </c>
      <c r="I618" s="59">
        <f t="shared" si="174"/>
        <v>0</v>
      </c>
      <c r="J618" s="59">
        <v>26</v>
      </c>
      <c r="K618" s="59">
        <v>4</v>
      </c>
      <c r="L618" s="59">
        <v>4</v>
      </c>
      <c r="M618" s="59">
        <f t="shared" si="175"/>
        <v>0</v>
      </c>
      <c r="N618" s="59">
        <f t="shared" si="176"/>
        <v>0</v>
      </c>
      <c r="O618" s="59">
        <f t="shared" si="177"/>
        <v>0</v>
      </c>
      <c r="P618" s="59">
        <f t="shared" si="178"/>
        <v>1</v>
      </c>
      <c r="Q618" s="59">
        <f t="shared" si="179"/>
        <v>0</v>
      </c>
      <c r="R618" s="59">
        <v>1</v>
      </c>
      <c r="S618" s="59">
        <v>851</v>
      </c>
      <c r="T618" s="59">
        <v>1</v>
      </c>
      <c r="U618" s="59">
        <v>0</v>
      </c>
      <c r="V618" s="59">
        <v>66</v>
      </c>
      <c r="W618" s="59">
        <v>3</v>
      </c>
      <c r="X618" s="59">
        <v>4</v>
      </c>
      <c r="Y618" s="59">
        <v>6</v>
      </c>
      <c r="Z618" s="59">
        <f t="shared" si="180"/>
        <v>0</v>
      </c>
      <c r="AA618" s="59">
        <f>IF('Updated Dummy'!Y618=2,1,0)</f>
        <v>0</v>
      </c>
      <c r="AB618" s="59">
        <f t="shared" si="181"/>
        <v>0</v>
      </c>
      <c r="AC618" s="59">
        <f t="shared" si="182"/>
        <v>0</v>
      </c>
      <c r="AD618" s="59">
        <f t="shared" si="183"/>
        <v>0</v>
      </c>
      <c r="AE618" s="59">
        <f t="shared" si="184"/>
        <v>1</v>
      </c>
      <c r="AF618" s="59">
        <f t="shared" si="185"/>
        <v>0</v>
      </c>
      <c r="AG618" s="59">
        <f t="shared" si="186"/>
        <v>0</v>
      </c>
      <c r="AH618" s="59">
        <v>3</v>
      </c>
      <c r="AI618" s="59">
        <v>2</v>
      </c>
      <c r="AJ618" s="59">
        <f t="shared" si="187"/>
        <v>0</v>
      </c>
      <c r="AK618" s="59">
        <f t="shared" si="188"/>
        <v>1</v>
      </c>
      <c r="AL618" s="59">
        <v>16307</v>
      </c>
      <c r="AM618" s="59">
        <v>5594</v>
      </c>
      <c r="AN618" s="59">
        <v>2</v>
      </c>
      <c r="AO618" s="59">
        <v>0</v>
      </c>
      <c r="AP618" s="59">
        <v>14</v>
      </c>
      <c r="AQ618" s="59">
        <v>3</v>
      </c>
      <c r="AR618" s="59">
        <v>3</v>
      </c>
      <c r="AS618" s="59">
        <v>80</v>
      </c>
      <c r="AT618" s="59">
        <v>1</v>
      </c>
      <c r="AU618" s="59">
        <v>29</v>
      </c>
      <c r="AV618" s="59">
        <v>2</v>
      </c>
      <c r="AW618" s="59">
        <v>2</v>
      </c>
      <c r="AX618" s="59">
        <v>20</v>
      </c>
      <c r="AY618" s="59">
        <v>6</v>
      </c>
      <c r="AZ618" s="59">
        <v>4</v>
      </c>
      <c r="BA618" s="59">
        <v>17</v>
      </c>
      <c r="BB618" s="57">
        <f t="shared" si="189"/>
        <v>65228</v>
      </c>
    </row>
    <row r="619" spans="1:54" x14ac:dyDescent="0.25">
      <c r="A619" s="58">
        <v>44</v>
      </c>
      <c r="B619" s="59">
        <v>0</v>
      </c>
      <c r="C619" s="59">
        <v>1</v>
      </c>
      <c r="D619" s="59">
        <f t="shared" si="171"/>
        <v>1</v>
      </c>
      <c r="E619" s="59">
        <f t="shared" si="172"/>
        <v>0</v>
      </c>
      <c r="F619" s="59">
        <v>625</v>
      </c>
      <c r="G619" s="59">
        <v>2</v>
      </c>
      <c r="H619" s="59">
        <f t="shared" si="173"/>
        <v>0</v>
      </c>
      <c r="I619" s="59">
        <f t="shared" si="174"/>
        <v>1</v>
      </c>
      <c r="J619" s="59">
        <v>4</v>
      </c>
      <c r="K619" s="59">
        <v>3</v>
      </c>
      <c r="L619" s="59">
        <v>3</v>
      </c>
      <c r="M619" s="59">
        <f t="shared" si="175"/>
        <v>0</v>
      </c>
      <c r="N619" s="59">
        <f t="shared" si="176"/>
        <v>0</v>
      </c>
      <c r="O619" s="59">
        <f t="shared" si="177"/>
        <v>1</v>
      </c>
      <c r="P619" s="59">
        <f t="shared" si="178"/>
        <v>0</v>
      </c>
      <c r="Q619" s="59">
        <f t="shared" si="179"/>
        <v>0</v>
      </c>
      <c r="R619" s="59">
        <v>1</v>
      </c>
      <c r="S619" s="59">
        <v>852</v>
      </c>
      <c r="T619" s="59">
        <v>4</v>
      </c>
      <c r="U619" s="59">
        <v>1</v>
      </c>
      <c r="V619" s="59">
        <v>50</v>
      </c>
      <c r="W619" s="59">
        <v>3</v>
      </c>
      <c r="X619" s="59">
        <v>2</v>
      </c>
      <c r="Y619" s="59">
        <v>5</v>
      </c>
      <c r="Z619" s="59">
        <f t="shared" si="180"/>
        <v>0</v>
      </c>
      <c r="AA619" s="59">
        <f>IF('Updated Dummy'!Y619=2,1,0)</f>
        <v>0</v>
      </c>
      <c r="AB619" s="59">
        <f t="shared" si="181"/>
        <v>0</v>
      </c>
      <c r="AC619" s="59">
        <f t="shared" si="182"/>
        <v>0</v>
      </c>
      <c r="AD619" s="59">
        <f t="shared" si="183"/>
        <v>1</v>
      </c>
      <c r="AE619" s="59">
        <f t="shared" si="184"/>
        <v>0</v>
      </c>
      <c r="AF619" s="59">
        <f t="shared" si="185"/>
        <v>0</v>
      </c>
      <c r="AG619" s="59">
        <f t="shared" si="186"/>
        <v>0</v>
      </c>
      <c r="AH619" s="59">
        <v>2</v>
      </c>
      <c r="AI619" s="59">
        <v>1</v>
      </c>
      <c r="AJ619" s="59">
        <f t="shared" si="187"/>
        <v>1</v>
      </c>
      <c r="AK619" s="59">
        <f t="shared" si="188"/>
        <v>0</v>
      </c>
      <c r="AL619" s="59">
        <v>5933</v>
      </c>
      <c r="AM619" s="59">
        <v>5197</v>
      </c>
      <c r="AN619" s="59">
        <v>9</v>
      </c>
      <c r="AO619" s="59">
        <v>0</v>
      </c>
      <c r="AP619" s="59">
        <v>12</v>
      </c>
      <c r="AQ619" s="59">
        <v>3</v>
      </c>
      <c r="AR619" s="59">
        <v>4</v>
      </c>
      <c r="AS619" s="59">
        <v>80</v>
      </c>
      <c r="AT619" s="59">
        <v>0</v>
      </c>
      <c r="AU619" s="59">
        <v>10</v>
      </c>
      <c r="AV619" s="59">
        <v>2</v>
      </c>
      <c r="AW619" s="59">
        <v>2</v>
      </c>
      <c r="AX619" s="59">
        <v>5</v>
      </c>
      <c r="AY619" s="59">
        <v>2</v>
      </c>
      <c r="AZ619" s="59">
        <v>2</v>
      </c>
      <c r="BA619" s="59">
        <v>3</v>
      </c>
      <c r="BB619" s="57">
        <f t="shared" si="189"/>
        <v>11866</v>
      </c>
    </row>
    <row r="620" spans="1:54" x14ac:dyDescent="0.25">
      <c r="A620" s="58">
        <v>25</v>
      </c>
      <c r="B620" s="59">
        <v>0</v>
      </c>
      <c r="C620" s="59">
        <v>1</v>
      </c>
      <c r="D620" s="59">
        <f t="shared" si="171"/>
        <v>1</v>
      </c>
      <c r="E620" s="59">
        <f t="shared" si="172"/>
        <v>0</v>
      </c>
      <c r="F620" s="59">
        <v>180</v>
      </c>
      <c r="G620" s="59">
        <v>2</v>
      </c>
      <c r="H620" s="59">
        <f t="shared" si="173"/>
        <v>0</v>
      </c>
      <c r="I620" s="59">
        <f t="shared" si="174"/>
        <v>1</v>
      </c>
      <c r="J620" s="59">
        <v>2</v>
      </c>
      <c r="K620" s="59">
        <v>1</v>
      </c>
      <c r="L620" s="59">
        <v>3</v>
      </c>
      <c r="M620" s="59">
        <f t="shared" si="175"/>
        <v>0</v>
      </c>
      <c r="N620" s="59">
        <f t="shared" si="176"/>
        <v>0</v>
      </c>
      <c r="O620" s="59">
        <f t="shared" si="177"/>
        <v>1</v>
      </c>
      <c r="P620" s="59">
        <f t="shared" si="178"/>
        <v>0</v>
      </c>
      <c r="Q620" s="59">
        <f t="shared" si="179"/>
        <v>0</v>
      </c>
      <c r="R620" s="59">
        <v>1</v>
      </c>
      <c r="S620" s="59">
        <v>854</v>
      </c>
      <c r="T620" s="59">
        <v>1</v>
      </c>
      <c r="U620" s="59">
        <v>1</v>
      </c>
      <c r="V620" s="59">
        <v>65</v>
      </c>
      <c r="W620" s="59">
        <v>4</v>
      </c>
      <c r="X620" s="59">
        <v>1</v>
      </c>
      <c r="Y620" s="59">
        <v>2</v>
      </c>
      <c r="Z620" s="59">
        <f t="shared" si="180"/>
        <v>0</v>
      </c>
      <c r="AA620" s="59">
        <f>IF('Updated Dummy'!Y620=2,1,0)</f>
        <v>1</v>
      </c>
      <c r="AB620" s="59">
        <f t="shared" si="181"/>
        <v>0</v>
      </c>
      <c r="AC620" s="59">
        <f t="shared" si="182"/>
        <v>0</v>
      </c>
      <c r="AD620" s="59">
        <f t="shared" si="183"/>
        <v>0</v>
      </c>
      <c r="AE620" s="59">
        <f t="shared" si="184"/>
        <v>0</v>
      </c>
      <c r="AF620" s="59">
        <f t="shared" si="185"/>
        <v>0</v>
      </c>
      <c r="AG620" s="59">
        <f t="shared" si="186"/>
        <v>0</v>
      </c>
      <c r="AH620" s="59">
        <v>1</v>
      </c>
      <c r="AI620" s="59">
        <v>1</v>
      </c>
      <c r="AJ620" s="59">
        <f t="shared" si="187"/>
        <v>1</v>
      </c>
      <c r="AK620" s="59">
        <f t="shared" si="188"/>
        <v>0</v>
      </c>
      <c r="AL620" s="59">
        <v>3424</v>
      </c>
      <c r="AM620" s="59">
        <v>21632</v>
      </c>
      <c r="AN620" s="59">
        <v>7</v>
      </c>
      <c r="AO620" s="59">
        <v>0</v>
      </c>
      <c r="AP620" s="59">
        <v>13</v>
      </c>
      <c r="AQ620" s="59">
        <v>3</v>
      </c>
      <c r="AR620" s="59">
        <v>3</v>
      </c>
      <c r="AS620" s="59">
        <v>80</v>
      </c>
      <c r="AT620" s="59">
        <v>0</v>
      </c>
      <c r="AU620" s="59">
        <v>6</v>
      </c>
      <c r="AV620" s="59">
        <v>3</v>
      </c>
      <c r="AW620" s="59">
        <v>2</v>
      </c>
      <c r="AX620" s="59">
        <v>4</v>
      </c>
      <c r="AY620" s="59">
        <v>3</v>
      </c>
      <c r="AZ620" s="59">
        <v>0</v>
      </c>
      <c r="BA620" s="59">
        <v>1</v>
      </c>
      <c r="BB620" s="57">
        <f t="shared" si="189"/>
        <v>3424</v>
      </c>
    </row>
    <row r="621" spans="1:54" x14ac:dyDescent="0.25">
      <c r="A621" s="58">
        <v>33</v>
      </c>
      <c r="B621" s="59">
        <v>0</v>
      </c>
      <c r="C621" s="59">
        <v>1</v>
      </c>
      <c r="D621" s="59">
        <f t="shared" si="171"/>
        <v>1</v>
      </c>
      <c r="E621" s="59">
        <f t="shared" si="172"/>
        <v>0</v>
      </c>
      <c r="F621" s="59">
        <v>586</v>
      </c>
      <c r="G621" s="59">
        <v>1</v>
      </c>
      <c r="H621" s="59">
        <f t="shared" si="173"/>
        <v>1</v>
      </c>
      <c r="I621" s="59">
        <f t="shared" si="174"/>
        <v>0</v>
      </c>
      <c r="J621" s="59">
        <v>1</v>
      </c>
      <c r="K621" s="59">
        <v>3</v>
      </c>
      <c r="L621" s="59">
        <v>3</v>
      </c>
      <c r="M621" s="59">
        <f t="shared" si="175"/>
        <v>0</v>
      </c>
      <c r="N621" s="59">
        <f t="shared" si="176"/>
        <v>0</v>
      </c>
      <c r="O621" s="59">
        <f t="shared" si="177"/>
        <v>1</v>
      </c>
      <c r="P621" s="59">
        <f t="shared" si="178"/>
        <v>0</v>
      </c>
      <c r="Q621" s="59">
        <f t="shared" si="179"/>
        <v>0</v>
      </c>
      <c r="R621" s="59">
        <v>1</v>
      </c>
      <c r="S621" s="59">
        <v>855</v>
      </c>
      <c r="T621" s="59">
        <v>1</v>
      </c>
      <c r="U621" s="59">
        <v>1</v>
      </c>
      <c r="V621" s="59">
        <v>48</v>
      </c>
      <c r="W621" s="59">
        <v>4</v>
      </c>
      <c r="X621" s="59">
        <v>2</v>
      </c>
      <c r="Y621" s="59">
        <v>1</v>
      </c>
      <c r="Z621" s="59">
        <f t="shared" si="180"/>
        <v>1</v>
      </c>
      <c r="AA621" s="59">
        <f>IF('Updated Dummy'!Y621=2,1,0)</f>
        <v>0</v>
      </c>
      <c r="AB621" s="59">
        <f t="shared" si="181"/>
        <v>0</v>
      </c>
      <c r="AC621" s="59">
        <f t="shared" si="182"/>
        <v>0</v>
      </c>
      <c r="AD621" s="59">
        <f t="shared" si="183"/>
        <v>0</v>
      </c>
      <c r="AE621" s="59">
        <f t="shared" si="184"/>
        <v>0</v>
      </c>
      <c r="AF621" s="59">
        <f t="shared" si="185"/>
        <v>0</v>
      </c>
      <c r="AG621" s="59">
        <f t="shared" si="186"/>
        <v>0</v>
      </c>
      <c r="AH621" s="59">
        <v>1</v>
      </c>
      <c r="AI621" s="59">
        <v>3</v>
      </c>
      <c r="AJ621" s="59">
        <f t="shared" si="187"/>
        <v>0</v>
      </c>
      <c r="AK621" s="59">
        <f t="shared" si="188"/>
        <v>0</v>
      </c>
      <c r="AL621" s="59">
        <v>4037</v>
      </c>
      <c r="AM621" s="59">
        <v>21816</v>
      </c>
      <c r="AN621" s="59">
        <v>1</v>
      </c>
      <c r="AO621" s="59">
        <v>0</v>
      </c>
      <c r="AP621" s="59">
        <v>22</v>
      </c>
      <c r="AQ621" s="59">
        <v>4</v>
      </c>
      <c r="AR621" s="59">
        <v>1</v>
      </c>
      <c r="AS621" s="59">
        <v>80</v>
      </c>
      <c r="AT621" s="59">
        <v>1</v>
      </c>
      <c r="AU621" s="59">
        <v>9</v>
      </c>
      <c r="AV621" s="59">
        <v>5</v>
      </c>
      <c r="AW621" s="59">
        <v>3</v>
      </c>
      <c r="AX621" s="59">
        <v>9</v>
      </c>
      <c r="AY621" s="59">
        <v>8</v>
      </c>
      <c r="AZ621" s="59">
        <v>0</v>
      </c>
      <c r="BA621" s="59">
        <v>8</v>
      </c>
      <c r="BB621" s="57">
        <f t="shared" si="189"/>
        <v>8074</v>
      </c>
    </row>
    <row r="622" spans="1:54" x14ac:dyDescent="0.25">
      <c r="A622" s="58">
        <v>35</v>
      </c>
      <c r="B622" s="59">
        <v>0</v>
      </c>
      <c r="C622" s="59">
        <v>1</v>
      </c>
      <c r="D622" s="59">
        <f t="shared" si="171"/>
        <v>1</v>
      </c>
      <c r="E622" s="59">
        <f t="shared" si="172"/>
        <v>0</v>
      </c>
      <c r="F622" s="59">
        <v>1343</v>
      </c>
      <c r="G622" s="59">
        <v>2</v>
      </c>
      <c r="H622" s="59">
        <f t="shared" si="173"/>
        <v>0</v>
      </c>
      <c r="I622" s="59">
        <f t="shared" si="174"/>
        <v>1</v>
      </c>
      <c r="J622" s="59">
        <v>27</v>
      </c>
      <c r="K622" s="59">
        <v>1</v>
      </c>
      <c r="L622" s="59">
        <v>3</v>
      </c>
      <c r="M622" s="59">
        <f t="shared" si="175"/>
        <v>0</v>
      </c>
      <c r="N622" s="59">
        <f t="shared" si="176"/>
        <v>0</v>
      </c>
      <c r="O622" s="59">
        <f t="shared" si="177"/>
        <v>1</v>
      </c>
      <c r="P622" s="59">
        <f t="shared" si="178"/>
        <v>0</v>
      </c>
      <c r="Q622" s="59">
        <f t="shared" si="179"/>
        <v>0</v>
      </c>
      <c r="R622" s="59">
        <v>1</v>
      </c>
      <c r="S622" s="59">
        <v>856</v>
      </c>
      <c r="T622" s="59">
        <v>3</v>
      </c>
      <c r="U622" s="59">
        <v>0</v>
      </c>
      <c r="V622" s="59">
        <v>53</v>
      </c>
      <c r="W622" s="59">
        <v>2</v>
      </c>
      <c r="X622" s="59">
        <v>1</v>
      </c>
      <c r="Y622" s="59">
        <v>2</v>
      </c>
      <c r="Z622" s="59">
        <f t="shared" si="180"/>
        <v>0</v>
      </c>
      <c r="AA622" s="59">
        <f>IF('Updated Dummy'!Y622=2,1,0)</f>
        <v>1</v>
      </c>
      <c r="AB622" s="59">
        <f t="shared" si="181"/>
        <v>0</v>
      </c>
      <c r="AC622" s="59">
        <f t="shared" si="182"/>
        <v>0</v>
      </c>
      <c r="AD622" s="59">
        <f t="shared" si="183"/>
        <v>0</v>
      </c>
      <c r="AE622" s="59">
        <f t="shared" si="184"/>
        <v>0</v>
      </c>
      <c r="AF622" s="59">
        <f t="shared" si="185"/>
        <v>0</v>
      </c>
      <c r="AG622" s="59">
        <f t="shared" si="186"/>
        <v>0</v>
      </c>
      <c r="AH622" s="59">
        <v>1</v>
      </c>
      <c r="AI622" s="59">
        <v>1</v>
      </c>
      <c r="AJ622" s="59">
        <f t="shared" si="187"/>
        <v>1</v>
      </c>
      <c r="AK622" s="59">
        <f t="shared" si="188"/>
        <v>0</v>
      </c>
      <c r="AL622" s="59">
        <v>2559</v>
      </c>
      <c r="AM622" s="59">
        <v>17852</v>
      </c>
      <c r="AN622" s="59">
        <v>1</v>
      </c>
      <c r="AO622" s="59">
        <v>0</v>
      </c>
      <c r="AP622" s="59">
        <v>11</v>
      </c>
      <c r="AQ622" s="59">
        <v>3</v>
      </c>
      <c r="AR622" s="59">
        <v>4</v>
      </c>
      <c r="AS622" s="59">
        <v>80</v>
      </c>
      <c r="AT622" s="59">
        <v>0</v>
      </c>
      <c r="AU622" s="59">
        <v>6</v>
      </c>
      <c r="AV622" s="59">
        <v>3</v>
      </c>
      <c r="AW622" s="59">
        <v>2</v>
      </c>
      <c r="AX622" s="59">
        <v>6</v>
      </c>
      <c r="AY622" s="59">
        <v>5</v>
      </c>
      <c r="AZ622" s="59">
        <v>1</v>
      </c>
      <c r="BA622" s="59">
        <v>1</v>
      </c>
      <c r="BB622" s="57">
        <f t="shared" si="189"/>
        <v>2559</v>
      </c>
    </row>
    <row r="623" spans="1:54" x14ac:dyDescent="0.25">
      <c r="A623" s="58">
        <v>36</v>
      </c>
      <c r="B623" s="59">
        <v>0</v>
      </c>
      <c r="C623" s="59">
        <v>1</v>
      </c>
      <c r="D623" s="59">
        <f t="shared" si="171"/>
        <v>1</v>
      </c>
      <c r="E623" s="59">
        <f t="shared" si="172"/>
        <v>0</v>
      </c>
      <c r="F623" s="59">
        <v>928</v>
      </c>
      <c r="G623" s="59">
        <v>1</v>
      </c>
      <c r="H623" s="59">
        <f t="shared" si="173"/>
        <v>1</v>
      </c>
      <c r="I623" s="59">
        <f t="shared" si="174"/>
        <v>0</v>
      </c>
      <c r="J623" s="59">
        <v>1</v>
      </c>
      <c r="K623" s="59">
        <v>2</v>
      </c>
      <c r="L623" s="59">
        <v>1</v>
      </c>
      <c r="M623" s="59">
        <f t="shared" si="175"/>
        <v>1</v>
      </c>
      <c r="N623" s="59">
        <f t="shared" si="176"/>
        <v>0</v>
      </c>
      <c r="O623" s="59">
        <f t="shared" si="177"/>
        <v>0</v>
      </c>
      <c r="P623" s="59">
        <f t="shared" si="178"/>
        <v>0</v>
      </c>
      <c r="Q623" s="59">
        <f t="shared" si="179"/>
        <v>0</v>
      </c>
      <c r="R623" s="59">
        <v>1</v>
      </c>
      <c r="S623" s="59">
        <v>857</v>
      </c>
      <c r="T623" s="59">
        <v>2</v>
      </c>
      <c r="U623" s="59">
        <v>1</v>
      </c>
      <c r="V623" s="59">
        <v>56</v>
      </c>
      <c r="W623" s="59">
        <v>3</v>
      </c>
      <c r="X623" s="59">
        <v>2</v>
      </c>
      <c r="Y623" s="59">
        <v>1</v>
      </c>
      <c r="Z623" s="59">
        <f t="shared" si="180"/>
        <v>1</v>
      </c>
      <c r="AA623" s="59">
        <f>IF('Updated Dummy'!Y623=2,1,0)</f>
        <v>0</v>
      </c>
      <c r="AB623" s="59">
        <f t="shared" si="181"/>
        <v>0</v>
      </c>
      <c r="AC623" s="59">
        <f t="shared" si="182"/>
        <v>0</v>
      </c>
      <c r="AD623" s="59">
        <f t="shared" si="183"/>
        <v>0</v>
      </c>
      <c r="AE623" s="59">
        <f t="shared" si="184"/>
        <v>0</v>
      </c>
      <c r="AF623" s="59">
        <f t="shared" si="185"/>
        <v>0</v>
      </c>
      <c r="AG623" s="59">
        <f t="shared" si="186"/>
        <v>0</v>
      </c>
      <c r="AH623" s="59">
        <v>4</v>
      </c>
      <c r="AI623" s="59">
        <v>2</v>
      </c>
      <c r="AJ623" s="59">
        <f t="shared" si="187"/>
        <v>0</v>
      </c>
      <c r="AK623" s="59">
        <f t="shared" si="188"/>
        <v>1</v>
      </c>
      <c r="AL623" s="59">
        <v>6201</v>
      </c>
      <c r="AM623" s="59">
        <v>2823</v>
      </c>
      <c r="AN623" s="59">
        <v>1</v>
      </c>
      <c r="AO623" s="59">
        <v>1</v>
      </c>
      <c r="AP623" s="59">
        <v>14</v>
      </c>
      <c r="AQ623" s="59">
        <v>3</v>
      </c>
      <c r="AR623" s="59">
        <v>4</v>
      </c>
      <c r="AS623" s="59">
        <v>80</v>
      </c>
      <c r="AT623" s="59">
        <v>1</v>
      </c>
      <c r="AU623" s="59">
        <v>18</v>
      </c>
      <c r="AV623" s="59">
        <v>1</v>
      </c>
      <c r="AW623" s="59">
        <v>2</v>
      </c>
      <c r="AX623" s="59">
        <v>18</v>
      </c>
      <c r="AY623" s="59">
        <v>14</v>
      </c>
      <c r="AZ623" s="59">
        <v>4</v>
      </c>
      <c r="BA623" s="59">
        <v>11</v>
      </c>
      <c r="BB623" s="57">
        <f t="shared" si="189"/>
        <v>12402</v>
      </c>
    </row>
    <row r="624" spans="1:54" x14ac:dyDescent="0.25">
      <c r="A624" s="58">
        <v>32</v>
      </c>
      <c r="B624" s="59">
        <v>0</v>
      </c>
      <c r="C624" s="59">
        <v>1</v>
      </c>
      <c r="D624" s="59">
        <f t="shared" si="171"/>
        <v>1</v>
      </c>
      <c r="E624" s="59">
        <f t="shared" si="172"/>
        <v>0</v>
      </c>
      <c r="F624" s="59">
        <v>117</v>
      </c>
      <c r="G624" s="59">
        <v>1</v>
      </c>
      <c r="H624" s="59">
        <f t="shared" si="173"/>
        <v>1</v>
      </c>
      <c r="I624" s="59">
        <f t="shared" si="174"/>
        <v>0</v>
      </c>
      <c r="J624" s="59">
        <v>13</v>
      </c>
      <c r="K624" s="59">
        <v>4</v>
      </c>
      <c r="L624" s="59">
        <v>1</v>
      </c>
      <c r="M624" s="59">
        <f t="shared" si="175"/>
        <v>1</v>
      </c>
      <c r="N624" s="59">
        <f t="shared" si="176"/>
        <v>0</v>
      </c>
      <c r="O624" s="59">
        <f t="shared" si="177"/>
        <v>0</v>
      </c>
      <c r="P624" s="59">
        <f t="shared" si="178"/>
        <v>0</v>
      </c>
      <c r="Q624" s="59">
        <f t="shared" si="179"/>
        <v>0</v>
      </c>
      <c r="R624" s="59">
        <v>1</v>
      </c>
      <c r="S624" s="59">
        <v>859</v>
      </c>
      <c r="T624" s="59">
        <v>2</v>
      </c>
      <c r="U624" s="59">
        <v>1</v>
      </c>
      <c r="V624" s="59">
        <v>73</v>
      </c>
      <c r="W624" s="59">
        <v>3</v>
      </c>
      <c r="X624" s="59">
        <v>2</v>
      </c>
      <c r="Y624" s="59">
        <v>1</v>
      </c>
      <c r="Z624" s="59">
        <f t="shared" si="180"/>
        <v>1</v>
      </c>
      <c r="AA624" s="59">
        <f>IF('Updated Dummy'!Y624=2,1,0)</f>
        <v>0</v>
      </c>
      <c r="AB624" s="59">
        <f t="shared" si="181"/>
        <v>0</v>
      </c>
      <c r="AC624" s="59">
        <f t="shared" si="182"/>
        <v>0</v>
      </c>
      <c r="AD624" s="59">
        <f t="shared" si="183"/>
        <v>0</v>
      </c>
      <c r="AE624" s="59">
        <f t="shared" si="184"/>
        <v>0</v>
      </c>
      <c r="AF624" s="59">
        <f t="shared" si="185"/>
        <v>0</v>
      </c>
      <c r="AG624" s="59">
        <f t="shared" si="186"/>
        <v>0</v>
      </c>
      <c r="AH624" s="59">
        <v>4</v>
      </c>
      <c r="AI624" s="59">
        <v>3</v>
      </c>
      <c r="AJ624" s="59">
        <f t="shared" si="187"/>
        <v>0</v>
      </c>
      <c r="AK624" s="59">
        <f t="shared" si="188"/>
        <v>0</v>
      </c>
      <c r="AL624" s="59">
        <v>4403</v>
      </c>
      <c r="AM624" s="59">
        <v>9250</v>
      </c>
      <c r="AN624" s="59">
        <v>2</v>
      </c>
      <c r="AO624" s="59">
        <v>0</v>
      </c>
      <c r="AP624" s="59">
        <v>11</v>
      </c>
      <c r="AQ624" s="59">
        <v>3</v>
      </c>
      <c r="AR624" s="59">
        <v>3</v>
      </c>
      <c r="AS624" s="59">
        <v>80</v>
      </c>
      <c r="AT624" s="59">
        <v>1</v>
      </c>
      <c r="AU624" s="59">
        <v>8</v>
      </c>
      <c r="AV624" s="59">
        <v>3</v>
      </c>
      <c r="AW624" s="59">
        <v>2</v>
      </c>
      <c r="AX624" s="59">
        <v>5</v>
      </c>
      <c r="AY624" s="59">
        <v>2</v>
      </c>
      <c r="AZ624" s="59">
        <v>0</v>
      </c>
      <c r="BA624" s="59">
        <v>3</v>
      </c>
      <c r="BB624" s="57">
        <f t="shared" si="189"/>
        <v>8806</v>
      </c>
    </row>
    <row r="625" spans="1:54" x14ac:dyDescent="0.25">
      <c r="A625" s="58">
        <v>30</v>
      </c>
      <c r="B625" s="59">
        <v>0</v>
      </c>
      <c r="C625" s="59">
        <v>2</v>
      </c>
      <c r="D625" s="59">
        <f t="shared" si="171"/>
        <v>0</v>
      </c>
      <c r="E625" s="59">
        <f t="shared" si="172"/>
        <v>1</v>
      </c>
      <c r="F625" s="59">
        <v>1012</v>
      </c>
      <c r="G625" s="59">
        <v>2</v>
      </c>
      <c r="H625" s="59">
        <f t="shared" si="173"/>
        <v>0</v>
      </c>
      <c r="I625" s="59">
        <f t="shared" si="174"/>
        <v>1</v>
      </c>
      <c r="J625" s="59">
        <v>5</v>
      </c>
      <c r="K625" s="59">
        <v>4</v>
      </c>
      <c r="L625" s="59">
        <v>1</v>
      </c>
      <c r="M625" s="59">
        <f t="shared" si="175"/>
        <v>1</v>
      </c>
      <c r="N625" s="59">
        <f t="shared" si="176"/>
        <v>0</v>
      </c>
      <c r="O625" s="59">
        <f t="shared" si="177"/>
        <v>0</v>
      </c>
      <c r="P625" s="59">
        <f t="shared" si="178"/>
        <v>0</v>
      </c>
      <c r="Q625" s="59">
        <f t="shared" si="179"/>
        <v>0</v>
      </c>
      <c r="R625" s="59">
        <v>1</v>
      </c>
      <c r="S625" s="59">
        <v>861</v>
      </c>
      <c r="T625" s="59">
        <v>2</v>
      </c>
      <c r="U625" s="59">
        <v>1</v>
      </c>
      <c r="V625" s="59">
        <v>75</v>
      </c>
      <c r="W625" s="59">
        <v>2</v>
      </c>
      <c r="X625" s="59">
        <v>1</v>
      </c>
      <c r="Y625" s="59">
        <v>2</v>
      </c>
      <c r="Z625" s="59">
        <f t="shared" si="180"/>
        <v>0</v>
      </c>
      <c r="AA625" s="59">
        <f>IF('Updated Dummy'!Y625=2,1,0)</f>
        <v>1</v>
      </c>
      <c r="AB625" s="59">
        <f t="shared" si="181"/>
        <v>0</v>
      </c>
      <c r="AC625" s="59">
        <f t="shared" si="182"/>
        <v>0</v>
      </c>
      <c r="AD625" s="59">
        <f t="shared" si="183"/>
        <v>0</v>
      </c>
      <c r="AE625" s="59">
        <f t="shared" si="184"/>
        <v>0</v>
      </c>
      <c r="AF625" s="59">
        <f t="shared" si="185"/>
        <v>0</v>
      </c>
      <c r="AG625" s="59">
        <f t="shared" si="186"/>
        <v>0</v>
      </c>
      <c r="AH625" s="59">
        <v>4</v>
      </c>
      <c r="AI625" s="59">
        <v>3</v>
      </c>
      <c r="AJ625" s="59">
        <f t="shared" si="187"/>
        <v>0</v>
      </c>
      <c r="AK625" s="59">
        <f t="shared" si="188"/>
        <v>0</v>
      </c>
      <c r="AL625" s="59">
        <v>3761</v>
      </c>
      <c r="AM625" s="59">
        <v>2373</v>
      </c>
      <c r="AN625" s="59">
        <v>9</v>
      </c>
      <c r="AO625" s="59">
        <v>0</v>
      </c>
      <c r="AP625" s="59">
        <v>12</v>
      </c>
      <c r="AQ625" s="59">
        <v>3</v>
      </c>
      <c r="AR625" s="59">
        <v>2</v>
      </c>
      <c r="AS625" s="59">
        <v>80</v>
      </c>
      <c r="AT625" s="59">
        <v>1</v>
      </c>
      <c r="AU625" s="59">
        <v>10</v>
      </c>
      <c r="AV625" s="59">
        <v>3</v>
      </c>
      <c r="AW625" s="59">
        <v>2</v>
      </c>
      <c r="AX625" s="59">
        <v>5</v>
      </c>
      <c r="AY625" s="59">
        <v>4</v>
      </c>
      <c r="AZ625" s="59">
        <v>0</v>
      </c>
      <c r="BA625" s="59">
        <v>3</v>
      </c>
      <c r="BB625" s="57">
        <f t="shared" si="189"/>
        <v>3761</v>
      </c>
    </row>
    <row r="626" spans="1:54" x14ac:dyDescent="0.25">
      <c r="A626" s="58">
        <v>53</v>
      </c>
      <c r="B626" s="59">
        <v>0</v>
      </c>
      <c r="C626" s="59">
        <v>1</v>
      </c>
      <c r="D626" s="59">
        <f t="shared" si="171"/>
        <v>1</v>
      </c>
      <c r="E626" s="59">
        <f t="shared" si="172"/>
        <v>0</v>
      </c>
      <c r="F626" s="59">
        <v>661</v>
      </c>
      <c r="G626" s="59">
        <v>1</v>
      </c>
      <c r="H626" s="59">
        <f t="shared" si="173"/>
        <v>1</v>
      </c>
      <c r="I626" s="59">
        <f t="shared" si="174"/>
        <v>0</v>
      </c>
      <c r="J626" s="59">
        <v>7</v>
      </c>
      <c r="K626" s="59">
        <v>2</v>
      </c>
      <c r="L626" s="59">
        <v>4</v>
      </c>
      <c r="M626" s="59">
        <f t="shared" si="175"/>
        <v>0</v>
      </c>
      <c r="N626" s="59">
        <f t="shared" si="176"/>
        <v>0</v>
      </c>
      <c r="O626" s="59">
        <f t="shared" si="177"/>
        <v>0</v>
      </c>
      <c r="P626" s="59">
        <f t="shared" si="178"/>
        <v>1</v>
      </c>
      <c r="Q626" s="59">
        <f t="shared" si="179"/>
        <v>0</v>
      </c>
      <c r="R626" s="59">
        <v>1</v>
      </c>
      <c r="S626" s="59">
        <v>862</v>
      </c>
      <c r="T626" s="59">
        <v>1</v>
      </c>
      <c r="U626" s="59">
        <v>0</v>
      </c>
      <c r="V626" s="59">
        <v>78</v>
      </c>
      <c r="W626" s="59">
        <v>2</v>
      </c>
      <c r="X626" s="59">
        <v>3</v>
      </c>
      <c r="Y626" s="59">
        <v>1</v>
      </c>
      <c r="Z626" s="59">
        <f t="shared" si="180"/>
        <v>1</v>
      </c>
      <c r="AA626" s="59">
        <f>IF('Updated Dummy'!Y626=2,1,0)</f>
        <v>0</v>
      </c>
      <c r="AB626" s="59">
        <f t="shared" si="181"/>
        <v>0</v>
      </c>
      <c r="AC626" s="59">
        <f t="shared" si="182"/>
        <v>0</v>
      </c>
      <c r="AD626" s="59">
        <f t="shared" si="183"/>
        <v>0</v>
      </c>
      <c r="AE626" s="59">
        <f t="shared" si="184"/>
        <v>0</v>
      </c>
      <c r="AF626" s="59">
        <f t="shared" si="185"/>
        <v>0</v>
      </c>
      <c r="AG626" s="59">
        <f t="shared" si="186"/>
        <v>0</v>
      </c>
      <c r="AH626" s="59">
        <v>4</v>
      </c>
      <c r="AI626" s="59">
        <v>2</v>
      </c>
      <c r="AJ626" s="59">
        <f t="shared" si="187"/>
        <v>0</v>
      </c>
      <c r="AK626" s="59">
        <f t="shared" si="188"/>
        <v>1</v>
      </c>
      <c r="AL626" s="59">
        <v>10934</v>
      </c>
      <c r="AM626" s="59">
        <v>20715</v>
      </c>
      <c r="AN626" s="59">
        <v>7</v>
      </c>
      <c r="AO626" s="59">
        <v>1</v>
      </c>
      <c r="AP626" s="59">
        <v>18</v>
      </c>
      <c r="AQ626" s="59">
        <v>3</v>
      </c>
      <c r="AR626" s="59">
        <v>4</v>
      </c>
      <c r="AS626" s="59">
        <v>80</v>
      </c>
      <c r="AT626" s="59">
        <v>1</v>
      </c>
      <c r="AU626" s="59">
        <v>35</v>
      </c>
      <c r="AV626" s="59">
        <v>3</v>
      </c>
      <c r="AW626" s="59">
        <v>3</v>
      </c>
      <c r="AX626" s="59">
        <v>5</v>
      </c>
      <c r="AY626" s="59">
        <v>2</v>
      </c>
      <c r="AZ626" s="59">
        <v>0</v>
      </c>
      <c r="BA626" s="59">
        <v>4</v>
      </c>
      <c r="BB626" s="57">
        <f t="shared" si="189"/>
        <v>32802</v>
      </c>
    </row>
    <row r="627" spans="1:54" x14ac:dyDescent="0.25">
      <c r="A627" s="58">
        <v>45</v>
      </c>
      <c r="B627" s="59">
        <v>0</v>
      </c>
      <c r="C627" s="59">
        <v>1</v>
      </c>
      <c r="D627" s="59">
        <f t="shared" si="171"/>
        <v>1</v>
      </c>
      <c r="E627" s="59">
        <f t="shared" si="172"/>
        <v>0</v>
      </c>
      <c r="F627" s="59">
        <v>930</v>
      </c>
      <c r="G627" s="59">
        <v>1</v>
      </c>
      <c r="H627" s="59">
        <f t="shared" si="173"/>
        <v>1</v>
      </c>
      <c r="I627" s="59">
        <f t="shared" si="174"/>
        <v>0</v>
      </c>
      <c r="J627" s="59">
        <v>9</v>
      </c>
      <c r="K627" s="59">
        <v>3</v>
      </c>
      <c r="L627" s="59">
        <v>4</v>
      </c>
      <c r="M627" s="59">
        <f t="shared" si="175"/>
        <v>0</v>
      </c>
      <c r="N627" s="59">
        <f t="shared" si="176"/>
        <v>0</v>
      </c>
      <c r="O627" s="59">
        <f t="shared" si="177"/>
        <v>0</v>
      </c>
      <c r="P627" s="59">
        <f t="shared" si="178"/>
        <v>1</v>
      </c>
      <c r="Q627" s="59">
        <f t="shared" si="179"/>
        <v>0</v>
      </c>
      <c r="R627" s="59">
        <v>1</v>
      </c>
      <c r="S627" s="59">
        <v>864</v>
      </c>
      <c r="T627" s="59">
        <v>4</v>
      </c>
      <c r="U627" s="59">
        <v>1</v>
      </c>
      <c r="V627" s="59">
        <v>74</v>
      </c>
      <c r="W627" s="59">
        <v>3</v>
      </c>
      <c r="X627" s="59">
        <v>3</v>
      </c>
      <c r="Y627" s="59">
        <v>1</v>
      </c>
      <c r="Z627" s="59">
        <f t="shared" si="180"/>
        <v>1</v>
      </c>
      <c r="AA627" s="59">
        <f>IF('Updated Dummy'!Y627=2,1,0)</f>
        <v>0</v>
      </c>
      <c r="AB627" s="59">
        <f t="shared" si="181"/>
        <v>0</v>
      </c>
      <c r="AC627" s="59">
        <f t="shared" si="182"/>
        <v>0</v>
      </c>
      <c r="AD627" s="59">
        <f t="shared" si="183"/>
        <v>0</v>
      </c>
      <c r="AE627" s="59">
        <f t="shared" si="184"/>
        <v>0</v>
      </c>
      <c r="AF627" s="59">
        <f t="shared" si="185"/>
        <v>0</v>
      </c>
      <c r="AG627" s="59">
        <f t="shared" si="186"/>
        <v>0</v>
      </c>
      <c r="AH627" s="59">
        <v>1</v>
      </c>
      <c r="AI627" s="59">
        <v>3</v>
      </c>
      <c r="AJ627" s="59">
        <f t="shared" si="187"/>
        <v>0</v>
      </c>
      <c r="AK627" s="59">
        <f t="shared" si="188"/>
        <v>0</v>
      </c>
      <c r="AL627" s="59">
        <v>10761</v>
      </c>
      <c r="AM627" s="59">
        <v>19239</v>
      </c>
      <c r="AN627" s="59">
        <v>4</v>
      </c>
      <c r="AO627" s="59">
        <v>1</v>
      </c>
      <c r="AP627" s="59">
        <v>12</v>
      </c>
      <c r="AQ627" s="59">
        <v>3</v>
      </c>
      <c r="AR627" s="59">
        <v>3</v>
      </c>
      <c r="AS627" s="59">
        <v>80</v>
      </c>
      <c r="AT627" s="59">
        <v>1</v>
      </c>
      <c r="AU627" s="59">
        <v>18</v>
      </c>
      <c r="AV627" s="59">
        <v>2</v>
      </c>
      <c r="AW627" s="59">
        <v>3</v>
      </c>
      <c r="AX627" s="59">
        <v>5</v>
      </c>
      <c r="AY627" s="59">
        <v>4</v>
      </c>
      <c r="AZ627" s="59">
        <v>0</v>
      </c>
      <c r="BA627" s="59">
        <v>2</v>
      </c>
      <c r="BB627" s="57">
        <f t="shared" si="189"/>
        <v>32283</v>
      </c>
    </row>
    <row r="628" spans="1:54" x14ac:dyDescent="0.25">
      <c r="A628" s="58">
        <v>32</v>
      </c>
      <c r="B628" s="59">
        <v>0</v>
      </c>
      <c r="C628" s="59">
        <v>1</v>
      </c>
      <c r="D628" s="59">
        <f t="shared" si="171"/>
        <v>1</v>
      </c>
      <c r="E628" s="59">
        <f t="shared" si="172"/>
        <v>0</v>
      </c>
      <c r="F628" s="59">
        <v>638</v>
      </c>
      <c r="G628" s="59">
        <v>2</v>
      </c>
      <c r="H628" s="59">
        <f t="shared" si="173"/>
        <v>0</v>
      </c>
      <c r="I628" s="59">
        <f t="shared" si="174"/>
        <v>1</v>
      </c>
      <c r="J628" s="59">
        <v>8</v>
      </c>
      <c r="K628" s="59">
        <v>2</v>
      </c>
      <c r="L628" s="59">
        <v>3</v>
      </c>
      <c r="M628" s="59">
        <f t="shared" si="175"/>
        <v>0</v>
      </c>
      <c r="N628" s="59">
        <f t="shared" si="176"/>
        <v>0</v>
      </c>
      <c r="O628" s="59">
        <f t="shared" si="177"/>
        <v>1</v>
      </c>
      <c r="P628" s="59">
        <f t="shared" si="178"/>
        <v>0</v>
      </c>
      <c r="Q628" s="59">
        <f t="shared" si="179"/>
        <v>0</v>
      </c>
      <c r="R628" s="59">
        <v>1</v>
      </c>
      <c r="S628" s="59">
        <v>865</v>
      </c>
      <c r="T628" s="59">
        <v>3</v>
      </c>
      <c r="U628" s="59">
        <v>0</v>
      </c>
      <c r="V628" s="59">
        <v>91</v>
      </c>
      <c r="W628" s="59">
        <v>4</v>
      </c>
      <c r="X628" s="59">
        <v>2</v>
      </c>
      <c r="Y628" s="59">
        <v>2</v>
      </c>
      <c r="Z628" s="59">
        <f t="shared" si="180"/>
        <v>0</v>
      </c>
      <c r="AA628" s="59">
        <f>IF('Updated Dummy'!Y628=2,1,0)</f>
        <v>1</v>
      </c>
      <c r="AB628" s="59">
        <f t="shared" si="181"/>
        <v>0</v>
      </c>
      <c r="AC628" s="59">
        <f t="shared" si="182"/>
        <v>0</v>
      </c>
      <c r="AD628" s="59">
        <f t="shared" si="183"/>
        <v>0</v>
      </c>
      <c r="AE628" s="59">
        <f t="shared" si="184"/>
        <v>0</v>
      </c>
      <c r="AF628" s="59">
        <f t="shared" si="185"/>
        <v>0</v>
      </c>
      <c r="AG628" s="59">
        <f t="shared" si="186"/>
        <v>0</v>
      </c>
      <c r="AH628" s="59">
        <v>3</v>
      </c>
      <c r="AI628" s="59">
        <v>2</v>
      </c>
      <c r="AJ628" s="59">
        <f t="shared" si="187"/>
        <v>0</v>
      </c>
      <c r="AK628" s="59">
        <f t="shared" si="188"/>
        <v>1</v>
      </c>
      <c r="AL628" s="59">
        <v>5175</v>
      </c>
      <c r="AM628" s="59">
        <v>22162</v>
      </c>
      <c r="AN628" s="59">
        <v>5</v>
      </c>
      <c r="AO628" s="59">
        <v>0</v>
      </c>
      <c r="AP628" s="59">
        <v>12</v>
      </c>
      <c r="AQ628" s="59">
        <v>3</v>
      </c>
      <c r="AR628" s="59">
        <v>3</v>
      </c>
      <c r="AS628" s="59">
        <v>80</v>
      </c>
      <c r="AT628" s="59">
        <v>1</v>
      </c>
      <c r="AU628" s="59">
        <v>9</v>
      </c>
      <c r="AV628" s="59">
        <v>3</v>
      </c>
      <c r="AW628" s="59">
        <v>2</v>
      </c>
      <c r="AX628" s="59">
        <v>5</v>
      </c>
      <c r="AY628" s="59">
        <v>3</v>
      </c>
      <c r="AZ628" s="59">
        <v>1</v>
      </c>
      <c r="BA628" s="59">
        <v>3</v>
      </c>
      <c r="BB628" s="57">
        <f t="shared" si="189"/>
        <v>10350</v>
      </c>
    </row>
    <row r="629" spans="1:54" x14ac:dyDescent="0.25">
      <c r="A629" s="58">
        <v>52</v>
      </c>
      <c r="B629" s="59">
        <v>0</v>
      </c>
      <c r="C629" s="59">
        <v>2</v>
      </c>
      <c r="D629" s="59">
        <f t="shared" si="171"/>
        <v>0</v>
      </c>
      <c r="E629" s="59">
        <f t="shared" si="172"/>
        <v>1</v>
      </c>
      <c r="F629" s="59">
        <v>890</v>
      </c>
      <c r="G629" s="59">
        <v>2</v>
      </c>
      <c r="H629" s="59">
        <f t="shared" si="173"/>
        <v>0</v>
      </c>
      <c r="I629" s="59">
        <f t="shared" si="174"/>
        <v>1</v>
      </c>
      <c r="J629" s="59">
        <v>25</v>
      </c>
      <c r="K629" s="59">
        <v>4</v>
      </c>
      <c r="L629" s="59">
        <v>3</v>
      </c>
      <c r="M629" s="59">
        <f t="shared" si="175"/>
        <v>0</v>
      </c>
      <c r="N629" s="59">
        <f t="shared" si="176"/>
        <v>0</v>
      </c>
      <c r="O629" s="59">
        <f t="shared" si="177"/>
        <v>1</v>
      </c>
      <c r="P629" s="59">
        <f t="shared" si="178"/>
        <v>0</v>
      </c>
      <c r="Q629" s="59">
        <f t="shared" si="179"/>
        <v>0</v>
      </c>
      <c r="R629" s="59">
        <v>1</v>
      </c>
      <c r="S629" s="59">
        <v>867</v>
      </c>
      <c r="T629" s="59">
        <v>3</v>
      </c>
      <c r="U629" s="59">
        <v>0</v>
      </c>
      <c r="V629" s="59">
        <v>81</v>
      </c>
      <c r="W629" s="59">
        <v>2</v>
      </c>
      <c r="X629" s="59">
        <v>4</v>
      </c>
      <c r="Y629" s="59">
        <v>4</v>
      </c>
      <c r="Z629" s="59">
        <f t="shared" si="180"/>
        <v>0</v>
      </c>
      <c r="AA629" s="59">
        <f>IF('Updated Dummy'!Y629=2,1,0)</f>
        <v>0</v>
      </c>
      <c r="AB629" s="59">
        <f t="shared" si="181"/>
        <v>0</v>
      </c>
      <c r="AC629" s="59">
        <f t="shared" si="182"/>
        <v>1</v>
      </c>
      <c r="AD629" s="59">
        <f t="shared" si="183"/>
        <v>0</v>
      </c>
      <c r="AE629" s="59">
        <f t="shared" si="184"/>
        <v>0</v>
      </c>
      <c r="AF629" s="59">
        <f t="shared" si="185"/>
        <v>0</v>
      </c>
      <c r="AG629" s="59">
        <f t="shared" si="186"/>
        <v>0</v>
      </c>
      <c r="AH629" s="59">
        <v>4</v>
      </c>
      <c r="AI629" s="59">
        <v>2</v>
      </c>
      <c r="AJ629" s="59">
        <f t="shared" si="187"/>
        <v>0</v>
      </c>
      <c r="AK629" s="59">
        <f t="shared" si="188"/>
        <v>1</v>
      </c>
      <c r="AL629" s="59">
        <v>13826</v>
      </c>
      <c r="AM629" s="59">
        <v>19028</v>
      </c>
      <c r="AN629" s="59">
        <v>3</v>
      </c>
      <c r="AO629" s="59">
        <v>0</v>
      </c>
      <c r="AP629" s="59">
        <v>22</v>
      </c>
      <c r="AQ629" s="59">
        <v>4</v>
      </c>
      <c r="AR629" s="59">
        <v>3</v>
      </c>
      <c r="AS629" s="59">
        <v>80</v>
      </c>
      <c r="AT629" s="59">
        <v>0</v>
      </c>
      <c r="AU629" s="59">
        <v>31</v>
      </c>
      <c r="AV629" s="59">
        <v>3</v>
      </c>
      <c r="AW629" s="59">
        <v>3</v>
      </c>
      <c r="AX629" s="59">
        <v>9</v>
      </c>
      <c r="AY629" s="59">
        <v>8</v>
      </c>
      <c r="AZ629" s="59">
        <v>0</v>
      </c>
      <c r="BA629" s="59">
        <v>0</v>
      </c>
      <c r="BB629" s="57">
        <f t="shared" si="189"/>
        <v>55304</v>
      </c>
    </row>
    <row r="630" spans="1:54" x14ac:dyDescent="0.25">
      <c r="A630" s="58">
        <v>37</v>
      </c>
      <c r="B630" s="59">
        <v>0</v>
      </c>
      <c r="C630" s="59">
        <v>1</v>
      </c>
      <c r="D630" s="59">
        <f t="shared" si="171"/>
        <v>1</v>
      </c>
      <c r="E630" s="59">
        <f t="shared" si="172"/>
        <v>0</v>
      </c>
      <c r="F630" s="59">
        <v>342</v>
      </c>
      <c r="G630" s="59">
        <v>1</v>
      </c>
      <c r="H630" s="59">
        <f t="shared" si="173"/>
        <v>1</v>
      </c>
      <c r="I630" s="59">
        <f t="shared" si="174"/>
        <v>0</v>
      </c>
      <c r="J630" s="59">
        <v>16</v>
      </c>
      <c r="K630" s="59">
        <v>4</v>
      </c>
      <c r="L630" s="59">
        <v>4</v>
      </c>
      <c r="M630" s="59">
        <f t="shared" si="175"/>
        <v>0</v>
      </c>
      <c r="N630" s="59">
        <f t="shared" si="176"/>
        <v>0</v>
      </c>
      <c r="O630" s="59">
        <f t="shared" si="177"/>
        <v>0</v>
      </c>
      <c r="P630" s="59">
        <f t="shared" si="178"/>
        <v>1</v>
      </c>
      <c r="Q630" s="59">
        <f t="shared" si="179"/>
        <v>0</v>
      </c>
      <c r="R630" s="59">
        <v>1</v>
      </c>
      <c r="S630" s="59">
        <v>868</v>
      </c>
      <c r="T630" s="59">
        <v>4</v>
      </c>
      <c r="U630" s="59">
        <v>1</v>
      </c>
      <c r="V630" s="59">
        <v>66</v>
      </c>
      <c r="W630" s="59">
        <v>2</v>
      </c>
      <c r="X630" s="59">
        <v>2</v>
      </c>
      <c r="Y630" s="59">
        <v>1</v>
      </c>
      <c r="Z630" s="59">
        <f t="shared" si="180"/>
        <v>1</v>
      </c>
      <c r="AA630" s="59">
        <f>IF('Updated Dummy'!Y630=2,1,0)</f>
        <v>0</v>
      </c>
      <c r="AB630" s="59">
        <f t="shared" si="181"/>
        <v>0</v>
      </c>
      <c r="AC630" s="59">
        <f t="shared" si="182"/>
        <v>0</v>
      </c>
      <c r="AD630" s="59">
        <f t="shared" si="183"/>
        <v>0</v>
      </c>
      <c r="AE630" s="59">
        <f t="shared" si="184"/>
        <v>0</v>
      </c>
      <c r="AF630" s="59">
        <f t="shared" si="185"/>
        <v>0</v>
      </c>
      <c r="AG630" s="59">
        <f t="shared" si="186"/>
        <v>0</v>
      </c>
      <c r="AH630" s="59">
        <v>3</v>
      </c>
      <c r="AI630" s="59">
        <v>3</v>
      </c>
      <c r="AJ630" s="59">
        <f t="shared" si="187"/>
        <v>0</v>
      </c>
      <c r="AK630" s="59">
        <f t="shared" si="188"/>
        <v>0</v>
      </c>
      <c r="AL630" s="59">
        <v>6334</v>
      </c>
      <c r="AM630" s="59">
        <v>24558</v>
      </c>
      <c r="AN630" s="59">
        <v>4</v>
      </c>
      <c r="AO630" s="59">
        <v>0</v>
      </c>
      <c r="AP630" s="59">
        <v>19</v>
      </c>
      <c r="AQ630" s="59">
        <v>3</v>
      </c>
      <c r="AR630" s="59">
        <v>4</v>
      </c>
      <c r="AS630" s="59">
        <v>80</v>
      </c>
      <c r="AT630" s="59">
        <v>2</v>
      </c>
      <c r="AU630" s="59">
        <v>9</v>
      </c>
      <c r="AV630" s="59">
        <v>2</v>
      </c>
      <c r="AW630" s="59">
        <v>3</v>
      </c>
      <c r="AX630" s="59">
        <v>1</v>
      </c>
      <c r="AY630" s="59">
        <v>0</v>
      </c>
      <c r="AZ630" s="59">
        <v>0</v>
      </c>
      <c r="BA630" s="59">
        <v>0</v>
      </c>
      <c r="BB630" s="57">
        <f t="shared" si="189"/>
        <v>12668</v>
      </c>
    </row>
    <row r="631" spans="1:54" x14ac:dyDescent="0.25">
      <c r="A631" s="58">
        <v>28</v>
      </c>
      <c r="B631" s="59">
        <v>0</v>
      </c>
      <c r="C631" s="59">
        <v>1</v>
      </c>
      <c r="D631" s="59">
        <f t="shared" si="171"/>
        <v>1</v>
      </c>
      <c r="E631" s="59">
        <f t="shared" si="172"/>
        <v>0</v>
      </c>
      <c r="F631" s="59">
        <v>1169</v>
      </c>
      <c r="G631" s="59">
        <v>3</v>
      </c>
      <c r="H631" s="59">
        <f t="shared" si="173"/>
        <v>0</v>
      </c>
      <c r="I631" s="59">
        <f t="shared" si="174"/>
        <v>0</v>
      </c>
      <c r="J631" s="59">
        <v>8</v>
      </c>
      <c r="K631" s="59">
        <v>2</v>
      </c>
      <c r="L631" s="59">
        <v>3</v>
      </c>
      <c r="M631" s="59">
        <f t="shared" si="175"/>
        <v>0</v>
      </c>
      <c r="N631" s="59">
        <f t="shared" si="176"/>
        <v>0</v>
      </c>
      <c r="O631" s="59">
        <f t="shared" si="177"/>
        <v>1</v>
      </c>
      <c r="P631" s="59">
        <f t="shared" si="178"/>
        <v>0</v>
      </c>
      <c r="Q631" s="59">
        <f t="shared" si="179"/>
        <v>0</v>
      </c>
      <c r="R631" s="59">
        <v>1</v>
      </c>
      <c r="S631" s="59">
        <v>869</v>
      </c>
      <c r="T631" s="59">
        <v>2</v>
      </c>
      <c r="U631" s="59">
        <v>1</v>
      </c>
      <c r="V631" s="59">
        <v>63</v>
      </c>
      <c r="W631" s="59">
        <v>2</v>
      </c>
      <c r="X631" s="59">
        <v>1</v>
      </c>
      <c r="Y631" s="59">
        <v>9</v>
      </c>
      <c r="Z631" s="59">
        <f t="shared" si="180"/>
        <v>0</v>
      </c>
      <c r="AA631" s="59">
        <f>IF('Updated Dummy'!Y631=2,1,0)</f>
        <v>0</v>
      </c>
      <c r="AB631" s="59">
        <f t="shared" si="181"/>
        <v>0</v>
      </c>
      <c r="AC631" s="59">
        <f t="shared" si="182"/>
        <v>0</v>
      </c>
      <c r="AD631" s="59">
        <f t="shared" si="183"/>
        <v>0</v>
      </c>
      <c r="AE631" s="59">
        <f t="shared" si="184"/>
        <v>0</v>
      </c>
      <c r="AF631" s="59">
        <f t="shared" si="185"/>
        <v>0</v>
      </c>
      <c r="AG631" s="59">
        <f t="shared" si="186"/>
        <v>0</v>
      </c>
      <c r="AH631" s="59">
        <v>4</v>
      </c>
      <c r="AI631" s="59">
        <v>3</v>
      </c>
      <c r="AJ631" s="59">
        <f t="shared" si="187"/>
        <v>0</v>
      </c>
      <c r="AK631" s="59">
        <f t="shared" si="188"/>
        <v>0</v>
      </c>
      <c r="AL631" s="59">
        <v>4936</v>
      </c>
      <c r="AM631" s="59">
        <v>23965</v>
      </c>
      <c r="AN631" s="59">
        <v>1</v>
      </c>
      <c r="AO631" s="59">
        <v>0</v>
      </c>
      <c r="AP631" s="59">
        <v>13</v>
      </c>
      <c r="AQ631" s="59">
        <v>3</v>
      </c>
      <c r="AR631" s="59">
        <v>4</v>
      </c>
      <c r="AS631" s="59">
        <v>80</v>
      </c>
      <c r="AT631" s="59">
        <v>1</v>
      </c>
      <c r="AU631" s="59">
        <v>6</v>
      </c>
      <c r="AV631" s="59">
        <v>6</v>
      </c>
      <c r="AW631" s="59">
        <v>3</v>
      </c>
      <c r="AX631" s="59">
        <v>5</v>
      </c>
      <c r="AY631" s="59">
        <v>1</v>
      </c>
      <c r="AZ631" s="59">
        <v>0</v>
      </c>
      <c r="BA631" s="59">
        <v>4</v>
      </c>
      <c r="BB631" s="57">
        <f t="shared" si="189"/>
        <v>4936</v>
      </c>
    </row>
    <row r="632" spans="1:54" x14ac:dyDescent="0.25">
      <c r="A632" s="58">
        <v>22</v>
      </c>
      <c r="B632" s="59">
        <v>0</v>
      </c>
      <c r="C632" s="59">
        <v>1</v>
      </c>
      <c r="D632" s="59">
        <f t="shared" si="171"/>
        <v>1</v>
      </c>
      <c r="E632" s="59">
        <f t="shared" si="172"/>
        <v>0</v>
      </c>
      <c r="F632" s="59">
        <v>1230</v>
      </c>
      <c r="G632" s="59">
        <v>2</v>
      </c>
      <c r="H632" s="59">
        <f t="shared" si="173"/>
        <v>0</v>
      </c>
      <c r="I632" s="59">
        <f t="shared" si="174"/>
        <v>1</v>
      </c>
      <c r="J632" s="59">
        <v>1</v>
      </c>
      <c r="K632" s="59">
        <v>2</v>
      </c>
      <c r="L632" s="59">
        <v>1</v>
      </c>
      <c r="M632" s="59">
        <f t="shared" si="175"/>
        <v>1</v>
      </c>
      <c r="N632" s="59">
        <f t="shared" si="176"/>
        <v>0</v>
      </c>
      <c r="O632" s="59">
        <f t="shared" si="177"/>
        <v>0</v>
      </c>
      <c r="P632" s="59">
        <f t="shared" si="178"/>
        <v>0</v>
      </c>
      <c r="Q632" s="59">
        <f t="shared" si="179"/>
        <v>0</v>
      </c>
      <c r="R632" s="59">
        <v>1</v>
      </c>
      <c r="S632" s="59">
        <v>872</v>
      </c>
      <c r="T632" s="59">
        <v>4</v>
      </c>
      <c r="U632" s="59">
        <v>1</v>
      </c>
      <c r="V632" s="59">
        <v>33</v>
      </c>
      <c r="W632" s="59">
        <v>2</v>
      </c>
      <c r="X632" s="59">
        <v>2</v>
      </c>
      <c r="Y632" s="59">
        <v>4</v>
      </c>
      <c r="Z632" s="59">
        <f t="shared" si="180"/>
        <v>0</v>
      </c>
      <c r="AA632" s="59">
        <f>IF('Updated Dummy'!Y632=2,1,0)</f>
        <v>0</v>
      </c>
      <c r="AB632" s="59">
        <f t="shared" si="181"/>
        <v>0</v>
      </c>
      <c r="AC632" s="59">
        <f t="shared" si="182"/>
        <v>1</v>
      </c>
      <c r="AD632" s="59">
        <f t="shared" si="183"/>
        <v>0</v>
      </c>
      <c r="AE632" s="59">
        <f t="shared" si="184"/>
        <v>0</v>
      </c>
      <c r="AF632" s="59">
        <f t="shared" si="185"/>
        <v>0</v>
      </c>
      <c r="AG632" s="59">
        <f t="shared" si="186"/>
        <v>0</v>
      </c>
      <c r="AH632" s="59">
        <v>4</v>
      </c>
      <c r="AI632" s="59">
        <v>2</v>
      </c>
      <c r="AJ632" s="59">
        <f t="shared" si="187"/>
        <v>0</v>
      </c>
      <c r="AK632" s="59">
        <f t="shared" si="188"/>
        <v>1</v>
      </c>
      <c r="AL632" s="59">
        <v>4775</v>
      </c>
      <c r="AM632" s="59">
        <v>19146</v>
      </c>
      <c r="AN632" s="59">
        <v>6</v>
      </c>
      <c r="AO632" s="59">
        <v>0</v>
      </c>
      <c r="AP632" s="59">
        <v>22</v>
      </c>
      <c r="AQ632" s="59">
        <v>4</v>
      </c>
      <c r="AR632" s="59">
        <v>1</v>
      </c>
      <c r="AS632" s="59">
        <v>80</v>
      </c>
      <c r="AT632" s="59">
        <v>2</v>
      </c>
      <c r="AU632" s="59">
        <v>4</v>
      </c>
      <c r="AV632" s="59">
        <v>2</v>
      </c>
      <c r="AW632" s="59">
        <v>1</v>
      </c>
      <c r="AX632" s="59">
        <v>2</v>
      </c>
      <c r="AY632" s="59">
        <v>2</v>
      </c>
      <c r="AZ632" s="59">
        <v>2</v>
      </c>
      <c r="BA632" s="59">
        <v>2</v>
      </c>
      <c r="BB632" s="57">
        <f t="shared" si="189"/>
        <v>9550</v>
      </c>
    </row>
    <row r="633" spans="1:54" x14ac:dyDescent="0.25">
      <c r="A633" s="58">
        <v>44</v>
      </c>
      <c r="B633" s="59">
        <v>0</v>
      </c>
      <c r="C633" s="59">
        <v>1</v>
      </c>
      <c r="D633" s="59">
        <f t="shared" si="171"/>
        <v>1</v>
      </c>
      <c r="E633" s="59">
        <f t="shared" si="172"/>
        <v>0</v>
      </c>
      <c r="F633" s="59">
        <v>986</v>
      </c>
      <c r="G633" s="59">
        <v>2</v>
      </c>
      <c r="H633" s="59">
        <f t="shared" si="173"/>
        <v>0</v>
      </c>
      <c r="I633" s="59">
        <f t="shared" si="174"/>
        <v>1</v>
      </c>
      <c r="J633" s="59">
        <v>8</v>
      </c>
      <c r="K633" s="59">
        <v>4</v>
      </c>
      <c r="L633" s="59">
        <v>1</v>
      </c>
      <c r="M633" s="59">
        <f t="shared" si="175"/>
        <v>1</v>
      </c>
      <c r="N633" s="59">
        <f t="shared" si="176"/>
        <v>0</v>
      </c>
      <c r="O633" s="59">
        <f t="shared" si="177"/>
        <v>0</v>
      </c>
      <c r="P633" s="59">
        <f t="shared" si="178"/>
        <v>0</v>
      </c>
      <c r="Q633" s="59">
        <f t="shared" si="179"/>
        <v>0</v>
      </c>
      <c r="R633" s="59">
        <v>1</v>
      </c>
      <c r="S633" s="59">
        <v>874</v>
      </c>
      <c r="T633" s="59">
        <v>1</v>
      </c>
      <c r="U633" s="59">
        <v>1</v>
      </c>
      <c r="V633" s="59">
        <v>62</v>
      </c>
      <c r="W633" s="59">
        <v>4</v>
      </c>
      <c r="X633" s="59">
        <v>1</v>
      </c>
      <c r="Y633" s="59">
        <v>3</v>
      </c>
      <c r="Z633" s="59">
        <f t="shared" si="180"/>
        <v>0</v>
      </c>
      <c r="AA633" s="59">
        <f>IF('Updated Dummy'!Y633=2,1,0)</f>
        <v>0</v>
      </c>
      <c r="AB633" s="59">
        <f t="shared" si="181"/>
        <v>1</v>
      </c>
      <c r="AC633" s="59">
        <f t="shared" si="182"/>
        <v>0</v>
      </c>
      <c r="AD633" s="59">
        <f t="shared" si="183"/>
        <v>0</v>
      </c>
      <c r="AE633" s="59">
        <f t="shared" si="184"/>
        <v>0</v>
      </c>
      <c r="AF633" s="59">
        <f t="shared" si="185"/>
        <v>0</v>
      </c>
      <c r="AG633" s="59">
        <f t="shared" si="186"/>
        <v>0</v>
      </c>
      <c r="AH633" s="59">
        <v>4</v>
      </c>
      <c r="AI633" s="59">
        <v>2</v>
      </c>
      <c r="AJ633" s="59">
        <f t="shared" si="187"/>
        <v>0</v>
      </c>
      <c r="AK633" s="59">
        <f t="shared" si="188"/>
        <v>1</v>
      </c>
      <c r="AL633" s="59">
        <v>2818</v>
      </c>
      <c r="AM633" s="59">
        <v>5044</v>
      </c>
      <c r="AN633" s="59">
        <v>2</v>
      </c>
      <c r="AO633" s="59">
        <v>1</v>
      </c>
      <c r="AP633" s="59">
        <v>24</v>
      </c>
      <c r="AQ633" s="59">
        <v>4</v>
      </c>
      <c r="AR633" s="59">
        <v>3</v>
      </c>
      <c r="AS633" s="59">
        <v>80</v>
      </c>
      <c r="AT633" s="59">
        <v>1</v>
      </c>
      <c r="AU633" s="59">
        <v>10</v>
      </c>
      <c r="AV633" s="59">
        <v>2</v>
      </c>
      <c r="AW633" s="59">
        <v>2</v>
      </c>
      <c r="AX633" s="59">
        <v>3</v>
      </c>
      <c r="AY633" s="59">
        <v>2</v>
      </c>
      <c r="AZ633" s="59">
        <v>0</v>
      </c>
      <c r="BA633" s="59">
        <v>2</v>
      </c>
      <c r="BB633" s="57">
        <f t="shared" si="189"/>
        <v>2818</v>
      </c>
    </row>
    <row r="634" spans="1:54" x14ac:dyDescent="0.25">
      <c r="A634" s="58">
        <v>42</v>
      </c>
      <c r="B634" s="59">
        <v>0</v>
      </c>
      <c r="C634" s="59">
        <v>2</v>
      </c>
      <c r="D634" s="59">
        <f t="shared" si="171"/>
        <v>0</v>
      </c>
      <c r="E634" s="59">
        <f t="shared" si="172"/>
        <v>1</v>
      </c>
      <c r="F634" s="59">
        <v>1271</v>
      </c>
      <c r="G634" s="59">
        <v>2</v>
      </c>
      <c r="H634" s="59">
        <f t="shared" si="173"/>
        <v>0</v>
      </c>
      <c r="I634" s="59">
        <f t="shared" si="174"/>
        <v>1</v>
      </c>
      <c r="J634" s="59">
        <v>2</v>
      </c>
      <c r="K634" s="59">
        <v>1</v>
      </c>
      <c r="L634" s="59">
        <v>3</v>
      </c>
      <c r="M634" s="59">
        <f t="shared" si="175"/>
        <v>0</v>
      </c>
      <c r="N634" s="59">
        <f t="shared" si="176"/>
        <v>0</v>
      </c>
      <c r="O634" s="59">
        <f t="shared" si="177"/>
        <v>1</v>
      </c>
      <c r="P634" s="59">
        <f t="shared" si="178"/>
        <v>0</v>
      </c>
      <c r="Q634" s="59">
        <f t="shared" si="179"/>
        <v>0</v>
      </c>
      <c r="R634" s="59">
        <v>1</v>
      </c>
      <c r="S634" s="59">
        <v>875</v>
      </c>
      <c r="T634" s="59">
        <v>2</v>
      </c>
      <c r="U634" s="59">
        <v>1</v>
      </c>
      <c r="V634" s="59">
        <v>35</v>
      </c>
      <c r="W634" s="59">
        <v>3</v>
      </c>
      <c r="X634" s="59">
        <v>1</v>
      </c>
      <c r="Y634" s="59">
        <v>2</v>
      </c>
      <c r="Z634" s="59">
        <f t="shared" si="180"/>
        <v>0</v>
      </c>
      <c r="AA634" s="59">
        <f>IF('Updated Dummy'!Y634=2,1,0)</f>
        <v>1</v>
      </c>
      <c r="AB634" s="59">
        <f t="shared" si="181"/>
        <v>0</v>
      </c>
      <c r="AC634" s="59">
        <f t="shared" si="182"/>
        <v>0</v>
      </c>
      <c r="AD634" s="59">
        <f t="shared" si="183"/>
        <v>0</v>
      </c>
      <c r="AE634" s="59">
        <f t="shared" si="184"/>
        <v>0</v>
      </c>
      <c r="AF634" s="59">
        <f t="shared" si="185"/>
        <v>0</v>
      </c>
      <c r="AG634" s="59">
        <f t="shared" si="186"/>
        <v>0</v>
      </c>
      <c r="AH634" s="59">
        <v>4</v>
      </c>
      <c r="AI634" s="59">
        <v>1</v>
      </c>
      <c r="AJ634" s="59">
        <f t="shared" si="187"/>
        <v>1</v>
      </c>
      <c r="AK634" s="59">
        <f t="shared" si="188"/>
        <v>0</v>
      </c>
      <c r="AL634" s="59">
        <v>2515</v>
      </c>
      <c r="AM634" s="59">
        <v>9068</v>
      </c>
      <c r="AN634" s="59">
        <v>5</v>
      </c>
      <c r="AO634" s="59">
        <v>1</v>
      </c>
      <c r="AP634" s="59">
        <v>14</v>
      </c>
      <c r="AQ634" s="59">
        <v>3</v>
      </c>
      <c r="AR634" s="59">
        <v>4</v>
      </c>
      <c r="AS634" s="59">
        <v>80</v>
      </c>
      <c r="AT634" s="59">
        <v>0</v>
      </c>
      <c r="AU634" s="59">
        <v>8</v>
      </c>
      <c r="AV634" s="59">
        <v>2</v>
      </c>
      <c r="AW634" s="59">
        <v>3</v>
      </c>
      <c r="AX634" s="59">
        <v>2</v>
      </c>
      <c r="AY634" s="59">
        <v>1</v>
      </c>
      <c r="AZ634" s="59">
        <v>2</v>
      </c>
      <c r="BA634" s="59">
        <v>2</v>
      </c>
      <c r="BB634" s="57">
        <f t="shared" si="189"/>
        <v>2515</v>
      </c>
    </row>
    <row r="635" spans="1:54" x14ac:dyDescent="0.25">
      <c r="A635" s="58">
        <v>36</v>
      </c>
      <c r="B635" s="59">
        <v>0</v>
      </c>
      <c r="C635" s="59">
        <v>1</v>
      </c>
      <c r="D635" s="59">
        <f t="shared" si="171"/>
        <v>1</v>
      </c>
      <c r="E635" s="59">
        <f t="shared" si="172"/>
        <v>0</v>
      </c>
      <c r="F635" s="59">
        <v>1278</v>
      </c>
      <c r="G635" s="59">
        <v>3</v>
      </c>
      <c r="H635" s="59">
        <f t="shared" si="173"/>
        <v>0</v>
      </c>
      <c r="I635" s="59">
        <f t="shared" si="174"/>
        <v>0</v>
      </c>
      <c r="J635" s="59">
        <v>8</v>
      </c>
      <c r="K635" s="59">
        <v>3</v>
      </c>
      <c r="L635" s="59">
        <v>1</v>
      </c>
      <c r="M635" s="59">
        <f t="shared" si="175"/>
        <v>1</v>
      </c>
      <c r="N635" s="59">
        <f t="shared" si="176"/>
        <v>0</v>
      </c>
      <c r="O635" s="59">
        <f t="shared" si="177"/>
        <v>0</v>
      </c>
      <c r="P635" s="59">
        <f t="shared" si="178"/>
        <v>0</v>
      </c>
      <c r="Q635" s="59">
        <f t="shared" si="179"/>
        <v>0</v>
      </c>
      <c r="R635" s="59">
        <v>1</v>
      </c>
      <c r="S635" s="59">
        <v>878</v>
      </c>
      <c r="T635" s="59">
        <v>1</v>
      </c>
      <c r="U635" s="59">
        <v>1</v>
      </c>
      <c r="V635" s="59">
        <v>77</v>
      </c>
      <c r="W635" s="59">
        <v>2</v>
      </c>
      <c r="X635" s="59">
        <v>1</v>
      </c>
      <c r="Y635" s="59">
        <v>9</v>
      </c>
      <c r="Z635" s="59">
        <f t="shared" si="180"/>
        <v>0</v>
      </c>
      <c r="AA635" s="59">
        <f>IF('Updated Dummy'!Y635=2,1,0)</f>
        <v>0</v>
      </c>
      <c r="AB635" s="59">
        <f t="shared" si="181"/>
        <v>0</v>
      </c>
      <c r="AC635" s="59">
        <f t="shared" si="182"/>
        <v>0</v>
      </c>
      <c r="AD635" s="59">
        <f t="shared" si="183"/>
        <v>0</v>
      </c>
      <c r="AE635" s="59">
        <f t="shared" si="184"/>
        <v>0</v>
      </c>
      <c r="AF635" s="59">
        <f t="shared" si="185"/>
        <v>0</v>
      </c>
      <c r="AG635" s="59">
        <f t="shared" si="186"/>
        <v>0</v>
      </c>
      <c r="AH635" s="59">
        <v>1</v>
      </c>
      <c r="AI635" s="59">
        <v>2</v>
      </c>
      <c r="AJ635" s="59">
        <f t="shared" si="187"/>
        <v>0</v>
      </c>
      <c r="AK635" s="59">
        <f t="shared" si="188"/>
        <v>1</v>
      </c>
      <c r="AL635" s="59">
        <v>2342</v>
      </c>
      <c r="AM635" s="59">
        <v>8635</v>
      </c>
      <c r="AN635" s="59">
        <v>0</v>
      </c>
      <c r="AO635" s="59">
        <v>0</v>
      </c>
      <c r="AP635" s="59">
        <v>21</v>
      </c>
      <c r="AQ635" s="59">
        <v>4</v>
      </c>
      <c r="AR635" s="59">
        <v>3</v>
      </c>
      <c r="AS635" s="59">
        <v>80</v>
      </c>
      <c r="AT635" s="59">
        <v>0</v>
      </c>
      <c r="AU635" s="59">
        <v>6</v>
      </c>
      <c r="AV635" s="59">
        <v>3</v>
      </c>
      <c r="AW635" s="59">
        <v>3</v>
      </c>
      <c r="AX635" s="59">
        <v>5</v>
      </c>
      <c r="AY635" s="59">
        <v>4</v>
      </c>
      <c r="AZ635" s="59">
        <v>0</v>
      </c>
      <c r="BA635" s="59">
        <v>3</v>
      </c>
      <c r="BB635" s="57">
        <f t="shared" si="189"/>
        <v>2342</v>
      </c>
    </row>
    <row r="636" spans="1:54" x14ac:dyDescent="0.25">
      <c r="A636" s="58">
        <v>25</v>
      </c>
      <c r="B636" s="59">
        <v>0</v>
      </c>
      <c r="C636" s="59">
        <v>1</v>
      </c>
      <c r="D636" s="59">
        <f t="shared" si="171"/>
        <v>1</v>
      </c>
      <c r="E636" s="59">
        <f t="shared" si="172"/>
        <v>0</v>
      </c>
      <c r="F636" s="59">
        <v>141</v>
      </c>
      <c r="G636" s="59">
        <v>1</v>
      </c>
      <c r="H636" s="59">
        <f t="shared" si="173"/>
        <v>1</v>
      </c>
      <c r="I636" s="59">
        <f t="shared" si="174"/>
        <v>0</v>
      </c>
      <c r="J636" s="59">
        <v>3</v>
      </c>
      <c r="K636" s="59">
        <v>1</v>
      </c>
      <c r="L636" s="59">
        <v>6</v>
      </c>
      <c r="M636" s="59">
        <f t="shared" si="175"/>
        <v>0</v>
      </c>
      <c r="N636" s="59">
        <f t="shared" si="176"/>
        <v>0</v>
      </c>
      <c r="O636" s="59">
        <f t="shared" si="177"/>
        <v>0</v>
      </c>
      <c r="P636" s="59">
        <f t="shared" si="178"/>
        <v>0</v>
      </c>
      <c r="Q636" s="59">
        <f t="shared" si="179"/>
        <v>0</v>
      </c>
      <c r="R636" s="59">
        <v>1</v>
      </c>
      <c r="S636" s="59">
        <v>879</v>
      </c>
      <c r="T636" s="59">
        <v>3</v>
      </c>
      <c r="U636" s="59">
        <v>1</v>
      </c>
      <c r="V636" s="59">
        <v>98</v>
      </c>
      <c r="W636" s="59">
        <v>3</v>
      </c>
      <c r="X636" s="59">
        <v>2</v>
      </c>
      <c r="Y636" s="59">
        <v>1</v>
      </c>
      <c r="Z636" s="59">
        <f t="shared" si="180"/>
        <v>1</v>
      </c>
      <c r="AA636" s="59">
        <f>IF('Updated Dummy'!Y636=2,1,0)</f>
        <v>0</v>
      </c>
      <c r="AB636" s="59">
        <f t="shared" si="181"/>
        <v>0</v>
      </c>
      <c r="AC636" s="59">
        <f t="shared" si="182"/>
        <v>0</v>
      </c>
      <c r="AD636" s="59">
        <f t="shared" si="183"/>
        <v>0</v>
      </c>
      <c r="AE636" s="59">
        <f t="shared" si="184"/>
        <v>0</v>
      </c>
      <c r="AF636" s="59">
        <f t="shared" si="185"/>
        <v>0</v>
      </c>
      <c r="AG636" s="59">
        <f t="shared" si="186"/>
        <v>0</v>
      </c>
      <c r="AH636" s="59">
        <v>1</v>
      </c>
      <c r="AI636" s="59">
        <v>2</v>
      </c>
      <c r="AJ636" s="59">
        <f t="shared" si="187"/>
        <v>0</v>
      </c>
      <c r="AK636" s="59">
        <f t="shared" si="188"/>
        <v>1</v>
      </c>
      <c r="AL636" s="59">
        <v>4194</v>
      </c>
      <c r="AM636" s="59">
        <v>14363</v>
      </c>
      <c r="AN636" s="59">
        <v>1</v>
      </c>
      <c r="AO636" s="59">
        <v>1</v>
      </c>
      <c r="AP636" s="59">
        <v>18</v>
      </c>
      <c r="AQ636" s="59">
        <v>3</v>
      </c>
      <c r="AR636" s="59">
        <v>4</v>
      </c>
      <c r="AS636" s="59">
        <v>80</v>
      </c>
      <c r="AT636" s="59">
        <v>0</v>
      </c>
      <c r="AU636" s="59">
        <v>5</v>
      </c>
      <c r="AV636" s="59">
        <v>3</v>
      </c>
      <c r="AW636" s="59">
        <v>3</v>
      </c>
      <c r="AX636" s="59">
        <v>5</v>
      </c>
      <c r="AY636" s="59">
        <v>3</v>
      </c>
      <c r="AZ636" s="59">
        <v>0</v>
      </c>
      <c r="BA636" s="59">
        <v>3</v>
      </c>
      <c r="BB636" s="57">
        <f t="shared" si="189"/>
        <v>8388</v>
      </c>
    </row>
    <row r="637" spans="1:54" x14ac:dyDescent="0.25">
      <c r="A637" s="58">
        <v>35</v>
      </c>
      <c r="B637" s="59">
        <v>0</v>
      </c>
      <c r="C637" s="59">
        <v>1</v>
      </c>
      <c r="D637" s="59">
        <f t="shared" si="171"/>
        <v>1</v>
      </c>
      <c r="E637" s="59">
        <f t="shared" si="172"/>
        <v>0</v>
      </c>
      <c r="F637" s="59">
        <v>607</v>
      </c>
      <c r="G637" s="59">
        <v>2</v>
      </c>
      <c r="H637" s="59">
        <f t="shared" si="173"/>
        <v>0</v>
      </c>
      <c r="I637" s="59">
        <f t="shared" si="174"/>
        <v>1</v>
      </c>
      <c r="J637" s="59">
        <v>9</v>
      </c>
      <c r="K637" s="59">
        <v>3</v>
      </c>
      <c r="L637" s="59">
        <v>1</v>
      </c>
      <c r="M637" s="59">
        <f t="shared" si="175"/>
        <v>1</v>
      </c>
      <c r="N637" s="59">
        <f t="shared" si="176"/>
        <v>0</v>
      </c>
      <c r="O637" s="59">
        <f t="shared" si="177"/>
        <v>0</v>
      </c>
      <c r="P637" s="59">
        <f t="shared" si="178"/>
        <v>0</v>
      </c>
      <c r="Q637" s="59">
        <f t="shared" si="179"/>
        <v>0</v>
      </c>
      <c r="R637" s="59">
        <v>1</v>
      </c>
      <c r="S637" s="59">
        <v>880</v>
      </c>
      <c r="T637" s="59">
        <v>4</v>
      </c>
      <c r="U637" s="59">
        <v>0</v>
      </c>
      <c r="V637" s="59">
        <v>66</v>
      </c>
      <c r="W637" s="59">
        <v>2</v>
      </c>
      <c r="X637" s="59">
        <v>3</v>
      </c>
      <c r="Y637" s="59">
        <v>4</v>
      </c>
      <c r="Z637" s="59">
        <f t="shared" si="180"/>
        <v>0</v>
      </c>
      <c r="AA637" s="59">
        <f>IF('Updated Dummy'!Y637=2,1,0)</f>
        <v>0</v>
      </c>
      <c r="AB637" s="59">
        <f t="shared" si="181"/>
        <v>0</v>
      </c>
      <c r="AC637" s="59">
        <f t="shared" si="182"/>
        <v>1</v>
      </c>
      <c r="AD637" s="59">
        <f t="shared" si="183"/>
        <v>0</v>
      </c>
      <c r="AE637" s="59">
        <f t="shared" si="184"/>
        <v>0</v>
      </c>
      <c r="AF637" s="59">
        <f t="shared" si="185"/>
        <v>0</v>
      </c>
      <c r="AG637" s="59">
        <f t="shared" si="186"/>
        <v>0</v>
      </c>
      <c r="AH637" s="59">
        <v>3</v>
      </c>
      <c r="AI637" s="59">
        <v>2</v>
      </c>
      <c r="AJ637" s="59">
        <f t="shared" si="187"/>
        <v>0</v>
      </c>
      <c r="AK637" s="59">
        <f t="shared" si="188"/>
        <v>1</v>
      </c>
      <c r="AL637" s="59">
        <v>10685</v>
      </c>
      <c r="AM637" s="59">
        <v>23457</v>
      </c>
      <c r="AN637" s="59">
        <v>1</v>
      </c>
      <c r="AO637" s="59">
        <v>1</v>
      </c>
      <c r="AP637" s="59">
        <v>20</v>
      </c>
      <c r="AQ637" s="59">
        <v>4</v>
      </c>
      <c r="AR637" s="59">
        <v>2</v>
      </c>
      <c r="AS637" s="59">
        <v>80</v>
      </c>
      <c r="AT637" s="59">
        <v>1</v>
      </c>
      <c r="AU637" s="59">
        <v>17</v>
      </c>
      <c r="AV637" s="59">
        <v>2</v>
      </c>
      <c r="AW637" s="59">
        <v>3</v>
      </c>
      <c r="AX637" s="59">
        <v>17</v>
      </c>
      <c r="AY637" s="59">
        <v>14</v>
      </c>
      <c r="AZ637" s="59">
        <v>5</v>
      </c>
      <c r="BA637" s="59">
        <v>15</v>
      </c>
      <c r="BB637" s="57">
        <f t="shared" si="189"/>
        <v>32055</v>
      </c>
    </row>
    <row r="638" spans="1:54" x14ac:dyDescent="0.25">
      <c r="A638" s="58">
        <v>35</v>
      </c>
      <c r="B638" s="59">
        <v>1</v>
      </c>
      <c r="C638" s="59">
        <v>2</v>
      </c>
      <c r="D638" s="59">
        <f t="shared" si="171"/>
        <v>0</v>
      </c>
      <c r="E638" s="59">
        <f t="shared" si="172"/>
        <v>1</v>
      </c>
      <c r="F638" s="59">
        <v>130</v>
      </c>
      <c r="G638" s="59">
        <v>2</v>
      </c>
      <c r="H638" s="59">
        <f t="shared" si="173"/>
        <v>0</v>
      </c>
      <c r="I638" s="59">
        <f t="shared" si="174"/>
        <v>1</v>
      </c>
      <c r="J638" s="59">
        <v>25</v>
      </c>
      <c r="K638" s="59">
        <v>4</v>
      </c>
      <c r="L638" s="59">
        <v>1</v>
      </c>
      <c r="M638" s="59">
        <f t="shared" si="175"/>
        <v>1</v>
      </c>
      <c r="N638" s="59">
        <f t="shared" si="176"/>
        <v>0</v>
      </c>
      <c r="O638" s="59">
        <f t="shared" si="177"/>
        <v>0</v>
      </c>
      <c r="P638" s="59">
        <f t="shared" si="178"/>
        <v>0</v>
      </c>
      <c r="Q638" s="59">
        <f t="shared" si="179"/>
        <v>0</v>
      </c>
      <c r="R638" s="59">
        <v>1</v>
      </c>
      <c r="S638" s="59">
        <v>881</v>
      </c>
      <c r="T638" s="59">
        <v>4</v>
      </c>
      <c r="U638" s="59">
        <v>0</v>
      </c>
      <c r="V638" s="59">
        <v>96</v>
      </c>
      <c r="W638" s="59">
        <v>3</v>
      </c>
      <c r="X638" s="59">
        <v>1</v>
      </c>
      <c r="Y638" s="59">
        <v>2</v>
      </c>
      <c r="Z638" s="59">
        <f t="shared" si="180"/>
        <v>0</v>
      </c>
      <c r="AA638" s="59">
        <f>IF('Updated Dummy'!Y638=2,1,0)</f>
        <v>1</v>
      </c>
      <c r="AB638" s="59">
        <f t="shared" si="181"/>
        <v>0</v>
      </c>
      <c r="AC638" s="59">
        <f t="shared" si="182"/>
        <v>0</v>
      </c>
      <c r="AD638" s="59">
        <f t="shared" si="183"/>
        <v>0</v>
      </c>
      <c r="AE638" s="59">
        <f t="shared" si="184"/>
        <v>0</v>
      </c>
      <c r="AF638" s="59">
        <f t="shared" si="185"/>
        <v>0</v>
      </c>
      <c r="AG638" s="59">
        <f t="shared" si="186"/>
        <v>0</v>
      </c>
      <c r="AH638" s="59">
        <v>2</v>
      </c>
      <c r="AI638" s="59">
        <v>3</v>
      </c>
      <c r="AJ638" s="59">
        <f t="shared" si="187"/>
        <v>0</v>
      </c>
      <c r="AK638" s="59">
        <f t="shared" si="188"/>
        <v>0</v>
      </c>
      <c r="AL638" s="59">
        <v>2022</v>
      </c>
      <c r="AM638" s="59">
        <v>16612</v>
      </c>
      <c r="AN638" s="59">
        <v>1</v>
      </c>
      <c r="AO638" s="59">
        <v>1</v>
      </c>
      <c r="AP638" s="59">
        <v>19</v>
      </c>
      <c r="AQ638" s="59">
        <v>3</v>
      </c>
      <c r="AR638" s="59">
        <v>1</v>
      </c>
      <c r="AS638" s="59">
        <v>80</v>
      </c>
      <c r="AT638" s="59">
        <v>1</v>
      </c>
      <c r="AU638" s="59">
        <v>10</v>
      </c>
      <c r="AV638" s="59">
        <v>3</v>
      </c>
      <c r="AW638" s="59">
        <v>2</v>
      </c>
      <c r="AX638" s="59">
        <v>10</v>
      </c>
      <c r="AY638" s="59">
        <v>2</v>
      </c>
      <c r="AZ638" s="59">
        <v>7</v>
      </c>
      <c r="BA638" s="59">
        <v>8</v>
      </c>
      <c r="BB638" s="57">
        <f t="shared" si="189"/>
        <v>2022</v>
      </c>
    </row>
    <row r="639" spans="1:54" x14ac:dyDescent="0.25">
      <c r="A639" s="58">
        <v>32</v>
      </c>
      <c r="B639" s="59">
        <v>0</v>
      </c>
      <c r="C639" s="59">
        <v>3</v>
      </c>
      <c r="D639" s="59">
        <f t="shared" si="171"/>
        <v>0</v>
      </c>
      <c r="E639" s="59">
        <f t="shared" si="172"/>
        <v>0</v>
      </c>
      <c r="F639" s="59">
        <v>300</v>
      </c>
      <c r="G639" s="59">
        <v>2</v>
      </c>
      <c r="H639" s="59">
        <f t="shared" si="173"/>
        <v>0</v>
      </c>
      <c r="I639" s="59">
        <f t="shared" si="174"/>
        <v>1</v>
      </c>
      <c r="J639" s="59">
        <v>1</v>
      </c>
      <c r="K639" s="59">
        <v>3</v>
      </c>
      <c r="L639" s="59">
        <v>1</v>
      </c>
      <c r="M639" s="59">
        <f t="shared" si="175"/>
        <v>1</v>
      </c>
      <c r="N639" s="59">
        <f t="shared" si="176"/>
        <v>0</v>
      </c>
      <c r="O639" s="59">
        <f t="shared" si="177"/>
        <v>0</v>
      </c>
      <c r="P639" s="59">
        <f t="shared" si="178"/>
        <v>0</v>
      </c>
      <c r="Q639" s="59">
        <f t="shared" si="179"/>
        <v>0</v>
      </c>
      <c r="R639" s="59">
        <v>1</v>
      </c>
      <c r="S639" s="59">
        <v>882</v>
      </c>
      <c r="T639" s="59">
        <v>4</v>
      </c>
      <c r="U639" s="59">
        <v>1</v>
      </c>
      <c r="V639" s="59">
        <v>61</v>
      </c>
      <c r="W639" s="59">
        <v>3</v>
      </c>
      <c r="X639" s="59">
        <v>1</v>
      </c>
      <c r="Y639" s="59">
        <v>3</v>
      </c>
      <c r="Z639" s="59">
        <f t="shared" si="180"/>
        <v>0</v>
      </c>
      <c r="AA639" s="59">
        <f>IF('Updated Dummy'!Y639=2,1,0)</f>
        <v>0</v>
      </c>
      <c r="AB639" s="59">
        <f t="shared" si="181"/>
        <v>1</v>
      </c>
      <c r="AC639" s="59">
        <f t="shared" si="182"/>
        <v>0</v>
      </c>
      <c r="AD639" s="59">
        <f t="shared" si="183"/>
        <v>0</v>
      </c>
      <c r="AE639" s="59">
        <f t="shared" si="184"/>
        <v>0</v>
      </c>
      <c r="AF639" s="59">
        <f t="shared" si="185"/>
        <v>0</v>
      </c>
      <c r="AG639" s="59">
        <f t="shared" si="186"/>
        <v>0</v>
      </c>
      <c r="AH639" s="59">
        <v>4</v>
      </c>
      <c r="AI639" s="59">
        <v>3</v>
      </c>
      <c r="AJ639" s="59">
        <f t="shared" si="187"/>
        <v>0</v>
      </c>
      <c r="AK639" s="59">
        <f t="shared" si="188"/>
        <v>0</v>
      </c>
      <c r="AL639" s="59">
        <v>2314</v>
      </c>
      <c r="AM639" s="59">
        <v>9148</v>
      </c>
      <c r="AN639" s="59">
        <v>0</v>
      </c>
      <c r="AO639" s="59">
        <v>0</v>
      </c>
      <c r="AP639" s="59">
        <v>12</v>
      </c>
      <c r="AQ639" s="59">
        <v>3</v>
      </c>
      <c r="AR639" s="59">
        <v>2</v>
      </c>
      <c r="AS639" s="59">
        <v>80</v>
      </c>
      <c r="AT639" s="59">
        <v>1</v>
      </c>
      <c r="AU639" s="59">
        <v>4</v>
      </c>
      <c r="AV639" s="59">
        <v>2</v>
      </c>
      <c r="AW639" s="59">
        <v>3</v>
      </c>
      <c r="AX639" s="59">
        <v>3</v>
      </c>
      <c r="AY639" s="59">
        <v>0</v>
      </c>
      <c r="AZ639" s="59">
        <v>0</v>
      </c>
      <c r="BA639" s="59">
        <v>2</v>
      </c>
      <c r="BB639" s="57">
        <f t="shared" si="189"/>
        <v>2314</v>
      </c>
    </row>
    <row r="640" spans="1:54" x14ac:dyDescent="0.25">
      <c r="A640" s="58">
        <v>25</v>
      </c>
      <c r="B640" s="59">
        <v>0</v>
      </c>
      <c r="C640" s="59">
        <v>1</v>
      </c>
      <c r="D640" s="59">
        <f t="shared" si="171"/>
        <v>1</v>
      </c>
      <c r="E640" s="59">
        <f t="shared" si="172"/>
        <v>0</v>
      </c>
      <c r="F640" s="59">
        <v>583</v>
      </c>
      <c r="G640" s="59">
        <v>1</v>
      </c>
      <c r="H640" s="59">
        <f t="shared" si="173"/>
        <v>1</v>
      </c>
      <c r="I640" s="59">
        <f t="shared" si="174"/>
        <v>0</v>
      </c>
      <c r="J640" s="59">
        <v>4</v>
      </c>
      <c r="K640" s="59">
        <v>1</v>
      </c>
      <c r="L640" s="59">
        <v>4</v>
      </c>
      <c r="M640" s="59">
        <f t="shared" si="175"/>
        <v>0</v>
      </c>
      <c r="N640" s="59">
        <f t="shared" si="176"/>
        <v>0</v>
      </c>
      <c r="O640" s="59">
        <f t="shared" si="177"/>
        <v>0</v>
      </c>
      <c r="P640" s="59">
        <f t="shared" si="178"/>
        <v>1</v>
      </c>
      <c r="Q640" s="59">
        <f t="shared" si="179"/>
        <v>0</v>
      </c>
      <c r="R640" s="59">
        <v>1</v>
      </c>
      <c r="S640" s="59">
        <v>885</v>
      </c>
      <c r="T640" s="59">
        <v>3</v>
      </c>
      <c r="U640" s="59">
        <v>1</v>
      </c>
      <c r="V640" s="59">
        <v>87</v>
      </c>
      <c r="W640" s="59">
        <v>2</v>
      </c>
      <c r="X640" s="59">
        <v>2</v>
      </c>
      <c r="Y640" s="59">
        <v>1</v>
      </c>
      <c r="Z640" s="59">
        <f t="shared" si="180"/>
        <v>1</v>
      </c>
      <c r="AA640" s="59">
        <f>IF('Updated Dummy'!Y640=2,1,0)</f>
        <v>0</v>
      </c>
      <c r="AB640" s="59">
        <f t="shared" si="181"/>
        <v>0</v>
      </c>
      <c r="AC640" s="59">
        <f t="shared" si="182"/>
        <v>0</v>
      </c>
      <c r="AD640" s="59">
        <f t="shared" si="183"/>
        <v>0</v>
      </c>
      <c r="AE640" s="59">
        <f t="shared" si="184"/>
        <v>0</v>
      </c>
      <c r="AF640" s="59">
        <f t="shared" si="185"/>
        <v>0</v>
      </c>
      <c r="AG640" s="59">
        <f t="shared" si="186"/>
        <v>0</v>
      </c>
      <c r="AH640" s="59">
        <v>1</v>
      </c>
      <c r="AI640" s="59">
        <v>2</v>
      </c>
      <c r="AJ640" s="59">
        <f t="shared" si="187"/>
        <v>0</v>
      </c>
      <c r="AK640" s="59">
        <f t="shared" si="188"/>
        <v>1</v>
      </c>
      <c r="AL640" s="59">
        <v>4256</v>
      </c>
      <c r="AM640" s="59">
        <v>18154</v>
      </c>
      <c r="AN640" s="59">
        <v>1</v>
      </c>
      <c r="AO640" s="59">
        <v>0</v>
      </c>
      <c r="AP640" s="59">
        <v>12</v>
      </c>
      <c r="AQ640" s="59">
        <v>3</v>
      </c>
      <c r="AR640" s="59">
        <v>1</v>
      </c>
      <c r="AS640" s="59">
        <v>80</v>
      </c>
      <c r="AT640" s="59">
        <v>0</v>
      </c>
      <c r="AU640" s="59">
        <v>5</v>
      </c>
      <c r="AV640" s="59">
        <v>1</v>
      </c>
      <c r="AW640" s="59">
        <v>4</v>
      </c>
      <c r="AX640" s="59">
        <v>5</v>
      </c>
      <c r="AY640" s="59">
        <v>2</v>
      </c>
      <c r="AZ640" s="59">
        <v>0</v>
      </c>
      <c r="BA640" s="59">
        <v>3</v>
      </c>
      <c r="BB640" s="57">
        <f t="shared" si="189"/>
        <v>8512</v>
      </c>
    </row>
    <row r="641" spans="1:54" x14ac:dyDescent="0.25">
      <c r="A641" s="58">
        <v>49</v>
      </c>
      <c r="B641" s="59">
        <v>0</v>
      </c>
      <c r="C641" s="59">
        <v>1</v>
      </c>
      <c r="D641" s="59">
        <f t="shared" si="171"/>
        <v>1</v>
      </c>
      <c r="E641" s="59">
        <f t="shared" si="172"/>
        <v>0</v>
      </c>
      <c r="F641" s="59">
        <v>1418</v>
      </c>
      <c r="G641" s="59">
        <v>2</v>
      </c>
      <c r="H641" s="59">
        <f t="shared" si="173"/>
        <v>0</v>
      </c>
      <c r="I641" s="59">
        <f t="shared" si="174"/>
        <v>1</v>
      </c>
      <c r="J641" s="59">
        <v>1</v>
      </c>
      <c r="K641" s="59">
        <v>3</v>
      </c>
      <c r="L641" s="59">
        <v>5</v>
      </c>
      <c r="M641" s="59">
        <f t="shared" si="175"/>
        <v>0</v>
      </c>
      <c r="N641" s="59">
        <f t="shared" si="176"/>
        <v>0</v>
      </c>
      <c r="O641" s="59">
        <f t="shared" si="177"/>
        <v>0</v>
      </c>
      <c r="P641" s="59">
        <f t="shared" si="178"/>
        <v>0</v>
      </c>
      <c r="Q641" s="59">
        <f t="shared" si="179"/>
        <v>1</v>
      </c>
      <c r="R641" s="59">
        <v>1</v>
      </c>
      <c r="S641" s="59">
        <v>887</v>
      </c>
      <c r="T641" s="59">
        <v>3</v>
      </c>
      <c r="U641" s="59">
        <v>0</v>
      </c>
      <c r="V641" s="59">
        <v>36</v>
      </c>
      <c r="W641" s="59">
        <v>3</v>
      </c>
      <c r="X641" s="59">
        <v>1</v>
      </c>
      <c r="Y641" s="59">
        <v>2</v>
      </c>
      <c r="Z641" s="59">
        <f t="shared" si="180"/>
        <v>0</v>
      </c>
      <c r="AA641" s="59">
        <f>IF('Updated Dummy'!Y641=2,1,0)</f>
        <v>1</v>
      </c>
      <c r="AB641" s="59">
        <f t="shared" si="181"/>
        <v>0</v>
      </c>
      <c r="AC641" s="59">
        <f t="shared" si="182"/>
        <v>0</v>
      </c>
      <c r="AD641" s="59">
        <f t="shared" si="183"/>
        <v>0</v>
      </c>
      <c r="AE641" s="59">
        <f t="shared" si="184"/>
        <v>0</v>
      </c>
      <c r="AF641" s="59">
        <f t="shared" si="185"/>
        <v>0</v>
      </c>
      <c r="AG641" s="59">
        <f t="shared" si="186"/>
        <v>0</v>
      </c>
      <c r="AH641" s="59">
        <v>1</v>
      </c>
      <c r="AI641" s="59">
        <v>2</v>
      </c>
      <c r="AJ641" s="59">
        <f t="shared" si="187"/>
        <v>0</v>
      </c>
      <c r="AK641" s="59">
        <f t="shared" si="188"/>
        <v>1</v>
      </c>
      <c r="AL641" s="59">
        <v>3580</v>
      </c>
      <c r="AM641" s="59">
        <v>10554</v>
      </c>
      <c r="AN641" s="59">
        <v>2</v>
      </c>
      <c r="AO641" s="59">
        <v>0</v>
      </c>
      <c r="AP641" s="59">
        <v>16</v>
      </c>
      <c r="AQ641" s="59">
        <v>3</v>
      </c>
      <c r="AR641" s="59">
        <v>2</v>
      </c>
      <c r="AS641" s="59">
        <v>80</v>
      </c>
      <c r="AT641" s="59">
        <v>1</v>
      </c>
      <c r="AU641" s="59">
        <v>7</v>
      </c>
      <c r="AV641" s="59">
        <v>2</v>
      </c>
      <c r="AW641" s="59">
        <v>3</v>
      </c>
      <c r="AX641" s="59">
        <v>4</v>
      </c>
      <c r="AY641" s="59">
        <v>2</v>
      </c>
      <c r="AZ641" s="59">
        <v>0</v>
      </c>
      <c r="BA641" s="59">
        <v>2</v>
      </c>
      <c r="BB641" s="57">
        <f t="shared" si="189"/>
        <v>3580</v>
      </c>
    </row>
    <row r="642" spans="1:54" x14ac:dyDescent="0.25">
      <c r="A642" s="58">
        <v>24</v>
      </c>
      <c r="B642" s="59">
        <v>0</v>
      </c>
      <c r="C642" s="59">
        <v>3</v>
      </c>
      <c r="D642" s="59">
        <f t="shared" si="171"/>
        <v>0</v>
      </c>
      <c r="E642" s="59">
        <f t="shared" si="172"/>
        <v>0</v>
      </c>
      <c r="F642" s="59">
        <v>1269</v>
      </c>
      <c r="G642" s="59">
        <v>2</v>
      </c>
      <c r="H642" s="59">
        <f t="shared" si="173"/>
        <v>0</v>
      </c>
      <c r="I642" s="59">
        <f t="shared" si="174"/>
        <v>1</v>
      </c>
      <c r="J642" s="59">
        <v>4</v>
      </c>
      <c r="K642" s="59">
        <v>1</v>
      </c>
      <c r="L642" s="59">
        <v>1</v>
      </c>
      <c r="M642" s="59">
        <f t="shared" si="175"/>
        <v>1</v>
      </c>
      <c r="N642" s="59">
        <f t="shared" si="176"/>
        <v>0</v>
      </c>
      <c r="O642" s="59">
        <f t="shared" si="177"/>
        <v>0</v>
      </c>
      <c r="P642" s="59">
        <f t="shared" si="178"/>
        <v>0</v>
      </c>
      <c r="Q642" s="59">
        <f t="shared" si="179"/>
        <v>0</v>
      </c>
      <c r="R642" s="59">
        <v>1</v>
      </c>
      <c r="S642" s="59">
        <v>888</v>
      </c>
      <c r="T642" s="59">
        <v>1</v>
      </c>
      <c r="U642" s="59">
        <v>1</v>
      </c>
      <c r="V642" s="59">
        <v>46</v>
      </c>
      <c r="W642" s="59">
        <v>2</v>
      </c>
      <c r="X642" s="59">
        <v>1</v>
      </c>
      <c r="Y642" s="59">
        <v>3</v>
      </c>
      <c r="Z642" s="59">
        <f t="shared" si="180"/>
        <v>0</v>
      </c>
      <c r="AA642" s="59">
        <f>IF('Updated Dummy'!Y642=2,1,0)</f>
        <v>0</v>
      </c>
      <c r="AB642" s="59">
        <f t="shared" si="181"/>
        <v>1</v>
      </c>
      <c r="AC642" s="59">
        <f t="shared" si="182"/>
        <v>0</v>
      </c>
      <c r="AD642" s="59">
        <f t="shared" si="183"/>
        <v>0</v>
      </c>
      <c r="AE642" s="59">
        <f t="shared" si="184"/>
        <v>0</v>
      </c>
      <c r="AF642" s="59">
        <f t="shared" si="185"/>
        <v>0</v>
      </c>
      <c r="AG642" s="59">
        <f t="shared" si="186"/>
        <v>0</v>
      </c>
      <c r="AH642" s="59">
        <v>4</v>
      </c>
      <c r="AI642" s="59">
        <v>2</v>
      </c>
      <c r="AJ642" s="59">
        <f t="shared" si="187"/>
        <v>0</v>
      </c>
      <c r="AK642" s="59">
        <f t="shared" si="188"/>
        <v>1</v>
      </c>
      <c r="AL642" s="59">
        <v>3162</v>
      </c>
      <c r="AM642" s="59">
        <v>10778</v>
      </c>
      <c r="AN642" s="59">
        <v>0</v>
      </c>
      <c r="AO642" s="59">
        <v>0</v>
      </c>
      <c r="AP642" s="59">
        <v>17</v>
      </c>
      <c r="AQ642" s="59">
        <v>3</v>
      </c>
      <c r="AR642" s="59">
        <v>4</v>
      </c>
      <c r="AS642" s="59">
        <v>80</v>
      </c>
      <c r="AT642" s="59">
        <v>0</v>
      </c>
      <c r="AU642" s="59">
        <v>6</v>
      </c>
      <c r="AV642" s="59">
        <v>2</v>
      </c>
      <c r="AW642" s="59">
        <v>2</v>
      </c>
      <c r="AX642" s="59">
        <v>5</v>
      </c>
      <c r="AY642" s="59">
        <v>2</v>
      </c>
      <c r="AZ642" s="59">
        <v>3</v>
      </c>
      <c r="BA642" s="59">
        <v>4</v>
      </c>
      <c r="BB642" s="57">
        <f t="shared" si="189"/>
        <v>3162</v>
      </c>
    </row>
    <row r="643" spans="1:54" x14ac:dyDescent="0.25">
      <c r="A643" s="58">
        <v>32</v>
      </c>
      <c r="B643" s="59">
        <v>0</v>
      </c>
      <c r="C643" s="59">
        <v>2</v>
      </c>
      <c r="D643" s="59">
        <f t="shared" ref="D643:D706" si="190">IF(C643=1,1,0)</f>
        <v>0</v>
      </c>
      <c r="E643" s="59">
        <f t="shared" ref="E643:E706" si="191">IF(C643=2,1,0)</f>
        <v>1</v>
      </c>
      <c r="F643" s="59">
        <v>379</v>
      </c>
      <c r="G643" s="59">
        <v>1</v>
      </c>
      <c r="H643" s="59">
        <f t="shared" ref="H643:H706" si="192">IF(G643=1,1,0)</f>
        <v>1</v>
      </c>
      <c r="I643" s="59">
        <f t="shared" ref="I643:I706" si="193">IF(G643=2,1,0)</f>
        <v>0</v>
      </c>
      <c r="J643" s="59">
        <v>5</v>
      </c>
      <c r="K643" s="59">
        <v>2</v>
      </c>
      <c r="L643" s="59">
        <v>1</v>
      </c>
      <c r="M643" s="59">
        <f t="shared" ref="M643:M706" si="194">IF(L643=1,1,0)</f>
        <v>1</v>
      </c>
      <c r="N643" s="59">
        <f t="shared" ref="N643:N706" si="195">IF(L643=2,1,0)</f>
        <v>0</v>
      </c>
      <c r="O643" s="59">
        <f t="shared" ref="O643:O706" si="196">IF(L643=3,1,0)</f>
        <v>0</v>
      </c>
      <c r="P643" s="59">
        <f t="shared" ref="P643:P706" si="197">IF(L643=4,1,0)</f>
        <v>0</v>
      </c>
      <c r="Q643" s="59">
        <f t="shared" ref="Q643:Q706" si="198">IF(L643=5,1,0)</f>
        <v>0</v>
      </c>
      <c r="R643" s="59">
        <v>1</v>
      </c>
      <c r="S643" s="59">
        <v>889</v>
      </c>
      <c r="T643" s="59">
        <v>2</v>
      </c>
      <c r="U643" s="59">
        <v>1</v>
      </c>
      <c r="V643" s="59">
        <v>48</v>
      </c>
      <c r="W643" s="59">
        <v>3</v>
      </c>
      <c r="X643" s="59">
        <v>2</v>
      </c>
      <c r="Y643" s="59">
        <v>1</v>
      </c>
      <c r="Z643" s="59">
        <f t="shared" ref="Z643:Z706" si="199">IF(Y643=1,1,0)</f>
        <v>1</v>
      </c>
      <c r="AA643" s="59">
        <f>IF('Updated Dummy'!Y643=2,1,0)</f>
        <v>0</v>
      </c>
      <c r="AB643" s="59">
        <f t="shared" ref="AB643:AB706" si="200">IF(Y643=3,1,0)</f>
        <v>0</v>
      </c>
      <c r="AC643" s="59">
        <f t="shared" ref="AC643:AC706" si="201">IF(Y643=4,1,0)</f>
        <v>0</v>
      </c>
      <c r="AD643" s="59">
        <f t="shared" ref="AD643:AD706" si="202">IF(Y643=5,1,0)</f>
        <v>0</v>
      </c>
      <c r="AE643" s="59">
        <f t="shared" ref="AE643:AE706" si="203">IF(Y643=6,1,0)</f>
        <v>0</v>
      </c>
      <c r="AF643" s="59">
        <f t="shared" ref="AF643:AF706" si="204">IF(Y643=7,1,0)</f>
        <v>0</v>
      </c>
      <c r="AG643" s="59">
        <f t="shared" ref="AG643:AG706" si="205">IF(Y643=8,1,0)</f>
        <v>0</v>
      </c>
      <c r="AH643" s="59">
        <v>2</v>
      </c>
      <c r="AI643" s="59">
        <v>2</v>
      </c>
      <c r="AJ643" s="59">
        <f t="shared" ref="AJ643:AJ706" si="206">IF(AI643=1,1,0)</f>
        <v>0</v>
      </c>
      <c r="AK643" s="59">
        <f t="shared" ref="AK643:AK706" si="207">IF(AI643=2,1,0)</f>
        <v>1</v>
      </c>
      <c r="AL643" s="59">
        <v>6524</v>
      </c>
      <c r="AM643" s="59">
        <v>8891</v>
      </c>
      <c r="AN643" s="59">
        <v>1</v>
      </c>
      <c r="AO643" s="59">
        <v>0</v>
      </c>
      <c r="AP643" s="59">
        <v>14</v>
      </c>
      <c r="AQ643" s="59">
        <v>3</v>
      </c>
      <c r="AR643" s="59">
        <v>4</v>
      </c>
      <c r="AS643" s="59">
        <v>80</v>
      </c>
      <c r="AT643" s="59">
        <v>1</v>
      </c>
      <c r="AU643" s="59">
        <v>10</v>
      </c>
      <c r="AV643" s="59">
        <v>3</v>
      </c>
      <c r="AW643" s="59">
        <v>3</v>
      </c>
      <c r="AX643" s="59">
        <v>10</v>
      </c>
      <c r="AY643" s="59">
        <v>8</v>
      </c>
      <c r="AZ643" s="59">
        <v>5</v>
      </c>
      <c r="BA643" s="59">
        <v>3</v>
      </c>
      <c r="BB643" s="57">
        <f t="shared" ref="BB643:BB706" si="208">X643*AL643</f>
        <v>13048</v>
      </c>
    </row>
    <row r="644" spans="1:54" x14ac:dyDescent="0.25">
      <c r="A644" s="58">
        <v>38</v>
      </c>
      <c r="B644" s="59">
        <v>0</v>
      </c>
      <c r="C644" s="59">
        <v>1</v>
      </c>
      <c r="D644" s="59">
        <f t="shared" si="190"/>
        <v>1</v>
      </c>
      <c r="E644" s="59">
        <f t="shared" si="191"/>
        <v>0</v>
      </c>
      <c r="F644" s="59">
        <v>395</v>
      </c>
      <c r="G644" s="59">
        <v>1</v>
      </c>
      <c r="H644" s="59">
        <f t="shared" si="192"/>
        <v>1</v>
      </c>
      <c r="I644" s="59">
        <f t="shared" si="193"/>
        <v>0</v>
      </c>
      <c r="J644" s="59">
        <v>9</v>
      </c>
      <c r="K644" s="59">
        <v>3</v>
      </c>
      <c r="L644" s="59">
        <v>4</v>
      </c>
      <c r="M644" s="59">
        <f t="shared" si="194"/>
        <v>0</v>
      </c>
      <c r="N644" s="59">
        <f t="shared" si="195"/>
        <v>0</v>
      </c>
      <c r="O644" s="59">
        <f t="shared" si="196"/>
        <v>0</v>
      </c>
      <c r="P644" s="59">
        <f t="shared" si="197"/>
        <v>1</v>
      </c>
      <c r="Q644" s="59">
        <f t="shared" si="198"/>
        <v>0</v>
      </c>
      <c r="R644" s="59">
        <v>1</v>
      </c>
      <c r="S644" s="59">
        <v>893</v>
      </c>
      <c r="T644" s="59">
        <v>2</v>
      </c>
      <c r="U644" s="59">
        <v>1</v>
      </c>
      <c r="V644" s="59">
        <v>98</v>
      </c>
      <c r="W644" s="59">
        <v>2</v>
      </c>
      <c r="X644" s="59">
        <v>1</v>
      </c>
      <c r="Y644" s="59">
        <v>7</v>
      </c>
      <c r="Z644" s="59">
        <f t="shared" si="199"/>
        <v>0</v>
      </c>
      <c r="AA644" s="59">
        <f>IF('Updated Dummy'!Y644=2,1,0)</f>
        <v>0</v>
      </c>
      <c r="AB644" s="59">
        <f t="shared" si="200"/>
        <v>0</v>
      </c>
      <c r="AC644" s="59">
        <f t="shared" si="201"/>
        <v>0</v>
      </c>
      <c r="AD644" s="59">
        <f t="shared" si="202"/>
        <v>0</v>
      </c>
      <c r="AE644" s="59">
        <f t="shared" si="203"/>
        <v>0</v>
      </c>
      <c r="AF644" s="59">
        <f t="shared" si="204"/>
        <v>1</v>
      </c>
      <c r="AG644" s="59">
        <f t="shared" si="205"/>
        <v>0</v>
      </c>
      <c r="AH644" s="59">
        <v>2</v>
      </c>
      <c r="AI644" s="59">
        <v>2</v>
      </c>
      <c r="AJ644" s="59">
        <f t="shared" si="206"/>
        <v>0</v>
      </c>
      <c r="AK644" s="59">
        <f t="shared" si="207"/>
        <v>1</v>
      </c>
      <c r="AL644" s="59">
        <v>2899</v>
      </c>
      <c r="AM644" s="59">
        <v>12102</v>
      </c>
      <c r="AN644" s="59">
        <v>0</v>
      </c>
      <c r="AO644" s="59">
        <v>0</v>
      </c>
      <c r="AP644" s="59">
        <v>19</v>
      </c>
      <c r="AQ644" s="59">
        <v>3</v>
      </c>
      <c r="AR644" s="59">
        <v>4</v>
      </c>
      <c r="AS644" s="59">
        <v>80</v>
      </c>
      <c r="AT644" s="59">
        <v>1</v>
      </c>
      <c r="AU644" s="59">
        <v>3</v>
      </c>
      <c r="AV644" s="59">
        <v>3</v>
      </c>
      <c r="AW644" s="59">
        <v>3</v>
      </c>
      <c r="AX644" s="59">
        <v>2</v>
      </c>
      <c r="AY644" s="59">
        <v>2</v>
      </c>
      <c r="AZ644" s="59">
        <v>1</v>
      </c>
      <c r="BA644" s="59">
        <v>2</v>
      </c>
      <c r="BB644" s="57">
        <f t="shared" si="208"/>
        <v>2899</v>
      </c>
    </row>
    <row r="645" spans="1:54" x14ac:dyDescent="0.25">
      <c r="A645" s="58">
        <v>42</v>
      </c>
      <c r="B645" s="59">
        <v>0</v>
      </c>
      <c r="C645" s="59">
        <v>1</v>
      </c>
      <c r="D645" s="59">
        <f t="shared" si="190"/>
        <v>1</v>
      </c>
      <c r="E645" s="59">
        <f t="shared" si="191"/>
        <v>0</v>
      </c>
      <c r="F645" s="59">
        <v>1265</v>
      </c>
      <c r="G645" s="59">
        <v>2</v>
      </c>
      <c r="H645" s="59">
        <f t="shared" si="192"/>
        <v>0</v>
      </c>
      <c r="I645" s="59">
        <f t="shared" si="193"/>
        <v>1</v>
      </c>
      <c r="J645" s="59">
        <v>3</v>
      </c>
      <c r="K645" s="59">
        <v>3</v>
      </c>
      <c r="L645" s="59">
        <v>1</v>
      </c>
      <c r="M645" s="59">
        <f t="shared" si="194"/>
        <v>1</v>
      </c>
      <c r="N645" s="59">
        <f t="shared" si="195"/>
        <v>0</v>
      </c>
      <c r="O645" s="59">
        <f t="shared" si="196"/>
        <v>0</v>
      </c>
      <c r="P645" s="59">
        <f t="shared" si="197"/>
        <v>0</v>
      </c>
      <c r="Q645" s="59">
        <f t="shared" si="198"/>
        <v>0</v>
      </c>
      <c r="R645" s="59">
        <v>1</v>
      </c>
      <c r="S645" s="59">
        <v>894</v>
      </c>
      <c r="T645" s="59">
        <v>3</v>
      </c>
      <c r="U645" s="59">
        <v>0</v>
      </c>
      <c r="V645" s="59">
        <v>95</v>
      </c>
      <c r="W645" s="59">
        <v>4</v>
      </c>
      <c r="X645" s="59">
        <v>2</v>
      </c>
      <c r="Y645" s="59">
        <v>3</v>
      </c>
      <c r="Z645" s="59">
        <f t="shared" si="199"/>
        <v>0</v>
      </c>
      <c r="AA645" s="59">
        <f>IF('Updated Dummy'!Y645=2,1,0)</f>
        <v>0</v>
      </c>
      <c r="AB645" s="59">
        <f t="shared" si="200"/>
        <v>1</v>
      </c>
      <c r="AC645" s="59">
        <f t="shared" si="201"/>
        <v>0</v>
      </c>
      <c r="AD645" s="59">
        <f t="shared" si="202"/>
        <v>0</v>
      </c>
      <c r="AE645" s="59">
        <f t="shared" si="203"/>
        <v>0</v>
      </c>
      <c r="AF645" s="59">
        <f t="shared" si="204"/>
        <v>0</v>
      </c>
      <c r="AG645" s="59">
        <f t="shared" si="205"/>
        <v>0</v>
      </c>
      <c r="AH645" s="59">
        <v>4</v>
      </c>
      <c r="AI645" s="59">
        <v>2</v>
      </c>
      <c r="AJ645" s="59">
        <f t="shared" si="206"/>
        <v>0</v>
      </c>
      <c r="AK645" s="59">
        <f t="shared" si="207"/>
        <v>1</v>
      </c>
      <c r="AL645" s="59">
        <v>5231</v>
      </c>
      <c r="AM645" s="59">
        <v>23726</v>
      </c>
      <c r="AN645" s="59">
        <v>2</v>
      </c>
      <c r="AO645" s="59">
        <v>1</v>
      </c>
      <c r="AP645" s="59">
        <v>13</v>
      </c>
      <c r="AQ645" s="59">
        <v>3</v>
      </c>
      <c r="AR645" s="59">
        <v>2</v>
      </c>
      <c r="AS645" s="59">
        <v>80</v>
      </c>
      <c r="AT645" s="59">
        <v>1</v>
      </c>
      <c r="AU645" s="59">
        <v>17</v>
      </c>
      <c r="AV645" s="59">
        <v>1</v>
      </c>
      <c r="AW645" s="59">
        <v>2</v>
      </c>
      <c r="AX645" s="59">
        <v>5</v>
      </c>
      <c r="AY645" s="59">
        <v>3</v>
      </c>
      <c r="AZ645" s="59">
        <v>1</v>
      </c>
      <c r="BA645" s="59">
        <v>3</v>
      </c>
      <c r="BB645" s="57">
        <f t="shared" si="208"/>
        <v>10462</v>
      </c>
    </row>
    <row r="646" spans="1:54" x14ac:dyDescent="0.25">
      <c r="A646" s="58">
        <v>31</v>
      </c>
      <c r="B646" s="59">
        <v>0</v>
      </c>
      <c r="C646" s="59">
        <v>1</v>
      </c>
      <c r="D646" s="59">
        <f t="shared" si="190"/>
        <v>1</v>
      </c>
      <c r="E646" s="59">
        <f t="shared" si="191"/>
        <v>0</v>
      </c>
      <c r="F646" s="59">
        <v>1222</v>
      </c>
      <c r="G646" s="59">
        <v>2</v>
      </c>
      <c r="H646" s="59">
        <f t="shared" si="192"/>
        <v>0</v>
      </c>
      <c r="I646" s="59">
        <f t="shared" si="193"/>
        <v>1</v>
      </c>
      <c r="J646" s="59">
        <v>11</v>
      </c>
      <c r="K646" s="59">
        <v>4</v>
      </c>
      <c r="L646" s="59">
        <v>1</v>
      </c>
      <c r="M646" s="59">
        <f t="shared" si="194"/>
        <v>1</v>
      </c>
      <c r="N646" s="59">
        <f t="shared" si="195"/>
        <v>0</v>
      </c>
      <c r="O646" s="59">
        <f t="shared" si="196"/>
        <v>0</v>
      </c>
      <c r="P646" s="59">
        <f t="shared" si="197"/>
        <v>0</v>
      </c>
      <c r="Q646" s="59">
        <f t="shared" si="198"/>
        <v>0</v>
      </c>
      <c r="R646" s="59">
        <v>1</v>
      </c>
      <c r="S646" s="59">
        <v>895</v>
      </c>
      <c r="T646" s="59">
        <v>4</v>
      </c>
      <c r="U646" s="59">
        <v>1</v>
      </c>
      <c r="V646" s="59">
        <v>48</v>
      </c>
      <c r="W646" s="59">
        <v>3</v>
      </c>
      <c r="X646" s="59">
        <v>1</v>
      </c>
      <c r="Y646" s="59">
        <v>2</v>
      </c>
      <c r="Z646" s="59">
        <f t="shared" si="199"/>
        <v>0</v>
      </c>
      <c r="AA646" s="59">
        <f>IF('Updated Dummy'!Y646=2,1,0)</f>
        <v>1</v>
      </c>
      <c r="AB646" s="59">
        <f t="shared" si="200"/>
        <v>0</v>
      </c>
      <c r="AC646" s="59">
        <f t="shared" si="201"/>
        <v>0</v>
      </c>
      <c r="AD646" s="59">
        <f t="shared" si="202"/>
        <v>0</v>
      </c>
      <c r="AE646" s="59">
        <f t="shared" si="203"/>
        <v>0</v>
      </c>
      <c r="AF646" s="59">
        <f t="shared" si="204"/>
        <v>0</v>
      </c>
      <c r="AG646" s="59">
        <f t="shared" si="205"/>
        <v>0</v>
      </c>
      <c r="AH646" s="59">
        <v>4</v>
      </c>
      <c r="AI646" s="59">
        <v>2</v>
      </c>
      <c r="AJ646" s="59">
        <f t="shared" si="206"/>
        <v>0</v>
      </c>
      <c r="AK646" s="59">
        <f t="shared" si="207"/>
        <v>1</v>
      </c>
      <c r="AL646" s="59">
        <v>2356</v>
      </c>
      <c r="AM646" s="59">
        <v>14871</v>
      </c>
      <c r="AN646" s="59">
        <v>3</v>
      </c>
      <c r="AO646" s="59">
        <v>1</v>
      </c>
      <c r="AP646" s="59">
        <v>19</v>
      </c>
      <c r="AQ646" s="59">
        <v>3</v>
      </c>
      <c r="AR646" s="59">
        <v>2</v>
      </c>
      <c r="AS646" s="59">
        <v>80</v>
      </c>
      <c r="AT646" s="59">
        <v>1</v>
      </c>
      <c r="AU646" s="59">
        <v>8</v>
      </c>
      <c r="AV646" s="59">
        <v>2</v>
      </c>
      <c r="AW646" s="59">
        <v>3</v>
      </c>
      <c r="AX646" s="59">
        <v>6</v>
      </c>
      <c r="AY646" s="59">
        <v>4</v>
      </c>
      <c r="AZ646" s="59">
        <v>0</v>
      </c>
      <c r="BA646" s="59">
        <v>2</v>
      </c>
      <c r="BB646" s="57">
        <f t="shared" si="208"/>
        <v>2356</v>
      </c>
    </row>
    <row r="647" spans="1:54" x14ac:dyDescent="0.25">
      <c r="A647" s="58">
        <v>29</v>
      </c>
      <c r="B647" s="59">
        <v>1</v>
      </c>
      <c r="C647" s="59">
        <v>1</v>
      </c>
      <c r="D647" s="59">
        <f t="shared" si="190"/>
        <v>1</v>
      </c>
      <c r="E647" s="59">
        <f t="shared" si="191"/>
        <v>0</v>
      </c>
      <c r="F647" s="59">
        <v>341</v>
      </c>
      <c r="G647" s="59">
        <v>1</v>
      </c>
      <c r="H647" s="59">
        <f t="shared" si="192"/>
        <v>1</v>
      </c>
      <c r="I647" s="59">
        <f t="shared" si="193"/>
        <v>0</v>
      </c>
      <c r="J647" s="59">
        <v>1</v>
      </c>
      <c r="K647" s="59">
        <v>3</v>
      </c>
      <c r="L647" s="59">
        <v>3</v>
      </c>
      <c r="M647" s="59">
        <f t="shared" si="194"/>
        <v>0</v>
      </c>
      <c r="N647" s="59">
        <f t="shared" si="195"/>
        <v>0</v>
      </c>
      <c r="O647" s="59">
        <f t="shared" si="196"/>
        <v>1</v>
      </c>
      <c r="P647" s="59">
        <f t="shared" si="197"/>
        <v>0</v>
      </c>
      <c r="Q647" s="59">
        <f t="shared" si="198"/>
        <v>0</v>
      </c>
      <c r="R647" s="59">
        <v>1</v>
      </c>
      <c r="S647" s="59">
        <v>896</v>
      </c>
      <c r="T647" s="59">
        <v>2</v>
      </c>
      <c r="U647" s="59">
        <v>0</v>
      </c>
      <c r="V647" s="59">
        <v>48</v>
      </c>
      <c r="W647" s="59">
        <v>2</v>
      </c>
      <c r="X647" s="59">
        <v>1</v>
      </c>
      <c r="Y647" s="59">
        <v>7</v>
      </c>
      <c r="Z647" s="59">
        <f t="shared" si="199"/>
        <v>0</v>
      </c>
      <c r="AA647" s="59">
        <f>IF('Updated Dummy'!Y647=2,1,0)</f>
        <v>0</v>
      </c>
      <c r="AB647" s="59">
        <f t="shared" si="200"/>
        <v>0</v>
      </c>
      <c r="AC647" s="59">
        <f t="shared" si="201"/>
        <v>0</v>
      </c>
      <c r="AD647" s="59">
        <f t="shared" si="202"/>
        <v>0</v>
      </c>
      <c r="AE647" s="59">
        <f t="shared" si="203"/>
        <v>0</v>
      </c>
      <c r="AF647" s="59">
        <f t="shared" si="204"/>
        <v>1</v>
      </c>
      <c r="AG647" s="59">
        <f t="shared" si="205"/>
        <v>0</v>
      </c>
      <c r="AH647" s="59">
        <v>3</v>
      </c>
      <c r="AI647" s="59">
        <v>3</v>
      </c>
      <c r="AJ647" s="59">
        <f t="shared" si="206"/>
        <v>0</v>
      </c>
      <c r="AK647" s="59">
        <f t="shared" si="207"/>
        <v>0</v>
      </c>
      <c r="AL647" s="59">
        <v>2800</v>
      </c>
      <c r="AM647" s="59">
        <v>23522</v>
      </c>
      <c r="AN647" s="59">
        <v>6</v>
      </c>
      <c r="AO647" s="59">
        <v>1</v>
      </c>
      <c r="AP647" s="59">
        <v>19</v>
      </c>
      <c r="AQ647" s="59">
        <v>3</v>
      </c>
      <c r="AR647" s="59">
        <v>3</v>
      </c>
      <c r="AS647" s="59">
        <v>80</v>
      </c>
      <c r="AT647" s="59">
        <v>3</v>
      </c>
      <c r="AU647" s="59">
        <v>5</v>
      </c>
      <c r="AV647" s="59">
        <v>3</v>
      </c>
      <c r="AW647" s="59">
        <v>3</v>
      </c>
      <c r="AX647" s="59">
        <v>3</v>
      </c>
      <c r="AY647" s="59">
        <v>2</v>
      </c>
      <c r="AZ647" s="59">
        <v>0</v>
      </c>
      <c r="BA647" s="59">
        <v>2</v>
      </c>
      <c r="BB647" s="57">
        <f t="shared" si="208"/>
        <v>2800</v>
      </c>
    </row>
    <row r="648" spans="1:54" x14ac:dyDescent="0.25">
      <c r="A648" s="58">
        <v>53</v>
      </c>
      <c r="B648" s="59">
        <v>0</v>
      </c>
      <c r="C648" s="59">
        <v>1</v>
      </c>
      <c r="D648" s="59">
        <f t="shared" si="190"/>
        <v>1</v>
      </c>
      <c r="E648" s="59">
        <f t="shared" si="191"/>
        <v>0</v>
      </c>
      <c r="F648" s="59">
        <v>868</v>
      </c>
      <c r="G648" s="59">
        <v>1</v>
      </c>
      <c r="H648" s="59">
        <f t="shared" si="192"/>
        <v>1</v>
      </c>
      <c r="I648" s="59">
        <f t="shared" si="193"/>
        <v>0</v>
      </c>
      <c r="J648" s="59">
        <v>8</v>
      </c>
      <c r="K648" s="59">
        <v>3</v>
      </c>
      <c r="L648" s="59">
        <v>4</v>
      </c>
      <c r="M648" s="59">
        <f t="shared" si="194"/>
        <v>0</v>
      </c>
      <c r="N648" s="59">
        <f t="shared" si="195"/>
        <v>0</v>
      </c>
      <c r="O648" s="59">
        <f t="shared" si="196"/>
        <v>0</v>
      </c>
      <c r="P648" s="59">
        <f t="shared" si="197"/>
        <v>1</v>
      </c>
      <c r="Q648" s="59">
        <f t="shared" si="198"/>
        <v>0</v>
      </c>
      <c r="R648" s="59">
        <v>1</v>
      </c>
      <c r="S648" s="59">
        <v>897</v>
      </c>
      <c r="T648" s="59">
        <v>1</v>
      </c>
      <c r="U648" s="59">
        <v>1</v>
      </c>
      <c r="V648" s="59">
        <v>73</v>
      </c>
      <c r="W648" s="59">
        <v>3</v>
      </c>
      <c r="X648" s="59">
        <v>4</v>
      </c>
      <c r="Y648" s="59">
        <v>1</v>
      </c>
      <c r="Z648" s="59">
        <f t="shared" si="199"/>
        <v>1</v>
      </c>
      <c r="AA648" s="59">
        <f>IF('Updated Dummy'!Y648=2,1,0)</f>
        <v>0</v>
      </c>
      <c r="AB648" s="59">
        <f t="shared" si="200"/>
        <v>0</v>
      </c>
      <c r="AC648" s="59">
        <f t="shared" si="201"/>
        <v>0</v>
      </c>
      <c r="AD648" s="59">
        <f t="shared" si="202"/>
        <v>0</v>
      </c>
      <c r="AE648" s="59">
        <f t="shared" si="203"/>
        <v>0</v>
      </c>
      <c r="AF648" s="59">
        <f t="shared" si="204"/>
        <v>0</v>
      </c>
      <c r="AG648" s="59">
        <f t="shared" si="205"/>
        <v>0</v>
      </c>
      <c r="AH648" s="59">
        <v>4</v>
      </c>
      <c r="AI648" s="59">
        <v>2</v>
      </c>
      <c r="AJ648" s="59">
        <f t="shared" si="206"/>
        <v>0</v>
      </c>
      <c r="AK648" s="59">
        <f t="shared" si="207"/>
        <v>1</v>
      </c>
      <c r="AL648" s="59">
        <v>11836</v>
      </c>
      <c r="AM648" s="59">
        <v>22789</v>
      </c>
      <c r="AN648" s="59">
        <v>5</v>
      </c>
      <c r="AO648" s="59">
        <v>0</v>
      </c>
      <c r="AP648" s="59">
        <v>14</v>
      </c>
      <c r="AQ648" s="59">
        <v>3</v>
      </c>
      <c r="AR648" s="59">
        <v>3</v>
      </c>
      <c r="AS648" s="59">
        <v>80</v>
      </c>
      <c r="AT648" s="59">
        <v>1</v>
      </c>
      <c r="AU648" s="59">
        <v>28</v>
      </c>
      <c r="AV648" s="59">
        <v>3</v>
      </c>
      <c r="AW648" s="59">
        <v>3</v>
      </c>
      <c r="AX648" s="59">
        <v>2</v>
      </c>
      <c r="AY648" s="59">
        <v>0</v>
      </c>
      <c r="AZ648" s="59">
        <v>2</v>
      </c>
      <c r="BA648" s="59">
        <v>2</v>
      </c>
      <c r="BB648" s="57">
        <f t="shared" si="208"/>
        <v>47344</v>
      </c>
    </row>
    <row r="649" spans="1:54" x14ac:dyDescent="0.25">
      <c r="A649" s="58">
        <v>35</v>
      </c>
      <c r="B649" s="59">
        <v>0</v>
      </c>
      <c r="C649" s="59">
        <v>1</v>
      </c>
      <c r="D649" s="59">
        <f t="shared" si="190"/>
        <v>1</v>
      </c>
      <c r="E649" s="59">
        <f t="shared" si="191"/>
        <v>0</v>
      </c>
      <c r="F649" s="59">
        <v>672</v>
      </c>
      <c r="G649" s="59">
        <v>2</v>
      </c>
      <c r="H649" s="59">
        <f t="shared" si="192"/>
        <v>0</v>
      </c>
      <c r="I649" s="59">
        <f t="shared" si="193"/>
        <v>1</v>
      </c>
      <c r="J649" s="59">
        <v>25</v>
      </c>
      <c r="K649" s="59">
        <v>3</v>
      </c>
      <c r="L649" s="59">
        <v>5</v>
      </c>
      <c r="M649" s="59">
        <f t="shared" si="194"/>
        <v>0</v>
      </c>
      <c r="N649" s="59">
        <f t="shared" si="195"/>
        <v>0</v>
      </c>
      <c r="O649" s="59">
        <f t="shared" si="196"/>
        <v>0</v>
      </c>
      <c r="P649" s="59">
        <f t="shared" si="197"/>
        <v>0</v>
      </c>
      <c r="Q649" s="59">
        <f t="shared" si="198"/>
        <v>1</v>
      </c>
      <c r="R649" s="59">
        <v>1</v>
      </c>
      <c r="S649" s="59">
        <v>899</v>
      </c>
      <c r="T649" s="59">
        <v>4</v>
      </c>
      <c r="U649" s="59">
        <v>1</v>
      </c>
      <c r="V649" s="59">
        <v>78</v>
      </c>
      <c r="W649" s="59">
        <v>2</v>
      </c>
      <c r="X649" s="59">
        <v>3</v>
      </c>
      <c r="Y649" s="59">
        <v>4</v>
      </c>
      <c r="Z649" s="59">
        <f t="shared" si="199"/>
        <v>0</v>
      </c>
      <c r="AA649" s="59">
        <f>IF('Updated Dummy'!Y649=2,1,0)</f>
        <v>0</v>
      </c>
      <c r="AB649" s="59">
        <f t="shared" si="200"/>
        <v>0</v>
      </c>
      <c r="AC649" s="59">
        <f t="shared" si="201"/>
        <v>1</v>
      </c>
      <c r="AD649" s="59">
        <f t="shared" si="202"/>
        <v>0</v>
      </c>
      <c r="AE649" s="59">
        <f t="shared" si="203"/>
        <v>0</v>
      </c>
      <c r="AF649" s="59">
        <f t="shared" si="204"/>
        <v>0</v>
      </c>
      <c r="AG649" s="59">
        <f t="shared" si="205"/>
        <v>0</v>
      </c>
      <c r="AH649" s="59">
        <v>2</v>
      </c>
      <c r="AI649" s="59">
        <v>2</v>
      </c>
      <c r="AJ649" s="59">
        <f t="shared" si="206"/>
        <v>0</v>
      </c>
      <c r="AK649" s="59">
        <f t="shared" si="207"/>
        <v>1</v>
      </c>
      <c r="AL649" s="59">
        <v>10903</v>
      </c>
      <c r="AM649" s="59">
        <v>9129</v>
      </c>
      <c r="AN649" s="59">
        <v>3</v>
      </c>
      <c r="AO649" s="59">
        <v>0</v>
      </c>
      <c r="AP649" s="59">
        <v>16</v>
      </c>
      <c r="AQ649" s="59">
        <v>3</v>
      </c>
      <c r="AR649" s="59">
        <v>1</v>
      </c>
      <c r="AS649" s="59">
        <v>80</v>
      </c>
      <c r="AT649" s="59">
        <v>0</v>
      </c>
      <c r="AU649" s="59">
        <v>16</v>
      </c>
      <c r="AV649" s="59">
        <v>2</v>
      </c>
      <c r="AW649" s="59">
        <v>3</v>
      </c>
      <c r="AX649" s="59">
        <v>13</v>
      </c>
      <c r="AY649" s="59">
        <v>10</v>
      </c>
      <c r="AZ649" s="59">
        <v>4</v>
      </c>
      <c r="BA649" s="59">
        <v>8</v>
      </c>
      <c r="BB649" s="57">
        <f t="shared" si="208"/>
        <v>32709</v>
      </c>
    </row>
    <row r="650" spans="1:54" x14ac:dyDescent="0.25">
      <c r="A650" s="58">
        <v>37</v>
      </c>
      <c r="B650" s="59">
        <v>0</v>
      </c>
      <c r="C650" s="59">
        <v>2</v>
      </c>
      <c r="D650" s="59">
        <f t="shared" si="190"/>
        <v>0</v>
      </c>
      <c r="E650" s="59">
        <f t="shared" si="191"/>
        <v>1</v>
      </c>
      <c r="F650" s="59">
        <v>1231</v>
      </c>
      <c r="G650" s="59">
        <v>1</v>
      </c>
      <c r="H650" s="59">
        <f t="shared" si="192"/>
        <v>1</v>
      </c>
      <c r="I650" s="59">
        <f t="shared" si="193"/>
        <v>0</v>
      </c>
      <c r="J650" s="59">
        <v>21</v>
      </c>
      <c r="K650" s="59">
        <v>2</v>
      </c>
      <c r="L650" s="59">
        <v>3</v>
      </c>
      <c r="M650" s="59">
        <f t="shared" si="194"/>
        <v>0</v>
      </c>
      <c r="N650" s="59">
        <f t="shared" si="195"/>
        <v>0</v>
      </c>
      <c r="O650" s="59">
        <f t="shared" si="196"/>
        <v>1</v>
      </c>
      <c r="P650" s="59">
        <f t="shared" si="197"/>
        <v>0</v>
      </c>
      <c r="Q650" s="59">
        <f t="shared" si="198"/>
        <v>0</v>
      </c>
      <c r="R650" s="59">
        <v>1</v>
      </c>
      <c r="S650" s="59">
        <v>900</v>
      </c>
      <c r="T650" s="59">
        <v>3</v>
      </c>
      <c r="U650" s="59">
        <v>0</v>
      </c>
      <c r="V650" s="59">
        <v>54</v>
      </c>
      <c r="W650" s="59">
        <v>3</v>
      </c>
      <c r="X650" s="59">
        <v>1</v>
      </c>
      <c r="Y650" s="59">
        <v>7</v>
      </c>
      <c r="Z650" s="59">
        <f t="shared" si="199"/>
        <v>0</v>
      </c>
      <c r="AA650" s="59">
        <f>IF('Updated Dummy'!Y650=2,1,0)</f>
        <v>0</v>
      </c>
      <c r="AB650" s="59">
        <f t="shared" si="200"/>
        <v>0</v>
      </c>
      <c r="AC650" s="59">
        <f t="shared" si="201"/>
        <v>0</v>
      </c>
      <c r="AD650" s="59">
        <f t="shared" si="202"/>
        <v>0</v>
      </c>
      <c r="AE650" s="59">
        <f t="shared" si="203"/>
        <v>0</v>
      </c>
      <c r="AF650" s="59">
        <f t="shared" si="204"/>
        <v>1</v>
      </c>
      <c r="AG650" s="59">
        <f t="shared" si="205"/>
        <v>0</v>
      </c>
      <c r="AH650" s="59">
        <v>4</v>
      </c>
      <c r="AI650" s="59">
        <v>2</v>
      </c>
      <c r="AJ650" s="59">
        <f t="shared" si="206"/>
        <v>0</v>
      </c>
      <c r="AK650" s="59">
        <f t="shared" si="207"/>
        <v>1</v>
      </c>
      <c r="AL650" s="59">
        <v>2973</v>
      </c>
      <c r="AM650" s="59">
        <v>21222</v>
      </c>
      <c r="AN650" s="59">
        <v>5</v>
      </c>
      <c r="AO650" s="59">
        <v>0</v>
      </c>
      <c r="AP650" s="59">
        <v>15</v>
      </c>
      <c r="AQ650" s="59">
        <v>3</v>
      </c>
      <c r="AR650" s="59">
        <v>2</v>
      </c>
      <c r="AS650" s="59">
        <v>80</v>
      </c>
      <c r="AT650" s="59">
        <v>1</v>
      </c>
      <c r="AU650" s="59">
        <v>10</v>
      </c>
      <c r="AV650" s="59">
        <v>3</v>
      </c>
      <c r="AW650" s="59">
        <v>3</v>
      </c>
      <c r="AX650" s="59">
        <v>5</v>
      </c>
      <c r="AY650" s="59">
        <v>4</v>
      </c>
      <c r="AZ650" s="59">
        <v>0</v>
      </c>
      <c r="BA650" s="59">
        <v>0</v>
      </c>
      <c r="BB650" s="57">
        <f t="shared" si="208"/>
        <v>2973</v>
      </c>
    </row>
    <row r="651" spans="1:54" x14ac:dyDescent="0.25">
      <c r="A651" s="58">
        <v>53</v>
      </c>
      <c r="B651" s="59">
        <v>0</v>
      </c>
      <c r="C651" s="59">
        <v>1</v>
      </c>
      <c r="D651" s="59">
        <f t="shared" si="190"/>
        <v>1</v>
      </c>
      <c r="E651" s="59">
        <f t="shared" si="191"/>
        <v>0</v>
      </c>
      <c r="F651" s="59">
        <v>102</v>
      </c>
      <c r="G651" s="59">
        <v>2</v>
      </c>
      <c r="H651" s="59">
        <f t="shared" si="192"/>
        <v>0</v>
      </c>
      <c r="I651" s="59">
        <f t="shared" si="193"/>
        <v>1</v>
      </c>
      <c r="J651" s="59">
        <v>23</v>
      </c>
      <c r="K651" s="59">
        <v>4</v>
      </c>
      <c r="L651" s="59">
        <v>1</v>
      </c>
      <c r="M651" s="59">
        <f t="shared" si="194"/>
        <v>1</v>
      </c>
      <c r="N651" s="59">
        <f t="shared" si="195"/>
        <v>0</v>
      </c>
      <c r="O651" s="59">
        <f t="shared" si="196"/>
        <v>0</v>
      </c>
      <c r="P651" s="59">
        <f t="shared" si="197"/>
        <v>0</v>
      </c>
      <c r="Q651" s="59">
        <f t="shared" si="198"/>
        <v>0</v>
      </c>
      <c r="R651" s="59">
        <v>1</v>
      </c>
      <c r="S651" s="59">
        <v>901</v>
      </c>
      <c r="T651" s="59">
        <v>4</v>
      </c>
      <c r="U651" s="59">
        <v>0</v>
      </c>
      <c r="V651" s="59">
        <v>72</v>
      </c>
      <c r="W651" s="59">
        <v>3</v>
      </c>
      <c r="X651" s="59">
        <v>4</v>
      </c>
      <c r="Y651" s="59">
        <v>8</v>
      </c>
      <c r="Z651" s="59">
        <f t="shared" si="199"/>
        <v>0</v>
      </c>
      <c r="AA651" s="59">
        <f>IF('Updated Dummy'!Y651=2,1,0)</f>
        <v>0</v>
      </c>
      <c r="AB651" s="59">
        <f t="shared" si="200"/>
        <v>0</v>
      </c>
      <c r="AC651" s="59">
        <f t="shared" si="201"/>
        <v>0</v>
      </c>
      <c r="AD651" s="59">
        <f t="shared" si="202"/>
        <v>0</v>
      </c>
      <c r="AE651" s="59">
        <f t="shared" si="203"/>
        <v>0</v>
      </c>
      <c r="AF651" s="59">
        <f t="shared" si="204"/>
        <v>0</v>
      </c>
      <c r="AG651" s="59">
        <f t="shared" si="205"/>
        <v>1</v>
      </c>
      <c r="AH651" s="59">
        <v>4</v>
      </c>
      <c r="AI651" s="59">
        <v>1</v>
      </c>
      <c r="AJ651" s="59">
        <f t="shared" si="206"/>
        <v>1</v>
      </c>
      <c r="AK651" s="59">
        <f t="shared" si="207"/>
        <v>0</v>
      </c>
      <c r="AL651" s="59">
        <v>14275</v>
      </c>
      <c r="AM651" s="59">
        <v>20206</v>
      </c>
      <c r="AN651" s="59">
        <v>6</v>
      </c>
      <c r="AO651" s="59">
        <v>0</v>
      </c>
      <c r="AP651" s="59">
        <v>18</v>
      </c>
      <c r="AQ651" s="59">
        <v>3</v>
      </c>
      <c r="AR651" s="59">
        <v>3</v>
      </c>
      <c r="AS651" s="59">
        <v>80</v>
      </c>
      <c r="AT651" s="59">
        <v>0</v>
      </c>
      <c r="AU651" s="59">
        <v>33</v>
      </c>
      <c r="AV651" s="59">
        <v>0</v>
      </c>
      <c r="AW651" s="59">
        <v>3</v>
      </c>
      <c r="AX651" s="59">
        <v>12</v>
      </c>
      <c r="AY651" s="59">
        <v>9</v>
      </c>
      <c r="AZ651" s="59">
        <v>3</v>
      </c>
      <c r="BA651" s="59">
        <v>8</v>
      </c>
      <c r="BB651" s="57">
        <f t="shared" si="208"/>
        <v>57100</v>
      </c>
    </row>
    <row r="652" spans="1:54" x14ac:dyDescent="0.25">
      <c r="A652" s="58">
        <v>43</v>
      </c>
      <c r="B652" s="59">
        <v>0</v>
      </c>
      <c r="C652" s="59">
        <v>2</v>
      </c>
      <c r="D652" s="59">
        <f t="shared" si="190"/>
        <v>0</v>
      </c>
      <c r="E652" s="59">
        <f t="shared" si="191"/>
        <v>1</v>
      </c>
      <c r="F652" s="59">
        <v>422</v>
      </c>
      <c r="G652" s="59">
        <v>2</v>
      </c>
      <c r="H652" s="59">
        <f t="shared" si="192"/>
        <v>0</v>
      </c>
      <c r="I652" s="59">
        <f t="shared" si="193"/>
        <v>1</v>
      </c>
      <c r="J652" s="59">
        <v>1</v>
      </c>
      <c r="K652" s="59">
        <v>3</v>
      </c>
      <c r="L652" s="59">
        <v>1</v>
      </c>
      <c r="M652" s="59">
        <f t="shared" si="194"/>
        <v>1</v>
      </c>
      <c r="N652" s="59">
        <f t="shared" si="195"/>
        <v>0</v>
      </c>
      <c r="O652" s="59">
        <f t="shared" si="196"/>
        <v>0</v>
      </c>
      <c r="P652" s="59">
        <f t="shared" si="197"/>
        <v>0</v>
      </c>
      <c r="Q652" s="59">
        <f t="shared" si="198"/>
        <v>0</v>
      </c>
      <c r="R652" s="59">
        <v>1</v>
      </c>
      <c r="S652" s="59">
        <v>902</v>
      </c>
      <c r="T652" s="59">
        <v>4</v>
      </c>
      <c r="U652" s="59">
        <v>0</v>
      </c>
      <c r="V652" s="59">
        <v>33</v>
      </c>
      <c r="W652" s="59">
        <v>3</v>
      </c>
      <c r="X652" s="59">
        <v>2</v>
      </c>
      <c r="Y652" s="59">
        <v>5</v>
      </c>
      <c r="Z652" s="59">
        <f t="shared" si="199"/>
        <v>0</v>
      </c>
      <c r="AA652" s="59">
        <f>IF('Updated Dummy'!Y652=2,1,0)</f>
        <v>0</v>
      </c>
      <c r="AB652" s="59">
        <f t="shared" si="200"/>
        <v>0</v>
      </c>
      <c r="AC652" s="59">
        <f t="shared" si="201"/>
        <v>0</v>
      </c>
      <c r="AD652" s="59">
        <f t="shared" si="202"/>
        <v>1</v>
      </c>
      <c r="AE652" s="59">
        <f t="shared" si="203"/>
        <v>0</v>
      </c>
      <c r="AF652" s="59">
        <f t="shared" si="204"/>
        <v>0</v>
      </c>
      <c r="AG652" s="59">
        <f t="shared" si="205"/>
        <v>0</v>
      </c>
      <c r="AH652" s="59">
        <v>4</v>
      </c>
      <c r="AI652" s="59">
        <v>2</v>
      </c>
      <c r="AJ652" s="59">
        <f t="shared" si="206"/>
        <v>0</v>
      </c>
      <c r="AK652" s="59">
        <f t="shared" si="207"/>
        <v>1</v>
      </c>
      <c r="AL652" s="59">
        <v>5562</v>
      </c>
      <c r="AM652" s="59">
        <v>21782</v>
      </c>
      <c r="AN652" s="59">
        <v>4</v>
      </c>
      <c r="AO652" s="59">
        <v>0</v>
      </c>
      <c r="AP652" s="59">
        <v>13</v>
      </c>
      <c r="AQ652" s="59">
        <v>3</v>
      </c>
      <c r="AR652" s="59">
        <v>2</v>
      </c>
      <c r="AS652" s="59">
        <v>80</v>
      </c>
      <c r="AT652" s="59">
        <v>1</v>
      </c>
      <c r="AU652" s="59">
        <v>12</v>
      </c>
      <c r="AV652" s="59">
        <v>2</v>
      </c>
      <c r="AW652" s="59">
        <v>2</v>
      </c>
      <c r="AX652" s="59">
        <v>5</v>
      </c>
      <c r="AY652" s="59">
        <v>2</v>
      </c>
      <c r="AZ652" s="59">
        <v>2</v>
      </c>
      <c r="BA652" s="59">
        <v>2</v>
      </c>
      <c r="BB652" s="57">
        <f t="shared" si="208"/>
        <v>11124</v>
      </c>
    </row>
    <row r="653" spans="1:54" x14ac:dyDescent="0.25">
      <c r="A653" s="58">
        <v>47</v>
      </c>
      <c r="B653" s="59">
        <v>0</v>
      </c>
      <c r="C653" s="59">
        <v>1</v>
      </c>
      <c r="D653" s="59">
        <f t="shared" si="190"/>
        <v>1</v>
      </c>
      <c r="E653" s="59">
        <f t="shared" si="191"/>
        <v>0</v>
      </c>
      <c r="F653" s="59">
        <v>249</v>
      </c>
      <c r="G653" s="59">
        <v>1</v>
      </c>
      <c r="H653" s="59">
        <f t="shared" si="192"/>
        <v>1</v>
      </c>
      <c r="I653" s="59">
        <f t="shared" si="193"/>
        <v>0</v>
      </c>
      <c r="J653" s="59">
        <v>2</v>
      </c>
      <c r="K653" s="59">
        <v>2</v>
      </c>
      <c r="L653" s="59">
        <v>4</v>
      </c>
      <c r="M653" s="59">
        <f t="shared" si="194"/>
        <v>0</v>
      </c>
      <c r="N653" s="59">
        <f t="shared" si="195"/>
        <v>0</v>
      </c>
      <c r="O653" s="59">
        <f t="shared" si="196"/>
        <v>0</v>
      </c>
      <c r="P653" s="59">
        <f t="shared" si="197"/>
        <v>1</v>
      </c>
      <c r="Q653" s="59">
        <f t="shared" si="198"/>
        <v>0</v>
      </c>
      <c r="R653" s="59">
        <v>1</v>
      </c>
      <c r="S653" s="59">
        <v>903</v>
      </c>
      <c r="T653" s="59">
        <v>3</v>
      </c>
      <c r="U653" s="59">
        <v>0</v>
      </c>
      <c r="V653" s="59">
        <v>35</v>
      </c>
      <c r="W653" s="59">
        <v>3</v>
      </c>
      <c r="X653" s="59">
        <v>2</v>
      </c>
      <c r="Y653" s="59">
        <v>1</v>
      </c>
      <c r="Z653" s="59">
        <f t="shared" si="199"/>
        <v>1</v>
      </c>
      <c r="AA653" s="59">
        <f>IF('Updated Dummy'!Y653=2,1,0)</f>
        <v>0</v>
      </c>
      <c r="AB653" s="59">
        <f t="shared" si="200"/>
        <v>0</v>
      </c>
      <c r="AC653" s="59">
        <f t="shared" si="201"/>
        <v>0</v>
      </c>
      <c r="AD653" s="59">
        <f t="shared" si="202"/>
        <v>0</v>
      </c>
      <c r="AE653" s="59">
        <f t="shared" si="203"/>
        <v>0</v>
      </c>
      <c r="AF653" s="59">
        <f t="shared" si="204"/>
        <v>0</v>
      </c>
      <c r="AG653" s="59">
        <f t="shared" si="205"/>
        <v>0</v>
      </c>
      <c r="AH653" s="59">
        <v>4</v>
      </c>
      <c r="AI653" s="59">
        <v>2</v>
      </c>
      <c r="AJ653" s="59">
        <f t="shared" si="206"/>
        <v>0</v>
      </c>
      <c r="AK653" s="59">
        <f t="shared" si="207"/>
        <v>1</v>
      </c>
      <c r="AL653" s="59">
        <v>4537</v>
      </c>
      <c r="AM653" s="59">
        <v>17783</v>
      </c>
      <c r="AN653" s="59">
        <v>0</v>
      </c>
      <c r="AO653" s="59">
        <v>1</v>
      </c>
      <c r="AP653" s="59">
        <v>22</v>
      </c>
      <c r="AQ653" s="59">
        <v>4</v>
      </c>
      <c r="AR653" s="59">
        <v>1</v>
      </c>
      <c r="AS653" s="59">
        <v>80</v>
      </c>
      <c r="AT653" s="59">
        <v>1</v>
      </c>
      <c r="AU653" s="59">
        <v>8</v>
      </c>
      <c r="AV653" s="59">
        <v>2</v>
      </c>
      <c r="AW653" s="59">
        <v>3</v>
      </c>
      <c r="AX653" s="59">
        <v>7</v>
      </c>
      <c r="AY653" s="59">
        <v>6</v>
      </c>
      <c r="AZ653" s="59">
        <v>7</v>
      </c>
      <c r="BA653" s="59">
        <v>7</v>
      </c>
      <c r="BB653" s="57">
        <f t="shared" si="208"/>
        <v>9074</v>
      </c>
    </row>
    <row r="654" spans="1:54" x14ac:dyDescent="0.25">
      <c r="A654" s="58">
        <v>37</v>
      </c>
      <c r="B654" s="59">
        <v>0</v>
      </c>
      <c r="C654" s="59">
        <v>3</v>
      </c>
      <c r="D654" s="59">
        <f t="shared" si="190"/>
        <v>0</v>
      </c>
      <c r="E654" s="59">
        <f t="shared" si="191"/>
        <v>0</v>
      </c>
      <c r="F654" s="59">
        <v>1252</v>
      </c>
      <c r="G654" s="59">
        <v>1</v>
      </c>
      <c r="H654" s="59">
        <f t="shared" si="192"/>
        <v>1</v>
      </c>
      <c r="I654" s="59">
        <f t="shared" si="193"/>
        <v>0</v>
      </c>
      <c r="J654" s="59">
        <v>19</v>
      </c>
      <c r="K654" s="59">
        <v>2</v>
      </c>
      <c r="L654" s="59">
        <v>3</v>
      </c>
      <c r="M654" s="59">
        <f t="shared" si="194"/>
        <v>0</v>
      </c>
      <c r="N654" s="59">
        <f t="shared" si="195"/>
        <v>0</v>
      </c>
      <c r="O654" s="59">
        <f t="shared" si="196"/>
        <v>1</v>
      </c>
      <c r="P654" s="59">
        <f t="shared" si="197"/>
        <v>0</v>
      </c>
      <c r="Q654" s="59">
        <f t="shared" si="198"/>
        <v>0</v>
      </c>
      <c r="R654" s="59">
        <v>1</v>
      </c>
      <c r="S654" s="59">
        <v>904</v>
      </c>
      <c r="T654" s="59">
        <v>1</v>
      </c>
      <c r="U654" s="59">
        <v>1</v>
      </c>
      <c r="V654" s="59">
        <v>32</v>
      </c>
      <c r="W654" s="59">
        <v>3</v>
      </c>
      <c r="X654" s="59">
        <v>3</v>
      </c>
      <c r="Y654" s="59">
        <v>1</v>
      </c>
      <c r="Z654" s="59">
        <f t="shared" si="199"/>
        <v>1</v>
      </c>
      <c r="AA654" s="59">
        <f>IF('Updated Dummy'!Y654=2,1,0)</f>
        <v>0</v>
      </c>
      <c r="AB654" s="59">
        <f t="shared" si="200"/>
        <v>0</v>
      </c>
      <c r="AC654" s="59">
        <f t="shared" si="201"/>
        <v>0</v>
      </c>
      <c r="AD654" s="59">
        <f t="shared" si="202"/>
        <v>0</v>
      </c>
      <c r="AE654" s="59">
        <f t="shared" si="203"/>
        <v>0</v>
      </c>
      <c r="AF654" s="59">
        <f t="shared" si="204"/>
        <v>0</v>
      </c>
      <c r="AG654" s="59">
        <f t="shared" si="205"/>
        <v>0</v>
      </c>
      <c r="AH654" s="59">
        <v>2</v>
      </c>
      <c r="AI654" s="59">
        <v>1</v>
      </c>
      <c r="AJ654" s="59">
        <f t="shared" si="206"/>
        <v>1</v>
      </c>
      <c r="AK654" s="59">
        <f t="shared" si="207"/>
        <v>0</v>
      </c>
      <c r="AL654" s="59">
        <v>7642</v>
      </c>
      <c r="AM654" s="59">
        <v>4814</v>
      </c>
      <c r="AN654" s="59">
        <v>1</v>
      </c>
      <c r="AO654" s="59">
        <v>1</v>
      </c>
      <c r="AP654" s="59">
        <v>13</v>
      </c>
      <c r="AQ654" s="59">
        <v>3</v>
      </c>
      <c r="AR654" s="59">
        <v>4</v>
      </c>
      <c r="AS654" s="59">
        <v>80</v>
      </c>
      <c r="AT654" s="59">
        <v>0</v>
      </c>
      <c r="AU654" s="59">
        <v>10</v>
      </c>
      <c r="AV654" s="59">
        <v>2</v>
      </c>
      <c r="AW654" s="59">
        <v>3</v>
      </c>
      <c r="AX654" s="59">
        <v>10</v>
      </c>
      <c r="AY654" s="59">
        <v>0</v>
      </c>
      <c r="AZ654" s="59">
        <v>0</v>
      </c>
      <c r="BA654" s="59">
        <v>9</v>
      </c>
      <c r="BB654" s="57">
        <f t="shared" si="208"/>
        <v>22926</v>
      </c>
    </row>
    <row r="655" spans="1:54" x14ac:dyDescent="0.25">
      <c r="A655" s="58">
        <v>50</v>
      </c>
      <c r="B655" s="59">
        <v>0</v>
      </c>
      <c r="C655" s="59">
        <v>3</v>
      </c>
      <c r="D655" s="59">
        <f t="shared" si="190"/>
        <v>0</v>
      </c>
      <c r="E655" s="59">
        <f t="shared" si="191"/>
        <v>0</v>
      </c>
      <c r="F655" s="59">
        <v>881</v>
      </c>
      <c r="G655" s="59">
        <v>2</v>
      </c>
      <c r="H655" s="59">
        <f t="shared" si="192"/>
        <v>0</v>
      </c>
      <c r="I655" s="59">
        <f t="shared" si="193"/>
        <v>1</v>
      </c>
      <c r="J655" s="59">
        <v>2</v>
      </c>
      <c r="K655" s="59">
        <v>4</v>
      </c>
      <c r="L655" s="59">
        <v>1</v>
      </c>
      <c r="M655" s="59">
        <f t="shared" si="194"/>
        <v>1</v>
      </c>
      <c r="N655" s="59">
        <f t="shared" si="195"/>
        <v>0</v>
      </c>
      <c r="O655" s="59">
        <f t="shared" si="196"/>
        <v>0</v>
      </c>
      <c r="P655" s="59">
        <f t="shared" si="197"/>
        <v>0</v>
      </c>
      <c r="Q655" s="59">
        <f t="shared" si="198"/>
        <v>0</v>
      </c>
      <c r="R655" s="59">
        <v>1</v>
      </c>
      <c r="S655" s="59">
        <v>905</v>
      </c>
      <c r="T655" s="59">
        <v>1</v>
      </c>
      <c r="U655" s="59">
        <v>1</v>
      </c>
      <c r="V655" s="59">
        <v>98</v>
      </c>
      <c r="W655" s="59">
        <v>3</v>
      </c>
      <c r="X655" s="59">
        <v>4</v>
      </c>
      <c r="Y655" s="59">
        <v>6</v>
      </c>
      <c r="Z655" s="59">
        <f t="shared" si="199"/>
        <v>0</v>
      </c>
      <c r="AA655" s="59">
        <f>IF('Updated Dummy'!Y655=2,1,0)</f>
        <v>0</v>
      </c>
      <c r="AB655" s="59">
        <f t="shared" si="200"/>
        <v>0</v>
      </c>
      <c r="AC655" s="59">
        <f t="shared" si="201"/>
        <v>0</v>
      </c>
      <c r="AD655" s="59">
        <f t="shared" si="202"/>
        <v>0</v>
      </c>
      <c r="AE655" s="59">
        <f t="shared" si="203"/>
        <v>1</v>
      </c>
      <c r="AF655" s="59">
        <f t="shared" si="204"/>
        <v>0</v>
      </c>
      <c r="AG655" s="59">
        <f t="shared" si="205"/>
        <v>0</v>
      </c>
      <c r="AH655" s="59">
        <v>1</v>
      </c>
      <c r="AI655" s="59">
        <v>3</v>
      </c>
      <c r="AJ655" s="59">
        <f t="shared" si="206"/>
        <v>0</v>
      </c>
      <c r="AK655" s="59">
        <f t="shared" si="207"/>
        <v>0</v>
      </c>
      <c r="AL655" s="59">
        <v>17924</v>
      </c>
      <c r="AM655" s="59">
        <v>4544</v>
      </c>
      <c r="AN655" s="59">
        <v>1</v>
      </c>
      <c r="AO655" s="59">
        <v>0</v>
      </c>
      <c r="AP655" s="59">
        <v>11</v>
      </c>
      <c r="AQ655" s="59">
        <v>3</v>
      </c>
      <c r="AR655" s="59">
        <v>4</v>
      </c>
      <c r="AS655" s="59">
        <v>80</v>
      </c>
      <c r="AT655" s="59">
        <v>1</v>
      </c>
      <c r="AU655" s="59">
        <v>31</v>
      </c>
      <c r="AV655" s="59">
        <v>3</v>
      </c>
      <c r="AW655" s="59">
        <v>3</v>
      </c>
      <c r="AX655" s="59">
        <v>31</v>
      </c>
      <c r="AY655" s="59">
        <v>6</v>
      </c>
      <c r="AZ655" s="59">
        <v>14</v>
      </c>
      <c r="BA655" s="59">
        <v>7</v>
      </c>
      <c r="BB655" s="57">
        <f t="shared" si="208"/>
        <v>71696</v>
      </c>
    </row>
    <row r="656" spans="1:54" x14ac:dyDescent="0.25">
      <c r="A656" s="58">
        <v>39</v>
      </c>
      <c r="B656" s="59">
        <v>0</v>
      </c>
      <c r="C656" s="59">
        <v>1</v>
      </c>
      <c r="D656" s="59">
        <f t="shared" si="190"/>
        <v>1</v>
      </c>
      <c r="E656" s="59">
        <f t="shared" si="191"/>
        <v>0</v>
      </c>
      <c r="F656" s="59">
        <v>1383</v>
      </c>
      <c r="G656" s="59">
        <v>3</v>
      </c>
      <c r="H656" s="59">
        <f t="shared" si="192"/>
        <v>0</v>
      </c>
      <c r="I656" s="59">
        <f t="shared" si="193"/>
        <v>0</v>
      </c>
      <c r="J656" s="59">
        <v>2</v>
      </c>
      <c r="K656" s="59">
        <v>3</v>
      </c>
      <c r="L656" s="59">
        <v>1</v>
      </c>
      <c r="M656" s="59">
        <f t="shared" si="194"/>
        <v>1</v>
      </c>
      <c r="N656" s="59">
        <f t="shared" si="195"/>
        <v>0</v>
      </c>
      <c r="O656" s="59">
        <f t="shared" si="196"/>
        <v>0</v>
      </c>
      <c r="P656" s="59">
        <f t="shared" si="197"/>
        <v>0</v>
      </c>
      <c r="Q656" s="59">
        <f t="shared" si="198"/>
        <v>0</v>
      </c>
      <c r="R656" s="59">
        <v>1</v>
      </c>
      <c r="S656" s="59">
        <v>909</v>
      </c>
      <c r="T656" s="59">
        <v>4</v>
      </c>
      <c r="U656" s="59">
        <v>0</v>
      </c>
      <c r="V656" s="59">
        <v>42</v>
      </c>
      <c r="W656" s="59">
        <v>2</v>
      </c>
      <c r="X656" s="59">
        <v>2</v>
      </c>
      <c r="Y656" s="59">
        <v>9</v>
      </c>
      <c r="Z656" s="59">
        <f t="shared" si="199"/>
        <v>0</v>
      </c>
      <c r="AA656" s="59">
        <f>IF('Updated Dummy'!Y656=2,1,0)</f>
        <v>0</v>
      </c>
      <c r="AB656" s="59">
        <f t="shared" si="200"/>
        <v>0</v>
      </c>
      <c r="AC656" s="59">
        <f t="shared" si="201"/>
        <v>0</v>
      </c>
      <c r="AD656" s="59">
        <f t="shared" si="202"/>
        <v>0</v>
      </c>
      <c r="AE656" s="59">
        <f t="shared" si="203"/>
        <v>0</v>
      </c>
      <c r="AF656" s="59">
        <f t="shared" si="204"/>
        <v>0</v>
      </c>
      <c r="AG656" s="59">
        <f t="shared" si="205"/>
        <v>0</v>
      </c>
      <c r="AH656" s="59">
        <v>4</v>
      </c>
      <c r="AI656" s="59">
        <v>2</v>
      </c>
      <c r="AJ656" s="59">
        <f t="shared" si="206"/>
        <v>0</v>
      </c>
      <c r="AK656" s="59">
        <f t="shared" si="207"/>
        <v>1</v>
      </c>
      <c r="AL656" s="59">
        <v>5204</v>
      </c>
      <c r="AM656" s="59">
        <v>7790</v>
      </c>
      <c r="AN656" s="59">
        <v>8</v>
      </c>
      <c r="AO656" s="59">
        <v>0</v>
      </c>
      <c r="AP656" s="59">
        <v>11</v>
      </c>
      <c r="AQ656" s="59">
        <v>3</v>
      </c>
      <c r="AR656" s="59">
        <v>3</v>
      </c>
      <c r="AS656" s="59">
        <v>80</v>
      </c>
      <c r="AT656" s="59">
        <v>2</v>
      </c>
      <c r="AU656" s="59">
        <v>13</v>
      </c>
      <c r="AV656" s="59">
        <v>2</v>
      </c>
      <c r="AW656" s="59">
        <v>3</v>
      </c>
      <c r="AX656" s="59">
        <v>5</v>
      </c>
      <c r="AY656" s="59">
        <v>4</v>
      </c>
      <c r="AZ656" s="59">
        <v>0</v>
      </c>
      <c r="BA656" s="59">
        <v>4</v>
      </c>
      <c r="BB656" s="57">
        <f t="shared" si="208"/>
        <v>10408</v>
      </c>
    </row>
    <row r="657" spans="1:54" x14ac:dyDescent="0.25">
      <c r="A657" s="58">
        <v>33</v>
      </c>
      <c r="B657" s="59">
        <v>0</v>
      </c>
      <c r="C657" s="59">
        <v>1</v>
      </c>
      <c r="D657" s="59">
        <f t="shared" si="190"/>
        <v>1</v>
      </c>
      <c r="E657" s="59">
        <f t="shared" si="191"/>
        <v>0</v>
      </c>
      <c r="F657" s="59">
        <v>1075</v>
      </c>
      <c r="G657" s="59">
        <v>3</v>
      </c>
      <c r="H657" s="59">
        <f t="shared" si="192"/>
        <v>0</v>
      </c>
      <c r="I657" s="59">
        <f t="shared" si="193"/>
        <v>0</v>
      </c>
      <c r="J657" s="59">
        <v>3</v>
      </c>
      <c r="K657" s="59">
        <v>2</v>
      </c>
      <c r="L657" s="59">
        <v>2</v>
      </c>
      <c r="M657" s="59">
        <f t="shared" si="194"/>
        <v>0</v>
      </c>
      <c r="N657" s="59">
        <f t="shared" si="195"/>
        <v>1</v>
      </c>
      <c r="O657" s="59">
        <f t="shared" si="196"/>
        <v>0</v>
      </c>
      <c r="P657" s="59">
        <f t="shared" si="197"/>
        <v>0</v>
      </c>
      <c r="Q657" s="59">
        <f t="shared" si="198"/>
        <v>0</v>
      </c>
      <c r="R657" s="59">
        <v>1</v>
      </c>
      <c r="S657" s="59">
        <v>910</v>
      </c>
      <c r="T657" s="59">
        <v>4</v>
      </c>
      <c r="U657" s="59">
        <v>1</v>
      </c>
      <c r="V657" s="59">
        <v>57</v>
      </c>
      <c r="W657" s="59">
        <v>3</v>
      </c>
      <c r="X657" s="59">
        <v>1</v>
      </c>
      <c r="Y657" s="59">
        <v>9</v>
      </c>
      <c r="Z657" s="59">
        <f t="shared" si="199"/>
        <v>0</v>
      </c>
      <c r="AA657" s="59">
        <f>IF('Updated Dummy'!Y657=2,1,0)</f>
        <v>0</v>
      </c>
      <c r="AB657" s="59">
        <f t="shared" si="200"/>
        <v>0</v>
      </c>
      <c r="AC657" s="59">
        <f t="shared" si="201"/>
        <v>0</v>
      </c>
      <c r="AD657" s="59">
        <f t="shared" si="202"/>
        <v>0</v>
      </c>
      <c r="AE657" s="59">
        <f t="shared" si="203"/>
        <v>0</v>
      </c>
      <c r="AF657" s="59">
        <f t="shared" si="204"/>
        <v>0</v>
      </c>
      <c r="AG657" s="59">
        <f t="shared" si="205"/>
        <v>0</v>
      </c>
      <c r="AH657" s="59">
        <v>2</v>
      </c>
      <c r="AI657" s="59">
        <v>3</v>
      </c>
      <c r="AJ657" s="59">
        <f t="shared" si="206"/>
        <v>0</v>
      </c>
      <c r="AK657" s="59">
        <f t="shared" si="207"/>
        <v>0</v>
      </c>
      <c r="AL657" s="59">
        <v>2277</v>
      </c>
      <c r="AM657" s="59">
        <v>22650</v>
      </c>
      <c r="AN657" s="59">
        <v>3</v>
      </c>
      <c r="AO657" s="59">
        <v>1</v>
      </c>
      <c r="AP657" s="59">
        <v>11</v>
      </c>
      <c r="AQ657" s="59">
        <v>3</v>
      </c>
      <c r="AR657" s="59">
        <v>3</v>
      </c>
      <c r="AS657" s="59">
        <v>80</v>
      </c>
      <c r="AT657" s="59">
        <v>1</v>
      </c>
      <c r="AU657" s="59">
        <v>7</v>
      </c>
      <c r="AV657" s="59">
        <v>4</v>
      </c>
      <c r="AW657" s="59">
        <v>4</v>
      </c>
      <c r="AX657" s="59">
        <v>4</v>
      </c>
      <c r="AY657" s="59">
        <v>3</v>
      </c>
      <c r="AZ657" s="59">
        <v>0</v>
      </c>
      <c r="BA657" s="59">
        <v>3</v>
      </c>
      <c r="BB657" s="57">
        <f t="shared" si="208"/>
        <v>2277</v>
      </c>
    </row>
    <row r="658" spans="1:54" x14ac:dyDescent="0.25">
      <c r="A658" s="58">
        <v>32</v>
      </c>
      <c r="B658" s="59">
        <v>1</v>
      </c>
      <c r="C658" s="59">
        <v>1</v>
      </c>
      <c r="D658" s="59">
        <f t="shared" si="190"/>
        <v>1</v>
      </c>
      <c r="E658" s="59">
        <f t="shared" si="191"/>
        <v>0</v>
      </c>
      <c r="F658" s="59">
        <v>374</v>
      </c>
      <c r="G658" s="59">
        <v>2</v>
      </c>
      <c r="H658" s="59">
        <f t="shared" si="192"/>
        <v>0</v>
      </c>
      <c r="I658" s="59">
        <f t="shared" si="193"/>
        <v>1</v>
      </c>
      <c r="J658" s="59">
        <v>25</v>
      </c>
      <c r="K658" s="59">
        <v>4</v>
      </c>
      <c r="L658" s="59">
        <v>1</v>
      </c>
      <c r="M658" s="59">
        <f t="shared" si="194"/>
        <v>1</v>
      </c>
      <c r="N658" s="59">
        <f t="shared" si="195"/>
        <v>0</v>
      </c>
      <c r="O658" s="59">
        <f t="shared" si="196"/>
        <v>0</v>
      </c>
      <c r="P658" s="59">
        <f t="shared" si="197"/>
        <v>0</v>
      </c>
      <c r="Q658" s="59">
        <f t="shared" si="198"/>
        <v>0</v>
      </c>
      <c r="R658" s="59">
        <v>1</v>
      </c>
      <c r="S658" s="59">
        <v>911</v>
      </c>
      <c r="T658" s="59">
        <v>1</v>
      </c>
      <c r="U658" s="59">
        <v>1</v>
      </c>
      <c r="V658" s="59">
        <v>87</v>
      </c>
      <c r="W658" s="59">
        <v>3</v>
      </c>
      <c r="X658" s="59">
        <v>1</v>
      </c>
      <c r="Y658" s="59">
        <v>3</v>
      </c>
      <c r="Z658" s="59">
        <f t="shared" si="199"/>
        <v>0</v>
      </c>
      <c r="AA658" s="59">
        <f>IF('Updated Dummy'!Y658=2,1,0)</f>
        <v>0</v>
      </c>
      <c r="AB658" s="59">
        <f t="shared" si="200"/>
        <v>1</v>
      </c>
      <c r="AC658" s="59">
        <f t="shared" si="201"/>
        <v>0</v>
      </c>
      <c r="AD658" s="59">
        <f t="shared" si="202"/>
        <v>0</v>
      </c>
      <c r="AE658" s="59">
        <f t="shared" si="203"/>
        <v>0</v>
      </c>
      <c r="AF658" s="59">
        <f t="shared" si="204"/>
        <v>0</v>
      </c>
      <c r="AG658" s="59">
        <f t="shared" si="205"/>
        <v>0</v>
      </c>
      <c r="AH658" s="59">
        <v>4</v>
      </c>
      <c r="AI658" s="59">
        <v>1</v>
      </c>
      <c r="AJ658" s="59">
        <f t="shared" si="206"/>
        <v>1</v>
      </c>
      <c r="AK658" s="59">
        <f t="shared" si="207"/>
        <v>0</v>
      </c>
      <c r="AL658" s="59">
        <v>2795</v>
      </c>
      <c r="AM658" s="59">
        <v>18016</v>
      </c>
      <c r="AN658" s="59">
        <v>1</v>
      </c>
      <c r="AO658" s="59">
        <v>1</v>
      </c>
      <c r="AP658" s="59">
        <v>24</v>
      </c>
      <c r="AQ658" s="59">
        <v>4</v>
      </c>
      <c r="AR658" s="59">
        <v>3</v>
      </c>
      <c r="AS658" s="59">
        <v>80</v>
      </c>
      <c r="AT658" s="59">
        <v>0</v>
      </c>
      <c r="AU658" s="59">
        <v>1</v>
      </c>
      <c r="AV658" s="59">
        <v>2</v>
      </c>
      <c r="AW658" s="59">
        <v>1</v>
      </c>
      <c r="AX658" s="59">
        <v>1</v>
      </c>
      <c r="AY658" s="59">
        <v>0</v>
      </c>
      <c r="AZ658" s="59">
        <v>0</v>
      </c>
      <c r="BA658" s="59">
        <v>1</v>
      </c>
      <c r="BB658" s="57">
        <f t="shared" si="208"/>
        <v>2795</v>
      </c>
    </row>
    <row r="659" spans="1:54" x14ac:dyDescent="0.25">
      <c r="A659" s="58">
        <v>29</v>
      </c>
      <c r="B659" s="59">
        <v>0</v>
      </c>
      <c r="C659" s="59">
        <v>1</v>
      </c>
      <c r="D659" s="59">
        <f t="shared" si="190"/>
        <v>1</v>
      </c>
      <c r="E659" s="59">
        <f t="shared" si="191"/>
        <v>0</v>
      </c>
      <c r="F659" s="59">
        <v>1086</v>
      </c>
      <c r="G659" s="59">
        <v>2</v>
      </c>
      <c r="H659" s="59">
        <f t="shared" si="192"/>
        <v>0</v>
      </c>
      <c r="I659" s="59">
        <f t="shared" si="193"/>
        <v>1</v>
      </c>
      <c r="J659" s="59">
        <v>7</v>
      </c>
      <c r="K659" s="59">
        <v>1</v>
      </c>
      <c r="L659" s="59">
        <v>3</v>
      </c>
      <c r="M659" s="59">
        <f t="shared" si="194"/>
        <v>0</v>
      </c>
      <c r="N659" s="59">
        <f t="shared" si="195"/>
        <v>0</v>
      </c>
      <c r="O659" s="59">
        <f t="shared" si="196"/>
        <v>1</v>
      </c>
      <c r="P659" s="59">
        <f t="shared" si="197"/>
        <v>0</v>
      </c>
      <c r="Q659" s="59">
        <f t="shared" si="198"/>
        <v>0</v>
      </c>
      <c r="R659" s="59">
        <v>1</v>
      </c>
      <c r="S659" s="59">
        <v>912</v>
      </c>
      <c r="T659" s="59">
        <v>1</v>
      </c>
      <c r="U659" s="59">
        <v>0</v>
      </c>
      <c r="V659" s="59">
        <v>62</v>
      </c>
      <c r="W659" s="59">
        <v>2</v>
      </c>
      <c r="X659" s="59">
        <v>1</v>
      </c>
      <c r="Y659" s="59">
        <v>3</v>
      </c>
      <c r="Z659" s="59">
        <f t="shared" si="199"/>
        <v>0</v>
      </c>
      <c r="AA659" s="59">
        <f>IF('Updated Dummy'!Y659=2,1,0)</f>
        <v>0</v>
      </c>
      <c r="AB659" s="59">
        <f t="shared" si="200"/>
        <v>1</v>
      </c>
      <c r="AC659" s="59">
        <f t="shared" si="201"/>
        <v>0</v>
      </c>
      <c r="AD659" s="59">
        <f t="shared" si="202"/>
        <v>0</v>
      </c>
      <c r="AE659" s="59">
        <f t="shared" si="203"/>
        <v>0</v>
      </c>
      <c r="AF659" s="59">
        <f t="shared" si="204"/>
        <v>0</v>
      </c>
      <c r="AG659" s="59">
        <f t="shared" si="205"/>
        <v>0</v>
      </c>
      <c r="AH659" s="59">
        <v>4</v>
      </c>
      <c r="AI659" s="59">
        <v>3</v>
      </c>
      <c r="AJ659" s="59">
        <f t="shared" si="206"/>
        <v>0</v>
      </c>
      <c r="AK659" s="59">
        <f t="shared" si="207"/>
        <v>0</v>
      </c>
      <c r="AL659" s="59">
        <v>2532</v>
      </c>
      <c r="AM659" s="59">
        <v>6054</v>
      </c>
      <c r="AN659" s="59">
        <v>6</v>
      </c>
      <c r="AO659" s="59">
        <v>0</v>
      </c>
      <c r="AP659" s="59">
        <v>14</v>
      </c>
      <c r="AQ659" s="59">
        <v>3</v>
      </c>
      <c r="AR659" s="59">
        <v>3</v>
      </c>
      <c r="AS659" s="59">
        <v>80</v>
      </c>
      <c r="AT659" s="59">
        <v>3</v>
      </c>
      <c r="AU659" s="59">
        <v>8</v>
      </c>
      <c r="AV659" s="59">
        <v>5</v>
      </c>
      <c r="AW659" s="59">
        <v>3</v>
      </c>
      <c r="AX659" s="59">
        <v>4</v>
      </c>
      <c r="AY659" s="59">
        <v>3</v>
      </c>
      <c r="AZ659" s="59">
        <v>0</v>
      </c>
      <c r="BA659" s="59">
        <v>3</v>
      </c>
      <c r="BB659" s="57">
        <f t="shared" si="208"/>
        <v>2532</v>
      </c>
    </row>
    <row r="660" spans="1:54" x14ac:dyDescent="0.25">
      <c r="A660" s="58">
        <v>44</v>
      </c>
      <c r="B660" s="59">
        <v>0</v>
      </c>
      <c r="C660" s="59">
        <v>1</v>
      </c>
      <c r="D660" s="59">
        <f t="shared" si="190"/>
        <v>1</v>
      </c>
      <c r="E660" s="59">
        <f t="shared" si="191"/>
        <v>0</v>
      </c>
      <c r="F660" s="59">
        <v>661</v>
      </c>
      <c r="G660" s="59">
        <v>2</v>
      </c>
      <c r="H660" s="59">
        <f t="shared" si="192"/>
        <v>0</v>
      </c>
      <c r="I660" s="59">
        <f t="shared" si="193"/>
        <v>1</v>
      </c>
      <c r="J660" s="59">
        <v>9</v>
      </c>
      <c r="K660" s="59">
        <v>2</v>
      </c>
      <c r="L660" s="59">
        <v>1</v>
      </c>
      <c r="M660" s="59">
        <f t="shared" si="194"/>
        <v>1</v>
      </c>
      <c r="N660" s="59">
        <f t="shared" si="195"/>
        <v>0</v>
      </c>
      <c r="O660" s="59">
        <f t="shared" si="196"/>
        <v>0</v>
      </c>
      <c r="P660" s="59">
        <f t="shared" si="197"/>
        <v>0</v>
      </c>
      <c r="Q660" s="59">
        <f t="shared" si="198"/>
        <v>0</v>
      </c>
      <c r="R660" s="59">
        <v>1</v>
      </c>
      <c r="S660" s="59">
        <v>913</v>
      </c>
      <c r="T660" s="59">
        <v>2</v>
      </c>
      <c r="U660" s="59">
        <v>1</v>
      </c>
      <c r="V660" s="59">
        <v>61</v>
      </c>
      <c r="W660" s="59">
        <v>3</v>
      </c>
      <c r="X660" s="59">
        <v>1</v>
      </c>
      <c r="Y660" s="59">
        <v>2</v>
      </c>
      <c r="Z660" s="59">
        <f t="shared" si="199"/>
        <v>0</v>
      </c>
      <c r="AA660" s="59">
        <f>IF('Updated Dummy'!Y660=2,1,0)</f>
        <v>1</v>
      </c>
      <c r="AB660" s="59">
        <f t="shared" si="200"/>
        <v>0</v>
      </c>
      <c r="AC660" s="59">
        <f t="shared" si="201"/>
        <v>0</v>
      </c>
      <c r="AD660" s="59">
        <f t="shared" si="202"/>
        <v>0</v>
      </c>
      <c r="AE660" s="59">
        <f t="shared" si="203"/>
        <v>0</v>
      </c>
      <c r="AF660" s="59">
        <f t="shared" si="204"/>
        <v>0</v>
      </c>
      <c r="AG660" s="59">
        <f t="shared" si="205"/>
        <v>0</v>
      </c>
      <c r="AH660" s="59">
        <v>1</v>
      </c>
      <c r="AI660" s="59">
        <v>2</v>
      </c>
      <c r="AJ660" s="59">
        <f t="shared" si="206"/>
        <v>0</v>
      </c>
      <c r="AK660" s="59">
        <f t="shared" si="207"/>
        <v>1</v>
      </c>
      <c r="AL660" s="59">
        <v>2559</v>
      </c>
      <c r="AM660" s="59">
        <v>7508</v>
      </c>
      <c r="AN660" s="59">
        <v>1</v>
      </c>
      <c r="AO660" s="59">
        <v>1</v>
      </c>
      <c r="AP660" s="59">
        <v>13</v>
      </c>
      <c r="AQ660" s="59">
        <v>3</v>
      </c>
      <c r="AR660" s="59">
        <v>4</v>
      </c>
      <c r="AS660" s="59">
        <v>80</v>
      </c>
      <c r="AT660" s="59">
        <v>0</v>
      </c>
      <c r="AU660" s="59">
        <v>8</v>
      </c>
      <c r="AV660" s="59">
        <v>0</v>
      </c>
      <c r="AW660" s="59">
        <v>3</v>
      </c>
      <c r="AX660" s="59">
        <v>8</v>
      </c>
      <c r="AY660" s="59">
        <v>7</v>
      </c>
      <c r="AZ660" s="59">
        <v>7</v>
      </c>
      <c r="BA660" s="59">
        <v>1</v>
      </c>
      <c r="BB660" s="57">
        <f t="shared" si="208"/>
        <v>2559</v>
      </c>
    </row>
    <row r="661" spans="1:54" x14ac:dyDescent="0.25">
      <c r="A661" s="58">
        <v>28</v>
      </c>
      <c r="B661" s="59">
        <v>0</v>
      </c>
      <c r="C661" s="59">
        <v>1</v>
      </c>
      <c r="D661" s="59">
        <f t="shared" si="190"/>
        <v>1</v>
      </c>
      <c r="E661" s="59">
        <f t="shared" si="191"/>
        <v>0</v>
      </c>
      <c r="F661" s="59">
        <v>821</v>
      </c>
      <c r="G661" s="59">
        <v>1</v>
      </c>
      <c r="H661" s="59">
        <f t="shared" si="192"/>
        <v>1</v>
      </c>
      <c r="I661" s="59">
        <f t="shared" si="193"/>
        <v>0</v>
      </c>
      <c r="J661" s="59">
        <v>5</v>
      </c>
      <c r="K661" s="59">
        <v>4</v>
      </c>
      <c r="L661" s="59">
        <v>3</v>
      </c>
      <c r="M661" s="59">
        <f t="shared" si="194"/>
        <v>0</v>
      </c>
      <c r="N661" s="59">
        <f t="shared" si="195"/>
        <v>0</v>
      </c>
      <c r="O661" s="59">
        <f t="shared" si="196"/>
        <v>1</v>
      </c>
      <c r="P661" s="59">
        <f t="shared" si="197"/>
        <v>0</v>
      </c>
      <c r="Q661" s="59">
        <f t="shared" si="198"/>
        <v>0</v>
      </c>
      <c r="R661" s="59">
        <v>1</v>
      </c>
      <c r="S661" s="59">
        <v>916</v>
      </c>
      <c r="T661" s="59">
        <v>1</v>
      </c>
      <c r="U661" s="59">
        <v>1</v>
      </c>
      <c r="V661" s="59">
        <v>98</v>
      </c>
      <c r="W661" s="59">
        <v>3</v>
      </c>
      <c r="X661" s="59">
        <v>2</v>
      </c>
      <c r="Y661" s="59">
        <v>1</v>
      </c>
      <c r="Z661" s="59">
        <f t="shared" si="199"/>
        <v>1</v>
      </c>
      <c r="AA661" s="59">
        <f>IF('Updated Dummy'!Y661=2,1,0)</f>
        <v>0</v>
      </c>
      <c r="AB661" s="59">
        <f t="shared" si="200"/>
        <v>0</v>
      </c>
      <c r="AC661" s="59">
        <f t="shared" si="201"/>
        <v>0</v>
      </c>
      <c r="AD661" s="59">
        <f t="shared" si="202"/>
        <v>0</v>
      </c>
      <c r="AE661" s="59">
        <f t="shared" si="203"/>
        <v>0</v>
      </c>
      <c r="AF661" s="59">
        <f t="shared" si="204"/>
        <v>0</v>
      </c>
      <c r="AG661" s="59">
        <f t="shared" si="205"/>
        <v>0</v>
      </c>
      <c r="AH661" s="59">
        <v>4</v>
      </c>
      <c r="AI661" s="59">
        <v>1</v>
      </c>
      <c r="AJ661" s="59">
        <f t="shared" si="206"/>
        <v>1</v>
      </c>
      <c r="AK661" s="59">
        <f t="shared" si="207"/>
        <v>0</v>
      </c>
      <c r="AL661" s="59">
        <v>4908</v>
      </c>
      <c r="AM661" s="59">
        <v>24252</v>
      </c>
      <c r="AN661" s="59">
        <v>1</v>
      </c>
      <c r="AO661" s="59">
        <v>0</v>
      </c>
      <c r="AP661" s="59">
        <v>14</v>
      </c>
      <c r="AQ661" s="59">
        <v>3</v>
      </c>
      <c r="AR661" s="59">
        <v>2</v>
      </c>
      <c r="AS661" s="59">
        <v>80</v>
      </c>
      <c r="AT661" s="59">
        <v>0</v>
      </c>
      <c r="AU661" s="59">
        <v>4</v>
      </c>
      <c r="AV661" s="59">
        <v>3</v>
      </c>
      <c r="AW661" s="59">
        <v>3</v>
      </c>
      <c r="AX661" s="59">
        <v>4</v>
      </c>
      <c r="AY661" s="59">
        <v>2</v>
      </c>
      <c r="AZ661" s="59">
        <v>0</v>
      </c>
      <c r="BA661" s="59">
        <v>2</v>
      </c>
      <c r="BB661" s="57">
        <f t="shared" si="208"/>
        <v>9816</v>
      </c>
    </row>
    <row r="662" spans="1:54" x14ac:dyDescent="0.25">
      <c r="A662" s="58">
        <v>58</v>
      </c>
      <c r="B662" s="59">
        <v>1</v>
      </c>
      <c r="C662" s="59">
        <v>2</v>
      </c>
      <c r="D662" s="59">
        <f t="shared" si="190"/>
        <v>0</v>
      </c>
      <c r="E662" s="59">
        <f t="shared" si="191"/>
        <v>1</v>
      </c>
      <c r="F662" s="59">
        <v>781</v>
      </c>
      <c r="G662" s="59">
        <v>2</v>
      </c>
      <c r="H662" s="59">
        <f t="shared" si="192"/>
        <v>0</v>
      </c>
      <c r="I662" s="59">
        <f t="shared" si="193"/>
        <v>1</v>
      </c>
      <c r="J662" s="59">
        <v>2</v>
      </c>
      <c r="K662" s="59">
        <v>1</v>
      </c>
      <c r="L662" s="59">
        <v>1</v>
      </c>
      <c r="M662" s="59">
        <f t="shared" si="194"/>
        <v>1</v>
      </c>
      <c r="N662" s="59">
        <f t="shared" si="195"/>
        <v>0</v>
      </c>
      <c r="O662" s="59">
        <f t="shared" si="196"/>
        <v>0</v>
      </c>
      <c r="P662" s="59">
        <f t="shared" si="197"/>
        <v>0</v>
      </c>
      <c r="Q662" s="59">
        <f t="shared" si="198"/>
        <v>0</v>
      </c>
      <c r="R662" s="59">
        <v>1</v>
      </c>
      <c r="S662" s="59">
        <v>918</v>
      </c>
      <c r="T662" s="59">
        <v>4</v>
      </c>
      <c r="U662" s="59">
        <v>1</v>
      </c>
      <c r="V662" s="59">
        <v>57</v>
      </c>
      <c r="W662" s="59">
        <v>2</v>
      </c>
      <c r="X662" s="59">
        <v>1</v>
      </c>
      <c r="Y662" s="59">
        <v>3</v>
      </c>
      <c r="Z662" s="59">
        <f t="shared" si="199"/>
        <v>0</v>
      </c>
      <c r="AA662" s="59">
        <f>IF('Updated Dummy'!Y662=2,1,0)</f>
        <v>0</v>
      </c>
      <c r="AB662" s="59">
        <f t="shared" si="200"/>
        <v>1</v>
      </c>
      <c r="AC662" s="59">
        <f t="shared" si="201"/>
        <v>0</v>
      </c>
      <c r="AD662" s="59">
        <f t="shared" si="202"/>
        <v>0</v>
      </c>
      <c r="AE662" s="59">
        <f t="shared" si="203"/>
        <v>0</v>
      </c>
      <c r="AF662" s="59">
        <f t="shared" si="204"/>
        <v>0</v>
      </c>
      <c r="AG662" s="59">
        <f t="shared" si="205"/>
        <v>0</v>
      </c>
      <c r="AH662" s="59">
        <v>4</v>
      </c>
      <c r="AI662" s="59">
        <v>3</v>
      </c>
      <c r="AJ662" s="59">
        <f t="shared" si="206"/>
        <v>0</v>
      </c>
      <c r="AK662" s="59">
        <f t="shared" si="207"/>
        <v>0</v>
      </c>
      <c r="AL662" s="59">
        <v>2380</v>
      </c>
      <c r="AM662" s="59">
        <v>13384</v>
      </c>
      <c r="AN662" s="59">
        <v>9</v>
      </c>
      <c r="AO662" s="59">
        <v>1</v>
      </c>
      <c r="AP662" s="59">
        <v>14</v>
      </c>
      <c r="AQ662" s="59">
        <v>3</v>
      </c>
      <c r="AR662" s="59">
        <v>4</v>
      </c>
      <c r="AS662" s="59">
        <v>80</v>
      </c>
      <c r="AT662" s="59">
        <v>1</v>
      </c>
      <c r="AU662" s="59">
        <v>3</v>
      </c>
      <c r="AV662" s="59">
        <v>3</v>
      </c>
      <c r="AW662" s="59">
        <v>2</v>
      </c>
      <c r="AX662" s="59">
        <v>1</v>
      </c>
      <c r="AY662" s="59">
        <v>0</v>
      </c>
      <c r="AZ662" s="59">
        <v>0</v>
      </c>
      <c r="BA662" s="59">
        <v>0</v>
      </c>
      <c r="BB662" s="57">
        <f t="shared" si="208"/>
        <v>2380</v>
      </c>
    </row>
    <row r="663" spans="1:54" x14ac:dyDescent="0.25">
      <c r="A663" s="58">
        <v>43</v>
      </c>
      <c r="B663" s="59">
        <v>0</v>
      </c>
      <c r="C663" s="59">
        <v>1</v>
      </c>
      <c r="D663" s="59">
        <f t="shared" si="190"/>
        <v>1</v>
      </c>
      <c r="E663" s="59">
        <f t="shared" si="191"/>
        <v>0</v>
      </c>
      <c r="F663" s="59">
        <v>177</v>
      </c>
      <c r="G663" s="59">
        <v>2</v>
      </c>
      <c r="H663" s="59">
        <f t="shared" si="192"/>
        <v>0</v>
      </c>
      <c r="I663" s="59">
        <f t="shared" si="193"/>
        <v>1</v>
      </c>
      <c r="J663" s="59">
        <v>8</v>
      </c>
      <c r="K663" s="59">
        <v>3</v>
      </c>
      <c r="L663" s="59">
        <v>1</v>
      </c>
      <c r="M663" s="59">
        <f t="shared" si="194"/>
        <v>1</v>
      </c>
      <c r="N663" s="59">
        <f t="shared" si="195"/>
        <v>0</v>
      </c>
      <c r="O663" s="59">
        <f t="shared" si="196"/>
        <v>0</v>
      </c>
      <c r="P663" s="59">
        <f t="shared" si="197"/>
        <v>0</v>
      </c>
      <c r="Q663" s="59">
        <f t="shared" si="198"/>
        <v>0</v>
      </c>
      <c r="R663" s="59">
        <v>1</v>
      </c>
      <c r="S663" s="59">
        <v>920</v>
      </c>
      <c r="T663" s="59">
        <v>1</v>
      </c>
      <c r="U663" s="59">
        <v>0</v>
      </c>
      <c r="V663" s="59">
        <v>55</v>
      </c>
      <c r="W663" s="59">
        <v>3</v>
      </c>
      <c r="X663" s="59">
        <v>2</v>
      </c>
      <c r="Y663" s="59">
        <v>4</v>
      </c>
      <c r="Z663" s="59">
        <f t="shared" si="199"/>
        <v>0</v>
      </c>
      <c r="AA663" s="59">
        <f>IF('Updated Dummy'!Y663=2,1,0)</f>
        <v>0</v>
      </c>
      <c r="AB663" s="59">
        <f t="shared" si="200"/>
        <v>0</v>
      </c>
      <c r="AC663" s="59">
        <f t="shared" si="201"/>
        <v>1</v>
      </c>
      <c r="AD663" s="59">
        <f t="shared" si="202"/>
        <v>0</v>
      </c>
      <c r="AE663" s="59">
        <f t="shared" si="203"/>
        <v>0</v>
      </c>
      <c r="AF663" s="59">
        <f t="shared" si="204"/>
        <v>0</v>
      </c>
      <c r="AG663" s="59">
        <f t="shared" si="205"/>
        <v>0</v>
      </c>
      <c r="AH663" s="59">
        <v>2</v>
      </c>
      <c r="AI663" s="59">
        <v>3</v>
      </c>
      <c r="AJ663" s="59">
        <f t="shared" si="206"/>
        <v>0</v>
      </c>
      <c r="AK663" s="59">
        <f t="shared" si="207"/>
        <v>0</v>
      </c>
      <c r="AL663" s="59">
        <v>4765</v>
      </c>
      <c r="AM663" s="59">
        <v>23814</v>
      </c>
      <c r="AN663" s="59">
        <v>4</v>
      </c>
      <c r="AO663" s="59">
        <v>0</v>
      </c>
      <c r="AP663" s="59">
        <v>21</v>
      </c>
      <c r="AQ663" s="59">
        <v>4</v>
      </c>
      <c r="AR663" s="59">
        <v>3</v>
      </c>
      <c r="AS663" s="59">
        <v>80</v>
      </c>
      <c r="AT663" s="59">
        <v>1</v>
      </c>
      <c r="AU663" s="59">
        <v>4</v>
      </c>
      <c r="AV663" s="59">
        <v>2</v>
      </c>
      <c r="AW663" s="59">
        <v>4</v>
      </c>
      <c r="AX663" s="59">
        <v>1</v>
      </c>
      <c r="AY663" s="59">
        <v>0</v>
      </c>
      <c r="AZ663" s="59">
        <v>0</v>
      </c>
      <c r="BA663" s="59">
        <v>0</v>
      </c>
      <c r="BB663" s="57">
        <f t="shared" si="208"/>
        <v>9530</v>
      </c>
    </row>
    <row r="664" spans="1:54" x14ac:dyDescent="0.25">
      <c r="A664" s="58">
        <v>20</v>
      </c>
      <c r="B664" s="59">
        <v>1</v>
      </c>
      <c r="C664" s="59">
        <v>1</v>
      </c>
      <c r="D664" s="59">
        <f t="shared" si="190"/>
        <v>1</v>
      </c>
      <c r="E664" s="59">
        <f t="shared" si="191"/>
        <v>0</v>
      </c>
      <c r="F664" s="59">
        <v>500</v>
      </c>
      <c r="G664" s="59">
        <v>1</v>
      </c>
      <c r="H664" s="59">
        <f t="shared" si="192"/>
        <v>1</v>
      </c>
      <c r="I664" s="59">
        <f t="shared" si="193"/>
        <v>0</v>
      </c>
      <c r="J664" s="59">
        <v>2</v>
      </c>
      <c r="K664" s="59">
        <v>3</v>
      </c>
      <c r="L664" s="59">
        <v>3</v>
      </c>
      <c r="M664" s="59">
        <f t="shared" si="194"/>
        <v>0</v>
      </c>
      <c r="N664" s="59">
        <f t="shared" si="195"/>
        <v>0</v>
      </c>
      <c r="O664" s="59">
        <f t="shared" si="196"/>
        <v>1</v>
      </c>
      <c r="P664" s="59">
        <f t="shared" si="197"/>
        <v>0</v>
      </c>
      <c r="Q664" s="59">
        <f t="shared" si="198"/>
        <v>0</v>
      </c>
      <c r="R664" s="59">
        <v>1</v>
      </c>
      <c r="S664" s="59">
        <v>922</v>
      </c>
      <c r="T664" s="59">
        <v>3</v>
      </c>
      <c r="U664" s="59">
        <v>0</v>
      </c>
      <c r="V664" s="59">
        <v>49</v>
      </c>
      <c r="W664" s="59">
        <v>2</v>
      </c>
      <c r="X664" s="59">
        <v>1</v>
      </c>
      <c r="Y664" s="59">
        <v>7</v>
      </c>
      <c r="Z664" s="59">
        <f t="shared" si="199"/>
        <v>0</v>
      </c>
      <c r="AA664" s="59">
        <f>IF('Updated Dummy'!Y664=2,1,0)</f>
        <v>0</v>
      </c>
      <c r="AB664" s="59">
        <f t="shared" si="200"/>
        <v>0</v>
      </c>
      <c r="AC664" s="59">
        <f t="shared" si="201"/>
        <v>0</v>
      </c>
      <c r="AD664" s="59">
        <f t="shared" si="202"/>
        <v>0</v>
      </c>
      <c r="AE664" s="59">
        <f t="shared" si="203"/>
        <v>0</v>
      </c>
      <c r="AF664" s="59">
        <f t="shared" si="204"/>
        <v>1</v>
      </c>
      <c r="AG664" s="59">
        <f t="shared" si="205"/>
        <v>0</v>
      </c>
      <c r="AH664" s="59">
        <v>3</v>
      </c>
      <c r="AI664" s="59">
        <v>1</v>
      </c>
      <c r="AJ664" s="59">
        <f t="shared" si="206"/>
        <v>1</v>
      </c>
      <c r="AK664" s="59">
        <f t="shared" si="207"/>
        <v>0</v>
      </c>
      <c r="AL664" s="59">
        <v>2044</v>
      </c>
      <c r="AM664" s="59">
        <v>22052</v>
      </c>
      <c r="AN664" s="59">
        <v>1</v>
      </c>
      <c r="AO664" s="59">
        <v>0</v>
      </c>
      <c r="AP664" s="59">
        <v>13</v>
      </c>
      <c r="AQ664" s="59">
        <v>3</v>
      </c>
      <c r="AR664" s="59">
        <v>4</v>
      </c>
      <c r="AS664" s="59">
        <v>80</v>
      </c>
      <c r="AT664" s="59">
        <v>0</v>
      </c>
      <c r="AU664" s="59">
        <v>2</v>
      </c>
      <c r="AV664" s="59">
        <v>3</v>
      </c>
      <c r="AW664" s="59">
        <v>2</v>
      </c>
      <c r="AX664" s="59">
        <v>2</v>
      </c>
      <c r="AY664" s="59">
        <v>2</v>
      </c>
      <c r="AZ664" s="59">
        <v>0</v>
      </c>
      <c r="BA664" s="59">
        <v>2</v>
      </c>
      <c r="BB664" s="57">
        <f t="shared" si="208"/>
        <v>2044</v>
      </c>
    </row>
    <row r="665" spans="1:54" x14ac:dyDescent="0.25">
      <c r="A665" s="58">
        <v>21</v>
      </c>
      <c r="B665" s="59">
        <v>1</v>
      </c>
      <c r="C665" s="59">
        <v>1</v>
      </c>
      <c r="D665" s="59">
        <f t="shared" si="190"/>
        <v>1</v>
      </c>
      <c r="E665" s="59">
        <f t="shared" si="191"/>
        <v>0</v>
      </c>
      <c r="F665" s="59">
        <v>1427</v>
      </c>
      <c r="G665" s="59">
        <v>2</v>
      </c>
      <c r="H665" s="59">
        <f t="shared" si="192"/>
        <v>0</v>
      </c>
      <c r="I665" s="59">
        <f t="shared" si="193"/>
        <v>1</v>
      </c>
      <c r="J665" s="59">
        <v>18</v>
      </c>
      <c r="K665" s="59">
        <v>1</v>
      </c>
      <c r="L665" s="59">
        <v>6</v>
      </c>
      <c r="M665" s="59">
        <f t="shared" si="194"/>
        <v>0</v>
      </c>
      <c r="N665" s="59">
        <f t="shared" si="195"/>
        <v>0</v>
      </c>
      <c r="O665" s="59">
        <f t="shared" si="196"/>
        <v>0</v>
      </c>
      <c r="P665" s="59">
        <f t="shared" si="197"/>
        <v>0</v>
      </c>
      <c r="Q665" s="59">
        <f t="shared" si="198"/>
        <v>0</v>
      </c>
      <c r="R665" s="59">
        <v>1</v>
      </c>
      <c r="S665" s="59">
        <v>923</v>
      </c>
      <c r="T665" s="59">
        <v>4</v>
      </c>
      <c r="U665" s="59">
        <v>0</v>
      </c>
      <c r="V665" s="59">
        <v>65</v>
      </c>
      <c r="W665" s="59">
        <v>3</v>
      </c>
      <c r="X665" s="59">
        <v>1</v>
      </c>
      <c r="Y665" s="59">
        <v>2</v>
      </c>
      <c r="Z665" s="59">
        <f t="shared" si="199"/>
        <v>0</v>
      </c>
      <c r="AA665" s="59">
        <f>IF('Updated Dummy'!Y665=2,1,0)</f>
        <v>1</v>
      </c>
      <c r="AB665" s="59">
        <f t="shared" si="200"/>
        <v>0</v>
      </c>
      <c r="AC665" s="59">
        <f t="shared" si="201"/>
        <v>0</v>
      </c>
      <c r="AD665" s="59">
        <f t="shared" si="202"/>
        <v>0</v>
      </c>
      <c r="AE665" s="59">
        <f t="shared" si="203"/>
        <v>0</v>
      </c>
      <c r="AF665" s="59">
        <f t="shared" si="204"/>
        <v>0</v>
      </c>
      <c r="AG665" s="59">
        <f t="shared" si="205"/>
        <v>0</v>
      </c>
      <c r="AH665" s="59">
        <v>4</v>
      </c>
      <c r="AI665" s="59">
        <v>1</v>
      </c>
      <c r="AJ665" s="59">
        <f t="shared" si="206"/>
        <v>1</v>
      </c>
      <c r="AK665" s="59">
        <f t="shared" si="207"/>
        <v>0</v>
      </c>
      <c r="AL665" s="59">
        <v>2693</v>
      </c>
      <c r="AM665" s="59">
        <v>8870</v>
      </c>
      <c r="AN665" s="59">
        <v>1</v>
      </c>
      <c r="AO665" s="59">
        <v>0</v>
      </c>
      <c r="AP665" s="59">
        <v>19</v>
      </c>
      <c r="AQ665" s="59">
        <v>3</v>
      </c>
      <c r="AR665" s="59">
        <v>1</v>
      </c>
      <c r="AS665" s="59">
        <v>80</v>
      </c>
      <c r="AT665" s="59">
        <v>0</v>
      </c>
      <c r="AU665" s="59">
        <v>1</v>
      </c>
      <c r="AV665" s="59">
        <v>3</v>
      </c>
      <c r="AW665" s="59">
        <v>2</v>
      </c>
      <c r="AX665" s="59">
        <v>1</v>
      </c>
      <c r="AY665" s="59">
        <v>0</v>
      </c>
      <c r="AZ665" s="59">
        <v>0</v>
      </c>
      <c r="BA665" s="59">
        <v>0</v>
      </c>
      <c r="BB665" s="57">
        <f t="shared" si="208"/>
        <v>2693</v>
      </c>
    </row>
    <row r="666" spans="1:54" x14ac:dyDescent="0.25">
      <c r="A666" s="58">
        <v>36</v>
      </c>
      <c r="B666" s="59">
        <v>0</v>
      </c>
      <c r="C666" s="59">
        <v>1</v>
      </c>
      <c r="D666" s="59">
        <f t="shared" si="190"/>
        <v>1</v>
      </c>
      <c r="E666" s="59">
        <f t="shared" si="191"/>
        <v>0</v>
      </c>
      <c r="F666" s="59">
        <v>1425</v>
      </c>
      <c r="G666" s="59">
        <v>2</v>
      </c>
      <c r="H666" s="59">
        <f t="shared" si="192"/>
        <v>0</v>
      </c>
      <c r="I666" s="59">
        <f t="shared" si="193"/>
        <v>1</v>
      </c>
      <c r="J666" s="59">
        <v>14</v>
      </c>
      <c r="K666" s="59">
        <v>1</v>
      </c>
      <c r="L666" s="59">
        <v>1</v>
      </c>
      <c r="M666" s="59">
        <f t="shared" si="194"/>
        <v>1</v>
      </c>
      <c r="N666" s="59">
        <f t="shared" si="195"/>
        <v>0</v>
      </c>
      <c r="O666" s="59">
        <f t="shared" si="196"/>
        <v>0</v>
      </c>
      <c r="P666" s="59">
        <f t="shared" si="197"/>
        <v>0</v>
      </c>
      <c r="Q666" s="59">
        <f t="shared" si="198"/>
        <v>0</v>
      </c>
      <c r="R666" s="59">
        <v>1</v>
      </c>
      <c r="S666" s="59">
        <v>924</v>
      </c>
      <c r="T666" s="59">
        <v>3</v>
      </c>
      <c r="U666" s="59">
        <v>1</v>
      </c>
      <c r="V666" s="59">
        <v>68</v>
      </c>
      <c r="W666" s="59">
        <v>3</v>
      </c>
      <c r="X666" s="59">
        <v>2</v>
      </c>
      <c r="Y666" s="59">
        <v>5</v>
      </c>
      <c r="Z666" s="59">
        <f t="shared" si="199"/>
        <v>0</v>
      </c>
      <c r="AA666" s="59">
        <f>IF('Updated Dummy'!Y666=2,1,0)</f>
        <v>0</v>
      </c>
      <c r="AB666" s="59">
        <f t="shared" si="200"/>
        <v>0</v>
      </c>
      <c r="AC666" s="59">
        <f t="shared" si="201"/>
        <v>0</v>
      </c>
      <c r="AD666" s="59">
        <f t="shared" si="202"/>
        <v>1</v>
      </c>
      <c r="AE666" s="59">
        <f t="shared" si="203"/>
        <v>0</v>
      </c>
      <c r="AF666" s="59">
        <f t="shared" si="204"/>
        <v>0</v>
      </c>
      <c r="AG666" s="59">
        <f t="shared" si="205"/>
        <v>0</v>
      </c>
      <c r="AH666" s="59">
        <v>4</v>
      </c>
      <c r="AI666" s="59">
        <v>2</v>
      </c>
      <c r="AJ666" s="59">
        <f t="shared" si="206"/>
        <v>0</v>
      </c>
      <c r="AK666" s="59">
        <f t="shared" si="207"/>
        <v>1</v>
      </c>
      <c r="AL666" s="59">
        <v>6586</v>
      </c>
      <c r="AM666" s="59">
        <v>4821</v>
      </c>
      <c r="AN666" s="59">
        <v>0</v>
      </c>
      <c r="AO666" s="59">
        <v>1</v>
      </c>
      <c r="AP666" s="59">
        <v>17</v>
      </c>
      <c r="AQ666" s="59">
        <v>3</v>
      </c>
      <c r="AR666" s="59">
        <v>1</v>
      </c>
      <c r="AS666" s="59">
        <v>80</v>
      </c>
      <c r="AT666" s="59">
        <v>1</v>
      </c>
      <c r="AU666" s="59">
        <v>17</v>
      </c>
      <c r="AV666" s="59">
        <v>2</v>
      </c>
      <c r="AW666" s="59">
        <v>2</v>
      </c>
      <c r="AX666" s="59">
        <v>16</v>
      </c>
      <c r="AY666" s="59">
        <v>8</v>
      </c>
      <c r="AZ666" s="59">
        <v>4</v>
      </c>
      <c r="BA666" s="59">
        <v>11</v>
      </c>
      <c r="BB666" s="57">
        <f t="shared" si="208"/>
        <v>13172</v>
      </c>
    </row>
    <row r="667" spans="1:54" x14ac:dyDescent="0.25">
      <c r="A667" s="58">
        <v>47</v>
      </c>
      <c r="B667" s="59">
        <v>0</v>
      </c>
      <c r="C667" s="59">
        <v>1</v>
      </c>
      <c r="D667" s="59">
        <f t="shared" si="190"/>
        <v>1</v>
      </c>
      <c r="E667" s="59">
        <f t="shared" si="191"/>
        <v>0</v>
      </c>
      <c r="F667" s="59">
        <v>1454</v>
      </c>
      <c r="G667" s="59">
        <v>1</v>
      </c>
      <c r="H667" s="59">
        <f t="shared" si="192"/>
        <v>1</v>
      </c>
      <c r="I667" s="59">
        <f t="shared" si="193"/>
        <v>0</v>
      </c>
      <c r="J667" s="59">
        <v>2</v>
      </c>
      <c r="K667" s="59">
        <v>4</v>
      </c>
      <c r="L667" s="59">
        <v>1</v>
      </c>
      <c r="M667" s="59">
        <f t="shared" si="194"/>
        <v>1</v>
      </c>
      <c r="N667" s="59">
        <f t="shared" si="195"/>
        <v>0</v>
      </c>
      <c r="O667" s="59">
        <f t="shared" si="196"/>
        <v>0</v>
      </c>
      <c r="P667" s="59">
        <f t="shared" si="197"/>
        <v>0</v>
      </c>
      <c r="Q667" s="59">
        <f t="shared" si="198"/>
        <v>0</v>
      </c>
      <c r="R667" s="59">
        <v>1</v>
      </c>
      <c r="S667" s="59">
        <v>925</v>
      </c>
      <c r="T667" s="59">
        <v>4</v>
      </c>
      <c r="U667" s="59">
        <v>0</v>
      </c>
      <c r="V667" s="59">
        <v>65</v>
      </c>
      <c r="W667" s="59">
        <v>2</v>
      </c>
      <c r="X667" s="59">
        <v>1</v>
      </c>
      <c r="Y667" s="59">
        <v>7</v>
      </c>
      <c r="Z667" s="59">
        <f t="shared" si="199"/>
        <v>0</v>
      </c>
      <c r="AA667" s="59">
        <f>IF('Updated Dummy'!Y667=2,1,0)</f>
        <v>0</v>
      </c>
      <c r="AB667" s="59">
        <f t="shared" si="200"/>
        <v>0</v>
      </c>
      <c r="AC667" s="59">
        <f t="shared" si="201"/>
        <v>0</v>
      </c>
      <c r="AD667" s="59">
        <f t="shared" si="202"/>
        <v>0</v>
      </c>
      <c r="AE667" s="59">
        <f t="shared" si="203"/>
        <v>0</v>
      </c>
      <c r="AF667" s="59">
        <f t="shared" si="204"/>
        <v>1</v>
      </c>
      <c r="AG667" s="59">
        <f t="shared" si="205"/>
        <v>0</v>
      </c>
      <c r="AH667" s="59">
        <v>4</v>
      </c>
      <c r="AI667" s="59">
        <v>1</v>
      </c>
      <c r="AJ667" s="59">
        <f t="shared" si="206"/>
        <v>1</v>
      </c>
      <c r="AK667" s="59">
        <f t="shared" si="207"/>
        <v>0</v>
      </c>
      <c r="AL667" s="59">
        <v>3294</v>
      </c>
      <c r="AM667" s="59">
        <v>13137</v>
      </c>
      <c r="AN667" s="59">
        <v>1</v>
      </c>
      <c r="AO667" s="59">
        <v>1</v>
      </c>
      <c r="AP667" s="59">
        <v>18</v>
      </c>
      <c r="AQ667" s="59">
        <v>3</v>
      </c>
      <c r="AR667" s="59">
        <v>1</v>
      </c>
      <c r="AS667" s="59">
        <v>80</v>
      </c>
      <c r="AT667" s="59">
        <v>0</v>
      </c>
      <c r="AU667" s="59">
        <v>3</v>
      </c>
      <c r="AV667" s="59">
        <v>3</v>
      </c>
      <c r="AW667" s="59">
        <v>2</v>
      </c>
      <c r="AX667" s="59">
        <v>3</v>
      </c>
      <c r="AY667" s="59">
        <v>2</v>
      </c>
      <c r="AZ667" s="59">
        <v>1</v>
      </c>
      <c r="BA667" s="59">
        <v>2</v>
      </c>
      <c r="BB667" s="57">
        <f t="shared" si="208"/>
        <v>3294</v>
      </c>
    </row>
    <row r="668" spans="1:54" x14ac:dyDescent="0.25">
      <c r="A668" s="58">
        <v>22</v>
      </c>
      <c r="B668" s="59">
        <v>1</v>
      </c>
      <c r="C668" s="59">
        <v>1</v>
      </c>
      <c r="D668" s="59">
        <f t="shared" si="190"/>
        <v>1</v>
      </c>
      <c r="E668" s="59">
        <f t="shared" si="191"/>
        <v>0</v>
      </c>
      <c r="F668" s="59">
        <v>617</v>
      </c>
      <c r="G668" s="59">
        <v>2</v>
      </c>
      <c r="H668" s="59">
        <f t="shared" si="192"/>
        <v>0</v>
      </c>
      <c r="I668" s="59">
        <f t="shared" si="193"/>
        <v>1</v>
      </c>
      <c r="J668" s="59">
        <v>3</v>
      </c>
      <c r="K668" s="59">
        <v>1</v>
      </c>
      <c r="L668" s="59">
        <v>1</v>
      </c>
      <c r="M668" s="59">
        <f t="shared" si="194"/>
        <v>1</v>
      </c>
      <c r="N668" s="59">
        <f t="shared" si="195"/>
        <v>0</v>
      </c>
      <c r="O668" s="59">
        <f t="shared" si="196"/>
        <v>0</v>
      </c>
      <c r="P668" s="59">
        <f t="shared" si="197"/>
        <v>0</v>
      </c>
      <c r="Q668" s="59">
        <f t="shared" si="198"/>
        <v>0</v>
      </c>
      <c r="R668" s="59">
        <v>1</v>
      </c>
      <c r="S668" s="59">
        <v>926</v>
      </c>
      <c r="T668" s="59">
        <v>2</v>
      </c>
      <c r="U668" s="59">
        <v>0</v>
      </c>
      <c r="V668" s="59">
        <v>34</v>
      </c>
      <c r="W668" s="59">
        <v>3</v>
      </c>
      <c r="X668" s="59">
        <v>2</v>
      </c>
      <c r="Y668" s="59">
        <v>4</v>
      </c>
      <c r="Z668" s="59">
        <f t="shared" si="199"/>
        <v>0</v>
      </c>
      <c r="AA668" s="59">
        <f>IF('Updated Dummy'!Y668=2,1,0)</f>
        <v>0</v>
      </c>
      <c r="AB668" s="59">
        <f t="shared" si="200"/>
        <v>0</v>
      </c>
      <c r="AC668" s="59">
        <f t="shared" si="201"/>
        <v>1</v>
      </c>
      <c r="AD668" s="59">
        <f t="shared" si="202"/>
        <v>0</v>
      </c>
      <c r="AE668" s="59">
        <f t="shared" si="203"/>
        <v>0</v>
      </c>
      <c r="AF668" s="59">
        <f t="shared" si="204"/>
        <v>0</v>
      </c>
      <c r="AG668" s="59">
        <f t="shared" si="205"/>
        <v>0</v>
      </c>
      <c r="AH668" s="59">
        <v>3</v>
      </c>
      <c r="AI668" s="59">
        <v>2</v>
      </c>
      <c r="AJ668" s="59">
        <f t="shared" si="206"/>
        <v>0</v>
      </c>
      <c r="AK668" s="59">
        <f t="shared" si="207"/>
        <v>1</v>
      </c>
      <c r="AL668" s="59">
        <v>4171</v>
      </c>
      <c r="AM668" s="59">
        <v>10022</v>
      </c>
      <c r="AN668" s="59">
        <v>0</v>
      </c>
      <c r="AO668" s="59">
        <v>1</v>
      </c>
      <c r="AP668" s="59">
        <v>19</v>
      </c>
      <c r="AQ668" s="59">
        <v>3</v>
      </c>
      <c r="AR668" s="59">
        <v>1</v>
      </c>
      <c r="AS668" s="59">
        <v>80</v>
      </c>
      <c r="AT668" s="59">
        <v>1</v>
      </c>
      <c r="AU668" s="59">
        <v>4</v>
      </c>
      <c r="AV668" s="59">
        <v>3</v>
      </c>
      <c r="AW668" s="59">
        <v>4</v>
      </c>
      <c r="AX668" s="59">
        <v>3</v>
      </c>
      <c r="AY668" s="59">
        <v>2</v>
      </c>
      <c r="AZ668" s="59">
        <v>0</v>
      </c>
      <c r="BA668" s="59">
        <v>2</v>
      </c>
      <c r="BB668" s="57">
        <f t="shared" si="208"/>
        <v>8342</v>
      </c>
    </row>
    <row r="669" spans="1:54" x14ac:dyDescent="0.25">
      <c r="A669" s="58">
        <v>41</v>
      </c>
      <c r="B669" s="59">
        <v>1</v>
      </c>
      <c r="C669" s="59">
        <v>1</v>
      </c>
      <c r="D669" s="59">
        <f t="shared" si="190"/>
        <v>1</v>
      </c>
      <c r="E669" s="59">
        <f t="shared" si="191"/>
        <v>0</v>
      </c>
      <c r="F669" s="59">
        <v>1085</v>
      </c>
      <c r="G669" s="59">
        <v>2</v>
      </c>
      <c r="H669" s="59">
        <f t="shared" si="192"/>
        <v>0</v>
      </c>
      <c r="I669" s="59">
        <f t="shared" si="193"/>
        <v>1</v>
      </c>
      <c r="J669" s="59">
        <v>2</v>
      </c>
      <c r="K669" s="59">
        <v>4</v>
      </c>
      <c r="L669" s="59">
        <v>1</v>
      </c>
      <c r="M669" s="59">
        <f t="shared" si="194"/>
        <v>1</v>
      </c>
      <c r="N669" s="59">
        <f t="shared" si="195"/>
        <v>0</v>
      </c>
      <c r="O669" s="59">
        <f t="shared" si="196"/>
        <v>0</v>
      </c>
      <c r="P669" s="59">
        <f t="shared" si="197"/>
        <v>0</v>
      </c>
      <c r="Q669" s="59">
        <f t="shared" si="198"/>
        <v>0</v>
      </c>
      <c r="R669" s="59">
        <v>1</v>
      </c>
      <c r="S669" s="59">
        <v>927</v>
      </c>
      <c r="T669" s="59">
        <v>2</v>
      </c>
      <c r="U669" s="59">
        <v>0</v>
      </c>
      <c r="V669" s="59">
        <v>57</v>
      </c>
      <c r="W669" s="59">
        <v>1</v>
      </c>
      <c r="X669" s="59">
        <v>1</v>
      </c>
      <c r="Y669" s="59">
        <v>3</v>
      </c>
      <c r="Z669" s="59">
        <f t="shared" si="199"/>
        <v>0</v>
      </c>
      <c r="AA669" s="59">
        <f>IF('Updated Dummy'!Y669=2,1,0)</f>
        <v>0</v>
      </c>
      <c r="AB669" s="59">
        <f t="shared" si="200"/>
        <v>1</v>
      </c>
      <c r="AC669" s="59">
        <f t="shared" si="201"/>
        <v>0</v>
      </c>
      <c r="AD669" s="59">
        <f t="shared" si="202"/>
        <v>0</v>
      </c>
      <c r="AE669" s="59">
        <f t="shared" si="203"/>
        <v>0</v>
      </c>
      <c r="AF669" s="59">
        <f t="shared" si="204"/>
        <v>0</v>
      </c>
      <c r="AG669" s="59">
        <f t="shared" si="205"/>
        <v>0</v>
      </c>
      <c r="AH669" s="59">
        <v>4</v>
      </c>
      <c r="AI669" s="59">
        <v>3</v>
      </c>
      <c r="AJ669" s="59">
        <f t="shared" si="206"/>
        <v>0</v>
      </c>
      <c r="AK669" s="59">
        <f t="shared" si="207"/>
        <v>0</v>
      </c>
      <c r="AL669" s="59">
        <v>2778</v>
      </c>
      <c r="AM669" s="59">
        <v>17725</v>
      </c>
      <c r="AN669" s="59">
        <v>4</v>
      </c>
      <c r="AO669" s="59">
        <v>1</v>
      </c>
      <c r="AP669" s="59">
        <v>13</v>
      </c>
      <c r="AQ669" s="59">
        <v>3</v>
      </c>
      <c r="AR669" s="59">
        <v>3</v>
      </c>
      <c r="AS669" s="59">
        <v>80</v>
      </c>
      <c r="AT669" s="59">
        <v>1</v>
      </c>
      <c r="AU669" s="59">
        <v>10</v>
      </c>
      <c r="AV669" s="59">
        <v>1</v>
      </c>
      <c r="AW669" s="59">
        <v>2</v>
      </c>
      <c r="AX669" s="59">
        <v>7</v>
      </c>
      <c r="AY669" s="59">
        <v>7</v>
      </c>
      <c r="AZ669" s="59">
        <v>1</v>
      </c>
      <c r="BA669" s="59">
        <v>0</v>
      </c>
      <c r="BB669" s="57">
        <f t="shared" si="208"/>
        <v>2778</v>
      </c>
    </row>
    <row r="670" spans="1:54" x14ac:dyDescent="0.25">
      <c r="A670" s="58">
        <v>28</v>
      </c>
      <c r="B670" s="59">
        <v>0</v>
      </c>
      <c r="C670" s="59">
        <v>1</v>
      </c>
      <c r="D670" s="59">
        <f t="shared" si="190"/>
        <v>1</v>
      </c>
      <c r="E670" s="59">
        <f t="shared" si="191"/>
        <v>0</v>
      </c>
      <c r="F670" s="59">
        <v>995</v>
      </c>
      <c r="G670" s="59">
        <v>2</v>
      </c>
      <c r="H670" s="59">
        <f t="shared" si="192"/>
        <v>0</v>
      </c>
      <c r="I670" s="59">
        <f t="shared" si="193"/>
        <v>1</v>
      </c>
      <c r="J670" s="59">
        <v>9</v>
      </c>
      <c r="K670" s="59">
        <v>3</v>
      </c>
      <c r="L670" s="59">
        <v>3</v>
      </c>
      <c r="M670" s="59">
        <f t="shared" si="194"/>
        <v>0</v>
      </c>
      <c r="N670" s="59">
        <f t="shared" si="195"/>
        <v>0</v>
      </c>
      <c r="O670" s="59">
        <f t="shared" si="196"/>
        <v>1</v>
      </c>
      <c r="P670" s="59">
        <f t="shared" si="197"/>
        <v>0</v>
      </c>
      <c r="Q670" s="59">
        <f t="shared" si="198"/>
        <v>0</v>
      </c>
      <c r="R670" s="59">
        <v>1</v>
      </c>
      <c r="S670" s="59">
        <v>930</v>
      </c>
      <c r="T670" s="59">
        <v>3</v>
      </c>
      <c r="U670" s="59">
        <v>0</v>
      </c>
      <c r="V670" s="59">
        <v>77</v>
      </c>
      <c r="W670" s="59">
        <v>3</v>
      </c>
      <c r="X670" s="59">
        <v>1</v>
      </c>
      <c r="Y670" s="59">
        <v>2</v>
      </c>
      <c r="Z670" s="59">
        <f t="shared" si="199"/>
        <v>0</v>
      </c>
      <c r="AA670" s="59">
        <f>IF('Updated Dummy'!Y670=2,1,0)</f>
        <v>1</v>
      </c>
      <c r="AB670" s="59">
        <f t="shared" si="200"/>
        <v>0</v>
      </c>
      <c r="AC670" s="59">
        <f t="shared" si="201"/>
        <v>0</v>
      </c>
      <c r="AD670" s="59">
        <f t="shared" si="202"/>
        <v>0</v>
      </c>
      <c r="AE670" s="59">
        <f t="shared" si="203"/>
        <v>0</v>
      </c>
      <c r="AF670" s="59">
        <f t="shared" si="204"/>
        <v>0</v>
      </c>
      <c r="AG670" s="59">
        <f t="shared" si="205"/>
        <v>0</v>
      </c>
      <c r="AH670" s="59">
        <v>3</v>
      </c>
      <c r="AI670" s="59">
        <v>3</v>
      </c>
      <c r="AJ670" s="59">
        <f t="shared" si="206"/>
        <v>0</v>
      </c>
      <c r="AK670" s="59">
        <f t="shared" si="207"/>
        <v>0</v>
      </c>
      <c r="AL670" s="59">
        <v>2377</v>
      </c>
      <c r="AM670" s="59">
        <v>9834</v>
      </c>
      <c r="AN670" s="59">
        <v>5</v>
      </c>
      <c r="AO670" s="59">
        <v>0</v>
      </c>
      <c r="AP670" s="59">
        <v>18</v>
      </c>
      <c r="AQ670" s="59">
        <v>3</v>
      </c>
      <c r="AR670" s="59">
        <v>2</v>
      </c>
      <c r="AS670" s="59">
        <v>80</v>
      </c>
      <c r="AT670" s="59">
        <v>1</v>
      </c>
      <c r="AU670" s="59">
        <v>6</v>
      </c>
      <c r="AV670" s="59">
        <v>2</v>
      </c>
      <c r="AW670" s="59">
        <v>3</v>
      </c>
      <c r="AX670" s="59">
        <v>2</v>
      </c>
      <c r="AY670" s="59">
        <v>2</v>
      </c>
      <c r="AZ670" s="59">
        <v>2</v>
      </c>
      <c r="BA670" s="59">
        <v>2</v>
      </c>
      <c r="BB670" s="57">
        <f t="shared" si="208"/>
        <v>2377</v>
      </c>
    </row>
    <row r="671" spans="1:54" x14ac:dyDescent="0.25">
      <c r="A671" s="58">
        <v>39</v>
      </c>
      <c r="B671" s="59">
        <v>1</v>
      </c>
      <c r="C671" s="59">
        <v>1</v>
      </c>
      <c r="D671" s="59">
        <f t="shared" si="190"/>
        <v>1</v>
      </c>
      <c r="E671" s="59">
        <f t="shared" si="191"/>
        <v>0</v>
      </c>
      <c r="F671" s="59">
        <v>1122</v>
      </c>
      <c r="G671" s="59">
        <v>2</v>
      </c>
      <c r="H671" s="59">
        <f t="shared" si="192"/>
        <v>0</v>
      </c>
      <c r="I671" s="59">
        <f t="shared" si="193"/>
        <v>1</v>
      </c>
      <c r="J671" s="59">
        <v>6</v>
      </c>
      <c r="K671" s="59">
        <v>3</v>
      </c>
      <c r="L671" s="59">
        <v>3</v>
      </c>
      <c r="M671" s="59">
        <f t="shared" si="194"/>
        <v>0</v>
      </c>
      <c r="N671" s="59">
        <f t="shared" si="195"/>
        <v>0</v>
      </c>
      <c r="O671" s="59">
        <f t="shared" si="196"/>
        <v>1</v>
      </c>
      <c r="P671" s="59">
        <f t="shared" si="197"/>
        <v>0</v>
      </c>
      <c r="Q671" s="59">
        <f t="shared" si="198"/>
        <v>0</v>
      </c>
      <c r="R671" s="59">
        <v>1</v>
      </c>
      <c r="S671" s="59">
        <v>932</v>
      </c>
      <c r="T671" s="59">
        <v>4</v>
      </c>
      <c r="U671" s="59">
        <v>1</v>
      </c>
      <c r="V671" s="59">
        <v>70</v>
      </c>
      <c r="W671" s="59">
        <v>3</v>
      </c>
      <c r="X671" s="59">
        <v>1</v>
      </c>
      <c r="Y671" s="59">
        <v>3</v>
      </c>
      <c r="Z671" s="59">
        <f t="shared" si="199"/>
        <v>0</v>
      </c>
      <c r="AA671" s="59">
        <f>IF('Updated Dummy'!Y671=2,1,0)</f>
        <v>0</v>
      </c>
      <c r="AB671" s="59">
        <f t="shared" si="200"/>
        <v>1</v>
      </c>
      <c r="AC671" s="59">
        <f t="shared" si="201"/>
        <v>0</v>
      </c>
      <c r="AD671" s="59">
        <f t="shared" si="202"/>
        <v>0</v>
      </c>
      <c r="AE671" s="59">
        <f t="shared" si="203"/>
        <v>0</v>
      </c>
      <c r="AF671" s="59">
        <f t="shared" si="204"/>
        <v>0</v>
      </c>
      <c r="AG671" s="59">
        <f t="shared" si="205"/>
        <v>0</v>
      </c>
      <c r="AH671" s="59">
        <v>1</v>
      </c>
      <c r="AI671" s="59">
        <v>2</v>
      </c>
      <c r="AJ671" s="59">
        <f t="shared" si="206"/>
        <v>0</v>
      </c>
      <c r="AK671" s="59">
        <f t="shared" si="207"/>
        <v>1</v>
      </c>
      <c r="AL671" s="59">
        <v>2404</v>
      </c>
      <c r="AM671" s="59">
        <v>4303</v>
      </c>
      <c r="AN671" s="59">
        <v>7</v>
      </c>
      <c r="AO671" s="59">
        <v>1</v>
      </c>
      <c r="AP671" s="59">
        <v>21</v>
      </c>
      <c r="AQ671" s="59">
        <v>4</v>
      </c>
      <c r="AR671" s="59">
        <v>4</v>
      </c>
      <c r="AS671" s="59">
        <v>80</v>
      </c>
      <c r="AT671" s="59">
        <v>0</v>
      </c>
      <c r="AU671" s="59">
        <v>8</v>
      </c>
      <c r="AV671" s="59">
        <v>2</v>
      </c>
      <c r="AW671" s="59">
        <v>1</v>
      </c>
      <c r="AX671" s="59">
        <v>2</v>
      </c>
      <c r="AY671" s="59">
        <v>2</v>
      </c>
      <c r="AZ671" s="59">
        <v>2</v>
      </c>
      <c r="BA671" s="59">
        <v>2</v>
      </c>
      <c r="BB671" s="57">
        <f t="shared" si="208"/>
        <v>2404</v>
      </c>
    </row>
    <row r="672" spans="1:54" x14ac:dyDescent="0.25">
      <c r="A672" s="58">
        <v>27</v>
      </c>
      <c r="B672" s="59">
        <v>0</v>
      </c>
      <c r="C672" s="59">
        <v>1</v>
      </c>
      <c r="D672" s="59">
        <f t="shared" si="190"/>
        <v>1</v>
      </c>
      <c r="E672" s="59">
        <f t="shared" si="191"/>
        <v>0</v>
      </c>
      <c r="F672" s="59">
        <v>618</v>
      </c>
      <c r="G672" s="59">
        <v>2</v>
      </c>
      <c r="H672" s="59">
        <f t="shared" si="192"/>
        <v>0</v>
      </c>
      <c r="I672" s="59">
        <f t="shared" si="193"/>
        <v>1</v>
      </c>
      <c r="J672" s="59">
        <v>4</v>
      </c>
      <c r="K672" s="59">
        <v>3</v>
      </c>
      <c r="L672" s="59">
        <v>1</v>
      </c>
      <c r="M672" s="59">
        <f t="shared" si="194"/>
        <v>1</v>
      </c>
      <c r="N672" s="59">
        <f t="shared" si="195"/>
        <v>0</v>
      </c>
      <c r="O672" s="59">
        <f t="shared" si="196"/>
        <v>0</v>
      </c>
      <c r="P672" s="59">
        <f t="shared" si="197"/>
        <v>0</v>
      </c>
      <c r="Q672" s="59">
        <f t="shared" si="198"/>
        <v>0</v>
      </c>
      <c r="R672" s="59">
        <v>1</v>
      </c>
      <c r="S672" s="59">
        <v>933</v>
      </c>
      <c r="T672" s="59">
        <v>2</v>
      </c>
      <c r="U672" s="59">
        <v>0</v>
      </c>
      <c r="V672" s="59">
        <v>76</v>
      </c>
      <c r="W672" s="59">
        <v>3</v>
      </c>
      <c r="X672" s="59">
        <v>1</v>
      </c>
      <c r="Y672" s="59">
        <v>2</v>
      </c>
      <c r="Z672" s="59">
        <f t="shared" si="199"/>
        <v>0</v>
      </c>
      <c r="AA672" s="59">
        <f>IF('Updated Dummy'!Y672=2,1,0)</f>
        <v>1</v>
      </c>
      <c r="AB672" s="59">
        <f t="shared" si="200"/>
        <v>0</v>
      </c>
      <c r="AC672" s="59">
        <f t="shared" si="201"/>
        <v>0</v>
      </c>
      <c r="AD672" s="59">
        <f t="shared" si="202"/>
        <v>0</v>
      </c>
      <c r="AE672" s="59">
        <f t="shared" si="203"/>
        <v>0</v>
      </c>
      <c r="AF672" s="59">
        <f t="shared" si="204"/>
        <v>0</v>
      </c>
      <c r="AG672" s="59">
        <f t="shared" si="205"/>
        <v>0</v>
      </c>
      <c r="AH672" s="59">
        <v>3</v>
      </c>
      <c r="AI672" s="59">
        <v>1</v>
      </c>
      <c r="AJ672" s="59">
        <f t="shared" si="206"/>
        <v>1</v>
      </c>
      <c r="AK672" s="59">
        <f t="shared" si="207"/>
        <v>0</v>
      </c>
      <c r="AL672" s="59">
        <v>2318</v>
      </c>
      <c r="AM672" s="59">
        <v>17808</v>
      </c>
      <c r="AN672" s="59">
        <v>1</v>
      </c>
      <c r="AO672" s="59">
        <v>0</v>
      </c>
      <c r="AP672" s="59">
        <v>19</v>
      </c>
      <c r="AQ672" s="59">
        <v>3</v>
      </c>
      <c r="AR672" s="59">
        <v>3</v>
      </c>
      <c r="AS672" s="59">
        <v>80</v>
      </c>
      <c r="AT672" s="59">
        <v>0</v>
      </c>
      <c r="AU672" s="59">
        <v>1</v>
      </c>
      <c r="AV672" s="59">
        <v>2</v>
      </c>
      <c r="AW672" s="59">
        <v>3</v>
      </c>
      <c r="AX672" s="59">
        <v>1</v>
      </c>
      <c r="AY672" s="59">
        <v>1</v>
      </c>
      <c r="AZ672" s="59">
        <v>0</v>
      </c>
      <c r="BA672" s="59">
        <v>0</v>
      </c>
      <c r="BB672" s="57">
        <f t="shared" si="208"/>
        <v>2318</v>
      </c>
    </row>
    <row r="673" spans="1:54" x14ac:dyDescent="0.25">
      <c r="A673" s="58">
        <v>34</v>
      </c>
      <c r="B673" s="59">
        <v>0</v>
      </c>
      <c r="C673" s="59">
        <v>1</v>
      </c>
      <c r="D673" s="59">
        <f t="shared" si="190"/>
        <v>1</v>
      </c>
      <c r="E673" s="59">
        <f t="shared" si="191"/>
        <v>0</v>
      </c>
      <c r="F673" s="59">
        <v>546</v>
      </c>
      <c r="G673" s="59">
        <v>2</v>
      </c>
      <c r="H673" s="59">
        <f t="shared" si="192"/>
        <v>0</v>
      </c>
      <c r="I673" s="59">
        <f t="shared" si="193"/>
        <v>1</v>
      </c>
      <c r="J673" s="59">
        <v>10</v>
      </c>
      <c r="K673" s="59">
        <v>3</v>
      </c>
      <c r="L673" s="59">
        <v>1</v>
      </c>
      <c r="M673" s="59">
        <f t="shared" si="194"/>
        <v>1</v>
      </c>
      <c r="N673" s="59">
        <f t="shared" si="195"/>
        <v>0</v>
      </c>
      <c r="O673" s="59">
        <f t="shared" si="196"/>
        <v>0</v>
      </c>
      <c r="P673" s="59">
        <f t="shared" si="197"/>
        <v>0</v>
      </c>
      <c r="Q673" s="59">
        <f t="shared" si="198"/>
        <v>0</v>
      </c>
      <c r="R673" s="59">
        <v>1</v>
      </c>
      <c r="S673" s="59">
        <v>934</v>
      </c>
      <c r="T673" s="59">
        <v>2</v>
      </c>
      <c r="U673" s="59">
        <v>1</v>
      </c>
      <c r="V673" s="59">
        <v>83</v>
      </c>
      <c r="W673" s="59">
        <v>3</v>
      </c>
      <c r="X673" s="59">
        <v>1</v>
      </c>
      <c r="Y673" s="59">
        <v>3</v>
      </c>
      <c r="Z673" s="59">
        <f t="shared" si="199"/>
        <v>0</v>
      </c>
      <c r="AA673" s="59">
        <f>IF('Updated Dummy'!Y673=2,1,0)</f>
        <v>0</v>
      </c>
      <c r="AB673" s="59">
        <f t="shared" si="200"/>
        <v>1</v>
      </c>
      <c r="AC673" s="59">
        <f t="shared" si="201"/>
        <v>0</v>
      </c>
      <c r="AD673" s="59">
        <f t="shared" si="202"/>
        <v>0</v>
      </c>
      <c r="AE673" s="59">
        <f t="shared" si="203"/>
        <v>0</v>
      </c>
      <c r="AF673" s="59">
        <f t="shared" si="204"/>
        <v>0</v>
      </c>
      <c r="AG673" s="59">
        <f t="shared" si="205"/>
        <v>0</v>
      </c>
      <c r="AH673" s="59">
        <v>2</v>
      </c>
      <c r="AI673" s="59">
        <v>3</v>
      </c>
      <c r="AJ673" s="59">
        <f t="shared" si="206"/>
        <v>0</v>
      </c>
      <c r="AK673" s="59">
        <f t="shared" si="207"/>
        <v>0</v>
      </c>
      <c r="AL673" s="59">
        <v>2008</v>
      </c>
      <c r="AM673" s="59">
        <v>6896</v>
      </c>
      <c r="AN673" s="59">
        <v>1</v>
      </c>
      <c r="AO673" s="59">
        <v>0</v>
      </c>
      <c r="AP673" s="59">
        <v>14</v>
      </c>
      <c r="AQ673" s="59">
        <v>3</v>
      </c>
      <c r="AR673" s="59">
        <v>2</v>
      </c>
      <c r="AS673" s="59">
        <v>80</v>
      </c>
      <c r="AT673" s="59">
        <v>2</v>
      </c>
      <c r="AU673" s="59">
        <v>1</v>
      </c>
      <c r="AV673" s="59">
        <v>3</v>
      </c>
      <c r="AW673" s="59">
        <v>3</v>
      </c>
      <c r="AX673" s="59">
        <v>1</v>
      </c>
      <c r="AY673" s="59">
        <v>0</v>
      </c>
      <c r="AZ673" s="59">
        <v>1</v>
      </c>
      <c r="BA673" s="59">
        <v>0</v>
      </c>
      <c r="BB673" s="57">
        <f t="shared" si="208"/>
        <v>2008</v>
      </c>
    </row>
    <row r="674" spans="1:54" x14ac:dyDescent="0.25">
      <c r="A674" s="58">
        <v>42</v>
      </c>
      <c r="B674" s="59">
        <v>0</v>
      </c>
      <c r="C674" s="59">
        <v>1</v>
      </c>
      <c r="D674" s="59">
        <f t="shared" si="190"/>
        <v>1</v>
      </c>
      <c r="E674" s="59">
        <f t="shared" si="191"/>
        <v>0</v>
      </c>
      <c r="F674" s="59">
        <v>462</v>
      </c>
      <c r="G674" s="59">
        <v>1</v>
      </c>
      <c r="H674" s="59">
        <f t="shared" si="192"/>
        <v>1</v>
      </c>
      <c r="I674" s="59">
        <f t="shared" si="193"/>
        <v>0</v>
      </c>
      <c r="J674" s="59">
        <v>14</v>
      </c>
      <c r="K674" s="59">
        <v>2</v>
      </c>
      <c r="L674" s="59">
        <v>3</v>
      </c>
      <c r="M674" s="59">
        <f t="shared" si="194"/>
        <v>0</v>
      </c>
      <c r="N674" s="59">
        <f t="shared" si="195"/>
        <v>0</v>
      </c>
      <c r="O674" s="59">
        <f t="shared" si="196"/>
        <v>1</v>
      </c>
      <c r="P674" s="59">
        <f t="shared" si="197"/>
        <v>0</v>
      </c>
      <c r="Q674" s="59">
        <f t="shared" si="198"/>
        <v>0</v>
      </c>
      <c r="R674" s="59">
        <v>1</v>
      </c>
      <c r="S674" s="59">
        <v>936</v>
      </c>
      <c r="T674" s="59">
        <v>3</v>
      </c>
      <c r="U674" s="59">
        <v>0</v>
      </c>
      <c r="V674" s="59">
        <v>68</v>
      </c>
      <c r="W674" s="59">
        <v>2</v>
      </c>
      <c r="X674" s="59">
        <v>2</v>
      </c>
      <c r="Y674" s="59">
        <v>1</v>
      </c>
      <c r="Z674" s="59">
        <f t="shared" si="199"/>
        <v>1</v>
      </c>
      <c r="AA674" s="59">
        <f>IF('Updated Dummy'!Y674=2,1,0)</f>
        <v>0</v>
      </c>
      <c r="AB674" s="59">
        <f t="shared" si="200"/>
        <v>0</v>
      </c>
      <c r="AC674" s="59">
        <f t="shared" si="201"/>
        <v>0</v>
      </c>
      <c r="AD674" s="59">
        <f t="shared" si="202"/>
        <v>0</v>
      </c>
      <c r="AE674" s="59">
        <f t="shared" si="203"/>
        <v>0</v>
      </c>
      <c r="AF674" s="59">
        <f t="shared" si="204"/>
        <v>0</v>
      </c>
      <c r="AG674" s="59">
        <f t="shared" si="205"/>
        <v>0</v>
      </c>
      <c r="AH674" s="59">
        <v>3</v>
      </c>
      <c r="AI674" s="59">
        <v>1</v>
      </c>
      <c r="AJ674" s="59">
        <f t="shared" si="206"/>
        <v>1</v>
      </c>
      <c r="AK674" s="59">
        <f t="shared" si="207"/>
        <v>0</v>
      </c>
      <c r="AL674" s="59">
        <v>6244</v>
      </c>
      <c r="AM674" s="59">
        <v>7824</v>
      </c>
      <c r="AN674" s="59">
        <v>7</v>
      </c>
      <c r="AO674" s="59">
        <v>0</v>
      </c>
      <c r="AP674" s="59">
        <v>17</v>
      </c>
      <c r="AQ674" s="59">
        <v>3</v>
      </c>
      <c r="AR674" s="59">
        <v>1</v>
      </c>
      <c r="AS674" s="59">
        <v>80</v>
      </c>
      <c r="AT674" s="59">
        <v>0</v>
      </c>
      <c r="AU674" s="59">
        <v>10</v>
      </c>
      <c r="AV674" s="59">
        <v>6</v>
      </c>
      <c r="AW674" s="59">
        <v>3</v>
      </c>
      <c r="AX674" s="59">
        <v>5</v>
      </c>
      <c r="AY674" s="59">
        <v>4</v>
      </c>
      <c r="AZ674" s="59">
        <v>0</v>
      </c>
      <c r="BA674" s="59">
        <v>3</v>
      </c>
      <c r="BB674" s="57">
        <f t="shared" si="208"/>
        <v>12488</v>
      </c>
    </row>
    <row r="675" spans="1:54" x14ac:dyDescent="0.25">
      <c r="A675" s="58">
        <v>33</v>
      </c>
      <c r="B675" s="59">
        <v>0</v>
      </c>
      <c r="C675" s="59">
        <v>1</v>
      </c>
      <c r="D675" s="59">
        <f t="shared" si="190"/>
        <v>1</v>
      </c>
      <c r="E675" s="59">
        <f t="shared" si="191"/>
        <v>0</v>
      </c>
      <c r="F675" s="59">
        <v>1198</v>
      </c>
      <c r="G675" s="59">
        <v>2</v>
      </c>
      <c r="H675" s="59">
        <f t="shared" si="192"/>
        <v>0</v>
      </c>
      <c r="I675" s="59">
        <f t="shared" si="193"/>
        <v>1</v>
      </c>
      <c r="J675" s="59">
        <v>1</v>
      </c>
      <c r="K675" s="59">
        <v>4</v>
      </c>
      <c r="L675" s="59">
        <v>6</v>
      </c>
      <c r="M675" s="59">
        <f t="shared" si="194"/>
        <v>0</v>
      </c>
      <c r="N675" s="59">
        <f t="shared" si="195"/>
        <v>0</v>
      </c>
      <c r="O675" s="59">
        <f t="shared" si="196"/>
        <v>0</v>
      </c>
      <c r="P675" s="59">
        <f t="shared" si="197"/>
        <v>0</v>
      </c>
      <c r="Q675" s="59">
        <f t="shared" si="198"/>
        <v>0</v>
      </c>
      <c r="R675" s="59">
        <v>1</v>
      </c>
      <c r="S675" s="59">
        <v>939</v>
      </c>
      <c r="T675" s="59">
        <v>3</v>
      </c>
      <c r="U675" s="59">
        <v>1</v>
      </c>
      <c r="V675" s="59">
        <v>100</v>
      </c>
      <c r="W675" s="59">
        <v>2</v>
      </c>
      <c r="X675" s="59">
        <v>1</v>
      </c>
      <c r="Y675" s="59">
        <v>2</v>
      </c>
      <c r="Z675" s="59">
        <f t="shared" si="199"/>
        <v>0</v>
      </c>
      <c r="AA675" s="59">
        <f>IF('Updated Dummy'!Y675=2,1,0)</f>
        <v>1</v>
      </c>
      <c r="AB675" s="59">
        <f t="shared" si="200"/>
        <v>0</v>
      </c>
      <c r="AC675" s="59">
        <f t="shared" si="201"/>
        <v>0</v>
      </c>
      <c r="AD675" s="59">
        <f t="shared" si="202"/>
        <v>0</v>
      </c>
      <c r="AE675" s="59">
        <f t="shared" si="203"/>
        <v>0</v>
      </c>
      <c r="AF675" s="59">
        <f t="shared" si="204"/>
        <v>0</v>
      </c>
      <c r="AG675" s="59">
        <f t="shared" si="205"/>
        <v>0</v>
      </c>
      <c r="AH675" s="59">
        <v>1</v>
      </c>
      <c r="AI675" s="59">
        <v>1</v>
      </c>
      <c r="AJ675" s="59">
        <f t="shared" si="206"/>
        <v>1</v>
      </c>
      <c r="AK675" s="59">
        <f t="shared" si="207"/>
        <v>0</v>
      </c>
      <c r="AL675" s="59">
        <v>2799</v>
      </c>
      <c r="AM675" s="59">
        <v>3339</v>
      </c>
      <c r="AN675" s="59">
        <v>3</v>
      </c>
      <c r="AO675" s="59">
        <v>1</v>
      </c>
      <c r="AP675" s="59">
        <v>11</v>
      </c>
      <c r="AQ675" s="59">
        <v>3</v>
      </c>
      <c r="AR675" s="59">
        <v>2</v>
      </c>
      <c r="AS675" s="59">
        <v>80</v>
      </c>
      <c r="AT675" s="59">
        <v>0</v>
      </c>
      <c r="AU675" s="59">
        <v>6</v>
      </c>
      <c r="AV675" s="59">
        <v>1</v>
      </c>
      <c r="AW675" s="59">
        <v>3</v>
      </c>
      <c r="AX675" s="59">
        <v>3</v>
      </c>
      <c r="AY675" s="59">
        <v>2</v>
      </c>
      <c r="AZ675" s="59">
        <v>0</v>
      </c>
      <c r="BA675" s="59">
        <v>2</v>
      </c>
      <c r="BB675" s="57">
        <f t="shared" si="208"/>
        <v>2799</v>
      </c>
    </row>
    <row r="676" spans="1:54" x14ac:dyDescent="0.25">
      <c r="A676" s="58">
        <v>58</v>
      </c>
      <c r="B676" s="59">
        <v>0</v>
      </c>
      <c r="C676" s="59">
        <v>1</v>
      </c>
      <c r="D676" s="59">
        <f t="shared" si="190"/>
        <v>1</v>
      </c>
      <c r="E676" s="59">
        <f t="shared" si="191"/>
        <v>0</v>
      </c>
      <c r="F676" s="59">
        <v>1272</v>
      </c>
      <c r="G676" s="59">
        <v>2</v>
      </c>
      <c r="H676" s="59">
        <f t="shared" si="192"/>
        <v>0</v>
      </c>
      <c r="I676" s="59">
        <f t="shared" si="193"/>
        <v>1</v>
      </c>
      <c r="J676" s="59">
        <v>5</v>
      </c>
      <c r="K676" s="59">
        <v>3</v>
      </c>
      <c r="L676" s="59">
        <v>5</v>
      </c>
      <c r="M676" s="59">
        <f t="shared" si="194"/>
        <v>0</v>
      </c>
      <c r="N676" s="59">
        <f t="shared" si="195"/>
        <v>0</v>
      </c>
      <c r="O676" s="59">
        <f t="shared" si="196"/>
        <v>0</v>
      </c>
      <c r="P676" s="59">
        <f t="shared" si="197"/>
        <v>0</v>
      </c>
      <c r="Q676" s="59">
        <f t="shared" si="198"/>
        <v>1</v>
      </c>
      <c r="R676" s="59">
        <v>1</v>
      </c>
      <c r="S676" s="59">
        <v>940</v>
      </c>
      <c r="T676" s="59">
        <v>3</v>
      </c>
      <c r="U676" s="59">
        <v>0</v>
      </c>
      <c r="V676" s="59">
        <v>37</v>
      </c>
      <c r="W676" s="59">
        <v>2</v>
      </c>
      <c r="X676" s="59">
        <v>3</v>
      </c>
      <c r="Y676" s="59">
        <v>5</v>
      </c>
      <c r="Z676" s="59">
        <f t="shared" si="199"/>
        <v>0</v>
      </c>
      <c r="AA676" s="59">
        <f>IF('Updated Dummy'!Y676=2,1,0)</f>
        <v>0</v>
      </c>
      <c r="AB676" s="59">
        <f t="shared" si="200"/>
        <v>0</v>
      </c>
      <c r="AC676" s="59">
        <f t="shared" si="201"/>
        <v>0</v>
      </c>
      <c r="AD676" s="59">
        <f t="shared" si="202"/>
        <v>1</v>
      </c>
      <c r="AE676" s="59">
        <f t="shared" si="203"/>
        <v>0</v>
      </c>
      <c r="AF676" s="59">
        <f t="shared" si="204"/>
        <v>0</v>
      </c>
      <c r="AG676" s="59">
        <f t="shared" si="205"/>
        <v>0</v>
      </c>
      <c r="AH676" s="59">
        <v>2</v>
      </c>
      <c r="AI676" s="59">
        <v>3</v>
      </c>
      <c r="AJ676" s="59">
        <f t="shared" si="206"/>
        <v>0</v>
      </c>
      <c r="AK676" s="59">
        <f t="shared" si="207"/>
        <v>0</v>
      </c>
      <c r="AL676" s="59">
        <v>10552</v>
      </c>
      <c r="AM676" s="59">
        <v>9255</v>
      </c>
      <c r="AN676" s="59">
        <v>2</v>
      </c>
      <c r="AO676" s="59">
        <v>1</v>
      </c>
      <c r="AP676" s="59">
        <v>13</v>
      </c>
      <c r="AQ676" s="59">
        <v>3</v>
      </c>
      <c r="AR676" s="59">
        <v>4</v>
      </c>
      <c r="AS676" s="59">
        <v>80</v>
      </c>
      <c r="AT676" s="59">
        <v>1</v>
      </c>
      <c r="AU676" s="59">
        <v>24</v>
      </c>
      <c r="AV676" s="59">
        <v>3</v>
      </c>
      <c r="AW676" s="59">
        <v>3</v>
      </c>
      <c r="AX676" s="59">
        <v>6</v>
      </c>
      <c r="AY676" s="59">
        <v>0</v>
      </c>
      <c r="AZ676" s="59">
        <v>0</v>
      </c>
      <c r="BA676" s="59">
        <v>4</v>
      </c>
      <c r="BB676" s="57">
        <f t="shared" si="208"/>
        <v>31656</v>
      </c>
    </row>
    <row r="677" spans="1:54" x14ac:dyDescent="0.25">
      <c r="A677" s="58">
        <v>31</v>
      </c>
      <c r="B677" s="59">
        <v>0</v>
      </c>
      <c r="C677" s="59">
        <v>1</v>
      </c>
      <c r="D677" s="59">
        <f t="shared" si="190"/>
        <v>1</v>
      </c>
      <c r="E677" s="59">
        <f t="shared" si="191"/>
        <v>0</v>
      </c>
      <c r="F677" s="59">
        <v>154</v>
      </c>
      <c r="G677" s="59">
        <v>1</v>
      </c>
      <c r="H677" s="59">
        <f t="shared" si="192"/>
        <v>1</v>
      </c>
      <c r="I677" s="59">
        <f t="shared" si="193"/>
        <v>0</v>
      </c>
      <c r="J677" s="59">
        <v>7</v>
      </c>
      <c r="K677" s="59">
        <v>4</v>
      </c>
      <c r="L677" s="59">
        <v>1</v>
      </c>
      <c r="M677" s="59">
        <f t="shared" si="194"/>
        <v>1</v>
      </c>
      <c r="N677" s="59">
        <f t="shared" si="195"/>
        <v>0</v>
      </c>
      <c r="O677" s="59">
        <f t="shared" si="196"/>
        <v>0</v>
      </c>
      <c r="P677" s="59">
        <f t="shared" si="197"/>
        <v>0</v>
      </c>
      <c r="Q677" s="59">
        <f t="shared" si="198"/>
        <v>0</v>
      </c>
      <c r="R677" s="59">
        <v>1</v>
      </c>
      <c r="S677" s="59">
        <v>941</v>
      </c>
      <c r="T677" s="59">
        <v>2</v>
      </c>
      <c r="U677" s="59">
        <v>1</v>
      </c>
      <c r="V677" s="59">
        <v>41</v>
      </c>
      <c r="W677" s="59">
        <v>2</v>
      </c>
      <c r="X677" s="59">
        <v>1</v>
      </c>
      <c r="Y677" s="59">
        <v>7</v>
      </c>
      <c r="Z677" s="59">
        <f t="shared" si="199"/>
        <v>0</v>
      </c>
      <c r="AA677" s="59">
        <f>IF('Updated Dummy'!Y677=2,1,0)</f>
        <v>0</v>
      </c>
      <c r="AB677" s="59">
        <f t="shared" si="200"/>
        <v>0</v>
      </c>
      <c r="AC677" s="59">
        <f t="shared" si="201"/>
        <v>0</v>
      </c>
      <c r="AD677" s="59">
        <f t="shared" si="202"/>
        <v>0</v>
      </c>
      <c r="AE677" s="59">
        <f t="shared" si="203"/>
        <v>0</v>
      </c>
      <c r="AF677" s="59">
        <f t="shared" si="204"/>
        <v>1</v>
      </c>
      <c r="AG677" s="59">
        <f t="shared" si="205"/>
        <v>0</v>
      </c>
      <c r="AH677" s="59">
        <v>3</v>
      </c>
      <c r="AI677" s="59">
        <v>2</v>
      </c>
      <c r="AJ677" s="59">
        <f t="shared" si="206"/>
        <v>0</v>
      </c>
      <c r="AK677" s="59">
        <f t="shared" si="207"/>
        <v>1</v>
      </c>
      <c r="AL677" s="59">
        <v>2329</v>
      </c>
      <c r="AM677" s="59">
        <v>11737</v>
      </c>
      <c r="AN677" s="59">
        <v>3</v>
      </c>
      <c r="AO677" s="59">
        <v>0</v>
      </c>
      <c r="AP677" s="59">
        <v>15</v>
      </c>
      <c r="AQ677" s="59">
        <v>3</v>
      </c>
      <c r="AR677" s="59">
        <v>2</v>
      </c>
      <c r="AS677" s="59">
        <v>80</v>
      </c>
      <c r="AT677" s="59">
        <v>0</v>
      </c>
      <c r="AU677" s="59">
        <v>13</v>
      </c>
      <c r="AV677" s="59">
        <v>2</v>
      </c>
      <c r="AW677" s="59">
        <v>4</v>
      </c>
      <c r="AX677" s="59">
        <v>7</v>
      </c>
      <c r="AY677" s="59">
        <v>7</v>
      </c>
      <c r="AZ677" s="59">
        <v>5</v>
      </c>
      <c r="BA677" s="59">
        <v>2</v>
      </c>
      <c r="BB677" s="57">
        <f t="shared" si="208"/>
        <v>2329</v>
      </c>
    </row>
    <row r="678" spans="1:54" x14ac:dyDescent="0.25">
      <c r="A678" s="58">
        <v>35</v>
      </c>
      <c r="B678" s="59">
        <v>0</v>
      </c>
      <c r="C678" s="59">
        <v>1</v>
      </c>
      <c r="D678" s="59">
        <f t="shared" si="190"/>
        <v>1</v>
      </c>
      <c r="E678" s="59">
        <f t="shared" si="191"/>
        <v>0</v>
      </c>
      <c r="F678" s="59">
        <v>1137</v>
      </c>
      <c r="G678" s="59">
        <v>2</v>
      </c>
      <c r="H678" s="59">
        <f t="shared" si="192"/>
        <v>0</v>
      </c>
      <c r="I678" s="59">
        <f t="shared" si="193"/>
        <v>1</v>
      </c>
      <c r="J678" s="59">
        <v>21</v>
      </c>
      <c r="K678" s="59">
        <v>1</v>
      </c>
      <c r="L678" s="59">
        <v>1</v>
      </c>
      <c r="M678" s="59">
        <f t="shared" si="194"/>
        <v>1</v>
      </c>
      <c r="N678" s="59">
        <f t="shared" si="195"/>
        <v>0</v>
      </c>
      <c r="O678" s="59">
        <f t="shared" si="196"/>
        <v>0</v>
      </c>
      <c r="P678" s="59">
        <f t="shared" si="197"/>
        <v>0</v>
      </c>
      <c r="Q678" s="59">
        <f t="shared" si="198"/>
        <v>0</v>
      </c>
      <c r="R678" s="59">
        <v>1</v>
      </c>
      <c r="S678" s="59">
        <v>942</v>
      </c>
      <c r="T678" s="59">
        <v>4</v>
      </c>
      <c r="U678" s="59">
        <v>0</v>
      </c>
      <c r="V678" s="59">
        <v>51</v>
      </c>
      <c r="W678" s="59">
        <v>3</v>
      </c>
      <c r="X678" s="59">
        <v>2</v>
      </c>
      <c r="Y678" s="59">
        <v>5</v>
      </c>
      <c r="Z678" s="59">
        <f t="shared" si="199"/>
        <v>0</v>
      </c>
      <c r="AA678" s="59">
        <f>IF('Updated Dummy'!Y678=2,1,0)</f>
        <v>0</v>
      </c>
      <c r="AB678" s="59">
        <f t="shared" si="200"/>
        <v>0</v>
      </c>
      <c r="AC678" s="59">
        <f t="shared" si="201"/>
        <v>0</v>
      </c>
      <c r="AD678" s="59">
        <f t="shared" si="202"/>
        <v>1</v>
      </c>
      <c r="AE678" s="59">
        <f t="shared" si="203"/>
        <v>0</v>
      </c>
      <c r="AF678" s="59">
        <f t="shared" si="204"/>
        <v>0</v>
      </c>
      <c r="AG678" s="59">
        <f t="shared" si="205"/>
        <v>0</v>
      </c>
      <c r="AH678" s="59">
        <v>4</v>
      </c>
      <c r="AI678" s="59">
        <v>2</v>
      </c>
      <c r="AJ678" s="59">
        <f t="shared" si="206"/>
        <v>0</v>
      </c>
      <c r="AK678" s="59">
        <f t="shared" si="207"/>
        <v>1</v>
      </c>
      <c r="AL678" s="59">
        <v>4014</v>
      </c>
      <c r="AM678" s="59">
        <v>19170</v>
      </c>
      <c r="AN678" s="59">
        <v>1</v>
      </c>
      <c r="AO678" s="59">
        <v>1</v>
      </c>
      <c r="AP678" s="59">
        <v>25</v>
      </c>
      <c r="AQ678" s="59">
        <v>4</v>
      </c>
      <c r="AR678" s="59">
        <v>4</v>
      </c>
      <c r="AS678" s="59">
        <v>80</v>
      </c>
      <c r="AT678" s="59">
        <v>1</v>
      </c>
      <c r="AU678" s="59">
        <v>10</v>
      </c>
      <c r="AV678" s="59">
        <v>2</v>
      </c>
      <c r="AW678" s="59">
        <v>1</v>
      </c>
      <c r="AX678" s="59">
        <v>10</v>
      </c>
      <c r="AY678" s="59">
        <v>6</v>
      </c>
      <c r="AZ678" s="59">
        <v>0</v>
      </c>
      <c r="BA678" s="59">
        <v>7</v>
      </c>
      <c r="BB678" s="57">
        <f t="shared" si="208"/>
        <v>8028</v>
      </c>
    </row>
    <row r="679" spans="1:54" x14ac:dyDescent="0.25">
      <c r="A679" s="58">
        <v>49</v>
      </c>
      <c r="B679" s="59">
        <v>0</v>
      </c>
      <c r="C679" s="59">
        <v>1</v>
      </c>
      <c r="D679" s="59">
        <f t="shared" si="190"/>
        <v>1</v>
      </c>
      <c r="E679" s="59">
        <f t="shared" si="191"/>
        <v>0</v>
      </c>
      <c r="F679" s="59">
        <v>527</v>
      </c>
      <c r="G679" s="59">
        <v>2</v>
      </c>
      <c r="H679" s="59">
        <f t="shared" si="192"/>
        <v>0</v>
      </c>
      <c r="I679" s="59">
        <f t="shared" si="193"/>
        <v>1</v>
      </c>
      <c r="J679" s="59">
        <v>8</v>
      </c>
      <c r="K679" s="59">
        <v>2</v>
      </c>
      <c r="L679" s="59">
        <v>6</v>
      </c>
      <c r="M679" s="59">
        <f t="shared" si="194"/>
        <v>0</v>
      </c>
      <c r="N679" s="59">
        <f t="shared" si="195"/>
        <v>0</v>
      </c>
      <c r="O679" s="59">
        <f t="shared" si="196"/>
        <v>0</v>
      </c>
      <c r="P679" s="59">
        <f t="shared" si="197"/>
        <v>0</v>
      </c>
      <c r="Q679" s="59">
        <f t="shared" si="198"/>
        <v>0</v>
      </c>
      <c r="R679" s="59">
        <v>1</v>
      </c>
      <c r="S679" s="59">
        <v>944</v>
      </c>
      <c r="T679" s="59">
        <v>1</v>
      </c>
      <c r="U679" s="59">
        <v>0</v>
      </c>
      <c r="V679" s="59">
        <v>51</v>
      </c>
      <c r="W679" s="59">
        <v>3</v>
      </c>
      <c r="X679" s="59">
        <v>3</v>
      </c>
      <c r="Y679" s="59">
        <v>3</v>
      </c>
      <c r="Z679" s="59">
        <f t="shared" si="199"/>
        <v>0</v>
      </c>
      <c r="AA679" s="59">
        <f>IF('Updated Dummy'!Y679=2,1,0)</f>
        <v>0</v>
      </c>
      <c r="AB679" s="59">
        <f t="shared" si="200"/>
        <v>1</v>
      </c>
      <c r="AC679" s="59">
        <f t="shared" si="201"/>
        <v>0</v>
      </c>
      <c r="AD679" s="59">
        <f t="shared" si="202"/>
        <v>0</v>
      </c>
      <c r="AE679" s="59">
        <f t="shared" si="203"/>
        <v>0</v>
      </c>
      <c r="AF679" s="59">
        <f t="shared" si="204"/>
        <v>0</v>
      </c>
      <c r="AG679" s="59">
        <f t="shared" si="205"/>
        <v>0</v>
      </c>
      <c r="AH679" s="59">
        <v>2</v>
      </c>
      <c r="AI679" s="59">
        <v>2</v>
      </c>
      <c r="AJ679" s="59">
        <f t="shared" si="206"/>
        <v>0</v>
      </c>
      <c r="AK679" s="59">
        <f t="shared" si="207"/>
        <v>1</v>
      </c>
      <c r="AL679" s="59">
        <v>7403</v>
      </c>
      <c r="AM679" s="59">
        <v>22477</v>
      </c>
      <c r="AN679" s="59">
        <v>4</v>
      </c>
      <c r="AO679" s="59">
        <v>0</v>
      </c>
      <c r="AP679" s="59">
        <v>11</v>
      </c>
      <c r="AQ679" s="59">
        <v>3</v>
      </c>
      <c r="AR679" s="59">
        <v>3</v>
      </c>
      <c r="AS679" s="59">
        <v>80</v>
      </c>
      <c r="AT679" s="59">
        <v>1</v>
      </c>
      <c r="AU679" s="59">
        <v>29</v>
      </c>
      <c r="AV679" s="59">
        <v>3</v>
      </c>
      <c r="AW679" s="59">
        <v>2</v>
      </c>
      <c r="AX679" s="59">
        <v>26</v>
      </c>
      <c r="AY679" s="59">
        <v>9</v>
      </c>
      <c r="AZ679" s="59">
        <v>1</v>
      </c>
      <c r="BA679" s="59">
        <v>7</v>
      </c>
      <c r="BB679" s="57">
        <f t="shared" si="208"/>
        <v>22209</v>
      </c>
    </row>
    <row r="680" spans="1:54" x14ac:dyDescent="0.25">
      <c r="A680" s="58">
        <v>48</v>
      </c>
      <c r="B680" s="59">
        <v>0</v>
      </c>
      <c r="C680" s="59">
        <v>1</v>
      </c>
      <c r="D680" s="59">
        <f t="shared" si="190"/>
        <v>1</v>
      </c>
      <c r="E680" s="59">
        <f t="shared" si="191"/>
        <v>0</v>
      </c>
      <c r="F680" s="59">
        <v>1469</v>
      </c>
      <c r="G680" s="59">
        <v>2</v>
      </c>
      <c r="H680" s="59">
        <f t="shared" si="192"/>
        <v>0</v>
      </c>
      <c r="I680" s="59">
        <f t="shared" si="193"/>
        <v>1</v>
      </c>
      <c r="J680" s="59">
        <v>20</v>
      </c>
      <c r="K680" s="59">
        <v>4</v>
      </c>
      <c r="L680" s="59">
        <v>3</v>
      </c>
      <c r="M680" s="59">
        <f t="shared" si="194"/>
        <v>0</v>
      </c>
      <c r="N680" s="59">
        <f t="shared" si="195"/>
        <v>0</v>
      </c>
      <c r="O680" s="59">
        <f t="shared" si="196"/>
        <v>1</v>
      </c>
      <c r="P680" s="59">
        <f t="shared" si="197"/>
        <v>0</v>
      </c>
      <c r="Q680" s="59">
        <f t="shared" si="198"/>
        <v>0</v>
      </c>
      <c r="R680" s="59">
        <v>1</v>
      </c>
      <c r="S680" s="59">
        <v>945</v>
      </c>
      <c r="T680" s="59">
        <v>4</v>
      </c>
      <c r="U680" s="59">
        <v>1</v>
      </c>
      <c r="V680" s="59">
        <v>51</v>
      </c>
      <c r="W680" s="59">
        <v>3</v>
      </c>
      <c r="X680" s="59">
        <v>1</v>
      </c>
      <c r="Y680" s="59">
        <v>2</v>
      </c>
      <c r="Z680" s="59">
        <f t="shared" si="199"/>
        <v>0</v>
      </c>
      <c r="AA680" s="59">
        <f>IF('Updated Dummy'!Y680=2,1,0)</f>
        <v>1</v>
      </c>
      <c r="AB680" s="59">
        <f t="shared" si="200"/>
        <v>0</v>
      </c>
      <c r="AC680" s="59">
        <f t="shared" si="201"/>
        <v>0</v>
      </c>
      <c r="AD680" s="59">
        <f t="shared" si="202"/>
        <v>0</v>
      </c>
      <c r="AE680" s="59">
        <f t="shared" si="203"/>
        <v>0</v>
      </c>
      <c r="AF680" s="59">
        <f t="shared" si="204"/>
        <v>0</v>
      </c>
      <c r="AG680" s="59">
        <f t="shared" si="205"/>
        <v>0</v>
      </c>
      <c r="AH680" s="59">
        <v>3</v>
      </c>
      <c r="AI680" s="59">
        <v>2</v>
      </c>
      <c r="AJ680" s="59">
        <f t="shared" si="206"/>
        <v>0</v>
      </c>
      <c r="AK680" s="59">
        <f t="shared" si="207"/>
        <v>1</v>
      </c>
      <c r="AL680" s="59">
        <v>2259</v>
      </c>
      <c r="AM680" s="59">
        <v>5543</v>
      </c>
      <c r="AN680" s="59">
        <v>4</v>
      </c>
      <c r="AO680" s="59">
        <v>0</v>
      </c>
      <c r="AP680" s="59">
        <v>17</v>
      </c>
      <c r="AQ680" s="59">
        <v>3</v>
      </c>
      <c r="AR680" s="59">
        <v>1</v>
      </c>
      <c r="AS680" s="59">
        <v>80</v>
      </c>
      <c r="AT680" s="59">
        <v>2</v>
      </c>
      <c r="AU680" s="59">
        <v>13</v>
      </c>
      <c r="AV680" s="59">
        <v>2</v>
      </c>
      <c r="AW680" s="59">
        <v>2</v>
      </c>
      <c r="AX680" s="59">
        <v>0</v>
      </c>
      <c r="AY680" s="59">
        <v>0</v>
      </c>
      <c r="AZ680" s="59">
        <v>0</v>
      </c>
      <c r="BA680" s="59">
        <v>0</v>
      </c>
      <c r="BB680" s="57">
        <f t="shared" si="208"/>
        <v>2259</v>
      </c>
    </row>
    <row r="681" spans="1:54" x14ac:dyDescent="0.25">
      <c r="A681" s="58">
        <v>31</v>
      </c>
      <c r="B681" s="59">
        <v>0</v>
      </c>
      <c r="C681" s="59">
        <v>3</v>
      </c>
      <c r="D681" s="59">
        <f t="shared" si="190"/>
        <v>0</v>
      </c>
      <c r="E681" s="59">
        <f t="shared" si="191"/>
        <v>0</v>
      </c>
      <c r="F681" s="59">
        <v>1188</v>
      </c>
      <c r="G681" s="59">
        <v>1</v>
      </c>
      <c r="H681" s="59">
        <f t="shared" si="192"/>
        <v>1</v>
      </c>
      <c r="I681" s="59">
        <f t="shared" si="193"/>
        <v>0</v>
      </c>
      <c r="J681" s="59">
        <v>20</v>
      </c>
      <c r="K681" s="59">
        <v>2</v>
      </c>
      <c r="L681" s="59">
        <v>4</v>
      </c>
      <c r="M681" s="59">
        <f t="shared" si="194"/>
        <v>0</v>
      </c>
      <c r="N681" s="59">
        <f t="shared" si="195"/>
        <v>0</v>
      </c>
      <c r="O681" s="59">
        <f t="shared" si="196"/>
        <v>0</v>
      </c>
      <c r="P681" s="59">
        <f t="shared" si="197"/>
        <v>1</v>
      </c>
      <c r="Q681" s="59">
        <f t="shared" si="198"/>
        <v>0</v>
      </c>
      <c r="R681" s="59">
        <v>1</v>
      </c>
      <c r="S681" s="59">
        <v>947</v>
      </c>
      <c r="T681" s="59">
        <v>4</v>
      </c>
      <c r="U681" s="59">
        <v>0</v>
      </c>
      <c r="V681" s="59">
        <v>45</v>
      </c>
      <c r="W681" s="59">
        <v>3</v>
      </c>
      <c r="X681" s="59">
        <v>2</v>
      </c>
      <c r="Y681" s="59">
        <v>1</v>
      </c>
      <c r="Z681" s="59">
        <f t="shared" si="199"/>
        <v>1</v>
      </c>
      <c r="AA681" s="59">
        <f>IF('Updated Dummy'!Y681=2,1,0)</f>
        <v>0</v>
      </c>
      <c r="AB681" s="59">
        <f t="shared" si="200"/>
        <v>0</v>
      </c>
      <c r="AC681" s="59">
        <f t="shared" si="201"/>
        <v>0</v>
      </c>
      <c r="AD681" s="59">
        <f t="shared" si="202"/>
        <v>0</v>
      </c>
      <c r="AE681" s="59">
        <f t="shared" si="203"/>
        <v>0</v>
      </c>
      <c r="AF681" s="59">
        <f t="shared" si="204"/>
        <v>0</v>
      </c>
      <c r="AG681" s="59">
        <f t="shared" si="205"/>
        <v>0</v>
      </c>
      <c r="AH681" s="59">
        <v>3</v>
      </c>
      <c r="AI681" s="59">
        <v>2</v>
      </c>
      <c r="AJ681" s="59">
        <f t="shared" si="206"/>
        <v>0</v>
      </c>
      <c r="AK681" s="59">
        <f t="shared" si="207"/>
        <v>1</v>
      </c>
      <c r="AL681" s="59">
        <v>6932</v>
      </c>
      <c r="AM681" s="59">
        <v>24406</v>
      </c>
      <c r="AN681" s="59">
        <v>1</v>
      </c>
      <c r="AO681" s="59">
        <v>0</v>
      </c>
      <c r="AP681" s="59">
        <v>13</v>
      </c>
      <c r="AQ681" s="59">
        <v>3</v>
      </c>
      <c r="AR681" s="59">
        <v>4</v>
      </c>
      <c r="AS681" s="59">
        <v>80</v>
      </c>
      <c r="AT681" s="59">
        <v>1</v>
      </c>
      <c r="AU681" s="59">
        <v>9</v>
      </c>
      <c r="AV681" s="59">
        <v>2</v>
      </c>
      <c r="AW681" s="59">
        <v>2</v>
      </c>
      <c r="AX681" s="59">
        <v>9</v>
      </c>
      <c r="AY681" s="59">
        <v>8</v>
      </c>
      <c r="AZ681" s="59">
        <v>0</v>
      </c>
      <c r="BA681" s="59">
        <v>0</v>
      </c>
      <c r="BB681" s="57">
        <f t="shared" si="208"/>
        <v>13864</v>
      </c>
    </row>
    <row r="682" spans="1:54" x14ac:dyDescent="0.25">
      <c r="A682" s="58">
        <v>36</v>
      </c>
      <c r="B682" s="59">
        <v>0</v>
      </c>
      <c r="C682" s="59">
        <v>1</v>
      </c>
      <c r="D682" s="59">
        <f t="shared" si="190"/>
        <v>1</v>
      </c>
      <c r="E682" s="59">
        <f t="shared" si="191"/>
        <v>0</v>
      </c>
      <c r="F682" s="59">
        <v>188</v>
      </c>
      <c r="G682" s="59">
        <v>2</v>
      </c>
      <c r="H682" s="59">
        <f t="shared" si="192"/>
        <v>0</v>
      </c>
      <c r="I682" s="59">
        <f t="shared" si="193"/>
        <v>1</v>
      </c>
      <c r="J682" s="59">
        <v>7</v>
      </c>
      <c r="K682" s="59">
        <v>4</v>
      </c>
      <c r="L682" s="59">
        <v>6</v>
      </c>
      <c r="M682" s="59">
        <f t="shared" si="194"/>
        <v>0</v>
      </c>
      <c r="N682" s="59">
        <f t="shared" si="195"/>
        <v>0</v>
      </c>
      <c r="O682" s="59">
        <f t="shared" si="196"/>
        <v>0</v>
      </c>
      <c r="P682" s="59">
        <f t="shared" si="197"/>
        <v>0</v>
      </c>
      <c r="Q682" s="59">
        <f t="shared" si="198"/>
        <v>0</v>
      </c>
      <c r="R682" s="59">
        <v>1</v>
      </c>
      <c r="S682" s="59">
        <v>949</v>
      </c>
      <c r="T682" s="59">
        <v>2</v>
      </c>
      <c r="U682" s="59">
        <v>1</v>
      </c>
      <c r="V682" s="59">
        <v>65</v>
      </c>
      <c r="W682" s="59">
        <v>3</v>
      </c>
      <c r="X682" s="59">
        <v>1</v>
      </c>
      <c r="Y682" s="59">
        <v>2</v>
      </c>
      <c r="Z682" s="59">
        <f t="shared" si="199"/>
        <v>0</v>
      </c>
      <c r="AA682" s="59">
        <f>IF('Updated Dummy'!Y682=2,1,0)</f>
        <v>1</v>
      </c>
      <c r="AB682" s="59">
        <f t="shared" si="200"/>
        <v>0</v>
      </c>
      <c r="AC682" s="59">
        <f t="shared" si="201"/>
        <v>0</v>
      </c>
      <c r="AD682" s="59">
        <f t="shared" si="202"/>
        <v>0</v>
      </c>
      <c r="AE682" s="59">
        <f t="shared" si="203"/>
        <v>0</v>
      </c>
      <c r="AF682" s="59">
        <f t="shared" si="204"/>
        <v>0</v>
      </c>
      <c r="AG682" s="59">
        <f t="shared" si="205"/>
        <v>0</v>
      </c>
      <c r="AH682" s="59">
        <v>4</v>
      </c>
      <c r="AI682" s="59">
        <v>1</v>
      </c>
      <c r="AJ682" s="59">
        <f t="shared" si="206"/>
        <v>1</v>
      </c>
      <c r="AK682" s="59">
        <f t="shared" si="207"/>
        <v>0</v>
      </c>
      <c r="AL682" s="59">
        <v>4678</v>
      </c>
      <c r="AM682" s="59">
        <v>23293</v>
      </c>
      <c r="AN682" s="59">
        <v>2</v>
      </c>
      <c r="AO682" s="59">
        <v>0</v>
      </c>
      <c r="AP682" s="59">
        <v>18</v>
      </c>
      <c r="AQ682" s="59">
        <v>3</v>
      </c>
      <c r="AR682" s="59">
        <v>3</v>
      </c>
      <c r="AS682" s="59">
        <v>80</v>
      </c>
      <c r="AT682" s="59">
        <v>0</v>
      </c>
      <c r="AU682" s="59">
        <v>8</v>
      </c>
      <c r="AV682" s="59">
        <v>6</v>
      </c>
      <c r="AW682" s="59">
        <v>3</v>
      </c>
      <c r="AX682" s="59">
        <v>6</v>
      </c>
      <c r="AY682" s="59">
        <v>2</v>
      </c>
      <c r="AZ682" s="59">
        <v>0</v>
      </c>
      <c r="BA682" s="59">
        <v>1</v>
      </c>
      <c r="BB682" s="57">
        <f t="shared" si="208"/>
        <v>4678</v>
      </c>
    </row>
    <row r="683" spans="1:54" x14ac:dyDescent="0.25">
      <c r="A683" s="58">
        <v>38</v>
      </c>
      <c r="B683" s="59">
        <v>0</v>
      </c>
      <c r="C683" s="59">
        <v>1</v>
      </c>
      <c r="D683" s="59">
        <f t="shared" si="190"/>
        <v>1</v>
      </c>
      <c r="E683" s="59">
        <f t="shared" si="191"/>
        <v>0</v>
      </c>
      <c r="F683" s="59">
        <v>1333</v>
      </c>
      <c r="G683" s="59">
        <v>2</v>
      </c>
      <c r="H683" s="59">
        <f t="shared" si="192"/>
        <v>0</v>
      </c>
      <c r="I683" s="59">
        <f t="shared" si="193"/>
        <v>1</v>
      </c>
      <c r="J683" s="59">
        <v>1</v>
      </c>
      <c r="K683" s="59">
        <v>3</v>
      </c>
      <c r="L683" s="59">
        <v>5</v>
      </c>
      <c r="M683" s="59">
        <f t="shared" si="194"/>
        <v>0</v>
      </c>
      <c r="N683" s="59">
        <f t="shared" si="195"/>
        <v>0</v>
      </c>
      <c r="O683" s="59">
        <f t="shared" si="196"/>
        <v>0</v>
      </c>
      <c r="P683" s="59">
        <f t="shared" si="197"/>
        <v>0</v>
      </c>
      <c r="Q683" s="59">
        <f t="shared" si="198"/>
        <v>1</v>
      </c>
      <c r="R683" s="59">
        <v>1</v>
      </c>
      <c r="S683" s="59">
        <v>950</v>
      </c>
      <c r="T683" s="59">
        <v>4</v>
      </c>
      <c r="U683" s="59">
        <v>0</v>
      </c>
      <c r="V683" s="59">
        <v>80</v>
      </c>
      <c r="W683" s="59">
        <v>3</v>
      </c>
      <c r="X683" s="59">
        <v>3</v>
      </c>
      <c r="Y683" s="59">
        <v>8</v>
      </c>
      <c r="Z683" s="59">
        <f t="shared" si="199"/>
        <v>0</v>
      </c>
      <c r="AA683" s="59">
        <f>IF('Updated Dummy'!Y683=2,1,0)</f>
        <v>0</v>
      </c>
      <c r="AB683" s="59">
        <f t="shared" si="200"/>
        <v>0</v>
      </c>
      <c r="AC683" s="59">
        <f t="shared" si="201"/>
        <v>0</v>
      </c>
      <c r="AD683" s="59">
        <f t="shared" si="202"/>
        <v>0</v>
      </c>
      <c r="AE683" s="59">
        <f t="shared" si="203"/>
        <v>0</v>
      </c>
      <c r="AF683" s="59">
        <f t="shared" si="204"/>
        <v>0</v>
      </c>
      <c r="AG683" s="59">
        <f t="shared" si="205"/>
        <v>1</v>
      </c>
      <c r="AH683" s="59">
        <v>1</v>
      </c>
      <c r="AI683" s="59">
        <v>2</v>
      </c>
      <c r="AJ683" s="59">
        <f t="shared" si="206"/>
        <v>0</v>
      </c>
      <c r="AK683" s="59">
        <f t="shared" si="207"/>
        <v>1</v>
      </c>
      <c r="AL683" s="59">
        <v>13582</v>
      </c>
      <c r="AM683" s="59">
        <v>16292</v>
      </c>
      <c r="AN683" s="59">
        <v>1</v>
      </c>
      <c r="AO683" s="59">
        <v>0</v>
      </c>
      <c r="AP683" s="59">
        <v>13</v>
      </c>
      <c r="AQ683" s="59">
        <v>3</v>
      </c>
      <c r="AR683" s="59">
        <v>2</v>
      </c>
      <c r="AS683" s="59">
        <v>80</v>
      </c>
      <c r="AT683" s="59">
        <v>1</v>
      </c>
      <c r="AU683" s="59">
        <v>15</v>
      </c>
      <c r="AV683" s="59">
        <v>3</v>
      </c>
      <c r="AW683" s="59">
        <v>3</v>
      </c>
      <c r="AX683" s="59">
        <v>15</v>
      </c>
      <c r="AY683" s="59">
        <v>12</v>
      </c>
      <c r="AZ683" s="59">
        <v>5</v>
      </c>
      <c r="BA683" s="59">
        <v>11</v>
      </c>
      <c r="BB683" s="57">
        <f t="shared" si="208"/>
        <v>40746</v>
      </c>
    </row>
    <row r="684" spans="1:54" x14ac:dyDescent="0.25">
      <c r="A684" s="58">
        <v>32</v>
      </c>
      <c r="B684" s="59">
        <v>0</v>
      </c>
      <c r="C684" s="59">
        <v>3</v>
      </c>
      <c r="D684" s="59">
        <f t="shared" si="190"/>
        <v>0</v>
      </c>
      <c r="E684" s="59">
        <f t="shared" si="191"/>
        <v>0</v>
      </c>
      <c r="F684" s="59">
        <v>1184</v>
      </c>
      <c r="G684" s="59">
        <v>2</v>
      </c>
      <c r="H684" s="59">
        <f t="shared" si="192"/>
        <v>0</v>
      </c>
      <c r="I684" s="59">
        <f t="shared" si="193"/>
        <v>1</v>
      </c>
      <c r="J684" s="59">
        <v>1</v>
      </c>
      <c r="K684" s="59">
        <v>3</v>
      </c>
      <c r="L684" s="59">
        <v>1</v>
      </c>
      <c r="M684" s="59">
        <f t="shared" si="194"/>
        <v>1</v>
      </c>
      <c r="N684" s="59">
        <f t="shared" si="195"/>
        <v>0</v>
      </c>
      <c r="O684" s="59">
        <f t="shared" si="196"/>
        <v>0</v>
      </c>
      <c r="P684" s="59">
        <f t="shared" si="197"/>
        <v>0</v>
      </c>
      <c r="Q684" s="59">
        <f t="shared" si="198"/>
        <v>0</v>
      </c>
      <c r="R684" s="59">
        <v>1</v>
      </c>
      <c r="S684" s="59">
        <v>951</v>
      </c>
      <c r="T684" s="59">
        <v>3</v>
      </c>
      <c r="U684" s="59">
        <v>0</v>
      </c>
      <c r="V684" s="59">
        <v>70</v>
      </c>
      <c r="W684" s="59">
        <v>2</v>
      </c>
      <c r="X684" s="59">
        <v>1</v>
      </c>
      <c r="Y684" s="59">
        <v>3</v>
      </c>
      <c r="Z684" s="59">
        <f t="shared" si="199"/>
        <v>0</v>
      </c>
      <c r="AA684" s="59">
        <f>IF('Updated Dummy'!Y684=2,1,0)</f>
        <v>0</v>
      </c>
      <c r="AB684" s="59">
        <f t="shared" si="200"/>
        <v>1</v>
      </c>
      <c r="AC684" s="59">
        <f t="shared" si="201"/>
        <v>0</v>
      </c>
      <c r="AD684" s="59">
        <f t="shared" si="202"/>
        <v>0</v>
      </c>
      <c r="AE684" s="59">
        <f t="shared" si="203"/>
        <v>0</v>
      </c>
      <c r="AF684" s="59">
        <f t="shared" si="204"/>
        <v>0</v>
      </c>
      <c r="AG684" s="59">
        <f t="shared" si="205"/>
        <v>0</v>
      </c>
      <c r="AH684" s="59">
        <v>2</v>
      </c>
      <c r="AI684" s="59">
        <v>2</v>
      </c>
      <c r="AJ684" s="59">
        <f t="shared" si="206"/>
        <v>0</v>
      </c>
      <c r="AK684" s="59">
        <f t="shared" si="207"/>
        <v>1</v>
      </c>
      <c r="AL684" s="59">
        <v>2332</v>
      </c>
      <c r="AM684" s="59">
        <v>3974</v>
      </c>
      <c r="AN684" s="59">
        <v>6</v>
      </c>
      <c r="AO684" s="59">
        <v>0</v>
      </c>
      <c r="AP684" s="59">
        <v>20</v>
      </c>
      <c r="AQ684" s="59">
        <v>4</v>
      </c>
      <c r="AR684" s="59">
        <v>3</v>
      </c>
      <c r="AS684" s="59">
        <v>80</v>
      </c>
      <c r="AT684" s="59">
        <v>0</v>
      </c>
      <c r="AU684" s="59">
        <v>5</v>
      </c>
      <c r="AV684" s="59">
        <v>3</v>
      </c>
      <c r="AW684" s="59">
        <v>3</v>
      </c>
      <c r="AX684" s="59">
        <v>3</v>
      </c>
      <c r="AY684" s="59">
        <v>0</v>
      </c>
      <c r="AZ684" s="59">
        <v>0</v>
      </c>
      <c r="BA684" s="59">
        <v>2</v>
      </c>
      <c r="BB684" s="57">
        <f t="shared" si="208"/>
        <v>2332</v>
      </c>
    </row>
    <row r="685" spans="1:54" x14ac:dyDescent="0.25">
      <c r="A685" s="58">
        <v>25</v>
      </c>
      <c r="B685" s="59">
        <v>1</v>
      </c>
      <c r="C685" s="59">
        <v>1</v>
      </c>
      <c r="D685" s="59">
        <f t="shared" si="190"/>
        <v>1</v>
      </c>
      <c r="E685" s="59">
        <f t="shared" si="191"/>
        <v>0</v>
      </c>
      <c r="F685" s="59">
        <v>867</v>
      </c>
      <c r="G685" s="59">
        <v>1</v>
      </c>
      <c r="H685" s="59">
        <f t="shared" si="192"/>
        <v>1</v>
      </c>
      <c r="I685" s="59">
        <f t="shared" si="193"/>
        <v>0</v>
      </c>
      <c r="J685" s="59">
        <v>19</v>
      </c>
      <c r="K685" s="59">
        <v>2</v>
      </c>
      <c r="L685" s="59">
        <v>4</v>
      </c>
      <c r="M685" s="59">
        <f t="shared" si="194"/>
        <v>0</v>
      </c>
      <c r="N685" s="59">
        <f t="shared" si="195"/>
        <v>0</v>
      </c>
      <c r="O685" s="59">
        <f t="shared" si="196"/>
        <v>0</v>
      </c>
      <c r="P685" s="59">
        <f t="shared" si="197"/>
        <v>1</v>
      </c>
      <c r="Q685" s="59">
        <f t="shared" si="198"/>
        <v>0</v>
      </c>
      <c r="R685" s="59">
        <v>1</v>
      </c>
      <c r="S685" s="59">
        <v>952</v>
      </c>
      <c r="T685" s="59">
        <v>3</v>
      </c>
      <c r="U685" s="59">
        <v>1</v>
      </c>
      <c r="V685" s="59">
        <v>36</v>
      </c>
      <c r="W685" s="59">
        <v>2</v>
      </c>
      <c r="X685" s="59">
        <v>1</v>
      </c>
      <c r="Y685" s="59">
        <v>7</v>
      </c>
      <c r="Z685" s="59">
        <f t="shared" si="199"/>
        <v>0</v>
      </c>
      <c r="AA685" s="59">
        <f>IF('Updated Dummy'!Y685=2,1,0)</f>
        <v>0</v>
      </c>
      <c r="AB685" s="59">
        <f t="shared" si="200"/>
        <v>0</v>
      </c>
      <c r="AC685" s="59">
        <f t="shared" si="201"/>
        <v>0</v>
      </c>
      <c r="AD685" s="59">
        <f t="shared" si="202"/>
        <v>0</v>
      </c>
      <c r="AE685" s="59">
        <f t="shared" si="203"/>
        <v>0</v>
      </c>
      <c r="AF685" s="59">
        <f t="shared" si="204"/>
        <v>1</v>
      </c>
      <c r="AG685" s="59">
        <f t="shared" si="205"/>
        <v>0</v>
      </c>
      <c r="AH685" s="59">
        <v>2</v>
      </c>
      <c r="AI685" s="59">
        <v>2</v>
      </c>
      <c r="AJ685" s="59">
        <f t="shared" si="206"/>
        <v>0</v>
      </c>
      <c r="AK685" s="59">
        <f t="shared" si="207"/>
        <v>1</v>
      </c>
      <c r="AL685" s="59">
        <v>2413</v>
      </c>
      <c r="AM685" s="59">
        <v>18798</v>
      </c>
      <c r="AN685" s="59">
        <v>1</v>
      </c>
      <c r="AO685" s="59">
        <v>1</v>
      </c>
      <c r="AP685" s="59">
        <v>18</v>
      </c>
      <c r="AQ685" s="59">
        <v>3</v>
      </c>
      <c r="AR685" s="59">
        <v>3</v>
      </c>
      <c r="AS685" s="59">
        <v>80</v>
      </c>
      <c r="AT685" s="59">
        <v>3</v>
      </c>
      <c r="AU685" s="59">
        <v>1</v>
      </c>
      <c r="AV685" s="59">
        <v>2</v>
      </c>
      <c r="AW685" s="59">
        <v>3</v>
      </c>
      <c r="AX685" s="59">
        <v>1</v>
      </c>
      <c r="AY685" s="59">
        <v>0</v>
      </c>
      <c r="AZ685" s="59">
        <v>0</v>
      </c>
      <c r="BA685" s="59">
        <v>0</v>
      </c>
      <c r="BB685" s="57">
        <f t="shared" si="208"/>
        <v>2413</v>
      </c>
    </row>
    <row r="686" spans="1:54" x14ac:dyDescent="0.25">
      <c r="A686" s="58">
        <v>40</v>
      </c>
      <c r="B686" s="59">
        <v>0</v>
      </c>
      <c r="C686" s="59">
        <v>1</v>
      </c>
      <c r="D686" s="59">
        <f t="shared" si="190"/>
        <v>1</v>
      </c>
      <c r="E686" s="59">
        <f t="shared" si="191"/>
        <v>0</v>
      </c>
      <c r="F686" s="59">
        <v>658</v>
      </c>
      <c r="G686" s="59">
        <v>1</v>
      </c>
      <c r="H686" s="59">
        <f t="shared" si="192"/>
        <v>1</v>
      </c>
      <c r="I686" s="59">
        <f t="shared" si="193"/>
        <v>0</v>
      </c>
      <c r="J686" s="59">
        <v>10</v>
      </c>
      <c r="K686" s="59">
        <v>4</v>
      </c>
      <c r="L686" s="59">
        <v>4</v>
      </c>
      <c r="M686" s="59">
        <f t="shared" si="194"/>
        <v>0</v>
      </c>
      <c r="N686" s="59">
        <f t="shared" si="195"/>
        <v>0</v>
      </c>
      <c r="O686" s="59">
        <f t="shared" si="196"/>
        <v>0</v>
      </c>
      <c r="P686" s="59">
        <f t="shared" si="197"/>
        <v>1</v>
      </c>
      <c r="Q686" s="59">
        <f t="shared" si="198"/>
        <v>0</v>
      </c>
      <c r="R686" s="59">
        <v>1</v>
      </c>
      <c r="S686" s="59">
        <v>954</v>
      </c>
      <c r="T686" s="59">
        <v>1</v>
      </c>
      <c r="U686" s="59">
        <v>1</v>
      </c>
      <c r="V686" s="59">
        <v>67</v>
      </c>
      <c r="W686" s="59">
        <v>2</v>
      </c>
      <c r="X686" s="59">
        <v>3</v>
      </c>
      <c r="Y686" s="59">
        <v>1</v>
      </c>
      <c r="Z686" s="59">
        <f t="shared" si="199"/>
        <v>1</v>
      </c>
      <c r="AA686" s="59">
        <f>IF('Updated Dummy'!Y686=2,1,0)</f>
        <v>0</v>
      </c>
      <c r="AB686" s="59">
        <f t="shared" si="200"/>
        <v>0</v>
      </c>
      <c r="AC686" s="59">
        <f t="shared" si="201"/>
        <v>0</v>
      </c>
      <c r="AD686" s="59">
        <f t="shared" si="202"/>
        <v>0</v>
      </c>
      <c r="AE686" s="59">
        <f t="shared" si="203"/>
        <v>0</v>
      </c>
      <c r="AF686" s="59">
        <f t="shared" si="204"/>
        <v>0</v>
      </c>
      <c r="AG686" s="59">
        <f t="shared" si="205"/>
        <v>0</v>
      </c>
      <c r="AH686" s="59">
        <v>2</v>
      </c>
      <c r="AI686" s="59">
        <v>3</v>
      </c>
      <c r="AJ686" s="59">
        <f t="shared" si="206"/>
        <v>0</v>
      </c>
      <c r="AK686" s="59">
        <f t="shared" si="207"/>
        <v>0</v>
      </c>
      <c r="AL686" s="59">
        <v>9705</v>
      </c>
      <c r="AM686" s="59">
        <v>20652</v>
      </c>
      <c r="AN686" s="59">
        <v>2</v>
      </c>
      <c r="AO686" s="59">
        <v>0</v>
      </c>
      <c r="AP686" s="59">
        <v>12</v>
      </c>
      <c r="AQ686" s="59">
        <v>3</v>
      </c>
      <c r="AR686" s="59">
        <v>2</v>
      </c>
      <c r="AS686" s="59">
        <v>80</v>
      </c>
      <c r="AT686" s="59">
        <v>1</v>
      </c>
      <c r="AU686" s="59">
        <v>11</v>
      </c>
      <c r="AV686" s="59">
        <v>2</v>
      </c>
      <c r="AW686" s="59">
        <v>2</v>
      </c>
      <c r="AX686" s="59">
        <v>1</v>
      </c>
      <c r="AY686" s="59">
        <v>0</v>
      </c>
      <c r="AZ686" s="59">
        <v>0</v>
      </c>
      <c r="BA686" s="59">
        <v>0</v>
      </c>
      <c r="BB686" s="57">
        <f t="shared" si="208"/>
        <v>29115</v>
      </c>
    </row>
    <row r="687" spans="1:54" x14ac:dyDescent="0.25">
      <c r="A687" s="58">
        <v>26</v>
      </c>
      <c r="B687" s="59">
        <v>0</v>
      </c>
      <c r="C687" s="59">
        <v>2</v>
      </c>
      <c r="D687" s="59">
        <f t="shared" si="190"/>
        <v>0</v>
      </c>
      <c r="E687" s="59">
        <f t="shared" si="191"/>
        <v>1</v>
      </c>
      <c r="F687" s="59">
        <v>1283</v>
      </c>
      <c r="G687" s="59">
        <v>1</v>
      </c>
      <c r="H687" s="59">
        <f t="shared" si="192"/>
        <v>1</v>
      </c>
      <c r="I687" s="59">
        <f t="shared" si="193"/>
        <v>0</v>
      </c>
      <c r="J687" s="59">
        <v>1</v>
      </c>
      <c r="K687" s="59">
        <v>3</v>
      </c>
      <c r="L687" s="59">
        <v>3</v>
      </c>
      <c r="M687" s="59">
        <f t="shared" si="194"/>
        <v>0</v>
      </c>
      <c r="N687" s="59">
        <f t="shared" si="195"/>
        <v>0</v>
      </c>
      <c r="O687" s="59">
        <f t="shared" si="196"/>
        <v>1</v>
      </c>
      <c r="P687" s="59">
        <f t="shared" si="197"/>
        <v>0</v>
      </c>
      <c r="Q687" s="59">
        <f t="shared" si="198"/>
        <v>0</v>
      </c>
      <c r="R687" s="59">
        <v>1</v>
      </c>
      <c r="S687" s="59">
        <v>956</v>
      </c>
      <c r="T687" s="59">
        <v>3</v>
      </c>
      <c r="U687" s="59">
        <v>1</v>
      </c>
      <c r="V687" s="59">
        <v>52</v>
      </c>
      <c r="W687" s="59">
        <v>2</v>
      </c>
      <c r="X687" s="59">
        <v>2</v>
      </c>
      <c r="Y687" s="59">
        <v>1</v>
      </c>
      <c r="Z687" s="59">
        <f t="shared" si="199"/>
        <v>1</v>
      </c>
      <c r="AA687" s="59">
        <f>IF('Updated Dummy'!Y687=2,1,0)</f>
        <v>0</v>
      </c>
      <c r="AB687" s="59">
        <f t="shared" si="200"/>
        <v>0</v>
      </c>
      <c r="AC687" s="59">
        <f t="shared" si="201"/>
        <v>0</v>
      </c>
      <c r="AD687" s="59">
        <f t="shared" si="202"/>
        <v>0</v>
      </c>
      <c r="AE687" s="59">
        <f t="shared" si="203"/>
        <v>0</v>
      </c>
      <c r="AF687" s="59">
        <f t="shared" si="204"/>
        <v>0</v>
      </c>
      <c r="AG687" s="59">
        <f t="shared" si="205"/>
        <v>0</v>
      </c>
      <c r="AH687" s="59">
        <v>1</v>
      </c>
      <c r="AI687" s="59">
        <v>1</v>
      </c>
      <c r="AJ687" s="59">
        <f t="shared" si="206"/>
        <v>1</v>
      </c>
      <c r="AK687" s="59">
        <f t="shared" si="207"/>
        <v>0</v>
      </c>
      <c r="AL687" s="59">
        <v>4294</v>
      </c>
      <c r="AM687" s="59">
        <v>11148</v>
      </c>
      <c r="AN687" s="59">
        <v>1</v>
      </c>
      <c r="AO687" s="59">
        <v>0</v>
      </c>
      <c r="AP687" s="59">
        <v>12</v>
      </c>
      <c r="AQ687" s="59">
        <v>3</v>
      </c>
      <c r="AR687" s="59">
        <v>2</v>
      </c>
      <c r="AS687" s="59">
        <v>80</v>
      </c>
      <c r="AT687" s="59">
        <v>0</v>
      </c>
      <c r="AU687" s="59">
        <v>7</v>
      </c>
      <c r="AV687" s="59">
        <v>2</v>
      </c>
      <c r="AW687" s="59">
        <v>3</v>
      </c>
      <c r="AX687" s="59">
        <v>7</v>
      </c>
      <c r="AY687" s="59">
        <v>7</v>
      </c>
      <c r="AZ687" s="59">
        <v>0</v>
      </c>
      <c r="BA687" s="59">
        <v>7</v>
      </c>
      <c r="BB687" s="57">
        <f t="shared" si="208"/>
        <v>8588</v>
      </c>
    </row>
    <row r="688" spans="1:54" x14ac:dyDescent="0.25">
      <c r="A688" s="58">
        <v>41</v>
      </c>
      <c r="B688" s="59">
        <v>0</v>
      </c>
      <c r="C688" s="59">
        <v>1</v>
      </c>
      <c r="D688" s="59">
        <f t="shared" si="190"/>
        <v>1</v>
      </c>
      <c r="E688" s="59">
        <f t="shared" si="191"/>
        <v>0</v>
      </c>
      <c r="F688" s="59">
        <v>263</v>
      </c>
      <c r="G688" s="59">
        <v>2</v>
      </c>
      <c r="H688" s="59">
        <f t="shared" si="192"/>
        <v>0</v>
      </c>
      <c r="I688" s="59">
        <f t="shared" si="193"/>
        <v>1</v>
      </c>
      <c r="J688" s="59">
        <v>6</v>
      </c>
      <c r="K688" s="59">
        <v>3</v>
      </c>
      <c r="L688" s="59">
        <v>3</v>
      </c>
      <c r="M688" s="59">
        <f t="shared" si="194"/>
        <v>0</v>
      </c>
      <c r="N688" s="59">
        <f t="shared" si="195"/>
        <v>0</v>
      </c>
      <c r="O688" s="59">
        <f t="shared" si="196"/>
        <v>1</v>
      </c>
      <c r="P688" s="59">
        <f t="shared" si="197"/>
        <v>0</v>
      </c>
      <c r="Q688" s="59">
        <f t="shared" si="198"/>
        <v>0</v>
      </c>
      <c r="R688" s="59">
        <v>1</v>
      </c>
      <c r="S688" s="59">
        <v>957</v>
      </c>
      <c r="T688" s="59">
        <v>4</v>
      </c>
      <c r="U688" s="59">
        <v>1</v>
      </c>
      <c r="V688" s="59">
        <v>59</v>
      </c>
      <c r="W688" s="59">
        <v>3</v>
      </c>
      <c r="X688" s="59">
        <v>1</v>
      </c>
      <c r="Y688" s="59">
        <v>3</v>
      </c>
      <c r="Z688" s="59">
        <f t="shared" si="199"/>
        <v>0</v>
      </c>
      <c r="AA688" s="59">
        <f>IF('Updated Dummy'!Y688=2,1,0)</f>
        <v>0</v>
      </c>
      <c r="AB688" s="59">
        <f t="shared" si="200"/>
        <v>1</v>
      </c>
      <c r="AC688" s="59">
        <f t="shared" si="201"/>
        <v>0</v>
      </c>
      <c r="AD688" s="59">
        <f t="shared" si="202"/>
        <v>0</v>
      </c>
      <c r="AE688" s="59">
        <f t="shared" si="203"/>
        <v>0</v>
      </c>
      <c r="AF688" s="59">
        <f t="shared" si="204"/>
        <v>0</v>
      </c>
      <c r="AG688" s="59">
        <f t="shared" si="205"/>
        <v>0</v>
      </c>
      <c r="AH688" s="59">
        <v>1</v>
      </c>
      <c r="AI688" s="59">
        <v>1</v>
      </c>
      <c r="AJ688" s="59">
        <f t="shared" si="206"/>
        <v>1</v>
      </c>
      <c r="AK688" s="59">
        <f t="shared" si="207"/>
        <v>0</v>
      </c>
      <c r="AL688" s="59">
        <v>4721</v>
      </c>
      <c r="AM688" s="59">
        <v>3119</v>
      </c>
      <c r="AN688" s="59">
        <v>2</v>
      </c>
      <c r="AO688" s="59">
        <v>1</v>
      </c>
      <c r="AP688" s="59">
        <v>13</v>
      </c>
      <c r="AQ688" s="59">
        <v>3</v>
      </c>
      <c r="AR688" s="59">
        <v>3</v>
      </c>
      <c r="AS688" s="59">
        <v>80</v>
      </c>
      <c r="AT688" s="59">
        <v>0</v>
      </c>
      <c r="AU688" s="59">
        <v>20</v>
      </c>
      <c r="AV688" s="59">
        <v>3</v>
      </c>
      <c r="AW688" s="59">
        <v>3</v>
      </c>
      <c r="AX688" s="59">
        <v>18</v>
      </c>
      <c r="AY688" s="59">
        <v>13</v>
      </c>
      <c r="AZ688" s="59">
        <v>2</v>
      </c>
      <c r="BA688" s="59">
        <v>17</v>
      </c>
      <c r="BB688" s="57">
        <f t="shared" si="208"/>
        <v>4721</v>
      </c>
    </row>
    <row r="689" spans="1:54" x14ac:dyDescent="0.25">
      <c r="A689" s="58">
        <v>36</v>
      </c>
      <c r="B689" s="59">
        <v>0</v>
      </c>
      <c r="C689" s="59">
        <v>1</v>
      </c>
      <c r="D689" s="59">
        <f t="shared" si="190"/>
        <v>1</v>
      </c>
      <c r="E689" s="59">
        <f t="shared" si="191"/>
        <v>0</v>
      </c>
      <c r="F689" s="59">
        <v>938</v>
      </c>
      <c r="G689" s="59">
        <v>2</v>
      </c>
      <c r="H689" s="59">
        <f t="shared" si="192"/>
        <v>0</v>
      </c>
      <c r="I689" s="59">
        <f t="shared" si="193"/>
        <v>1</v>
      </c>
      <c r="J689" s="59">
        <v>2</v>
      </c>
      <c r="K689" s="59">
        <v>4</v>
      </c>
      <c r="L689" s="59">
        <v>3</v>
      </c>
      <c r="M689" s="59">
        <f t="shared" si="194"/>
        <v>0</v>
      </c>
      <c r="N689" s="59">
        <f t="shared" si="195"/>
        <v>0</v>
      </c>
      <c r="O689" s="59">
        <f t="shared" si="196"/>
        <v>1</v>
      </c>
      <c r="P689" s="59">
        <f t="shared" si="197"/>
        <v>0</v>
      </c>
      <c r="Q689" s="59">
        <f t="shared" si="198"/>
        <v>0</v>
      </c>
      <c r="R689" s="59">
        <v>1</v>
      </c>
      <c r="S689" s="59">
        <v>958</v>
      </c>
      <c r="T689" s="59">
        <v>3</v>
      </c>
      <c r="U689" s="59">
        <v>1</v>
      </c>
      <c r="V689" s="59">
        <v>79</v>
      </c>
      <c r="W689" s="59">
        <v>3</v>
      </c>
      <c r="X689" s="59">
        <v>1</v>
      </c>
      <c r="Y689" s="59">
        <v>3</v>
      </c>
      <c r="Z689" s="59">
        <f t="shared" si="199"/>
        <v>0</v>
      </c>
      <c r="AA689" s="59">
        <f>IF('Updated Dummy'!Y689=2,1,0)</f>
        <v>0</v>
      </c>
      <c r="AB689" s="59">
        <f t="shared" si="200"/>
        <v>1</v>
      </c>
      <c r="AC689" s="59">
        <f t="shared" si="201"/>
        <v>0</v>
      </c>
      <c r="AD689" s="59">
        <f t="shared" si="202"/>
        <v>0</v>
      </c>
      <c r="AE689" s="59">
        <f t="shared" si="203"/>
        <v>0</v>
      </c>
      <c r="AF689" s="59">
        <f t="shared" si="204"/>
        <v>0</v>
      </c>
      <c r="AG689" s="59">
        <f t="shared" si="205"/>
        <v>0</v>
      </c>
      <c r="AH689" s="59">
        <v>3</v>
      </c>
      <c r="AI689" s="59">
        <v>1</v>
      </c>
      <c r="AJ689" s="59">
        <f t="shared" si="206"/>
        <v>1</v>
      </c>
      <c r="AK689" s="59">
        <f t="shared" si="207"/>
        <v>0</v>
      </c>
      <c r="AL689" s="59">
        <v>2519</v>
      </c>
      <c r="AM689" s="59">
        <v>12287</v>
      </c>
      <c r="AN689" s="59">
        <v>4</v>
      </c>
      <c r="AO689" s="59">
        <v>0</v>
      </c>
      <c r="AP689" s="59">
        <v>21</v>
      </c>
      <c r="AQ689" s="59">
        <v>4</v>
      </c>
      <c r="AR689" s="59">
        <v>3</v>
      </c>
      <c r="AS689" s="59">
        <v>80</v>
      </c>
      <c r="AT689" s="59">
        <v>0</v>
      </c>
      <c r="AU689" s="59">
        <v>16</v>
      </c>
      <c r="AV689" s="59">
        <v>6</v>
      </c>
      <c r="AW689" s="59">
        <v>3</v>
      </c>
      <c r="AX689" s="59">
        <v>11</v>
      </c>
      <c r="AY689" s="59">
        <v>8</v>
      </c>
      <c r="AZ689" s="59">
        <v>3</v>
      </c>
      <c r="BA689" s="59">
        <v>9</v>
      </c>
      <c r="BB689" s="57">
        <f t="shared" si="208"/>
        <v>2519</v>
      </c>
    </row>
    <row r="690" spans="1:54" x14ac:dyDescent="0.25">
      <c r="A690" s="58">
        <v>19</v>
      </c>
      <c r="B690" s="59">
        <v>1</v>
      </c>
      <c r="C690" s="59">
        <v>1</v>
      </c>
      <c r="D690" s="59">
        <f t="shared" si="190"/>
        <v>1</v>
      </c>
      <c r="E690" s="59">
        <f t="shared" si="191"/>
        <v>0</v>
      </c>
      <c r="F690" s="59">
        <v>419</v>
      </c>
      <c r="G690" s="59">
        <v>1</v>
      </c>
      <c r="H690" s="59">
        <f t="shared" si="192"/>
        <v>1</v>
      </c>
      <c r="I690" s="59">
        <f t="shared" si="193"/>
        <v>0</v>
      </c>
      <c r="J690" s="59">
        <v>21</v>
      </c>
      <c r="K690" s="59">
        <v>3</v>
      </c>
      <c r="L690" s="59">
        <v>6</v>
      </c>
      <c r="M690" s="59">
        <f t="shared" si="194"/>
        <v>0</v>
      </c>
      <c r="N690" s="59">
        <f t="shared" si="195"/>
        <v>0</v>
      </c>
      <c r="O690" s="59">
        <f t="shared" si="196"/>
        <v>0</v>
      </c>
      <c r="P690" s="59">
        <f t="shared" si="197"/>
        <v>0</v>
      </c>
      <c r="Q690" s="59">
        <f t="shared" si="198"/>
        <v>0</v>
      </c>
      <c r="R690" s="59">
        <v>1</v>
      </c>
      <c r="S690" s="59">
        <v>959</v>
      </c>
      <c r="T690" s="59">
        <v>4</v>
      </c>
      <c r="U690" s="59">
        <v>1</v>
      </c>
      <c r="V690" s="59">
        <v>37</v>
      </c>
      <c r="W690" s="59">
        <v>2</v>
      </c>
      <c r="X690" s="59">
        <v>1</v>
      </c>
      <c r="Y690" s="59">
        <v>7</v>
      </c>
      <c r="Z690" s="59">
        <f t="shared" si="199"/>
        <v>0</v>
      </c>
      <c r="AA690" s="59">
        <f>IF('Updated Dummy'!Y690=2,1,0)</f>
        <v>0</v>
      </c>
      <c r="AB690" s="59">
        <f t="shared" si="200"/>
        <v>0</v>
      </c>
      <c r="AC690" s="59">
        <f t="shared" si="201"/>
        <v>0</v>
      </c>
      <c r="AD690" s="59">
        <f t="shared" si="202"/>
        <v>0</v>
      </c>
      <c r="AE690" s="59">
        <f t="shared" si="203"/>
        <v>0</v>
      </c>
      <c r="AF690" s="59">
        <f t="shared" si="204"/>
        <v>1</v>
      </c>
      <c r="AG690" s="59">
        <f t="shared" si="205"/>
        <v>0</v>
      </c>
      <c r="AH690" s="59">
        <v>2</v>
      </c>
      <c r="AI690" s="59">
        <v>1</v>
      </c>
      <c r="AJ690" s="59">
        <f t="shared" si="206"/>
        <v>1</v>
      </c>
      <c r="AK690" s="59">
        <f t="shared" si="207"/>
        <v>0</v>
      </c>
      <c r="AL690" s="59">
        <v>2121</v>
      </c>
      <c r="AM690" s="59">
        <v>9947</v>
      </c>
      <c r="AN690" s="59">
        <v>1</v>
      </c>
      <c r="AO690" s="59">
        <v>1</v>
      </c>
      <c r="AP690" s="59">
        <v>13</v>
      </c>
      <c r="AQ690" s="59">
        <v>3</v>
      </c>
      <c r="AR690" s="59">
        <v>2</v>
      </c>
      <c r="AS690" s="59">
        <v>80</v>
      </c>
      <c r="AT690" s="59">
        <v>0</v>
      </c>
      <c r="AU690" s="59">
        <v>1</v>
      </c>
      <c r="AV690" s="59">
        <v>3</v>
      </c>
      <c r="AW690" s="59">
        <v>4</v>
      </c>
      <c r="AX690" s="59">
        <v>1</v>
      </c>
      <c r="AY690" s="59">
        <v>0</v>
      </c>
      <c r="AZ690" s="59">
        <v>0</v>
      </c>
      <c r="BA690" s="59">
        <v>0</v>
      </c>
      <c r="BB690" s="57">
        <f t="shared" si="208"/>
        <v>2121</v>
      </c>
    </row>
    <row r="691" spans="1:54" x14ac:dyDescent="0.25">
      <c r="A691" s="58">
        <v>20</v>
      </c>
      <c r="B691" s="59">
        <v>1</v>
      </c>
      <c r="C691" s="59">
        <v>1</v>
      </c>
      <c r="D691" s="59">
        <f t="shared" si="190"/>
        <v>1</v>
      </c>
      <c r="E691" s="59">
        <f t="shared" si="191"/>
        <v>0</v>
      </c>
      <c r="F691" s="59">
        <v>129</v>
      </c>
      <c r="G691" s="59">
        <v>2</v>
      </c>
      <c r="H691" s="59">
        <f t="shared" si="192"/>
        <v>0</v>
      </c>
      <c r="I691" s="59">
        <f t="shared" si="193"/>
        <v>1</v>
      </c>
      <c r="J691" s="59">
        <v>4</v>
      </c>
      <c r="K691" s="59">
        <v>3</v>
      </c>
      <c r="L691" s="59">
        <v>5</v>
      </c>
      <c r="M691" s="59">
        <f t="shared" si="194"/>
        <v>0</v>
      </c>
      <c r="N691" s="59">
        <f t="shared" si="195"/>
        <v>0</v>
      </c>
      <c r="O691" s="59">
        <f t="shared" si="196"/>
        <v>0</v>
      </c>
      <c r="P691" s="59">
        <f t="shared" si="197"/>
        <v>0</v>
      </c>
      <c r="Q691" s="59">
        <f t="shared" si="198"/>
        <v>1</v>
      </c>
      <c r="R691" s="59">
        <v>1</v>
      </c>
      <c r="S691" s="59">
        <v>960</v>
      </c>
      <c r="T691" s="59">
        <v>1</v>
      </c>
      <c r="U691" s="59">
        <v>1</v>
      </c>
      <c r="V691" s="59">
        <v>84</v>
      </c>
      <c r="W691" s="59">
        <v>3</v>
      </c>
      <c r="X691" s="59">
        <v>1</v>
      </c>
      <c r="Y691" s="59">
        <v>3</v>
      </c>
      <c r="Z691" s="59">
        <f t="shared" si="199"/>
        <v>0</v>
      </c>
      <c r="AA691" s="59">
        <f>IF('Updated Dummy'!Y691=2,1,0)</f>
        <v>0</v>
      </c>
      <c r="AB691" s="59">
        <f t="shared" si="200"/>
        <v>1</v>
      </c>
      <c r="AC691" s="59">
        <f t="shared" si="201"/>
        <v>0</v>
      </c>
      <c r="AD691" s="59">
        <f t="shared" si="202"/>
        <v>0</v>
      </c>
      <c r="AE691" s="59">
        <f t="shared" si="203"/>
        <v>0</v>
      </c>
      <c r="AF691" s="59">
        <f t="shared" si="204"/>
        <v>0</v>
      </c>
      <c r="AG691" s="59">
        <f t="shared" si="205"/>
        <v>0</v>
      </c>
      <c r="AH691" s="59">
        <v>1</v>
      </c>
      <c r="AI691" s="59">
        <v>1</v>
      </c>
      <c r="AJ691" s="59">
        <f t="shared" si="206"/>
        <v>1</v>
      </c>
      <c r="AK691" s="59">
        <f t="shared" si="207"/>
        <v>0</v>
      </c>
      <c r="AL691" s="59">
        <v>2973</v>
      </c>
      <c r="AM691" s="59">
        <v>13008</v>
      </c>
      <c r="AN691" s="59">
        <v>1</v>
      </c>
      <c r="AO691" s="59">
        <v>0</v>
      </c>
      <c r="AP691" s="59">
        <v>19</v>
      </c>
      <c r="AQ691" s="59">
        <v>3</v>
      </c>
      <c r="AR691" s="59">
        <v>2</v>
      </c>
      <c r="AS691" s="59">
        <v>80</v>
      </c>
      <c r="AT691" s="59">
        <v>0</v>
      </c>
      <c r="AU691" s="59">
        <v>1</v>
      </c>
      <c r="AV691" s="59">
        <v>2</v>
      </c>
      <c r="AW691" s="59">
        <v>3</v>
      </c>
      <c r="AX691" s="59">
        <v>1</v>
      </c>
      <c r="AY691" s="59">
        <v>0</v>
      </c>
      <c r="AZ691" s="59">
        <v>0</v>
      </c>
      <c r="BA691" s="59">
        <v>0</v>
      </c>
      <c r="BB691" s="57">
        <f t="shared" si="208"/>
        <v>2973</v>
      </c>
    </row>
    <row r="692" spans="1:54" x14ac:dyDescent="0.25">
      <c r="A692" s="58">
        <v>31</v>
      </c>
      <c r="B692" s="59">
        <v>0</v>
      </c>
      <c r="C692" s="59">
        <v>1</v>
      </c>
      <c r="D692" s="59">
        <f t="shared" si="190"/>
        <v>1</v>
      </c>
      <c r="E692" s="59">
        <f t="shared" si="191"/>
        <v>0</v>
      </c>
      <c r="F692" s="59">
        <v>616</v>
      </c>
      <c r="G692" s="59">
        <v>2</v>
      </c>
      <c r="H692" s="59">
        <f t="shared" si="192"/>
        <v>0</v>
      </c>
      <c r="I692" s="59">
        <f t="shared" si="193"/>
        <v>1</v>
      </c>
      <c r="J692" s="59">
        <v>12</v>
      </c>
      <c r="K692" s="59">
        <v>3</v>
      </c>
      <c r="L692" s="59">
        <v>3</v>
      </c>
      <c r="M692" s="59">
        <f t="shared" si="194"/>
        <v>0</v>
      </c>
      <c r="N692" s="59">
        <f t="shared" si="195"/>
        <v>0</v>
      </c>
      <c r="O692" s="59">
        <f t="shared" si="196"/>
        <v>1</v>
      </c>
      <c r="P692" s="59">
        <f t="shared" si="197"/>
        <v>0</v>
      </c>
      <c r="Q692" s="59">
        <f t="shared" si="198"/>
        <v>0</v>
      </c>
      <c r="R692" s="59">
        <v>1</v>
      </c>
      <c r="S692" s="59">
        <v>961</v>
      </c>
      <c r="T692" s="59">
        <v>4</v>
      </c>
      <c r="U692" s="59">
        <v>0</v>
      </c>
      <c r="V692" s="59">
        <v>41</v>
      </c>
      <c r="W692" s="59">
        <v>3</v>
      </c>
      <c r="X692" s="59">
        <v>2</v>
      </c>
      <c r="Y692" s="59">
        <v>5</v>
      </c>
      <c r="Z692" s="59">
        <f t="shared" si="199"/>
        <v>0</v>
      </c>
      <c r="AA692" s="59">
        <f>IF('Updated Dummy'!Y692=2,1,0)</f>
        <v>0</v>
      </c>
      <c r="AB692" s="59">
        <f t="shared" si="200"/>
        <v>0</v>
      </c>
      <c r="AC692" s="59">
        <f t="shared" si="201"/>
        <v>0</v>
      </c>
      <c r="AD692" s="59">
        <f t="shared" si="202"/>
        <v>1</v>
      </c>
      <c r="AE692" s="59">
        <f t="shared" si="203"/>
        <v>0</v>
      </c>
      <c r="AF692" s="59">
        <f t="shared" si="204"/>
        <v>0</v>
      </c>
      <c r="AG692" s="59">
        <f t="shared" si="205"/>
        <v>0</v>
      </c>
      <c r="AH692" s="59">
        <v>4</v>
      </c>
      <c r="AI692" s="59">
        <v>2</v>
      </c>
      <c r="AJ692" s="59">
        <f t="shared" si="206"/>
        <v>0</v>
      </c>
      <c r="AK692" s="59">
        <f t="shared" si="207"/>
        <v>1</v>
      </c>
      <c r="AL692" s="59">
        <v>5855</v>
      </c>
      <c r="AM692" s="59">
        <v>17369</v>
      </c>
      <c r="AN692" s="59">
        <v>0</v>
      </c>
      <c r="AO692" s="59">
        <v>1</v>
      </c>
      <c r="AP692" s="59">
        <v>11</v>
      </c>
      <c r="AQ692" s="59">
        <v>3</v>
      </c>
      <c r="AR692" s="59">
        <v>3</v>
      </c>
      <c r="AS692" s="59">
        <v>80</v>
      </c>
      <c r="AT692" s="59">
        <v>2</v>
      </c>
      <c r="AU692" s="59">
        <v>10</v>
      </c>
      <c r="AV692" s="59">
        <v>2</v>
      </c>
      <c r="AW692" s="59">
        <v>1</v>
      </c>
      <c r="AX692" s="59">
        <v>9</v>
      </c>
      <c r="AY692" s="59">
        <v>7</v>
      </c>
      <c r="AZ692" s="59">
        <v>8</v>
      </c>
      <c r="BA692" s="59">
        <v>5</v>
      </c>
      <c r="BB692" s="57">
        <f t="shared" si="208"/>
        <v>11710</v>
      </c>
    </row>
    <row r="693" spans="1:54" x14ac:dyDescent="0.25">
      <c r="A693" s="58">
        <v>40</v>
      </c>
      <c r="B693" s="59">
        <v>0</v>
      </c>
      <c r="C693" s="59">
        <v>2</v>
      </c>
      <c r="D693" s="59">
        <f t="shared" si="190"/>
        <v>0</v>
      </c>
      <c r="E693" s="59">
        <f t="shared" si="191"/>
        <v>1</v>
      </c>
      <c r="F693" s="59">
        <v>1469</v>
      </c>
      <c r="G693" s="59">
        <v>2</v>
      </c>
      <c r="H693" s="59">
        <f t="shared" si="192"/>
        <v>0</v>
      </c>
      <c r="I693" s="59">
        <f t="shared" si="193"/>
        <v>1</v>
      </c>
      <c r="J693" s="59">
        <v>9</v>
      </c>
      <c r="K693" s="59">
        <v>4</v>
      </c>
      <c r="L693" s="59">
        <v>3</v>
      </c>
      <c r="M693" s="59">
        <f t="shared" si="194"/>
        <v>0</v>
      </c>
      <c r="N693" s="59">
        <f t="shared" si="195"/>
        <v>0</v>
      </c>
      <c r="O693" s="59">
        <f t="shared" si="196"/>
        <v>1</v>
      </c>
      <c r="P693" s="59">
        <f t="shared" si="197"/>
        <v>0</v>
      </c>
      <c r="Q693" s="59">
        <f t="shared" si="198"/>
        <v>0</v>
      </c>
      <c r="R693" s="59">
        <v>1</v>
      </c>
      <c r="S693" s="59">
        <v>964</v>
      </c>
      <c r="T693" s="59">
        <v>4</v>
      </c>
      <c r="U693" s="59">
        <v>1</v>
      </c>
      <c r="V693" s="59">
        <v>35</v>
      </c>
      <c r="W693" s="59">
        <v>3</v>
      </c>
      <c r="X693" s="59">
        <v>1</v>
      </c>
      <c r="Y693" s="59">
        <v>2</v>
      </c>
      <c r="Z693" s="59">
        <f t="shared" si="199"/>
        <v>0</v>
      </c>
      <c r="AA693" s="59">
        <f>IF('Updated Dummy'!Y693=2,1,0)</f>
        <v>1</v>
      </c>
      <c r="AB693" s="59">
        <f t="shared" si="200"/>
        <v>0</v>
      </c>
      <c r="AC693" s="59">
        <f t="shared" si="201"/>
        <v>0</v>
      </c>
      <c r="AD693" s="59">
        <f t="shared" si="202"/>
        <v>0</v>
      </c>
      <c r="AE693" s="59">
        <f t="shared" si="203"/>
        <v>0</v>
      </c>
      <c r="AF693" s="59">
        <f t="shared" si="204"/>
        <v>0</v>
      </c>
      <c r="AG693" s="59">
        <f t="shared" si="205"/>
        <v>0</v>
      </c>
      <c r="AH693" s="59">
        <v>2</v>
      </c>
      <c r="AI693" s="59">
        <v>3</v>
      </c>
      <c r="AJ693" s="59">
        <f t="shared" si="206"/>
        <v>0</v>
      </c>
      <c r="AK693" s="59">
        <f t="shared" si="207"/>
        <v>0</v>
      </c>
      <c r="AL693" s="59">
        <v>3617</v>
      </c>
      <c r="AM693" s="59">
        <v>25063</v>
      </c>
      <c r="AN693" s="59">
        <v>8</v>
      </c>
      <c r="AO693" s="59">
        <v>1</v>
      </c>
      <c r="AP693" s="59">
        <v>14</v>
      </c>
      <c r="AQ693" s="59">
        <v>3</v>
      </c>
      <c r="AR693" s="59">
        <v>4</v>
      </c>
      <c r="AS693" s="59">
        <v>80</v>
      </c>
      <c r="AT693" s="59">
        <v>1</v>
      </c>
      <c r="AU693" s="59">
        <v>3</v>
      </c>
      <c r="AV693" s="59">
        <v>2</v>
      </c>
      <c r="AW693" s="59">
        <v>3</v>
      </c>
      <c r="AX693" s="59">
        <v>1</v>
      </c>
      <c r="AY693" s="59">
        <v>1</v>
      </c>
      <c r="AZ693" s="59">
        <v>0</v>
      </c>
      <c r="BA693" s="59">
        <v>0</v>
      </c>
      <c r="BB693" s="57">
        <f t="shared" si="208"/>
        <v>3617</v>
      </c>
    </row>
    <row r="694" spans="1:54" x14ac:dyDescent="0.25">
      <c r="A694" s="58">
        <v>32</v>
      </c>
      <c r="B694" s="59">
        <v>0</v>
      </c>
      <c r="C694" s="59">
        <v>1</v>
      </c>
      <c r="D694" s="59">
        <f t="shared" si="190"/>
        <v>1</v>
      </c>
      <c r="E694" s="59">
        <f t="shared" si="191"/>
        <v>0</v>
      </c>
      <c r="F694" s="59">
        <v>498</v>
      </c>
      <c r="G694" s="59">
        <v>2</v>
      </c>
      <c r="H694" s="59">
        <f t="shared" si="192"/>
        <v>0</v>
      </c>
      <c r="I694" s="59">
        <f t="shared" si="193"/>
        <v>1</v>
      </c>
      <c r="J694" s="59">
        <v>3</v>
      </c>
      <c r="K694" s="59">
        <v>4</v>
      </c>
      <c r="L694" s="59">
        <v>3</v>
      </c>
      <c r="M694" s="59">
        <f t="shared" si="194"/>
        <v>0</v>
      </c>
      <c r="N694" s="59">
        <f t="shared" si="195"/>
        <v>0</v>
      </c>
      <c r="O694" s="59">
        <f t="shared" si="196"/>
        <v>1</v>
      </c>
      <c r="P694" s="59">
        <f t="shared" si="197"/>
        <v>0</v>
      </c>
      <c r="Q694" s="59">
        <f t="shared" si="198"/>
        <v>0</v>
      </c>
      <c r="R694" s="59">
        <v>1</v>
      </c>
      <c r="S694" s="59">
        <v>966</v>
      </c>
      <c r="T694" s="59">
        <v>3</v>
      </c>
      <c r="U694" s="59">
        <v>0</v>
      </c>
      <c r="V694" s="59">
        <v>93</v>
      </c>
      <c r="W694" s="59">
        <v>3</v>
      </c>
      <c r="X694" s="59">
        <v>2</v>
      </c>
      <c r="Y694" s="59">
        <v>4</v>
      </c>
      <c r="Z694" s="59">
        <f t="shared" si="199"/>
        <v>0</v>
      </c>
      <c r="AA694" s="59">
        <f>IF('Updated Dummy'!Y694=2,1,0)</f>
        <v>0</v>
      </c>
      <c r="AB694" s="59">
        <f t="shared" si="200"/>
        <v>0</v>
      </c>
      <c r="AC694" s="59">
        <f t="shared" si="201"/>
        <v>1</v>
      </c>
      <c r="AD694" s="59">
        <f t="shared" si="202"/>
        <v>0</v>
      </c>
      <c r="AE694" s="59">
        <f t="shared" si="203"/>
        <v>0</v>
      </c>
      <c r="AF694" s="59">
        <f t="shared" si="204"/>
        <v>0</v>
      </c>
      <c r="AG694" s="59">
        <f t="shared" si="205"/>
        <v>0</v>
      </c>
      <c r="AH694" s="59">
        <v>1</v>
      </c>
      <c r="AI694" s="59">
        <v>2</v>
      </c>
      <c r="AJ694" s="59">
        <f t="shared" si="206"/>
        <v>0</v>
      </c>
      <c r="AK694" s="59">
        <f t="shared" si="207"/>
        <v>1</v>
      </c>
      <c r="AL694" s="59">
        <v>6725</v>
      </c>
      <c r="AM694" s="59">
        <v>13554</v>
      </c>
      <c r="AN694" s="59">
        <v>1</v>
      </c>
      <c r="AO694" s="59">
        <v>0</v>
      </c>
      <c r="AP694" s="59">
        <v>12</v>
      </c>
      <c r="AQ694" s="59">
        <v>3</v>
      </c>
      <c r="AR694" s="59">
        <v>3</v>
      </c>
      <c r="AS694" s="59">
        <v>80</v>
      </c>
      <c r="AT694" s="59">
        <v>1</v>
      </c>
      <c r="AU694" s="59">
        <v>8</v>
      </c>
      <c r="AV694" s="59">
        <v>2</v>
      </c>
      <c r="AW694" s="59">
        <v>4</v>
      </c>
      <c r="AX694" s="59">
        <v>8</v>
      </c>
      <c r="AY694" s="59">
        <v>7</v>
      </c>
      <c r="AZ694" s="59">
        <v>6</v>
      </c>
      <c r="BA694" s="59">
        <v>3</v>
      </c>
      <c r="BB694" s="57">
        <f t="shared" si="208"/>
        <v>13450</v>
      </c>
    </row>
    <row r="695" spans="1:54" x14ac:dyDescent="0.25">
      <c r="A695" s="58">
        <v>36</v>
      </c>
      <c r="B695" s="59">
        <v>1</v>
      </c>
      <c r="C695" s="59">
        <v>1</v>
      </c>
      <c r="D695" s="59">
        <f t="shared" si="190"/>
        <v>1</v>
      </c>
      <c r="E695" s="59">
        <f t="shared" si="191"/>
        <v>0</v>
      </c>
      <c r="F695" s="59">
        <v>530</v>
      </c>
      <c r="G695" s="59">
        <v>1</v>
      </c>
      <c r="H695" s="59">
        <f t="shared" si="192"/>
        <v>1</v>
      </c>
      <c r="I695" s="59">
        <f t="shared" si="193"/>
        <v>0</v>
      </c>
      <c r="J695" s="59">
        <v>3</v>
      </c>
      <c r="K695" s="59">
        <v>1</v>
      </c>
      <c r="L695" s="59">
        <v>1</v>
      </c>
      <c r="M695" s="59">
        <f t="shared" si="194"/>
        <v>1</v>
      </c>
      <c r="N695" s="59">
        <f t="shared" si="195"/>
        <v>0</v>
      </c>
      <c r="O695" s="59">
        <f t="shared" si="196"/>
        <v>0</v>
      </c>
      <c r="P695" s="59">
        <f t="shared" si="197"/>
        <v>0</v>
      </c>
      <c r="Q695" s="59">
        <f t="shared" si="198"/>
        <v>0</v>
      </c>
      <c r="R695" s="59">
        <v>1</v>
      </c>
      <c r="S695" s="59">
        <v>967</v>
      </c>
      <c r="T695" s="59">
        <v>3</v>
      </c>
      <c r="U695" s="59">
        <v>1</v>
      </c>
      <c r="V695" s="59">
        <v>51</v>
      </c>
      <c r="W695" s="59">
        <v>2</v>
      </c>
      <c r="X695" s="59">
        <v>3</v>
      </c>
      <c r="Y695" s="59">
        <v>1</v>
      </c>
      <c r="Z695" s="59">
        <f t="shared" si="199"/>
        <v>1</v>
      </c>
      <c r="AA695" s="59">
        <f>IF('Updated Dummy'!Y695=2,1,0)</f>
        <v>0</v>
      </c>
      <c r="AB695" s="59">
        <f t="shared" si="200"/>
        <v>0</v>
      </c>
      <c r="AC695" s="59">
        <f t="shared" si="201"/>
        <v>0</v>
      </c>
      <c r="AD695" s="59">
        <f t="shared" si="202"/>
        <v>0</v>
      </c>
      <c r="AE695" s="59">
        <f t="shared" si="203"/>
        <v>0</v>
      </c>
      <c r="AF695" s="59">
        <f t="shared" si="204"/>
        <v>0</v>
      </c>
      <c r="AG695" s="59">
        <f t="shared" si="205"/>
        <v>0</v>
      </c>
      <c r="AH695" s="59">
        <v>4</v>
      </c>
      <c r="AI695" s="59">
        <v>2</v>
      </c>
      <c r="AJ695" s="59">
        <f t="shared" si="206"/>
        <v>0</v>
      </c>
      <c r="AK695" s="59">
        <f t="shared" si="207"/>
        <v>1</v>
      </c>
      <c r="AL695" s="59">
        <v>10325</v>
      </c>
      <c r="AM695" s="59">
        <v>5518</v>
      </c>
      <c r="AN695" s="59">
        <v>1</v>
      </c>
      <c r="AO695" s="59">
        <v>1</v>
      </c>
      <c r="AP695" s="59">
        <v>11</v>
      </c>
      <c r="AQ695" s="59">
        <v>3</v>
      </c>
      <c r="AR695" s="59">
        <v>1</v>
      </c>
      <c r="AS695" s="59">
        <v>80</v>
      </c>
      <c r="AT695" s="59">
        <v>1</v>
      </c>
      <c r="AU695" s="59">
        <v>16</v>
      </c>
      <c r="AV695" s="59">
        <v>6</v>
      </c>
      <c r="AW695" s="59">
        <v>3</v>
      </c>
      <c r="AX695" s="59">
        <v>16</v>
      </c>
      <c r="AY695" s="59">
        <v>7</v>
      </c>
      <c r="AZ695" s="59">
        <v>3</v>
      </c>
      <c r="BA695" s="59">
        <v>7</v>
      </c>
      <c r="BB695" s="57">
        <f t="shared" si="208"/>
        <v>30975</v>
      </c>
    </row>
    <row r="696" spans="1:54" x14ac:dyDescent="0.25">
      <c r="A696" s="58">
        <v>33</v>
      </c>
      <c r="B696" s="59">
        <v>0</v>
      </c>
      <c r="C696" s="59">
        <v>1</v>
      </c>
      <c r="D696" s="59">
        <f t="shared" si="190"/>
        <v>1</v>
      </c>
      <c r="E696" s="59">
        <f t="shared" si="191"/>
        <v>0</v>
      </c>
      <c r="F696" s="59">
        <v>1069</v>
      </c>
      <c r="G696" s="59">
        <v>2</v>
      </c>
      <c r="H696" s="59">
        <f t="shared" si="192"/>
        <v>0</v>
      </c>
      <c r="I696" s="59">
        <f t="shared" si="193"/>
        <v>1</v>
      </c>
      <c r="J696" s="59">
        <v>1</v>
      </c>
      <c r="K696" s="59">
        <v>3</v>
      </c>
      <c r="L696" s="59">
        <v>1</v>
      </c>
      <c r="M696" s="59">
        <f t="shared" si="194"/>
        <v>1</v>
      </c>
      <c r="N696" s="59">
        <f t="shared" si="195"/>
        <v>0</v>
      </c>
      <c r="O696" s="59">
        <f t="shared" si="196"/>
        <v>0</v>
      </c>
      <c r="P696" s="59">
        <f t="shared" si="197"/>
        <v>0</v>
      </c>
      <c r="Q696" s="59">
        <f t="shared" si="198"/>
        <v>0</v>
      </c>
      <c r="R696" s="59">
        <v>1</v>
      </c>
      <c r="S696" s="59">
        <v>969</v>
      </c>
      <c r="T696" s="59">
        <v>2</v>
      </c>
      <c r="U696" s="59">
        <v>0</v>
      </c>
      <c r="V696" s="59">
        <v>42</v>
      </c>
      <c r="W696" s="59">
        <v>2</v>
      </c>
      <c r="X696" s="59">
        <v>2</v>
      </c>
      <c r="Y696" s="59">
        <v>5</v>
      </c>
      <c r="Z696" s="59">
        <f t="shared" si="199"/>
        <v>0</v>
      </c>
      <c r="AA696" s="59">
        <f>IF('Updated Dummy'!Y696=2,1,0)</f>
        <v>0</v>
      </c>
      <c r="AB696" s="59">
        <f t="shared" si="200"/>
        <v>0</v>
      </c>
      <c r="AC696" s="59">
        <f t="shared" si="201"/>
        <v>0</v>
      </c>
      <c r="AD696" s="59">
        <f t="shared" si="202"/>
        <v>1</v>
      </c>
      <c r="AE696" s="59">
        <f t="shared" si="203"/>
        <v>0</v>
      </c>
      <c r="AF696" s="59">
        <f t="shared" si="204"/>
        <v>0</v>
      </c>
      <c r="AG696" s="59">
        <f t="shared" si="205"/>
        <v>0</v>
      </c>
      <c r="AH696" s="59">
        <v>4</v>
      </c>
      <c r="AI696" s="59">
        <v>1</v>
      </c>
      <c r="AJ696" s="59">
        <f t="shared" si="206"/>
        <v>1</v>
      </c>
      <c r="AK696" s="59">
        <f t="shared" si="207"/>
        <v>0</v>
      </c>
      <c r="AL696" s="59">
        <v>6949</v>
      </c>
      <c r="AM696" s="59">
        <v>12291</v>
      </c>
      <c r="AN696" s="59">
        <v>0</v>
      </c>
      <c r="AO696" s="59">
        <v>0</v>
      </c>
      <c r="AP696" s="59">
        <v>14</v>
      </c>
      <c r="AQ696" s="59">
        <v>3</v>
      </c>
      <c r="AR696" s="59">
        <v>1</v>
      </c>
      <c r="AS696" s="59">
        <v>80</v>
      </c>
      <c r="AT696" s="59">
        <v>0</v>
      </c>
      <c r="AU696" s="59">
        <v>6</v>
      </c>
      <c r="AV696" s="59">
        <v>3</v>
      </c>
      <c r="AW696" s="59">
        <v>3</v>
      </c>
      <c r="AX696" s="59">
        <v>5</v>
      </c>
      <c r="AY696" s="59">
        <v>0</v>
      </c>
      <c r="AZ696" s="59">
        <v>1</v>
      </c>
      <c r="BA696" s="59">
        <v>4</v>
      </c>
      <c r="BB696" s="57">
        <f t="shared" si="208"/>
        <v>13898</v>
      </c>
    </row>
    <row r="697" spans="1:54" x14ac:dyDescent="0.25">
      <c r="A697" s="58">
        <v>37</v>
      </c>
      <c r="B697" s="59">
        <v>1</v>
      </c>
      <c r="C697" s="59">
        <v>1</v>
      </c>
      <c r="D697" s="59">
        <f t="shared" si="190"/>
        <v>1</v>
      </c>
      <c r="E697" s="59">
        <f t="shared" si="191"/>
        <v>0</v>
      </c>
      <c r="F697" s="59">
        <v>625</v>
      </c>
      <c r="G697" s="59">
        <v>1</v>
      </c>
      <c r="H697" s="59">
        <f t="shared" si="192"/>
        <v>1</v>
      </c>
      <c r="I697" s="59">
        <f t="shared" si="193"/>
        <v>0</v>
      </c>
      <c r="J697" s="59">
        <v>1</v>
      </c>
      <c r="K697" s="59">
        <v>4</v>
      </c>
      <c r="L697" s="59">
        <v>1</v>
      </c>
      <c r="M697" s="59">
        <f t="shared" si="194"/>
        <v>1</v>
      </c>
      <c r="N697" s="59">
        <f t="shared" si="195"/>
        <v>0</v>
      </c>
      <c r="O697" s="59">
        <f t="shared" si="196"/>
        <v>0</v>
      </c>
      <c r="P697" s="59">
        <f t="shared" si="197"/>
        <v>0</v>
      </c>
      <c r="Q697" s="59">
        <f t="shared" si="198"/>
        <v>0</v>
      </c>
      <c r="R697" s="59">
        <v>1</v>
      </c>
      <c r="S697" s="59">
        <v>970</v>
      </c>
      <c r="T697" s="59">
        <v>1</v>
      </c>
      <c r="U697" s="59">
        <v>1</v>
      </c>
      <c r="V697" s="59">
        <v>46</v>
      </c>
      <c r="W697" s="59">
        <v>2</v>
      </c>
      <c r="X697" s="59">
        <v>3</v>
      </c>
      <c r="Y697" s="59">
        <v>1</v>
      </c>
      <c r="Z697" s="59">
        <f t="shared" si="199"/>
        <v>1</v>
      </c>
      <c r="AA697" s="59">
        <f>IF('Updated Dummy'!Y697=2,1,0)</f>
        <v>0</v>
      </c>
      <c r="AB697" s="59">
        <f t="shared" si="200"/>
        <v>0</v>
      </c>
      <c r="AC697" s="59">
        <f t="shared" si="201"/>
        <v>0</v>
      </c>
      <c r="AD697" s="59">
        <f t="shared" si="202"/>
        <v>0</v>
      </c>
      <c r="AE697" s="59">
        <f t="shared" si="203"/>
        <v>0</v>
      </c>
      <c r="AF697" s="59">
        <f t="shared" si="204"/>
        <v>0</v>
      </c>
      <c r="AG697" s="59">
        <f t="shared" si="205"/>
        <v>0</v>
      </c>
      <c r="AH697" s="59">
        <v>3</v>
      </c>
      <c r="AI697" s="59">
        <v>2</v>
      </c>
      <c r="AJ697" s="59">
        <f t="shared" si="206"/>
        <v>0</v>
      </c>
      <c r="AK697" s="59">
        <f t="shared" si="207"/>
        <v>1</v>
      </c>
      <c r="AL697" s="59">
        <v>10609</v>
      </c>
      <c r="AM697" s="59">
        <v>14922</v>
      </c>
      <c r="AN697" s="59">
        <v>5</v>
      </c>
      <c r="AO697" s="59">
        <v>0</v>
      </c>
      <c r="AP697" s="59">
        <v>11</v>
      </c>
      <c r="AQ697" s="59">
        <v>3</v>
      </c>
      <c r="AR697" s="59">
        <v>3</v>
      </c>
      <c r="AS697" s="59">
        <v>80</v>
      </c>
      <c r="AT697" s="59">
        <v>0</v>
      </c>
      <c r="AU697" s="59">
        <v>17</v>
      </c>
      <c r="AV697" s="59">
        <v>2</v>
      </c>
      <c r="AW697" s="59">
        <v>1</v>
      </c>
      <c r="AX697" s="59">
        <v>14</v>
      </c>
      <c r="AY697" s="59">
        <v>1</v>
      </c>
      <c r="AZ697" s="59">
        <v>11</v>
      </c>
      <c r="BA697" s="59">
        <v>7</v>
      </c>
      <c r="BB697" s="57">
        <f t="shared" si="208"/>
        <v>31827</v>
      </c>
    </row>
    <row r="698" spans="1:54" x14ac:dyDescent="0.25">
      <c r="A698" s="58">
        <v>45</v>
      </c>
      <c r="B698" s="59">
        <v>0</v>
      </c>
      <c r="C698" s="59">
        <v>3</v>
      </c>
      <c r="D698" s="59">
        <f t="shared" si="190"/>
        <v>0</v>
      </c>
      <c r="E698" s="59">
        <f t="shared" si="191"/>
        <v>0</v>
      </c>
      <c r="F698" s="59">
        <v>805</v>
      </c>
      <c r="G698" s="59">
        <v>2</v>
      </c>
      <c r="H698" s="59">
        <f t="shared" si="192"/>
        <v>0</v>
      </c>
      <c r="I698" s="59">
        <f t="shared" si="193"/>
        <v>1</v>
      </c>
      <c r="J698" s="59">
        <v>4</v>
      </c>
      <c r="K698" s="59">
        <v>2</v>
      </c>
      <c r="L698" s="59">
        <v>1</v>
      </c>
      <c r="M698" s="59">
        <f t="shared" si="194"/>
        <v>1</v>
      </c>
      <c r="N698" s="59">
        <f t="shared" si="195"/>
        <v>0</v>
      </c>
      <c r="O698" s="59">
        <f t="shared" si="196"/>
        <v>0</v>
      </c>
      <c r="P698" s="59">
        <f t="shared" si="197"/>
        <v>0</v>
      </c>
      <c r="Q698" s="59">
        <f t="shared" si="198"/>
        <v>0</v>
      </c>
      <c r="R698" s="59">
        <v>1</v>
      </c>
      <c r="S698" s="59">
        <v>972</v>
      </c>
      <c r="T698" s="59">
        <v>3</v>
      </c>
      <c r="U698" s="59">
        <v>1</v>
      </c>
      <c r="V698" s="59">
        <v>57</v>
      </c>
      <c r="W698" s="59">
        <v>3</v>
      </c>
      <c r="X698" s="59">
        <v>2</v>
      </c>
      <c r="Y698" s="59">
        <v>3</v>
      </c>
      <c r="Z698" s="59">
        <f t="shared" si="199"/>
        <v>0</v>
      </c>
      <c r="AA698" s="59">
        <f>IF('Updated Dummy'!Y698=2,1,0)</f>
        <v>0</v>
      </c>
      <c r="AB698" s="59">
        <f t="shared" si="200"/>
        <v>1</v>
      </c>
      <c r="AC698" s="59">
        <f t="shared" si="201"/>
        <v>0</v>
      </c>
      <c r="AD698" s="59">
        <f t="shared" si="202"/>
        <v>0</v>
      </c>
      <c r="AE698" s="59">
        <f t="shared" si="203"/>
        <v>0</v>
      </c>
      <c r="AF698" s="59">
        <f t="shared" si="204"/>
        <v>0</v>
      </c>
      <c r="AG698" s="59">
        <f t="shared" si="205"/>
        <v>0</v>
      </c>
      <c r="AH698" s="59">
        <v>2</v>
      </c>
      <c r="AI698" s="59">
        <v>2</v>
      </c>
      <c r="AJ698" s="59">
        <f t="shared" si="206"/>
        <v>0</v>
      </c>
      <c r="AK698" s="59">
        <f t="shared" si="207"/>
        <v>1</v>
      </c>
      <c r="AL698" s="59">
        <v>4447</v>
      </c>
      <c r="AM698" s="59">
        <v>23163</v>
      </c>
      <c r="AN698" s="59">
        <v>1</v>
      </c>
      <c r="AO698" s="59">
        <v>0</v>
      </c>
      <c r="AP698" s="59">
        <v>12</v>
      </c>
      <c r="AQ698" s="59">
        <v>3</v>
      </c>
      <c r="AR698" s="59">
        <v>2</v>
      </c>
      <c r="AS698" s="59">
        <v>80</v>
      </c>
      <c r="AT698" s="59">
        <v>0</v>
      </c>
      <c r="AU698" s="59">
        <v>9</v>
      </c>
      <c r="AV698" s="59">
        <v>5</v>
      </c>
      <c r="AW698" s="59">
        <v>2</v>
      </c>
      <c r="AX698" s="59">
        <v>9</v>
      </c>
      <c r="AY698" s="59">
        <v>7</v>
      </c>
      <c r="AZ698" s="59">
        <v>0</v>
      </c>
      <c r="BA698" s="59">
        <v>8</v>
      </c>
      <c r="BB698" s="57">
        <f t="shared" si="208"/>
        <v>8894</v>
      </c>
    </row>
    <row r="699" spans="1:54" x14ac:dyDescent="0.25">
      <c r="A699" s="58">
        <v>29</v>
      </c>
      <c r="B699" s="59">
        <v>0</v>
      </c>
      <c r="C699" s="59">
        <v>2</v>
      </c>
      <c r="D699" s="59">
        <f t="shared" si="190"/>
        <v>0</v>
      </c>
      <c r="E699" s="59">
        <f t="shared" si="191"/>
        <v>1</v>
      </c>
      <c r="F699" s="59">
        <v>1404</v>
      </c>
      <c r="G699" s="59">
        <v>1</v>
      </c>
      <c r="H699" s="59">
        <f t="shared" si="192"/>
        <v>1</v>
      </c>
      <c r="I699" s="59">
        <f t="shared" si="193"/>
        <v>0</v>
      </c>
      <c r="J699" s="59">
        <v>20</v>
      </c>
      <c r="K699" s="59">
        <v>3</v>
      </c>
      <c r="L699" s="59">
        <v>5</v>
      </c>
      <c r="M699" s="59">
        <f t="shared" si="194"/>
        <v>0</v>
      </c>
      <c r="N699" s="59">
        <f t="shared" si="195"/>
        <v>0</v>
      </c>
      <c r="O699" s="59">
        <f t="shared" si="196"/>
        <v>0</v>
      </c>
      <c r="P699" s="59">
        <f t="shared" si="197"/>
        <v>0</v>
      </c>
      <c r="Q699" s="59">
        <f t="shared" si="198"/>
        <v>1</v>
      </c>
      <c r="R699" s="59">
        <v>1</v>
      </c>
      <c r="S699" s="59">
        <v>974</v>
      </c>
      <c r="T699" s="59">
        <v>3</v>
      </c>
      <c r="U699" s="59">
        <v>0</v>
      </c>
      <c r="V699" s="59">
        <v>84</v>
      </c>
      <c r="W699" s="59">
        <v>3</v>
      </c>
      <c r="X699" s="59">
        <v>1</v>
      </c>
      <c r="Y699" s="59">
        <v>7</v>
      </c>
      <c r="Z699" s="59">
        <f t="shared" si="199"/>
        <v>0</v>
      </c>
      <c r="AA699" s="59">
        <f>IF('Updated Dummy'!Y699=2,1,0)</f>
        <v>0</v>
      </c>
      <c r="AB699" s="59">
        <f t="shared" si="200"/>
        <v>0</v>
      </c>
      <c r="AC699" s="59">
        <f t="shared" si="201"/>
        <v>0</v>
      </c>
      <c r="AD699" s="59">
        <f t="shared" si="202"/>
        <v>0</v>
      </c>
      <c r="AE699" s="59">
        <f t="shared" si="203"/>
        <v>0</v>
      </c>
      <c r="AF699" s="59">
        <f t="shared" si="204"/>
        <v>1</v>
      </c>
      <c r="AG699" s="59">
        <f t="shared" si="205"/>
        <v>0</v>
      </c>
      <c r="AH699" s="59">
        <v>4</v>
      </c>
      <c r="AI699" s="59">
        <v>2</v>
      </c>
      <c r="AJ699" s="59">
        <f t="shared" si="206"/>
        <v>0</v>
      </c>
      <c r="AK699" s="59">
        <f t="shared" si="207"/>
        <v>1</v>
      </c>
      <c r="AL699" s="59">
        <v>2157</v>
      </c>
      <c r="AM699" s="59">
        <v>18203</v>
      </c>
      <c r="AN699" s="59">
        <v>1</v>
      </c>
      <c r="AO699" s="59">
        <v>0</v>
      </c>
      <c r="AP699" s="59">
        <v>15</v>
      </c>
      <c r="AQ699" s="59">
        <v>3</v>
      </c>
      <c r="AR699" s="59">
        <v>2</v>
      </c>
      <c r="AS699" s="59">
        <v>80</v>
      </c>
      <c r="AT699" s="59">
        <v>1</v>
      </c>
      <c r="AU699" s="59">
        <v>3</v>
      </c>
      <c r="AV699" s="59">
        <v>5</v>
      </c>
      <c r="AW699" s="59">
        <v>3</v>
      </c>
      <c r="AX699" s="59">
        <v>3</v>
      </c>
      <c r="AY699" s="59">
        <v>1</v>
      </c>
      <c r="AZ699" s="59">
        <v>0</v>
      </c>
      <c r="BA699" s="59">
        <v>2</v>
      </c>
      <c r="BB699" s="57">
        <f t="shared" si="208"/>
        <v>2157</v>
      </c>
    </row>
    <row r="700" spans="1:54" x14ac:dyDescent="0.25">
      <c r="A700" s="58">
        <v>35</v>
      </c>
      <c r="B700" s="59">
        <v>0</v>
      </c>
      <c r="C700" s="59">
        <v>1</v>
      </c>
      <c r="D700" s="59">
        <f t="shared" si="190"/>
        <v>1</v>
      </c>
      <c r="E700" s="59">
        <f t="shared" si="191"/>
        <v>0</v>
      </c>
      <c r="F700" s="59">
        <v>1219</v>
      </c>
      <c r="G700" s="59">
        <v>1</v>
      </c>
      <c r="H700" s="59">
        <f t="shared" si="192"/>
        <v>1</v>
      </c>
      <c r="I700" s="59">
        <f t="shared" si="193"/>
        <v>0</v>
      </c>
      <c r="J700" s="59">
        <v>18</v>
      </c>
      <c r="K700" s="59">
        <v>3</v>
      </c>
      <c r="L700" s="59">
        <v>3</v>
      </c>
      <c r="M700" s="59">
        <f t="shared" si="194"/>
        <v>0</v>
      </c>
      <c r="N700" s="59">
        <f t="shared" si="195"/>
        <v>0</v>
      </c>
      <c r="O700" s="59">
        <f t="shared" si="196"/>
        <v>1</v>
      </c>
      <c r="P700" s="59">
        <f t="shared" si="197"/>
        <v>0</v>
      </c>
      <c r="Q700" s="59">
        <f t="shared" si="198"/>
        <v>0</v>
      </c>
      <c r="R700" s="59">
        <v>1</v>
      </c>
      <c r="S700" s="59">
        <v>975</v>
      </c>
      <c r="T700" s="59">
        <v>3</v>
      </c>
      <c r="U700" s="59">
        <v>0</v>
      </c>
      <c r="V700" s="59">
        <v>86</v>
      </c>
      <c r="W700" s="59">
        <v>3</v>
      </c>
      <c r="X700" s="59">
        <v>2</v>
      </c>
      <c r="Y700" s="59">
        <v>1</v>
      </c>
      <c r="Z700" s="59">
        <f t="shared" si="199"/>
        <v>1</v>
      </c>
      <c r="AA700" s="59">
        <f>IF('Updated Dummy'!Y700=2,1,0)</f>
        <v>0</v>
      </c>
      <c r="AB700" s="59">
        <f t="shared" si="200"/>
        <v>0</v>
      </c>
      <c r="AC700" s="59">
        <f t="shared" si="201"/>
        <v>0</v>
      </c>
      <c r="AD700" s="59">
        <f t="shared" si="202"/>
        <v>0</v>
      </c>
      <c r="AE700" s="59">
        <f t="shared" si="203"/>
        <v>0</v>
      </c>
      <c r="AF700" s="59">
        <f t="shared" si="204"/>
        <v>0</v>
      </c>
      <c r="AG700" s="59">
        <f t="shared" si="205"/>
        <v>0</v>
      </c>
      <c r="AH700" s="59">
        <v>3</v>
      </c>
      <c r="AI700" s="59">
        <v>2</v>
      </c>
      <c r="AJ700" s="59">
        <f t="shared" si="206"/>
        <v>0</v>
      </c>
      <c r="AK700" s="59">
        <f t="shared" si="207"/>
        <v>1</v>
      </c>
      <c r="AL700" s="59">
        <v>4601</v>
      </c>
      <c r="AM700" s="59">
        <v>6179</v>
      </c>
      <c r="AN700" s="59">
        <v>1</v>
      </c>
      <c r="AO700" s="59">
        <v>0</v>
      </c>
      <c r="AP700" s="59">
        <v>16</v>
      </c>
      <c r="AQ700" s="59">
        <v>3</v>
      </c>
      <c r="AR700" s="59">
        <v>2</v>
      </c>
      <c r="AS700" s="59">
        <v>80</v>
      </c>
      <c r="AT700" s="59">
        <v>0</v>
      </c>
      <c r="AU700" s="59">
        <v>5</v>
      </c>
      <c r="AV700" s="59">
        <v>3</v>
      </c>
      <c r="AW700" s="59">
        <v>3</v>
      </c>
      <c r="AX700" s="59">
        <v>5</v>
      </c>
      <c r="AY700" s="59">
        <v>2</v>
      </c>
      <c r="AZ700" s="59">
        <v>1</v>
      </c>
      <c r="BA700" s="59">
        <v>0</v>
      </c>
      <c r="BB700" s="57">
        <f t="shared" si="208"/>
        <v>9202</v>
      </c>
    </row>
    <row r="701" spans="1:54" x14ac:dyDescent="0.25">
      <c r="A701" s="58">
        <v>52</v>
      </c>
      <c r="B701" s="59">
        <v>0</v>
      </c>
      <c r="C701" s="59">
        <v>1</v>
      </c>
      <c r="D701" s="59">
        <f t="shared" si="190"/>
        <v>1</v>
      </c>
      <c r="E701" s="59">
        <f t="shared" si="191"/>
        <v>0</v>
      </c>
      <c r="F701" s="59">
        <v>1053</v>
      </c>
      <c r="G701" s="59">
        <v>2</v>
      </c>
      <c r="H701" s="59">
        <f t="shared" si="192"/>
        <v>0</v>
      </c>
      <c r="I701" s="59">
        <f t="shared" si="193"/>
        <v>1</v>
      </c>
      <c r="J701" s="59">
        <v>1</v>
      </c>
      <c r="K701" s="59">
        <v>2</v>
      </c>
      <c r="L701" s="59">
        <v>1</v>
      </c>
      <c r="M701" s="59">
        <f t="shared" si="194"/>
        <v>1</v>
      </c>
      <c r="N701" s="59">
        <f t="shared" si="195"/>
        <v>0</v>
      </c>
      <c r="O701" s="59">
        <f t="shared" si="196"/>
        <v>0</v>
      </c>
      <c r="P701" s="59">
        <f t="shared" si="197"/>
        <v>0</v>
      </c>
      <c r="Q701" s="59">
        <f t="shared" si="198"/>
        <v>0</v>
      </c>
      <c r="R701" s="59">
        <v>1</v>
      </c>
      <c r="S701" s="59">
        <v>976</v>
      </c>
      <c r="T701" s="59">
        <v>4</v>
      </c>
      <c r="U701" s="59">
        <v>1</v>
      </c>
      <c r="V701" s="59">
        <v>70</v>
      </c>
      <c r="W701" s="59">
        <v>3</v>
      </c>
      <c r="X701" s="59">
        <v>4</v>
      </c>
      <c r="Y701" s="59">
        <v>6</v>
      </c>
      <c r="Z701" s="59">
        <f t="shared" si="199"/>
        <v>0</v>
      </c>
      <c r="AA701" s="59">
        <f>IF('Updated Dummy'!Y701=2,1,0)</f>
        <v>0</v>
      </c>
      <c r="AB701" s="59">
        <f t="shared" si="200"/>
        <v>0</v>
      </c>
      <c r="AC701" s="59">
        <f t="shared" si="201"/>
        <v>0</v>
      </c>
      <c r="AD701" s="59">
        <f t="shared" si="202"/>
        <v>0</v>
      </c>
      <c r="AE701" s="59">
        <f t="shared" si="203"/>
        <v>1</v>
      </c>
      <c r="AF701" s="59">
        <f t="shared" si="204"/>
        <v>0</v>
      </c>
      <c r="AG701" s="59">
        <f t="shared" si="205"/>
        <v>0</v>
      </c>
      <c r="AH701" s="59">
        <v>4</v>
      </c>
      <c r="AI701" s="59">
        <v>2</v>
      </c>
      <c r="AJ701" s="59">
        <f t="shared" si="206"/>
        <v>0</v>
      </c>
      <c r="AK701" s="59">
        <f t="shared" si="207"/>
        <v>1</v>
      </c>
      <c r="AL701" s="59">
        <v>17099</v>
      </c>
      <c r="AM701" s="59">
        <v>13829</v>
      </c>
      <c r="AN701" s="59">
        <v>2</v>
      </c>
      <c r="AO701" s="59">
        <v>0</v>
      </c>
      <c r="AP701" s="59">
        <v>15</v>
      </c>
      <c r="AQ701" s="59">
        <v>3</v>
      </c>
      <c r="AR701" s="59">
        <v>2</v>
      </c>
      <c r="AS701" s="59">
        <v>80</v>
      </c>
      <c r="AT701" s="59">
        <v>1</v>
      </c>
      <c r="AU701" s="59">
        <v>26</v>
      </c>
      <c r="AV701" s="59">
        <v>2</v>
      </c>
      <c r="AW701" s="59">
        <v>2</v>
      </c>
      <c r="AX701" s="59">
        <v>9</v>
      </c>
      <c r="AY701" s="59">
        <v>8</v>
      </c>
      <c r="AZ701" s="59">
        <v>7</v>
      </c>
      <c r="BA701" s="59">
        <v>8</v>
      </c>
      <c r="BB701" s="57">
        <f t="shared" si="208"/>
        <v>68396</v>
      </c>
    </row>
    <row r="702" spans="1:54" x14ac:dyDescent="0.25">
      <c r="A702" s="58">
        <v>58</v>
      </c>
      <c r="B702" s="59">
        <v>1</v>
      </c>
      <c r="C702" s="59">
        <v>1</v>
      </c>
      <c r="D702" s="59">
        <f t="shared" si="190"/>
        <v>1</v>
      </c>
      <c r="E702" s="59">
        <f t="shared" si="191"/>
        <v>0</v>
      </c>
      <c r="F702" s="59">
        <v>289</v>
      </c>
      <c r="G702" s="59">
        <v>2</v>
      </c>
      <c r="H702" s="59">
        <f t="shared" si="192"/>
        <v>0</v>
      </c>
      <c r="I702" s="59">
        <f t="shared" si="193"/>
        <v>1</v>
      </c>
      <c r="J702" s="59">
        <v>2</v>
      </c>
      <c r="K702" s="59">
        <v>3</v>
      </c>
      <c r="L702" s="59">
        <v>5</v>
      </c>
      <c r="M702" s="59">
        <f t="shared" si="194"/>
        <v>0</v>
      </c>
      <c r="N702" s="59">
        <f t="shared" si="195"/>
        <v>0</v>
      </c>
      <c r="O702" s="59">
        <f t="shared" si="196"/>
        <v>0</v>
      </c>
      <c r="P702" s="59">
        <f t="shared" si="197"/>
        <v>0</v>
      </c>
      <c r="Q702" s="59">
        <f t="shared" si="198"/>
        <v>1</v>
      </c>
      <c r="R702" s="59">
        <v>1</v>
      </c>
      <c r="S702" s="59">
        <v>977</v>
      </c>
      <c r="T702" s="59">
        <v>4</v>
      </c>
      <c r="U702" s="59">
        <v>1</v>
      </c>
      <c r="V702" s="59">
        <v>51</v>
      </c>
      <c r="W702" s="59">
        <v>3</v>
      </c>
      <c r="X702" s="59">
        <v>1</v>
      </c>
      <c r="Y702" s="59">
        <v>2</v>
      </c>
      <c r="Z702" s="59">
        <f t="shared" si="199"/>
        <v>0</v>
      </c>
      <c r="AA702" s="59">
        <f>IF('Updated Dummy'!Y702=2,1,0)</f>
        <v>1</v>
      </c>
      <c r="AB702" s="59">
        <f t="shared" si="200"/>
        <v>0</v>
      </c>
      <c r="AC702" s="59">
        <f t="shared" si="201"/>
        <v>0</v>
      </c>
      <c r="AD702" s="59">
        <f t="shared" si="202"/>
        <v>0</v>
      </c>
      <c r="AE702" s="59">
        <f t="shared" si="203"/>
        <v>0</v>
      </c>
      <c r="AF702" s="59">
        <f t="shared" si="204"/>
        <v>0</v>
      </c>
      <c r="AG702" s="59">
        <f t="shared" si="205"/>
        <v>0</v>
      </c>
      <c r="AH702" s="59">
        <v>3</v>
      </c>
      <c r="AI702" s="59">
        <v>1</v>
      </c>
      <c r="AJ702" s="59">
        <f t="shared" si="206"/>
        <v>1</v>
      </c>
      <c r="AK702" s="59">
        <f t="shared" si="207"/>
        <v>0</v>
      </c>
      <c r="AL702" s="59">
        <v>2479</v>
      </c>
      <c r="AM702" s="59">
        <v>26227</v>
      </c>
      <c r="AN702" s="59">
        <v>4</v>
      </c>
      <c r="AO702" s="59">
        <v>0</v>
      </c>
      <c r="AP702" s="59">
        <v>24</v>
      </c>
      <c r="AQ702" s="59">
        <v>4</v>
      </c>
      <c r="AR702" s="59">
        <v>1</v>
      </c>
      <c r="AS702" s="59">
        <v>80</v>
      </c>
      <c r="AT702" s="59">
        <v>0</v>
      </c>
      <c r="AU702" s="59">
        <v>7</v>
      </c>
      <c r="AV702" s="59">
        <v>4</v>
      </c>
      <c r="AW702" s="59">
        <v>3</v>
      </c>
      <c r="AX702" s="59">
        <v>1</v>
      </c>
      <c r="AY702" s="59">
        <v>0</v>
      </c>
      <c r="AZ702" s="59">
        <v>0</v>
      </c>
      <c r="BA702" s="59">
        <v>0</v>
      </c>
      <c r="BB702" s="57">
        <f t="shared" si="208"/>
        <v>2479</v>
      </c>
    </row>
    <row r="703" spans="1:54" x14ac:dyDescent="0.25">
      <c r="A703" s="58">
        <v>53</v>
      </c>
      <c r="B703" s="59">
        <v>0</v>
      </c>
      <c r="C703" s="59">
        <v>1</v>
      </c>
      <c r="D703" s="59">
        <f t="shared" si="190"/>
        <v>1</v>
      </c>
      <c r="E703" s="59">
        <f t="shared" si="191"/>
        <v>0</v>
      </c>
      <c r="F703" s="59">
        <v>1376</v>
      </c>
      <c r="G703" s="59">
        <v>1</v>
      </c>
      <c r="H703" s="59">
        <f t="shared" si="192"/>
        <v>1</v>
      </c>
      <c r="I703" s="59">
        <f t="shared" si="193"/>
        <v>0</v>
      </c>
      <c r="J703" s="59">
        <v>2</v>
      </c>
      <c r="K703" s="59">
        <v>2</v>
      </c>
      <c r="L703" s="59">
        <v>3</v>
      </c>
      <c r="M703" s="59">
        <f t="shared" si="194"/>
        <v>0</v>
      </c>
      <c r="N703" s="59">
        <f t="shared" si="195"/>
        <v>0</v>
      </c>
      <c r="O703" s="59">
        <f t="shared" si="196"/>
        <v>1</v>
      </c>
      <c r="P703" s="59">
        <f t="shared" si="197"/>
        <v>0</v>
      </c>
      <c r="Q703" s="59">
        <f t="shared" si="198"/>
        <v>0</v>
      </c>
      <c r="R703" s="59">
        <v>1</v>
      </c>
      <c r="S703" s="59">
        <v>981</v>
      </c>
      <c r="T703" s="59">
        <v>3</v>
      </c>
      <c r="U703" s="59">
        <v>1</v>
      </c>
      <c r="V703" s="59">
        <v>45</v>
      </c>
      <c r="W703" s="59">
        <v>3</v>
      </c>
      <c r="X703" s="59">
        <v>4</v>
      </c>
      <c r="Y703" s="59">
        <v>6</v>
      </c>
      <c r="Z703" s="59">
        <f t="shared" si="199"/>
        <v>0</v>
      </c>
      <c r="AA703" s="59">
        <f>IF('Updated Dummy'!Y703=2,1,0)</f>
        <v>0</v>
      </c>
      <c r="AB703" s="59">
        <f t="shared" si="200"/>
        <v>0</v>
      </c>
      <c r="AC703" s="59">
        <f t="shared" si="201"/>
        <v>0</v>
      </c>
      <c r="AD703" s="59">
        <f t="shared" si="202"/>
        <v>0</v>
      </c>
      <c r="AE703" s="59">
        <f t="shared" si="203"/>
        <v>1</v>
      </c>
      <c r="AF703" s="59">
        <f t="shared" si="204"/>
        <v>0</v>
      </c>
      <c r="AG703" s="59">
        <f t="shared" si="205"/>
        <v>0</v>
      </c>
      <c r="AH703" s="59">
        <v>3</v>
      </c>
      <c r="AI703" s="59">
        <v>3</v>
      </c>
      <c r="AJ703" s="59">
        <f t="shared" si="206"/>
        <v>0</v>
      </c>
      <c r="AK703" s="59">
        <f t="shared" si="207"/>
        <v>0</v>
      </c>
      <c r="AL703" s="59">
        <v>14852</v>
      </c>
      <c r="AM703" s="59">
        <v>13938</v>
      </c>
      <c r="AN703" s="59">
        <v>6</v>
      </c>
      <c r="AO703" s="59">
        <v>0</v>
      </c>
      <c r="AP703" s="59">
        <v>13</v>
      </c>
      <c r="AQ703" s="59">
        <v>3</v>
      </c>
      <c r="AR703" s="59">
        <v>3</v>
      </c>
      <c r="AS703" s="59">
        <v>80</v>
      </c>
      <c r="AT703" s="59">
        <v>1</v>
      </c>
      <c r="AU703" s="59">
        <v>22</v>
      </c>
      <c r="AV703" s="59">
        <v>3</v>
      </c>
      <c r="AW703" s="59">
        <v>4</v>
      </c>
      <c r="AX703" s="59">
        <v>17</v>
      </c>
      <c r="AY703" s="59">
        <v>13</v>
      </c>
      <c r="AZ703" s="59">
        <v>15</v>
      </c>
      <c r="BA703" s="59">
        <v>2</v>
      </c>
      <c r="BB703" s="57">
        <f t="shared" si="208"/>
        <v>59408</v>
      </c>
    </row>
    <row r="704" spans="1:54" x14ac:dyDescent="0.25">
      <c r="A704" s="58">
        <v>30</v>
      </c>
      <c r="B704" s="59">
        <v>0</v>
      </c>
      <c r="C704" s="59">
        <v>1</v>
      </c>
      <c r="D704" s="59">
        <f t="shared" si="190"/>
        <v>1</v>
      </c>
      <c r="E704" s="59">
        <f t="shared" si="191"/>
        <v>0</v>
      </c>
      <c r="F704" s="59">
        <v>231</v>
      </c>
      <c r="G704" s="59">
        <v>1</v>
      </c>
      <c r="H704" s="59">
        <f t="shared" si="192"/>
        <v>1</v>
      </c>
      <c r="I704" s="59">
        <f t="shared" si="193"/>
        <v>0</v>
      </c>
      <c r="J704" s="59">
        <v>8</v>
      </c>
      <c r="K704" s="59">
        <v>2</v>
      </c>
      <c r="L704" s="59">
        <v>6</v>
      </c>
      <c r="M704" s="59">
        <f t="shared" si="194"/>
        <v>0</v>
      </c>
      <c r="N704" s="59">
        <f t="shared" si="195"/>
        <v>0</v>
      </c>
      <c r="O704" s="59">
        <f t="shared" si="196"/>
        <v>0</v>
      </c>
      <c r="P704" s="59">
        <f t="shared" si="197"/>
        <v>0</v>
      </c>
      <c r="Q704" s="59">
        <f t="shared" si="198"/>
        <v>0</v>
      </c>
      <c r="R704" s="59">
        <v>1</v>
      </c>
      <c r="S704" s="59">
        <v>982</v>
      </c>
      <c r="T704" s="59">
        <v>3</v>
      </c>
      <c r="U704" s="59">
        <v>1</v>
      </c>
      <c r="V704" s="59">
        <v>62</v>
      </c>
      <c r="W704" s="59">
        <v>3</v>
      </c>
      <c r="X704" s="59">
        <v>3</v>
      </c>
      <c r="Y704" s="59">
        <v>1</v>
      </c>
      <c r="Z704" s="59">
        <f t="shared" si="199"/>
        <v>1</v>
      </c>
      <c r="AA704" s="59">
        <f>IF('Updated Dummy'!Y704=2,1,0)</f>
        <v>0</v>
      </c>
      <c r="AB704" s="59">
        <f t="shared" si="200"/>
        <v>0</v>
      </c>
      <c r="AC704" s="59">
        <f t="shared" si="201"/>
        <v>0</v>
      </c>
      <c r="AD704" s="59">
        <f t="shared" si="202"/>
        <v>0</v>
      </c>
      <c r="AE704" s="59">
        <f t="shared" si="203"/>
        <v>0</v>
      </c>
      <c r="AF704" s="59">
        <f t="shared" si="204"/>
        <v>0</v>
      </c>
      <c r="AG704" s="59">
        <f t="shared" si="205"/>
        <v>0</v>
      </c>
      <c r="AH704" s="59">
        <v>3</v>
      </c>
      <c r="AI704" s="59">
        <v>3</v>
      </c>
      <c r="AJ704" s="59">
        <f t="shared" si="206"/>
        <v>0</v>
      </c>
      <c r="AK704" s="59">
        <f t="shared" si="207"/>
        <v>0</v>
      </c>
      <c r="AL704" s="59">
        <v>7264</v>
      </c>
      <c r="AM704" s="59">
        <v>9977</v>
      </c>
      <c r="AN704" s="59">
        <v>5</v>
      </c>
      <c r="AO704" s="59">
        <v>0</v>
      </c>
      <c r="AP704" s="59">
        <v>11</v>
      </c>
      <c r="AQ704" s="59">
        <v>3</v>
      </c>
      <c r="AR704" s="59">
        <v>1</v>
      </c>
      <c r="AS704" s="59">
        <v>80</v>
      </c>
      <c r="AT704" s="59">
        <v>1</v>
      </c>
      <c r="AU704" s="59">
        <v>10</v>
      </c>
      <c r="AV704" s="59">
        <v>2</v>
      </c>
      <c r="AW704" s="59">
        <v>4</v>
      </c>
      <c r="AX704" s="59">
        <v>8</v>
      </c>
      <c r="AY704" s="59">
        <v>4</v>
      </c>
      <c r="AZ704" s="59">
        <v>7</v>
      </c>
      <c r="BA704" s="59">
        <v>7</v>
      </c>
      <c r="BB704" s="57">
        <f t="shared" si="208"/>
        <v>21792</v>
      </c>
    </row>
    <row r="705" spans="1:54" x14ac:dyDescent="0.25">
      <c r="A705" s="58">
        <v>38</v>
      </c>
      <c r="B705" s="59">
        <v>0</v>
      </c>
      <c r="C705" s="59">
        <v>3</v>
      </c>
      <c r="D705" s="59">
        <f t="shared" si="190"/>
        <v>0</v>
      </c>
      <c r="E705" s="59">
        <f t="shared" si="191"/>
        <v>0</v>
      </c>
      <c r="F705" s="59">
        <v>152</v>
      </c>
      <c r="G705" s="59">
        <v>1</v>
      </c>
      <c r="H705" s="59">
        <f t="shared" si="192"/>
        <v>1</v>
      </c>
      <c r="I705" s="59">
        <f t="shared" si="193"/>
        <v>0</v>
      </c>
      <c r="J705" s="59">
        <v>10</v>
      </c>
      <c r="K705" s="59">
        <v>3</v>
      </c>
      <c r="L705" s="59">
        <v>5</v>
      </c>
      <c r="M705" s="59">
        <f t="shared" si="194"/>
        <v>0</v>
      </c>
      <c r="N705" s="59">
        <f t="shared" si="195"/>
        <v>0</v>
      </c>
      <c r="O705" s="59">
        <f t="shared" si="196"/>
        <v>0</v>
      </c>
      <c r="P705" s="59">
        <f t="shared" si="197"/>
        <v>0</v>
      </c>
      <c r="Q705" s="59">
        <f t="shared" si="198"/>
        <v>1</v>
      </c>
      <c r="R705" s="59">
        <v>1</v>
      </c>
      <c r="S705" s="59">
        <v>983</v>
      </c>
      <c r="T705" s="59">
        <v>3</v>
      </c>
      <c r="U705" s="59">
        <v>0</v>
      </c>
      <c r="V705" s="59">
        <v>85</v>
      </c>
      <c r="W705" s="59">
        <v>3</v>
      </c>
      <c r="X705" s="59">
        <v>2</v>
      </c>
      <c r="Y705" s="59">
        <v>1</v>
      </c>
      <c r="Z705" s="59">
        <f t="shared" si="199"/>
        <v>1</v>
      </c>
      <c r="AA705" s="59">
        <f>IF('Updated Dummy'!Y705=2,1,0)</f>
        <v>0</v>
      </c>
      <c r="AB705" s="59">
        <f t="shared" si="200"/>
        <v>0</v>
      </c>
      <c r="AC705" s="59">
        <f t="shared" si="201"/>
        <v>0</v>
      </c>
      <c r="AD705" s="59">
        <f t="shared" si="202"/>
        <v>0</v>
      </c>
      <c r="AE705" s="59">
        <f t="shared" si="203"/>
        <v>0</v>
      </c>
      <c r="AF705" s="59">
        <f t="shared" si="204"/>
        <v>0</v>
      </c>
      <c r="AG705" s="59">
        <f t="shared" si="205"/>
        <v>0</v>
      </c>
      <c r="AH705" s="59">
        <v>4</v>
      </c>
      <c r="AI705" s="59">
        <v>1</v>
      </c>
      <c r="AJ705" s="59">
        <f t="shared" si="206"/>
        <v>1</v>
      </c>
      <c r="AK705" s="59">
        <f t="shared" si="207"/>
        <v>0</v>
      </c>
      <c r="AL705" s="59">
        <v>5666</v>
      </c>
      <c r="AM705" s="59">
        <v>19899</v>
      </c>
      <c r="AN705" s="59">
        <v>1</v>
      </c>
      <c r="AO705" s="59">
        <v>1</v>
      </c>
      <c r="AP705" s="59">
        <v>13</v>
      </c>
      <c r="AQ705" s="59">
        <v>3</v>
      </c>
      <c r="AR705" s="59">
        <v>2</v>
      </c>
      <c r="AS705" s="59">
        <v>80</v>
      </c>
      <c r="AT705" s="59">
        <v>0</v>
      </c>
      <c r="AU705" s="59">
        <v>6</v>
      </c>
      <c r="AV705" s="59">
        <v>1</v>
      </c>
      <c r="AW705" s="59">
        <v>3</v>
      </c>
      <c r="AX705" s="59">
        <v>5</v>
      </c>
      <c r="AY705" s="59">
        <v>3</v>
      </c>
      <c r="AZ705" s="59">
        <v>1</v>
      </c>
      <c r="BA705" s="59">
        <v>3</v>
      </c>
      <c r="BB705" s="57">
        <f t="shared" si="208"/>
        <v>11332</v>
      </c>
    </row>
    <row r="706" spans="1:54" x14ac:dyDescent="0.25">
      <c r="A706" s="58">
        <v>35</v>
      </c>
      <c r="B706" s="59">
        <v>0</v>
      </c>
      <c r="C706" s="59">
        <v>1</v>
      </c>
      <c r="D706" s="59">
        <f t="shared" si="190"/>
        <v>1</v>
      </c>
      <c r="E706" s="59">
        <f t="shared" si="191"/>
        <v>0</v>
      </c>
      <c r="F706" s="59">
        <v>882</v>
      </c>
      <c r="G706" s="59">
        <v>1</v>
      </c>
      <c r="H706" s="59">
        <f t="shared" si="192"/>
        <v>1</v>
      </c>
      <c r="I706" s="59">
        <f t="shared" si="193"/>
        <v>0</v>
      </c>
      <c r="J706" s="59">
        <v>3</v>
      </c>
      <c r="K706" s="59">
        <v>4</v>
      </c>
      <c r="L706" s="59">
        <v>1</v>
      </c>
      <c r="M706" s="59">
        <f t="shared" si="194"/>
        <v>1</v>
      </c>
      <c r="N706" s="59">
        <f t="shared" si="195"/>
        <v>0</v>
      </c>
      <c r="O706" s="59">
        <f t="shared" si="196"/>
        <v>0</v>
      </c>
      <c r="P706" s="59">
        <f t="shared" si="197"/>
        <v>0</v>
      </c>
      <c r="Q706" s="59">
        <f t="shared" si="198"/>
        <v>0</v>
      </c>
      <c r="R706" s="59">
        <v>1</v>
      </c>
      <c r="S706" s="59">
        <v>984</v>
      </c>
      <c r="T706" s="59">
        <v>4</v>
      </c>
      <c r="U706" s="59">
        <v>1</v>
      </c>
      <c r="V706" s="59">
        <v>92</v>
      </c>
      <c r="W706" s="59">
        <v>3</v>
      </c>
      <c r="X706" s="59">
        <v>3</v>
      </c>
      <c r="Y706" s="59">
        <v>1</v>
      </c>
      <c r="Z706" s="59">
        <f t="shared" si="199"/>
        <v>1</v>
      </c>
      <c r="AA706" s="59">
        <f>IF('Updated Dummy'!Y706=2,1,0)</f>
        <v>0</v>
      </c>
      <c r="AB706" s="59">
        <f t="shared" si="200"/>
        <v>0</v>
      </c>
      <c r="AC706" s="59">
        <f t="shared" si="201"/>
        <v>0</v>
      </c>
      <c r="AD706" s="59">
        <f t="shared" si="202"/>
        <v>0</v>
      </c>
      <c r="AE706" s="59">
        <f t="shared" si="203"/>
        <v>0</v>
      </c>
      <c r="AF706" s="59">
        <f t="shared" si="204"/>
        <v>0</v>
      </c>
      <c r="AG706" s="59">
        <f t="shared" si="205"/>
        <v>0</v>
      </c>
      <c r="AH706" s="59">
        <v>4</v>
      </c>
      <c r="AI706" s="59">
        <v>3</v>
      </c>
      <c r="AJ706" s="59">
        <f t="shared" si="206"/>
        <v>0</v>
      </c>
      <c r="AK706" s="59">
        <f t="shared" si="207"/>
        <v>0</v>
      </c>
      <c r="AL706" s="59">
        <v>7823</v>
      </c>
      <c r="AM706" s="59">
        <v>6812</v>
      </c>
      <c r="AN706" s="59">
        <v>6</v>
      </c>
      <c r="AO706" s="59">
        <v>0</v>
      </c>
      <c r="AP706" s="59">
        <v>13</v>
      </c>
      <c r="AQ706" s="59">
        <v>3</v>
      </c>
      <c r="AR706" s="59">
        <v>2</v>
      </c>
      <c r="AS706" s="59">
        <v>80</v>
      </c>
      <c r="AT706" s="59">
        <v>1</v>
      </c>
      <c r="AU706" s="59">
        <v>12</v>
      </c>
      <c r="AV706" s="59">
        <v>2</v>
      </c>
      <c r="AW706" s="59">
        <v>3</v>
      </c>
      <c r="AX706" s="59">
        <v>10</v>
      </c>
      <c r="AY706" s="59">
        <v>9</v>
      </c>
      <c r="AZ706" s="59">
        <v>0</v>
      </c>
      <c r="BA706" s="59">
        <v>8</v>
      </c>
      <c r="BB706" s="57">
        <f t="shared" si="208"/>
        <v>23469</v>
      </c>
    </row>
    <row r="707" spans="1:54" x14ac:dyDescent="0.25">
      <c r="A707" s="58">
        <v>39</v>
      </c>
      <c r="B707" s="59">
        <v>0</v>
      </c>
      <c r="C707" s="59">
        <v>1</v>
      </c>
      <c r="D707" s="59">
        <f t="shared" ref="D707:D770" si="209">IF(C707=1,1,0)</f>
        <v>1</v>
      </c>
      <c r="E707" s="59">
        <f t="shared" ref="E707:E770" si="210">IF(C707=2,1,0)</f>
        <v>0</v>
      </c>
      <c r="F707" s="59">
        <v>903</v>
      </c>
      <c r="G707" s="59">
        <v>1</v>
      </c>
      <c r="H707" s="59">
        <f t="shared" ref="H707:H770" si="211">IF(G707=1,1,0)</f>
        <v>1</v>
      </c>
      <c r="I707" s="59">
        <f t="shared" ref="I707:I770" si="212">IF(G707=2,1,0)</f>
        <v>0</v>
      </c>
      <c r="J707" s="59">
        <v>2</v>
      </c>
      <c r="K707" s="59">
        <v>5</v>
      </c>
      <c r="L707" s="59">
        <v>1</v>
      </c>
      <c r="M707" s="59">
        <f t="shared" ref="M707:M770" si="213">IF(L707=1,1,0)</f>
        <v>1</v>
      </c>
      <c r="N707" s="59">
        <f t="shared" ref="N707:N770" si="214">IF(L707=2,1,0)</f>
        <v>0</v>
      </c>
      <c r="O707" s="59">
        <f t="shared" ref="O707:O770" si="215">IF(L707=3,1,0)</f>
        <v>0</v>
      </c>
      <c r="P707" s="59">
        <f t="shared" ref="P707:P770" si="216">IF(L707=4,1,0)</f>
        <v>0</v>
      </c>
      <c r="Q707" s="59">
        <f t="shared" ref="Q707:Q770" si="217">IF(L707=5,1,0)</f>
        <v>0</v>
      </c>
      <c r="R707" s="59">
        <v>1</v>
      </c>
      <c r="S707" s="59">
        <v>985</v>
      </c>
      <c r="T707" s="59">
        <v>1</v>
      </c>
      <c r="U707" s="59">
        <v>1</v>
      </c>
      <c r="V707" s="59">
        <v>41</v>
      </c>
      <c r="W707" s="59">
        <v>4</v>
      </c>
      <c r="X707" s="59">
        <v>3</v>
      </c>
      <c r="Y707" s="59">
        <v>1</v>
      </c>
      <c r="Z707" s="59">
        <f t="shared" ref="Z707:Z770" si="218">IF(Y707=1,1,0)</f>
        <v>1</v>
      </c>
      <c r="AA707" s="59">
        <f>IF('Updated Dummy'!Y707=2,1,0)</f>
        <v>0</v>
      </c>
      <c r="AB707" s="59">
        <f t="shared" ref="AB707:AB770" si="219">IF(Y707=3,1,0)</f>
        <v>0</v>
      </c>
      <c r="AC707" s="59">
        <f t="shared" ref="AC707:AC770" si="220">IF(Y707=4,1,0)</f>
        <v>0</v>
      </c>
      <c r="AD707" s="59">
        <f t="shared" ref="AD707:AD770" si="221">IF(Y707=5,1,0)</f>
        <v>0</v>
      </c>
      <c r="AE707" s="59">
        <f t="shared" ref="AE707:AE770" si="222">IF(Y707=6,1,0)</f>
        <v>0</v>
      </c>
      <c r="AF707" s="59">
        <f t="shared" ref="AF707:AF770" si="223">IF(Y707=7,1,0)</f>
        <v>0</v>
      </c>
      <c r="AG707" s="59">
        <f t="shared" ref="AG707:AG770" si="224">IF(Y707=8,1,0)</f>
        <v>0</v>
      </c>
      <c r="AH707" s="59">
        <v>3</v>
      </c>
      <c r="AI707" s="59">
        <v>1</v>
      </c>
      <c r="AJ707" s="59">
        <f t="shared" ref="AJ707:AJ770" si="225">IF(AI707=1,1,0)</f>
        <v>1</v>
      </c>
      <c r="AK707" s="59">
        <f t="shared" ref="AK707:AK770" si="226">IF(AI707=2,1,0)</f>
        <v>0</v>
      </c>
      <c r="AL707" s="59">
        <v>7880</v>
      </c>
      <c r="AM707" s="59">
        <v>2560</v>
      </c>
      <c r="AN707" s="59">
        <v>0</v>
      </c>
      <c r="AO707" s="59">
        <v>0</v>
      </c>
      <c r="AP707" s="59">
        <v>18</v>
      </c>
      <c r="AQ707" s="59">
        <v>3</v>
      </c>
      <c r="AR707" s="59">
        <v>4</v>
      </c>
      <c r="AS707" s="59">
        <v>80</v>
      </c>
      <c r="AT707" s="59">
        <v>0</v>
      </c>
      <c r="AU707" s="59">
        <v>9</v>
      </c>
      <c r="AV707" s="59">
        <v>3</v>
      </c>
      <c r="AW707" s="59">
        <v>3</v>
      </c>
      <c r="AX707" s="59">
        <v>8</v>
      </c>
      <c r="AY707" s="59">
        <v>7</v>
      </c>
      <c r="AZ707" s="59">
        <v>0</v>
      </c>
      <c r="BA707" s="59">
        <v>7</v>
      </c>
      <c r="BB707" s="57">
        <f t="shared" ref="BB707:BB770" si="227">X707*AL707</f>
        <v>23640</v>
      </c>
    </row>
    <row r="708" spans="1:54" x14ac:dyDescent="0.25">
      <c r="A708" s="58">
        <v>40</v>
      </c>
      <c r="B708" s="59">
        <v>1</v>
      </c>
      <c r="C708" s="59">
        <v>3</v>
      </c>
      <c r="D708" s="59">
        <f t="shared" si="209"/>
        <v>0</v>
      </c>
      <c r="E708" s="59">
        <f t="shared" si="210"/>
        <v>0</v>
      </c>
      <c r="F708" s="59">
        <v>1479</v>
      </c>
      <c r="G708" s="59">
        <v>1</v>
      </c>
      <c r="H708" s="59">
        <f t="shared" si="211"/>
        <v>1</v>
      </c>
      <c r="I708" s="59">
        <f t="shared" si="212"/>
        <v>0</v>
      </c>
      <c r="J708" s="59">
        <v>24</v>
      </c>
      <c r="K708" s="59">
        <v>3</v>
      </c>
      <c r="L708" s="59">
        <v>1</v>
      </c>
      <c r="M708" s="59">
        <f t="shared" si="213"/>
        <v>1</v>
      </c>
      <c r="N708" s="59">
        <f t="shared" si="214"/>
        <v>0</v>
      </c>
      <c r="O708" s="59">
        <f t="shared" si="215"/>
        <v>0</v>
      </c>
      <c r="P708" s="59">
        <f t="shared" si="216"/>
        <v>0</v>
      </c>
      <c r="Q708" s="59">
        <f t="shared" si="217"/>
        <v>0</v>
      </c>
      <c r="R708" s="59">
        <v>1</v>
      </c>
      <c r="S708" s="59">
        <v>986</v>
      </c>
      <c r="T708" s="59">
        <v>2</v>
      </c>
      <c r="U708" s="59">
        <v>0</v>
      </c>
      <c r="V708" s="59">
        <v>100</v>
      </c>
      <c r="W708" s="59">
        <v>4</v>
      </c>
      <c r="X708" s="59">
        <v>4</v>
      </c>
      <c r="Y708" s="59">
        <v>1</v>
      </c>
      <c r="Z708" s="59">
        <f t="shared" si="218"/>
        <v>1</v>
      </c>
      <c r="AA708" s="59">
        <f>IF('Updated Dummy'!Y708=2,1,0)</f>
        <v>0</v>
      </c>
      <c r="AB708" s="59">
        <f t="shared" si="219"/>
        <v>0</v>
      </c>
      <c r="AC708" s="59">
        <f t="shared" si="220"/>
        <v>0</v>
      </c>
      <c r="AD708" s="59">
        <f t="shared" si="221"/>
        <v>0</v>
      </c>
      <c r="AE708" s="59">
        <f t="shared" si="222"/>
        <v>0</v>
      </c>
      <c r="AF708" s="59">
        <f t="shared" si="223"/>
        <v>0</v>
      </c>
      <c r="AG708" s="59">
        <f t="shared" si="224"/>
        <v>0</v>
      </c>
      <c r="AH708" s="59">
        <v>2</v>
      </c>
      <c r="AI708" s="59">
        <v>1</v>
      </c>
      <c r="AJ708" s="59">
        <f t="shared" si="225"/>
        <v>1</v>
      </c>
      <c r="AK708" s="59">
        <f t="shared" si="226"/>
        <v>0</v>
      </c>
      <c r="AL708" s="59">
        <v>13194</v>
      </c>
      <c r="AM708" s="59">
        <v>17071</v>
      </c>
      <c r="AN708" s="59">
        <v>4</v>
      </c>
      <c r="AO708" s="59">
        <v>1</v>
      </c>
      <c r="AP708" s="59">
        <v>16</v>
      </c>
      <c r="AQ708" s="59">
        <v>3</v>
      </c>
      <c r="AR708" s="59">
        <v>4</v>
      </c>
      <c r="AS708" s="59">
        <v>80</v>
      </c>
      <c r="AT708" s="59">
        <v>0</v>
      </c>
      <c r="AU708" s="59">
        <v>22</v>
      </c>
      <c r="AV708" s="59">
        <v>2</v>
      </c>
      <c r="AW708" s="59">
        <v>2</v>
      </c>
      <c r="AX708" s="59">
        <v>1</v>
      </c>
      <c r="AY708" s="59">
        <v>0</v>
      </c>
      <c r="AZ708" s="59">
        <v>0</v>
      </c>
      <c r="BA708" s="59">
        <v>0</v>
      </c>
      <c r="BB708" s="57">
        <f t="shared" si="227"/>
        <v>52776</v>
      </c>
    </row>
    <row r="709" spans="1:54" x14ac:dyDescent="0.25">
      <c r="A709" s="58">
        <v>47</v>
      </c>
      <c r="B709" s="59">
        <v>0</v>
      </c>
      <c r="C709" s="59">
        <v>2</v>
      </c>
      <c r="D709" s="59">
        <f t="shared" si="209"/>
        <v>0</v>
      </c>
      <c r="E709" s="59">
        <f t="shared" si="210"/>
        <v>1</v>
      </c>
      <c r="F709" s="59">
        <v>1379</v>
      </c>
      <c r="G709" s="59">
        <v>2</v>
      </c>
      <c r="H709" s="59">
        <f t="shared" si="211"/>
        <v>0</v>
      </c>
      <c r="I709" s="59">
        <f t="shared" si="212"/>
        <v>1</v>
      </c>
      <c r="J709" s="59">
        <v>16</v>
      </c>
      <c r="K709" s="59">
        <v>4</v>
      </c>
      <c r="L709" s="59">
        <v>3</v>
      </c>
      <c r="M709" s="59">
        <f t="shared" si="213"/>
        <v>0</v>
      </c>
      <c r="N709" s="59">
        <f t="shared" si="214"/>
        <v>0</v>
      </c>
      <c r="O709" s="59">
        <f t="shared" si="215"/>
        <v>1</v>
      </c>
      <c r="P709" s="59">
        <f t="shared" si="216"/>
        <v>0</v>
      </c>
      <c r="Q709" s="59">
        <f t="shared" si="217"/>
        <v>0</v>
      </c>
      <c r="R709" s="59">
        <v>1</v>
      </c>
      <c r="S709" s="59">
        <v>987</v>
      </c>
      <c r="T709" s="59">
        <v>3</v>
      </c>
      <c r="U709" s="59">
        <v>1</v>
      </c>
      <c r="V709" s="59">
        <v>64</v>
      </c>
      <c r="W709" s="59">
        <v>4</v>
      </c>
      <c r="X709" s="59">
        <v>2</v>
      </c>
      <c r="Y709" s="59">
        <v>4</v>
      </c>
      <c r="Z709" s="59">
        <f t="shared" si="218"/>
        <v>0</v>
      </c>
      <c r="AA709" s="59">
        <f>IF('Updated Dummy'!Y709=2,1,0)</f>
        <v>0</v>
      </c>
      <c r="AB709" s="59">
        <f t="shared" si="219"/>
        <v>0</v>
      </c>
      <c r="AC709" s="59">
        <f t="shared" si="220"/>
        <v>1</v>
      </c>
      <c r="AD709" s="59">
        <f t="shared" si="221"/>
        <v>0</v>
      </c>
      <c r="AE709" s="59">
        <f t="shared" si="222"/>
        <v>0</v>
      </c>
      <c r="AF709" s="59">
        <f t="shared" si="223"/>
        <v>0</v>
      </c>
      <c r="AG709" s="59">
        <f t="shared" si="224"/>
        <v>0</v>
      </c>
      <c r="AH709" s="59">
        <v>3</v>
      </c>
      <c r="AI709" s="59">
        <v>3</v>
      </c>
      <c r="AJ709" s="59">
        <f t="shared" si="225"/>
        <v>0</v>
      </c>
      <c r="AK709" s="59">
        <f t="shared" si="226"/>
        <v>0</v>
      </c>
      <c r="AL709" s="59">
        <v>5067</v>
      </c>
      <c r="AM709" s="59">
        <v>6759</v>
      </c>
      <c r="AN709" s="59">
        <v>1</v>
      </c>
      <c r="AO709" s="59">
        <v>1</v>
      </c>
      <c r="AP709" s="59">
        <v>19</v>
      </c>
      <c r="AQ709" s="59">
        <v>3</v>
      </c>
      <c r="AR709" s="59">
        <v>3</v>
      </c>
      <c r="AS709" s="59">
        <v>80</v>
      </c>
      <c r="AT709" s="59">
        <v>0</v>
      </c>
      <c r="AU709" s="59">
        <v>20</v>
      </c>
      <c r="AV709" s="59">
        <v>3</v>
      </c>
      <c r="AW709" s="59">
        <v>4</v>
      </c>
      <c r="AX709" s="59">
        <v>19</v>
      </c>
      <c r="AY709" s="59">
        <v>10</v>
      </c>
      <c r="AZ709" s="59">
        <v>2</v>
      </c>
      <c r="BA709" s="59">
        <v>7</v>
      </c>
      <c r="BB709" s="57">
        <f t="shared" si="227"/>
        <v>10134</v>
      </c>
    </row>
    <row r="710" spans="1:54" x14ac:dyDescent="0.25">
      <c r="A710" s="58">
        <v>36</v>
      </c>
      <c r="B710" s="59">
        <v>0</v>
      </c>
      <c r="C710" s="59">
        <v>3</v>
      </c>
      <c r="D710" s="59">
        <f t="shared" si="209"/>
        <v>0</v>
      </c>
      <c r="E710" s="59">
        <f t="shared" si="210"/>
        <v>0</v>
      </c>
      <c r="F710" s="59">
        <v>1229</v>
      </c>
      <c r="G710" s="59">
        <v>1</v>
      </c>
      <c r="H710" s="59">
        <f t="shared" si="211"/>
        <v>1</v>
      </c>
      <c r="I710" s="59">
        <f t="shared" si="212"/>
        <v>0</v>
      </c>
      <c r="J710" s="59">
        <v>8</v>
      </c>
      <c r="K710" s="59">
        <v>4</v>
      </c>
      <c r="L710" s="59">
        <v>5</v>
      </c>
      <c r="M710" s="59">
        <f t="shared" si="213"/>
        <v>0</v>
      </c>
      <c r="N710" s="59">
        <f t="shared" si="214"/>
        <v>0</v>
      </c>
      <c r="O710" s="59">
        <f t="shared" si="215"/>
        <v>0</v>
      </c>
      <c r="P710" s="59">
        <f t="shared" si="216"/>
        <v>0</v>
      </c>
      <c r="Q710" s="59">
        <f t="shared" si="217"/>
        <v>1</v>
      </c>
      <c r="R710" s="59">
        <v>1</v>
      </c>
      <c r="S710" s="59">
        <v>990</v>
      </c>
      <c r="T710" s="59">
        <v>1</v>
      </c>
      <c r="U710" s="59">
        <v>1</v>
      </c>
      <c r="V710" s="59">
        <v>84</v>
      </c>
      <c r="W710" s="59">
        <v>3</v>
      </c>
      <c r="X710" s="59">
        <v>2</v>
      </c>
      <c r="Y710" s="59">
        <v>1</v>
      </c>
      <c r="Z710" s="59">
        <f t="shared" si="218"/>
        <v>1</v>
      </c>
      <c r="AA710" s="59">
        <f>IF('Updated Dummy'!Y710=2,1,0)</f>
        <v>0</v>
      </c>
      <c r="AB710" s="59">
        <f t="shared" si="219"/>
        <v>0</v>
      </c>
      <c r="AC710" s="59">
        <f t="shared" si="220"/>
        <v>0</v>
      </c>
      <c r="AD710" s="59">
        <f t="shared" si="221"/>
        <v>0</v>
      </c>
      <c r="AE710" s="59">
        <f t="shared" si="222"/>
        <v>0</v>
      </c>
      <c r="AF710" s="59">
        <f t="shared" si="223"/>
        <v>0</v>
      </c>
      <c r="AG710" s="59">
        <f t="shared" si="224"/>
        <v>0</v>
      </c>
      <c r="AH710" s="59">
        <v>4</v>
      </c>
      <c r="AI710" s="59">
        <v>3</v>
      </c>
      <c r="AJ710" s="59">
        <f t="shared" si="225"/>
        <v>0</v>
      </c>
      <c r="AK710" s="59">
        <f t="shared" si="226"/>
        <v>0</v>
      </c>
      <c r="AL710" s="59">
        <v>5079</v>
      </c>
      <c r="AM710" s="59">
        <v>25952</v>
      </c>
      <c r="AN710" s="59">
        <v>4</v>
      </c>
      <c r="AO710" s="59">
        <v>0</v>
      </c>
      <c r="AP710" s="59">
        <v>13</v>
      </c>
      <c r="AQ710" s="59">
        <v>3</v>
      </c>
      <c r="AR710" s="59">
        <v>4</v>
      </c>
      <c r="AS710" s="59">
        <v>80</v>
      </c>
      <c r="AT710" s="59">
        <v>2</v>
      </c>
      <c r="AU710" s="59">
        <v>12</v>
      </c>
      <c r="AV710" s="59">
        <v>3</v>
      </c>
      <c r="AW710" s="59">
        <v>3</v>
      </c>
      <c r="AX710" s="59">
        <v>7</v>
      </c>
      <c r="AY710" s="59">
        <v>7</v>
      </c>
      <c r="AZ710" s="59">
        <v>0</v>
      </c>
      <c r="BA710" s="59">
        <v>7</v>
      </c>
      <c r="BB710" s="57">
        <f t="shared" si="227"/>
        <v>10158</v>
      </c>
    </row>
    <row r="711" spans="1:54" x14ac:dyDescent="0.25">
      <c r="A711" s="58">
        <v>31</v>
      </c>
      <c r="B711" s="59">
        <v>1</v>
      </c>
      <c r="C711" s="59">
        <v>3</v>
      </c>
      <c r="D711" s="59">
        <f t="shared" si="209"/>
        <v>0</v>
      </c>
      <c r="E711" s="59">
        <f t="shared" si="210"/>
        <v>0</v>
      </c>
      <c r="F711" s="59">
        <v>335</v>
      </c>
      <c r="G711" s="59">
        <v>2</v>
      </c>
      <c r="H711" s="59">
        <f t="shared" si="211"/>
        <v>0</v>
      </c>
      <c r="I711" s="59">
        <f t="shared" si="212"/>
        <v>1</v>
      </c>
      <c r="J711" s="59">
        <v>9</v>
      </c>
      <c r="K711" s="59">
        <v>2</v>
      </c>
      <c r="L711" s="59">
        <v>3</v>
      </c>
      <c r="M711" s="59">
        <f t="shared" si="213"/>
        <v>0</v>
      </c>
      <c r="N711" s="59">
        <f t="shared" si="214"/>
        <v>0</v>
      </c>
      <c r="O711" s="59">
        <f t="shared" si="215"/>
        <v>1</v>
      </c>
      <c r="P711" s="59">
        <f t="shared" si="216"/>
        <v>0</v>
      </c>
      <c r="Q711" s="59">
        <f t="shared" si="217"/>
        <v>0</v>
      </c>
      <c r="R711" s="59">
        <v>1</v>
      </c>
      <c r="S711" s="59">
        <v>991</v>
      </c>
      <c r="T711" s="59">
        <v>3</v>
      </c>
      <c r="U711" s="59">
        <v>1</v>
      </c>
      <c r="V711" s="59">
        <v>46</v>
      </c>
      <c r="W711" s="59">
        <v>2</v>
      </c>
      <c r="X711" s="59">
        <v>1</v>
      </c>
      <c r="Y711" s="59">
        <v>2</v>
      </c>
      <c r="Z711" s="59">
        <f t="shared" si="218"/>
        <v>0</v>
      </c>
      <c r="AA711" s="59">
        <f>IF('Updated Dummy'!Y711=2,1,0)</f>
        <v>1</v>
      </c>
      <c r="AB711" s="59">
        <f t="shared" si="219"/>
        <v>0</v>
      </c>
      <c r="AC711" s="59">
        <f t="shared" si="220"/>
        <v>0</v>
      </c>
      <c r="AD711" s="59">
        <f t="shared" si="221"/>
        <v>0</v>
      </c>
      <c r="AE711" s="59">
        <f t="shared" si="222"/>
        <v>0</v>
      </c>
      <c r="AF711" s="59">
        <f t="shared" si="223"/>
        <v>0</v>
      </c>
      <c r="AG711" s="59">
        <f t="shared" si="224"/>
        <v>0</v>
      </c>
      <c r="AH711" s="59">
        <v>1</v>
      </c>
      <c r="AI711" s="59">
        <v>1</v>
      </c>
      <c r="AJ711" s="59">
        <f t="shared" si="225"/>
        <v>1</v>
      </c>
      <c r="AK711" s="59">
        <f t="shared" si="226"/>
        <v>0</v>
      </c>
      <c r="AL711" s="59">
        <v>2321</v>
      </c>
      <c r="AM711" s="59">
        <v>10322</v>
      </c>
      <c r="AN711" s="59">
        <v>0</v>
      </c>
      <c r="AO711" s="59">
        <v>1</v>
      </c>
      <c r="AP711" s="59">
        <v>22</v>
      </c>
      <c r="AQ711" s="59">
        <v>4</v>
      </c>
      <c r="AR711" s="59">
        <v>1</v>
      </c>
      <c r="AS711" s="59">
        <v>80</v>
      </c>
      <c r="AT711" s="59">
        <v>0</v>
      </c>
      <c r="AU711" s="59">
        <v>4</v>
      </c>
      <c r="AV711" s="59">
        <v>0</v>
      </c>
      <c r="AW711" s="59">
        <v>3</v>
      </c>
      <c r="AX711" s="59">
        <v>3</v>
      </c>
      <c r="AY711" s="59">
        <v>2</v>
      </c>
      <c r="AZ711" s="59">
        <v>1</v>
      </c>
      <c r="BA711" s="59">
        <v>2</v>
      </c>
      <c r="BB711" s="57">
        <f t="shared" si="227"/>
        <v>2321</v>
      </c>
    </row>
    <row r="712" spans="1:54" x14ac:dyDescent="0.25">
      <c r="A712" s="58">
        <v>33</v>
      </c>
      <c r="B712" s="59">
        <v>0</v>
      </c>
      <c r="C712" s="59">
        <v>3</v>
      </c>
      <c r="D712" s="59">
        <f t="shared" si="209"/>
        <v>0</v>
      </c>
      <c r="E712" s="59">
        <f t="shared" si="210"/>
        <v>0</v>
      </c>
      <c r="F712" s="59">
        <v>722</v>
      </c>
      <c r="G712" s="59">
        <v>1</v>
      </c>
      <c r="H712" s="59">
        <f t="shared" si="211"/>
        <v>1</v>
      </c>
      <c r="I712" s="59">
        <f t="shared" si="212"/>
        <v>0</v>
      </c>
      <c r="J712" s="59">
        <v>17</v>
      </c>
      <c r="K712" s="59">
        <v>3</v>
      </c>
      <c r="L712" s="59">
        <v>1</v>
      </c>
      <c r="M712" s="59">
        <f t="shared" si="213"/>
        <v>1</v>
      </c>
      <c r="N712" s="59">
        <f t="shared" si="214"/>
        <v>0</v>
      </c>
      <c r="O712" s="59">
        <f t="shared" si="215"/>
        <v>0</v>
      </c>
      <c r="P712" s="59">
        <f t="shared" si="216"/>
        <v>0</v>
      </c>
      <c r="Q712" s="59">
        <f t="shared" si="217"/>
        <v>0</v>
      </c>
      <c r="R712" s="59">
        <v>1</v>
      </c>
      <c r="S712" s="59">
        <v>992</v>
      </c>
      <c r="T712" s="59">
        <v>4</v>
      </c>
      <c r="U712" s="59">
        <v>1</v>
      </c>
      <c r="V712" s="59">
        <v>38</v>
      </c>
      <c r="W712" s="59">
        <v>3</v>
      </c>
      <c r="X712" s="59">
        <v>4</v>
      </c>
      <c r="Y712" s="59">
        <v>6</v>
      </c>
      <c r="Z712" s="59">
        <f t="shared" si="218"/>
        <v>0</v>
      </c>
      <c r="AA712" s="59">
        <f>IF('Updated Dummy'!Y712=2,1,0)</f>
        <v>0</v>
      </c>
      <c r="AB712" s="59">
        <f t="shared" si="219"/>
        <v>0</v>
      </c>
      <c r="AC712" s="59">
        <f t="shared" si="220"/>
        <v>0</v>
      </c>
      <c r="AD712" s="59">
        <f t="shared" si="221"/>
        <v>0</v>
      </c>
      <c r="AE712" s="59">
        <f t="shared" si="222"/>
        <v>1</v>
      </c>
      <c r="AF712" s="59">
        <f t="shared" si="223"/>
        <v>0</v>
      </c>
      <c r="AG712" s="59">
        <f t="shared" si="224"/>
        <v>0</v>
      </c>
      <c r="AH712" s="59">
        <v>3</v>
      </c>
      <c r="AI712" s="59">
        <v>1</v>
      </c>
      <c r="AJ712" s="59">
        <f t="shared" si="225"/>
        <v>1</v>
      </c>
      <c r="AK712" s="59">
        <f t="shared" si="226"/>
        <v>0</v>
      </c>
      <c r="AL712" s="59">
        <v>17444</v>
      </c>
      <c r="AM712" s="59">
        <v>20489</v>
      </c>
      <c r="AN712" s="59">
        <v>1</v>
      </c>
      <c r="AO712" s="59">
        <v>0</v>
      </c>
      <c r="AP712" s="59">
        <v>11</v>
      </c>
      <c r="AQ712" s="59">
        <v>3</v>
      </c>
      <c r="AR712" s="59">
        <v>4</v>
      </c>
      <c r="AS712" s="59">
        <v>80</v>
      </c>
      <c r="AT712" s="59">
        <v>0</v>
      </c>
      <c r="AU712" s="59">
        <v>10</v>
      </c>
      <c r="AV712" s="59">
        <v>2</v>
      </c>
      <c r="AW712" s="59">
        <v>3</v>
      </c>
      <c r="AX712" s="59">
        <v>10</v>
      </c>
      <c r="AY712" s="59">
        <v>8</v>
      </c>
      <c r="AZ712" s="59">
        <v>6</v>
      </c>
      <c r="BA712" s="59">
        <v>0</v>
      </c>
      <c r="BB712" s="57">
        <f t="shared" si="227"/>
        <v>69776</v>
      </c>
    </row>
    <row r="713" spans="1:54" x14ac:dyDescent="0.25">
      <c r="A713" s="58">
        <v>29</v>
      </c>
      <c r="B713" s="59">
        <v>1</v>
      </c>
      <c r="C713" s="59">
        <v>1</v>
      </c>
      <c r="D713" s="59">
        <f t="shared" si="209"/>
        <v>1</v>
      </c>
      <c r="E713" s="59">
        <f t="shared" si="210"/>
        <v>0</v>
      </c>
      <c r="F713" s="59">
        <v>906</v>
      </c>
      <c r="G713" s="59">
        <v>2</v>
      </c>
      <c r="H713" s="59">
        <f t="shared" si="211"/>
        <v>0</v>
      </c>
      <c r="I713" s="59">
        <f t="shared" si="212"/>
        <v>1</v>
      </c>
      <c r="J713" s="59">
        <v>10</v>
      </c>
      <c r="K713" s="59">
        <v>3</v>
      </c>
      <c r="L713" s="59">
        <v>1</v>
      </c>
      <c r="M713" s="59">
        <f t="shared" si="213"/>
        <v>1</v>
      </c>
      <c r="N713" s="59">
        <f t="shared" si="214"/>
        <v>0</v>
      </c>
      <c r="O713" s="59">
        <f t="shared" si="215"/>
        <v>0</v>
      </c>
      <c r="P713" s="59">
        <f t="shared" si="216"/>
        <v>0</v>
      </c>
      <c r="Q713" s="59">
        <f t="shared" si="217"/>
        <v>0</v>
      </c>
      <c r="R713" s="59">
        <v>1</v>
      </c>
      <c r="S713" s="59">
        <v>994</v>
      </c>
      <c r="T713" s="59">
        <v>4</v>
      </c>
      <c r="U713" s="59">
        <v>0</v>
      </c>
      <c r="V713" s="59">
        <v>92</v>
      </c>
      <c r="W713" s="59">
        <v>2</v>
      </c>
      <c r="X713" s="59">
        <v>1</v>
      </c>
      <c r="Y713" s="59">
        <v>2</v>
      </c>
      <c r="Z713" s="59">
        <f t="shared" si="218"/>
        <v>0</v>
      </c>
      <c r="AA713" s="59">
        <f>IF('Updated Dummy'!Y713=2,1,0)</f>
        <v>1</v>
      </c>
      <c r="AB713" s="59">
        <f t="shared" si="219"/>
        <v>0</v>
      </c>
      <c r="AC713" s="59">
        <f t="shared" si="220"/>
        <v>0</v>
      </c>
      <c r="AD713" s="59">
        <f t="shared" si="221"/>
        <v>0</v>
      </c>
      <c r="AE713" s="59">
        <f t="shared" si="222"/>
        <v>0</v>
      </c>
      <c r="AF713" s="59">
        <f t="shared" si="223"/>
        <v>0</v>
      </c>
      <c r="AG713" s="59">
        <f t="shared" si="224"/>
        <v>0</v>
      </c>
      <c r="AH713" s="59">
        <v>1</v>
      </c>
      <c r="AI713" s="59">
        <v>1</v>
      </c>
      <c r="AJ713" s="59">
        <f t="shared" si="225"/>
        <v>1</v>
      </c>
      <c r="AK713" s="59">
        <f t="shared" si="226"/>
        <v>0</v>
      </c>
      <c r="AL713" s="59">
        <v>2404</v>
      </c>
      <c r="AM713" s="59">
        <v>11479</v>
      </c>
      <c r="AN713" s="59">
        <v>6</v>
      </c>
      <c r="AO713" s="59">
        <v>1</v>
      </c>
      <c r="AP713" s="59">
        <v>20</v>
      </c>
      <c r="AQ713" s="59">
        <v>4</v>
      </c>
      <c r="AR713" s="59">
        <v>3</v>
      </c>
      <c r="AS713" s="59">
        <v>80</v>
      </c>
      <c r="AT713" s="59">
        <v>0</v>
      </c>
      <c r="AU713" s="59">
        <v>3</v>
      </c>
      <c r="AV713" s="59">
        <v>5</v>
      </c>
      <c r="AW713" s="59">
        <v>3</v>
      </c>
      <c r="AX713" s="59">
        <v>0</v>
      </c>
      <c r="AY713" s="59">
        <v>0</v>
      </c>
      <c r="AZ713" s="59">
        <v>0</v>
      </c>
      <c r="BA713" s="59">
        <v>0</v>
      </c>
      <c r="BB713" s="57">
        <f t="shared" si="227"/>
        <v>2404</v>
      </c>
    </row>
    <row r="714" spans="1:54" x14ac:dyDescent="0.25">
      <c r="A714" s="58">
        <v>33</v>
      </c>
      <c r="B714" s="59">
        <v>0</v>
      </c>
      <c r="C714" s="59">
        <v>1</v>
      </c>
      <c r="D714" s="59">
        <f t="shared" si="209"/>
        <v>1</v>
      </c>
      <c r="E714" s="59">
        <f t="shared" si="210"/>
        <v>0</v>
      </c>
      <c r="F714" s="59">
        <v>461</v>
      </c>
      <c r="G714" s="59">
        <v>2</v>
      </c>
      <c r="H714" s="59">
        <f t="shared" si="211"/>
        <v>0</v>
      </c>
      <c r="I714" s="59">
        <f t="shared" si="212"/>
        <v>1</v>
      </c>
      <c r="J714" s="59">
        <v>13</v>
      </c>
      <c r="K714" s="59">
        <v>1</v>
      </c>
      <c r="L714" s="59">
        <v>1</v>
      </c>
      <c r="M714" s="59">
        <f t="shared" si="213"/>
        <v>1</v>
      </c>
      <c r="N714" s="59">
        <f t="shared" si="214"/>
        <v>0</v>
      </c>
      <c r="O714" s="59">
        <f t="shared" si="215"/>
        <v>0</v>
      </c>
      <c r="P714" s="59">
        <f t="shared" si="216"/>
        <v>0</v>
      </c>
      <c r="Q714" s="59">
        <f t="shared" si="217"/>
        <v>0</v>
      </c>
      <c r="R714" s="59">
        <v>1</v>
      </c>
      <c r="S714" s="59">
        <v>995</v>
      </c>
      <c r="T714" s="59">
        <v>2</v>
      </c>
      <c r="U714" s="59">
        <v>0</v>
      </c>
      <c r="V714" s="59">
        <v>53</v>
      </c>
      <c r="W714" s="59">
        <v>3</v>
      </c>
      <c r="X714" s="59">
        <v>1</v>
      </c>
      <c r="Y714" s="59">
        <v>2</v>
      </c>
      <c r="Z714" s="59">
        <f t="shared" si="218"/>
        <v>0</v>
      </c>
      <c r="AA714" s="59">
        <f>IF('Updated Dummy'!Y714=2,1,0)</f>
        <v>1</v>
      </c>
      <c r="AB714" s="59">
        <f t="shared" si="219"/>
        <v>0</v>
      </c>
      <c r="AC714" s="59">
        <f t="shared" si="220"/>
        <v>0</v>
      </c>
      <c r="AD714" s="59">
        <f t="shared" si="221"/>
        <v>0</v>
      </c>
      <c r="AE714" s="59">
        <f t="shared" si="222"/>
        <v>0</v>
      </c>
      <c r="AF714" s="59">
        <f t="shared" si="223"/>
        <v>0</v>
      </c>
      <c r="AG714" s="59">
        <f t="shared" si="224"/>
        <v>0</v>
      </c>
      <c r="AH714" s="59">
        <v>4</v>
      </c>
      <c r="AI714" s="59">
        <v>1</v>
      </c>
      <c r="AJ714" s="59">
        <f t="shared" si="225"/>
        <v>1</v>
      </c>
      <c r="AK714" s="59">
        <f t="shared" si="226"/>
        <v>0</v>
      </c>
      <c r="AL714" s="59">
        <v>3452</v>
      </c>
      <c r="AM714" s="59">
        <v>17241</v>
      </c>
      <c r="AN714" s="59">
        <v>3</v>
      </c>
      <c r="AO714" s="59">
        <v>0</v>
      </c>
      <c r="AP714" s="59">
        <v>18</v>
      </c>
      <c r="AQ714" s="59">
        <v>3</v>
      </c>
      <c r="AR714" s="59">
        <v>1</v>
      </c>
      <c r="AS714" s="59">
        <v>80</v>
      </c>
      <c r="AT714" s="59">
        <v>0</v>
      </c>
      <c r="AU714" s="59">
        <v>5</v>
      </c>
      <c r="AV714" s="59">
        <v>4</v>
      </c>
      <c r="AW714" s="59">
        <v>3</v>
      </c>
      <c r="AX714" s="59">
        <v>3</v>
      </c>
      <c r="AY714" s="59">
        <v>2</v>
      </c>
      <c r="AZ714" s="59">
        <v>0</v>
      </c>
      <c r="BA714" s="59">
        <v>2</v>
      </c>
      <c r="BB714" s="57">
        <f t="shared" si="227"/>
        <v>3452</v>
      </c>
    </row>
    <row r="715" spans="1:54" x14ac:dyDescent="0.25">
      <c r="A715" s="58">
        <v>45</v>
      </c>
      <c r="B715" s="59">
        <v>0</v>
      </c>
      <c r="C715" s="59">
        <v>1</v>
      </c>
      <c r="D715" s="59">
        <f t="shared" si="209"/>
        <v>1</v>
      </c>
      <c r="E715" s="59">
        <f t="shared" si="210"/>
        <v>0</v>
      </c>
      <c r="F715" s="59">
        <v>974</v>
      </c>
      <c r="G715" s="59">
        <v>2</v>
      </c>
      <c r="H715" s="59">
        <f t="shared" si="211"/>
        <v>0</v>
      </c>
      <c r="I715" s="59">
        <f t="shared" si="212"/>
        <v>1</v>
      </c>
      <c r="J715" s="59">
        <v>1</v>
      </c>
      <c r="K715" s="59">
        <v>4</v>
      </c>
      <c r="L715" s="59">
        <v>3</v>
      </c>
      <c r="M715" s="59">
        <f t="shared" si="213"/>
        <v>0</v>
      </c>
      <c r="N715" s="59">
        <f t="shared" si="214"/>
        <v>0</v>
      </c>
      <c r="O715" s="59">
        <f t="shared" si="215"/>
        <v>1</v>
      </c>
      <c r="P715" s="59">
        <f t="shared" si="216"/>
        <v>0</v>
      </c>
      <c r="Q715" s="59">
        <f t="shared" si="217"/>
        <v>0</v>
      </c>
      <c r="R715" s="59">
        <v>1</v>
      </c>
      <c r="S715" s="59">
        <v>996</v>
      </c>
      <c r="T715" s="59">
        <v>4</v>
      </c>
      <c r="U715" s="59">
        <v>0</v>
      </c>
      <c r="V715" s="59">
        <v>91</v>
      </c>
      <c r="W715" s="59">
        <v>3</v>
      </c>
      <c r="X715" s="59">
        <v>1</v>
      </c>
      <c r="Y715" s="59">
        <v>3</v>
      </c>
      <c r="Z715" s="59">
        <f t="shared" si="218"/>
        <v>0</v>
      </c>
      <c r="AA715" s="59">
        <f>IF('Updated Dummy'!Y715=2,1,0)</f>
        <v>0</v>
      </c>
      <c r="AB715" s="59">
        <f t="shared" si="219"/>
        <v>1</v>
      </c>
      <c r="AC715" s="59">
        <f t="shared" si="220"/>
        <v>0</v>
      </c>
      <c r="AD715" s="59">
        <f t="shared" si="221"/>
        <v>0</v>
      </c>
      <c r="AE715" s="59">
        <f t="shared" si="222"/>
        <v>0</v>
      </c>
      <c r="AF715" s="59">
        <f t="shared" si="223"/>
        <v>0</v>
      </c>
      <c r="AG715" s="59">
        <f t="shared" si="224"/>
        <v>0</v>
      </c>
      <c r="AH715" s="59">
        <v>4</v>
      </c>
      <c r="AI715" s="59">
        <v>3</v>
      </c>
      <c r="AJ715" s="59">
        <f t="shared" si="225"/>
        <v>0</v>
      </c>
      <c r="AK715" s="59">
        <f t="shared" si="226"/>
        <v>0</v>
      </c>
      <c r="AL715" s="59">
        <v>2270</v>
      </c>
      <c r="AM715" s="59">
        <v>11005</v>
      </c>
      <c r="AN715" s="59">
        <v>3</v>
      </c>
      <c r="AO715" s="59">
        <v>0</v>
      </c>
      <c r="AP715" s="59">
        <v>14</v>
      </c>
      <c r="AQ715" s="59">
        <v>3</v>
      </c>
      <c r="AR715" s="59">
        <v>4</v>
      </c>
      <c r="AS715" s="59">
        <v>80</v>
      </c>
      <c r="AT715" s="59">
        <v>2</v>
      </c>
      <c r="AU715" s="59">
        <v>8</v>
      </c>
      <c r="AV715" s="59">
        <v>2</v>
      </c>
      <c r="AW715" s="59">
        <v>3</v>
      </c>
      <c r="AX715" s="59">
        <v>5</v>
      </c>
      <c r="AY715" s="59">
        <v>3</v>
      </c>
      <c r="AZ715" s="59">
        <v>0</v>
      </c>
      <c r="BA715" s="59">
        <v>2</v>
      </c>
      <c r="BB715" s="57">
        <f t="shared" si="227"/>
        <v>2270</v>
      </c>
    </row>
    <row r="716" spans="1:54" x14ac:dyDescent="0.25">
      <c r="A716" s="58">
        <v>50</v>
      </c>
      <c r="B716" s="59">
        <v>0</v>
      </c>
      <c r="C716" s="59">
        <v>1</v>
      </c>
      <c r="D716" s="59">
        <f t="shared" si="209"/>
        <v>1</v>
      </c>
      <c r="E716" s="59">
        <f t="shared" si="210"/>
        <v>0</v>
      </c>
      <c r="F716" s="59">
        <v>1126</v>
      </c>
      <c r="G716" s="59">
        <v>2</v>
      </c>
      <c r="H716" s="59">
        <f t="shared" si="211"/>
        <v>0</v>
      </c>
      <c r="I716" s="59">
        <f t="shared" si="212"/>
        <v>1</v>
      </c>
      <c r="J716" s="59">
        <v>1</v>
      </c>
      <c r="K716" s="59">
        <v>2</v>
      </c>
      <c r="L716" s="59">
        <v>3</v>
      </c>
      <c r="M716" s="59">
        <f t="shared" si="213"/>
        <v>0</v>
      </c>
      <c r="N716" s="59">
        <f t="shared" si="214"/>
        <v>0</v>
      </c>
      <c r="O716" s="59">
        <f t="shared" si="215"/>
        <v>1</v>
      </c>
      <c r="P716" s="59">
        <f t="shared" si="216"/>
        <v>0</v>
      </c>
      <c r="Q716" s="59">
        <f t="shared" si="217"/>
        <v>0</v>
      </c>
      <c r="R716" s="59">
        <v>1</v>
      </c>
      <c r="S716" s="59">
        <v>997</v>
      </c>
      <c r="T716" s="59">
        <v>4</v>
      </c>
      <c r="U716" s="59">
        <v>1</v>
      </c>
      <c r="V716" s="59">
        <v>66</v>
      </c>
      <c r="W716" s="59">
        <v>3</v>
      </c>
      <c r="X716" s="59">
        <v>4</v>
      </c>
      <c r="Y716" s="59">
        <v>8</v>
      </c>
      <c r="Z716" s="59">
        <f t="shared" si="218"/>
        <v>0</v>
      </c>
      <c r="AA716" s="59">
        <f>IF('Updated Dummy'!Y716=2,1,0)</f>
        <v>0</v>
      </c>
      <c r="AB716" s="59">
        <f t="shared" si="219"/>
        <v>0</v>
      </c>
      <c r="AC716" s="59">
        <f t="shared" si="220"/>
        <v>0</v>
      </c>
      <c r="AD716" s="59">
        <f t="shared" si="221"/>
        <v>0</v>
      </c>
      <c r="AE716" s="59">
        <f t="shared" si="222"/>
        <v>0</v>
      </c>
      <c r="AF716" s="59">
        <f t="shared" si="223"/>
        <v>0</v>
      </c>
      <c r="AG716" s="59">
        <f t="shared" si="224"/>
        <v>1</v>
      </c>
      <c r="AH716" s="59">
        <v>4</v>
      </c>
      <c r="AI716" s="59">
        <v>3</v>
      </c>
      <c r="AJ716" s="59">
        <f t="shared" si="225"/>
        <v>0</v>
      </c>
      <c r="AK716" s="59">
        <f t="shared" si="226"/>
        <v>0</v>
      </c>
      <c r="AL716" s="59">
        <v>17399</v>
      </c>
      <c r="AM716" s="59">
        <v>6615</v>
      </c>
      <c r="AN716" s="59">
        <v>9</v>
      </c>
      <c r="AO716" s="59">
        <v>0</v>
      </c>
      <c r="AP716" s="59">
        <v>22</v>
      </c>
      <c r="AQ716" s="59">
        <v>4</v>
      </c>
      <c r="AR716" s="59">
        <v>3</v>
      </c>
      <c r="AS716" s="59">
        <v>80</v>
      </c>
      <c r="AT716" s="59">
        <v>1</v>
      </c>
      <c r="AU716" s="59">
        <v>32</v>
      </c>
      <c r="AV716" s="59">
        <v>1</v>
      </c>
      <c r="AW716" s="59">
        <v>2</v>
      </c>
      <c r="AX716" s="59">
        <v>5</v>
      </c>
      <c r="AY716" s="59">
        <v>4</v>
      </c>
      <c r="AZ716" s="59">
        <v>1</v>
      </c>
      <c r="BA716" s="59">
        <v>3</v>
      </c>
      <c r="BB716" s="57">
        <f t="shared" si="227"/>
        <v>69596</v>
      </c>
    </row>
    <row r="717" spans="1:54" x14ac:dyDescent="0.25">
      <c r="A717" s="58">
        <v>33</v>
      </c>
      <c r="B717" s="59">
        <v>0</v>
      </c>
      <c r="C717" s="59">
        <v>2</v>
      </c>
      <c r="D717" s="59">
        <f t="shared" si="209"/>
        <v>0</v>
      </c>
      <c r="E717" s="59">
        <f t="shared" si="210"/>
        <v>1</v>
      </c>
      <c r="F717" s="59">
        <v>827</v>
      </c>
      <c r="G717" s="59">
        <v>2</v>
      </c>
      <c r="H717" s="59">
        <f t="shared" si="211"/>
        <v>0</v>
      </c>
      <c r="I717" s="59">
        <f t="shared" si="212"/>
        <v>1</v>
      </c>
      <c r="J717" s="59">
        <v>1</v>
      </c>
      <c r="K717" s="59">
        <v>4</v>
      </c>
      <c r="L717" s="59">
        <v>6</v>
      </c>
      <c r="M717" s="59">
        <f t="shared" si="213"/>
        <v>0</v>
      </c>
      <c r="N717" s="59">
        <f t="shared" si="214"/>
        <v>0</v>
      </c>
      <c r="O717" s="59">
        <f t="shared" si="215"/>
        <v>0</v>
      </c>
      <c r="P717" s="59">
        <f t="shared" si="216"/>
        <v>0</v>
      </c>
      <c r="Q717" s="59">
        <f t="shared" si="217"/>
        <v>0</v>
      </c>
      <c r="R717" s="59">
        <v>1</v>
      </c>
      <c r="S717" s="59">
        <v>998</v>
      </c>
      <c r="T717" s="59">
        <v>3</v>
      </c>
      <c r="U717" s="59">
        <v>0</v>
      </c>
      <c r="V717" s="59">
        <v>84</v>
      </c>
      <c r="W717" s="59">
        <v>4</v>
      </c>
      <c r="X717" s="59">
        <v>2</v>
      </c>
      <c r="Y717" s="59">
        <v>5</v>
      </c>
      <c r="Z717" s="59">
        <f t="shared" si="218"/>
        <v>0</v>
      </c>
      <c r="AA717" s="59">
        <f>IF('Updated Dummy'!Y717=2,1,0)</f>
        <v>0</v>
      </c>
      <c r="AB717" s="59">
        <f t="shared" si="219"/>
        <v>0</v>
      </c>
      <c r="AC717" s="59">
        <f t="shared" si="220"/>
        <v>0</v>
      </c>
      <c r="AD717" s="59">
        <f t="shared" si="221"/>
        <v>1</v>
      </c>
      <c r="AE717" s="59">
        <f t="shared" si="222"/>
        <v>0</v>
      </c>
      <c r="AF717" s="59">
        <f t="shared" si="223"/>
        <v>0</v>
      </c>
      <c r="AG717" s="59">
        <f t="shared" si="224"/>
        <v>0</v>
      </c>
      <c r="AH717" s="59">
        <v>2</v>
      </c>
      <c r="AI717" s="59">
        <v>2</v>
      </c>
      <c r="AJ717" s="59">
        <f t="shared" si="225"/>
        <v>0</v>
      </c>
      <c r="AK717" s="59">
        <f t="shared" si="226"/>
        <v>1</v>
      </c>
      <c r="AL717" s="59">
        <v>5488</v>
      </c>
      <c r="AM717" s="59">
        <v>20161</v>
      </c>
      <c r="AN717" s="59">
        <v>1</v>
      </c>
      <c r="AO717" s="59">
        <v>1</v>
      </c>
      <c r="AP717" s="59">
        <v>13</v>
      </c>
      <c r="AQ717" s="59">
        <v>3</v>
      </c>
      <c r="AR717" s="59">
        <v>1</v>
      </c>
      <c r="AS717" s="59">
        <v>80</v>
      </c>
      <c r="AT717" s="59">
        <v>1</v>
      </c>
      <c r="AU717" s="59">
        <v>6</v>
      </c>
      <c r="AV717" s="59">
        <v>2</v>
      </c>
      <c r="AW717" s="59">
        <v>3</v>
      </c>
      <c r="AX717" s="59">
        <v>6</v>
      </c>
      <c r="AY717" s="59">
        <v>5</v>
      </c>
      <c r="AZ717" s="59">
        <v>1</v>
      </c>
      <c r="BA717" s="59">
        <v>2</v>
      </c>
      <c r="BB717" s="57">
        <f t="shared" si="227"/>
        <v>10976</v>
      </c>
    </row>
    <row r="718" spans="1:54" x14ac:dyDescent="0.25">
      <c r="A718" s="58">
        <v>41</v>
      </c>
      <c r="B718" s="59">
        <v>0</v>
      </c>
      <c r="C718" s="59">
        <v>2</v>
      </c>
      <c r="D718" s="59">
        <f t="shared" si="209"/>
        <v>0</v>
      </c>
      <c r="E718" s="59">
        <f t="shared" si="210"/>
        <v>1</v>
      </c>
      <c r="F718" s="59">
        <v>840</v>
      </c>
      <c r="G718" s="59">
        <v>2</v>
      </c>
      <c r="H718" s="59">
        <f t="shared" si="211"/>
        <v>0</v>
      </c>
      <c r="I718" s="59">
        <f t="shared" si="212"/>
        <v>1</v>
      </c>
      <c r="J718" s="59">
        <v>9</v>
      </c>
      <c r="K718" s="59">
        <v>3</v>
      </c>
      <c r="L718" s="59">
        <v>3</v>
      </c>
      <c r="M718" s="59">
        <f t="shared" si="213"/>
        <v>0</v>
      </c>
      <c r="N718" s="59">
        <f t="shared" si="214"/>
        <v>0</v>
      </c>
      <c r="O718" s="59">
        <f t="shared" si="215"/>
        <v>1</v>
      </c>
      <c r="P718" s="59">
        <f t="shared" si="216"/>
        <v>0</v>
      </c>
      <c r="Q718" s="59">
        <f t="shared" si="217"/>
        <v>0</v>
      </c>
      <c r="R718" s="59">
        <v>1</v>
      </c>
      <c r="S718" s="59">
        <v>999</v>
      </c>
      <c r="T718" s="59">
        <v>1</v>
      </c>
      <c r="U718" s="59">
        <v>1</v>
      </c>
      <c r="V718" s="59">
        <v>64</v>
      </c>
      <c r="W718" s="59">
        <v>3</v>
      </c>
      <c r="X718" s="59">
        <v>5</v>
      </c>
      <c r="Y718" s="59">
        <v>8</v>
      </c>
      <c r="Z718" s="59">
        <f t="shared" si="218"/>
        <v>0</v>
      </c>
      <c r="AA718" s="59">
        <f>IF('Updated Dummy'!Y718=2,1,0)</f>
        <v>0</v>
      </c>
      <c r="AB718" s="59">
        <f t="shared" si="219"/>
        <v>0</v>
      </c>
      <c r="AC718" s="59">
        <f t="shared" si="220"/>
        <v>0</v>
      </c>
      <c r="AD718" s="59">
        <f t="shared" si="221"/>
        <v>0</v>
      </c>
      <c r="AE718" s="59">
        <f t="shared" si="222"/>
        <v>0</v>
      </c>
      <c r="AF718" s="59">
        <f t="shared" si="223"/>
        <v>0</v>
      </c>
      <c r="AG718" s="59">
        <f t="shared" si="224"/>
        <v>1</v>
      </c>
      <c r="AH718" s="59">
        <v>3</v>
      </c>
      <c r="AI718" s="59">
        <v>3</v>
      </c>
      <c r="AJ718" s="59">
        <f t="shared" si="225"/>
        <v>0</v>
      </c>
      <c r="AK718" s="59">
        <f t="shared" si="226"/>
        <v>0</v>
      </c>
      <c r="AL718" s="59">
        <v>19419</v>
      </c>
      <c r="AM718" s="59">
        <v>3735</v>
      </c>
      <c r="AN718" s="59">
        <v>2</v>
      </c>
      <c r="AO718" s="59">
        <v>0</v>
      </c>
      <c r="AP718" s="59">
        <v>17</v>
      </c>
      <c r="AQ718" s="59">
        <v>3</v>
      </c>
      <c r="AR718" s="59">
        <v>2</v>
      </c>
      <c r="AS718" s="59">
        <v>80</v>
      </c>
      <c r="AT718" s="59">
        <v>1</v>
      </c>
      <c r="AU718" s="59">
        <v>21</v>
      </c>
      <c r="AV718" s="59">
        <v>2</v>
      </c>
      <c r="AW718" s="59">
        <v>4</v>
      </c>
      <c r="AX718" s="59">
        <v>18</v>
      </c>
      <c r="AY718" s="59">
        <v>16</v>
      </c>
      <c r="AZ718" s="59">
        <v>0</v>
      </c>
      <c r="BA718" s="59">
        <v>11</v>
      </c>
      <c r="BB718" s="57">
        <f t="shared" si="227"/>
        <v>97095</v>
      </c>
    </row>
    <row r="719" spans="1:54" x14ac:dyDescent="0.25">
      <c r="A719" s="58">
        <v>27</v>
      </c>
      <c r="B719" s="59">
        <v>0</v>
      </c>
      <c r="C719" s="59">
        <v>1</v>
      </c>
      <c r="D719" s="59">
        <f t="shared" si="209"/>
        <v>1</v>
      </c>
      <c r="E719" s="59">
        <f t="shared" si="210"/>
        <v>0</v>
      </c>
      <c r="F719" s="59">
        <v>1134</v>
      </c>
      <c r="G719" s="59">
        <v>2</v>
      </c>
      <c r="H719" s="59">
        <f t="shared" si="211"/>
        <v>0</v>
      </c>
      <c r="I719" s="59">
        <f t="shared" si="212"/>
        <v>1</v>
      </c>
      <c r="J719" s="59">
        <v>16</v>
      </c>
      <c r="K719" s="59">
        <v>4</v>
      </c>
      <c r="L719" s="59">
        <v>5</v>
      </c>
      <c r="M719" s="59">
        <f t="shared" si="213"/>
        <v>0</v>
      </c>
      <c r="N719" s="59">
        <f t="shared" si="214"/>
        <v>0</v>
      </c>
      <c r="O719" s="59">
        <f t="shared" si="215"/>
        <v>0</v>
      </c>
      <c r="P719" s="59">
        <f t="shared" si="216"/>
        <v>0</v>
      </c>
      <c r="Q719" s="59">
        <f t="shared" si="217"/>
        <v>1</v>
      </c>
      <c r="R719" s="59">
        <v>1</v>
      </c>
      <c r="S719" s="59">
        <v>1001</v>
      </c>
      <c r="T719" s="59">
        <v>3</v>
      </c>
      <c r="U719" s="59">
        <v>0</v>
      </c>
      <c r="V719" s="59">
        <v>37</v>
      </c>
      <c r="W719" s="59">
        <v>3</v>
      </c>
      <c r="X719" s="59">
        <v>1</v>
      </c>
      <c r="Y719" s="59">
        <v>3</v>
      </c>
      <c r="Z719" s="59">
        <f t="shared" si="218"/>
        <v>0</v>
      </c>
      <c r="AA719" s="59">
        <f>IF('Updated Dummy'!Y719=2,1,0)</f>
        <v>0</v>
      </c>
      <c r="AB719" s="59">
        <f t="shared" si="219"/>
        <v>1</v>
      </c>
      <c r="AC719" s="59">
        <f t="shared" si="220"/>
        <v>0</v>
      </c>
      <c r="AD719" s="59">
        <f t="shared" si="221"/>
        <v>0</v>
      </c>
      <c r="AE719" s="59">
        <f t="shared" si="222"/>
        <v>0</v>
      </c>
      <c r="AF719" s="59">
        <f t="shared" si="223"/>
        <v>0</v>
      </c>
      <c r="AG719" s="59">
        <f t="shared" si="224"/>
        <v>0</v>
      </c>
      <c r="AH719" s="59">
        <v>2</v>
      </c>
      <c r="AI719" s="59">
        <v>2</v>
      </c>
      <c r="AJ719" s="59">
        <f t="shared" si="225"/>
        <v>0</v>
      </c>
      <c r="AK719" s="59">
        <f t="shared" si="226"/>
        <v>1</v>
      </c>
      <c r="AL719" s="59">
        <v>2811</v>
      </c>
      <c r="AM719" s="59">
        <v>12086</v>
      </c>
      <c r="AN719" s="59">
        <v>9</v>
      </c>
      <c r="AO719" s="59">
        <v>0</v>
      </c>
      <c r="AP719" s="59">
        <v>14</v>
      </c>
      <c r="AQ719" s="59">
        <v>3</v>
      </c>
      <c r="AR719" s="59">
        <v>2</v>
      </c>
      <c r="AS719" s="59">
        <v>80</v>
      </c>
      <c r="AT719" s="59">
        <v>1</v>
      </c>
      <c r="AU719" s="59">
        <v>4</v>
      </c>
      <c r="AV719" s="59">
        <v>2</v>
      </c>
      <c r="AW719" s="59">
        <v>3</v>
      </c>
      <c r="AX719" s="59">
        <v>2</v>
      </c>
      <c r="AY719" s="59">
        <v>2</v>
      </c>
      <c r="AZ719" s="59">
        <v>2</v>
      </c>
      <c r="BA719" s="59">
        <v>2</v>
      </c>
      <c r="BB719" s="57">
        <f t="shared" si="227"/>
        <v>2811</v>
      </c>
    </row>
    <row r="720" spans="1:54" x14ac:dyDescent="0.25">
      <c r="A720" s="58">
        <v>45</v>
      </c>
      <c r="B720" s="59">
        <v>0</v>
      </c>
      <c r="C720" s="59">
        <v>3</v>
      </c>
      <c r="D720" s="59">
        <f t="shared" si="209"/>
        <v>0</v>
      </c>
      <c r="E720" s="59">
        <f t="shared" si="210"/>
        <v>0</v>
      </c>
      <c r="F720" s="59">
        <v>248</v>
      </c>
      <c r="G720" s="59">
        <v>2</v>
      </c>
      <c r="H720" s="59">
        <f t="shared" si="211"/>
        <v>0</v>
      </c>
      <c r="I720" s="59">
        <f t="shared" si="212"/>
        <v>1</v>
      </c>
      <c r="J720" s="59">
        <v>23</v>
      </c>
      <c r="K720" s="59">
        <v>2</v>
      </c>
      <c r="L720" s="59">
        <v>1</v>
      </c>
      <c r="M720" s="59">
        <f t="shared" si="213"/>
        <v>1</v>
      </c>
      <c r="N720" s="59">
        <f t="shared" si="214"/>
        <v>0</v>
      </c>
      <c r="O720" s="59">
        <f t="shared" si="215"/>
        <v>0</v>
      </c>
      <c r="P720" s="59">
        <f t="shared" si="216"/>
        <v>0</v>
      </c>
      <c r="Q720" s="59">
        <f t="shared" si="217"/>
        <v>0</v>
      </c>
      <c r="R720" s="59">
        <v>1</v>
      </c>
      <c r="S720" s="59">
        <v>1002</v>
      </c>
      <c r="T720" s="59">
        <v>4</v>
      </c>
      <c r="U720" s="59">
        <v>1</v>
      </c>
      <c r="V720" s="59">
        <v>42</v>
      </c>
      <c r="W720" s="59">
        <v>3</v>
      </c>
      <c r="X720" s="59">
        <v>2</v>
      </c>
      <c r="Y720" s="59">
        <v>3</v>
      </c>
      <c r="Z720" s="59">
        <f t="shared" si="218"/>
        <v>0</v>
      </c>
      <c r="AA720" s="59">
        <f>IF('Updated Dummy'!Y720=2,1,0)</f>
        <v>0</v>
      </c>
      <c r="AB720" s="59">
        <f t="shared" si="219"/>
        <v>1</v>
      </c>
      <c r="AC720" s="59">
        <f t="shared" si="220"/>
        <v>0</v>
      </c>
      <c r="AD720" s="59">
        <f t="shared" si="221"/>
        <v>0</v>
      </c>
      <c r="AE720" s="59">
        <f t="shared" si="222"/>
        <v>0</v>
      </c>
      <c r="AF720" s="59">
        <f t="shared" si="223"/>
        <v>0</v>
      </c>
      <c r="AG720" s="59">
        <f t="shared" si="224"/>
        <v>0</v>
      </c>
      <c r="AH720" s="59">
        <v>1</v>
      </c>
      <c r="AI720" s="59">
        <v>2</v>
      </c>
      <c r="AJ720" s="59">
        <f t="shared" si="225"/>
        <v>0</v>
      </c>
      <c r="AK720" s="59">
        <f t="shared" si="226"/>
        <v>1</v>
      </c>
      <c r="AL720" s="59">
        <v>3633</v>
      </c>
      <c r="AM720" s="59">
        <v>14039</v>
      </c>
      <c r="AN720" s="59">
        <v>1</v>
      </c>
      <c r="AO720" s="59">
        <v>1</v>
      </c>
      <c r="AP720" s="59">
        <v>15</v>
      </c>
      <c r="AQ720" s="59">
        <v>3</v>
      </c>
      <c r="AR720" s="59">
        <v>3</v>
      </c>
      <c r="AS720" s="59">
        <v>80</v>
      </c>
      <c r="AT720" s="59">
        <v>1</v>
      </c>
      <c r="AU720" s="59">
        <v>9</v>
      </c>
      <c r="AV720" s="59">
        <v>2</v>
      </c>
      <c r="AW720" s="59">
        <v>3</v>
      </c>
      <c r="AX720" s="59">
        <v>9</v>
      </c>
      <c r="AY720" s="59">
        <v>8</v>
      </c>
      <c r="AZ720" s="59">
        <v>0</v>
      </c>
      <c r="BA720" s="59">
        <v>8</v>
      </c>
      <c r="BB720" s="57">
        <f t="shared" si="227"/>
        <v>7266</v>
      </c>
    </row>
    <row r="721" spans="1:54" x14ac:dyDescent="0.25">
      <c r="A721" s="58">
        <v>47</v>
      </c>
      <c r="B721" s="59">
        <v>0</v>
      </c>
      <c r="C721" s="59">
        <v>1</v>
      </c>
      <c r="D721" s="59">
        <f t="shared" si="209"/>
        <v>1</v>
      </c>
      <c r="E721" s="59">
        <f t="shared" si="210"/>
        <v>0</v>
      </c>
      <c r="F721" s="59">
        <v>955</v>
      </c>
      <c r="G721" s="59">
        <v>1</v>
      </c>
      <c r="H721" s="59">
        <f t="shared" si="211"/>
        <v>1</v>
      </c>
      <c r="I721" s="59">
        <f t="shared" si="212"/>
        <v>0</v>
      </c>
      <c r="J721" s="59">
        <v>4</v>
      </c>
      <c r="K721" s="59">
        <v>2</v>
      </c>
      <c r="L721" s="59">
        <v>1</v>
      </c>
      <c r="M721" s="59">
        <f t="shared" si="213"/>
        <v>1</v>
      </c>
      <c r="N721" s="59">
        <f t="shared" si="214"/>
        <v>0</v>
      </c>
      <c r="O721" s="59">
        <f t="shared" si="215"/>
        <v>0</v>
      </c>
      <c r="P721" s="59">
        <f t="shared" si="216"/>
        <v>0</v>
      </c>
      <c r="Q721" s="59">
        <f t="shared" si="217"/>
        <v>0</v>
      </c>
      <c r="R721" s="59">
        <v>1</v>
      </c>
      <c r="S721" s="59">
        <v>1003</v>
      </c>
      <c r="T721" s="59">
        <v>4</v>
      </c>
      <c r="U721" s="59">
        <v>0</v>
      </c>
      <c r="V721" s="59">
        <v>83</v>
      </c>
      <c r="W721" s="59">
        <v>3</v>
      </c>
      <c r="X721" s="59">
        <v>2</v>
      </c>
      <c r="Y721" s="59">
        <v>1</v>
      </c>
      <c r="Z721" s="59">
        <f t="shared" si="218"/>
        <v>1</v>
      </c>
      <c r="AA721" s="59">
        <f>IF('Updated Dummy'!Y721=2,1,0)</f>
        <v>0</v>
      </c>
      <c r="AB721" s="59">
        <f t="shared" si="219"/>
        <v>0</v>
      </c>
      <c r="AC721" s="59">
        <f t="shared" si="220"/>
        <v>0</v>
      </c>
      <c r="AD721" s="59">
        <f t="shared" si="221"/>
        <v>0</v>
      </c>
      <c r="AE721" s="59">
        <f t="shared" si="222"/>
        <v>0</v>
      </c>
      <c r="AF721" s="59">
        <f t="shared" si="223"/>
        <v>0</v>
      </c>
      <c r="AG721" s="59">
        <f t="shared" si="224"/>
        <v>0</v>
      </c>
      <c r="AH721" s="59">
        <v>4</v>
      </c>
      <c r="AI721" s="59">
        <v>1</v>
      </c>
      <c r="AJ721" s="59">
        <f t="shared" si="225"/>
        <v>1</v>
      </c>
      <c r="AK721" s="59">
        <f t="shared" si="226"/>
        <v>0</v>
      </c>
      <c r="AL721" s="59">
        <v>4163</v>
      </c>
      <c r="AM721" s="59">
        <v>8571</v>
      </c>
      <c r="AN721" s="59">
        <v>1</v>
      </c>
      <c r="AO721" s="59">
        <v>1</v>
      </c>
      <c r="AP721" s="59">
        <v>17</v>
      </c>
      <c r="AQ721" s="59">
        <v>3</v>
      </c>
      <c r="AR721" s="59">
        <v>3</v>
      </c>
      <c r="AS721" s="59">
        <v>80</v>
      </c>
      <c r="AT721" s="59">
        <v>0</v>
      </c>
      <c r="AU721" s="59">
        <v>9</v>
      </c>
      <c r="AV721" s="59">
        <v>0</v>
      </c>
      <c r="AW721" s="59">
        <v>3</v>
      </c>
      <c r="AX721" s="59">
        <v>9</v>
      </c>
      <c r="AY721" s="59">
        <v>0</v>
      </c>
      <c r="AZ721" s="59">
        <v>0</v>
      </c>
      <c r="BA721" s="59">
        <v>7</v>
      </c>
      <c r="BB721" s="57">
        <f t="shared" si="227"/>
        <v>8326</v>
      </c>
    </row>
    <row r="722" spans="1:54" x14ac:dyDescent="0.25">
      <c r="A722" s="58">
        <v>30</v>
      </c>
      <c r="B722" s="59">
        <v>1</v>
      </c>
      <c r="C722" s="59">
        <v>1</v>
      </c>
      <c r="D722" s="59">
        <f t="shared" si="209"/>
        <v>1</v>
      </c>
      <c r="E722" s="59">
        <f t="shared" si="210"/>
        <v>0</v>
      </c>
      <c r="F722" s="59">
        <v>138</v>
      </c>
      <c r="G722" s="59">
        <v>2</v>
      </c>
      <c r="H722" s="59">
        <f t="shared" si="211"/>
        <v>0</v>
      </c>
      <c r="I722" s="59">
        <f t="shared" si="212"/>
        <v>1</v>
      </c>
      <c r="J722" s="59">
        <v>22</v>
      </c>
      <c r="K722" s="59">
        <v>3</v>
      </c>
      <c r="L722" s="59">
        <v>1</v>
      </c>
      <c r="M722" s="59">
        <f t="shared" si="213"/>
        <v>1</v>
      </c>
      <c r="N722" s="59">
        <f t="shared" si="214"/>
        <v>0</v>
      </c>
      <c r="O722" s="59">
        <f t="shared" si="215"/>
        <v>0</v>
      </c>
      <c r="P722" s="59">
        <f t="shared" si="216"/>
        <v>0</v>
      </c>
      <c r="Q722" s="59">
        <f t="shared" si="217"/>
        <v>0</v>
      </c>
      <c r="R722" s="59">
        <v>1</v>
      </c>
      <c r="S722" s="59">
        <v>1004</v>
      </c>
      <c r="T722" s="59">
        <v>1</v>
      </c>
      <c r="U722" s="59">
        <v>0</v>
      </c>
      <c r="V722" s="59">
        <v>48</v>
      </c>
      <c r="W722" s="59">
        <v>3</v>
      </c>
      <c r="X722" s="59">
        <v>1</v>
      </c>
      <c r="Y722" s="59">
        <v>2</v>
      </c>
      <c r="Z722" s="59">
        <f t="shared" si="218"/>
        <v>0</v>
      </c>
      <c r="AA722" s="59">
        <f>IF('Updated Dummy'!Y722=2,1,0)</f>
        <v>1</v>
      </c>
      <c r="AB722" s="59">
        <f t="shared" si="219"/>
        <v>0</v>
      </c>
      <c r="AC722" s="59">
        <f t="shared" si="220"/>
        <v>0</v>
      </c>
      <c r="AD722" s="59">
        <f t="shared" si="221"/>
        <v>0</v>
      </c>
      <c r="AE722" s="59">
        <f t="shared" si="222"/>
        <v>0</v>
      </c>
      <c r="AF722" s="59">
        <f t="shared" si="223"/>
        <v>0</v>
      </c>
      <c r="AG722" s="59">
        <f t="shared" si="224"/>
        <v>0</v>
      </c>
      <c r="AH722" s="59">
        <v>3</v>
      </c>
      <c r="AI722" s="59">
        <v>2</v>
      </c>
      <c r="AJ722" s="59">
        <f t="shared" si="225"/>
        <v>0</v>
      </c>
      <c r="AK722" s="59">
        <f t="shared" si="226"/>
        <v>1</v>
      </c>
      <c r="AL722" s="59">
        <v>2132</v>
      </c>
      <c r="AM722" s="59">
        <v>11539</v>
      </c>
      <c r="AN722" s="59">
        <v>4</v>
      </c>
      <c r="AO722" s="59">
        <v>1</v>
      </c>
      <c r="AP722" s="59">
        <v>11</v>
      </c>
      <c r="AQ722" s="59">
        <v>3</v>
      </c>
      <c r="AR722" s="59">
        <v>2</v>
      </c>
      <c r="AS722" s="59">
        <v>80</v>
      </c>
      <c r="AT722" s="59">
        <v>0</v>
      </c>
      <c r="AU722" s="59">
        <v>7</v>
      </c>
      <c r="AV722" s="59">
        <v>2</v>
      </c>
      <c r="AW722" s="59">
        <v>3</v>
      </c>
      <c r="AX722" s="59">
        <v>5</v>
      </c>
      <c r="AY722" s="59">
        <v>2</v>
      </c>
      <c r="AZ722" s="59">
        <v>0</v>
      </c>
      <c r="BA722" s="59">
        <v>1</v>
      </c>
      <c r="BB722" s="57">
        <f t="shared" si="227"/>
        <v>2132</v>
      </c>
    </row>
    <row r="723" spans="1:54" x14ac:dyDescent="0.25">
      <c r="A723" s="58">
        <v>50</v>
      </c>
      <c r="B723" s="59">
        <v>0</v>
      </c>
      <c r="C723" s="59">
        <v>1</v>
      </c>
      <c r="D723" s="59">
        <f t="shared" si="209"/>
        <v>1</v>
      </c>
      <c r="E723" s="59">
        <f t="shared" si="210"/>
        <v>0</v>
      </c>
      <c r="F723" s="59">
        <v>939</v>
      </c>
      <c r="G723" s="59">
        <v>2</v>
      </c>
      <c r="H723" s="59">
        <f t="shared" si="211"/>
        <v>0</v>
      </c>
      <c r="I723" s="59">
        <f t="shared" si="212"/>
        <v>1</v>
      </c>
      <c r="J723" s="59">
        <v>24</v>
      </c>
      <c r="K723" s="59">
        <v>3</v>
      </c>
      <c r="L723" s="59">
        <v>1</v>
      </c>
      <c r="M723" s="59">
        <f t="shared" si="213"/>
        <v>1</v>
      </c>
      <c r="N723" s="59">
        <f t="shared" si="214"/>
        <v>0</v>
      </c>
      <c r="O723" s="59">
        <f t="shared" si="215"/>
        <v>0</v>
      </c>
      <c r="P723" s="59">
        <f t="shared" si="216"/>
        <v>0</v>
      </c>
      <c r="Q723" s="59">
        <f t="shared" si="217"/>
        <v>0</v>
      </c>
      <c r="R723" s="59">
        <v>1</v>
      </c>
      <c r="S723" s="59">
        <v>1005</v>
      </c>
      <c r="T723" s="59">
        <v>4</v>
      </c>
      <c r="U723" s="59">
        <v>1</v>
      </c>
      <c r="V723" s="59">
        <v>95</v>
      </c>
      <c r="W723" s="59">
        <v>3</v>
      </c>
      <c r="X723" s="59">
        <v>4</v>
      </c>
      <c r="Y723" s="59">
        <v>4</v>
      </c>
      <c r="Z723" s="59">
        <f t="shared" si="218"/>
        <v>0</v>
      </c>
      <c r="AA723" s="59">
        <f>IF('Updated Dummy'!Y723=2,1,0)</f>
        <v>0</v>
      </c>
      <c r="AB723" s="59">
        <f t="shared" si="219"/>
        <v>0</v>
      </c>
      <c r="AC723" s="59">
        <f t="shared" si="220"/>
        <v>1</v>
      </c>
      <c r="AD723" s="59">
        <f t="shared" si="221"/>
        <v>0</v>
      </c>
      <c r="AE723" s="59">
        <f t="shared" si="222"/>
        <v>0</v>
      </c>
      <c r="AF723" s="59">
        <f t="shared" si="223"/>
        <v>0</v>
      </c>
      <c r="AG723" s="59">
        <f t="shared" si="224"/>
        <v>0</v>
      </c>
      <c r="AH723" s="59">
        <v>3</v>
      </c>
      <c r="AI723" s="59">
        <v>2</v>
      </c>
      <c r="AJ723" s="59">
        <f t="shared" si="225"/>
        <v>0</v>
      </c>
      <c r="AK723" s="59">
        <f t="shared" si="226"/>
        <v>1</v>
      </c>
      <c r="AL723" s="59">
        <v>13973</v>
      </c>
      <c r="AM723" s="59">
        <v>4161</v>
      </c>
      <c r="AN723" s="59">
        <v>3</v>
      </c>
      <c r="AO723" s="59">
        <v>1</v>
      </c>
      <c r="AP723" s="59">
        <v>18</v>
      </c>
      <c r="AQ723" s="59">
        <v>3</v>
      </c>
      <c r="AR723" s="59">
        <v>4</v>
      </c>
      <c r="AS723" s="59">
        <v>80</v>
      </c>
      <c r="AT723" s="59">
        <v>1</v>
      </c>
      <c r="AU723" s="59">
        <v>22</v>
      </c>
      <c r="AV723" s="59">
        <v>2</v>
      </c>
      <c r="AW723" s="59">
        <v>3</v>
      </c>
      <c r="AX723" s="59">
        <v>12</v>
      </c>
      <c r="AY723" s="59">
        <v>11</v>
      </c>
      <c r="AZ723" s="59">
        <v>1</v>
      </c>
      <c r="BA723" s="59">
        <v>5</v>
      </c>
      <c r="BB723" s="57">
        <f t="shared" si="227"/>
        <v>55892</v>
      </c>
    </row>
    <row r="724" spans="1:54" x14ac:dyDescent="0.25">
      <c r="A724" s="58">
        <v>38</v>
      </c>
      <c r="B724" s="59">
        <v>0</v>
      </c>
      <c r="C724" s="59">
        <v>2</v>
      </c>
      <c r="D724" s="59">
        <f t="shared" si="209"/>
        <v>0</v>
      </c>
      <c r="E724" s="59">
        <f t="shared" si="210"/>
        <v>1</v>
      </c>
      <c r="F724" s="59">
        <v>1391</v>
      </c>
      <c r="G724" s="59">
        <v>2</v>
      </c>
      <c r="H724" s="59">
        <f t="shared" si="211"/>
        <v>0</v>
      </c>
      <c r="I724" s="59">
        <f t="shared" si="212"/>
        <v>1</v>
      </c>
      <c r="J724" s="59">
        <v>10</v>
      </c>
      <c r="K724" s="59">
        <v>1</v>
      </c>
      <c r="L724" s="59">
        <v>3</v>
      </c>
      <c r="M724" s="59">
        <f t="shared" si="213"/>
        <v>0</v>
      </c>
      <c r="N724" s="59">
        <f t="shared" si="214"/>
        <v>0</v>
      </c>
      <c r="O724" s="59">
        <f t="shared" si="215"/>
        <v>1</v>
      </c>
      <c r="P724" s="59">
        <f t="shared" si="216"/>
        <v>0</v>
      </c>
      <c r="Q724" s="59">
        <f t="shared" si="217"/>
        <v>0</v>
      </c>
      <c r="R724" s="59">
        <v>1</v>
      </c>
      <c r="S724" s="59">
        <v>1006</v>
      </c>
      <c r="T724" s="59">
        <v>3</v>
      </c>
      <c r="U724" s="59">
        <v>1</v>
      </c>
      <c r="V724" s="59">
        <v>66</v>
      </c>
      <c r="W724" s="59">
        <v>3</v>
      </c>
      <c r="X724" s="59">
        <v>1</v>
      </c>
      <c r="Y724" s="59">
        <v>2</v>
      </c>
      <c r="Z724" s="59">
        <f t="shared" si="218"/>
        <v>0</v>
      </c>
      <c r="AA724" s="59">
        <f>IF('Updated Dummy'!Y724=2,1,0)</f>
        <v>1</v>
      </c>
      <c r="AB724" s="59">
        <f t="shared" si="219"/>
        <v>0</v>
      </c>
      <c r="AC724" s="59">
        <f t="shared" si="220"/>
        <v>0</v>
      </c>
      <c r="AD724" s="59">
        <f t="shared" si="221"/>
        <v>0</v>
      </c>
      <c r="AE724" s="59">
        <f t="shared" si="222"/>
        <v>0</v>
      </c>
      <c r="AF724" s="59">
        <f t="shared" si="223"/>
        <v>0</v>
      </c>
      <c r="AG724" s="59">
        <f t="shared" si="224"/>
        <v>0</v>
      </c>
      <c r="AH724" s="59">
        <v>3</v>
      </c>
      <c r="AI724" s="59">
        <v>2</v>
      </c>
      <c r="AJ724" s="59">
        <f t="shared" si="225"/>
        <v>0</v>
      </c>
      <c r="AK724" s="59">
        <f t="shared" si="226"/>
        <v>1</v>
      </c>
      <c r="AL724" s="59">
        <v>2684</v>
      </c>
      <c r="AM724" s="59">
        <v>12127</v>
      </c>
      <c r="AN724" s="59">
        <v>0</v>
      </c>
      <c r="AO724" s="59">
        <v>0</v>
      </c>
      <c r="AP724" s="59">
        <v>17</v>
      </c>
      <c r="AQ724" s="59">
        <v>3</v>
      </c>
      <c r="AR724" s="59">
        <v>2</v>
      </c>
      <c r="AS724" s="59">
        <v>80</v>
      </c>
      <c r="AT724" s="59">
        <v>1</v>
      </c>
      <c r="AU724" s="59">
        <v>3</v>
      </c>
      <c r="AV724" s="59">
        <v>0</v>
      </c>
      <c r="AW724" s="59">
        <v>2</v>
      </c>
      <c r="AX724" s="59">
        <v>2</v>
      </c>
      <c r="AY724" s="59">
        <v>1</v>
      </c>
      <c r="AZ724" s="59">
        <v>0</v>
      </c>
      <c r="BA724" s="59">
        <v>2</v>
      </c>
      <c r="BB724" s="57">
        <f t="shared" si="227"/>
        <v>2684</v>
      </c>
    </row>
    <row r="725" spans="1:54" x14ac:dyDescent="0.25">
      <c r="A725" s="58">
        <v>46</v>
      </c>
      <c r="B725" s="59">
        <v>0</v>
      </c>
      <c r="C725" s="59">
        <v>1</v>
      </c>
      <c r="D725" s="59">
        <f t="shared" si="209"/>
        <v>1</v>
      </c>
      <c r="E725" s="59">
        <f t="shared" si="210"/>
        <v>0</v>
      </c>
      <c r="F725" s="59">
        <v>566</v>
      </c>
      <c r="G725" s="59">
        <v>2</v>
      </c>
      <c r="H725" s="59">
        <f t="shared" si="211"/>
        <v>0</v>
      </c>
      <c r="I725" s="59">
        <f t="shared" si="212"/>
        <v>1</v>
      </c>
      <c r="J725" s="59">
        <v>7</v>
      </c>
      <c r="K725" s="59">
        <v>2</v>
      </c>
      <c r="L725" s="59">
        <v>3</v>
      </c>
      <c r="M725" s="59">
        <f t="shared" si="213"/>
        <v>0</v>
      </c>
      <c r="N725" s="59">
        <f t="shared" si="214"/>
        <v>0</v>
      </c>
      <c r="O725" s="59">
        <f t="shared" si="215"/>
        <v>1</v>
      </c>
      <c r="P725" s="59">
        <f t="shared" si="216"/>
        <v>0</v>
      </c>
      <c r="Q725" s="59">
        <f t="shared" si="217"/>
        <v>0</v>
      </c>
      <c r="R725" s="59">
        <v>1</v>
      </c>
      <c r="S725" s="59">
        <v>1007</v>
      </c>
      <c r="T725" s="59">
        <v>4</v>
      </c>
      <c r="U725" s="59">
        <v>1</v>
      </c>
      <c r="V725" s="59">
        <v>75</v>
      </c>
      <c r="W725" s="59">
        <v>3</v>
      </c>
      <c r="X725" s="59">
        <v>3</v>
      </c>
      <c r="Y725" s="59">
        <v>4</v>
      </c>
      <c r="Z725" s="59">
        <f t="shared" si="218"/>
        <v>0</v>
      </c>
      <c r="AA725" s="59">
        <f>IF('Updated Dummy'!Y725=2,1,0)</f>
        <v>0</v>
      </c>
      <c r="AB725" s="59">
        <f t="shared" si="219"/>
        <v>0</v>
      </c>
      <c r="AC725" s="59">
        <f t="shared" si="220"/>
        <v>1</v>
      </c>
      <c r="AD725" s="59">
        <f t="shared" si="221"/>
        <v>0</v>
      </c>
      <c r="AE725" s="59">
        <f t="shared" si="222"/>
        <v>0</v>
      </c>
      <c r="AF725" s="59">
        <f t="shared" si="223"/>
        <v>0</v>
      </c>
      <c r="AG725" s="59">
        <f t="shared" si="224"/>
        <v>0</v>
      </c>
      <c r="AH725" s="59">
        <v>3</v>
      </c>
      <c r="AI725" s="59">
        <v>3</v>
      </c>
      <c r="AJ725" s="59">
        <f t="shared" si="225"/>
        <v>0</v>
      </c>
      <c r="AK725" s="59">
        <f t="shared" si="226"/>
        <v>0</v>
      </c>
      <c r="AL725" s="59">
        <v>10845</v>
      </c>
      <c r="AM725" s="59">
        <v>24208</v>
      </c>
      <c r="AN725" s="59">
        <v>6</v>
      </c>
      <c r="AO725" s="59">
        <v>0</v>
      </c>
      <c r="AP725" s="59">
        <v>13</v>
      </c>
      <c r="AQ725" s="59">
        <v>3</v>
      </c>
      <c r="AR725" s="59">
        <v>2</v>
      </c>
      <c r="AS725" s="59">
        <v>80</v>
      </c>
      <c r="AT725" s="59">
        <v>1</v>
      </c>
      <c r="AU725" s="59">
        <v>13</v>
      </c>
      <c r="AV725" s="59">
        <v>3</v>
      </c>
      <c r="AW725" s="59">
        <v>3</v>
      </c>
      <c r="AX725" s="59">
        <v>8</v>
      </c>
      <c r="AY725" s="59">
        <v>7</v>
      </c>
      <c r="AZ725" s="59">
        <v>0</v>
      </c>
      <c r="BA725" s="59">
        <v>7</v>
      </c>
      <c r="BB725" s="57">
        <f t="shared" si="227"/>
        <v>32535</v>
      </c>
    </row>
    <row r="726" spans="1:54" x14ac:dyDescent="0.25">
      <c r="A726" s="58">
        <v>24</v>
      </c>
      <c r="B726" s="59">
        <v>0</v>
      </c>
      <c r="C726" s="59">
        <v>1</v>
      </c>
      <c r="D726" s="59">
        <f t="shared" si="209"/>
        <v>1</v>
      </c>
      <c r="E726" s="59">
        <f t="shared" si="210"/>
        <v>0</v>
      </c>
      <c r="F726" s="59">
        <v>1206</v>
      </c>
      <c r="G726" s="59">
        <v>2</v>
      </c>
      <c r="H726" s="59">
        <f t="shared" si="211"/>
        <v>0</v>
      </c>
      <c r="I726" s="59">
        <f t="shared" si="212"/>
        <v>1</v>
      </c>
      <c r="J726" s="59">
        <v>17</v>
      </c>
      <c r="K726" s="59">
        <v>1</v>
      </c>
      <c r="L726" s="59">
        <v>3</v>
      </c>
      <c r="M726" s="59">
        <f t="shared" si="213"/>
        <v>0</v>
      </c>
      <c r="N726" s="59">
        <f t="shared" si="214"/>
        <v>0</v>
      </c>
      <c r="O726" s="59">
        <f t="shared" si="215"/>
        <v>1</v>
      </c>
      <c r="P726" s="59">
        <f t="shared" si="216"/>
        <v>0</v>
      </c>
      <c r="Q726" s="59">
        <f t="shared" si="217"/>
        <v>0</v>
      </c>
      <c r="R726" s="59">
        <v>1</v>
      </c>
      <c r="S726" s="59">
        <v>1009</v>
      </c>
      <c r="T726" s="59">
        <v>4</v>
      </c>
      <c r="U726" s="59">
        <v>0</v>
      </c>
      <c r="V726" s="59">
        <v>41</v>
      </c>
      <c r="W726" s="59">
        <v>2</v>
      </c>
      <c r="X726" s="59">
        <v>2</v>
      </c>
      <c r="Y726" s="59">
        <v>4</v>
      </c>
      <c r="Z726" s="59">
        <f t="shared" si="218"/>
        <v>0</v>
      </c>
      <c r="AA726" s="59">
        <f>IF('Updated Dummy'!Y726=2,1,0)</f>
        <v>0</v>
      </c>
      <c r="AB726" s="59">
        <f t="shared" si="219"/>
        <v>0</v>
      </c>
      <c r="AC726" s="59">
        <f t="shared" si="220"/>
        <v>1</v>
      </c>
      <c r="AD726" s="59">
        <f t="shared" si="221"/>
        <v>0</v>
      </c>
      <c r="AE726" s="59">
        <f t="shared" si="222"/>
        <v>0</v>
      </c>
      <c r="AF726" s="59">
        <f t="shared" si="223"/>
        <v>0</v>
      </c>
      <c r="AG726" s="59">
        <f t="shared" si="224"/>
        <v>0</v>
      </c>
      <c r="AH726" s="59">
        <v>3</v>
      </c>
      <c r="AI726" s="59">
        <v>3</v>
      </c>
      <c r="AJ726" s="59">
        <f t="shared" si="225"/>
        <v>0</v>
      </c>
      <c r="AK726" s="59">
        <f t="shared" si="226"/>
        <v>0</v>
      </c>
      <c r="AL726" s="59">
        <v>4377</v>
      </c>
      <c r="AM726" s="59">
        <v>24117</v>
      </c>
      <c r="AN726" s="59">
        <v>1</v>
      </c>
      <c r="AO726" s="59">
        <v>0</v>
      </c>
      <c r="AP726" s="59">
        <v>15</v>
      </c>
      <c r="AQ726" s="59">
        <v>3</v>
      </c>
      <c r="AR726" s="59">
        <v>2</v>
      </c>
      <c r="AS726" s="59">
        <v>80</v>
      </c>
      <c r="AT726" s="59">
        <v>2</v>
      </c>
      <c r="AU726" s="59">
        <v>5</v>
      </c>
      <c r="AV726" s="59">
        <v>6</v>
      </c>
      <c r="AW726" s="59">
        <v>3</v>
      </c>
      <c r="AX726" s="59">
        <v>4</v>
      </c>
      <c r="AY726" s="59">
        <v>2</v>
      </c>
      <c r="AZ726" s="59">
        <v>3</v>
      </c>
      <c r="BA726" s="59">
        <v>2</v>
      </c>
      <c r="BB726" s="57">
        <f t="shared" si="227"/>
        <v>8754</v>
      </c>
    </row>
    <row r="727" spans="1:54" x14ac:dyDescent="0.25">
      <c r="A727" s="58">
        <v>35</v>
      </c>
      <c r="B727" s="59">
        <v>1</v>
      </c>
      <c r="C727" s="59">
        <v>1</v>
      </c>
      <c r="D727" s="59">
        <f t="shared" si="209"/>
        <v>1</v>
      </c>
      <c r="E727" s="59">
        <f t="shared" si="210"/>
        <v>0</v>
      </c>
      <c r="F727" s="59">
        <v>622</v>
      </c>
      <c r="G727" s="59">
        <v>2</v>
      </c>
      <c r="H727" s="59">
        <f t="shared" si="211"/>
        <v>0</v>
      </c>
      <c r="I727" s="59">
        <f t="shared" si="212"/>
        <v>1</v>
      </c>
      <c r="J727" s="59">
        <v>14</v>
      </c>
      <c r="K727" s="59">
        <v>4</v>
      </c>
      <c r="L727" s="59">
        <v>6</v>
      </c>
      <c r="M727" s="59">
        <f t="shared" si="213"/>
        <v>0</v>
      </c>
      <c r="N727" s="59">
        <f t="shared" si="214"/>
        <v>0</v>
      </c>
      <c r="O727" s="59">
        <f t="shared" si="215"/>
        <v>0</v>
      </c>
      <c r="P727" s="59">
        <f t="shared" si="216"/>
        <v>0</v>
      </c>
      <c r="Q727" s="59">
        <f t="shared" si="217"/>
        <v>0</v>
      </c>
      <c r="R727" s="59">
        <v>1</v>
      </c>
      <c r="S727" s="59">
        <v>1010</v>
      </c>
      <c r="T727" s="59">
        <v>3</v>
      </c>
      <c r="U727" s="59">
        <v>1</v>
      </c>
      <c r="V727" s="59">
        <v>39</v>
      </c>
      <c r="W727" s="59">
        <v>2</v>
      </c>
      <c r="X727" s="59">
        <v>1</v>
      </c>
      <c r="Y727" s="59">
        <v>3</v>
      </c>
      <c r="Z727" s="59">
        <f t="shared" si="218"/>
        <v>0</v>
      </c>
      <c r="AA727" s="59">
        <f>IF('Updated Dummy'!Y727=2,1,0)</f>
        <v>0</v>
      </c>
      <c r="AB727" s="59">
        <f t="shared" si="219"/>
        <v>1</v>
      </c>
      <c r="AC727" s="59">
        <f t="shared" si="220"/>
        <v>0</v>
      </c>
      <c r="AD727" s="59">
        <f t="shared" si="221"/>
        <v>0</v>
      </c>
      <c r="AE727" s="59">
        <f t="shared" si="222"/>
        <v>0</v>
      </c>
      <c r="AF727" s="59">
        <f t="shared" si="223"/>
        <v>0</v>
      </c>
      <c r="AG727" s="59">
        <f t="shared" si="224"/>
        <v>0</v>
      </c>
      <c r="AH727" s="59">
        <v>2</v>
      </c>
      <c r="AI727" s="59">
        <v>3</v>
      </c>
      <c r="AJ727" s="59">
        <f t="shared" si="225"/>
        <v>0</v>
      </c>
      <c r="AK727" s="59">
        <f t="shared" si="226"/>
        <v>0</v>
      </c>
      <c r="AL727" s="59">
        <v>3743</v>
      </c>
      <c r="AM727" s="59">
        <v>10074</v>
      </c>
      <c r="AN727" s="59">
        <v>1</v>
      </c>
      <c r="AO727" s="59">
        <v>1</v>
      </c>
      <c r="AP727" s="59">
        <v>24</v>
      </c>
      <c r="AQ727" s="59">
        <v>4</v>
      </c>
      <c r="AR727" s="59">
        <v>4</v>
      </c>
      <c r="AS727" s="59">
        <v>80</v>
      </c>
      <c r="AT727" s="59">
        <v>1</v>
      </c>
      <c r="AU727" s="59">
        <v>5</v>
      </c>
      <c r="AV727" s="59">
        <v>2</v>
      </c>
      <c r="AW727" s="59">
        <v>1</v>
      </c>
      <c r="AX727" s="59">
        <v>4</v>
      </c>
      <c r="AY727" s="59">
        <v>2</v>
      </c>
      <c r="AZ727" s="59">
        <v>0</v>
      </c>
      <c r="BA727" s="59">
        <v>2</v>
      </c>
      <c r="BB727" s="57">
        <f t="shared" si="227"/>
        <v>3743</v>
      </c>
    </row>
    <row r="728" spans="1:54" x14ac:dyDescent="0.25">
      <c r="A728" s="58">
        <v>31</v>
      </c>
      <c r="B728" s="59">
        <v>0</v>
      </c>
      <c r="C728" s="59">
        <v>2</v>
      </c>
      <c r="D728" s="59">
        <f t="shared" si="209"/>
        <v>0</v>
      </c>
      <c r="E728" s="59">
        <f t="shared" si="210"/>
        <v>1</v>
      </c>
      <c r="F728" s="59">
        <v>853</v>
      </c>
      <c r="G728" s="59">
        <v>2</v>
      </c>
      <c r="H728" s="59">
        <f t="shared" si="211"/>
        <v>0</v>
      </c>
      <c r="I728" s="59">
        <f t="shared" si="212"/>
        <v>1</v>
      </c>
      <c r="J728" s="59">
        <v>1</v>
      </c>
      <c r="K728" s="59">
        <v>1</v>
      </c>
      <c r="L728" s="59">
        <v>1</v>
      </c>
      <c r="M728" s="59">
        <f t="shared" si="213"/>
        <v>1</v>
      </c>
      <c r="N728" s="59">
        <f t="shared" si="214"/>
        <v>0</v>
      </c>
      <c r="O728" s="59">
        <f t="shared" si="215"/>
        <v>0</v>
      </c>
      <c r="P728" s="59">
        <f t="shared" si="216"/>
        <v>0</v>
      </c>
      <c r="Q728" s="59">
        <f t="shared" si="217"/>
        <v>0</v>
      </c>
      <c r="R728" s="59">
        <v>1</v>
      </c>
      <c r="S728" s="59">
        <v>1011</v>
      </c>
      <c r="T728" s="59">
        <v>3</v>
      </c>
      <c r="U728" s="59">
        <v>0</v>
      </c>
      <c r="V728" s="59">
        <v>96</v>
      </c>
      <c r="W728" s="59">
        <v>3</v>
      </c>
      <c r="X728" s="59">
        <v>2</v>
      </c>
      <c r="Y728" s="59">
        <v>4</v>
      </c>
      <c r="Z728" s="59">
        <f t="shared" si="218"/>
        <v>0</v>
      </c>
      <c r="AA728" s="59">
        <f>IF('Updated Dummy'!Y728=2,1,0)</f>
        <v>0</v>
      </c>
      <c r="AB728" s="59">
        <f t="shared" si="219"/>
        <v>0</v>
      </c>
      <c r="AC728" s="59">
        <f t="shared" si="220"/>
        <v>1</v>
      </c>
      <c r="AD728" s="59">
        <f t="shared" si="221"/>
        <v>0</v>
      </c>
      <c r="AE728" s="59">
        <f t="shared" si="222"/>
        <v>0</v>
      </c>
      <c r="AF728" s="59">
        <f t="shared" si="223"/>
        <v>0</v>
      </c>
      <c r="AG728" s="59">
        <f t="shared" si="224"/>
        <v>0</v>
      </c>
      <c r="AH728" s="59">
        <v>1</v>
      </c>
      <c r="AI728" s="59">
        <v>2</v>
      </c>
      <c r="AJ728" s="59">
        <f t="shared" si="225"/>
        <v>0</v>
      </c>
      <c r="AK728" s="59">
        <f t="shared" si="226"/>
        <v>1</v>
      </c>
      <c r="AL728" s="59">
        <v>4148</v>
      </c>
      <c r="AM728" s="59">
        <v>11275</v>
      </c>
      <c r="AN728" s="59">
        <v>1</v>
      </c>
      <c r="AO728" s="59">
        <v>0</v>
      </c>
      <c r="AP728" s="59">
        <v>12</v>
      </c>
      <c r="AQ728" s="59">
        <v>3</v>
      </c>
      <c r="AR728" s="59">
        <v>3</v>
      </c>
      <c r="AS728" s="59">
        <v>80</v>
      </c>
      <c r="AT728" s="59">
        <v>1</v>
      </c>
      <c r="AU728" s="59">
        <v>4</v>
      </c>
      <c r="AV728" s="59">
        <v>1</v>
      </c>
      <c r="AW728" s="59">
        <v>3</v>
      </c>
      <c r="AX728" s="59">
        <v>4</v>
      </c>
      <c r="AY728" s="59">
        <v>3</v>
      </c>
      <c r="AZ728" s="59">
        <v>0</v>
      </c>
      <c r="BA728" s="59">
        <v>3</v>
      </c>
      <c r="BB728" s="57">
        <f t="shared" si="227"/>
        <v>8296</v>
      </c>
    </row>
    <row r="729" spans="1:54" x14ac:dyDescent="0.25">
      <c r="A729" s="58">
        <v>18</v>
      </c>
      <c r="B729" s="59">
        <v>0</v>
      </c>
      <c r="C729" s="59">
        <v>3</v>
      </c>
      <c r="D729" s="59">
        <f t="shared" si="209"/>
        <v>0</v>
      </c>
      <c r="E729" s="59">
        <f t="shared" si="210"/>
        <v>0</v>
      </c>
      <c r="F729" s="59">
        <v>287</v>
      </c>
      <c r="G729" s="59">
        <v>2</v>
      </c>
      <c r="H729" s="59">
        <f t="shared" si="211"/>
        <v>0</v>
      </c>
      <c r="I729" s="59">
        <f t="shared" si="212"/>
        <v>1</v>
      </c>
      <c r="J729" s="59">
        <v>5</v>
      </c>
      <c r="K729" s="59">
        <v>2</v>
      </c>
      <c r="L729" s="59">
        <v>1</v>
      </c>
      <c r="M729" s="59">
        <f t="shared" si="213"/>
        <v>1</v>
      </c>
      <c r="N729" s="59">
        <f t="shared" si="214"/>
        <v>0</v>
      </c>
      <c r="O729" s="59">
        <f t="shared" si="215"/>
        <v>0</v>
      </c>
      <c r="P729" s="59">
        <f t="shared" si="216"/>
        <v>0</v>
      </c>
      <c r="Q729" s="59">
        <f t="shared" si="217"/>
        <v>0</v>
      </c>
      <c r="R729" s="59">
        <v>1</v>
      </c>
      <c r="S729" s="59">
        <v>1012</v>
      </c>
      <c r="T729" s="59">
        <v>2</v>
      </c>
      <c r="U729" s="59">
        <v>1</v>
      </c>
      <c r="V729" s="59">
        <v>73</v>
      </c>
      <c r="W729" s="59">
        <v>3</v>
      </c>
      <c r="X729" s="59">
        <v>1</v>
      </c>
      <c r="Y729" s="59">
        <v>2</v>
      </c>
      <c r="Z729" s="59">
        <f t="shared" si="218"/>
        <v>0</v>
      </c>
      <c r="AA729" s="59">
        <f>IF('Updated Dummy'!Y729=2,1,0)</f>
        <v>1</v>
      </c>
      <c r="AB729" s="59">
        <f t="shared" si="219"/>
        <v>0</v>
      </c>
      <c r="AC729" s="59">
        <f t="shared" si="220"/>
        <v>0</v>
      </c>
      <c r="AD729" s="59">
        <f t="shared" si="221"/>
        <v>0</v>
      </c>
      <c r="AE729" s="59">
        <f t="shared" si="222"/>
        <v>0</v>
      </c>
      <c r="AF729" s="59">
        <f t="shared" si="223"/>
        <v>0</v>
      </c>
      <c r="AG729" s="59">
        <f t="shared" si="224"/>
        <v>0</v>
      </c>
      <c r="AH729" s="59">
        <v>4</v>
      </c>
      <c r="AI729" s="59">
        <v>1</v>
      </c>
      <c r="AJ729" s="59">
        <f t="shared" si="225"/>
        <v>1</v>
      </c>
      <c r="AK729" s="59">
        <f t="shared" si="226"/>
        <v>0</v>
      </c>
      <c r="AL729" s="59">
        <v>1051</v>
      </c>
      <c r="AM729" s="59">
        <v>13493</v>
      </c>
      <c r="AN729" s="59">
        <v>1</v>
      </c>
      <c r="AO729" s="59">
        <v>0</v>
      </c>
      <c r="AP729" s="59">
        <v>15</v>
      </c>
      <c r="AQ729" s="59">
        <v>3</v>
      </c>
      <c r="AR729" s="59">
        <v>4</v>
      </c>
      <c r="AS729" s="59">
        <v>80</v>
      </c>
      <c r="AT729" s="59">
        <v>0</v>
      </c>
      <c r="AU729" s="59">
        <v>0</v>
      </c>
      <c r="AV729" s="59">
        <v>2</v>
      </c>
      <c r="AW729" s="59">
        <v>3</v>
      </c>
      <c r="AX729" s="59">
        <v>0</v>
      </c>
      <c r="AY729" s="59">
        <v>0</v>
      </c>
      <c r="AZ729" s="59">
        <v>0</v>
      </c>
      <c r="BA729" s="59">
        <v>0</v>
      </c>
      <c r="BB729" s="57">
        <f t="shared" si="227"/>
        <v>1051</v>
      </c>
    </row>
    <row r="730" spans="1:54" x14ac:dyDescent="0.25">
      <c r="A730" s="58">
        <v>54</v>
      </c>
      <c r="B730" s="59">
        <v>0</v>
      </c>
      <c r="C730" s="59">
        <v>1</v>
      </c>
      <c r="D730" s="59">
        <f t="shared" si="209"/>
        <v>1</v>
      </c>
      <c r="E730" s="59">
        <f t="shared" si="210"/>
        <v>0</v>
      </c>
      <c r="F730" s="59">
        <v>1441</v>
      </c>
      <c r="G730" s="59">
        <v>2</v>
      </c>
      <c r="H730" s="59">
        <f t="shared" si="211"/>
        <v>0</v>
      </c>
      <c r="I730" s="59">
        <f t="shared" si="212"/>
        <v>1</v>
      </c>
      <c r="J730" s="59">
        <v>17</v>
      </c>
      <c r="K730" s="59">
        <v>3</v>
      </c>
      <c r="L730" s="59">
        <v>5</v>
      </c>
      <c r="M730" s="59">
        <f t="shared" si="213"/>
        <v>0</v>
      </c>
      <c r="N730" s="59">
        <f t="shared" si="214"/>
        <v>0</v>
      </c>
      <c r="O730" s="59">
        <f t="shared" si="215"/>
        <v>0</v>
      </c>
      <c r="P730" s="59">
        <f t="shared" si="216"/>
        <v>0</v>
      </c>
      <c r="Q730" s="59">
        <f t="shared" si="217"/>
        <v>1</v>
      </c>
      <c r="R730" s="59">
        <v>1</v>
      </c>
      <c r="S730" s="59">
        <v>1013</v>
      </c>
      <c r="T730" s="59">
        <v>3</v>
      </c>
      <c r="U730" s="59">
        <v>0</v>
      </c>
      <c r="V730" s="59">
        <v>56</v>
      </c>
      <c r="W730" s="59">
        <v>3</v>
      </c>
      <c r="X730" s="59">
        <v>3</v>
      </c>
      <c r="Y730" s="59">
        <v>4</v>
      </c>
      <c r="Z730" s="59">
        <f t="shared" si="218"/>
        <v>0</v>
      </c>
      <c r="AA730" s="59">
        <f>IF('Updated Dummy'!Y730=2,1,0)</f>
        <v>0</v>
      </c>
      <c r="AB730" s="59">
        <f t="shared" si="219"/>
        <v>0</v>
      </c>
      <c r="AC730" s="59">
        <f t="shared" si="220"/>
        <v>1</v>
      </c>
      <c r="AD730" s="59">
        <f t="shared" si="221"/>
        <v>0</v>
      </c>
      <c r="AE730" s="59">
        <f t="shared" si="222"/>
        <v>0</v>
      </c>
      <c r="AF730" s="59">
        <f t="shared" si="223"/>
        <v>0</v>
      </c>
      <c r="AG730" s="59">
        <f t="shared" si="224"/>
        <v>0</v>
      </c>
      <c r="AH730" s="59">
        <v>3</v>
      </c>
      <c r="AI730" s="59">
        <v>2</v>
      </c>
      <c r="AJ730" s="59">
        <f t="shared" si="225"/>
        <v>0</v>
      </c>
      <c r="AK730" s="59">
        <f t="shared" si="226"/>
        <v>1</v>
      </c>
      <c r="AL730" s="59">
        <v>10739</v>
      </c>
      <c r="AM730" s="59">
        <v>13943</v>
      </c>
      <c r="AN730" s="59">
        <v>8</v>
      </c>
      <c r="AO730" s="59">
        <v>0</v>
      </c>
      <c r="AP730" s="59">
        <v>11</v>
      </c>
      <c r="AQ730" s="59">
        <v>3</v>
      </c>
      <c r="AR730" s="59">
        <v>3</v>
      </c>
      <c r="AS730" s="59">
        <v>80</v>
      </c>
      <c r="AT730" s="59">
        <v>1</v>
      </c>
      <c r="AU730" s="59">
        <v>22</v>
      </c>
      <c r="AV730" s="59">
        <v>2</v>
      </c>
      <c r="AW730" s="59">
        <v>3</v>
      </c>
      <c r="AX730" s="59">
        <v>10</v>
      </c>
      <c r="AY730" s="59">
        <v>7</v>
      </c>
      <c r="AZ730" s="59">
        <v>0</v>
      </c>
      <c r="BA730" s="59">
        <v>8</v>
      </c>
      <c r="BB730" s="57">
        <f t="shared" si="227"/>
        <v>32217</v>
      </c>
    </row>
    <row r="731" spans="1:54" x14ac:dyDescent="0.25">
      <c r="A731" s="58">
        <v>35</v>
      </c>
      <c r="B731" s="59">
        <v>0</v>
      </c>
      <c r="C731" s="59">
        <v>1</v>
      </c>
      <c r="D731" s="59">
        <f t="shared" si="209"/>
        <v>1</v>
      </c>
      <c r="E731" s="59">
        <f t="shared" si="210"/>
        <v>0</v>
      </c>
      <c r="F731" s="59">
        <v>583</v>
      </c>
      <c r="G731" s="59">
        <v>2</v>
      </c>
      <c r="H731" s="59">
        <f t="shared" si="211"/>
        <v>0</v>
      </c>
      <c r="I731" s="59">
        <f t="shared" si="212"/>
        <v>1</v>
      </c>
      <c r="J731" s="59">
        <v>25</v>
      </c>
      <c r="K731" s="59">
        <v>4</v>
      </c>
      <c r="L731" s="59">
        <v>3</v>
      </c>
      <c r="M731" s="59">
        <f t="shared" si="213"/>
        <v>0</v>
      </c>
      <c r="N731" s="59">
        <f t="shared" si="214"/>
        <v>0</v>
      </c>
      <c r="O731" s="59">
        <f t="shared" si="215"/>
        <v>1</v>
      </c>
      <c r="P731" s="59">
        <f t="shared" si="216"/>
        <v>0</v>
      </c>
      <c r="Q731" s="59">
        <f t="shared" si="217"/>
        <v>0</v>
      </c>
      <c r="R731" s="59">
        <v>1</v>
      </c>
      <c r="S731" s="59">
        <v>1014</v>
      </c>
      <c r="T731" s="59">
        <v>3</v>
      </c>
      <c r="U731" s="59">
        <v>0</v>
      </c>
      <c r="V731" s="59">
        <v>57</v>
      </c>
      <c r="W731" s="59">
        <v>3</v>
      </c>
      <c r="X731" s="59">
        <v>3</v>
      </c>
      <c r="Y731" s="59">
        <v>5</v>
      </c>
      <c r="Z731" s="59">
        <f t="shared" si="218"/>
        <v>0</v>
      </c>
      <c r="AA731" s="59">
        <f>IF('Updated Dummy'!Y731=2,1,0)</f>
        <v>0</v>
      </c>
      <c r="AB731" s="59">
        <f t="shared" si="219"/>
        <v>0</v>
      </c>
      <c r="AC731" s="59">
        <f t="shared" si="220"/>
        <v>0</v>
      </c>
      <c r="AD731" s="59">
        <f t="shared" si="221"/>
        <v>1</v>
      </c>
      <c r="AE731" s="59">
        <f t="shared" si="222"/>
        <v>0</v>
      </c>
      <c r="AF731" s="59">
        <f t="shared" si="223"/>
        <v>0</v>
      </c>
      <c r="AG731" s="59">
        <f t="shared" si="224"/>
        <v>0</v>
      </c>
      <c r="AH731" s="59">
        <v>3</v>
      </c>
      <c r="AI731" s="59">
        <v>3</v>
      </c>
      <c r="AJ731" s="59">
        <f t="shared" si="225"/>
        <v>0</v>
      </c>
      <c r="AK731" s="59">
        <f t="shared" si="226"/>
        <v>0</v>
      </c>
      <c r="AL731" s="59">
        <v>10388</v>
      </c>
      <c r="AM731" s="59">
        <v>6975</v>
      </c>
      <c r="AN731" s="59">
        <v>1</v>
      </c>
      <c r="AO731" s="59">
        <v>1</v>
      </c>
      <c r="AP731" s="59">
        <v>11</v>
      </c>
      <c r="AQ731" s="59">
        <v>3</v>
      </c>
      <c r="AR731" s="59">
        <v>3</v>
      </c>
      <c r="AS731" s="59">
        <v>80</v>
      </c>
      <c r="AT731" s="59">
        <v>1</v>
      </c>
      <c r="AU731" s="59">
        <v>16</v>
      </c>
      <c r="AV731" s="59">
        <v>3</v>
      </c>
      <c r="AW731" s="59">
        <v>2</v>
      </c>
      <c r="AX731" s="59">
        <v>16</v>
      </c>
      <c r="AY731" s="59">
        <v>10</v>
      </c>
      <c r="AZ731" s="59">
        <v>10</v>
      </c>
      <c r="BA731" s="59">
        <v>1</v>
      </c>
      <c r="BB731" s="57">
        <f t="shared" si="227"/>
        <v>31164</v>
      </c>
    </row>
    <row r="732" spans="1:54" x14ac:dyDescent="0.25">
      <c r="A732" s="58">
        <v>30</v>
      </c>
      <c r="B732" s="59">
        <v>0</v>
      </c>
      <c r="C732" s="59">
        <v>1</v>
      </c>
      <c r="D732" s="59">
        <f t="shared" si="209"/>
        <v>1</v>
      </c>
      <c r="E732" s="59">
        <f t="shared" si="210"/>
        <v>0</v>
      </c>
      <c r="F732" s="59">
        <v>153</v>
      </c>
      <c r="G732" s="59">
        <v>2</v>
      </c>
      <c r="H732" s="59">
        <f t="shared" si="211"/>
        <v>0</v>
      </c>
      <c r="I732" s="59">
        <f t="shared" si="212"/>
        <v>1</v>
      </c>
      <c r="J732" s="59">
        <v>8</v>
      </c>
      <c r="K732" s="59">
        <v>2</v>
      </c>
      <c r="L732" s="59">
        <v>1</v>
      </c>
      <c r="M732" s="59">
        <f t="shared" si="213"/>
        <v>1</v>
      </c>
      <c r="N732" s="59">
        <f t="shared" si="214"/>
        <v>0</v>
      </c>
      <c r="O732" s="59">
        <f t="shared" si="215"/>
        <v>0</v>
      </c>
      <c r="P732" s="59">
        <f t="shared" si="216"/>
        <v>0</v>
      </c>
      <c r="Q732" s="59">
        <f t="shared" si="217"/>
        <v>0</v>
      </c>
      <c r="R732" s="59">
        <v>1</v>
      </c>
      <c r="S732" s="59">
        <v>1015</v>
      </c>
      <c r="T732" s="59">
        <v>2</v>
      </c>
      <c r="U732" s="59">
        <v>0</v>
      </c>
      <c r="V732" s="59">
        <v>73</v>
      </c>
      <c r="W732" s="59">
        <v>4</v>
      </c>
      <c r="X732" s="59">
        <v>3</v>
      </c>
      <c r="Y732" s="59">
        <v>8</v>
      </c>
      <c r="Z732" s="59">
        <f t="shared" si="218"/>
        <v>0</v>
      </c>
      <c r="AA732" s="59">
        <f>IF('Updated Dummy'!Y732=2,1,0)</f>
        <v>0</v>
      </c>
      <c r="AB732" s="59">
        <f t="shared" si="219"/>
        <v>0</v>
      </c>
      <c r="AC732" s="59">
        <f t="shared" si="220"/>
        <v>0</v>
      </c>
      <c r="AD732" s="59">
        <f t="shared" si="221"/>
        <v>0</v>
      </c>
      <c r="AE732" s="59">
        <f t="shared" si="222"/>
        <v>0</v>
      </c>
      <c r="AF732" s="59">
        <f t="shared" si="223"/>
        <v>0</v>
      </c>
      <c r="AG732" s="59">
        <f t="shared" si="224"/>
        <v>1</v>
      </c>
      <c r="AH732" s="59">
        <v>1</v>
      </c>
      <c r="AI732" s="59">
        <v>2</v>
      </c>
      <c r="AJ732" s="59">
        <f t="shared" si="225"/>
        <v>0</v>
      </c>
      <c r="AK732" s="59">
        <f t="shared" si="226"/>
        <v>1</v>
      </c>
      <c r="AL732" s="59">
        <v>11416</v>
      </c>
      <c r="AM732" s="59">
        <v>17802</v>
      </c>
      <c r="AN732" s="59">
        <v>0</v>
      </c>
      <c r="AO732" s="59">
        <v>1</v>
      </c>
      <c r="AP732" s="59">
        <v>12</v>
      </c>
      <c r="AQ732" s="59">
        <v>3</v>
      </c>
      <c r="AR732" s="59">
        <v>3</v>
      </c>
      <c r="AS732" s="59">
        <v>80</v>
      </c>
      <c r="AT732" s="59">
        <v>3</v>
      </c>
      <c r="AU732" s="59">
        <v>9</v>
      </c>
      <c r="AV732" s="59">
        <v>4</v>
      </c>
      <c r="AW732" s="59">
        <v>2</v>
      </c>
      <c r="AX732" s="59">
        <v>8</v>
      </c>
      <c r="AY732" s="59">
        <v>7</v>
      </c>
      <c r="AZ732" s="59">
        <v>1</v>
      </c>
      <c r="BA732" s="59">
        <v>7</v>
      </c>
      <c r="BB732" s="57">
        <f t="shared" si="227"/>
        <v>34248</v>
      </c>
    </row>
    <row r="733" spans="1:54" x14ac:dyDescent="0.25">
      <c r="A733" s="58">
        <v>20</v>
      </c>
      <c r="B733" s="59">
        <v>1</v>
      </c>
      <c r="C733" s="59">
        <v>1</v>
      </c>
      <c r="D733" s="59">
        <f t="shared" si="209"/>
        <v>1</v>
      </c>
      <c r="E733" s="59">
        <f t="shared" si="210"/>
        <v>0</v>
      </c>
      <c r="F733" s="59">
        <v>1097</v>
      </c>
      <c r="G733" s="59">
        <v>2</v>
      </c>
      <c r="H733" s="59">
        <f t="shared" si="211"/>
        <v>0</v>
      </c>
      <c r="I733" s="59">
        <f t="shared" si="212"/>
        <v>1</v>
      </c>
      <c r="J733" s="59">
        <v>11</v>
      </c>
      <c r="K733" s="59">
        <v>3</v>
      </c>
      <c r="L733" s="59">
        <v>3</v>
      </c>
      <c r="M733" s="59">
        <f t="shared" si="213"/>
        <v>0</v>
      </c>
      <c r="N733" s="59">
        <f t="shared" si="214"/>
        <v>0</v>
      </c>
      <c r="O733" s="59">
        <f t="shared" si="215"/>
        <v>1</v>
      </c>
      <c r="P733" s="59">
        <f t="shared" si="216"/>
        <v>0</v>
      </c>
      <c r="Q733" s="59">
        <f t="shared" si="217"/>
        <v>0</v>
      </c>
      <c r="R733" s="59">
        <v>1</v>
      </c>
      <c r="S733" s="59">
        <v>1016</v>
      </c>
      <c r="T733" s="59">
        <v>4</v>
      </c>
      <c r="U733" s="59">
        <v>0</v>
      </c>
      <c r="V733" s="59">
        <v>98</v>
      </c>
      <c r="W733" s="59">
        <v>2</v>
      </c>
      <c r="X733" s="59">
        <v>1</v>
      </c>
      <c r="Y733" s="59">
        <v>2</v>
      </c>
      <c r="Z733" s="59">
        <f t="shared" si="218"/>
        <v>0</v>
      </c>
      <c r="AA733" s="59">
        <f>IF('Updated Dummy'!Y733=2,1,0)</f>
        <v>1</v>
      </c>
      <c r="AB733" s="59">
        <f t="shared" si="219"/>
        <v>0</v>
      </c>
      <c r="AC733" s="59">
        <f t="shared" si="220"/>
        <v>0</v>
      </c>
      <c r="AD733" s="59">
        <f t="shared" si="221"/>
        <v>0</v>
      </c>
      <c r="AE733" s="59">
        <f t="shared" si="222"/>
        <v>0</v>
      </c>
      <c r="AF733" s="59">
        <f t="shared" si="223"/>
        <v>0</v>
      </c>
      <c r="AG733" s="59">
        <f t="shared" si="224"/>
        <v>0</v>
      </c>
      <c r="AH733" s="59">
        <v>1</v>
      </c>
      <c r="AI733" s="59">
        <v>1</v>
      </c>
      <c r="AJ733" s="59">
        <f t="shared" si="225"/>
        <v>1</v>
      </c>
      <c r="AK733" s="59">
        <f t="shared" si="226"/>
        <v>0</v>
      </c>
      <c r="AL733" s="59">
        <v>2600</v>
      </c>
      <c r="AM733" s="59">
        <v>18275</v>
      </c>
      <c r="AN733" s="59">
        <v>1</v>
      </c>
      <c r="AO733" s="59">
        <v>1</v>
      </c>
      <c r="AP733" s="59">
        <v>15</v>
      </c>
      <c r="AQ733" s="59">
        <v>3</v>
      </c>
      <c r="AR733" s="59">
        <v>1</v>
      </c>
      <c r="AS733" s="59">
        <v>80</v>
      </c>
      <c r="AT733" s="59">
        <v>0</v>
      </c>
      <c r="AU733" s="59">
        <v>1</v>
      </c>
      <c r="AV733" s="59">
        <v>2</v>
      </c>
      <c r="AW733" s="59">
        <v>3</v>
      </c>
      <c r="AX733" s="59">
        <v>1</v>
      </c>
      <c r="AY733" s="59">
        <v>0</v>
      </c>
      <c r="AZ733" s="59">
        <v>0</v>
      </c>
      <c r="BA733" s="59">
        <v>0</v>
      </c>
      <c r="BB733" s="57">
        <f t="shared" si="227"/>
        <v>2600</v>
      </c>
    </row>
    <row r="734" spans="1:54" x14ac:dyDescent="0.25">
      <c r="A734" s="58">
        <v>30</v>
      </c>
      <c r="B734" s="59">
        <v>1</v>
      </c>
      <c r="C734" s="59">
        <v>2</v>
      </c>
      <c r="D734" s="59">
        <f t="shared" si="209"/>
        <v>0</v>
      </c>
      <c r="E734" s="59">
        <f t="shared" si="210"/>
        <v>1</v>
      </c>
      <c r="F734" s="59">
        <v>109</v>
      </c>
      <c r="G734" s="59">
        <v>2</v>
      </c>
      <c r="H734" s="59">
        <f t="shared" si="211"/>
        <v>0</v>
      </c>
      <c r="I734" s="59">
        <f t="shared" si="212"/>
        <v>1</v>
      </c>
      <c r="J734" s="59">
        <v>5</v>
      </c>
      <c r="K734" s="59">
        <v>3</v>
      </c>
      <c r="L734" s="59">
        <v>3</v>
      </c>
      <c r="M734" s="59">
        <f t="shared" si="213"/>
        <v>0</v>
      </c>
      <c r="N734" s="59">
        <f t="shared" si="214"/>
        <v>0</v>
      </c>
      <c r="O734" s="59">
        <f t="shared" si="215"/>
        <v>1</v>
      </c>
      <c r="P734" s="59">
        <f t="shared" si="216"/>
        <v>0</v>
      </c>
      <c r="Q734" s="59">
        <f t="shared" si="217"/>
        <v>0</v>
      </c>
      <c r="R734" s="59">
        <v>1</v>
      </c>
      <c r="S734" s="59">
        <v>1017</v>
      </c>
      <c r="T734" s="59">
        <v>2</v>
      </c>
      <c r="U734" s="59">
        <v>0</v>
      </c>
      <c r="V734" s="59">
        <v>60</v>
      </c>
      <c r="W734" s="59">
        <v>3</v>
      </c>
      <c r="X734" s="59">
        <v>1</v>
      </c>
      <c r="Y734" s="59">
        <v>3</v>
      </c>
      <c r="Z734" s="59">
        <f t="shared" si="218"/>
        <v>0</v>
      </c>
      <c r="AA734" s="59">
        <f>IF('Updated Dummy'!Y734=2,1,0)</f>
        <v>0</v>
      </c>
      <c r="AB734" s="59">
        <f t="shared" si="219"/>
        <v>1</v>
      </c>
      <c r="AC734" s="59">
        <f t="shared" si="220"/>
        <v>0</v>
      </c>
      <c r="AD734" s="59">
        <f t="shared" si="221"/>
        <v>0</v>
      </c>
      <c r="AE734" s="59">
        <f t="shared" si="222"/>
        <v>0</v>
      </c>
      <c r="AF734" s="59">
        <f t="shared" si="223"/>
        <v>0</v>
      </c>
      <c r="AG734" s="59">
        <f t="shared" si="224"/>
        <v>0</v>
      </c>
      <c r="AH734" s="59">
        <v>2</v>
      </c>
      <c r="AI734" s="59">
        <v>1</v>
      </c>
      <c r="AJ734" s="59">
        <f t="shared" si="225"/>
        <v>1</v>
      </c>
      <c r="AK734" s="59">
        <f t="shared" si="226"/>
        <v>0</v>
      </c>
      <c r="AL734" s="59">
        <v>2422</v>
      </c>
      <c r="AM734" s="59">
        <v>25725</v>
      </c>
      <c r="AN734" s="59">
        <v>0</v>
      </c>
      <c r="AO734" s="59">
        <v>0</v>
      </c>
      <c r="AP734" s="59">
        <v>17</v>
      </c>
      <c r="AQ734" s="59">
        <v>3</v>
      </c>
      <c r="AR734" s="59">
        <v>1</v>
      </c>
      <c r="AS734" s="59">
        <v>80</v>
      </c>
      <c r="AT734" s="59">
        <v>0</v>
      </c>
      <c r="AU734" s="59">
        <v>4</v>
      </c>
      <c r="AV734" s="59">
        <v>3</v>
      </c>
      <c r="AW734" s="59">
        <v>3</v>
      </c>
      <c r="AX734" s="59">
        <v>3</v>
      </c>
      <c r="AY734" s="59">
        <v>2</v>
      </c>
      <c r="AZ734" s="59">
        <v>1</v>
      </c>
      <c r="BA734" s="59">
        <v>2</v>
      </c>
      <c r="BB734" s="57">
        <f t="shared" si="227"/>
        <v>2422</v>
      </c>
    </row>
    <row r="735" spans="1:54" x14ac:dyDescent="0.25">
      <c r="A735" s="58">
        <v>26</v>
      </c>
      <c r="B735" s="59">
        <v>0</v>
      </c>
      <c r="C735" s="59">
        <v>1</v>
      </c>
      <c r="D735" s="59">
        <f t="shared" si="209"/>
        <v>1</v>
      </c>
      <c r="E735" s="59">
        <f t="shared" si="210"/>
        <v>0</v>
      </c>
      <c r="F735" s="59">
        <v>1066</v>
      </c>
      <c r="G735" s="59">
        <v>2</v>
      </c>
      <c r="H735" s="59">
        <f t="shared" si="211"/>
        <v>0</v>
      </c>
      <c r="I735" s="59">
        <f t="shared" si="212"/>
        <v>1</v>
      </c>
      <c r="J735" s="59">
        <v>2</v>
      </c>
      <c r="K735" s="59">
        <v>2</v>
      </c>
      <c r="L735" s="59">
        <v>3</v>
      </c>
      <c r="M735" s="59">
        <f t="shared" si="213"/>
        <v>0</v>
      </c>
      <c r="N735" s="59">
        <f t="shared" si="214"/>
        <v>0</v>
      </c>
      <c r="O735" s="59">
        <f t="shared" si="215"/>
        <v>1</v>
      </c>
      <c r="P735" s="59">
        <f t="shared" si="216"/>
        <v>0</v>
      </c>
      <c r="Q735" s="59">
        <f t="shared" si="217"/>
        <v>0</v>
      </c>
      <c r="R735" s="59">
        <v>1</v>
      </c>
      <c r="S735" s="59">
        <v>1018</v>
      </c>
      <c r="T735" s="59">
        <v>4</v>
      </c>
      <c r="U735" s="59">
        <v>1</v>
      </c>
      <c r="V735" s="59">
        <v>32</v>
      </c>
      <c r="W735" s="59">
        <v>4</v>
      </c>
      <c r="X735" s="59">
        <v>2</v>
      </c>
      <c r="Y735" s="59">
        <v>4</v>
      </c>
      <c r="Z735" s="59">
        <f t="shared" si="218"/>
        <v>0</v>
      </c>
      <c r="AA735" s="59">
        <f>IF('Updated Dummy'!Y735=2,1,0)</f>
        <v>0</v>
      </c>
      <c r="AB735" s="59">
        <f t="shared" si="219"/>
        <v>0</v>
      </c>
      <c r="AC735" s="59">
        <f t="shared" si="220"/>
        <v>1</v>
      </c>
      <c r="AD735" s="59">
        <f t="shared" si="221"/>
        <v>0</v>
      </c>
      <c r="AE735" s="59">
        <f t="shared" si="222"/>
        <v>0</v>
      </c>
      <c r="AF735" s="59">
        <f t="shared" si="223"/>
        <v>0</v>
      </c>
      <c r="AG735" s="59">
        <f t="shared" si="224"/>
        <v>0</v>
      </c>
      <c r="AH735" s="59">
        <v>4</v>
      </c>
      <c r="AI735" s="59">
        <v>2</v>
      </c>
      <c r="AJ735" s="59">
        <f t="shared" si="225"/>
        <v>0</v>
      </c>
      <c r="AK735" s="59">
        <f t="shared" si="226"/>
        <v>1</v>
      </c>
      <c r="AL735" s="59">
        <v>5472</v>
      </c>
      <c r="AM735" s="59">
        <v>3334</v>
      </c>
      <c r="AN735" s="59">
        <v>1</v>
      </c>
      <c r="AO735" s="59">
        <v>0</v>
      </c>
      <c r="AP735" s="59">
        <v>12</v>
      </c>
      <c r="AQ735" s="59">
        <v>3</v>
      </c>
      <c r="AR735" s="59">
        <v>2</v>
      </c>
      <c r="AS735" s="59">
        <v>80</v>
      </c>
      <c r="AT735" s="59">
        <v>0</v>
      </c>
      <c r="AU735" s="59">
        <v>8</v>
      </c>
      <c r="AV735" s="59">
        <v>2</v>
      </c>
      <c r="AW735" s="59">
        <v>3</v>
      </c>
      <c r="AX735" s="59">
        <v>8</v>
      </c>
      <c r="AY735" s="59">
        <v>7</v>
      </c>
      <c r="AZ735" s="59">
        <v>1</v>
      </c>
      <c r="BA735" s="59">
        <v>3</v>
      </c>
      <c r="BB735" s="57">
        <f t="shared" si="227"/>
        <v>10944</v>
      </c>
    </row>
    <row r="736" spans="1:54" x14ac:dyDescent="0.25">
      <c r="A736" s="58">
        <v>22</v>
      </c>
      <c r="B736" s="59">
        <v>0</v>
      </c>
      <c r="C736" s="59">
        <v>1</v>
      </c>
      <c r="D736" s="59">
        <f t="shared" si="209"/>
        <v>1</v>
      </c>
      <c r="E736" s="59">
        <f t="shared" si="210"/>
        <v>0</v>
      </c>
      <c r="F736" s="59">
        <v>217</v>
      </c>
      <c r="G736" s="59">
        <v>2</v>
      </c>
      <c r="H736" s="59">
        <f t="shared" si="211"/>
        <v>0</v>
      </c>
      <c r="I736" s="59">
        <f t="shared" si="212"/>
        <v>1</v>
      </c>
      <c r="J736" s="59">
        <v>8</v>
      </c>
      <c r="K736" s="59">
        <v>1</v>
      </c>
      <c r="L736" s="59">
        <v>1</v>
      </c>
      <c r="M736" s="59">
        <f t="shared" si="213"/>
        <v>1</v>
      </c>
      <c r="N736" s="59">
        <f t="shared" si="214"/>
        <v>0</v>
      </c>
      <c r="O736" s="59">
        <f t="shared" si="215"/>
        <v>0</v>
      </c>
      <c r="P736" s="59">
        <f t="shared" si="216"/>
        <v>0</v>
      </c>
      <c r="Q736" s="59">
        <f t="shared" si="217"/>
        <v>0</v>
      </c>
      <c r="R736" s="59">
        <v>1</v>
      </c>
      <c r="S736" s="59">
        <v>1019</v>
      </c>
      <c r="T736" s="59">
        <v>2</v>
      </c>
      <c r="U736" s="59">
        <v>1</v>
      </c>
      <c r="V736" s="59">
        <v>94</v>
      </c>
      <c r="W736" s="59">
        <v>1</v>
      </c>
      <c r="X736" s="59">
        <v>1</v>
      </c>
      <c r="Y736" s="59">
        <v>3</v>
      </c>
      <c r="Z736" s="59">
        <f t="shared" si="218"/>
        <v>0</v>
      </c>
      <c r="AA736" s="59">
        <f>IF('Updated Dummy'!Y736=2,1,0)</f>
        <v>0</v>
      </c>
      <c r="AB736" s="59">
        <f t="shared" si="219"/>
        <v>1</v>
      </c>
      <c r="AC736" s="59">
        <f t="shared" si="220"/>
        <v>0</v>
      </c>
      <c r="AD736" s="59">
        <f t="shared" si="221"/>
        <v>0</v>
      </c>
      <c r="AE736" s="59">
        <f t="shared" si="222"/>
        <v>0</v>
      </c>
      <c r="AF736" s="59">
        <f t="shared" si="223"/>
        <v>0</v>
      </c>
      <c r="AG736" s="59">
        <f t="shared" si="224"/>
        <v>0</v>
      </c>
      <c r="AH736" s="59">
        <v>1</v>
      </c>
      <c r="AI736" s="59">
        <v>2</v>
      </c>
      <c r="AJ736" s="59">
        <f t="shared" si="225"/>
        <v>0</v>
      </c>
      <c r="AK736" s="59">
        <f t="shared" si="226"/>
        <v>1</v>
      </c>
      <c r="AL736" s="59">
        <v>2451</v>
      </c>
      <c r="AM736" s="59">
        <v>6881</v>
      </c>
      <c r="AN736" s="59">
        <v>1</v>
      </c>
      <c r="AO736" s="59">
        <v>0</v>
      </c>
      <c r="AP736" s="59">
        <v>15</v>
      </c>
      <c r="AQ736" s="59">
        <v>3</v>
      </c>
      <c r="AR736" s="59">
        <v>1</v>
      </c>
      <c r="AS736" s="59">
        <v>80</v>
      </c>
      <c r="AT736" s="59">
        <v>1</v>
      </c>
      <c r="AU736" s="59">
        <v>4</v>
      </c>
      <c r="AV736" s="59">
        <v>3</v>
      </c>
      <c r="AW736" s="59">
        <v>2</v>
      </c>
      <c r="AX736" s="59">
        <v>4</v>
      </c>
      <c r="AY736" s="59">
        <v>3</v>
      </c>
      <c r="AZ736" s="59">
        <v>1</v>
      </c>
      <c r="BA736" s="59">
        <v>1</v>
      </c>
      <c r="BB736" s="57">
        <f t="shared" si="227"/>
        <v>2451</v>
      </c>
    </row>
    <row r="737" spans="1:54" x14ac:dyDescent="0.25">
      <c r="A737" s="58">
        <v>48</v>
      </c>
      <c r="B737" s="59">
        <v>0</v>
      </c>
      <c r="C737" s="59">
        <v>1</v>
      </c>
      <c r="D737" s="59">
        <f t="shared" si="209"/>
        <v>1</v>
      </c>
      <c r="E737" s="59">
        <f t="shared" si="210"/>
        <v>0</v>
      </c>
      <c r="F737" s="59">
        <v>277</v>
      </c>
      <c r="G737" s="59">
        <v>2</v>
      </c>
      <c r="H737" s="59">
        <f t="shared" si="211"/>
        <v>0</v>
      </c>
      <c r="I737" s="59">
        <f t="shared" si="212"/>
        <v>1</v>
      </c>
      <c r="J737" s="59">
        <v>6</v>
      </c>
      <c r="K737" s="59">
        <v>3</v>
      </c>
      <c r="L737" s="59">
        <v>1</v>
      </c>
      <c r="M737" s="59">
        <f t="shared" si="213"/>
        <v>1</v>
      </c>
      <c r="N737" s="59">
        <f t="shared" si="214"/>
        <v>0</v>
      </c>
      <c r="O737" s="59">
        <f t="shared" si="215"/>
        <v>0</v>
      </c>
      <c r="P737" s="59">
        <f t="shared" si="216"/>
        <v>0</v>
      </c>
      <c r="Q737" s="59">
        <f t="shared" si="217"/>
        <v>0</v>
      </c>
      <c r="R737" s="59">
        <v>1</v>
      </c>
      <c r="S737" s="59">
        <v>1022</v>
      </c>
      <c r="T737" s="59">
        <v>1</v>
      </c>
      <c r="U737" s="59">
        <v>1</v>
      </c>
      <c r="V737" s="59">
        <v>97</v>
      </c>
      <c r="W737" s="59">
        <v>2</v>
      </c>
      <c r="X737" s="59">
        <v>2</v>
      </c>
      <c r="Y737" s="59">
        <v>5</v>
      </c>
      <c r="Z737" s="59">
        <f t="shared" si="218"/>
        <v>0</v>
      </c>
      <c r="AA737" s="59">
        <f>IF('Updated Dummy'!Y737=2,1,0)</f>
        <v>0</v>
      </c>
      <c r="AB737" s="59">
        <f t="shared" si="219"/>
        <v>0</v>
      </c>
      <c r="AC737" s="59">
        <f t="shared" si="220"/>
        <v>0</v>
      </c>
      <c r="AD737" s="59">
        <f t="shared" si="221"/>
        <v>1</v>
      </c>
      <c r="AE737" s="59">
        <f t="shared" si="222"/>
        <v>0</v>
      </c>
      <c r="AF737" s="59">
        <f t="shared" si="223"/>
        <v>0</v>
      </c>
      <c r="AG737" s="59">
        <f t="shared" si="224"/>
        <v>0</v>
      </c>
      <c r="AH737" s="59">
        <v>3</v>
      </c>
      <c r="AI737" s="59">
        <v>1</v>
      </c>
      <c r="AJ737" s="59">
        <f t="shared" si="225"/>
        <v>1</v>
      </c>
      <c r="AK737" s="59">
        <f t="shared" si="226"/>
        <v>0</v>
      </c>
      <c r="AL737" s="59">
        <v>4240</v>
      </c>
      <c r="AM737" s="59">
        <v>13119</v>
      </c>
      <c r="AN737" s="59">
        <v>2</v>
      </c>
      <c r="AO737" s="59">
        <v>0</v>
      </c>
      <c r="AP737" s="59">
        <v>13</v>
      </c>
      <c r="AQ737" s="59">
        <v>3</v>
      </c>
      <c r="AR737" s="59">
        <v>4</v>
      </c>
      <c r="AS737" s="59">
        <v>80</v>
      </c>
      <c r="AT737" s="59">
        <v>0</v>
      </c>
      <c r="AU737" s="59">
        <v>19</v>
      </c>
      <c r="AV737" s="59">
        <v>0</v>
      </c>
      <c r="AW737" s="59">
        <v>3</v>
      </c>
      <c r="AX737" s="59">
        <v>2</v>
      </c>
      <c r="AY737" s="59">
        <v>2</v>
      </c>
      <c r="AZ737" s="59">
        <v>2</v>
      </c>
      <c r="BA737" s="59">
        <v>2</v>
      </c>
      <c r="BB737" s="57">
        <f t="shared" si="227"/>
        <v>8480</v>
      </c>
    </row>
    <row r="738" spans="1:54" x14ac:dyDescent="0.25">
      <c r="A738" s="58">
        <v>48</v>
      </c>
      <c r="B738" s="59">
        <v>0</v>
      </c>
      <c r="C738" s="59">
        <v>1</v>
      </c>
      <c r="D738" s="59">
        <f t="shared" si="209"/>
        <v>1</v>
      </c>
      <c r="E738" s="59">
        <f t="shared" si="210"/>
        <v>0</v>
      </c>
      <c r="F738" s="59">
        <v>1355</v>
      </c>
      <c r="G738" s="59">
        <v>2</v>
      </c>
      <c r="H738" s="59">
        <f t="shared" si="211"/>
        <v>0</v>
      </c>
      <c r="I738" s="59">
        <f t="shared" si="212"/>
        <v>1</v>
      </c>
      <c r="J738" s="59">
        <v>4</v>
      </c>
      <c r="K738" s="59">
        <v>4</v>
      </c>
      <c r="L738" s="59">
        <v>1</v>
      </c>
      <c r="M738" s="59">
        <f t="shared" si="213"/>
        <v>1</v>
      </c>
      <c r="N738" s="59">
        <f t="shared" si="214"/>
        <v>0</v>
      </c>
      <c r="O738" s="59">
        <f t="shared" si="215"/>
        <v>0</v>
      </c>
      <c r="P738" s="59">
        <f t="shared" si="216"/>
        <v>0</v>
      </c>
      <c r="Q738" s="59">
        <f t="shared" si="217"/>
        <v>0</v>
      </c>
      <c r="R738" s="59">
        <v>1</v>
      </c>
      <c r="S738" s="59">
        <v>1024</v>
      </c>
      <c r="T738" s="59">
        <v>3</v>
      </c>
      <c r="U738" s="59">
        <v>1</v>
      </c>
      <c r="V738" s="59">
        <v>78</v>
      </c>
      <c r="W738" s="59">
        <v>2</v>
      </c>
      <c r="X738" s="59">
        <v>3</v>
      </c>
      <c r="Y738" s="59">
        <v>5</v>
      </c>
      <c r="Z738" s="59">
        <f t="shared" si="218"/>
        <v>0</v>
      </c>
      <c r="AA738" s="59">
        <f>IF('Updated Dummy'!Y738=2,1,0)</f>
        <v>0</v>
      </c>
      <c r="AB738" s="59">
        <f t="shared" si="219"/>
        <v>0</v>
      </c>
      <c r="AC738" s="59">
        <f t="shared" si="220"/>
        <v>0</v>
      </c>
      <c r="AD738" s="59">
        <f t="shared" si="221"/>
        <v>1</v>
      </c>
      <c r="AE738" s="59">
        <f t="shared" si="222"/>
        <v>0</v>
      </c>
      <c r="AF738" s="59">
        <f t="shared" si="223"/>
        <v>0</v>
      </c>
      <c r="AG738" s="59">
        <f t="shared" si="224"/>
        <v>0</v>
      </c>
      <c r="AH738" s="59">
        <v>3</v>
      </c>
      <c r="AI738" s="59">
        <v>1</v>
      </c>
      <c r="AJ738" s="59">
        <f t="shared" si="225"/>
        <v>1</v>
      </c>
      <c r="AK738" s="59">
        <f t="shared" si="226"/>
        <v>0</v>
      </c>
      <c r="AL738" s="59">
        <v>10999</v>
      </c>
      <c r="AM738" s="59">
        <v>22245</v>
      </c>
      <c r="AN738" s="59">
        <v>7</v>
      </c>
      <c r="AO738" s="59">
        <v>0</v>
      </c>
      <c r="AP738" s="59">
        <v>14</v>
      </c>
      <c r="AQ738" s="59">
        <v>3</v>
      </c>
      <c r="AR738" s="59">
        <v>2</v>
      </c>
      <c r="AS738" s="59">
        <v>80</v>
      </c>
      <c r="AT738" s="59">
        <v>0</v>
      </c>
      <c r="AU738" s="59">
        <v>27</v>
      </c>
      <c r="AV738" s="59">
        <v>3</v>
      </c>
      <c r="AW738" s="59">
        <v>3</v>
      </c>
      <c r="AX738" s="59">
        <v>15</v>
      </c>
      <c r="AY738" s="59">
        <v>11</v>
      </c>
      <c r="AZ738" s="59">
        <v>4</v>
      </c>
      <c r="BA738" s="59">
        <v>8</v>
      </c>
      <c r="BB738" s="57">
        <f t="shared" si="227"/>
        <v>32997</v>
      </c>
    </row>
    <row r="739" spans="1:54" x14ac:dyDescent="0.25">
      <c r="A739" s="58">
        <v>41</v>
      </c>
      <c r="B739" s="59">
        <v>0</v>
      </c>
      <c r="C739" s="59">
        <v>1</v>
      </c>
      <c r="D739" s="59">
        <f t="shared" si="209"/>
        <v>1</v>
      </c>
      <c r="E739" s="59">
        <f t="shared" si="210"/>
        <v>0</v>
      </c>
      <c r="F739" s="59">
        <v>549</v>
      </c>
      <c r="G739" s="59">
        <v>2</v>
      </c>
      <c r="H739" s="59">
        <f t="shared" si="211"/>
        <v>0</v>
      </c>
      <c r="I739" s="59">
        <f t="shared" si="212"/>
        <v>1</v>
      </c>
      <c r="J739" s="59">
        <v>7</v>
      </c>
      <c r="K739" s="59">
        <v>2</v>
      </c>
      <c r="L739" s="59">
        <v>3</v>
      </c>
      <c r="M739" s="59">
        <f t="shared" si="213"/>
        <v>0</v>
      </c>
      <c r="N739" s="59">
        <f t="shared" si="214"/>
        <v>0</v>
      </c>
      <c r="O739" s="59">
        <f t="shared" si="215"/>
        <v>1</v>
      </c>
      <c r="P739" s="59">
        <f t="shared" si="216"/>
        <v>0</v>
      </c>
      <c r="Q739" s="59">
        <f t="shared" si="217"/>
        <v>0</v>
      </c>
      <c r="R739" s="59">
        <v>1</v>
      </c>
      <c r="S739" s="59">
        <v>1025</v>
      </c>
      <c r="T739" s="59">
        <v>4</v>
      </c>
      <c r="U739" s="59">
        <v>0</v>
      </c>
      <c r="V739" s="59">
        <v>42</v>
      </c>
      <c r="W739" s="59">
        <v>3</v>
      </c>
      <c r="X739" s="59">
        <v>2</v>
      </c>
      <c r="Y739" s="59">
        <v>4</v>
      </c>
      <c r="Z739" s="59">
        <f t="shared" si="218"/>
        <v>0</v>
      </c>
      <c r="AA739" s="59">
        <f>IF('Updated Dummy'!Y739=2,1,0)</f>
        <v>0</v>
      </c>
      <c r="AB739" s="59">
        <f t="shared" si="219"/>
        <v>0</v>
      </c>
      <c r="AC739" s="59">
        <f t="shared" si="220"/>
        <v>1</v>
      </c>
      <c r="AD739" s="59">
        <f t="shared" si="221"/>
        <v>0</v>
      </c>
      <c r="AE739" s="59">
        <f t="shared" si="222"/>
        <v>0</v>
      </c>
      <c r="AF739" s="59">
        <f t="shared" si="223"/>
        <v>0</v>
      </c>
      <c r="AG739" s="59">
        <f t="shared" si="224"/>
        <v>0</v>
      </c>
      <c r="AH739" s="59">
        <v>3</v>
      </c>
      <c r="AI739" s="59">
        <v>1</v>
      </c>
      <c r="AJ739" s="59">
        <f t="shared" si="225"/>
        <v>1</v>
      </c>
      <c r="AK739" s="59">
        <f t="shared" si="226"/>
        <v>0</v>
      </c>
      <c r="AL739" s="59">
        <v>5003</v>
      </c>
      <c r="AM739" s="59">
        <v>23371</v>
      </c>
      <c r="AN739" s="59">
        <v>6</v>
      </c>
      <c r="AO739" s="59">
        <v>0</v>
      </c>
      <c r="AP739" s="59">
        <v>14</v>
      </c>
      <c r="AQ739" s="59">
        <v>3</v>
      </c>
      <c r="AR739" s="59">
        <v>2</v>
      </c>
      <c r="AS739" s="59">
        <v>80</v>
      </c>
      <c r="AT739" s="59">
        <v>0</v>
      </c>
      <c r="AU739" s="59">
        <v>8</v>
      </c>
      <c r="AV739" s="59">
        <v>6</v>
      </c>
      <c r="AW739" s="59">
        <v>3</v>
      </c>
      <c r="AX739" s="59">
        <v>2</v>
      </c>
      <c r="AY739" s="59">
        <v>2</v>
      </c>
      <c r="AZ739" s="59">
        <v>2</v>
      </c>
      <c r="BA739" s="59">
        <v>1</v>
      </c>
      <c r="BB739" s="57">
        <f t="shared" si="227"/>
        <v>10006</v>
      </c>
    </row>
    <row r="740" spans="1:54" x14ac:dyDescent="0.25">
      <c r="A740" s="58">
        <v>39</v>
      </c>
      <c r="B740" s="59">
        <v>0</v>
      </c>
      <c r="C740" s="59">
        <v>1</v>
      </c>
      <c r="D740" s="59">
        <f t="shared" si="209"/>
        <v>1</v>
      </c>
      <c r="E740" s="59">
        <f t="shared" si="210"/>
        <v>0</v>
      </c>
      <c r="F740" s="59">
        <v>466</v>
      </c>
      <c r="G740" s="59">
        <v>2</v>
      </c>
      <c r="H740" s="59">
        <f t="shared" si="211"/>
        <v>0</v>
      </c>
      <c r="I740" s="59">
        <f t="shared" si="212"/>
        <v>1</v>
      </c>
      <c r="J740" s="59">
        <v>1</v>
      </c>
      <c r="K740" s="59">
        <v>1</v>
      </c>
      <c r="L740" s="59">
        <v>1</v>
      </c>
      <c r="M740" s="59">
        <f t="shared" si="213"/>
        <v>1</v>
      </c>
      <c r="N740" s="59">
        <f t="shared" si="214"/>
        <v>0</v>
      </c>
      <c r="O740" s="59">
        <f t="shared" si="215"/>
        <v>0</v>
      </c>
      <c r="P740" s="59">
        <f t="shared" si="216"/>
        <v>0</v>
      </c>
      <c r="Q740" s="59">
        <f t="shared" si="217"/>
        <v>0</v>
      </c>
      <c r="R740" s="59">
        <v>1</v>
      </c>
      <c r="S740" s="59">
        <v>1026</v>
      </c>
      <c r="T740" s="59">
        <v>4</v>
      </c>
      <c r="U740" s="59">
        <v>0</v>
      </c>
      <c r="V740" s="59">
        <v>65</v>
      </c>
      <c r="W740" s="59">
        <v>2</v>
      </c>
      <c r="X740" s="59">
        <v>4</v>
      </c>
      <c r="Y740" s="59">
        <v>4</v>
      </c>
      <c r="Z740" s="59">
        <f t="shared" si="218"/>
        <v>0</v>
      </c>
      <c r="AA740" s="59">
        <f>IF('Updated Dummy'!Y740=2,1,0)</f>
        <v>0</v>
      </c>
      <c r="AB740" s="59">
        <f t="shared" si="219"/>
        <v>0</v>
      </c>
      <c r="AC740" s="59">
        <f t="shared" si="220"/>
        <v>1</v>
      </c>
      <c r="AD740" s="59">
        <f t="shared" si="221"/>
        <v>0</v>
      </c>
      <c r="AE740" s="59">
        <f t="shared" si="222"/>
        <v>0</v>
      </c>
      <c r="AF740" s="59">
        <f t="shared" si="223"/>
        <v>0</v>
      </c>
      <c r="AG740" s="59">
        <f t="shared" si="224"/>
        <v>0</v>
      </c>
      <c r="AH740" s="59">
        <v>4</v>
      </c>
      <c r="AI740" s="59">
        <v>2</v>
      </c>
      <c r="AJ740" s="59">
        <f t="shared" si="225"/>
        <v>0</v>
      </c>
      <c r="AK740" s="59">
        <f t="shared" si="226"/>
        <v>1</v>
      </c>
      <c r="AL740" s="59">
        <v>12742</v>
      </c>
      <c r="AM740" s="59">
        <v>7060</v>
      </c>
      <c r="AN740" s="59">
        <v>1</v>
      </c>
      <c r="AO740" s="59">
        <v>0</v>
      </c>
      <c r="AP740" s="59">
        <v>16</v>
      </c>
      <c r="AQ740" s="59">
        <v>3</v>
      </c>
      <c r="AR740" s="59">
        <v>3</v>
      </c>
      <c r="AS740" s="59">
        <v>80</v>
      </c>
      <c r="AT740" s="59">
        <v>1</v>
      </c>
      <c r="AU740" s="59">
        <v>21</v>
      </c>
      <c r="AV740" s="59">
        <v>3</v>
      </c>
      <c r="AW740" s="59">
        <v>3</v>
      </c>
      <c r="AX740" s="59">
        <v>21</v>
      </c>
      <c r="AY740" s="59">
        <v>6</v>
      </c>
      <c r="AZ740" s="59">
        <v>11</v>
      </c>
      <c r="BA740" s="59">
        <v>8</v>
      </c>
      <c r="BB740" s="57">
        <f t="shared" si="227"/>
        <v>50968</v>
      </c>
    </row>
    <row r="741" spans="1:54" x14ac:dyDescent="0.25">
      <c r="A741" s="58">
        <v>27</v>
      </c>
      <c r="B741" s="59">
        <v>0</v>
      </c>
      <c r="C741" s="59">
        <v>1</v>
      </c>
      <c r="D741" s="59">
        <f t="shared" si="209"/>
        <v>1</v>
      </c>
      <c r="E741" s="59">
        <f t="shared" si="210"/>
        <v>0</v>
      </c>
      <c r="F741" s="59">
        <v>1055</v>
      </c>
      <c r="G741" s="59">
        <v>2</v>
      </c>
      <c r="H741" s="59">
        <f t="shared" si="211"/>
        <v>0</v>
      </c>
      <c r="I741" s="59">
        <f t="shared" si="212"/>
        <v>1</v>
      </c>
      <c r="J741" s="59">
        <v>2</v>
      </c>
      <c r="K741" s="59">
        <v>4</v>
      </c>
      <c r="L741" s="59">
        <v>1</v>
      </c>
      <c r="M741" s="59">
        <f t="shared" si="213"/>
        <v>1</v>
      </c>
      <c r="N741" s="59">
        <f t="shared" si="214"/>
        <v>0</v>
      </c>
      <c r="O741" s="59">
        <f t="shared" si="215"/>
        <v>0</v>
      </c>
      <c r="P741" s="59">
        <f t="shared" si="216"/>
        <v>0</v>
      </c>
      <c r="Q741" s="59">
        <f t="shared" si="217"/>
        <v>0</v>
      </c>
      <c r="R741" s="59">
        <v>1</v>
      </c>
      <c r="S741" s="59">
        <v>1027</v>
      </c>
      <c r="T741" s="59">
        <v>1</v>
      </c>
      <c r="U741" s="59">
        <v>0</v>
      </c>
      <c r="V741" s="59">
        <v>47</v>
      </c>
      <c r="W741" s="59">
        <v>3</v>
      </c>
      <c r="X741" s="59">
        <v>2</v>
      </c>
      <c r="Y741" s="59">
        <v>4</v>
      </c>
      <c r="Z741" s="59">
        <f t="shared" si="218"/>
        <v>0</v>
      </c>
      <c r="AA741" s="59">
        <f>IF('Updated Dummy'!Y741=2,1,0)</f>
        <v>0</v>
      </c>
      <c r="AB741" s="59">
        <f t="shared" si="219"/>
        <v>0</v>
      </c>
      <c r="AC741" s="59">
        <f t="shared" si="220"/>
        <v>1</v>
      </c>
      <c r="AD741" s="59">
        <f t="shared" si="221"/>
        <v>0</v>
      </c>
      <c r="AE741" s="59">
        <f t="shared" si="222"/>
        <v>0</v>
      </c>
      <c r="AF741" s="59">
        <f t="shared" si="223"/>
        <v>0</v>
      </c>
      <c r="AG741" s="59">
        <f t="shared" si="224"/>
        <v>0</v>
      </c>
      <c r="AH741" s="59">
        <v>4</v>
      </c>
      <c r="AI741" s="59">
        <v>2</v>
      </c>
      <c r="AJ741" s="59">
        <f t="shared" si="225"/>
        <v>0</v>
      </c>
      <c r="AK741" s="59">
        <f t="shared" si="226"/>
        <v>1</v>
      </c>
      <c r="AL741" s="59">
        <v>4227</v>
      </c>
      <c r="AM741" s="59">
        <v>4658</v>
      </c>
      <c r="AN741" s="59">
        <v>0</v>
      </c>
      <c r="AO741" s="59">
        <v>0</v>
      </c>
      <c r="AP741" s="59">
        <v>18</v>
      </c>
      <c r="AQ741" s="59">
        <v>3</v>
      </c>
      <c r="AR741" s="59">
        <v>2</v>
      </c>
      <c r="AS741" s="59">
        <v>80</v>
      </c>
      <c r="AT741" s="59">
        <v>1</v>
      </c>
      <c r="AU741" s="59">
        <v>4</v>
      </c>
      <c r="AV741" s="59">
        <v>2</v>
      </c>
      <c r="AW741" s="59">
        <v>3</v>
      </c>
      <c r="AX741" s="59">
        <v>3</v>
      </c>
      <c r="AY741" s="59">
        <v>2</v>
      </c>
      <c r="AZ741" s="59">
        <v>2</v>
      </c>
      <c r="BA741" s="59">
        <v>2</v>
      </c>
      <c r="BB741" s="57">
        <f t="shared" si="227"/>
        <v>8454</v>
      </c>
    </row>
    <row r="742" spans="1:54" x14ac:dyDescent="0.25">
      <c r="A742" s="58">
        <v>35</v>
      </c>
      <c r="B742" s="59">
        <v>0</v>
      </c>
      <c r="C742" s="59">
        <v>1</v>
      </c>
      <c r="D742" s="59">
        <f t="shared" si="209"/>
        <v>1</v>
      </c>
      <c r="E742" s="59">
        <f t="shared" si="210"/>
        <v>0</v>
      </c>
      <c r="F742" s="59">
        <v>802</v>
      </c>
      <c r="G742" s="59">
        <v>2</v>
      </c>
      <c r="H742" s="59">
        <f t="shared" si="211"/>
        <v>0</v>
      </c>
      <c r="I742" s="59">
        <f t="shared" si="212"/>
        <v>1</v>
      </c>
      <c r="J742" s="59">
        <v>10</v>
      </c>
      <c r="K742" s="59">
        <v>3</v>
      </c>
      <c r="L742" s="59">
        <v>6</v>
      </c>
      <c r="M742" s="59">
        <f t="shared" si="213"/>
        <v>0</v>
      </c>
      <c r="N742" s="59">
        <f t="shared" si="214"/>
        <v>0</v>
      </c>
      <c r="O742" s="59">
        <f t="shared" si="215"/>
        <v>0</v>
      </c>
      <c r="P742" s="59">
        <f t="shared" si="216"/>
        <v>0</v>
      </c>
      <c r="Q742" s="59">
        <f t="shared" si="217"/>
        <v>0</v>
      </c>
      <c r="R742" s="59">
        <v>1</v>
      </c>
      <c r="S742" s="59">
        <v>1028</v>
      </c>
      <c r="T742" s="59">
        <v>2</v>
      </c>
      <c r="U742" s="59">
        <v>1</v>
      </c>
      <c r="V742" s="59">
        <v>45</v>
      </c>
      <c r="W742" s="59">
        <v>3</v>
      </c>
      <c r="X742" s="59">
        <v>1</v>
      </c>
      <c r="Y742" s="59">
        <v>3</v>
      </c>
      <c r="Z742" s="59">
        <f t="shared" si="218"/>
        <v>0</v>
      </c>
      <c r="AA742" s="59">
        <f>IF('Updated Dummy'!Y742=2,1,0)</f>
        <v>0</v>
      </c>
      <c r="AB742" s="59">
        <f t="shared" si="219"/>
        <v>1</v>
      </c>
      <c r="AC742" s="59">
        <f t="shared" si="220"/>
        <v>0</v>
      </c>
      <c r="AD742" s="59">
        <f t="shared" si="221"/>
        <v>0</v>
      </c>
      <c r="AE742" s="59">
        <f t="shared" si="222"/>
        <v>0</v>
      </c>
      <c r="AF742" s="59">
        <f t="shared" si="223"/>
        <v>0</v>
      </c>
      <c r="AG742" s="59">
        <f t="shared" si="224"/>
        <v>0</v>
      </c>
      <c r="AH742" s="59">
        <v>4</v>
      </c>
      <c r="AI742" s="59">
        <v>3</v>
      </c>
      <c r="AJ742" s="59">
        <f t="shared" si="225"/>
        <v>0</v>
      </c>
      <c r="AK742" s="59">
        <f t="shared" si="226"/>
        <v>0</v>
      </c>
      <c r="AL742" s="59">
        <v>3917</v>
      </c>
      <c r="AM742" s="59">
        <v>9541</v>
      </c>
      <c r="AN742" s="59">
        <v>1</v>
      </c>
      <c r="AO742" s="59">
        <v>0</v>
      </c>
      <c r="AP742" s="59">
        <v>20</v>
      </c>
      <c r="AQ742" s="59">
        <v>4</v>
      </c>
      <c r="AR742" s="59">
        <v>1</v>
      </c>
      <c r="AS742" s="59">
        <v>80</v>
      </c>
      <c r="AT742" s="59">
        <v>1</v>
      </c>
      <c r="AU742" s="59">
        <v>3</v>
      </c>
      <c r="AV742" s="59">
        <v>4</v>
      </c>
      <c r="AW742" s="59">
        <v>2</v>
      </c>
      <c r="AX742" s="59">
        <v>3</v>
      </c>
      <c r="AY742" s="59">
        <v>2</v>
      </c>
      <c r="AZ742" s="59">
        <v>1</v>
      </c>
      <c r="BA742" s="59">
        <v>2</v>
      </c>
      <c r="BB742" s="57">
        <f t="shared" si="227"/>
        <v>3917</v>
      </c>
    </row>
    <row r="743" spans="1:54" x14ac:dyDescent="0.25">
      <c r="A743" s="58">
        <v>42</v>
      </c>
      <c r="B743" s="59">
        <v>0</v>
      </c>
      <c r="C743" s="59">
        <v>1</v>
      </c>
      <c r="D743" s="59">
        <f t="shared" si="209"/>
        <v>1</v>
      </c>
      <c r="E743" s="59">
        <f t="shared" si="210"/>
        <v>0</v>
      </c>
      <c r="F743" s="59">
        <v>265</v>
      </c>
      <c r="G743" s="59">
        <v>1</v>
      </c>
      <c r="H743" s="59">
        <f t="shared" si="211"/>
        <v>1</v>
      </c>
      <c r="I743" s="59">
        <f t="shared" si="212"/>
        <v>0</v>
      </c>
      <c r="J743" s="59">
        <v>5</v>
      </c>
      <c r="K743" s="59">
        <v>2</v>
      </c>
      <c r="L743" s="59">
        <v>4</v>
      </c>
      <c r="M743" s="59">
        <f t="shared" si="213"/>
        <v>0</v>
      </c>
      <c r="N743" s="59">
        <f t="shared" si="214"/>
        <v>0</v>
      </c>
      <c r="O743" s="59">
        <f t="shared" si="215"/>
        <v>0</v>
      </c>
      <c r="P743" s="59">
        <f t="shared" si="216"/>
        <v>1</v>
      </c>
      <c r="Q743" s="59">
        <f t="shared" si="217"/>
        <v>0</v>
      </c>
      <c r="R743" s="59">
        <v>1</v>
      </c>
      <c r="S743" s="59">
        <v>1029</v>
      </c>
      <c r="T743" s="59">
        <v>4</v>
      </c>
      <c r="U743" s="59">
        <v>1</v>
      </c>
      <c r="V743" s="59">
        <v>90</v>
      </c>
      <c r="W743" s="59">
        <v>3</v>
      </c>
      <c r="X743" s="59">
        <v>5</v>
      </c>
      <c r="Y743" s="59">
        <v>6</v>
      </c>
      <c r="Z743" s="59">
        <f t="shared" si="218"/>
        <v>0</v>
      </c>
      <c r="AA743" s="59">
        <f>IF('Updated Dummy'!Y743=2,1,0)</f>
        <v>0</v>
      </c>
      <c r="AB743" s="59">
        <f t="shared" si="219"/>
        <v>0</v>
      </c>
      <c r="AC743" s="59">
        <f t="shared" si="220"/>
        <v>0</v>
      </c>
      <c r="AD743" s="59">
        <f t="shared" si="221"/>
        <v>0</v>
      </c>
      <c r="AE743" s="59">
        <f t="shared" si="222"/>
        <v>1</v>
      </c>
      <c r="AF743" s="59">
        <f t="shared" si="223"/>
        <v>0</v>
      </c>
      <c r="AG743" s="59">
        <f t="shared" si="224"/>
        <v>0</v>
      </c>
      <c r="AH743" s="59">
        <v>3</v>
      </c>
      <c r="AI743" s="59">
        <v>2</v>
      </c>
      <c r="AJ743" s="59">
        <f t="shared" si="225"/>
        <v>0</v>
      </c>
      <c r="AK743" s="59">
        <f t="shared" si="226"/>
        <v>1</v>
      </c>
      <c r="AL743" s="59">
        <v>18303</v>
      </c>
      <c r="AM743" s="59">
        <v>7770</v>
      </c>
      <c r="AN743" s="59">
        <v>6</v>
      </c>
      <c r="AO743" s="59">
        <v>0</v>
      </c>
      <c r="AP743" s="59">
        <v>13</v>
      </c>
      <c r="AQ743" s="59">
        <v>3</v>
      </c>
      <c r="AR743" s="59">
        <v>2</v>
      </c>
      <c r="AS743" s="59">
        <v>80</v>
      </c>
      <c r="AT743" s="59">
        <v>0</v>
      </c>
      <c r="AU743" s="59">
        <v>21</v>
      </c>
      <c r="AV743" s="59">
        <v>3</v>
      </c>
      <c r="AW743" s="59">
        <v>4</v>
      </c>
      <c r="AX743" s="59">
        <v>1</v>
      </c>
      <c r="AY743" s="59">
        <v>0</v>
      </c>
      <c r="AZ743" s="59">
        <v>0</v>
      </c>
      <c r="BA743" s="59">
        <v>0</v>
      </c>
      <c r="BB743" s="57">
        <f t="shared" si="227"/>
        <v>91515</v>
      </c>
    </row>
    <row r="744" spans="1:54" x14ac:dyDescent="0.25">
      <c r="A744" s="58">
        <v>50</v>
      </c>
      <c r="B744" s="59">
        <v>0</v>
      </c>
      <c r="C744" s="59">
        <v>1</v>
      </c>
      <c r="D744" s="59">
        <f t="shared" si="209"/>
        <v>1</v>
      </c>
      <c r="E744" s="59">
        <f t="shared" si="210"/>
        <v>0</v>
      </c>
      <c r="F744" s="59">
        <v>804</v>
      </c>
      <c r="G744" s="59">
        <v>2</v>
      </c>
      <c r="H744" s="59">
        <f t="shared" si="211"/>
        <v>0</v>
      </c>
      <c r="I744" s="59">
        <f t="shared" si="212"/>
        <v>1</v>
      </c>
      <c r="J744" s="59">
        <v>9</v>
      </c>
      <c r="K744" s="59">
        <v>3</v>
      </c>
      <c r="L744" s="59">
        <v>1</v>
      </c>
      <c r="M744" s="59">
        <f t="shared" si="213"/>
        <v>1</v>
      </c>
      <c r="N744" s="59">
        <f t="shared" si="214"/>
        <v>0</v>
      </c>
      <c r="O744" s="59">
        <f t="shared" si="215"/>
        <v>0</v>
      </c>
      <c r="P744" s="59">
        <f t="shared" si="216"/>
        <v>0</v>
      </c>
      <c r="Q744" s="59">
        <f t="shared" si="217"/>
        <v>0</v>
      </c>
      <c r="R744" s="59">
        <v>1</v>
      </c>
      <c r="S744" s="59">
        <v>1030</v>
      </c>
      <c r="T744" s="59">
        <v>1</v>
      </c>
      <c r="U744" s="59">
        <v>1</v>
      </c>
      <c r="V744" s="59">
        <v>64</v>
      </c>
      <c r="W744" s="59">
        <v>3</v>
      </c>
      <c r="X744" s="59">
        <v>1</v>
      </c>
      <c r="Y744" s="59">
        <v>3</v>
      </c>
      <c r="Z744" s="59">
        <f t="shared" si="218"/>
        <v>0</v>
      </c>
      <c r="AA744" s="59">
        <f>IF('Updated Dummy'!Y744=2,1,0)</f>
        <v>0</v>
      </c>
      <c r="AB744" s="59">
        <f t="shared" si="219"/>
        <v>1</v>
      </c>
      <c r="AC744" s="59">
        <f t="shared" si="220"/>
        <v>0</v>
      </c>
      <c r="AD744" s="59">
        <f t="shared" si="221"/>
        <v>0</v>
      </c>
      <c r="AE744" s="59">
        <f t="shared" si="222"/>
        <v>0</v>
      </c>
      <c r="AF744" s="59">
        <f t="shared" si="223"/>
        <v>0</v>
      </c>
      <c r="AG744" s="59">
        <f t="shared" si="224"/>
        <v>0</v>
      </c>
      <c r="AH744" s="59">
        <v>4</v>
      </c>
      <c r="AI744" s="59">
        <v>2</v>
      </c>
      <c r="AJ744" s="59">
        <f t="shared" si="225"/>
        <v>0</v>
      </c>
      <c r="AK744" s="59">
        <f t="shared" si="226"/>
        <v>1</v>
      </c>
      <c r="AL744" s="59">
        <v>2380</v>
      </c>
      <c r="AM744" s="59">
        <v>20165</v>
      </c>
      <c r="AN744" s="59">
        <v>4</v>
      </c>
      <c r="AO744" s="59">
        <v>0</v>
      </c>
      <c r="AP744" s="59">
        <v>18</v>
      </c>
      <c r="AQ744" s="59">
        <v>3</v>
      </c>
      <c r="AR744" s="59">
        <v>2</v>
      </c>
      <c r="AS744" s="59">
        <v>80</v>
      </c>
      <c r="AT744" s="59">
        <v>0</v>
      </c>
      <c r="AU744" s="59">
        <v>8</v>
      </c>
      <c r="AV744" s="59">
        <v>5</v>
      </c>
      <c r="AW744" s="59">
        <v>3</v>
      </c>
      <c r="AX744" s="59">
        <v>1</v>
      </c>
      <c r="AY744" s="59">
        <v>0</v>
      </c>
      <c r="AZ744" s="59">
        <v>0</v>
      </c>
      <c r="BA744" s="59">
        <v>0</v>
      </c>
      <c r="BB744" s="57">
        <f t="shared" si="227"/>
        <v>2380</v>
      </c>
    </row>
    <row r="745" spans="1:54" x14ac:dyDescent="0.25">
      <c r="A745" s="58">
        <v>59</v>
      </c>
      <c r="B745" s="59">
        <v>0</v>
      </c>
      <c r="C745" s="59">
        <v>1</v>
      </c>
      <c r="D745" s="59">
        <f t="shared" si="209"/>
        <v>1</v>
      </c>
      <c r="E745" s="59">
        <f t="shared" si="210"/>
        <v>0</v>
      </c>
      <c r="F745" s="59">
        <v>715</v>
      </c>
      <c r="G745" s="59">
        <v>2</v>
      </c>
      <c r="H745" s="59">
        <f t="shared" si="211"/>
        <v>0</v>
      </c>
      <c r="I745" s="59">
        <f t="shared" si="212"/>
        <v>1</v>
      </c>
      <c r="J745" s="59">
        <v>2</v>
      </c>
      <c r="K745" s="59">
        <v>3</v>
      </c>
      <c r="L745" s="59">
        <v>1</v>
      </c>
      <c r="M745" s="59">
        <f t="shared" si="213"/>
        <v>1</v>
      </c>
      <c r="N745" s="59">
        <f t="shared" si="214"/>
        <v>0</v>
      </c>
      <c r="O745" s="59">
        <f t="shared" si="215"/>
        <v>0</v>
      </c>
      <c r="P745" s="59">
        <f t="shared" si="216"/>
        <v>0</v>
      </c>
      <c r="Q745" s="59">
        <f t="shared" si="217"/>
        <v>0</v>
      </c>
      <c r="R745" s="59">
        <v>1</v>
      </c>
      <c r="S745" s="59">
        <v>1032</v>
      </c>
      <c r="T745" s="59">
        <v>3</v>
      </c>
      <c r="U745" s="59">
        <v>0</v>
      </c>
      <c r="V745" s="59">
        <v>69</v>
      </c>
      <c r="W745" s="59">
        <v>2</v>
      </c>
      <c r="X745" s="59">
        <v>4</v>
      </c>
      <c r="Y745" s="59">
        <v>4</v>
      </c>
      <c r="Z745" s="59">
        <f t="shared" si="218"/>
        <v>0</v>
      </c>
      <c r="AA745" s="59">
        <f>IF('Updated Dummy'!Y745=2,1,0)</f>
        <v>0</v>
      </c>
      <c r="AB745" s="59">
        <f t="shared" si="219"/>
        <v>0</v>
      </c>
      <c r="AC745" s="59">
        <f t="shared" si="220"/>
        <v>1</v>
      </c>
      <c r="AD745" s="59">
        <f t="shared" si="221"/>
        <v>0</v>
      </c>
      <c r="AE745" s="59">
        <f t="shared" si="222"/>
        <v>0</v>
      </c>
      <c r="AF745" s="59">
        <f t="shared" si="223"/>
        <v>0</v>
      </c>
      <c r="AG745" s="59">
        <f t="shared" si="224"/>
        <v>0</v>
      </c>
      <c r="AH745" s="59">
        <v>4</v>
      </c>
      <c r="AI745" s="59">
        <v>1</v>
      </c>
      <c r="AJ745" s="59">
        <f t="shared" si="225"/>
        <v>1</v>
      </c>
      <c r="AK745" s="59">
        <f t="shared" si="226"/>
        <v>0</v>
      </c>
      <c r="AL745" s="59">
        <v>13726</v>
      </c>
      <c r="AM745" s="59">
        <v>21829</v>
      </c>
      <c r="AN745" s="59">
        <v>3</v>
      </c>
      <c r="AO745" s="59">
        <v>1</v>
      </c>
      <c r="AP745" s="59">
        <v>13</v>
      </c>
      <c r="AQ745" s="59">
        <v>3</v>
      </c>
      <c r="AR745" s="59">
        <v>1</v>
      </c>
      <c r="AS745" s="59">
        <v>80</v>
      </c>
      <c r="AT745" s="59">
        <v>0</v>
      </c>
      <c r="AU745" s="59">
        <v>30</v>
      </c>
      <c r="AV745" s="59">
        <v>4</v>
      </c>
      <c r="AW745" s="59">
        <v>3</v>
      </c>
      <c r="AX745" s="59">
        <v>5</v>
      </c>
      <c r="AY745" s="59">
        <v>3</v>
      </c>
      <c r="AZ745" s="59">
        <v>4</v>
      </c>
      <c r="BA745" s="59">
        <v>3</v>
      </c>
      <c r="BB745" s="57">
        <f t="shared" si="227"/>
        <v>54904</v>
      </c>
    </row>
    <row r="746" spans="1:54" x14ac:dyDescent="0.25">
      <c r="A746" s="58">
        <v>37</v>
      </c>
      <c r="B746" s="59">
        <v>1</v>
      </c>
      <c r="C746" s="59">
        <v>1</v>
      </c>
      <c r="D746" s="59">
        <f t="shared" si="209"/>
        <v>1</v>
      </c>
      <c r="E746" s="59">
        <f t="shared" si="210"/>
        <v>0</v>
      </c>
      <c r="F746" s="59">
        <v>1141</v>
      </c>
      <c r="G746" s="59">
        <v>2</v>
      </c>
      <c r="H746" s="59">
        <f t="shared" si="211"/>
        <v>0</v>
      </c>
      <c r="I746" s="59">
        <f t="shared" si="212"/>
        <v>1</v>
      </c>
      <c r="J746" s="59">
        <v>11</v>
      </c>
      <c r="K746" s="59">
        <v>2</v>
      </c>
      <c r="L746" s="59">
        <v>3</v>
      </c>
      <c r="M746" s="59">
        <f t="shared" si="213"/>
        <v>0</v>
      </c>
      <c r="N746" s="59">
        <f t="shared" si="214"/>
        <v>0</v>
      </c>
      <c r="O746" s="59">
        <f t="shared" si="215"/>
        <v>1</v>
      </c>
      <c r="P746" s="59">
        <f t="shared" si="216"/>
        <v>0</v>
      </c>
      <c r="Q746" s="59">
        <f t="shared" si="217"/>
        <v>0</v>
      </c>
      <c r="R746" s="59">
        <v>1</v>
      </c>
      <c r="S746" s="59">
        <v>1033</v>
      </c>
      <c r="T746" s="59">
        <v>1</v>
      </c>
      <c r="U746" s="59">
        <v>0</v>
      </c>
      <c r="V746" s="59">
        <v>61</v>
      </c>
      <c r="W746" s="59">
        <v>1</v>
      </c>
      <c r="X746" s="59">
        <v>2</v>
      </c>
      <c r="Y746" s="59">
        <v>5</v>
      </c>
      <c r="Z746" s="59">
        <f t="shared" si="218"/>
        <v>0</v>
      </c>
      <c r="AA746" s="59">
        <f>IF('Updated Dummy'!Y746=2,1,0)</f>
        <v>0</v>
      </c>
      <c r="AB746" s="59">
        <f t="shared" si="219"/>
        <v>0</v>
      </c>
      <c r="AC746" s="59">
        <f t="shared" si="220"/>
        <v>0</v>
      </c>
      <c r="AD746" s="59">
        <f t="shared" si="221"/>
        <v>1</v>
      </c>
      <c r="AE746" s="59">
        <f t="shared" si="222"/>
        <v>0</v>
      </c>
      <c r="AF746" s="59">
        <f t="shared" si="223"/>
        <v>0</v>
      </c>
      <c r="AG746" s="59">
        <f t="shared" si="224"/>
        <v>0</v>
      </c>
      <c r="AH746" s="59">
        <v>2</v>
      </c>
      <c r="AI746" s="59">
        <v>2</v>
      </c>
      <c r="AJ746" s="59">
        <f t="shared" si="225"/>
        <v>0</v>
      </c>
      <c r="AK746" s="59">
        <f t="shared" si="226"/>
        <v>1</v>
      </c>
      <c r="AL746" s="59">
        <v>4777</v>
      </c>
      <c r="AM746" s="59">
        <v>14382</v>
      </c>
      <c r="AN746" s="59">
        <v>5</v>
      </c>
      <c r="AO746" s="59">
        <v>0</v>
      </c>
      <c r="AP746" s="59">
        <v>15</v>
      </c>
      <c r="AQ746" s="59">
        <v>3</v>
      </c>
      <c r="AR746" s="59">
        <v>1</v>
      </c>
      <c r="AS746" s="59">
        <v>80</v>
      </c>
      <c r="AT746" s="59">
        <v>0</v>
      </c>
      <c r="AU746" s="59">
        <v>15</v>
      </c>
      <c r="AV746" s="59">
        <v>2</v>
      </c>
      <c r="AW746" s="59">
        <v>1</v>
      </c>
      <c r="AX746" s="59">
        <v>1</v>
      </c>
      <c r="AY746" s="59">
        <v>0</v>
      </c>
      <c r="AZ746" s="59">
        <v>0</v>
      </c>
      <c r="BA746" s="59">
        <v>0</v>
      </c>
      <c r="BB746" s="57">
        <f t="shared" si="227"/>
        <v>9554</v>
      </c>
    </row>
    <row r="747" spans="1:54" x14ac:dyDescent="0.25">
      <c r="A747" s="58">
        <v>55</v>
      </c>
      <c r="B747" s="59">
        <v>0</v>
      </c>
      <c r="C747" s="59">
        <v>2</v>
      </c>
      <c r="D747" s="59">
        <f t="shared" si="209"/>
        <v>0</v>
      </c>
      <c r="E747" s="59">
        <f t="shared" si="210"/>
        <v>1</v>
      </c>
      <c r="F747" s="59">
        <v>135</v>
      </c>
      <c r="G747" s="59">
        <v>2</v>
      </c>
      <c r="H747" s="59">
        <f t="shared" si="211"/>
        <v>0</v>
      </c>
      <c r="I747" s="59">
        <f t="shared" si="212"/>
        <v>1</v>
      </c>
      <c r="J747" s="59">
        <v>18</v>
      </c>
      <c r="K747" s="59">
        <v>4</v>
      </c>
      <c r="L747" s="59">
        <v>3</v>
      </c>
      <c r="M747" s="59">
        <f t="shared" si="213"/>
        <v>0</v>
      </c>
      <c r="N747" s="59">
        <f t="shared" si="214"/>
        <v>0</v>
      </c>
      <c r="O747" s="59">
        <f t="shared" si="215"/>
        <v>1</v>
      </c>
      <c r="P747" s="59">
        <f t="shared" si="216"/>
        <v>0</v>
      </c>
      <c r="Q747" s="59">
        <f t="shared" si="217"/>
        <v>0</v>
      </c>
      <c r="R747" s="59">
        <v>1</v>
      </c>
      <c r="S747" s="59">
        <v>1034</v>
      </c>
      <c r="T747" s="59">
        <v>3</v>
      </c>
      <c r="U747" s="59">
        <v>1</v>
      </c>
      <c r="V747" s="59">
        <v>62</v>
      </c>
      <c r="W747" s="59">
        <v>3</v>
      </c>
      <c r="X747" s="59">
        <v>2</v>
      </c>
      <c r="Y747" s="59">
        <v>5</v>
      </c>
      <c r="Z747" s="59">
        <f t="shared" si="218"/>
        <v>0</v>
      </c>
      <c r="AA747" s="59">
        <f>IF('Updated Dummy'!Y747=2,1,0)</f>
        <v>0</v>
      </c>
      <c r="AB747" s="59">
        <f t="shared" si="219"/>
        <v>0</v>
      </c>
      <c r="AC747" s="59">
        <f t="shared" si="220"/>
        <v>0</v>
      </c>
      <c r="AD747" s="59">
        <f t="shared" si="221"/>
        <v>1</v>
      </c>
      <c r="AE747" s="59">
        <f t="shared" si="222"/>
        <v>0</v>
      </c>
      <c r="AF747" s="59">
        <f t="shared" si="223"/>
        <v>0</v>
      </c>
      <c r="AG747" s="59">
        <f t="shared" si="224"/>
        <v>0</v>
      </c>
      <c r="AH747" s="59">
        <v>2</v>
      </c>
      <c r="AI747" s="59">
        <v>2</v>
      </c>
      <c r="AJ747" s="59">
        <f t="shared" si="225"/>
        <v>0</v>
      </c>
      <c r="AK747" s="59">
        <f t="shared" si="226"/>
        <v>1</v>
      </c>
      <c r="AL747" s="59">
        <v>6385</v>
      </c>
      <c r="AM747" s="59">
        <v>12992</v>
      </c>
      <c r="AN747" s="59">
        <v>3</v>
      </c>
      <c r="AO747" s="59">
        <v>1</v>
      </c>
      <c r="AP747" s="59">
        <v>14</v>
      </c>
      <c r="AQ747" s="59">
        <v>3</v>
      </c>
      <c r="AR747" s="59">
        <v>4</v>
      </c>
      <c r="AS747" s="59">
        <v>80</v>
      </c>
      <c r="AT747" s="59">
        <v>2</v>
      </c>
      <c r="AU747" s="59">
        <v>17</v>
      </c>
      <c r="AV747" s="59">
        <v>3</v>
      </c>
      <c r="AW747" s="59">
        <v>3</v>
      </c>
      <c r="AX747" s="59">
        <v>8</v>
      </c>
      <c r="AY747" s="59">
        <v>7</v>
      </c>
      <c r="AZ747" s="59">
        <v>6</v>
      </c>
      <c r="BA747" s="59">
        <v>7</v>
      </c>
      <c r="BB747" s="57">
        <f t="shared" si="227"/>
        <v>12770</v>
      </c>
    </row>
    <row r="748" spans="1:54" x14ac:dyDescent="0.25">
      <c r="A748" s="58">
        <v>41</v>
      </c>
      <c r="B748" s="59">
        <v>0</v>
      </c>
      <c r="C748" s="59">
        <v>3</v>
      </c>
      <c r="D748" s="59">
        <f t="shared" si="209"/>
        <v>0</v>
      </c>
      <c r="E748" s="59">
        <f t="shared" si="210"/>
        <v>0</v>
      </c>
      <c r="F748" s="59">
        <v>247</v>
      </c>
      <c r="G748" s="59">
        <v>2</v>
      </c>
      <c r="H748" s="59">
        <f t="shared" si="211"/>
        <v>0</v>
      </c>
      <c r="I748" s="59">
        <f t="shared" si="212"/>
        <v>1</v>
      </c>
      <c r="J748" s="59">
        <v>7</v>
      </c>
      <c r="K748" s="59">
        <v>1</v>
      </c>
      <c r="L748" s="59">
        <v>1</v>
      </c>
      <c r="M748" s="59">
        <f t="shared" si="213"/>
        <v>1</v>
      </c>
      <c r="N748" s="59">
        <f t="shared" si="214"/>
        <v>0</v>
      </c>
      <c r="O748" s="59">
        <f t="shared" si="215"/>
        <v>0</v>
      </c>
      <c r="P748" s="59">
        <f t="shared" si="216"/>
        <v>0</v>
      </c>
      <c r="Q748" s="59">
        <f t="shared" si="217"/>
        <v>0</v>
      </c>
      <c r="R748" s="59">
        <v>1</v>
      </c>
      <c r="S748" s="59">
        <v>1035</v>
      </c>
      <c r="T748" s="59">
        <v>2</v>
      </c>
      <c r="U748" s="59">
        <v>0</v>
      </c>
      <c r="V748" s="59">
        <v>55</v>
      </c>
      <c r="W748" s="59">
        <v>1</v>
      </c>
      <c r="X748" s="59">
        <v>5</v>
      </c>
      <c r="Y748" s="59">
        <v>8</v>
      </c>
      <c r="Z748" s="59">
        <f t="shared" si="218"/>
        <v>0</v>
      </c>
      <c r="AA748" s="59">
        <f>IF('Updated Dummy'!Y748=2,1,0)</f>
        <v>0</v>
      </c>
      <c r="AB748" s="59">
        <f t="shared" si="219"/>
        <v>0</v>
      </c>
      <c r="AC748" s="59">
        <f t="shared" si="220"/>
        <v>0</v>
      </c>
      <c r="AD748" s="59">
        <f t="shared" si="221"/>
        <v>0</v>
      </c>
      <c r="AE748" s="59">
        <f t="shared" si="222"/>
        <v>0</v>
      </c>
      <c r="AF748" s="59">
        <f t="shared" si="223"/>
        <v>0</v>
      </c>
      <c r="AG748" s="59">
        <f t="shared" si="224"/>
        <v>1</v>
      </c>
      <c r="AH748" s="59">
        <v>3</v>
      </c>
      <c r="AI748" s="59">
        <v>3</v>
      </c>
      <c r="AJ748" s="59">
        <f t="shared" si="225"/>
        <v>0</v>
      </c>
      <c r="AK748" s="59">
        <f t="shared" si="226"/>
        <v>0</v>
      </c>
      <c r="AL748" s="59">
        <v>19973</v>
      </c>
      <c r="AM748" s="59">
        <v>20284</v>
      </c>
      <c r="AN748" s="59">
        <v>1</v>
      </c>
      <c r="AO748" s="59">
        <v>0</v>
      </c>
      <c r="AP748" s="59">
        <v>22</v>
      </c>
      <c r="AQ748" s="59">
        <v>4</v>
      </c>
      <c r="AR748" s="59">
        <v>2</v>
      </c>
      <c r="AS748" s="59">
        <v>80</v>
      </c>
      <c r="AT748" s="59">
        <v>2</v>
      </c>
      <c r="AU748" s="59">
        <v>21</v>
      </c>
      <c r="AV748" s="59">
        <v>3</v>
      </c>
      <c r="AW748" s="59">
        <v>3</v>
      </c>
      <c r="AX748" s="59">
        <v>21</v>
      </c>
      <c r="AY748" s="59">
        <v>16</v>
      </c>
      <c r="AZ748" s="59">
        <v>5</v>
      </c>
      <c r="BA748" s="59">
        <v>10</v>
      </c>
      <c r="BB748" s="57">
        <f t="shared" si="227"/>
        <v>99865</v>
      </c>
    </row>
    <row r="749" spans="1:54" x14ac:dyDescent="0.25">
      <c r="A749" s="58">
        <v>38</v>
      </c>
      <c r="B749" s="59">
        <v>0</v>
      </c>
      <c r="C749" s="59">
        <v>1</v>
      </c>
      <c r="D749" s="59">
        <f t="shared" si="209"/>
        <v>1</v>
      </c>
      <c r="E749" s="59">
        <f t="shared" si="210"/>
        <v>0</v>
      </c>
      <c r="F749" s="59">
        <v>1035</v>
      </c>
      <c r="G749" s="59">
        <v>1</v>
      </c>
      <c r="H749" s="59">
        <f t="shared" si="211"/>
        <v>1</v>
      </c>
      <c r="I749" s="59">
        <f t="shared" si="212"/>
        <v>0</v>
      </c>
      <c r="J749" s="59">
        <v>3</v>
      </c>
      <c r="K749" s="59">
        <v>4</v>
      </c>
      <c r="L749" s="59">
        <v>1</v>
      </c>
      <c r="M749" s="59">
        <f t="shared" si="213"/>
        <v>1</v>
      </c>
      <c r="N749" s="59">
        <f t="shared" si="214"/>
        <v>0</v>
      </c>
      <c r="O749" s="59">
        <f t="shared" si="215"/>
        <v>0</v>
      </c>
      <c r="P749" s="59">
        <f t="shared" si="216"/>
        <v>0</v>
      </c>
      <c r="Q749" s="59">
        <f t="shared" si="217"/>
        <v>0</v>
      </c>
      <c r="R749" s="59">
        <v>1</v>
      </c>
      <c r="S749" s="59">
        <v>1036</v>
      </c>
      <c r="T749" s="59">
        <v>2</v>
      </c>
      <c r="U749" s="59">
        <v>1</v>
      </c>
      <c r="V749" s="59">
        <v>42</v>
      </c>
      <c r="W749" s="59">
        <v>3</v>
      </c>
      <c r="X749" s="59">
        <v>2</v>
      </c>
      <c r="Y749" s="59">
        <v>1</v>
      </c>
      <c r="Z749" s="59">
        <f t="shared" si="218"/>
        <v>1</v>
      </c>
      <c r="AA749" s="59">
        <f>IF('Updated Dummy'!Y749=2,1,0)</f>
        <v>0</v>
      </c>
      <c r="AB749" s="59">
        <f t="shared" si="219"/>
        <v>0</v>
      </c>
      <c r="AC749" s="59">
        <f t="shared" si="220"/>
        <v>0</v>
      </c>
      <c r="AD749" s="59">
        <f t="shared" si="221"/>
        <v>0</v>
      </c>
      <c r="AE749" s="59">
        <f t="shared" si="222"/>
        <v>0</v>
      </c>
      <c r="AF749" s="59">
        <f t="shared" si="223"/>
        <v>0</v>
      </c>
      <c r="AG749" s="59">
        <f t="shared" si="224"/>
        <v>0</v>
      </c>
      <c r="AH749" s="59">
        <v>4</v>
      </c>
      <c r="AI749" s="59">
        <v>1</v>
      </c>
      <c r="AJ749" s="59">
        <f t="shared" si="225"/>
        <v>1</v>
      </c>
      <c r="AK749" s="59">
        <f t="shared" si="226"/>
        <v>0</v>
      </c>
      <c r="AL749" s="59">
        <v>6861</v>
      </c>
      <c r="AM749" s="59">
        <v>4981</v>
      </c>
      <c r="AN749" s="59">
        <v>8</v>
      </c>
      <c r="AO749" s="59">
        <v>1</v>
      </c>
      <c r="AP749" s="59">
        <v>12</v>
      </c>
      <c r="AQ749" s="59">
        <v>3</v>
      </c>
      <c r="AR749" s="59">
        <v>3</v>
      </c>
      <c r="AS749" s="59">
        <v>80</v>
      </c>
      <c r="AT749" s="59">
        <v>0</v>
      </c>
      <c r="AU749" s="59">
        <v>19</v>
      </c>
      <c r="AV749" s="59">
        <v>1</v>
      </c>
      <c r="AW749" s="59">
        <v>3</v>
      </c>
      <c r="AX749" s="59">
        <v>1</v>
      </c>
      <c r="AY749" s="59">
        <v>0</v>
      </c>
      <c r="AZ749" s="59">
        <v>0</v>
      </c>
      <c r="BA749" s="59">
        <v>0</v>
      </c>
      <c r="BB749" s="57">
        <f t="shared" si="227"/>
        <v>13722</v>
      </c>
    </row>
    <row r="750" spans="1:54" x14ac:dyDescent="0.25">
      <c r="A750" s="58">
        <v>26</v>
      </c>
      <c r="B750" s="59">
        <v>1</v>
      </c>
      <c r="C750" s="59">
        <v>3</v>
      </c>
      <c r="D750" s="59">
        <f t="shared" si="209"/>
        <v>0</v>
      </c>
      <c r="E750" s="59">
        <f t="shared" si="210"/>
        <v>0</v>
      </c>
      <c r="F750" s="59">
        <v>265</v>
      </c>
      <c r="G750" s="59">
        <v>1</v>
      </c>
      <c r="H750" s="59">
        <f t="shared" si="211"/>
        <v>1</v>
      </c>
      <c r="I750" s="59">
        <f t="shared" si="212"/>
        <v>0</v>
      </c>
      <c r="J750" s="59">
        <v>29</v>
      </c>
      <c r="K750" s="59">
        <v>2</v>
      </c>
      <c r="L750" s="59">
        <v>3</v>
      </c>
      <c r="M750" s="59">
        <f t="shared" si="213"/>
        <v>0</v>
      </c>
      <c r="N750" s="59">
        <f t="shared" si="214"/>
        <v>0</v>
      </c>
      <c r="O750" s="59">
        <f t="shared" si="215"/>
        <v>1</v>
      </c>
      <c r="P750" s="59">
        <f t="shared" si="216"/>
        <v>0</v>
      </c>
      <c r="Q750" s="59">
        <f t="shared" si="217"/>
        <v>0</v>
      </c>
      <c r="R750" s="59">
        <v>1</v>
      </c>
      <c r="S750" s="59">
        <v>1037</v>
      </c>
      <c r="T750" s="59">
        <v>2</v>
      </c>
      <c r="U750" s="59">
        <v>1</v>
      </c>
      <c r="V750" s="59">
        <v>79</v>
      </c>
      <c r="W750" s="59">
        <v>1</v>
      </c>
      <c r="X750" s="59">
        <v>2</v>
      </c>
      <c r="Y750" s="59">
        <v>1</v>
      </c>
      <c r="Z750" s="59">
        <f t="shared" si="218"/>
        <v>1</v>
      </c>
      <c r="AA750" s="59">
        <f>IF('Updated Dummy'!Y750=2,1,0)</f>
        <v>0</v>
      </c>
      <c r="AB750" s="59">
        <f t="shared" si="219"/>
        <v>0</v>
      </c>
      <c r="AC750" s="59">
        <f t="shared" si="220"/>
        <v>0</v>
      </c>
      <c r="AD750" s="59">
        <f t="shared" si="221"/>
        <v>0</v>
      </c>
      <c r="AE750" s="59">
        <f t="shared" si="222"/>
        <v>0</v>
      </c>
      <c r="AF750" s="59">
        <f t="shared" si="223"/>
        <v>0</v>
      </c>
      <c r="AG750" s="59">
        <f t="shared" si="224"/>
        <v>0</v>
      </c>
      <c r="AH750" s="59">
        <v>1</v>
      </c>
      <c r="AI750" s="59">
        <v>1</v>
      </c>
      <c r="AJ750" s="59">
        <f t="shared" si="225"/>
        <v>1</v>
      </c>
      <c r="AK750" s="59">
        <f t="shared" si="226"/>
        <v>0</v>
      </c>
      <c r="AL750" s="59">
        <v>4969</v>
      </c>
      <c r="AM750" s="59">
        <v>21813</v>
      </c>
      <c r="AN750" s="59">
        <v>8</v>
      </c>
      <c r="AO750" s="59">
        <v>0</v>
      </c>
      <c r="AP750" s="59">
        <v>18</v>
      </c>
      <c r="AQ750" s="59">
        <v>3</v>
      </c>
      <c r="AR750" s="59">
        <v>4</v>
      </c>
      <c r="AS750" s="59">
        <v>80</v>
      </c>
      <c r="AT750" s="59">
        <v>0</v>
      </c>
      <c r="AU750" s="59">
        <v>7</v>
      </c>
      <c r="AV750" s="59">
        <v>6</v>
      </c>
      <c r="AW750" s="59">
        <v>3</v>
      </c>
      <c r="AX750" s="59">
        <v>2</v>
      </c>
      <c r="AY750" s="59">
        <v>2</v>
      </c>
      <c r="AZ750" s="59">
        <v>2</v>
      </c>
      <c r="BA750" s="59">
        <v>2</v>
      </c>
      <c r="BB750" s="57">
        <f t="shared" si="227"/>
        <v>9938</v>
      </c>
    </row>
    <row r="751" spans="1:54" x14ac:dyDescent="0.25">
      <c r="A751" s="58">
        <v>52</v>
      </c>
      <c r="B751" s="59">
        <v>1</v>
      </c>
      <c r="C751" s="59">
        <v>1</v>
      </c>
      <c r="D751" s="59">
        <f t="shared" si="209"/>
        <v>1</v>
      </c>
      <c r="E751" s="59">
        <f t="shared" si="210"/>
        <v>0</v>
      </c>
      <c r="F751" s="59">
        <v>266</v>
      </c>
      <c r="G751" s="59">
        <v>1</v>
      </c>
      <c r="H751" s="59">
        <f t="shared" si="211"/>
        <v>1</v>
      </c>
      <c r="I751" s="59">
        <f t="shared" si="212"/>
        <v>0</v>
      </c>
      <c r="J751" s="59">
        <v>2</v>
      </c>
      <c r="K751" s="59">
        <v>1</v>
      </c>
      <c r="L751" s="59">
        <v>4</v>
      </c>
      <c r="M751" s="59">
        <f t="shared" si="213"/>
        <v>0</v>
      </c>
      <c r="N751" s="59">
        <f t="shared" si="214"/>
        <v>0</v>
      </c>
      <c r="O751" s="59">
        <f t="shared" si="215"/>
        <v>0</v>
      </c>
      <c r="P751" s="59">
        <f t="shared" si="216"/>
        <v>1</v>
      </c>
      <c r="Q751" s="59">
        <f t="shared" si="217"/>
        <v>0</v>
      </c>
      <c r="R751" s="59">
        <v>1</v>
      </c>
      <c r="S751" s="59">
        <v>1038</v>
      </c>
      <c r="T751" s="59">
        <v>1</v>
      </c>
      <c r="U751" s="59">
        <v>0</v>
      </c>
      <c r="V751" s="59">
        <v>57</v>
      </c>
      <c r="W751" s="59">
        <v>1</v>
      </c>
      <c r="X751" s="59">
        <v>5</v>
      </c>
      <c r="Y751" s="59">
        <v>6</v>
      </c>
      <c r="Z751" s="59">
        <f t="shared" si="218"/>
        <v>0</v>
      </c>
      <c r="AA751" s="59">
        <f>IF('Updated Dummy'!Y751=2,1,0)</f>
        <v>0</v>
      </c>
      <c r="AB751" s="59">
        <f t="shared" si="219"/>
        <v>0</v>
      </c>
      <c r="AC751" s="59">
        <f t="shared" si="220"/>
        <v>0</v>
      </c>
      <c r="AD751" s="59">
        <f t="shared" si="221"/>
        <v>0</v>
      </c>
      <c r="AE751" s="59">
        <f t="shared" si="222"/>
        <v>1</v>
      </c>
      <c r="AF751" s="59">
        <f t="shared" si="223"/>
        <v>0</v>
      </c>
      <c r="AG751" s="59">
        <f t="shared" si="224"/>
        <v>0</v>
      </c>
      <c r="AH751" s="59">
        <v>4</v>
      </c>
      <c r="AI751" s="59">
        <v>2</v>
      </c>
      <c r="AJ751" s="59">
        <f t="shared" si="225"/>
        <v>0</v>
      </c>
      <c r="AK751" s="59">
        <f t="shared" si="226"/>
        <v>1</v>
      </c>
      <c r="AL751" s="59">
        <v>19845</v>
      </c>
      <c r="AM751" s="59">
        <v>25846</v>
      </c>
      <c r="AN751" s="59">
        <v>1</v>
      </c>
      <c r="AO751" s="59">
        <v>0</v>
      </c>
      <c r="AP751" s="59">
        <v>15</v>
      </c>
      <c r="AQ751" s="59">
        <v>3</v>
      </c>
      <c r="AR751" s="59">
        <v>4</v>
      </c>
      <c r="AS751" s="59">
        <v>80</v>
      </c>
      <c r="AT751" s="59">
        <v>1</v>
      </c>
      <c r="AU751" s="59">
        <v>33</v>
      </c>
      <c r="AV751" s="59">
        <v>3</v>
      </c>
      <c r="AW751" s="59">
        <v>3</v>
      </c>
      <c r="AX751" s="59">
        <v>32</v>
      </c>
      <c r="AY751" s="59">
        <v>14</v>
      </c>
      <c r="AZ751" s="59">
        <v>6</v>
      </c>
      <c r="BA751" s="59">
        <v>9</v>
      </c>
      <c r="BB751" s="57">
        <f t="shared" si="227"/>
        <v>99225</v>
      </c>
    </row>
    <row r="752" spans="1:54" x14ac:dyDescent="0.25">
      <c r="A752" s="58">
        <v>44</v>
      </c>
      <c r="B752" s="59">
        <v>0</v>
      </c>
      <c r="C752" s="59">
        <v>1</v>
      </c>
      <c r="D752" s="59">
        <f t="shared" si="209"/>
        <v>1</v>
      </c>
      <c r="E752" s="59">
        <f t="shared" si="210"/>
        <v>0</v>
      </c>
      <c r="F752" s="59">
        <v>1448</v>
      </c>
      <c r="G752" s="59">
        <v>1</v>
      </c>
      <c r="H752" s="59">
        <f t="shared" si="211"/>
        <v>1</v>
      </c>
      <c r="I752" s="59">
        <f t="shared" si="212"/>
        <v>0</v>
      </c>
      <c r="J752" s="59">
        <v>28</v>
      </c>
      <c r="K752" s="59">
        <v>3</v>
      </c>
      <c r="L752" s="59">
        <v>3</v>
      </c>
      <c r="M752" s="59">
        <f t="shared" si="213"/>
        <v>0</v>
      </c>
      <c r="N752" s="59">
        <f t="shared" si="214"/>
        <v>0</v>
      </c>
      <c r="O752" s="59">
        <f t="shared" si="215"/>
        <v>1</v>
      </c>
      <c r="P752" s="59">
        <f t="shared" si="216"/>
        <v>0</v>
      </c>
      <c r="Q752" s="59">
        <f t="shared" si="217"/>
        <v>0</v>
      </c>
      <c r="R752" s="59">
        <v>1</v>
      </c>
      <c r="S752" s="59">
        <v>1039</v>
      </c>
      <c r="T752" s="59">
        <v>4</v>
      </c>
      <c r="U752" s="59">
        <v>0</v>
      </c>
      <c r="V752" s="59">
        <v>53</v>
      </c>
      <c r="W752" s="59">
        <v>4</v>
      </c>
      <c r="X752" s="59">
        <v>4</v>
      </c>
      <c r="Y752" s="59">
        <v>1</v>
      </c>
      <c r="Z752" s="59">
        <f t="shared" si="218"/>
        <v>1</v>
      </c>
      <c r="AA752" s="59">
        <f>IF('Updated Dummy'!Y752=2,1,0)</f>
        <v>0</v>
      </c>
      <c r="AB752" s="59">
        <f t="shared" si="219"/>
        <v>0</v>
      </c>
      <c r="AC752" s="59">
        <f t="shared" si="220"/>
        <v>0</v>
      </c>
      <c r="AD752" s="59">
        <f t="shared" si="221"/>
        <v>0</v>
      </c>
      <c r="AE752" s="59">
        <f t="shared" si="222"/>
        <v>0</v>
      </c>
      <c r="AF752" s="59">
        <f t="shared" si="223"/>
        <v>0</v>
      </c>
      <c r="AG752" s="59">
        <f t="shared" si="224"/>
        <v>0</v>
      </c>
      <c r="AH752" s="59">
        <v>4</v>
      </c>
      <c r="AI752" s="59">
        <v>2</v>
      </c>
      <c r="AJ752" s="59">
        <f t="shared" si="225"/>
        <v>0</v>
      </c>
      <c r="AK752" s="59">
        <f t="shared" si="226"/>
        <v>1</v>
      </c>
      <c r="AL752" s="59">
        <v>13320</v>
      </c>
      <c r="AM752" s="59">
        <v>11737</v>
      </c>
      <c r="AN752" s="59">
        <v>3</v>
      </c>
      <c r="AO752" s="59">
        <v>1</v>
      </c>
      <c r="AP752" s="59">
        <v>18</v>
      </c>
      <c r="AQ752" s="59">
        <v>3</v>
      </c>
      <c r="AR752" s="59">
        <v>3</v>
      </c>
      <c r="AS752" s="59">
        <v>80</v>
      </c>
      <c r="AT752" s="59">
        <v>1</v>
      </c>
      <c r="AU752" s="59">
        <v>23</v>
      </c>
      <c r="AV752" s="59">
        <v>2</v>
      </c>
      <c r="AW752" s="59">
        <v>3</v>
      </c>
      <c r="AX752" s="59">
        <v>12</v>
      </c>
      <c r="AY752" s="59">
        <v>11</v>
      </c>
      <c r="AZ752" s="59">
        <v>11</v>
      </c>
      <c r="BA752" s="59">
        <v>11</v>
      </c>
      <c r="BB752" s="57">
        <f t="shared" si="227"/>
        <v>53280</v>
      </c>
    </row>
    <row r="753" spans="1:54" x14ac:dyDescent="0.25">
      <c r="A753" s="58">
        <v>50</v>
      </c>
      <c r="B753" s="59">
        <v>0</v>
      </c>
      <c r="C753" s="59">
        <v>3</v>
      </c>
      <c r="D753" s="59">
        <f t="shared" si="209"/>
        <v>0</v>
      </c>
      <c r="E753" s="59">
        <f t="shared" si="210"/>
        <v>0</v>
      </c>
      <c r="F753" s="59">
        <v>145</v>
      </c>
      <c r="G753" s="59">
        <v>1</v>
      </c>
      <c r="H753" s="59">
        <f t="shared" si="211"/>
        <v>1</v>
      </c>
      <c r="I753" s="59">
        <f t="shared" si="212"/>
        <v>0</v>
      </c>
      <c r="J753" s="59">
        <v>1</v>
      </c>
      <c r="K753" s="59">
        <v>3</v>
      </c>
      <c r="L753" s="59">
        <v>1</v>
      </c>
      <c r="M753" s="59">
        <f t="shared" si="213"/>
        <v>1</v>
      </c>
      <c r="N753" s="59">
        <f t="shared" si="214"/>
        <v>0</v>
      </c>
      <c r="O753" s="59">
        <f t="shared" si="215"/>
        <v>0</v>
      </c>
      <c r="P753" s="59">
        <f t="shared" si="216"/>
        <v>0</v>
      </c>
      <c r="Q753" s="59">
        <f t="shared" si="217"/>
        <v>0</v>
      </c>
      <c r="R753" s="59">
        <v>1</v>
      </c>
      <c r="S753" s="59">
        <v>1040</v>
      </c>
      <c r="T753" s="59">
        <v>4</v>
      </c>
      <c r="U753" s="59">
        <v>0</v>
      </c>
      <c r="V753" s="59">
        <v>95</v>
      </c>
      <c r="W753" s="59">
        <v>3</v>
      </c>
      <c r="X753" s="59">
        <v>2</v>
      </c>
      <c r="Y753" s="59">
        <v>1</v>
      </c>
      <c r="Z753" s="59">
        <f t="shared" si="218"/>
        <v>1</v>
      </c>
      <c r="AA753" s="59">
        <f>IF('Updated Dummy'!Y753=2,1,0)</f>
        <v>0</v>
      </c>
      <c r="AB753" s="59">
        <f t="shared" si="219"/>
        <v>0</v>
      </c>
      <c r="AC753" s="59">
        <f t="shared" si="220"/>
        <v>0</v>
      </c>
      <c r="AD753" s="59">
        <f t="shared" si="221"/>
        <v>0</v>
      </c>
      <c r="AE753" s="59">
        <f t="shared" si="222"/>
        <v>0</v>
      </c>
      <c r="AF753" s="59">
        <f t="shared" si="223"/>
        <v>0</v>
      </c>
      <c r="AG753" s="59">
        <f t="shared" si="224"/>
        <v>0</v>
      </c>
      <c r="AH753" s="59">
        <v>3</v>
      </c>
      <c r="AI753" s="59">
        <v>2</v>
      </c>
      <c r="AJ753" s="59">
        <f t="shared" si="225"/>
        <v>0</v>
      </c>
      <c r="AK753" s="59">
        <f t="shared" si="226"/>
        <v>1</v>
      </c>
      <c r="AL753" s="59">
        <v>6347</v>
      </c>
      <c r="AM753" s="59">
        <v>24920</v>
      </c>
      <c r="AN753" s="59">
        <v>0</v>
      </c>
      <c r="AO753" s="59">
        <v>0</v>
      </c>
      <c r="AP753" s="59">
        <v>12</v>
      </c>
      <c r="AQ753" s="59">
        <v>3</v>
      </c>
      <c r="AR753" s="59">
        <v>1</v>
      </c>
      <c r="AS753" s="59">
        <v>80</v>
      </c>
      <c r="AT753" s="59">
        <v>1</v>
      </c>
      <c r="AU753" s="59">
        <v>19</v>
      </c>
      <c r="AV753" s="59">
        <v>3</v>
      </c>
      <c r="AW753" s="59">
        <v>3</v>
      </c>
      <c r="AX753" s="59">
        <v>18</v>
      </c>
      <c r="AY753" s="59">
        <v>7</v>
      </c>
      <c r="AZ753" s="59">
        <v>0</v>
      </c>
      <c r="BA753" s="59">
        <v>13</v>
      </c>
      <c r="BB753" s="57">
        <f t="shared" si="227"/>
        <v>12694</v>
      </c>
    </row>
    <row r="754" spans="1:54" x14ac:dyDescent="0.25">
      <c r="A754" s="58">
        <v>36</v>
      </c>
      <c r="B754" s="59">
        <v>1</v>
      </c>
      <c r="C754" s="59">
        <v>1</v>
      </c>
      <c r="D754" s="59">
        <f t="shared" si="209"/>
        <v>1</v>
      </c>
      <c r="E754" s="59">
        <f t="shared" si="210"/>
        <v>0</v>
      </c>
      <c r="F754" s="59">
        <v>885</v>
      </c>
      <c r="G754" s="59">
        <v>2</v>
      </c>
      <c r="H754" s="59">
        <f t="shared" si="211"/>
        <v>0</v>
      </c>
      <c r="I754" s="59">
        <f t="shared" si="212"/>
        <v>1</v>
      </c>
      <c r="J754" s="59">
        <v>16</v>
      </c>
      <c r="K754" s="59">
        <v>4</v>
      </c>
      <c r="L754" s="59">
        <v>1</v>
      </c>
      <c r="M754" s="59">
        <f t="shared" si="213"/>
        <v>1</v>
      </c>
      <c r="N754" s="59">
        <f t="shared" si="214"/>
        <v>0</v>
      </c>
      <c r="O754" s="59">
        <f t="shared" si="215"/>
        <v>0</v>
      </c>
      <c r="P754" s="59">
        <f t="shared" si="216"/>
        <v>0</v>
      </c>
      <c r="Q754" s="59">
        <f t="shared" si="217"/>
        <v>0</v>
      </c>
      <c r="R754" s="59">
        <v>1</v>
      </c>
      <c r="S754" s="59">
        <v>1042</v>
      </c>
      <c r="T754" s="59">
        <v>3</v>
      </c>
      <c r="U754" s="59">
        <v>0</v>
      </c>
      <c r="V754" s="59">
        <v>43</v>
      </c>
      <c r="W754" s="59">
        <v>4</v>
      </c>
      <c r="X754" s="59">
        <v>1</v>
      </c>
      <c r="Y754" s="59">
        <v>3</v>
      </c>
      <c r="Z754" s="59">
        <f t="shared" si="218"/>
        <v>0</v>
      </c>
      <c r="AA754" s="59">
        <f>IF('Updated Dummy'!Y754=2,1,0)</f>
        <v>0</v>
      </c>
      <c r="AB754" s="59">
        <f t="shared" si="219"/>
        <v>1</v>
      </c>
      <c r="AC754" s="59">
        <f t="shared" si="220"/>
        <v>0</v>
      </c>
      <c r="AD754" s="59">
        <f t="shared" si="221"/>
        <v>0</v>
      </c>
      <c r="AE754" s="59">
        <f t="shared" si="222"/>
        <v>0</v>
      </c>
      <c r="AF754" s="59">
        <f t="shared" si="223"/>
        <v>0</v>
      </c>
      <c r="AG754" s="59">
        <f t="shared" si="224"/>
        <v>0</v>
      </c>
      <c r="AH754" s="59">
        <v>1</v>
      </c>
      <c r="AI754" s="59">
        <v>1</v>
      </c>
      <c r="AJ754" s="59">
        <f t="shared" si="225"/>
        <v>1</v>
      </c>
      <c r="AK754" s="59">
        <f t="shared" si="226"/>
        <v>0</v>
      </c>
      <c r="AL754" s="59">
        <v>2743</v>
      </c>
      <c r="AM754" s="59">
        <v>8269</v>
      </c>
      <c r="AN754" s="59">
        <v>1</v>
      </c>
      <c r="AO754" s="59">
        <v>0</v>
      </c>
      <c r="AP754" s="59">
        <v>16</v>
      </c>
      <c r="AQ754" s="59">
        <v>3</v>
      </c>
      <c r="AR754" s="59">
        <v>3</v>
      </c>
      <c r="AS754" s="59">
        <v>80</v>
      </c>
      <c r="AT754" s="59">
        <v>0</v>
      </c>
      <c r="AU754" s="59">
        <v>18</v>
      </c>
      <c r="AV754" s="59">
        <v>1</v>
      </c>
      <c r="AW754" s="59">
        <v>3</v>
      </c>
      <c r="AX754" s="59">
        <v>17</v>
      </c>
      <c r="AY754" s="59">
        <v>13</v>
      </c>
      <c r="AZ754" s="59">
        <v>15</v>
      </c>
      <c r="BA754" s="59">
        <v>14</v>
      </c>
      <c r="BB754" s="57">
        <f t="shared" si="227"/>
        <v>2743</v>
      </c>
    </row>
    <row r="755" spans="1:54" x14ac:dyDescent="0.25">
      <c r="A755" s="58">
        <v>39</v>
      </c>
      <c r="B755" s="59">
        <v>0</v>
      </c>
      <c r="C755" s="59">
        <v>2</v>
      </c>
      <c r="D755" s="59">
        <f t="shared" si="209"/>
        <v>0</v>
      </c>
      <c r="E755" s="59">
        <f t="shared" si="210"/>
        <v>1</v>
      </c>
      <c r="F755" s="59">
        <v>945</v>
      </c>
      <c r="G755" s="59">
        <v>2</v>
      </c>
      <c r="H755" s="59">
        <f t="shared" si="211"/>
        <v>0</v>
      </c>
      <c r="I755" s="59">
        <f t="shared" si="212"/>
        <v>1</v>
      </c>
      <c r="J755" s="59">
        <v>22</v>
      </c>
      <c r="K755" s="59">
        <v>3</v>
      </c>
      <c r="L755" s="59">
        <v>3</v>
      </c>
      <c r="M755" s="59">
        <f t="shared" si="213"/>
        <v>0</v>
      </c>
      <c r="N755" s="59">
        <f t="shared" si="214"/>
        <v>0</v>
      </c>
      <c r="O755" s="59">
        <f t="shared" si="215"/>
        <v>1</v>
      </c>
      <c r="P755" s="59">
        <f t="shared" si="216"/>
        <v>0</v>
      </c>
      <c r="Q755" s="59">
        <f t="shared" si="217"/>
        <v>0</v>
      </c>
      <c r="R755" s="59">
        <v>1</v>
      </c>
      <c r="S755" s="59">
        <v>1043</v>
      </c>
      <c r="T755" s="59">
        <v>4</v>
      </c>
      <c r="U755" s="59">
        <v>0</v>
      </c>
      <c r="V755" s="59">
        <v>82</v>
      </c>
      <c r="W755" s="59">
        <v>3</v>
      </c>
      <c r="X755" s="59">
        <v>3</v>
      </c>
      <c r="Y755" s="59">
        <v>4</v>
      </c>
      <c r="Z755" s="59">
        <f t="shared" si="218"/>
        <v>0</v>
      </c>
      <c r="AA755" s="59">
        <f>IF('Updated Dummy'!Y755=2,1,0)</f>
        <v>0</v>
      </c>
      <c r="AB755" s="59">
        <f t="shared" si="219"/>
        <v>0</v>
      </c>
      <c r="AC755" s="59">
        <f t="shared" si="220"/>
        <v>1</v>
      </c>
      <c r="AD755" s="59">
        <f t="shared" si="221"/>
        <v>0</v>
      </c>
      <c r="AE755" s="59">
        <f t="shared" si="222"/>
        <v>0</v>
      </c>
      <c r="AF755" s="59">
        <f t="shared" si="223"/>
        <v>0</v>
      </c>
      <c r="AG755" s="59">
        <f t="shared" si="224"/>
        <v>0</v>
      </c>
      <c r="AH755" s="59">
        <v>1</v>
      </c>
      <c r="AI755" s="59">
        <v>1</v>
      </c>
      <c r="AJ755" s="59">
        <f t="shared" si="225"/>
        <v>1</v>
      </c>
      <c r="AK755" s="59">
        <f t="shared" si="226"/>
        <v>0</v>
      </c>
      <c r="AL755" s="59">
        <v>10880</v>
      </c>
      <c r="AM755" s="59">
        <v>5083</v>
      </c>
      <c r="AN755" s="59">
        <v>1</v>
      </c>
      <c r="AO755" s="59">
        <v>1</v>
      </c>
      <c r="AP755" s="59">
        <v>13</v>
      </c>
      <c r="AQ755" s="59">
        <v>3</v>
      </c>
      <c r="AR755" s="59">
        <v>3</v>
      </c>
      <c r="AS755" s="59">
        <v>80</v>
      </c>
      <c r="AT755" s="59">
        <v>0</v>
      </c>
      <c r="AU755" s="59">
        <v>21</v>
      </c>
      <c r="AV755" s="59">
        <v>2</v>
      </c>
      <c r="AW755" s="59">
        <v>3</v>
      </c>
      <c r="AX755" s="59">
        <v>21</v>
      </c>
      <c r="AY755" s="59">
        <v>6</v>
      </c>
      <c r="AZ755" s="59">
        <v>2</v>
      </c>
      <c r="BA755" s="59">
        <v>8</v>
      </c>
      <c r="BB755" s="57">
        <f t="shared" si="227"/>
        <v>32640</v>
      </c>
    </row>
    <row r="756" spans="1:54" x14ac:dyDescent="0.25">
      <c r="A756" s="58">
        <v>33</v>
      </c>
      <c r="B756" s="59">
        <v>0</v>
      </c>
      <c r="C756" s="59">
        <v>3</v>
      </c>
      <c r="D756" s="59">
        <f t="shared" si="209"/>
        <v>0</v>
      </c>
      <c r="E756" s="59">
        <f t="shared" si="210"/>
        <v>0</v>
      </c>
      <c r="F756" s="59">
        <v>1038</v>
      </c>
      <c r="G756" s="59">
        <v>1</v>
      </c>
      <c r="H756" s="59">
        <f t="shared" si="211"/>
        <v>1</v>
      </c>
      <c r="I756" s="59">
        <f t="shared" si="212"/>
        <v>0</v>
      </c>
      <c r="J756" s="59">
        <v>8</v>
      </c>
      <c r="K756" s="59">
        <v>1</v>
      </c>
      <c r="L756" s="59">
        <v>1</v>
      </c>
      <c r="M756" s="59">
        <f t="shared" si="213"/>
        <v>1</v>
      </c>
      <c r="N756" s="59">
        <f t="shared" si="214"/>
        <v>0</v>
      </c>
      <c r="O756" s="59">
        <f t="shared" si="215"/>
        <v>0</v>
      </c>
      <c r="P756" s="59">
        <f t="shared" si="216"/>
        <v>0</v>
      </c>
      <c r="Q756" s="59">
        <f t="shared" si="217"/>
        <v>0</v>
      </c>
      <c r="R756" s="59">
        <v>1</v>
      </c>
      <c r="S756" s="59">
        <v>1044</v>
      </c>
      <c r="T756" s="59">
        <v>2</v>
      </c>
      <c r="U756" s="59">
        <v>0</v>
      </c>
      <c r="V756" s="59">
        <v>88</v>
      </c>
      <c r="W756" s="59">
        <v>2</v>
      </c>
      <c r="X756" s="59">
        <v>1</v>
      </c>
      <c r="Y756" s="59">
        <v>7</v>
      </c>
      <c r="Z756" s="59">
        <f t="shared" si="218"/>
        <v>0</v>
      </c>
      <c r="AA756" s="59">
        <f>IF('Updated Dummy'!Y756=2,1,0)</f>
        <v>0</v>
      </c>
      <c r="AB756" s="59">
        <f t="shared" si="219"/>
        <v>0</v>
      </c>
      <c r="AC756" s="59">
        <f t="shared" si="220"/>
        <v>0</v>
      </c>
      <c r="AD756" s="59">
        <f t="shared" si="221"/>
        <v>0</v>
      </c>
      <c r="AE756" s="59">
        <f t="shared" si="222"/>
        <v>0</v>
      </c>
      <c r="AF756" s="59">
        <f t="shared" si="223"/>
        <v>1</v>
      </c>
      <c r="AG756" s="59">
        <f t="shared" si="224"/>
        <v>0</v>
      </c>
      <c r="AH756" s="59">
        <v>4</v>
      </c>
      <c r="AI756" s="59">
        <v>1</v>
      </c>
      <c r="AJ756" s="59">
        <f t="shared" si="225"/>
        <v>1</v>
      </c>
      <c r="AK756" s="59">
        <f t="shared" si="226"/>
        <v>0</v>
      </c>
      <c r="AL756" s="59">
        <v>2342</v>
      </c>
      <c r="AM756" s="59">
        <v>21437</v>
      </c>
      <c r="AN756" s="59">
        <v>0</v>
      </c>
      <c r="AO756" s="59">
        <v>0</v>
      </c>
      <c r="AP756" s="59">
        <v>19</v>
      </c>
      <c r="AQ756" s="59">
        <v>3</v>
      </c>
      <c r="AR756" s="59">
        <v>4</v>
      </c>
      <c r="AS756" s="59">
        <v>80</v>
      </c>
      <c r="AT756" s="59">
        <v>0</v>
      </c>
      <c r="AU756" s="59">
        <v>3</v>
      </c>
      <c r="AV756" s="59">
        <v>2</v>
      </c>
      <c r="AW756" s="59">
        <v>2</v>
      </c>
      <c r="AX756" s="59">
        <v>2</v>
      </c>
      <c r="AY756" s="59">
        <v>2</v>
      </c>
      <c r="AZ756" s="59">
        <v>2</v>
      </c>
      <c r="BA756" s="59">
        <v>2</v>
      </c>
      <c r="BB756" s="57">
        <f t="shared" si="227"/>
        <v>2342</v>
      </c>
    </row>
    <row r="757" spans="1:54" x14ac:dyDescent="0.25">
      <c r="A757" s="58">
        <v>45</v>
      </c>
      <c r="B757" s="59">
        <v>0</v>
      </c>
      <c r="C757" s="59">
        <v>1</v>
      </c>
      <c r="D757" s="59">
        <f t="shared" si="209"/>
        <v>1</v>
      </c>
      <c r="E757" s="59">
        <f t="shared" si="210"/>
        <v>0</v>
      </c>
      <c r="F757" s="59">
        <v>1234</v>
      </c>
      <c r="G757" s="59">
        <v>1</v>
      </c>
      <c r="H757" s="59">
        <f t="shared" si="211"/>
        <v>1</v>
      </c>
      <c r="I757" s="59">
        <f t="shared" si="212"/>
        <v>0</v>
      </c>
      <c r="J757" s="59">
        <v>11</v>
      </c>
      <c r="K757" s="59">
        <v>2</v>
      </c>
      <c r="L757" s="59">
        <v>1</v>
      </c>
      <c r="M757" s="59">
        <f t="shared" si="213"/>
        <v>1</v>
      </c>
      <c r="N757" s="59">
        <f t="shared" si="214"/>
        <v>0</v>
      </c>
      <c r="O757" s="59">
        <f t="shared" si="215"/>
        <v>0</v>
      </c>
      <c r="P757" s="59">
        <f t="shared" si="216"/>
        <v>0</v>
      </c>
      <c r="Q757" s="59">
        <f t="shared" si="217"/>
        <v>0</v>
      </c>
      <c r="R757" s="59">
        <v>1</v>
      </c>
      <c r="S757" s="59">
        <v>1045</v>
      </c>
      <c r="T757" s="59">
        <v>4</v>
      </c>
      <c r="U757" s="59">
        <v>0</v>
      </c>
      <c r="V757" s="59">
        <v>90</v>
      </c>
      <c r="W757" s="59">
        <v>3</v>
      </c>
      <c r="X757" s="59">
        <v>4</v>
      </c>
      <c r="Y757" s="59">
        <v>6</v>
      </c>
      <c r="Z757" s="59">
        <f t="shared" si="218"/>
        <v>0</v>
      </c>
      <c r="AA757" s="59">
        <f>IF('Updated Dummy'!Y757=2,1,0)</f>
        <v>0</v>
      </c>
      <c r="AB757" s="59">
        <f t="shared" si="219"/>
        <v>0</v>
      </c>
      <c r="AC757" s="59">
        <f t="shared" si="220"/>
        <v>0</v>
      </c>
      <c r="AD757" s="59">
        <f t="shared" si="221"/>
        <v>0</v>
      </c>
      <c r="AE757" s="59">
        <f t="shared" si="222"/>
        <v>1</v>
      </c>
      <c r="AF757" s="59">
        <f t="shared" si="223"/>
        <v>0</v>
      </c>
      <c r="AG757" s="59">
        <f t="shared" si="224"/>
        <v>0</v>
      </c>
      <c r="AH757" s="59">
        <v>4</v>
      </c>
      <c r="AI757" s="59">
        <v>2</v>
      </c>
      <c r="AJ757" s="59">
        <f t="shared" si="225"/>
        <v>0</v>
      </c>
      <c r="AK757" s="59">
        <f t="shared" si="226"/>
        <v>1</v>
      </c>
      <c r="AL757" s="59">
        <v>17650</v>
      </c>
      <c r="AM757" s="59">
        <v>5404</v>
      </c>
      <c r="AN757" s="59">
        <v>3</v>
      </c>
      <c r="AO757" s="59">
        <v>0</v>
      </c>
      <c r="AP757" s="59">
        <v>13</v>
      </c>
      <c r="AQ757" s="59">
        <v>3</v>
      </c>
      <c r="AR757" s="59">
        <v>2</v>
      </c>
      <c r="AS757" s="59">
        <v>80</v>
      </c>
      <c r="AT757" s="59">
        <v>1</v>
      </c>
      <c r="AU757" s="59">
        <v>26</v>
      </c>
      <c r="AV757" s="59">
        <v>4</v>
      </c>
      <c r="AW757" s="59">
        <v>4</v>
      </c>
      <c r="AX757" s="59">
        <v>9</v>
      </c>
      <c r="AY757" s="59">
        <v>3</v>
      </c>
      <c r="AZ757" s="59">
        <v>1</v>
      </c>
      <c r="BA757" s="59">
        <v>1</v>
      </c>
      <c r="BB757" s="57">
        <f t="shared" si="227"/>
        <v>70600</v>
      </c>
    </row>
    <row r="758" spans="1:54" x14ac:dyDescent="0.25">
      <c r="A758" s="58">
        <v>32</v>
      </c>
      <c r="B758" s="59">
        <v>0</v>
      </c>
      <c r="C758" s="59">
        <v>3</v>
      </c>
      <c r="D758" s="59">
        <f t="shared" si="209"/>
        <v>0</v>
      </c>
      <c r="E758" s="59">
        <f t="shared" si="210"/>
        <v>0</v>
      </c>
      <c r="F758" s="59">
        <v>1109</v>
      </c>
      <c r="G758" s="59">
        <v>2</v>
      </c>
      <c r="H758" s="59">
        <f t="shared" si="211"/>
        <v>0</v>
      </c>
      <c r="I758" s="59">
        <f t="shared" si="212"/>
        <v>1</v>
      </c>
      <c r="J758" s="59">
        <v>29</v>
      </c>
      <c r="K758" s="59">
        <v>4</v>
      </c>
      <c r="L758" s="59">
        <v>3</v>
      </c>
      <c r="M758" s="59">
        <f t="shared" si="213"/>
        <v>0</v>
      </c>
      <c r="N758" s="59">
        <f t="shared" si="214"/>
        <v>0</v>
      </c>
      <c r="O758" s="59">
        <f t="shared" si="215"/>
        <v>1</v>
      </c>
      <c r="P758" s="59">
        <f t="shared" si="216"/>
        <v>0</v>
      </c>
      <c r="Q758" s="59">
        <f t="shared" si="217"/>
        <v>0</v>
      </c>
      <c r="R758" s="59">
        <v>1</v>
      </c>
      <c r="S758" s="59">
        <v>1046</v>
      </c>
      <c r="T758" s="59">
        <v>4</v>
      </c>
      <c r="U758" s="59">
        <v>0</v>
      </c>
      <c r="V758" s="59">
        <v>69</v>
      </c>
      <c r="W758" s="59">
        <v>3</v>
      </c>
      <c r="X758" s="59">
        <v>1</v>
      </c>
      <c r="Y758" s="59">
        <v>3</v>
      </c>
      <c r="Z758" s="59">
        <f t="shared" si="218"/>
        <v>0</v>
      </c>
      <c r="AA758" s="59">
        <f>IF('Updated Dummy'!Y758=2,1,0)</f>
        <v>0</v>
      </c>
      <c r="AB758" s="59">
        <f t="shared" si="219"/>
        <v>1</v>
      </c>
      <c r="AC758" s="59">
        <f t="shared" si="220"/>
        <v>0</v>
      </c>
      <c r="AD758" s="59">
        <f t="shared" si="221"/>
        <v>0</v>
      </c>
      <c r="AE758" s="59">
        <f t="shared" si="222"/>
        <v>0</v>
      </c>
      <c r="AF758" s="59">
        <f t="shared" si="223"/>
        <v>0</v>
      </c>
      <c r="AG758" s="59">
        <f t="shared" si="224"/>
        <v>0</v>
      </c>
      <c r="AH758" s="59">
        <v>3</v>
      </c>
      <c r="AI758" s="59">
        <v>1</v>
      </c>
      <c r="AJ758" s="59">
        <f t="shared" si="225"/>
        <v>1</v>
      </c>
      <c r="AK758" s="59">
        <f t="shared" si="226"/>
        <v>0</v>
      </c>
      <c r="AL758" s="59">
        <v>4025</v>
      </c>
      <c r="AM758" s="59">
        <v>11135</v>
      </c>
      <c r="AN758" s="59">
        <v>9</v>
      </c>
      <c r="AO758" s="59">
        <v>0</v>
      </c>
      <c r="AP758" s="59">
        <v>12</v>
      </c>
      <c r="AQ758" s="59">
        <v>3</v>
      </c>
      <c r="AR758" s="59">
        <v>2</v>
      </c>
      <c r="AS758" s="59">
        <v>80</v>
      </c>
      <c r="AT758" s="59">
        <v>0</v>
      </c>
      <c r="AU758" s="59">
        <v>10</v>
      </c>
      <c r="AV758" s="59">
        <v>2</v>
      </c>
      <c r="AW758" s="59">
        <v>3</v>
      </c>
      <c r="AX758" s="59">
        <v>8</v>
      </c>
      <c r="AY758" s="59">
        <v>7</v>
      </c>
      <c r="AZ758" s="59">
        <v>7</v>
      </c>
      <c r="BA758" s="59">
        <v>7</v>
      </c>
      <c r="BB758" s="57">
        <f t="shared" si="227"/>
        <v>4025</v>
      </c>
    </row>
    <row r="759" spans="1:54" x14ac:dyDescent="0.25">
      <c r="A759" s="58">
        <v>34</v>
      </c>
      <c r="B759" s="59">
        <v>0</v>
      </c>
      <c r="C759" s="59">
        <v>1</v>
      </c>
      <c r="D759" s="59">
        <f t="shared" si="209"/>
        <v>1</v>
      </c>
      <c r="E759" s="59">
        <f t="shared" si="210"/>
        <v>0</v>
      </c>
      <c r="F759" s="59">
        <v>216</v>
      </c>
      <c r="G759" s="59">
        <v>1</v>
      </c>
      <c r="H759" s="59">
        <f t="shared" si="211"/>
        <v>1</v>
      </c>
      <c r="I759" s="59">
        <f t="shared" si="212"/>
        <v>0</v>
      </c>
      <c r="J759" s="59">
        <v>1</v>
      </c>
      <c r="K759" s="59">
        <v>4</v>
      </c>
      <c r="L759" s="59">
        <v>4</v>
      </c>
      <c r="M759" s="59">
        <f t="shared" si="213"/>
        <v>0</v>
      </c>
      <c r="N759" s="59">
        <f t="shared" si="214"/>
        <v>0</v>
      </c>
      <c r="O759" s="59">
        <f t="shared" si="215"/>
        <v>0</v>
      </c>
      <c r="P759" s="59">
        <f t="shared" si="216"/>
        <v>1</v>
      </c>
      <c r="Q759" s="59">
        <f t="shared" si="217"/>
        <v>0</v>
      </c>
      <c r="R759" s="59">
        <v>1</v>
      </c>
      <c r="S759" s="59">
        <v>1047</v>
      </c>
      <c r="T759" s="59">
        <v>2</v>
      </c>
      <c r="U759" s="59">
        <v>1</v>
      </c>
      <c r="V759" s="59">
        <v>75</v>
      </c>
      <c r="W759" s="59">
        <v>4</v>
      </c>
      <c r="X759" s="59">
        <v>2</v>
      </c>
      <c r="Y759" s="59">
        <v>1</v>
      </c>
      <c r="Z759" s="59">
        <f t="shared" si="218"/>
        <v>1</v>
      </c>
      <c r="AA759" s="59">
        <f>IF('Updated Dummy'!Y759=2,1,0)</f>
        <v>0</v>
      </c>
      <c r="AB759" s="59">
        <f t="shared" si="219"/>
        <v>0</v>
      </c>
      <c r="AC759" s="59">
        <f t="shared" si="220"/>
        <v>0</v>
      </c>
      <c r="AD759" s="59">
        <f t="shared" si="221"/>
        <v>0</v>
      </c>
      <c r="AE759" s="59">
        <f t="shared" si="222"/>
        <v>0</v>
      </c>
      <c r="AF759" s="59">
        <f t="shared" si="223"/>
        <v>0</v>
      </c>
      <c r="AG759" s="59">
        <f t="shared" si="224"/>
        <v>0</v>
      </c>
      <c r="AH759" s="59">
        <v>4</v>
      </c>
      <c r="AI759" s="59">
        <v>3</v>
      </c>
      <c r="AJ759" s="59">
        <f t="shared" si="225"/>
        <v>0</v>
      </c>
      <c r="AK759" s="59">
        <f t="shared" si="226"/>
        <v>0</v>
      </c>
      <c r="AL759" s="59">
        <v>9725</v>
      </c>
      <c r="AM759" s="59">
        <v>12278</v>
      </c>
      <c r="AN759" s="59">
        <v>0</v>
      </c>
      <c r="AO759" s="59">
        <v>0</v>
      </c>
      <c r="AP759" s="59">
        <v>11</v>
      </c>
      <c r="AQ759" s="59">
        <v>3</v>
      </c>
      <c r="AR759" s="59">
        <v>4</v>
      </c>
      <c r="AS759" s="59">
        <v>80</v>
      </c>
      <c r="AT759" s="59">
        <v>1</v>
      </c>
      <c r="AU759" s="59">
        <v>16</v>
      </c>
      <c r="AV759" s="59">
        <v>2</v>
      </c>
      <c r="AW759" s="59">
        <v>2</v>
      </c>
      <c r="AX759" s="59">
        <v>15</v>
      </c>
      <c r="AY759" s="59">
        <v>1</v>
      </c>
      <c r="AZ759" s="59">
        <v>0</v>
      </c>
      <c r="BA759" s="59">
        <v>9</v>
      </c>
      <c r="BB759" s="57">
        <f t="shared" si="227"/>
        <v>19450</v>
      </c>
    </row>
    <row r="760" spans="1:54" x14ac:dyDescent="0.25">
      <c r="A760" s="58">
        <v>59</v>
      </c>
      <c r="B760" s="59">
        <v>0</v>
      </c>
      <c r="C760" s="59">
        <v>1</v>
      </c>
      <c r="D760" s="59">
        <f t="shared" si="209"/>
        <v>1</v>
      </c>
      <c r="E760" s="59">
        <f t="shared" si="210"/>
        <v>0</v>
      </c>
      <c r="F760" s="59">
        <v>1089</v>
      </c>
      <c r="G760" s="59">
        <v>1</v>
      </c>
      <c r="H760" s="59">
        <f t="shared" si="211"/>
        <v>1</v>
      </c>
      <c r="I760" s="59">
        <f t="shared" si="212"/>
        <v>0</v>
      </c>
      <c r="J760" s="59">
        <v>1</v>
      </c>
      <c r="K760" s="59">
        <v>2</v>
      </c>
      <c r="L760" s="59">
        <v>5</v>
      </c>
      <c r="M760" s="59">
        <f t="shared" si="213"/>
        <v>0</v>
      </c>
      <c r="N760" s="59">
        <f t="shared" si="214"/>
        <v>0</v>
      </c>
      <c r="O760" s="59">
        <f t="shared" si="215"/>
        <v>0</v>
      </c>
      <c r="P760" s="59">
        <f t="shared" si="216"/>
        <v>0</v>
      </c>
      <c r="Q760" s="59">
        <f t="shared" si="217"/>
        <v>1</v>
      </c>
      <c r="R760" s="59">
        <v>1</v>
      </c>
      <c r="S760" s="59">
        <v>1048</v>
      </c>
      <c r="T760" s="59">
        <v>2</v>
      </c>
      <c r="U760" s="59">
        <v>1</v>
      </c>
      <c r="V760" s="59">
        <v>66</v>
      </c>
      <c r="W760" s="59">
        <v>3</v>
      </c>
      <c r="X760" s="59">
        <v>3</v>
      </c>
      <c r="Y760" s="59">
        <v>6</v>
      </c>
      <c r="Z760" s="59">
        <f t="shared" si="218"/>
        <v>0</v>
      </c>
      <c r="AA760" s="59">
        <f>IF('Updated Dummy'!Y760=2,1,0)</f>
        <v>0</v>
      </c>
      <c r="AB760" s="59">
        <f t="shared" si="219"/>
        <v>0</v>
      </c>
      <c r="AC760" s="59">
        <f t="shared" si="220"/>
        <v>0</v>
      </c>
      <c r="AD760" s="59">
        <f t="shared" si="221"/>
        <v>0</v>
      </c>
      <c r="AE760" s="59">
        <f t="shared" si="222"/>
        <v>1</v>
      </c>
      <c r="AF760" s="59">
        <f t="shared" si="223"/>
        <v>0</v>
      </c>
      <c r="AG760" s="59">
        <f t="shared" si="224"/>
        <v>0</v>
      </c>
      <c r="AH760" s="59">
        <v>4</v>
      </c>
      <c r="AI760" s="59">
        <v>2</v>
      </c>
      <c r="AJ760" s="59">
        <f t="shared" si="225"/>
        <v>0</v>
      </c>
      <c r="AK760" s="59">
        <f t="shared" si="226"/>
        <v>1</v>
      </c>
      <c r="AL760" s="59">
        <v>11904</v>
      </c>
      <c r="AM760" s="59">
        <v>11038</v>
      </c>
      <c r="AN760" s="59">
        <v>3</v>
      </c>
      <c r="AO760" s="59">
        <v>1</v>
      </c>
      <c r="AP760" s="59">
        <v>14</v>
      </c>
      <c r="AQ760" s="59">
        <v>3</v>
      </c>
      <c r="AR760" s="59">
        <v>3</v>
      </c>
      <c r="AS760" s="59">
        <v>80</v>
      </c>
      <c r="AT760" s="59">
        <v>1</v>
      </c>
      <c r="AU760" s="59">
        <v>14</v>
      </c>
      <c r="AV760" s="59">
        <v>1</v>
      </c>
      <c r="AW760" s="59">
        <v>1</v>
      </c>
      <c r="AX760" s="59">
        <v>6</v>
      </c>
      <c r="AY760" s="59">
        <v>4</v>
      </c>
      <c r="AZ760" s="59">
        <v>0</v>
      </c>
      <c r="BA760" s="59">
        <v>4</v>
      </c>
      <c r="BB760" s="57">
        <f t="shared" si="227"/>
        <v>35712</v>
      </c>
    </row>
    <row r="761" spans="1:54" x14ac:dyDescent="0.25">
      <c r="A761" s="58">
        <v>45</v>
      </c>
      <c r="B761" s="59">
        <v>0</v>
      </c>
      <c r="C761" s="59">
        <v>1</v>
      </c>
      <c r="D761" s="59">
        <f t="shared" si="209"/>
        <v>1</v>
      </c>
      <c r="E761" s="59">
        <f t="shared" si="210"/>
        <v>0</v>
      </c>
      <c r="F761" s="59">
        <v>788</v>
      </c>
      <c r="G761" s="59">
        <v>3</v>
      </c>
      <c r="H761" s="59">
        <f t="shared" si="211"/>
        <v>0</v>
      </c>
      <c r="I761" s="59">
        <f t="shared" si="212"/>
        <v>0</v>
      </c>
      <c r="J761" s="59">
        <v>24</v>
      </c>
      <c r="K761" s="59">
        <v>4</v>
      </c>
      <c r="L761" s="59">
        <v>3</v>
      </c>
      <c r="M761" s="59">
        <f t="shared" si="213"/>
        <v>0</v>
      </c>
      <c r="N761" s="59">
        <f t="shared" si="214"/>
        <v>0</v>
      </c>
      <c r="O761" s="59">
        <f t="shared" si="215"/>
        <v>1</v>
      </c>
      <c r="P761" s="59">
        <f t="shared" si="216"/>
        <v>0</v>
      </c>
      <c r="Q761" s="59">
        <f t="shared" si="217"/>
        <v>0</v>
      </c>
      <c r="R761" s="59">
        <v>1</v>
      </c>
      <c r="S761" s="59">
        <v>1049</v>
      </c>
      <c r="T761" s="59">
        <v>2</v>
      </c>
      <c r="U761" s="59">
        <v>1</v>
      </c>
      <c r="V761" s="59">
        <v>36</v>
      </c>
      <c r="W761" s="59">
        <v>3</v>
      </c>
      <c r="X761" s="59">
        <v>1</v>
      </c>
      <c r="Y761" s="59">
        <v>9</v>
      </c>
      <c r="Z761" s="59">
        <f t="shared" si="218"/>
        <v>0</v>
      </c>
      <c r="AA761" s="59">
        <f>IF('Updated Dummy'!Y761=2,1,0)</f>
        <v>0</v>
      </c>
      <c r="AB761" s="59">
        <f t="shared" si="219"/>
        <v>0</v>
      </c>
      <c r="AC761" s="59">
        <f t="shared" si="220"/>
        <v>0</v>
      </c>
      <c r="AD761" s="59">
        <f t="shared" si="221"/>
        <v>0</v>
      </c>
      <c r="AE761" s="59">
        <f t="shared" si="222"/>
        <v>0</v>
      </c>
      <c r="AF761" s="59">
        <f t="shared" si="223"/>
        <v>0</v>
      </c>
      <c r="AG761" s="59">
        <f t="shared" si="224"/>
        <v>0</v>
      </c>
      <c r="AH761" s="59">
        <v>2</v>
      </c>
      <c r="AI761" s="59">
        <v>1</v>
      </c>
      <c r="AJ761" s="59">
        <f t="shared" si="225"/>
        <v>1</v>
      </c>
      <c r="AK761" s="59">
        <f t="shared" si="226"/>
        <v>0</v>
      </c>
      <c r="AL761" s="59">
        <v>2177</v>
      </c>
      <c r="AM761" s="59">
        <v>8318</v>
      </c>
      <c r="AN761" s="59">
        <v>1</v>
      </c>
      <c r="AO761" s="59">
        <v>0</v>
      </c>
      <c r="AP761" s="59">
        <v>16</v>
      </c>
      <c r="AQ761" s="59">
        <v>3</v>
      </c>
      <c r="AR761" s="59">
        <v>1</v>
      </c>
      <c r="AS761" s="59">
        <v>80</v>
      </c>
      <c r="AT761" s="59">
        <v>0</v>
      </c>
      <c r="AU761" s="59">
        <v>6</v>
      </c>
      <c r="AV761" s="59">
        <v>3</v>
      </c>
      <c r="AW761" s="59">
        <v>3</v>
      </c>
      <c r="AX761" s="59">
        <v>6</v>
      </c>
      <c r="AY761" s="59">
        <v>3</v>
      </c>
      <c r="AZ761" s="59">
        <v>0</v>
      </c>
      <c r="BA761" s="59">
        <v>4</v>
      </c>
      <c r="BB761" s="57">
        <f t="shared" si="227"/>
        <v>2177</v>
      </c>
    </row>
    <row r="762" spans="1:54" x14ac:dyDescent="0.25">
      <c r="A762" s="58">
        <v>53</v>
      </c>
      <c r="B762" s="59">
        <v>0</v>
      </c>
      <c r="C762" s="59">
        <v>2</v>
      </c>
      <c r="D762" s="59">
        <f t="shared" si="209"/>
        <v>0</v>
      </c>
      <c r="E762" s="59">
        <f t="shared" si="210"/>
        <v>1</v>
      </c>
      <c r="F762" s="59">
        <v>124</v>
      </c>
      <c r="G762" s="59">
        <v>1</v>
      </c>
      <c r="H762" s="59">
        <f t="shared" si="211"/>
        <v>1</v>
      </c>
      <c r="I762" s="59">
        <f t="shared" si="212"/>
        <v>0</v>
      </c>
      <c r="J762" s="59">
        <v>2</v>
      </c>
      <c r="K762" s="59">
        <v>3</v>
      </c>
      <c r="L762" s="59">
        <v>4</v>
      </c>
      <c r="M762" s="59">
        <f t="shared" si="213"/>
        <v>0</v>
      </c>
      <c r="N762" s="59">
        <f t="shared" si="214"/>
        <v>0</v>
      </c>
      <c r="O762" s="59">
        <f t="shared" si="215"/>
        <v>0</v>
      </c>
      <c r="P762" s="59">
        <f t="shared" si="216"/>
        <v>1</v>
      </c>
      <c r="Q762" s="59">
        <f t="shared" si="217"/>
        <v>0</v>
      </c>
      <c r="R762" s="59">
        <v>1</v>
      </c>
      <c r="S762" s="59">
        <v>1050</v>
      </c>
      <c r="T762" s="59">
        <v>3</v>
      </c>
      <c r="U762" s="59">
        <v>0</v>
      </c>
      <c r="V762" s="59">
        <v>38</v>
      </c>
      <c r="W762" s="59">
        <v>2</v>
      </c>
      <c r="X762" s="59">
        <v>3</v>
      </c>
      <c r="Y762" s="59">
        <v>1</v>
      </c>
      <c r="Z762" s="59">
        <f t="shared" si="218"/>
        <v>1</v>
      </c>
      <c r="AA762" s="59">
        <f>IF('Updated Dummy'!Y762=2,1,0)</f>
        <v>0</v>
      </c>
      <c r="AB762" s="59">
        <f t="shared" si="219"/>
        <v>0</v>
      </c>
      <c r="AC762" s="59">
        <f t="shared" si="220"/>
        <v>0</v>
      </c>
      <c r="AD762" s="59">
        <f t="shared" si="221"/>
        <v>0</v>
      </c>
      <c r="AE762" s="59">
        <f t="shared" si="222"/>
        <v>0</v>
      </c>
      <c r="AF762" s="59">
        <f t="shared" si="223"/>
        <v>0</v>
      </c>
      <c r="AG762" s="59">
        <f t="shared" si="224"/>
        <v>0</v>
      </c>
      <c r="AH762" s="59">
        <v>2</v>
      </c>
      <c r="AI762" s="59">
        <v>2</v>
      </c>
      <c r="AJ762" s="59">
        <f t="shared" si="225"/>
        <v>0</v>
      </c>
      <c r="AK762" s="59">
        <f t="shared" si="226"/>
        <v>1</v>
      </c>
      <c r="AL762" s="59">
        <v>7525</v>
      </c>
      <c r="AM762" s="59">
        <v>23537</v>
      </c>
      <c r="AN762" s="59">
        <v>2</v>
      </c>
      <c r="AO762" s="59">
        <v>0</v>
      </c>
      <c r="AP762" s="59">
        <v>12</v>
      </c>
      <c r="AQ762" s="59">
        <v>3</v>
      </c>
      <c r="AR762" s="59">
        <v>1</v>
      </c>
      <c r="AS762" s="59">
        <v>80</v>
      </c>
      <c r="AT762" s="59">
        <v>1</v>
      </c>
      <c r="AU762" s="59">
        <v>30</v>
      </c>
      <c r="AV762" s="59">
        <v>2</v>
      </c>
      <c r="AW762" s="59">
        <v>3</v>
      </c>
      <c r="AX762" s="59">
        <v>15</v>
      </c>
      <c r="AY762" s="59">
        <v>7</v>
      </c>
      <c r="AZ762" s="59">
        <v>6</v>
      </c>
      <c r="BA762" s="59">
        <v>12</v>
      </c>
      <c r="BB762" s="57">
        <f t="shared" si="227"/>
        <v>22575</v>
      </c>
    </row>
    <row r="763" spans="1:54" x14ac:dyDescent="0.25">
      <c r="A763" s="58">
        <v>36</v>
      </c>
      <c r="B763" s="59">
        <v>1</v>
      </c>
      <c r="C763" s="59">
        <v>1</v>
      </c>
      <c r="D763" s="59">
        <f t="shared" si="209"/>
        <v>1</v>
      </c>
      <c r="E763" s="59">
        <f t="shared" si="210"/>
        <v>0</v>
      </c>
      <c r="F763" s="59">
        <v>660</v>
      </c>
      <c r="G763" s="59">
        <v>2</v>
      </c>
      <c r="H763" s="59">
        <f t="shared" si="211"/>
        <v>0</v>
      </c>
      <c r="I763" s="59">
        <f t="shared" si="212"/>
        <v>1</v>
      </c>
      <c r="J763" s="59">
        <v>15</v>
      </c>
      <c r="K763" s="59">
        <v>3</v>
      </c>
      <c r="L763" s="59">
        <v>6</v>
      </c>
      <c r="M763" s="59">
        <f t="shared" si="213"/>
        <v>0</v>
      </c>
      <c r="N763" s="59">
        <f t="shared" si="214"/>
        <v>0</v>
      </c>
      <c r="O763" s="59">
        <f t="shared" si="215"/>
        <v>0</v>
      </c>
      <c r="P763" s="59">
        <f t="shared" si="216"/>
        <v>0</v>
      </c>
      <c r="Q763" s="59">
        <f t="shared" si="217"/>
        <v>0</v>
      </c>
      <c r="R763" s="59">
        <v>1</v>
      </c>
      <c r="S763" s="59">
        <v>1052</v>
      </c>
      <c r="T763" s="59">
        <v>1</v>
      </c>
      <c r="U763" s="59">
        <v>1</v>
      </c>
      <c r="V763" s="59">
        <v>81</v>
      </c>
      <c r="W763" s="59">
        <v>3</v>
      </c>
      <c r="X763" s="59">
        <v>2</v>
      </c>
      <c r="Y763" s="59">
        <v>3</v>
      </c>
      <c r="Z763" s="59">
        <f t="shared" si="218"/>
        <v>0</v>
      </c>
      <c r="AA763" s="59">
        <f>IF('Updated Dummy'!Y763=2,1,0)</f>
        <v>0</v>
      </c>
      <c r="AB763" s="59">
        <f t="shared" si="219"/>
        <v>1</v>
      </c>
      <c r="AC763" s="59">
        <f t="shared" si="220"/>
        <v>0</v>
      </c>
      <c r="AD763" s="59">
        <f t="shared" si="221"/>
        <v>0</v>
      </c>
      <c r="AE763" s="59">
        <f t="shared" si="222"/>
        <v>0</v>
      </c>
      <c r="AF763" s="59">
        <f t="shared" si="223"/>
        <v>0</v>
      </c>
      <c r="AG763" s="59">
        <f t="shared" si="224"/>
        <v>0</v>
      </c>
      <c r="AH763" s="59">
        <v>3</v>
      </c>
      <c r="AI763" s="59">
        <v>3</v>
      </c>
      <c r="AJ763" s="59">
        <f t="shared" si="225"/>
        <v>0</v>
      </c>
      <c r="AK763" s="59">
        <f t="shared" si="226"/>
        <v>0</v>
      </c>
      <c r="AL763" s="59">
        <v>4834</v>
      </c>
      <c r="AM763" s="59">
        <v>7858</v>
      </c>
      <c r="AN763" s="59">
        <v>7</v>
      </c>
      <c r="AO763" s="59">
        <v>0</v>
      </c>
      <c r="AP763" s="59">
        <v>14</v>
      </c>
      <c r="AQ763" s="59">
        <v>3</v>
      </c>
      <c r="AR763" s="59">
        <v>2</v>
      </c>
      <c r="AS763" s="59">
        <v>80</v>
      </c>
      <c r="AT763" s="59">
        <v>1</v>
      </c>
      <c r="AU763" s="59">
        <v>9</v>
      </c>
      <c r="AV763" s="59">
        <v>3</v>
      </c>
      <c r="AW763" s="59">
        <v>2</v>
      </c>
      <c r="AX763" s="59">
        <v>1</v>
      </c>
      <c r="AY763" s="59">
        <v>0</v>
      </c>
      <c r="AZ763" s="59">
        <v>0</v>
      </c>
      <c r="BA763" s="59">
        <v>0</v>
      </c>
      <c r="BB763" s="57">
        <f t="shared" si="227"/>
        <v>9668</v>
      </c>
    </row>
    <row r="764" spans="1:54" x14ac:dyDescent="0.25">
      <c r="A764" s="58">
        <v>26</v>
      </c>
      <c r="B764" s="59">
        <v>1</v>
      </c>
      <c r="C764" s="59">
        <v>2</v>
      </c>
      <c r="D764" s="59">
        <f t="shared" si="209"/>
        <v>0</v>
      </c>
      <c r="E764" s="59">
        <f t="shared" si="210"/>
        <v>1</v>
      </c>
      <c r="F764" s="59">
        <v>342</v>
      </c>
      <c r="G764" s="59">
        <v>2</v>
      </c>
      <c r="H764" s="59">
        <f t="shared" si="211"/>
        <v>0</v>
      </c>
      <c r="I764" s="59">
        <f t="shared" si="212"/>
        <v>1</v>
      </c>
      <c r="J764" s="59">
        <v>2</v>
      </c>
      <c r="K764" s="59">
        <v>3</v>
      </c>
      <c r="L764" s="59">
        <v>1</v>
      </c>
      <c r="M764" s="59">
        <f t="shared" si="213"/>
        <v>1</v>
      </c>
      <c r="N764" s="59">
        <f t="shared" si="214"/>
        <v>0</v>
      </c>
      <c r="O764" s="59">
        <f t="shared" si="215"/>
        <v>0</v>
      </c>
      <c r="P764" s="59">
        <f t="shared" si="216"/>
        <v>0</v>
      </c>
      <c r="Q764" s="59">
        <f t="shared" si="217"/>
        <v>0</v>
      </c>
      <c r="R764" s="59">
        <v>1</v>
      </c>
      <c r="S764" s="59">
        <v>1053</v>
      </c>
      <c r="T764" s="59">
        <v>1</v>
      </c>
      <c r="U764" s="59">
        <v>1</v>
      </c>
      <c r="V764" s="59">
        <v>57</v>
      </c>
      <c r="W764" s="59">
        <v>3</v>
      </c>
      <c r="X764" s="59">
        <v>1</v>
      </c>
      <c r="Y764" s="59">
        <v>2</v>
      </c>
      <c r="Z764" s="59">
        <f t="shared" si="218"/>
        <v>0</v>
      </c>
      <c r="AA764" s="59">
        <f>IF('Updated Dummy'!Y764=2,1,0)</f>
        <v>1</v>
      </c>
      <c r="AB764" s="59">
        <f t="shared" si="219"/>
        <v>0</v>
      </c>
      <c r="AC764" s="59">
        <f t="shared" si="220"/>
        <v>0</v>
      </c>
      <c r="AD764" s="59">
        <f t="shared" si="221"/>
        <v>0</v>
      </c>
      <c r="AE764" s="59">
        <f t="shared" si="222"/>
        <v>0</v>
      </c>
      <c r="AF764" s="59">
        <f t="shared" si="223"/>
        <v>0</v>
      </c>
      <c r="AG764" s="59">
        <f t="shared" si="224"/>
        <v>0</v>
      </c>
      <c r="AH764" s="59">
        <v>1</v>
      </c>
      <c r="AI764" s="59">
        <v>2</v>
      </c>
      <c r="AJ764" s="59">
        <f t="shared" si="225"/>
        <v>0</v>
      </c>
      <c r="AK764" s="59">
        <f t="shared" si="226"/>
        <v>1</v>
      </c>
      <c r="AL764" s="59">
        <v>2042</v>
      </c>
      <c r="AM764" s="59">
        <v>15346</v>
      </c>
      <c r="AN764" s="59">
        <v>6</v>
      </c>
      <c r="AO764" s="59">
        <v>1</v>
      </c>
      <c r="AP764" s="59">
        <v>14</v>
      </c>
      <c r="AQ764" s="59">
        <v>3</v>
      </c>
      <c r="AR764" s="59">
        <v>2</v>
      </c>
      <c r="AS764" s="59">
        <v>80</v>
      </c>
      <c r="AT764" s="59">
        <v>1</v>
      </c>
      <c r="AU764" s="59">
        <v>6</v>
      </c>
      <c r="AV764" s="59">
        <v>2</v>
      </c>
      <c r="AW764" s="59">
        <v>3</v>
      </c>
      <c r="AX764" s="59">
        <v>3</v>
      </c>
      <c r="AY764" s="59">
        <v>2</v>
      </c>
      <c r="AZ764" s="59">
        <v>1</v>
      </c>
      <c r="BA764" s="59">
        <v>2</v>
      </c>
      <c r="BB764" s="57">
        <f t="shared" si="227"/>
        <v>2042</v>
      </c>
    </row>
    <row r="765" spans="1:54" x14ac:dyDescent="0.25">
      <c r="A765" s="58">
        <v>34</v>
      </c>
      <c r="B765" s="59">
        <v>0</v>
      </c>
      <c r="C765" s="59">
        <v>1</v>
      </c>
      <c r="D765" s="59">
        <f t="shared" si="209"/>
        <v>1</v>
      </c>
      <c r="E765" s="59">
        <f t="shared" si="210"/>
        <v>0</v>
      </c>
      <c r="F765" s="59">
        <v>1333</v>
      </c>
      <c r="G765" s="59">
        <v>1</v>
      </c>
      <c r="H765" s="59">
        <f t="shared" si="211"/>
        <v>1</v>
      </c>
      <c r="I765" s="59">
        <f t="shared" si="212"/>
        <v>0</v>
      </c>
      <c r="J765" s="59">
        <v>10</v>
      </c>
      <c r="K765" s="59">
        <v>4</v>
      </c>
      <c r="L765" s="59">
        <v>1</v>
      </c>
      <c r="M765" s="59">
        <f t="shared" si="213"/>
        <v>1</v>
      </c>
      <c r="N765" s="59">
        <f t="shared" si="214"/>
        <v>0</v>
      </c>
      <c r="O765" s="59">
        <f t="shared" si="215"/>
        <v>0</v>
      </c>
      <c r="P765" s="59">
        <f t="shared" si="216"/>
        <v>0</v>
      </c>
      <c r="Q765" s="59">
        <f t="shared" si="217"/>
        <v>0</v>
      </c>
      <c r="R765" s="59">
        <v>1</v>
      </c>
      <c r="S765" s="59">
        <v>1055</v>
      </c>
      <c r="T765" s="59">
        <v>3</v>
      </c>
      <c r="U765" s="59">
        <v>0</v>
      </c>
      <c r="V765" s="59">
        <v>87</v>
      </c>
      <c r="W765" s="59">
        <v>3</v>
      </c>
      <c r="X765" s="59">
        <v>1</v>
      </c>
      <c r="Y765" s="59">
        <v>7</v>
      </c>
      <c r="Z765" s="59">
        <f t="shared" si="218"/>
        <v>0</v>
      </c>
      <c r="AA765" s="59">
        <f>IF('Updated Dummy'!Y765=2,1,0)</f>
        <v>0</v>
      </c>
      <c r="AB765" s="59">
        <f t="shared" si="219"/>
        <v>0</v>
      </c>
      <c r="AC765" s="59">
        <f t="shared" si="220"/>
        <v>0</v>
      </c>
      <c r="AD765" s="59">
        <f t="shared" si="221"/>
        <v>0</v>
      </c>
      <c r="AE765" s="59">
        <f t="shared" si="222"/>
        <v>0</v>
      </c>
      <c r="AF765" s="59">
        <f t="shared" si="223"/>
        <v>1</v>
      </c>
      <c r="AG765" s="59">
        <f t="shared" si="224"/>
        <v>0</v>
      </c>
      <c r="AH765" s="59">
        <v>3</v>
      </c>
      <c r="AI765" s="59">
        <v>2</v>
      </c>
      <c r="AJ765" s="59">
        <f t="shared" si="225"/>
        <v>0</v>
      </c>
      <c r="AK765" s="59">
        <f t="shared" si="226"/>
        <v>1</v>
      </c>
      <c r="AL765" s="59">
        <v>2220</v>
      </c>
      <c r="AM765" s="59">
        <v>18410</v>
      </c>
      <c r="AN765" s="59">
        <v>1</v>
      </c>
      <c r="AO765" s="59">
        <v>1</v>
      </c>
      <c r="AP765" s="59">
        <v>19</v>
      </c>
      <c r="AQ765" s="59">
        <v>3</v>
      </c>
      <c r="AR765" s="59">
        <v>4</v>
      </c>
      <c r="AS765" s="59">
        <v>80</v>
      </c>
      <c r="AT765" s="59">
        <v>1</v>
      </c>
      <c r="AU765" s="59">
        <v>1</v>
      </c>
      <c r="AV765" s="59">
        <v>2</v>
      </c>
      <c r="AW765" s="59">
        <v>3</v>
      </c>
      <c r="AX765" s="59">
        <v>1</v>
      </c>
      <c r="AY765" s="59">
        <v>1</v>
      </c>
      <c r="AZ765" s="59">
        <v>0</v>
      </c>
      <c r="BA765" s="59">
        <v>0</v>
      </c>
      <c r="BB765" s="57">
        <f t="shared" si="227"/>
        <v>2220</v>
      </c>
    </row>
    <row r="766" spans="1:54" x14ac:dyDescent="0.25">
      <c r="A766" s="58">
        <v>28</v>
      </c>
      <c r="B766" s="59">
        <v>0</v>
      </c>
      <c r="C766" s="59">
        <v>1</v>
      </c>
      <c r="D766" s="59">
        <f t="shared" si="209"/>
        <v>1</v>
      </c>
      <c r="E766" s="59">
        <f t="shared" si="210"/>
        <v>0</v>
      </c>
      <c r="F766" s="59">
        <v>1144</v>
      </c>
      <c r="G766" s="59">
        <v>1</v>
      </c>
      <c r="H766" s="59">
        <f t="shared" si="211"/>
        <v>1</v>
      </c>
      <c r="I766" s="59">
        <f t="shared" si="212"/>
        <v>0</v>
      </c>
      <c r="J766" s="59">
        <v>10</v>
      </c>
      <c r="K766" s="59">
        <v>1</v>
      </c>
      <c r="L766" s="59">
        <v>3</v>
      </c>
      <c r="M766" s="59">
        <f t="shared" si="213"/>
        <v>0</v>
      </c>
      <c r="N766" s="59">
        <f t="shared" si="214"/>
        <v>0</v>
      </c>
      <c r="O766" s="59">
        <f t="shared" si="215"/>
        <v>1</v>
      </c>
      <c r="P766" s="59">
        <f t="shared" si="216"/>
        <v>0</v>
      </c>
      <c r="Q766" s="59">
        <f t="shared" si="217"/>
        <v>0</v>
      </c>
      <c r="R766" s="59">
        <v>1</v>
      </c>
      <c r="S766" s="59">
        <v>1056</v>
      </c>
      <c r="T766" s="59">
        <v>4</v>
      </c>
      <c r="U766" s="59">
        <v>1</v>
      </c>
      <c r="V766" s="59">
        <v>74</v>
      </c>
      <c r="W766" s="59">
        <v>3</v>
      </c>
      <c r="X766" s="59">
        <v>1</v>
      </c>
      <c r="Y766" s="59">
        <v>7</v>
      </c>
      <c r="Z766" s="59">
        <f t="shared" si="218"/>
        <v>0</v>
      </c>
      <c r="AA766" s="59">
        <f>IF('Updated Dummy'!Y766=2,1,0)</f>
        <v>0</v>
      </c>
      <c r="AB766" s="59">
        <f t="shared" si="219"/>
        <v>0</v>
      </c>
      <c r="AC766" s="59">
        <f t="shared" si="220"/>
        <v>0</v>
      </c>
      <c r="AD766" s="59">
        <f t="shared" si="221"/>
        <v>0</v>
      </c>
      <c r="AE766" s="59">
        <f t="shared" si="222"/>
        <v>0</v>
      </c>
      <c r="AF766" s="59">
        <f t="shared" si="223"/>
        <v>1</v>
      </c>
      <c r="AG766" s="59">
        <f t="shared" si="224"/>
        <v>0</v>
      </c>
      <c r="AH766" s="59">
        <v>2</v>
      </c>
      <c r="AI766" s="59">
        <v>2</v>
      </c>
      <c r="AJ766" s="59">
        <f t="shared" si="225"/>
        <v>0</v>
      </c>
      <c r="AK766" s="59">
        <f t="shared" si="226"/>
        <v>1</v>
      </c>
      <c r="AL766" s="59">
        <v>1052</v>
      </c>
      <c r="AM766" s="59">
        <v>23384</v>
      </c>
      <c r="AN766" s="59">
        <v>1</v>
      </c>
      <c r="AO766" s="59">
        <v>0</v>
      </c>
      <c r="AP766" s="59">
        <v>22</v>
      </c>
      <c r="AQ766" s="59">
        <v>4</v>
      </c>
      <c r="AR766" s="59">
        <v>2</v>
      </c>
      <c r="AS766" s="59">
        <v>80</v>
      </c>
      <c r="AT766" s="59">
        <v>0</v>
      </c>
      <c r="AU766" s="59">
        <v>1</v>
      </c>
      <c r="AV766" s="59">
        <v>5</v>
      </c>
      <c r="AW766" s="59">
        <v>3</v>
      </c>
      <c r="AX766" s="59">
        <v>1</v>
      </c>
      <c r="AY766" s="59">
        <v>0</v>
      </c>
      <c r="AZ766" s="59">
        <v>0</v>
      </c>
      <c r="BA766" s="59">
        <v>0</v>
      </c>
      <c r="BB766" s="57">
        <f t="shared" si="227"/>
        <v>1052</v>
      </c>
    </row>
    <row r="767" spans="1:54" x14ac:dyDescent="0.25">
      <c r="A767" s="58">
        <v>38</v>
      </c>
      <c r="B767" s="59">
        <v>0</v>
      </c>
      <c r="C767" s="59">
        <v>2</v>
      </c>
      <c r="D767" s="59">
        <f t="shared" si="209"/>
        <v>0</v>
      </c>
      <c r="E767" s="59">
        <f t="shared" si="210"/>
        <v>1</v>
      </c>
      <c r="F767" s="59">
        <v>1186</v>
      </c>
      <c r="G767" s="59">
        <v>2</v>
      </c>
      <c r="H767" s="59">
        <f t="shared" si="211"/>
        <v>0</v>
      </c>
      <c r="I767" s="59">
        <f t="shared" si="212"/>
        <v>1</v>
      </c>
      <c r="J767" s="59">
        <v>3</v>
      </c>
      <c r="K767" s="59">
        <v>4</v>
      </c>
      <c r="L767" s="59">
        <v>6</v>
      </c>
      <c r="M767" s="59">
        <f t="shared" si="213"/>
        <v>0</v>
      </c>
      <c r="N767" s="59">
        <f t="shared" si="214"/>
        <v>0</v>
      </c>
      <c r="O767" s="59">
        <f t="shared" si="215"/>
        <v>0</v>
      </c>
      <c r="P767" s="59">
        <f t="shared" si="216"/>
        <v>0</v>
      </c>
      <c r="Q767" s="59">
        <f t="shared" si="217"/>
        <v>0</v>
      </c>
      <c r="R767" s="59">
        <v>1</v>
      </c>
      <c r="S767" s="59">
        <v>1060</v>
      </c>
      <c r="T767" s="59">
        <v>3</v>
      </c>
      <c r="U767" s="59">
        <v>1</v>
      </c>
      <c r="V767" s="59">
        <v>44</v>
      </c>
      <c r="W767" s="59">
        <v>3</v>
      </c>
      <c r="X767" s="59">
        <v>1</v>
      </c>
      <c r="Y767" s="59">
        <v>2</v>
      </c>
      <c r="Z767" s="59">
        <f t="shared" si="218"/>
        <v>0</v>
      </c>
      <c r="AA767" s="59">
        <f>IF('Updated Dummy'!Y767=2,1,0)</f>
        <v>1</v>
      </c>
      <c r="AB767" s="59">
        <f t="shared" si="219"/>
        <v>0</v>
      </c>
      <c r="AC767" s="59">
        <f t="shared" si="220"/>
        <v>0</v>
      </c>
      <c r="AD767" s="59">
        <f t="shared" si="221"/>
        <v>0</v>
      </c>
      <c r="AE767" s="59">
        <f t="shared" si="222"/>
        <v>0</v>
      </c>
      <c r="AF767" s="59">
        <f t="shared" si="223"/>
        <v>0</v>
      </c>
      <c r="AG767" s="59">
        <f t="shared" si="224"/>
        <v>0</v>
      </c>
      <c r="AH767" s="59">
        <v>3</v>
      </c>
      <c r="AI767" s="59">
        <v>2</v>
      </c>
      <c r="AJ767" s="59">
        <f t="shared" si="225"/>
        <v>0</v>
      </c>
      <c r="AK767" s="59">
        <f t="shared" si="226"/>
        <v>1</v>
      </c>
      <c r="AL767" s="59">
        <v>2821</v>
      </c>
      <c r="AM767" s="59">
        <v>2997</v>
      </c>
      <c r="AN767" s="59">
        <v>3</v>
      </c>
      <c r="AO767" s="59">
        <v>0</v>
      </c>
      <c r="AP767" s="59">
        <v>16</v>
      </c>
      <c r="AQ767" s="59">
        <v>3</v>
      </c>
      <c r="AR767" s="59">
        <v>1</v>
      </c>
      <c r="AS767" s="59">
        <v>80</v>
      </c>
      <c r="AT767" s="59">
        <v>1</v>
      </c>
      <c r="AU767" s="59">
        <v>8</v>
      </c>
      <c r="AV767" s="59">
        <v>2</v>
      </c>
      <c r="AW767" s="59">
        <v>3</v>
      </c>
      <c r="AX767" s="59">
        <v>2</v>
      </c>
      <c r="AY767" s="59">
        <v>2</v>
      </c>
      <c r="AZ767" s="59">
        <v>2</v>
      </c>
      <c r="BA767" s="59">
        <v>2</v>
      </c>
      <c r="BB767" s="57">
        <f t="shared" si="227"/>
        <v>2821</v>
      </c>
    </row>
    <row r="768" spans="1:54" x14ac:dyDescent="0.25">
      <c r="A768" s="58">
        <v>50</v>
      </c>
      <c r="B768" s="59">
        <v>0</v>
      </c>
      <c r="C768" s="59">
        <v>1</v>
      </c>
      <c r="D768" s="59">
        <f t="shared" si="209"/>
        <v>1</v>
      </c>
      <c r="E768" s="59">
        <f t="shared" si="210"/>
        <v>0</v>
      </c>
      <c r="F768" s="59">
        <v>1464</v>
      </c>
      <c r="G768" s="59">
        <v>2</v>
      </c>
      <c r="H768" s="59">
        <f t="shared" si="211"/>
        <v>0</v>
      </c>
      <c r="I768" s="59">
        <f t="shared" si="212"/>
        <v>1</v>
      </c>
      <c r="J768" s="59">
        <v>2</v>
      </c>
      <c r="K768" s="59">
        <v>4</v>
      </c>
      <c r="L768" s="59">
        <v>3</v>
      </c>
      <c r="M768" s="59">
        <f t="shared" si="213"/>
        <v>0</v>
      </c>
      <c r="N768" s="59">
        <f t="shared" si="214"/>
        <v>0</v>
      </c>
      <c r="O768" s="59">
        <f t="shared" si="215"/>
        <v>1</v>
      </c>
      <c r="P768" s="59">
        <f t="shared" si="216"/>
        <v>0</v>
      </c>
      <c r="Q768" s="59">
        <f t="shared" si="217"/>
        <v>0</v>
      </c>
      <c r="R768" s="59">
        <v>1</v>
      </c>
      <c r="S768" s="59">
        <v>1061</v>
      </c>
      <c r="T768" s="59">
        <v>2</v>
      </c>
      <c r="U768" s="59">
        <v>1</v>
      </c>
      <c r="V768" s="59">
        <v>62</v>
      </c>
      <c r="W768" s="59">
        <v>3</v>
      </c>
      <c r="X768" s="59">
        <v>5</v>
      </c>
      <c r="Y768" s="59">
        <v>8</v>
      </c>
      <c r="Z768" s="59">
        <f t="shared" si="218"/>
        <v>0</v>
      </c>
      <c r="AA768" s="59">
        <f>IF('Updated Dummy'!Y768=2,1,0)</f>
        <v>0</v>
      </c>
      <c r="AB768" s="59">
        <f t="shared" si="219"/>
        <v>0</v>
      </c>
      <c r="AC768" s="59">
        <f t="shared" si="220"/>
        <v>0</v>
      </c>
      <c r="AD768" s="59">
        <f t="shared" si="221"/>
        <v>0</v>
      </c>
      <c r="AE768" s="59">
        <f t="shared" si="222"/>
        <v>0</v>
      </c>
      <c r="AF768" s="59">
        <f t="shared" si="223"/>
        <v>0</v>
      </c>
      <c r="AG768" s="59">
        <f t="shared" si="224"/>
        <v>1</v>
      </c>
      <c r="AH768" s="59">
        <v>3</v>
      </c>
      <c r="AI768" s="59">
        <v>2</v>
      </c>
      <c r="AJ768" s="59">
        <f t="shared" si="225"/>
        <v>0</v>
      </c>
      <c r="AK768" s="59">
        <f t="shared" si="226"/>
        <v>1</v>
      </c>
      <c r="AL768" s="59">
        <v>19237</v>
      </c>
      <c r="AM768" s="59">
        <v>12853</v>
      </c>
      <c r="AN768" s="59">
        <v>2</v>
      </c>
      <c r="AO768" s="59">
        <v>1</v>
      </c>
      <c r="AP768" s="59">
        <v>11</v>
      </c>
      <c r="AQ768" s="59">
        <v>3</v>
      </c>
      <c r="AR768" s="59">
        <v>4</v>
      </c>
      <c r="AS768" s="59">
        <v>80</v>
      </c>
      <c r="AT768" s="59">
        <v>1</v>
      </c>
      <c r="AU768" s="59">
        <v>29</v>
      </c>
      <c r="AV768" s="59">
        <v>2</v>
      </c>
      <c r="AW768" s="59">
        <v>2</v>
      </c>
      <c r="AX768" s="59">
        <v>8</v>
      </c>
      <c r="AY768" s="59">
        <v>1</v>
      </c>
      <c r="AZ768" s="59">
        <v>7</v>
      </c>
      <c r="BA768" s="59">
        <v>7</v>
      </c>
      <c r="BB768" s="57">
        <f t="shared" si="227"/>
        <v>96185</v>
      </c>
    </row>
    <row r="769" spans="1:54" x14ac:dyDescent="0.25">
      <c r="A769" s="58">
        <v>37</v>
      </c>
      <c r="B769" s="59">
        <v>0</v>
      </c>
      <c r="C769" s="59">
        <v>1</v>
      </c>
      <c r="D769" s="59">
        <f t="shared" si="209"/>
        <v>1</v>
      </c>
      <c r="E769" s="59">
        <f t="shared" si="210"/>
        <v>0</v>
      </c>
      <c r="F769" s="59">
        <v>124</v>
      </c>
      <c r="G769" s="59">
        <v>2</v>
      </c>
      <c r="H769" s="59">
        <f t="shared" si="211"/>
        <v>0</v>
      </c>
      <c r="I769" s="59">
        <f t="shared" si="212"/>
        <v>1</v>
      </c>
      <c r="J769" s="59">
        <v>3</v>
      </c>
      <c r="K769" s="59">
        <v>3</v>
      </c>
      <c r="L769" s="59">
        <v>6</v>
      </c>
      <c r="M769" s="59">
        <f t="shared" si="213"/>
        <v>0</v>
      </c>
      <c r="N769" s="59">
        <f t="shared" si="214"/>
        <v>0</v>
      </c>
      <c r="O769" s="59">
        <f t="shared" si="215"/>
        <v>0</v>
      </c>
      <c r="P769" s="59">
        <f t="shared" si="216"/>
        <v>0</v>
      </c>
      <c r="Q769" s="59">
        <f t="shared" si="217"/>
        <v>0</v>
      </c>
      <c r="R769" s="59">
        <v>1</v>
      </c>
      <c r="S769" s="59">
        <v>1062</v>
      </c>
      <c r="T769" s="59">
        <v>4</v>
      </c>
      <c r="U769" s="59">
        <v>0</v>
      </c>
      <c r="V769" s="59">
        <v>35</v>
      </c>
      <c r="W769" s="59">
        <v>3</v>
      </c>
      <c r="X769" s="59">
        <v>2</v>
      </c>
      <c r="Y769" s="59">
        <v>5</v>
      </c>
      <c r="Z769" s="59">
        <f t="shared" si="218"/>
        <v>0</v>
      </c>
      <c r="AA769" s="59">
        <f>IF('Updated Dummy'!Y769=2,1,0)</f>
        <v>0</v>
      </c>
      <c r="AB769" s="59">
        <f t="shared" si="219"/>
        <v>0</v>
      </c>
      <c r="AC769" s="59">
        <f t="shared" si="220"/>
        <v>0</v>
      </c>
      <c r="AD769" s="59">
        <f t="shared" si="221"/>
        <v>1</v>
      </c>
      <c r="AE769" s="59">
        <f t="shared" si="222"/>
        <v>0</v>
      </c>
      <c r="AF769" s="59">
        <f t="shared" si="223"/>
        <v>0</v>
      </c>
      <c r="AG769" s="59">
        <f t="shared" si="224"/>
        <v>0</v>
      </c>
      <c r="AH769" s="59">
        <v>2</v>
      </c>
      <c r="AI769" s="59">
        <v>1</v>
      </c>
      <c r="AJ769" s="59">
        <f t="shared" si="225"/>
        <v>1</v>
      </c>
      <c r="AK769" s="59">
        <f t="shared" si="226"/>
        <v>0</v>
      </c>
      <c r="AL769" s="59">
        <v>4107</v>
      </c>
      <c r="AM769" s="59">
        <v>13848</v>
      </c>
      <c r="AN769" s="59">
        <v>3</v>
      </c>
      <c r="AO769" s="59">
        <v>0</v>
      </c>
      <c r="AP769" s="59">
        <v>15</v>
      </c>
      <c r="AQ769" s="59">
        <v>3</v>
      </c>
      <c r="AR769" s="59">
        <v>1</v>
      </c>
      <c r="AS769" s="59">
        <v>80</v>
      </c>
      <c r="AT769" s="59">
        <v>0</v>
      </c>
      <c r="AU769" s="59">
        <v>8</v>
      </c>
      <c r="AV769" s="59">
        <v>3</v>
      </c>
      <c r="AW769" s="59">
        <v>2</v>
      </c>
      <c r="AX769" s="59">
        <v>4</v>
      </c>
      <c r="AY769" s="59">
        <v>3</v>
      </c>
      <c r="AZ769" s="59">
        <v>0</v>
      </c>
      <c r="BA769" s="59">
        <v>1</v>
      </c>
      <c r="BB769" s="57">
        <f t="shared" si="227"/>
        <v>8214</v>
      </c>
    </row>
    <row r="770" spans="1:54" x14ac:dyDescent="0.25">
      <c r="A770" s="58">
        <v>40</v>
      </c>
      <c r="B770" s="59">
        <v>0</v>
      </c>
      <c r="C770" s="59">
        <v>1</v>
      </c>
      <c r="D770" s="59">
        <f t="shared" si="209"/>
        <v>1</v>
      </c>
      <c r="E770" s="59">
        <f t="shared" si="210"/>
        <v>0</v>
      </c>
      <c r="F770" s="59">
        <v>300</v>
      </c>
      <c r="G770" s="59">
        <v>1</v>
      </c>
      <c r="H770" s="59">
        <f t="shared" si="211"/>
        <v>1</v>
      </c>
      <c r="I770" s="59">
        <f t="shared" si="212"/>
        <v>0</v>
      </c>
      <c r="J770" s="59">
        <v>26</v>
      </c>
      <c r="K770" s="59">
        <v>3</v>
      </c>
      <c r="L770" s="59">
        <v>4</v>
      </c>
      <c r="M770" s="59">
        <f t="shared" si="213"/>
        <v>0</v>
      </c>
      <c r="N770" s="59">
        <f t="shared" si="214"/>
        <v>0</v>
      </c>
      <c r="O770" s="59">
        <f t="shared" si="215"/>
        <v>0</v>
      </c>
      <c r="P770" s="59">
        <f t="shared" si="216"/>
        <v>1</v>
      </c>
      <c r="Q770" s="59">
        <f t="shared" si="217"/>
        <v>0</v>
      </c>
      <c r="R770" s="59">
        <v>1</v>
      </c>
      <c r="S770" s="59">
        <v>1066</v>
      </c>
      <c r="T770" s="59">
        <v>3</v>
      </c>
      <c r="U770" s="59">
        <v>1</v>
      </c>
      <c r="V770" s="59">
        <v>74</v>
      </c>
      <c r="W770" s="59">
        <v>3</v>
      </c>
      <c r="X770" s="59">
        <v>2</v>
      </c>
      <c r="Y770" s="59">
        <v>1</v>
      </c>
      <c r="Z770" s="59">
        <f t="shared" si="218"/>
        <v>1</v>
      </c>
      <c r="AA770" s="59">
        <f>IF('Updated Dummy'!Y770=2,1,0)</f>
        <v>0</v>
      </c>
      <c r="AB770" s="59">
        <f t="shared" si="219"/>
        <v>0</v>
      </c>
      <c r="AC770" s="59">
        <f t="shared" si="220"/>
        <v>0</v>
      </c>
      <c r="AD770" s="59">
        <f t="shared" si="221"/>
        <v>0</v>
      </c>
      <c r="AE770" s="59">
        <f t="shared" si="222"/>
        <v>0</v>
      </c>
      <c r="AF770" s="59">
        <f t="shared" si="223"/>
        <v>0</v>
      </c>
      <c r="AG770" s="59">
        <f t="shared" si="224"/>
        <v>0</v>
      </c>
      <c r="AH770" s="59">
        <v>1</v>
      </c>
      <c r="AI770" s="59">
        <v>2</v>
      </c>
      <c r="AJ770" s="59">
        <f t="shared" si="225"/>
        <v>0</v>
      </c>
      <c r="AK770" s="59">
        <f t="shared" si="226"/>
        <v>1</v>
      </c>
      <c r="AL770" s="59">
        <v>8396</v>
      </c>
      <c r="AM770" s="59">
        <v>22217</v>
      </c>
      <c r="AN770" s="59">
        <v>1</v>
      </c>
      <c r="AO770" s="59">
        <v>0</v>
      </c>
      <c r="AP770" s="59">
        <v>14</v>
      </c>
      <c r="AQ770" s="59">
        <v>3</v>
      </c>
      <c r="AR770" s="59">
        <v>2</v>
      </c>
      <c r="AS770" s="59">
        <v>80</v>
      </c>
      <c r="AT770" s="59">
        <v>1</v>
      </c>
      <c r="AU770" s="59">
        <v>8</v>
      </c>
      <c r="AV770" s="59">
        <v>3</v>
      </c>
      <c r="AW770" s="59">
        <v>2</v>
      </c>
      <c r="AX770" s="59">
        <v>7</v>
      </c>
      <c r="AY770" s="59">
        <v>7</v>
      </c>
      <c r="AZ770" s="59">
        <v>7</v>
      </c>
      <c r="BA770" s="59">
        <v>5</v>
      </c>
      <c r="BB770" s="57">
        <f t="shared" si="227"/>
        <v>16792</v>
      </c>
    </row>
    <row r="771" spans="1:54" x14ac:dyDescent="0.25">
      <c r="A771" s="58">
        <v>26</v>
      </c>
      <c r="B771" s="59">
        <v>0</v>
      </c>
      <c r="C771" s="59">
        <v>2</v>
      </c>
      <c r="D771" s="59">
        <f t="shared" ref="D771:D834" si="228">IF(C771=1,1,0)</f>
        <v>0</v>
      </c>
      <c r="E771" s="59">
        <f t="shared" ref="E771:E834" si="229">IF(C771=2,1,0)</f>
        <v>1</v>
      </c>
      <c r="F771" s="59">
        <v>921</v>
      </c>
      <c r="G771" s="59">
        <v>2</v>
      </c>
      <c r="H771" s="59">
        <f t="shared" ref="H771:H834" si="230">IF(G771=1,1,0)</f>
        <v>0</v>
      </c>
      <c r="I771" s="59">
        <f t="shared" ref="I771:I834" si="231">IF(G771=2,1,0)</f>
        <v>1</v>
      </c>
      <c r="J771" s="59">
        <v>1</v>
      </c>
      <c r="K771" s="59">
        <v>1</v>
      </c>
      <c r="L771" s="59">
        <v>3</v>
      </c>
      <c r="M771" s="59">
        <f t="shared" ref="M771:M834" si="232">IF(L771=1,1,0)</f>
        <v>0</v>
      </c>
      <c r="N771" s="59">
        <f t="shared" ref="N771:N834" si="233">IF(L771=2,1,0)</f>
        <v>0</v>
      </c>
      <c r="O771" s="59">
        <f t="shared" ref="O771:O834" si="234">IF(L771=3,1,0)</f>
        <v>1</v>
      </c>
      <c r="P771" s="59">
        <f t="shared" ref="P771:P834" si="235">IF(L771=4,1,0)</f>
        <v>0</v>
      </c>
      <c r="Q771" s="59">
        <f t="shared" ref="Q771:Q834" si="236">IF(L771=5,1,0)</f>
        <v>0</v>
      </c>
      <c r="R771" s="59">
        <v>1</v>
      </c>
      <c r="S771" s="59">
        <v>1068</v>
      </c>
      <c r="T771" s="59">
        <v>1</v>
      </c>
      <c r="U771" s="59">
        <v>0</v>
      </c>
      <c r="V771" s="59">
        <v>66</v>
      </c>
      <c r="W771" s="59">
        <v>2</v>
      </c>
      <c r="X771" s="59">
        <v>1</v>
      </c>
      <c r="Y771" s="59">
        <v>2</v>
      </c>
      <c r="Z771" s="59">
        <f t="shared" ref="Z771:Z834" si="237">IF(Y771=1,1,0)</f>
        <v>0</v>
      </c>
      <c r="AA771" s="59">
        <f>IF('Updated Dummy'!Y771=2,1,0)</f>
        <v>1</v>
      </c>
      <c r="AB771" s="59">
        <f t="shared" ref="AB771:AB834" si="238">IF(Y771=3,1,0)</f>
        <v>0</v>
      </c>
      <c r="AC771" s="59">
        <f t="shared" ref="AC771:AC834" si="239">IF(Y771=4,1,0)</f>
        <v>0</v>
      </c>
      <c r="AD771" s="59">
        <f t="shared" ref="AD771:AD834" si="240">IF(Y771=5,1,0)</f>
        <v>0</v>
      </c>
      <c r="AE771" s="59">
        <f t="shared" ref="AE771:AE834" si="241">IF(Y771=6,1,0)</f>
        <v>0</v>
      </c>
      <c r="AF771" s="59">
        <f t="shared" ref="AF771:AF834" si="242">IF(Y771=7,1,0)</f>
        <v>0</v>
      </c>
      <c r="AG771" s="59">
        <f t="shared" ref="AG771:AG834" si="243">IF(Y771=8,1,0)</f>
        <v>0</v>
      </c>
      <c r="AH771" s="59">
        <v>3</v>
      </c>
      <c r="AI771" s="59">
        <v>3</v>
      </c>
      <c r="AJ771" s="59">
        <f t="shared" ref="AJ771:AJ834" si="244">IF(AI771=1,1,0)</f>
        <v>0</v>
      </c>
      <c r="AK771" s="59">
        <f t="shared" ref="AK771:AK834" si="245">IF(AI771=2,1,0)</f>
        <v>0</v>
      </c>
      <c r="AL771" s="59">
        <v>2007</v>
      </c>
      <c r="AM771" s="59">
        <v>25265</v>
      </c>
      <c r="AN771" s="59">
        <v>1</v>
      </c>
      <c r="AO771" s="59">
        <v>0</v>
      </c>
      <c r="AP771" s="59">
        <v>13</v>
      </c>
      <c r="AQ771" s="59">
        <v>3</v>
      </c>
      <c r="AR771" s="59">
        <v>3</v>
      </c>
      <c r="AS771" s="59">
        <v>80</v>
      </c>
      <c r="AT771" s="59">
        <v>2</v>
      </c>
      <c r="AU771" s="59">
        <v>5</v>
      </c>
      <c r="AV771" s="59">
        <v>5</v>
      </c>
      <c r="AW771" s="59">
        <v>3</v>
      </c>
      <c r="AX771" s="59">
        <v>5</v>
      </c>
      <c r="AY771" s="59">
        <v>3</v>
      </c>
      <c r="AZ771" s="59">
        <v>1</v>
      </c>
      <c r="BA771" s="59">
        <v>3</v>
      </c>
      <c r="BB771" s="57">
        <f t="shared" ref="BB771:BB834" si="246">X771*AL771</f>
        <v>2007</v>
      </c>
    </row>
    <row r="772" spans="1:54" x14ac:dyDescent="0.25">
      <c r="A772" s="58">
        <v>46</v>
      </c>
      <c r="B772" s="59">
        <v>0</v>
      </c>
      <c r="C772" s="59">
        <v>1</v>
      </c>
      <c r="D772" s="59">
        <f t="shared" si="228"/>
        <v>1</v>
      </c>
      <c r="E772" s="59">
        <f t="shared" si="229"/>
        <v>0</v>
      </c>
      <c r="F772" s="59">
        <v>430</v>
      </c>
      <c r="G772" s="59">
        <v>2</v>
      </c>
      <c r="H772" s="59">
        <f t="shared" si="230"/>
        <v>0</v>
      </c>
      <c r="I772" s="59">
        <f t="shared" si="231"/>
        <v>1</v>
      </c>
      <c r="J772" s="59">
        <v>1</v>
      </c>
      <c r="K772" s="59">
        <v>4</v>
      </c>
      <c r="L772" s="59">
        <v>3</v>
      </c>
      <c r="M772" s="59">
        <f t="shared" si="232"/>
        <v>0</v>
      </c>
      <c r="N772" s="59">
        <f t="shared" si="233"/>
        <v>0</v>
      </c>
      <c r="O772" s="59">
        <f t="shared" si="234"/>
        <v>1</v>
      </c>
      <c r="P772" s="59">
        <f t="shared" si="235"/>
        <v>0</v>
      </c>
      <c r="Q772" s="59">
        <f t="shared" si="236"/>
        <v>0</v>
      </c>
      <c r="R772" s="59">
        <v>1</v>
      </c>
      <c r="S772" s="59">
        <v>1069</v>
      </c>
      <c r="T772" s="59">
        <v>4</v>
      </c>
      <c r="U772" s="59">
        <v>1</v>
      </c>
      <c r="V772" s="59">
        <v>40</v>
      </c>
      <c r="W772" s="59">
        <v>3</v>
      </c>
      <c r="X772" s="59">
        <v>5</v>
      </c>
      <c r="Y772" s="59">
        <v>8</v>
      </c>
      <c r="Z772" s="59">
        <f t="shared" si="237"/>
        <v>0</v>
      </c>
      <c r="AA772" s="59">
        <f>IF('Updated Dummy'!Y772=2,1,0)</f>
        <v>0</v>
      </c>
      <c r="AB772" s="59">
        <f t="shared" si="238"/>
        <v>0</v>
      </c>
      <c r="AC772" s="59">
        <f t="shared" si="239"/>
        <v>0</v>
      </c>
      <c r="AD772" s="59">
        <f t="shared" si="240"/>
        <v>0</v>
      </c>
      <c r="AE772" s="59">
        <f t="shared" si="241"/>
        <v>0</v>
      </c>
      <c r="AF772" s="59">
        <f t="shared" si="242"/>
        <v>0</v>
      </c>
      <c r="AG772" s="59">
        <f t="shared" si="243"/>
        <v>1</v>
      </c>
      <c r="AH772" s="59">
        <v>4</v>
      </c>
      <c r="AI772" s="59">
        <v>3</v>
      </c>
      <c r="AJ772" s="59">
        <f t="shared" si="244"/>
        <v>0</v>
      </c>
      <c r="AK772" s="59">
        <f t="shared" si="245"/>
        <v>0</v>
      </c>
      <c r="AL772" s="59">
        <v>19627</v>
      </c>
      <c r="AM772" s="59">
        <v>21445</v>
      </c>
      <c r="AN772" s="59">
        <v>9</v>
      </c>
      <c r="AO772" s="59">
        <v>0</v>
      </c>
      <c r="AP772" s="59">
        <v>17</v>
      </c>
      <c r="AQ772" s="59">
        <v>3</v>
      </c>
      <c r="AR772" s="59">
        <v>4</v>
      </c>
      <c r="AS772" s="59">
        <v>80</v>
      </c>
      <c r="AT772" s="59">
        <v>2</v>
      </c>
      <c r="AU772" s="59">
        <v>23</v>
      </c>
      <c r="AV772" s="59">
        <v>0</v>
      </c>
      <c r="AW772" s="59">
        <v>3</v>
      </c>
      <c r="AX772" s="59">
        <v>2</v>
      </c>
      <c r="AY772" s="59">
        <v>2</v>
      </c>
      <c r="AZ772" s="59">
        <v>2</v>
      </c>
      <c r="BA772" s="59">
        <v>2</v>
      </c>
      <c r="BB772" s="57">
        <f t="shared" si="246"/>
        <v>98135</v>
      </c>
    </row>
    <row r="773" spans="1:54" x14ac:dyDescent="0.25">
      <c r="A773" s="58">
        <v>54</v>
      </c>
      <c r="B773" s="59">
        <v>0</v>
      </c>
      <c r="C773" s="59">
        <v>1</v>
      </c>
      <c r="D773" s="59">
        <f t="shared" si="228"/>
        <v>1</v>
      </c>
      <c r="E773" s="59">
        <f t="shared" si="229"/>
        <v>0</v>
      </c>
      <c r="F773" s="59">
        <v>1082</v>
      </c>
      <c r="G773" s="59">
        <v>1</v>
      </c>
      <c r="H773" s="59">
        <f t="shared" si="230"/>
        <v>1</v>
      </c>
      <c r="I773" s="59">
        <f t="shared" si="231"/>
        <v>0</v>
      </c>
      <c r="J773" s="59">
        <v>2</v>
      </c>
      <c r="K773" s="59">
        <v>4</v>
      </c>
      <c r="L773" s="59">
        <v>1</v>
      </c>
      <c r="M773" s="59">
        <f t="shared" si="232"/>
        <v>1</v>
      </c>
      <c r="N773" s="59">
        <f t="shared" si="233"/>
        <v>0</v>
      </c>
      <c r="O773" s="59">
        <f t="shared" si="234"/>
        <v>0</v>
      </c>
      <c r="P773" s="59">
        <f t="shared" si="235"/>
        <v>0</v>
      </c>
      <c r="Q773" s="59">
        <f t="shared" si="236"/>
        <v>0</v>
      </c>
      <c r="R773" s="59">
        <v>1</v>
      </c>
      <c r="S773" s="59">
        <v>1070</v>
      </c>
      <c r="T773" s="59">
        <v>3</v>
      </c>
      <c r="U773" s="59">
        <v>0</v>
      </c>
      <c r="V773" s="59">
        <v>41</v>
      </c>
      <c r="W773" s="59">
        <v>2</v>
      </c>
      <c r="X773" s="59">
        <v>3</v>
      </c>
      <c r="Y773" s="59">
        <v>1</v>
      </c>
      <c r="Z773" s="59">
        <f t="shared" si="237"/>
        <v>1</v>
      </c>
      <c r="AA773" s="59">
        <f>IF('Updated Dummy'!Y773=2,1,0)</f>
        <v>0</v>
      </c>
      <c r="AB773" s="59">
        <f t="shared" si="238"/>
        <v>0</v>
      </c>
      <c r="AC773" s="59">
        <f t="shared" si="239"/>
        <v>0</v>
      </c>
      <c r="AD773" s="59">
        <f t="shared" si="240"/>
        <v>0</v>
      </c>
      <c r="AE773" s="59">
        <f t="shared" si="241"/>
        <v>0</v>
      </c>
      <c r="AF773" s="59">
        <f t="shared" si="242"/>
        <v>0</v>
      </c>
      <c r="AG773" s="59">
        <f t="shared" si="243"/>
        <v>0</v>
      </c>
      <c r="AH773" s="59">
        <v>3</v>
      </c>
      <c r="AI773" s="59">
        <v>2</v>
      </c>
      <c r="AJ773" s="59">
        <f t="shared" si="244"/>
        <v>0</v>
      </c>
      <c r="AK773" s="59">
        <f t="shared" si="245"/>
        <v>1</v>
      </c>
      <c r="AL773" s="59">
        <v>10686</v>
      </c>
      <c r="AM773" s="59">
        <v>8392</v>
      </c>
      <c r="AN773" s="59">
        <v>6</v>
      </c>
      <c r="AO773" s="59">
        <v>0</v>
      </c>
      <c r="AP773" s="59">
        <v>11</v>
      </c>
      <c r="AQ773" s="59">
        <v>3</v>
      </c>
      <c r="AR773" s="59">
        <v>2</v>
      </c>
      <c r="AS773" s="59">
        <v>80</v>
      </c>
      <c r="AT773" s="59">
        <v>1</v>
      </c>
      <c r="AU773" s="59">
        <v>13</v>
      </c>
      <c r="AV773" s="59">
        <v>4</v>
      </c>
      <c r="AW773" s="59">
        <v>3</v>
      </c>
      <c r="AX773" s="59">
        <v>9</v>
      </c>
      <c r="AY773" s="59">
        <v>4</v>
      </c>
      <c r="AZ773" s="59">
        <v>7</v>
      </c>
      <c r="BA773" s="59">
        <v>0</v>
      </c>
      <c r="BB773" s="57">
        <f t="shared" si="246"/>
        <v>32058</v>
      </c>
    </row>
    <row r="774" spans="1:54" x14ac:dyDescent="0.25">
      <c r="A774" s="58">
        <v>56</v>
      </c>
      <c r="B774" s="59">
        <v>0</v>
      </c>
      <c r="C774" s="59">
        <v>2</v>
      </c>
      <c r="D774" s="59">
        <f t="shared" si="228"/>
        <v>0</v>
      </c>
      <c r="E774" s="59">
        <f t="shared" si="229"/>
        <v>1</v>
      </c>
      <c r="F774" s="59">
        <v>1240</v>
      </c>
      <c r="G774" s="59">
        <v>2</v>
      </c>
      <c r="H774" s="59">
        <f t="shared" si="230"/>
        <v>0</v>
      </c>
      <c r="I774" s="59">
        <f t="shared" si="231"/>
        <v>1</v>
      </c>
      <c r="J774" s="59">
        <v>9</v>
      </c>
      <c r="K774" s="59">
        <v>3</v>
      </c>
      <c r="L774" s="59">
        <v>3</v>
      </c>
      <c r="M774" s="59">
        <f t="shared" si="232"/>
        <v>0</v>
      </c>
      <c r="N774" s="59">
        <f t="shared" si="233"/>
        <v>0</v>
      </c>
      <c r="O774" s="59">
        <f t="shared" si="234"/>
        <v>1</v>
      </c>
      <c r="P774" s="59">
        <f t="shared" si="235"/>
        <v>0</v>
      </c>
      <c r="Q774" s="59">
        <f t="shared" si="236"/>
        <v>0</v>
      </c>
      <c r="R774" s="59">
        <v>1</v>
      </c>
      <c r="S774" s="59">
        <v>1071</v>
      </c>
      <c r="T774" s="59">
        <v>1</v>
      </c>
      <c r="U774" s="59">
        <v>0</v>
      </c>
      <c r="V774" s="59">
        <v>63</v>
      </c>
      <c r="W774" s="59">
        <v>3</v>
      </c>
      <c r="X774" s="59">
        <v>1</v>
      </c>
      <c r="Y774" s="59">
        <v>2</v>
      </c>
      <c r="Z774" s="59">
        <f t="shared" si="237"/>
        <v>0</v>
      </c>
      <c r="AA774" s="59">
        <f>IF('Updated Dummy'!Y774=2,1,0)</f>
        <v>1</v>
      </c>
      <c r="AB774" s="59">
        <f t="shared" si="238"/>
        <v>0</v>
      </c>
      <c r="AC774" s="59">
        <f t="shared" si="239"/>
        <v>0</v>
      </c>
      <c r="AD774" s="59">
        <f t="shared" si="240"/>
        <v>0</v>
      </c>
      <c r="AE774" s="59">
        <f t="shared" si="241"/>
        <v>0</v>
      </c>
      <c r="AF774" s="59">
        <f t="shared" si="242"/>
        <v>0</v>
      </c>
      <c r="AG774" s="59">
        <f t="shared" si="243"/>
        <v>0</v>
      </c>
      <c r="AH774" s="59">
        <v>3</v>
      </c>
      <c r="AI774" s="59">
        <v>2</v>
      </c>
      <c r="AJ774" s="59">
        <f t="shared" si="244"/>
        <v>0</v>
      </c>
      <c r="AK774" s="59">
        <f t="shared" si="245"/>
        <v>1</v>
      </c>
      <c r="AL774" s="59">
        <v>2942</v>
      </c>
      <c r="AM774" s="59">
        <v>12154</v>
      </c>
      <c r="AN774" s="59">
        <v>2</v>
      </c>
      <c r="AO774" s="59">
        <v>0</v>
      </c>
      <c r="AP774" s="59">
        <v>19</v>
      </c>
      <c r="AQ774" s="59">
        <v>3</v>
      </c>
      <c r="AR774" s="59">
        <v>2</v>
      </c>
      <c r="AS774" s="59">
        <v>80</v>
      </c>
      <c r="AT774" s="59">
        <v>1</v>
      </c>
      <c r="AU774" s="59">
        <v>18</v>
      </c>
      <c r="AV774" s="59">
        <v>4</v>
      </c>
      <c r="AW774" s="59">
        <v>3</v>
      </c>
      <c r="AX774" s="59">
        <v>5</v>
      </c>
      <c r="AY774" s="59">
        <v>4</v>
      </c>
      <c r="AZ774" s="59">
        <v>0</v>
      </c>
      <c r="BA774" s="59">
        <v>3</v>
      </c>
      <c r="BB774" s="57">
        <f t="shared" si="246"/>
        <v>2942</v>
      </c>
    </row>
    <row r="775" spans="1:54" x14ac:dyDescent="0.25">
      <c r="A775" s="58">
        <v>36</v>
      </c>
      <c r="B775" s="59">
        <v>0</v>
      </c>
      <c r="C775" s="59">
        <v>1</v>
      </c>
      <c r="D775" s="59">
        <f t="shared" si="228"/>
        <v>1</v>
      </c>
      <c r="E775" s="59">
        <f t="shared" si="229"/>
        <v>0</v>
      </c>
      <c r="F775" s="59">
        <v>796</v>
      </c>
      <c r="G775" s="59">
        <v>2</v>
      </c>
      <c r="H775" s="59">
        <f t="shared" si="230"/>
        <v>0</v>
      </c>
      <c r="I775" s="59">
        <f t="shared" si="231"/>
        <v>1</v>
      </c>
      <c r="J775" s="59">
        <v>12</v>
      </c>
      <c r="K775" s="59">
        <v>5</v>
      </c>
      <c r="L775" s="59">
        <v>3</v>
      </c>
      <c r="M775" s="59">
        <f t="shared" si="232"/>
        <v>0</v>
      </c>
      <c r="N775" s="59">
        <f t="shared" si="233"/>
        <v>0</v>
      </c>
      <c r="O775" s="59">
        <f t="shared" si="234"/>
        <v>1</v>
      </c>
      <c r="P775" s="59">
        <f t="shared" si="235"/>
        <v>0</v>
      </c>
      <c r="Q775" s="59">
        <f t="shared" si="236"/>
        <v>0</v>
      </c>
      <c r="R775" s="59">
        <v>1</v>
      </c>
      <c r="S775" s="59">
        <v>1073</v>
      </c>
      <c r="T775" s="59">
        <v>4</v>
      </c>
      <c r="U775" s="59">
        <v>0</v>
      </c>
      <c r="V775" s="59">
        <v>51</v>
      </c>
      <c r="W775" s="59">
        <v>2</v>
      </c>
      <c r="X775" s="59">
        <v>3</v>
      </c>
      <c r="Y775" s="59">
        <v>4</v>
      </c>
      <c r="Z775" s="59">
        <f t="shared" si="237"/>
        <v>0</v>
      </c>
      <c r="AA775" s="59">
        <f>IF('Updated Dummy'!Y775=2,1,0)</f>
        <v>0</v>
      </c>
      <c r="AB775" s="59">
        <f t="shared" si="238"/>
        <v>0</v>
      </c>
      <c r="AC775" s="59">
        <f t="shared" si="239"/>
        <v>1</v>
      </c>
      <c r="AD775" s="59">
        <f t="shared" si="240"/>
        <v>0</v>
      </c>
      <c r="AE775" s="59">
        <f t="shared" si="241"/>
        <v>0</v>
      </c>
      <c r="AF775" s="59">
        <f t="shared" si="242"/>
        <v>0</v>
      </c>
      <c r="AG775" s="59">
        <f t="shared" si="243"/>
        <v>0</v>
      </c>
      <c r="AH775" s="59">
        <v>4</v>
      </c>
      <c r="AI775" s="59">
        <v>1</v>
      </c>
      <c r="AJ775" s="59">
        <f t="shared" si="244"/>
        <v>1</v>
      </c>
      <c r="AK775" s="59">
        <f t="shared" si="245"/>
        <v>0</v>
      </c>
      <c r="AL775" s="59">
        <v>8858</v>
      </c>
      <c r="AM775" s="59">
        <v>15669</v>
      </c>
      <c r="AN775" s="59">
        <v>0</v>
      </c>
      <c r="AO775" s="59">
        <v>0</v>
      </c>
      <c r="AP775" s="59">
        <v>11</v>
      </c>
      <c r="AQ775" s="59">
        <v>3</v>
      </c>
      <c r="AR775" s="59">
        <v>2</v>
      </c>
      <c r="AS775" s="59">
        <v>80</v>
      </c>
      <c r="AT775" s="59">
        <v>0</v>
      </c>
      <c r="AU775" s="59">
        <v>15</v>
      </c>
      <c r="AV775" s="59">
        <v>2</v>
      </c>
      <c r="AW775" s="59">
        <v>2</v>
      </c>
      <c r="AX775" s="59">
        <v>14</v>
      </c>
      <c r="AY775" s="59">
        <v>8</v>
      </c>
      <c r="AZ775" s="59">
        <v>7</v>
      </c>
      <c r="BA775" s="59">
        <v>8</v>
      </c>
      <c r="BB775" s="57">
        <f t="shared" si="246"/>
        <v>26574</v>
      </c>
    </row>
    <row r="776" spans="1:54" x14ac:dyDescent="0.25">
      <c r="A776" s="58">
        <v>55</v>
      </c>
      <c r="B776" s="59">
        <v>0</v>
      </c>
      <c r="C776" s="59">
        <v>3</v>
      </c>
      <c r="D776" s="59">
        <f t="shared" si="228"/>
        <v>0</v>
      </c>
      <c r="E776" s="59">
        <f t="shared" si="229"/>
        <v>0</v>
      </c>
      <c r="F776" s="59">
        <v>444</v>
      </c>
      <c r="G776" s="59">
        <v>2</v>
      </c>
      <c r="H776" s="59">
        <f t="shared" si="230"/>
        <v>0</v>
      </c>
      <c r="I776" s="59">
        <f t="shared" si="231"/>
        <v>1</v>
      </c>
      <c r="J776" s="59">
        <v>2</v>
      </c>
      <c r="K776" s="59">
        <v>1</v>
      </c>
      <c r="L776" s="59">
        <v>3</v>
      </c>
      <c r="M776" s="59">
        <f t="shared" si="232"/>
        <v>0</v>
      </c>
      <c r="N776" s="59">
        <f t="shared" si="233"/>
        <v>0</v>
      </c>
      <c r="O776" s="59">
        <f t="shared" si="234"/>
        <v>1</v>
      </c>
      <c r="P776" s="59">
        <f t="shared" si="235"/>
        <v>0</v>
      </c>
      <c r="Q776" s="59">
        <f t="shared" si="236"/>
        <v>0</v>
      </c>
      <c r="R776" s="59">
        <v>1</v>
      </c>
      <c r="S776" s="59">
        <v>1074</v>
      </c>
      <c r="T776" s="59">
        <v>3</v>
      </c>
      <c r="U776" s="59">
        <v>1</v>
      </c>
      <c r="V776" s="59">
        <v>40</v>
      </c>
      <c r="W776" s="59">
        <v>2</v>
      </c>
      <c r="X776" s="59">
        <v>4</v>
      </c>
      <c r="Y776" s="59">
        <v>6</v>
      </c>
      <c r="Z776" s="59">
        <f t="shared" si="237"/>
        <v>0</v>
      </c>
      <c r="AA776" s="59">
        <f>IF('Updated Dummy'!Y776=2,1,0)</f>
        <v>0</v>
      </c>
      <c r="AB776" s="59">
        <f t="shared" si="238"/>
        <v>0</v>
      </c>
      <c r="AC776" s="59">
        <f t="shared" si="239"/>
        <v>0</v>
      </c>
      <c r="AD776" s="59">
        <f t="shared" si="240"/>
        <v>0</v>
      </c>
      <c r="AE776" s="59">
        <f t="shared" si="241"/>
        <v>1</v>
      </c>
      <c r="AF776" s="59">
        <f t="shared" si="242"/>
        <v>0</v>
      </c>
      <c r="AG776" s="59">
        <f t="shared" si="243"/>
        <v>0</v>
      </c>
      <c r="AH776" s="59">
        <v>1</v>
      </c>
      <c r="AI776" s="59">
        <v>1</v>
      </c>
      <c r="AJ776" s="59">
        <f t="shared" si="244"/>
        <v>1</v>
      </c>
      <c r="AK776" s="59">
        <f t="shared" si="245"/>
        <v>0</v>
      </c>
      <c r="AL776" s="59">
        <v>16756</v>
      </c>
      <c r="AM776" s="59">
        <v>17323</v>
      </c>
      <c r="AN776" s="59">
        <v>7</v>
      </c>
      <c r="AO776" s="59">
        <v>0</v>
      </c>
      <c r="AP776" s="59">
        <v>15</v>
      </c>
      <c r="AQ776" s="59">
        <v>3</v>
      </c>
      <c r="AR776" s="59">
        <v>2</v>
      </c>
      <c r="AS776" s="59">
        <v>80</v>
      </c>
      <c r="AT776" s="59">
        <v>0</v>
      </c>
      <c r="AU776" s="59">
        <v>31</v>
      </c>
      <c r="AV776" s="59">
        <v>3</v>
      </c>
      <c r="AW776" s="59">
        <v>4</v>
      </c>
      <c r="AX776" s="59">
        <v>9</v>
      </c>
      <c r="AY776" s="59">
        <v>7</v>
      </c>
      <c r="AZ776" s="59">
        <v>6</v>
      </c>
      <c r="BA776" s="59">
        <v>2</v>
      </c>
      <c r="BB776" s="57">
        <f t="shared" si="246"/>
        <v>67024</v>
      </c>
    </row>
    <row r="777" spans="1:54" x14ac:dyDescent="0.25">
      <c r="A777" s="58">
        <v>43</v>
      </c>
      <c r="B777" s="59">
        <v>0</v>
      </c>
      <c r="C777" s="59">
        <v>1</v>
      </c>
      <c r="D777" s="59">
        <f t="shared" si="228"/>
        <v>1</v>
      </c>
      <c r="E777" s="59">
        <f t="shared" si="229"/>
        <v>0</v>
      </c>
      <c r="F777" s="59">
        <v>415</v>
      </c>
      <c r="G777" s="59">
        <v>1</v>
      </c>
      <c r="H777" s="59">
        <f t="shared" si="230"/>
        <v>1</v>
      </c>
      <c r="I777" s="59">
        <f t="shared" si="231"/>
        <v>0</v>
      </c>
      <c r="J777" s="59">
        <v>25</v>
      </c>
      <c r="K777" s="59">
        <v>3</v>
      </c>
      <c r="L777" s="59">
        <v>3</v>
      </c>
      <c r="M777" s="59">
        <f t="shared" si="232"/>
        <v>0</v>
      </c>
      <c r="N777" s="59">
        <f t="shared" si="233"/>
        <v>0</v>
      </c>
      <c r="O777" s="59">
        <f t="shared" si="234"/>
        <v>1</v>
      </c>
      <c r="P777" s="59">
        <f t="shared" si="235"/>
        <v>0</v>
      </c>
      <c r="Q777" s="59">
        <f t="shared" si="236"/>
        <v>0</v>
      </c>
      <c r="R777" s="59">
        <v>1</v>
      </c>
      <c r="S777" s="59">
        <v>1076</v>
      </c>
      <c r="T777" s="59">
        <v>3</v>
      </c>
      <c r="U777" s="59">
        <v>1</v>
      </c>
      <c r="V777" s="59">
        <v>79</v>
      </c>
      <c r="W777" s="59">
        <v>2</v>
      </c>
      <c r="X777" s="59">
        <v>3</v>
      </c>
      <c r="Y777" s="59">
        <v>1</v>
      </c>
      <c r="Z777" s="59">
        <f t="shared" si="237"/>
        <v>1</v>
      </c>
      <c r="AA777" s="59">
        <f>IF('Updated Dummy'!Y777=2,1,0)</f>
        <v>0</v>
      </c>
      <c r="AB777" s="59">
        <f t="shared" si="238"/>
        <v>0</v>
      </c>
      <c r="AC777" s="59">
        <f t="shared" si="239"/>
        <v>0</v>
      </c>
      <c r="AD777" s="59">
        <f t="shared" si="240"/>
        <v>0</v>
      </c>
      <c r="AE777" s="59">
        <f t="shared" si="241"/>
        <v>0</v>
      </c>
      <c r="AF777" s="59">
        <f t="shared" si="242"/>
        <v>0</v>
      </c>
      <c r="AG777" s="59">
        <f t="shared" si="243"/>
        <v>0</v>
      </c>
      <c r="AH777" s="59">
        <v>4</v>
      </c>
      <c r="AI777" s="59">
        <v>3</v>
      </c>
      <c r="AJ777" s="59">
        <f t="shared" si="244"/>
        <v>0</v>
      </c>
      <c r="AK777" s="59">
        <f t="shared" si="245"/>
        <v>0</v>
      </c>
      <c r="AL777" s="59">
        <v>10798</v>
      </c>
      <c r="AM777" s="59">
        <v>5268</v>
      </c>
      <c r="AN777" s="59">
        <v>5</v>
      </c>
      <c r="AO777" s="59">
        <v>0</v>
      </c>
      <c r="AP777" s="59">
        <v>13</v>
      </c>
      <c r="AQ777" s="59">
        <v>3</v>
      </c>
      <c r="AR777" s="59">
        <v>3</v>
      </c>
      <c r="AS777" s="59">
        <v>80</v>
      </c>
      <c r="AT777" s="59">
        <v>1</v>
      </c>
      <c r="AU777" s="59">
        <v>18</v>
      </c>
      <c r="AV777" s="59">
        <v>5</v>
      </c>
      <c r="AW777" s="59">
        <v>3</v>
      </c>
      <c r="AX777" s="59">
        <v>1</v>
      </c>
      <c r="AY777" s="59">
        <v>0</v>
      </c>
      <c r="AZ777" s="59">
        <v>0</v>
      </c>
      <c r="BA777" s="59">
        <v>0</v>
      </c>
      <c r="BB777" s="57">
        <f t="shared" si="246"/>
        <v>32394</v>
      </c>
    </row>
    <row r="778" spans="1:54" x14ac:dyDescent="0.25">
      <c r="A778" s="58">
        <v>20</v>
      </c>
      <c r="B778" s="59">
        <v>1</v>
      </c>
      <c r="C778" s="59">
        <v>2</v>
      </c>
      <c r="D778" s="59">
        <f t="shared" si="228"/>
        <v>0</v>
      </c>
      <c r="E778" s="59">
        <f t="shared" si="229"/>
        <v>1</v>
      </c>
      <c r="F778" s="59">
        <v>769</v>
      </c>
      <c r="G778" s="59">
        <v>1</v>
      </c>
      <c r="H778" s="59">
        <f t="shared" si="230"/>
        <v>1</v>
      </c>
      <c r="I778" s="59">
        <f t="shared" si="231"/>
        <v>0</v>
      </c>
      <c r="J778" s="59">
        <v>9</v>
      </c>
      <c r="K778" s="59">
        <v>3</v>
      </c>
      <c r="L778" s="59">
        <v>4</v>
      </c>
      <c r="M778" s="59">
        <f t="shared" si="232"/>
        <v>0</v>
      </c>
      <c r="N778" s="59">
        <f t="shared" si="233"/>
        <v>0</v>
      </c>
      <c r="O778" s="59">
        <f t="shared" si="234"/>
        <v>0</v>
      </c>
      <c r="P778" s="59">
        <f t="shared" si="235"/>
        <v>1</v>
      </c>
      <c r="Q778" s="59">
        <f t="shared" si="236"/>
        <v>0</v>
      </c>
      <c r="R778" s="59">
        <v>1</v>
      </c>
      <c r="S778" s="59">
        <v>1077</v>
      </c>
      <c r="T778" s="59">
        <v>4</v>
      </c>
      <c r="U778" s="59">
        <v>0</v>
      </c>
      <c r="V778" s="59">
        <v>54</v>
      </c>
      <c r="W778" s="59">
        <v>3</v>
      </c>
      <c r="X778" s="59">
        <v>1</v>
      </c>
      <c r="Y778" s="59">
        <v>7</v>
      </c>
      <c r="Z778" s="59">
        <f t="shared" si="237"/>
        <v>0</v>
      </c>
      <c r="AA778" s="59">
        <f>IF('Updated Dummy'!Y778=2,1,0)</f>
        <v>0</v>
      </c>
      <c r="AB778" s="59">
        <f t="shared" si="238"/>
        <v>0</v>
      </c>
      <c r="AC778" s="59">
        <f t="shared" si="239"/>
        <v>0</v>
      </c>
      <c r="AD778" s="59">
        <f t="shared" si="240"/>
        <v>0</v>
      </c>
      <c r="AE778" s="59">
        <f t="shared" si="241"/>
        <v>0</v>
      </c>
      <c r="AF778" s="59">
        <f t="shared" si="242"/>
        <v>1</v>
      </c>
      <c r="AG778" s="59">
        <f t="shared" si="243"/>
        <v>0</v>
      </c>
      <c r="AH778" s="59">
        <v>4</v>
      </c>
      <c r="AI778" s="59">
        <v>1</v>
      </c>
      <c r="AJ778" s="59">
        <f t="shared" si="244"/>
        <v>1</v>
      </c>
      <c r="AK778" s="59">
        <f t="shared" si="245"/>
        <v>0</v>
      </c>
      <c r="AL778" s="59">
        <v>2323</v>
      </c>
      <c r="AM778" s="59">
        <v>17205</v>
      </c>
      <c r="AN778" s="59">
        <v>1</v>
      </c>
      <c r="AO778" s="59">
        <v>1</v>
      </c>
      <c r="AP778" s="59">
        <v>14</v>
      </c>
      <c r="AQ778" s="59">
        <v>3</v>
      </c>
      <c r="AR778" s="59">
        <v>2</v>
      </c>
      <c r="AS778" s="59">
        <v>80</v>
      </c>
      <c r="AT778" s="59">
        <v>0</v>
      </c>
      <c r="AU778" s="59">
        <v>2</v>
      </c>
      <c r="AV778" s="59">
        <v>3</v>
      </c>
      <c r="AW778" s="59">
        <v>3</v>
      </c>
      <c r="AX778" s="59">
        <v>2</v>
      </c>
      <c r="AY778" s="59">
        <v>2</v>
      </c>
      <c r="AZ778" s="59">
        <v>0</v>
      </c>
      <c r="BA778" s="59">
        <v>2</v>
      </c>
      <c r="BB778" s="57">
        <f t="shared" si="246"/>
        <v>2323</v>
      </c>
    </row>
    <row r="779" spans="1:54" x14ac:dyDescent="0.25">
      <c r="A779" s="58">
        <v>21</v>
      </c>
      <c r="B779" s="59">
        <v>1</v>
      </c>
      <c r="C779" s="59">
        <v>1</v>
      </c>
      <c r="D779" s="59">
        <f t="shared" si="228"/>
        <v>1</v>
      </c>
      <c r="E779" s="59">
        <f t="shared" si="229"/>
        <v>0</v>
      </c>
      <c r="F779" s="59">
        <v>1334</v>
      </c>
      <c r="G779" s="59">
        <v>2</v>
      </c>
      <c r="H779" s="59">
        <f t="shared" si="230"/>
        <v>0</v>
      </c>
      <c r="I779" s="59">
        <f t="shared" si="231"/>
        <v>1</v>
      </c>
      <c r="J779" s="59">
        <v>10</v>
      </c>
      <c r="K779" s="59">
        <v>3</v>
      </c>
      <c r="L779" s="59">
        <v>1</v>
      </c>
      <c r="M779" s="59">
        <f t="shared" si="232"/>
        <v>1</v>
      </c>
      <c r="N779" s="59">
        <f t="shared" si="233"/>
        <v>0</v>
      </c>
      <c r="O779" s="59">
        <f t="shared" si="234"/>
        <v>0</v>
      </c>
      <c r="P779" s="59">
        <f t="shared" si="235"/>
        <v>0</v>
      </c>
      <c r="Q779" s="59">
        <f t="shared" si="236"/>
        <v>0</v>
      </c>
      <c r="R779" s="59">
        <v>1</v>
      </c>
      <c r="S779" s="59">
        <v>1079</v>
      </c>
      <c r="T779" s="59">
        <v>3</v>
      </c>
      <c r="U779" s="59">
        <v>0</v>
      </c>
      <c r="V779" s="59">
        <v>36</v>
      </c>
      <c r="W779" s="59">
        <v>2</v>
      </c>
      <c r="X779" s="59">
        <v>1</v>
      </c>
      <c r="Y779" s="59">
        <v>3</v>
      </c>
      <c r="Z779" s="59">
        <f t="shared" si="237"/>
        <v>0</v>
      </c>
      <c r="AA779" s="59">
        <f>IF('Updated Dummy'!Y779=2,1,0)</f>
        <v>0</v>
      </c>
      <c r="AB779" s="59">
        <f t="shared" si="238"/>
        <v>1</v>
      </c>
      <c r="AC779" s="59">
        <f t="shared" si="239"/>
        <v>0</v>
      </c>
      <c r="AD779" s="59">
        <f t="shared" si="240"/>
        <v>0</v>
      </c>
      <c r="AE779" s="59">
        <f t="shared" si="241"/>
        <v>0</v>
      </c>
      <c r="AF779" s="59">
        <f t="shared" si="242"/>
        <v>0</v>
      </c>
      <c r="AG779" s="59">
        <f t="shared" si="243"/>
        <v>0</v>
      </c>
      <c r="AH779" s="59">
        <v>1</v>
      </c>
      <c r="AI779" s="59">
        <v>1</v>
      </c>
      <c r="AJ779" s="59">
        <f t="shared" si="244"/>
        <v>1</v>
      </c>
      <c r="AK779" s="59">
        <f t="shared" si="245"/>
        <v>0</v>
      </c>
      <c r="AL779" s="59">
        <v>1416</v>
      </c>
      <c r="AM779" s="59">
        <v>17258</v>
      </c>
      <c r="AN779" s="59">
        <v>1</v>
      </c>
      <c r="AO779" s="59">
        <v>0</v>
      </c>
      <c r="AP779" s="59">
        <v>13</v>
      </c>
      <c r="AQ779" s="59">
        <v>3</v>
      </c>
      <c r="AR779" s="59">
        <v>1</v>
      </c>
      <c r="AS779" s="59">
        <v>80</v>
      </c>
      <c r="AT779" s="59">
        <v>0</v>
      </c>
      <c r="AU779" s="59">
        <v>1</v>
      </c>
      <c r="AV779" s="59">
        <v>6</v>
      </c>
      <c r="AW779" s="59">
        <v>2</v>
      </c>
      <c r="AX779" s="59">
        <v>1</v>
      </c>
      <c r="AY779" s="59">
        <v>0</v>
      </c>
      <c r="AZ779" s="59">
        <v>1</v>
      </c>
      <c r="BA779" s="59">
        <v>0</v>
      </c>
      <c r="BB779" s="57">
        <f t="shared" si="246"/>
        <v>1416</v>
      </c>
    </row>
    <row r="780" spans="1:54" x14ac:dyDescent="0.25">
      <c r="A780" s="58">
        <v>46</v>
      </c>
      <c r="B780" s="59">
        <v>0</v>
      </c>
      <c r="C780" s="59">
        <v>1</v>
      </c>
      <c r="D780" s="59">
        <f t="shared" si="228"/>
        <v>1</v>
      </c>
      <c r="E780" s="59">
        <f t="shared" si="229"/>
        <v>0</v>
      </c>
      <c r="F780" s="59">
        <v>1003</v>
      </c>
      <c r="G780" s="59">
        <v>2</v>
      </c>
      <c r="H780" s="59">
        <f t="shared" si="230"/>
        <v>0</v>
      </c>
      <c r="I780" s="59">
        <f t="shared" si="231"/>
        <v>1</v>
      </c>
      <c r="J780" s="59">
        <v>8</v>
      </c>
      <c r="K780" s="59">
        <v>4</v>
      </c>
      <c r="L780" s="59">
        <v>1</v>
      </c>
      <c r="M780" s="59">
        <f t="shared" si="232"/>
        <v>1</v>
      </c>
      <c r="N780" s="59">
        <f t="shared" si="233"/>
        <v>0</v>
      </c>
      <c r="O780" s="59">
        <f t="shared" si="234"/>
        <v>0</v>
      </c>
      <c r="P780" s="59">
        <f t="shared" si="235"/>
        <v>0</v>
      </c>
      <c r="Q780" s="59">
        <f t="shared" si="236"/>
        <v>0</v>
      </c>
      <c r="R780" s="59">
        <v>1</v>
      </c>
      <c r="S780" s="59">
        <v>1080</v>
      </c>
      <c r="T780" s="59">
        <v>4</v>
      </c>
      <c r="U780" s="59">
        <v>0</v>
      </c>
      <c r="V780" s="59">
        <v>74</v>
      </c>
      <c r="W780" s="59">
        <v>2</v>
      </c>
      <c r="X780" s="59">
        <v>2</v>
      </c>
      <c r="Y780" s="59">
        <v>2</v>
      </c>
      <c r="Z780" s="59">
        <f t="shared" si="237"/>
        <v>0</v>
      </c>
      <c r="AA780" s="59">
        <f>IF('Updated Dummy'!Y780=2,1,0)</f>
        <v>1</v>
      </c>
      <c r="AB780" s="59">
        <f t="shared" si="238"/>
        <v>0</v>
      </c>
      <c r="AC780" s="59">
        <f t="shared" si="239"/>
        <v>0</v>
      </c>
      <c r="AD780" s="59">
        <f t="shared" si="240"/>
        <v>0</v>
      </c>
      <c r="AE780" s="59">
        <f t="shared" si="241"/>
        <v>0</v>
      </c>
      <c r="AF780" s="59">
        <f t="shared" si="242"/>
        <v>0</v>
      </c>
      <c r="AG780" s="59">
        <f t="shared" si="243"/>
        <v>0</v>
      </c>
      <c r="AH780" s="59">
        <v>1</v>
      </c>
      <c r="AI780" s="59">
        <v>3</v>
      </c>
      <c r="AJ780" s="59">
        <f t="shared" si="244"/>
        <v>0</v>
      </c>
      <c r="AK780" s="59">
        <f t="shared" si="245"/>
        <v>0</v>
      </c>
      <c r="AL780" s="59">
        <v>4615</v>
      </c>
      <c r="AM780" s="59">
        <v>21029</v>
      </c>
      <c r="AN780" s="59">
        <v>8</v>
      </c>
      <c r="AO780" s="59">
        <v>1</v>
      </c>
      <c r="AP780" s="59">
        <v>23</v>
      </c>
      <c r="AQ780" s="59">
        <v>4</v>
      </c>
      <c r="AR780" s="59">
        <v>1</v>
      </c>
      <c r="AS780" s="59">
        <v>80</v>
      </c>
      <c r="AT780" s="59">
        <v>3</v>
      </c>
      <c r="AU780" s="59">
        <v>19</v>
      </c>
      <c r="AV780" s="59">
        <v>2</v>
      </c>
      <c r="AW780" s="59">
        <v>3</v>
      </c>
      <c r="AX780" s="59">
        <v>16</v>
      </c>
      <c r="AY780" s="59">
        <v>13</v>
      </c>
      <c r="AZ780" s="59">
        <v>1</v>
      </c>
      <c r="BA780" s="59">
        <v>7</v>
      </c>
      <c r="BB780" s="57">
        <f t="shared" si="246"/>
        <v>9230</v>
      </c>
    </row>
    <row r="781" spans="1:54" x14ac:dyDescent="0.25">
      <c r="A781" s="58">
        <v>51</v>
      </c>
      <c r="B781" s="59">
        <v>1</v>
      </c>
      <c r="C781" s="59">
        <v>1</v>
      </c>
      <c r="D781" s="59">
        <f t="shared" si="228"/>
        <v>1</v>
      </c>
      <c r="E781" s="59">
        <f t="shared" si="229"/>
        <v>0</v>
      </c>
      <c r="F781" s="59">
        <v>1323</v>
      </c>
      <c r="G781" s="59">
        <v>2</v>
      </c>
      <c r="H781" s="59">
        <f t="shared" si="230"/>
        <v>0</v>
      </c>
      <c r="I781" s="59">
        <f t="shared" si="231"/>
        <v>1</v>
      </c>
      <c r="J781" s="59">
        <v>4</v>
      </c>
      <c r="K781" s="59">
        <v>4</v>
      </c>
      <c r="L781" s="59">
        <v>1</v>
      </c>
      <c r="M781" s="59">
        <f t="shared" si="232"/>
        <v>1</v>
      </c>
      <c r="N781" s="59">
        <f t="shared" si="233"/>
        <v>0</v>
      </c>
      <c r="O781" s="59">
        <f t="shared" si="234"/>
        <v>0</v>
      </c>
      <c r="P781" s="59">
        <f t="shared" si="235"/>
        <v>0</v>
      </c>
      <c r="Q781" s="59">
        <f t="shared" si="236"/>
        <v>0</v>
      </c>
      <c r="R781" s="59">
        <v>1</v>
      </c>
      <c r="S781" s="59">
        <v>1081</v>
      </c>
      <c r="T781" s="59">
        <v>1</v>
      </c>
      <c r="U781" s="59">
        <v>1</v>
      </c>
      <c r="V781" s="59">
        <v>34</v>
      </c>
      <c r="W781" s="59">
        <v>3</v>
      </c>
      <c r="X781" s="59">
        <v>1</v>
      </c>
      <c r="Y781" s="59">
        <v>2</v>
      </c>
      <c r="Z781" s="59">
        <f t="shared" si="237"/>
        <v>0</v>
      </c>
      <c r="AA781" s="59">
        <f>IF('Updated Dummy'!Y781=2,1,0)</f>
        <v>1</v>
      </c>
      <c r="AB781" s="59">
        <f t="shared" si="238"/>
        <v>0</v>
      </c>
      <c r="AC781" s="59">
        <f t="shared" si="239"/>
        <v>0</v>
      </c>
      <c r="AD781" s="59">
        <f t="shared" si="240"/>
        <v>0</v>
      </c>
      <c r="AE781" s="59">
        <f t="shared" si="241"/>
        <v>0</v>
      </c>
      <c r="AF781" s="59">
        <f t="shared" si="242"/>
        <v>0</v>
      </c>
      <c r="AG781" s="59">
        <f t="shared" si="243"/>
        <v>0</v>
      </c>
      <c r="AH781" s="59">
        <v>3</v>
      </c>
      <c r="AI781" s="59">
        <v>2</v>
      </c>
      <c r="AJ781" s="59">
        <f t="shared" si="244"/>
        <v>0</v>
      </c>
      <c r="AK781" s="59">
        <f t="shared" si="245"/>
        <v>1</v>
      </c>
      <c r="AL781" s="59">
        <v>2461</v>
      </c>
      <c r="AM781" s="59">
        <v>10332</v>
      </c>
      <c r="AN781" s="59">
        <v>9</v>
      </c>
      <c r="AO781" s="59">
        <v>1</v>
      </c>
      <c r="AP781" s="59">
        <v>12</v>
      </c>
      <c r="AQ781" s="59">
        <v>3</v>
      </c>
      <c r="AR781" s="59">
        <v>3</v>
      </c>
      <c r="AS781" s="59">
        <v>80</v>
      </c>
      <c r="AT781" s="59">
        <v>3</v>
      </c>
      <c r="AU781" s="59">
        <v>18</v>
      </c>
      <c r="AV781" s="59">
        <v>2</v>
      </c>
      <c r="AW781" s="59">
        <v>4</v>
      </c>
      <c r="AX781" s="59">
        <v>10</v>
      </c>
      <c r="AY781" s="59">
        <v>0</v>
      </c>
      <c r="AZ781" s="59">
        <v>2</v>
      </c>
      <c r="BA781" s="59">
        <v>7</v>
      </c>
      <c r="BB781" s="57">
        <f t="shared" si="246"/>
        <v>2461</v>
      </c>
    </row>
    <row r="782" spans="1:54" x14ac:dyDescent="0.25">
      <c r="A782" s="58">
        <v>28</v>
      </c>
      <c r="B782" s="59">
        <v>1</v>
      </c>
      <c r="C782" s="59">
        <v>3</v>
      </c>
      <c r="D782" s="59">
        <f t="shared" si="228"/>
        <v>0</v>
      </c>
      <c r="E782" s="59">
        <f t="shared" si="229"/>
        <v>0</v>
      </c>
      <c r="F782" s="59">
        <v>1366</v>
      </c>
      <c r="G782" s="59">
        <v>2</v>
      </c>
      <c r="H782" s="59">
        <f t="shared" si="230"/>
        <v>0</v>
      </c>
      <c r="I782" s="59">
        <f t="shared" si="231"/>
        <v>1</v>
      </c>
      <c r="J782" s="59">
        <v>24</v>
      </c>
      <c r="K782" s="59">
        <v>2</v>
      </c>
      <c r="L782" s="59">
        <v>5</v>
      </c>
      <c r="M782" s="59">
        <f t="shared" si="232"/>
        <v>0</v>
      </c>
      <c r="N782" s="59">
        <f t="shared" si="233"/>
        <v>0</v>
      </c>
      <c r="O782" s="59">
        <f t="shared" si="234"/>
        <v>0</v>
      </c>
      <c r="P782" s="59">
        <f t="shared" si="235"/>
        <v>0</v>
      </c>
      <c r="Q782" s="59">
        <f t="shared" si="236"/>
        <v>1</v>
      </c>
      <c r="R782" s="59">
        <v>1</v>
      </c>
      <c r="S782" s="59">
        <v>1082</v>
      </c>
      <c r="T782" s="59">
        <v>2</v>
      </c>
      <c r="U782" s="59">
        <v>1</v>
      </c>
      <c r="V782" s="59">
        <v>72</v>
      </c>
      <c r="W782" s="59">
        <v>2</v>
      </c>
      <c r="X782" s="59">
        <v>3</v>
      </c>
      <c r="Y782" s="59">
        <v>5</v>
      </c>
      <c r="Z782" s="59">
        <f t="shared" si="237"/>
        <v>0</v>
      </c>
      <c r="AA782" s="59">
        <f>IF('Updated Dummy'!Y782=2,1,0)</f>
        <v>0</v>
      </c>
      <c r="AB782" s="59">
        <f t="shared" si="238"/>
        <v>0</v>
      </c>
      <c r="AC782" s="59">
        <f t="shared" si="239"/>
        <v>0</v>
      </c>
      <c r="AD782" s="59">
        <f t="shared" si="240"/>
        <v>1</v>
      </c>
      <c r="AE782" s="59">
        <f t="shared" si="241"/>
        <v>0</v>
      </c>
      <c r="AF782" s="59">
        <f t="shared" si="242"/>
        <v>0</v>
      </c>
      <c r="AG782" s="59">
        <f t="shared" si="243"/>
        <v>0</v>
      </c>
      <c r="AH782" s="59">
        <v>1</v>
      </c>
      <c r="AI782" s="59">
        <v>1</v>
      </c>
      <c r="AJ782" s="59">
        <f t="shared" si="244"/>
        <v>1</v>
      </c>
      <c r="AK782" s="59">
        <f t="shared" si="245"/>
        <v>0</v>
      </c>
      <c r="AL782" s="59">
        <v>8722</v>
      </c>
      <c r="AM782" s="59">
        <v>12355</v>
      </c>
      <c r="AN782" s="59">
        <v>1</v>
      </c>
      <c r="AO782" s="59">
        <v>0</v>
      </c>
      <c r="AP782" s="59">
        <v>12</v>
      </c>
      <c r="AQ782" s="59">
        <v>3</v>
      </c>
      <c r="AR782" s="59">
        <v>1</v>
      </c>
      <c r="AS782" s="59">
        <v>80</v>
      </c>
      <c r="AT782" s="59">
        <v>0</v>
      </c>
      <c r="AU782" s="59">
        <v>10</v>
      </c>
      <c r="AV782" s="59">
        <v>2</v>
      </c>
      <c r="AW782" s="59">
        <v>2</v>
      </c>
      <c r="AX782" s="59">
        <v>10</v>
      </c>
      <c r="AY782" s="59">
        <v>7</v>
      </c>
      <c r="AZ782" s="59">
        <v>1</v>
      </c>
      <c r="BA782" s="59">
        <v>9</v>
      </c>
      <c r="BB782" s="57">
        <f t="shared" si="246"/>
        <v>26166</v>
      </c>
    </row>
    <row r="783" spans="1:54" x14ac:dyDescent="0.25">
      <c r="A783" s="58">
        <v>26</v>
      </c>
      <c r="B783" s="59">
        <v>0</v>
      </c>
      <c r="C783" s="59">
        <v>1</v>
      </c>
      <c r="D783" s="59">
        <f t="shared" si="228"/>
        <v>1</v>
      </c>
      <c r="E783" s="59">
        <f t="shared" si="229"/>
        <v>0</v>
      </c>
      <c r="F783" s="59">
        <v>192</v>
      </c>
      <c r="G783" s="59">
        <v>2</v>
      </c>
      <c r="H783" s="59">
        <f t="shared" si="230"/>
        <v>0</v>
      </c>
      <c r="I783" s="59">
        <f t="shared" si="231"/>
        <v>1</v>
      </c>
      <c r="J783" s="59">
        <v>1</v>
      </c>
      <c r="K783" s="59">
        <v>2</v>
      </c>
      <c r="L783" s="59">
        <v>3</v>
      </c>
      <c r="M783" s="59">
        <f t="shared" si="232"/>
        <v>0</v>
      </c>
      <c r="N783" s="59">
        <f t="shared" si="233"/>
        <v>0</v>
      </c>
      <c r="O783" s="59">
        <f t="shared" si="234"/>
        <v>1</v>
      </c>
      <c r="P783" s="59">
        <f t="shared" si="235"/>
        <v>0</v>
      </c>
      <c r="Q783" s="59">
        <f t="shared" si="236"/>
        <v>0</v>
      </c>
      <c r="R783" s="59">
        <v>1</v>
      </c>
      <c r="S783" s="59">
        <v>1083</v>
      </c>
      <c r="T783" s="59">
        <v>1</v>
      </c>
      <c r="U783" s="59">
        <v>1</v>
      </c>
      <c r="V783" s="59">
        <v>59</v>
      </c>
      <c r="W783" s="59">
        <v>2</v>
      </c>
      <c r="X783" s="59">
        <v>1</v>
      </c>
      <c r="Y783" s="59">
        <v>3</v>
      </c>
      <c r="Z783" s="59">
        <f t="shared" si="237"/>
        <v>0</v>
      </c>
      <c r="AA783" s="59">
        <f>IF('Updated Dummy'!Y783=2,1,0)</f>
        <v>0</v>
      </c>
      <c r="AB783" s="59">
        <f t="shared" si="238"/>
        <v>1</v>
      </c>
      <c r="AC783" s="59">
        <f t="shared" si="239"/>
        <v>0</v>
      </c>
      <c r="AD783" s="59">
        <f t="shared" si="240"/>
        <v>0</v>
      </c>
      <c r="AE783" s="59">
        <f t="shared" si="241"/>
        <v>0</v>
      </c>
      <c r="AF783" s="59">
        <f t="shared" si="242"/>
        <v>0</v>
      </c>
      <c r="AG783" s="59">
        <f t="shared" si="243"/>
        <v>0</v>
      </c>
      <c r="AH783" s="59">
        <v>1</v>
      </c>
      <c r="AI783" s="59">
        <v>2</v>
      </c>
      <c r="AJ783" s="59">
        <f t="shared" si="244"/>
        <v>0</v>
      </c>
      <c r="AK783" s="59">
        <f t="shared" si="245"/>
        <v>1</v>
      </c>
      <c r="AL783" s="59">
        <v>3955</v>
      </c>
      <c r="AM783" s="59">
        <v>11141</v>
      </c>
      <c r="AN783" s="59">
        <v>1</v>
      </c>
      <c r="AO783" s="59">
        <v>0</v>
      </c>
      <c r="AP783" s="59">
        <v>16</v>
      </c>
      <c r="AQ783" s="59">
        <v>3</v>
      </c>
      <c r="AR783" s="59">
        <v>1</v>
      </c>
      <c r="AS783" s="59">
        <v>80</v>
      </c>
      <c r="AT783" s="59">
        <v>2</v>
      </c>
      <c r="AU783" s="59">
        <v>6</v>
      </c>
      <c r="AV783" s="59">
        <v>2</v>
      </c>
      <c r="AW783" s="59">
        <v>3</v>
      </c>
      <c r="AX783" s="59">
        <v>5</v>
      </c>
      <c r="AY783" s="59">
        <v>3</v>
      </c>
      <c r="AZ783" s="59">
        <v>1</v>
      </c>
      <c r="BA783" s="59">
        <v>3</v>
      </c>
      <c r="BB783" s="57">
        <f t="shared" si="246"/>
        <v>3955</v>
      </c>
    </row>
    <row r="784" spans="1:54" x14ac:dyDescent="0.25">
      <c r="A784" s="58">
        <v>30</v>
      </c>
      <c r="B784" s="59">
        <v>0</v>
      </c>
      <c r="C784" s="59">
        <v>1</v>
      </c>
      <c r="D784" s="59">
        <f t="shared" si="228"/>
        <v>1</v>
      </c>
      <c r="E784" s="59">
        <f t="shared" si="229"/>
        <v>0</v>
      </c>
      <c r="F784" s="59">
        <v>1176</v>
      </c>
      <c r="G784" s="59">
        <v>2</v>
      </c>
      <c r="H784" s="59">
        <f t="shared" si="230"/>
        <v>0</v>
      </c>
      <c r="I784" s="59">
        <f t="shared" si="231"/>
        <v>1</v>
      </c>
      <c r="J784" s="59">
        <v>20</v>
      </c>
      <c r="K784" s="59">
        <v>3</v>
      </c>
      <c r="L784" s="59">
        <v>6</v>
      </c>
      <c r="M784" s="59">
        <f t="shared" si="232"/>
        <v>0</v>
      </c>
      <c r="N784" s="59">
        <f t="shared" si="233"/>
        <v>0</v>
      </c>
      <c r="O784" s="59">
        <f t="shared" si="234"/>
        <v>0</v>
      </c>
      <c r="P784" s="59">
        <f t="shared" si="235"/>
        <v>0</v>
      </c>
      <c r="Q784" s="59">
        <f t="shared" si="236"/>
        <v>0</v>
      </c>
      <c r="R784" s="59">
        <v>1</v>
      </c>
      <c r="S784" s="59">
        <v>1084</v>
      </c>
      <c r="T784" s="59">
        <v>3</v>
      </c>
      <c r="U784" s="59">
        <v>1</v>
      </c>
      <c r="V784" s="59">
        <v>85</v>
      </c>
      <c r="W784" s="59">
        <v>3</v>
      </c>
      <c r="X784" s="59">
        <v>2</v>
      </c>
      <c r="Y784" s="59">
        <v>4</v>
      </c>
      <c r="Z784" s="59">
        <f t="shared" si="237"/>
        <v>0</v>
      </c>
      <c r="AA784" s="59">
        <f>IF('Updated Dummy'!Y784=2,1,0)</f>
        <v>0</v>
      </c>
      <c r="AB784" s="59">
        <f t="shared" si="238"/>
        <v>0</v>
      </c>
      <c r="AC784" s="59">
        <f t="shared" si="239"/>
        <v>1</v>
      </c>
      <c r="AD784" s="59">
        <f t="shared" si="240"/>
        <v>0</v>
      </c>
      <c r="AE784" s="59">
        <f t="shared" si="241"/>
        <v>0</v>
      </c>
      <c r="AF784" s="59">
        <f t="shared" si="242"/>
        <v>0</v>
      </c>
      <c r="AG784" s="59">
        <f t="shared" si="243"/>
        <v>0</v>
      </c>
      <c r="AH784" s="59">
        <v>1</v>
      </c>
      <c r="AI784" s="59">
        <v>2</v>
      </c>
      <c r="AJ784" s="59">
        <f t="shared" si="244"/>
        <v>0</v>
      </c>
      <c r="AK784" s="59">
        <f t="shared" si="245"/>
        <v>1</v>
      </c>
      <c r="AL784" s="59">
        <v>9957</v>
      </c>
      <c r="AM784" s="59">
        <v>9096</v>
      </c>
      <c r="AN784" s="59">
        <v>0</v>
      </c>
      <c r="AO784" s="59">
        <v>0</v>
      </c>
      <c r="AP784" s="59">
        <v>15</v>
      </c>
      <c r="AQ784" s="59">
        <v>3</v>
      </c>
      <c r="AR784" s="59">
        <v>3</v>
      </c>
      <c r="AS784" s="59">
        <v>80</v>
      </c>
      <c r="AT784" s="59">
        <v>1</v>
      </c>
      <c r="AU784" s="59">
        <v>7</v>
      </c>
      <c r="AV784" s="59">
        <v>1</v>
      </c>
      <c r="AW784" s="59">
        <v>2</v>
      </c>
      <c r="AX784" s="59">
        <v>6</v>
      </c>
      <c r="AY784" s="59">
        <v>2</v>
      </c>
      <c r="AZ784" s="59">
        <v>0</v>
      </c>
      <c r="BA784" s="59">
        <v>2</v>
      </c>
      <c r="BB784" s="57">
        <f t="shared" si="246"/>
        <v>19914</v>
      </c>
    </row>
    <row r="785" spans="1:54" x14ac:dyDescent="0.25">
      <c r="A785" s="58">
        <v>41</v>
      </c>
      <c r="B785" s="59">
        <v>0</v>
      </c>
      <c r="C785" s="59">
        <v>1</v>
      </c>
      <c r="D785" s="59">
        <f t="shared" si="228"/>
        <v>1</v>
      </c>
      <c r="E785" s="59">
        <f t="shared" si="229"/>
        <v>0</v>
      </c>
      <c r="F785" s="59">
        <v>509</v>
      </c>
      <c r="G785" s="59">
        <v>2</v>
      </c>
      <c r="H785" s="59">
        <f t="shared" si="230"/>
        <v>0</v>
      </c>
      <c r="I785" s="59">
        <f t="shared" si="231"/>
        <v>1</v>
      </c>
      <c r="J785" s="59">
        <v>7</v>
      </c>
      <c r="K785" s="59">
        <v>2</v>
      </c>
      <c r="L785" s="59">
        <v>5</v>
      </c>
      <c r="M785" s="59">
        <f t="shared" si="232"/>
        <v>0</v>
      </c>
      <c r="N785" s="59">
        <f t="shared" si="233"/>
        <v>0</v>
      </c>
      <c r="O785" s="59">
        <f t="shared" si="234"/>
        <v>0</v>
      </c>
      <c r="P785" s="59">
        <f t="shared" si="235"/>
        <v>0</v>
      </c>
      <c r="Q785" s="59">
        <f t="shared" si="236"/>
        <v>1</v>
      </c>
      <c r="R785" s="59">
        <v>1</v>
      </c>
      <c r="S785" s="59">
        <v>1085</v>
      </c>
      <c r="T785" s="59">
        <v>2</v>
      </c>
      <c r="U785" s="59">
        <v>0</v>
      </c>
      <c r="V785" s="59">
        <v>43</v>
      </c>
      <c r="W785" s="59">
        <v>4</v>
      </c>
      <c r="X785" s="59">
        <v>1</v>
      </c>
      <c r="Y785" s="59">
        <v>2</v>
      </c>
      <c r="Z785" s="59">
        <f t="shared" si="237"/>
        <v>0</v>
      </c>
      <c r="AA785" s="59">
        <f>IF('Updated Dummy'!Y785=2,1,0)</f>
        <v>1</v>
      </c>
      <c r="AB785" s="59">
        <f t="shared" si="238"/>
        <v>0</v>
      </c>
      <c r="AC785" s="59">
        <f t="shared" si="239"/>
        <v>0</v>
      </c>
      <c r="AD785" s="59">
        <f t="shared" si="240"/>
        <v>0</v>
      </c>
      <c r="AE785" s="59">
        <f t="shared" si="241"/>
        <v>0</v>
      </c>
      <c r="AF785" s="59">
        <f t="shared" si="242"/>
        <v>0</v>
      </c>
      <c r="AG785" s="59">
        <f t="shared" si="243"/>
        <v>0</v>
      </c>
      <c r="AH785" s="59">
        <v>3</v>
      </c>
      <c r="AI785" s="59">
        <v>2</v>
      </c>
      <c r="AJ785" s="59">
        <f t="shared" si="244"/>
        <v>0</v>
      </c>
      <c r="AK785" s="59">
        <f t="shared" si="245"/>
        <v>1</v>
      </c>
      <c r="AL785" s="59">
        <v>3376</v>
      </c>
      <c r="AM785" s="59">
        <v>18863</v>
      </c>
      <c r="AN785" s="59">
        <v>1</v>
      </c>
      <c r="AO785" s="59">
        <v>0</v>
      </c>
      <c r="AP785" s="59">
        <v>13</v>
      </c>
      <c r="AQ785" s="59">
        <v>3</v>
      </c>
      <c r="AR785" s="59">
        <v>3</v>
      </c>
      <c r="AS785" s="59">
        <v>80</v>
      </c>
      <c r="AT785" s="59">
        <v>0</v>
      </c>
      <c r="AU785" s="59">
        <v>10</v>
      </c>
      <c r="AV785" s="59">
        <v>3</v>
      </c>
      <c r="AW785" s="59">
        <v>3</v>
      </c>
      <c r="AX785" s="59">
        <v>10</v>
      </c>
      <c r="AY785" s="59">
        <v>6</v>
      </c>
      <c r="AZ785" s="59">
        <v>0</v>
      </c>
      <c r="BA785" s="59">
        <v>8</v>
      </c>
      <c r="BB785" s="57">
        <f t="shared" si="246"/>
        <v>3376</v>
      </c>
    </row>
    <row r="786" spans="1:54" x14ac:dyDescent="0.25">
      <c r="A786" s="58">
        <v>38</v>
      </c>
      <c r="B786" s="59">
        <v>0</v>
      </c>
      <c r="C786" s="59">
        <v>1</v>
      </c>
      <c r="D786" s="59">
        <f t="shared" si="228"/>
        <v>1</v>
      </c>
      <c r="E786" s="59">
        <f t="shared" si="229"/>
        <v>0</v>
      </c>
      <c r="F786" s="59">
        <v>330</v>
      </c>
      <c r="G786" s="59">
        <v>2</v>
      </c>
      <c r="H786" s="59">
        <f t="shared" si="230"/>
        <v>0</v>
      </c>
      <c r="I786" s="59">
        <f t="shared" si="231"/>
        <v>1</v>
      </c>
      <c r="J786" s="59">
        <v>17</v>
      </c>
      <c r="K786" s="59">
        <v>1</v>
      </c>
      <c r="L786" s="59">
        <v>1</v>
      </c>
      <c r="M786" s="59">
        <f t="shared" si="232"/>
        <v>1</v>
      </c>
      <c r="N786" s="59">
        <f t="shared" si="233"/>
        <v>0</v>
      </c>
      <c r="O786" s="59">
        <f t="shared" si="234"/>
        <v>0</v>
      </c>
      <c r="P786" s="59">
        <f t="shared" si="235"/>
        <v>0</v>
      </c>
      <c r="Q786" s="59">
        <f t="shared" si="236"/>
        <v>0</v>
      </c>
      <c r="R786" s="59">
        <v>1</v>
      </c>
      <c r="S786" s="59">
        <v>1088</v>
      </c>
      <c r="T786" s="59">
        <v>3</v>
      </c>
      <c r="U786" s="59">
        <v>0</v>
      </c>
      <c r="V786" s="59">
        <v>65</v>
      </c>
      <c r="W786" s="59">
        <v>2</v>
      </c>
      <c r="X786" s="59">
        <v>3</v>
      </c>
      <c r="Y786" s="59">
        <v>5</v>
      </c>
      <c r="Z786" s="59">
        <f t="shared" si="237"/>
        <v>0</v>
      </c>
      <c r="AA786" s="59">
        <f>IF('Updated Dummy'!Y786=2,1,0)</f>
        <v>0</v>
      </c>
      <c r="AB786" s="59">
        <f t="shared" si="238"/>
        <v>0</v>
      </c>
      <c r="AC786" s="59">
        <f t="shared" si="239"/>
        <v>0</v>
      </c>
      <c r="AD786" s="59">
        <f t="shared" si="240"/>
        <v>1</v>
      </c>
      <c r="AE786" s="59">
        <f t="shared" si="241"/>
        <v>0</v>
      </c>
      <c r="AF786" s="59">
        <f t="shared" si="242"/>
        <v>0</v>
      </c>
      <c r="AG786" s="59">
        <f t="shared" si="243"/>
        <v>0</v>
      </c>
      <c r="AH786" s="59">
        <v>3</v>
      </c>
      <c r="AI786" s="59">
        <v>2</v>
      </c>
      <c r="AJ786" s="59">
        <f t="shared" si="244"/>
        <v>0</v>
      </c>
      <c r="AK786" s="59">
        <f t="shared" si="245"/>
        <v>1</v>
      </c>
      <c r="AL786" s="59">
        <v>8823</v>
      </c>
      <c r="AM786" s="59">
        <v>24608</v>
      </c>
      <c r="AN786" s="59">
        <v>0</v>
      </c>
      <c r="AO786" s="59">
        <v>0</v>
      </c>
      <c r="AP786" s="59">
        <v>18</v>
      </c>
      <c r="AQ786" s="59">
        <v>3</v>
      </c>
      <c r="AR786" s="59">
        <v>1</v>
      </c>
      <c r="AS786" s="59">
        <v>80</v>
      </c>
      <c r="AT786" s="59">
        <v>1</v>
      </c>
      <c r="AU786" s="59">
        <v>20</v>
      </c>
      <c r="AV786" s="59">
        <v>4</v>
      </c>
      <c r="AW786" s="59">
        <v>2</v>
      </c>
      <c r="AX786" s="59">
        <v>19</v>
      </c>
      <c r="AY786" s="59">
        <v>9</v>
      </c>
      <c r="AZ786" s="59">
        <v>1</v>
      </c>
      <c r="BA786" s="59">
        <v>9</v>
      </c>
      <c r="BB786" s="57">
        <f t="shared" si="246"/>
        <v>26469</v>
      </c>
    </row>
    <row r="787" spans="1:54" x14ac:dyDescent="0.25">
      <c r="A787" s="58">
        <v>40</v>
      </c>
      <c r="B787" s="59">
        <v>0</v>
      </c>
      <c r="C787" s="59">
        <v>1</v>
      </c>
      <c r="D787" s="59">
        <f t="shared" si="228"/>
        <v>1</v>
      </c>
      <c r="E787" s="59">
        <f t="shared" si="229"/>
        <v>0</v>
      </c>
      <c r="F787" s="59">
        <v>1492</v>
      </c>
      <c r="G787" s="59">
        <v>2</v>
      </c>
      <c r="H787" s="59">
        <f t="shared" si="230"/>
        <v>0</v>
      </c>
      <c r="I787" s="59">
        <f t="shared" si="231"/>
        <v>1</v>
      </c>
      <c r="J787" s="59">
        <v>20</v>
      </c>
      <c r="K787" s="59">
        <v>4</v>
      </c>
      <c r="L787" s="59">
        <v>5</v>
      </c>
      <c r="M787" s="59">
        <f t="shared" si="232"/>
        <v>0</v>
      </c>
      <c r="N787" s="59">
        <f t="shared" si="233"/>
        <v>0</v>
      </c>
      <c r="O787" s="59">
        <f t="shared" si="234"/>
        <v>0</v>
      </c>
      <c r="P787" s="59">
        <f t="shared" si="235"/>
        <v>0</v>
      </c>
      <c r="Q787" s="59">
        <f t="shared" si="236"/>
        <v>1</v>
      </c>
      <c r="R787" s="59">
        <v>1</v>
      </c>
      <c r="S787" s="59">
        <v>1092</v>
      </c>
      <c r="T787" s="59">
        <v>1</v>
      </c>
      <c r="U787" s="59">
        <v>1</v>
      </c>
      <c r="V787" s="59">
        <v>61</v>
      </c>
      <c r="W787" s="59">
        <v>3</v>
      </c>
      <c r="X787" s="59">
        <v>3</v>
      </c>
      <c r="Y787" s="59">
        <v>5</v>
      </c>
      <c r="Z787" s="59">
        <f t="shared" si="237"/>
        <v>0</v>
      </c>
      <c r="AA787" s="59">
        <f>IF('Updated Dummy'!Y787=2,1,0)</f>
        <v>0</v>
      </c>
      <c r="AB787" s="59">
        <f t="shared" si="238"/>
        <v>0</v>
      </c>
      <c r="AC787" s="59">
        <f t="shared" si="239"/>
        <v>0</v>
      </c>
      <c r="AD787" s="59">
        <f t="shared" si="240"/>
        <v>1</v>
      </c>
      <c r="AE787" s="59">
        <f t="shared" si="241"/>
        <v>0</v>
      </c>
      <c r="AF787" s="59">
        <f t="shared" si="242"/>
        <v>0</v>
      </c>
      <c r="AG787" s="59">
        <f t="shared" si="243"/>
        <v>0</v>
      </c>
      <c r="AH787" s="59">
        <v>4</v>
      </c>
      <c r="AI787" s="59">
        <v>2</v>
      </c>
      <c r="AJ787" s="59">
        <f t="shared" si="244"/>
        <v>0</v>
      </c>
      <c r="AK787" s="59">
        <f t="shared" si="245"/>
        <v>1</v>
      </c>
      <c r="AL787" s="59">
        <v>10322</v>
      </c>
      <c r="AM787" s="59">
        <v>26542</v>
      </c>
      <c r="AN787" s="59">
        <v>4</v>
      </c>
      <c r="AO787" s="59">
        <v>0</v>
      </c>
      <c r="AP787" s="59">
        <v>20</v>
      </c>
      <c r="AQ787" s="59">
        <v>4</v>
      </c>
      <c r="AR787" s="59">
        <v>4</v>
      </c>
      <c r="AS787" s="59">
        <v>80</v>
      </c>
      <c r="AT787" s="59">
        <v>1</v>
      </c>
      <c r="AU787" s="59">
        <v>14</v>
      </c>
      <c r="AV787" s="59">
        <v>6</v>
      </c>
      <c r="AW787" s="59">
        <v>3</v>
      </c>
      <c r="AX787" s="59">
        <v>11</v>
      </c>
      <c r="AY787" s="59">
        <v>10</v>
      </c>
      <c r="AZ787" s="59">
        <v>11</v>
      </c>
      <c r="BA787" s="59">
        <v>1</v>
      </c>
      <c r="BB787" s="57">
        <f t="shared" si="246"/>
        <v>30966</v>
      </c>
    </row>
    <row r="788" spans="1:54" x14ac:dyDescent="0.25">
      <c r="A788" s="58">
        <v>27</v>
      </c>
      <c r="B788" s="59">
        <v>0</v>
      </c>
      <c r="C788" s="59">
        <v>3</v>
      </c>
      <c r="D788" s="59">
        <f t="shared" si="228"/>
        <v>0</v>
      </c>
      <c r="E788" s="59">
        <f t="shared" si="229"/>
        <v>0</v>
      </c>
      <c r="F788" s="59">
        <v>1277</v>
      </c>
      <c r="G788" s="59">
        <v>2</v>
      </c>
      <c r="H788" s="59">
        <f t="shared" si="230"/>
        <v>0</v>
      </c>
      <c r="I788" s="59">
        <f t="shared" si="231"/>
        <v>1</v>
      </c>
      <c r="J788" s="59">
        <v>8</v>
      </c>
      <c r="K788" s="59">
        <v>5</v>
      </c>
      <c r="L788" s="59">
        <v>1</v>
      </c>
      <c r="M788" s="59">
        <f t="shared" si="232"/>
        <v>1</v>
      </c>
      <c r="N788" s="59">
        <f t="shared" si="233"/>
        <v>0</v>
      </c>
      <c r="O788" s="59">
        <f t="shared" si="234"/>
        <v>0</v>
      </c>
      <c r="P788" s="59">
        <f t="shared" si="235"/>
        <v>0</v>
      </c>
      <c r="Q788" s="59">
        <f t="shared" si="236"/>
        <v>0</v>
      </c>
      <c r="R788" s="59">
        <v>1</v>
      </c>
      <c r="S788" s="59">
        <v>1094</v>
      </c>
      <c r="T788" s="59">
        <v>1</v>
      </c>
      <c r="U788" s="59">
        <v>1</v>
      </c>
      <c r="V788" s="59">
        <v>87</v>
      </c>
      <c r="W788" s="59">
        <v>1</v>
      </c>
      <c r="X788" s="59">
        <v>1</v>
      </c>
      <c r="Y788" s="59">
        <v>3</v>
      </c>
      <c r="Z788" s="59">
        <f t="shared" si="237"/>
        <v>0</v>
      </c>
      <c r="AA788" s="59">
        <f>IF('Updated Dummy'!Y788=2,1,0)</f>
        <v>0</v>
      </c>
      <c r="AB788" s="59">
        <f t="shared" si="238"/>
        <v>1</v>
      </c>
      <c r="AC788" s="59">
        <f t="shared" si="239"/>
        <v>0</v>
      </c>
      <c r="AD788" s="59">
        <f t="shared" si="240"/>
        <v>0</v>
      </c>
      <c r="AE788" s="59">
        <f t="shared" si="241"/>
        <v>0</v>
      </c>
      <c r="AF788" s="59">
        <f t="shared" si="242"/>
        <v>0</v>
      </c>
      <c r="AG788" s="59">
        <f t="shared" si="243"/>
        <v>0</v>
      </c>
      <c r="AH788" s="59">
        <v>3</v>
      </c>
      <c r="AI788" s="59">
        <v>2</v>
      </c>
      <c r="AJ788" s="59">
        <f t="shared" si="244"/>
        <v>0</v>
      </c>
      <c r="AK788" s="59">
        <f t="shared" si="245"/>
        <v>1</v>
      </c>
      <c r="AL788" s="59">
        <v>4621</v>
      </c>
      <c r="AM788" s="59">
        <v>5869</v>
      </c>
      <c r="AN788" s="59">
        <v>1</v>
      </c>
      <c r="AO788" s="59">
        <v>0</v>
      </c>
      <c r="AP788" s="59">
        <v>19</v>
      </c>
      <c r="AQ788" s="59">
        <v>3</v>
      </c>
      <c r="AR788" s="59">
        <v>4</v>
      </c>
      <c r="AS788" s="59">
        <v>80</v>
      </c>
      <c r="AT788" s="59">
        <v>3</v>
      </c>
      <c r="AU788" s="59">
        <v>3</v>
      </c>
      <c r="AV788" s="59">
        <v>4</v>
      </c>
      <c r="AW788" s="59">
        <v>3</v>
      </c>
      <c r="AX788" s="59">
        <v>3</v>
      </c>
      <c r="AY788" s="59">
        <v>2</v>
      </c>
      <c r="AZ788" s="59">
        <v>1</v>
      </c>
      <c r="BA788" s="59">
        <v>2</v>
      </c>
      <c r="BB788" s="57">
        <f t="shared" si="246"/>
        <v>4621</v>
      </c>
    </row>
    <row r="789" spans="1:54" x14ac:dyDescent="0.25">
      <c r="A789" s="58">
        <v>55</v>
      </c>
      <c r="B789" s="59">
        <v>0</v>
      </c>
      <c r="C789" s="59">
        <v>2</v>
      </c>
      <c r="D789" s="59">
        <f t="shared" si="228"/>
        <v>0</v>
      </c>
      <c r="E789" s="59">
        <f t="shared" si="229"/>
        <v>1</v>
      </c>
      <c r="F789" s="59">
        <v>1091</v>
      </c>
      <c r="G789" s="59">
        <v>2</v>
      </c>
      <c r="H789" s="59">
        <f t="shared" si="230"/>
        <v>0</v>
      </c>
      <c r="I789" s="59">
        <f t="shared" si="231"/>
        <v>1</v>
      </c>
      <c r="J789" s="59">
        <v>2</v>
      </c>
      <c r="K789" s="59">
        <v>1</v>
      </c>
      <c r="L789" s="59">
        <v>1</v>
      </c>
      <c r="M789" s="59">
        <f t="shared" si="232"/>
        <v>1</v>
      </c>
      <c r="N789" s="59">
        <f t="shared" si="233"/>
        <v>0</v>
      </c>
      <c r="O789" s="59">
        <f t="shared" si="234"/>
        <v>0</v>
      </c>
      <c r="P789" s="59">
        <f t="shared" si="235"/>
        <v>0</v>
      </c>
      <c r="Q789" s="59">
        <f t="shared" si="236"/>
        <v>0</v>
      </c>
      <c r="R789" s="59">
        <v>1</v>
      </c>
      <c r="S789" s="59">
        <v>1096</v>
      </c>
      <c r="T789" s="59">
        <v>4</v>
      </c>
      <c r="U789" s="59">
        <v>1</v>
      </c>
      <c r="V789" s="59">
        <v>65</v>
      </c>
      <c r="W789" s="59">
        <v>3</v>
      </c>
      <c r="X789" s="59">
        <v>3</v>
      </c>
      <c r="Y789" s="59">
        <v>4</v>
      </c>
      <c r="Z789" s="59">
        <f t="shared" si="237"/>
        <v>0</v>
      </c>
      <c r="AA789" s="59">
        <f>IF('Updated Dummy'!Y789=2,1,0)</f>
        <v>0</v>
      </c>
      <c r="AB789" s="59">
        <f t="shared" si="238"/>
        <v>0</v>
      </c>
      <c r="AC789" s="59">
        <f t="shared" si="239"/>
        <v>1</v>
      </c>
      <c r="AD789" s="59">
        <f t="shared" si="240"/>
        <v>0</v>
      </c>
      <c r="AE789" s="59">
        <f t="shared" si="241"/>
        <v>0</v>
      </c>
      <c r="AF789" s="59">
        <f t="shared" si="242"/>
        <v>0</v>
      </c>
      <c r="AG789" s="59">
        <f t="shared" si="243"/>
        <v>0</v>
      </c>
      <c r="AH789" s="59">
        <v>2</v>
      </c>
      <c r="AI789" s="59">
        <v>2</v>
      </c>
      <c r="AJ789" s="59">
        <f t="shared" si="244"/>
        <v>0</v>
      </c>
      <c r="AK789" s="59">
        <f t="shared" si="245"/>
        <v>1</v>
      </c>
      <c r="AL789" s="59">
        <v>10976</v>
      </c>
      <c r="AM789" s="59">
        <v>15813</v>
      </c>
      <c r="AN789" s="59">
        <v>3</v>
      </c>
      <c r="AO789" s="59">
        <v>0</v>
      </c>
      <c r="AP789" s="59">
        <v>18</v>
      </c>
      <c r="AQ789" s="59">
        <v>3</v>
      </c>
      <c r="AR789" s="59">
        <v>2</v>
      </c>
      <c r="AS789" s="59">
        <v>80</v>
      </c>
      <c r="AT789" s="59">
        <v>1</v>
      </c>
      <c r="AU789" s="59">
        <v>23</v>
      </c>
      <c r="AV789" s="59">
        <v>4</v>
      </c>
      <c r="AW789" s="59">
        <v>3</v>
      </c>
      <c r="AX789" s="59">
        <v>3</v>
      </c>
      <c r="AY789" s="59">
        <v>2</v>
      </c>
      <c r="AZ789" s="59">
        <v>1</v>
      </c>
      <c r="BA789" s="59">
        <v>2</v>
      </c>
      <c r="BB789" s="57">
        <f t="shared" si="246"/>
        <v>32928</v>
      </c>
    </row>
    <row r="790" spans="1:54" x14ac:dyDescent="0.25">
      <c r="A790" s="58">
        <v>28</v>
      </c>
      <c r="B790" s="59">
        <v>0</v>
      </c>
      <c r="C790" s="59">
        <v>1</v>
      </c>
      <c r="D790" s="59">
        <f t="shared" si="228"/>
        <v>1</v>
      </c>
      <c r="E790" s="59">
        <f t="shared" si="229"/>
        <v>0</v>
      </c>
      <c r="F790" s="59">
        <v>857</v>
      </c>
      <c r="G790" s="59">
        <v>2</v>
      </c>
      <c r="H790" s="59">
        <f t="shared" si="230"/>
        <v>0</v>
      </c>
      <c r="I790" s="59">
        <f t="shared" si="231"/>
        <v>1</v>
      </c>
      <c r="J790" s="59">
        <v>10</v>
      </c>
      <c r="K790" s="59">
        <v>3</v>
      </c>
      <c r="L790" s="59">
        <v>6</v>
      </c>
      <c r="M790" s="59">
        <f t="shared" si="232"/>
        <v>0</v>
      </c>
      <c r="N790" s="59">
        <f t="shared" si="233"/>
        <v>0</v>
      </c>
      <c r="O790" s="59">
        <f t="shared" si="234"/>
        <v>0</v>
      </c>
      <c r="P790" s="59">
        <f t="shared" si="235"/>
        <v>0</v>
      </c>
      <c r="Q790" s="59">
        <f t="shared" si="236"/>
        <v>0</v>
      </c>
      <c r="R790" s="59">
        <v>1</v>
      </c>
      <c r="S790" s="59">
        <v>1097</v>
      </c>
      <c r="T790" s="59">
        <v>3</v>
      </c>
      <c r="U790" s="59">
        <v>0</v>
      </c>
      <c r="V790" s="59">
        <v>59</v>
      </c>
      <c r="W790" s="59">
        <v>3</v>
      </c>
      <c r="X790" s="59">
        <v>2</v>
      </c>
      <c r="Y790" s="59">
        <v>2</v>
      </c>
      <c r="Z790" s="59">
        <f t="shared" si="237"/>
        <v>0</v>
      </c>
      <c r="AA790" s="59">
        <f>IF('Updated Dummy'!Y790=2,1,0)</f>
        <v>1</v>
      </c>
      <c r="AB790" s="59">
        <f t="shared" si="238"/>
        <v>0</v>
      </c>
      <c r="AC790" s="59">
        <f t="shared" si="239"/>
        <v>0</v>
      </c>
      <c r="AD790" s="59">
        <f t="shared" si="240"/>
        <v>0</v>
      </c>
      <c r="AE790" s="59">
        <f t="shared" si="241"/>
        <v>0</v>
      </c>
      <c r="AF790" s="59">
        <f t="shared" si="242"/>
        <v>0</v>
      </c>
      <c r="AG790" s="59">
        <f t="shared" si="243"/>
        <v>0</v>
      </c>
      <c r="AH790" s="59">
        <v>3</v>
      </c>
      <c r="AI790" s="59">
        <v>1</v>
      </c>
      <c r="AJ790" s="59">
        <f t="shared" si="244"/>
        <v>1</v>
      </c>
      <c r="AK790" s="59">
        <f t="shared" si="245"/>
        <v>0</v>
      </c>
      <c r="AL790" s="59">
        <v>3660</v>
      </c>
      <c r="AM790" s="59">
        <v>7909</v>
      </c>
      <c r="AN790" s="59">
        <v>3</v>
      </c>
      <c r="AO790" s="59">
        <v>0</v>
      </c>
      <c r="AP790" s="59">
        <v>13</v>
      </c>
      <c r="AQ790" s="59">
        <v>3</v>
      </c>
      <c r="AR790" s="59">
        <v>4</v>
      </c>
      <c r="AS790" s="59">
        <v>80</v>
      </c>
      <c r="AT790" s="59">
        <v>0</v>
      </c>
      <c r="AU790" s="59">
        <v>10</v>
      </c>
      <c r="AV790" s="59">
        <v>4</v>
      </c>
      <c r="AW790" s="59">
        <v>4</v>
      </c>
      <c r="AX790" s="59">
        <v>8</v>
      </c>
      <c r="AY790" s="59">
        <v>7</v>
      </c>
      <c r="AZ790" s="59">
        <v>1</v>
      </c>
      <c r="BA790" s="59">
        <v>7</v>
      </c>
      <c r="BB790" s="57">
        <f t="shared" si="246"/>
        <v>7320</v>
      </c>
    </row>
    <row r="791" spans="1:54" x14ac:dyDescent="0.25">
      <c r="A791" s="58">
        <v>44</v>
      </c>
      <c r="B791" s="59">
        <v>1</v>
      </c>
      <c r="C791" s="59">
        <v>1</v>
      </c>
      <c r="D791" s="59">
        <f t="shared" si="228"/>
        <v>1</v>
      </c>
      <c r="E791" s="59">
        <f t="shared" si="229"/>
        <v>0</v>
      </c>
      <c r="F791" s="59">
        <v>1376</v>
      </c>
      <c r="G791" s="59">
        <v>3</v>
      </c>
      <c r="H791" s="59">
        <f t="shared" si="230"/>
        <v>0</v>
      </c>
      <c r="I791" s="59">
        <f t="shared" si="231"/>
        <v>0</v>
      </c>
      <c r="J791" s="59">
        <v>1</v>
      </c>
      <c r="K791" s="59">
        <v>2</v>
      </c>
      <c r="L791" s="59">
        <v>3</v>
      </c>
      <c r="M791" s="59">
        <f t="shared" si="232"/>
        <v>0</v>
      </c>
      <c r="N791" s="59">
        <f t="shared" si="233"/>
        <v>0</v>
      </c>
      <c r="O791" s="59">
        <f t="shared" si="234"/>
        <v>1</v>
      </c>
      <c r="P791" s="59">
        <f t="shared" si="235"/>
        <v>0</v>
      </c>
      <c r="Q791" s="59">
        <f t="shared" si="236"/>
        <v>0</v>
      </c>
      <c r="R791" s="59">
        <v>1</v>
      </c>
      <c r="S791" s="59">
        <v>1098</v>
      </c>
      <c r="T791" s="59">
        <v>2</v>
      </c>
      <c r="U791" s="59">
        <v>1</v>
      </c>
      <c r="V791" s="59">
        <v>91</v>
      </c>
      <c r="W791" s="59">
        <v>2</v>
      </c>
      <c r="X791" s="59">
        <v>3</v>
      </c>
      <c r="Y791" s="59">
        <v>9</v>
      </c>
      <c r="Z791" s="59">
        <f t="shared" si="237"/>
        <v>0</v>
      </c>
      <c r="AA791" s="59">
        <f>IF('Updated Dummy'!Y791=2,1,0)</f>
        <v>0</v>
      </c>
      <c r="AB791" s="59">
        <f t="shared" si="238"/>
        <v>0</v>
      </c>
      <c r="AC791" s="59">
        <f t="shared" si="239"/>
        <v>0</v>
      </c>
      <c r="AD791" s="59">
        <f t="shared" si="240"/>
        <v>0</v>
      </c>
      <c r="AE791" s="59">
        <f t="shared" si="241"/>
        <v>0</v>
      </c>
      <c r="AF791" s="59">
        <f t="shared" si="242"/>
        <v>0</v>
      </c>
      <c r="AG791" s="59">
        <f t="shared" si="243"/>
        <v>0</v>
      </c>
      <c r="AH791" s="59">
        <v>1</v>
      </c>
      <c r="AI791" s="59">
        <v>2</v>
      </c>
      <c r="AJ791" s="59">
        <f t="shared" si="244"/>
        <v>0</v>
      </c>
      <c r="AK791" s="59">
        <f t="shared" si="245"/>
        <v>1</v>
      </c>
      <c r="AL791" s="59">
        <v>10482</v>
      </c>
      <c r="AM791" s="59">
        <v>2326</v>
      </c>
      <c r="AN791" s="59">
        <v>9</v>
      </c>
      <c r="AO791" s="59">
        <v>0</v>
      </c>
      <c r="AP791" s="59">
        <v>14</v>
      </c>
      <c r="AQ791" s="59">
        <v>3</v>
      </c>
      <c r="AR791" s="59">
        <v>4</v>
      </c>
      <c r="AS791" s="59">
        <v>80</v>
      </c>
      <c r="AT791" s="59">
        <v>1</v>
      </c>
      <c r="AU791" s="59">
        <v>24</v>
      </c>
      <c r="AV791" s="59">
        <v>1</v>
      </c>
      <c r="AW791" s="59">
        <v>3</v>
      </c>
      <c r="AX791" s="59">
        <v>20</v>
      </c>
      <c r="AY791" s="59">
        <v>6</v>
      </c>
      <c r="AZ791" s="59">
        <v>3</v>
      </c>
      <c r="BA791" s="59">
        <v>6</v>
      </c>
      <c r="BB791" s="57">
        <f t="shared" si="246"/>
        <v>31446</v>
      </c>
    </row>
    <row r="792" spans="1:54" x14ac:dyDescent="0.25">
      <c r="A792" s="58">
        <v>33</v>
      </c>
      <c r="B792" s="59">
        <v>0</v>
      </c>
      <c r="C792" s="59">
        <v>1</v>
      </c>
      <c r="D792" s="59">
        <f t="shared" si="228"/>
        <v>1</v>
      </c>
      <c r="E792" s="59">
        <f t="shared" si="229"/>
        <v>0</v>
      </c>
      <c r="F792" s="59">
        <v>654</v>
      </c>
      <c r="G792" s="59">
        <v>2</v>
      </c>
      <c r="H792" s="59">
        <f t="shared" si="230"/>
        <v>0</v>
      </c>
      <c r="I792" s="59">
        <f t="shared" si="231"/>
        <v>1</v>
      </c>
      <c r="J792" s="59">
        <v>5</v>
      </c>
      <c r="K792" s="59">
        <v>3</v>
      </c>
      <c r="L792" s="59">
        <v>1</v>
      </c>
      <c r="M792" s="59">
        <f t="shared" si="232"/>
        <v>1</v>
      </c>
      <c r="N792" s="59">
        <f t="shared" si="233"/>
        <v>0</v>
      </c>
      <c r="O792" s="59">
        <f t="shared" si="234"/>
        <v>0</v>
      </c>
      <c r="P792" s="59">
        <f t="shared" si="235"/>
        <v>0</v>
      </c>
      <c r="Q792" s="59">
        <f t="shared" si="236"/>
        <v>0</v>
      </c>
      <c r="R792" s="59">
        <v>1</v>
      </c>
      <c r="S792" s="59">
        <v>1099</v>
      </c>
      <c r="T792" s="59">
        <v>4</v>
      </c>
      <c r="U792" s="59">
        <v>1</v>
      </c>
      <c r="V792" s="59">
        <v>34</v>
      </c>
      <c r="W792" s="59">
        <v>2</v>
      </c>
      <c r="X792" s="59">
        <v>3</v>
      </c>
      <c r="Y792" s="59">
        <v>5</v>
      </c>
      <c r="Z792" s="59">
        <f t="shared" si="237"/>
        <v>0</v>
      </c>
      <c r="AA792" s="59">
        <f>IF('Updated Dummy'!Y792=2,1,0)</f>
        <v>0</v>
      </c>
      <c r="AB792" s="59">
        <f t="shared" si="238"/>
        <v>0</v>
      </c>
      <c r="AC792" s="59">
        <f t="shared" si="239"/>
        <v>0</v>
      </c>
      <c r="AD792" s="59">
        <f t="shared" si="240"/>
        <v>1</v>
      </c>
      <c r="AE792" s="59">
        <f t="shared" si="241"/>
        <v>0</v>
      </c>
      <c r="AF792" s="59">
        <f t="shared" si="242"/>
        <v>0</v>
      </c>
      <c r="AG792" s="59">
        <f t="shared" si="243"/>
        <v>0</v>
      </c>
      <c r="AH792" s="59">
        <v>4</v>
      </c>
      <c r="AI792" s="59">
        <v>3</v>
      </c>
      <c r="AJ792" s="59">
        <f t="shared" si="244"/>
        <v>0</v>
      </c>
      <c r="AK792" s="59">
        <f t="shared" si="245"/>
        <v>0</v>
      </c>
      <c r="AL792" s="59">
        <v>7119</v>
      </c>
      <c r="AM792" s="59">
        <v>21214</v>
      </c>
      <c r="AN792" s="59">
        <v>4</v>
      </c>
      <c r="AO792" s="59">
        <v>0</v>
      </c>
      <c r="AP792" s="59">
        <v>15</v>
      </c>
      <c r="AQ792" s="59">
        <v>3</v>
      </c>
      <c r="AR792" s="59">
        <v>3</v>
      </c>
      <c r="AS792" s="59">
        <v>80</v>
      </c>
      <c r="AT792" s="59">
        <v>1</v>
      </c>
      <c r="AU792" s="59">
        <v>9</v>
      </c>
      <c r="AV792" s="59">
        <v>2</v>
      </c>
      <c r="AW792" s="59">
        <v>3</v>
      </c>
      <c r="AX792" s="59">
        <v>3</v>
      </c>
      <c r="AY792" s="59">
        <v>2</v>
      </c>
      <c r="AZ792" s="59">
        <v>1</v>
      </c>
      <c r="BA792" s="59">
        <v>2</v>
      </c>
      <c r="BB792" s="57">
        <f t="shared" si="246"/>
        <v>21357</v>
      </c>
    </row>
    <row r="793" spans="1:54" x14ac:dyDescent="0.25">
      <c r="A793" s="58">
        <v>35</v>
      </c>
      <c r="B793" s="59">
        <v>1</v>
      </c>
      <c r="C793" s="59">
        <v>1</v>
      </c>
      <c r="D793" s="59">
        <f t="shared" si="228"/>
        <v>1</v>
      </c>
      <c r="E793" s="59">
        <f t="shared" si="229"/>
        <v>0</v>
      </c>
      <c r="F793" s="59">
        <v>1204</v>
      </c>
      <c r="G793" s="59">
        <v>1</v>
      </c>
      <c r="H793" s="59">
        <f t="shared" si="230"/>
        <v>1</v>
      </c>
      <c r="I793" s="59">
        <f t="shared" si="231"/>
        <v>0</v>
      </c>
      <c r="J793" s="59">
        <v>4</v>
      </c>
      <c r="K793" s="59">
        <v>3</v>
      </c>
      <c r="L793" s="59">
        <v>5</v>
      </c>
      <c r="M793" s="59">
        <f t="shared" si="232"/>
        <v>0</v>
      </c>
      <c r="N793" s="59">
        <f t="shared" si="233"/>
        <v>0</v>
      </c>
      <c r="O793" s="59">
        <f t="shared" si="234"/>
        <v>0</v>
      </c>
      <c r="P793" s="59">
        <f t="shared" si="235"/>
        <v>0</v>
      </c>
      <c r="Q793" s="59">
        <f t="shared" si="236"/>
        <v>1</v>
      </c>
      <c r="R793" s="59">
        <v>1</v>
      </c>
      <c r="S793" s="59">
        <v>1100</v>
      </c>
      <c r="T793" s="59">
        <v>4</v>
      </c>
      <c r="U793" s="59">
        <v>1</v>
      </c>
      <c r="V793" s="59">
        <v>86</v>
      </c>
      <c r="W793" s="59">
        <v>3</v>
      </c>
      <c r="X793" s="59">
        <v>3</v>
      </c>
      <c r="Y793" s="59">
        <v>1</v>
      </c>
      <c r="Z793" s="59">
        <f t="shared" si="237"/>
        <v>1</v>
      </c>
      <c r="AA793" s="59">
        <f>IF('Updated Dummy'!Y793=2,1,0)</f>
        <v>0</v>
      </c>
      <c r="AB793" s="59">
        <f t="shared" si="238"/>
        <v>0</v>
      </c>
      <c r="AC793" s="59">
        <f t="shared" si="239"/>
        <v>0</v>
      </c>
      <c r="AD793" s="59">
        <f t="shared" si="240"/>
        <v>0</v>
      </c>
      <c r="AE793" s="59">
        <f t="shared" si="241"/>
        <v>0</v>
      </c>
      <c r="AF793" s="59">
        <f t="shared" si="242"/>
        <v>0</v>
      </c>
      <c r="AG793" s="59">
        <f t="shared" si="243"/>
        <v>0</v>
      </c>
      <c r="AH793" s="59">
        <v>1</v>
      </c>
      <c r="AI793" s="59">
        <v>1</v>
      </c>
      <c r="AJ793" s="59">
        <f t="shared" si="244"/>
        <v>1</v>
      </c>
      <c r="AK793" s="59">
        <f t="shared" si="245"/>
        <v>0</v>
      </c>
      <c r="AL793" s="59">
        <v>9582</v>
      </c>
      <c r="AM793" s="59">
        <v>10333</v>
      </c>
      <c r="AN793" s="59">
        <v>0</v>
      </c>
      <c r="AO793" s="59">
        <v>1</v>
      </c>
      <c r="AP793" s="59">
        <v>22</v>
      </c>
      <c r="AQ793" s="59">
        <v>4</v>
      </c>
      <c r="AR793" s="59">
        <v>1</v>
      </c>
      <c r="AS793" s="59">
        <v>80</v>
      </c>
      <c r="AT793" s="59">
        <v>0</v>
      </c>
      <c r="AU793" s="59">
        <v>9</v>
      </c>
      <c r="AV793" s="59">
        <v>2</v>
      </c>
      <c r="AW793" s="59">
        <v>3</v>
      </c>
      <c r="AX793" s="59">
        <v>8</v>
      </c>
      <c r="AY793" s="59">
        <v>7</v>
      </c>
      <c r="AZ793" s="59">
        <v>4</v>
      </c>
      <c r="BA793" s="59">
        <v>7</v>
      </c>
      <c r="BB793" s="57">
        <f t="shared" si="246"/>
        <v>28746</v>
      </c>
    </row>
    <row r="794" spans="1:54" x14ac:dyDescent="0.25">
      <c r="A794" s="58">
        <v>33</v>
      </c>
      <c r="B794" s="59">
        <v>1</v>
      </c>
      <c r="C794" s="59">
        <v>2</v>
      </c>
      <c r="D794" s="59">
        <f t="shared" si="228"/>
        <v>0</v>
      </c>
      <c r="E794" s="59">
        <f t="shared" si="229"/>
        <v>1</v>
      </c>
      <c r="F794" s="59">
        <v>827</v>
      </c>
      <c r="G794" s="59">
        <v>2</v>
      </c>
      <c r="H794" s="59">
        <f t="shared" si="230"/>
        <v>0</v>
      </c>
      <c r="I794" s="59">
        <f t="shared" si="231"/>
        <v>1</v>
      </c>
      <c r="J794" s="59">
        <v>29</v>
      </c>
      <c r="K794" s="59">
        <v>4</v>
      </c>
      <c r="L794" s="59">
        <v>3</v>
      </c>
      <c r="M794" s="59">
        <f t="shared" si="232"/>
        <v>0</v>
      </c>
      <c r="N794" s="59">
        <f t="shared" si="233"/>
        <v>0</v>
      </c>
      <c r="O794" s="59">
        <f t="shared" si="234"/>
        <v>1</v>
      </c>
      <c r="P794" s="59">
        <f t="shared" si="235"/>
        <v>0</v>
      </c>
      <c r="Q794" s="59">
        <f t="shared" si="236"/>
        <v>0</v>
      </c>
      <c r="R794" s="59">
        <v>1</v>
      </c>
      <c r="S794" s="59">
        <v>1101</v>
      </c>
      <c r="T794" s="59">
        <v>1</v>
      </c>
      <c r="U794" s="59">
        <v>0</v>
      </c>
      <c r="V794" s="59">
        <v>54</v>
      </c>
      <c r="W794" s="59">
        <v>2</v>
      </c>
      <c r="X794" s="59">
        <v>2</v>
      </c>
      <c r="Y794" s="59">
        <v>2</v>
      </c>
      <c r="Z794" s="59">
        <f t="shared" si="237"/>
        <v>0</v>
      </c>
      <c r="AA794" s="59">
        <f>IF('Updated Dummy'!Y794=2,1,0)</f>
        <v>1</v>
      </c>
      <c r="AB794" s="59">
        <f t="shared" si="238"/>
        <v>0</v>
      </c>
      <c r="AC794" s="59">
        <f t="shared" si="239"/>
        <v>0</v>
      </c>
      <c r="AD794" s="59">
        <f t="shared" si="240"/>
        <v>0</v>
      </c>
      <c r="AE794" s="59">
        <f t="shared" si="241"/>
        <v>0</v>
      </c>
      <c r="AF794" s="59">
        <f t="shared" si="242"/>
        <v>0</v>
      </c>
      <c r="AG794" s="59">
        <f t="shared" si="243"/>
        <v>0</v>
      </c>
      <c r="AH794" s="59">
        <v>3</v>
      </c>
      <c r="AI794" s="59">
        <v>1</v>
      </c>
      <c r="AJ794" s="59">
        <f t="shared" si="244"/>
        <v>1</v>
      </c>
      <c r="AK794" s="59">
        <f t="shared" si="245"/>
        <v>0</v>
      </c>
      <c r="AL794" s="59">
        <v>4508</v>
      </c>
      <c r="AM794" s="59">
        <v>3129</v>
      </c>
      <c r="AN794" s="59">
        <v>1</v>
      </c>
      <c r="AO794" s="59">
        <v>0</v>
      </c>
      <c r="AP794" s="59">
        <v>22</v>
      </c>
      <c r="AQ794" s="59">
        <v>4</v>
      </c>
      <c r="AR794" s="59">
        <v>2</v>
      </c>
      <c r="AS794" s="59">
        <v>80</v>
      </c>
      <c r="AT794" s="59">
        <v>0</v>
      </c>
      <c r="AU794" s="59">
        <v>14</v>
      </c>
      <c r="AV794" s="59">
        <v>4</v>
      </c>
      <c r="AW794" s="59">
        <v>3</v>
      </c>
      <c r="AX794" s="59">
        <v>13</v>
      </c>
      <c r="AY794" s="59">
        <v>7</v>
      </c>
      <c r="AZ794" s="59">
        <v>3</v>
      </c>
      <c r="BA794" s="59">
        <v>8</v>
      </c>
      <c r="BB794" s="57">
        <f t="shared" si="246"/>
        <v>9016</v>
      </c>
    </row>
    <row r="795" spans="1:54" x14ac:dyDescent="0.25">
      <c r="A795" s="58">
        <v>28</v>
      </c>
      <c r="B795" s="59">
        <v>0</v>
      </c>
      <c r="C795" s="59">
        <v>1</v>
      </c>
      <c r="D795" s="59">
        <f t="shared" si="228"/>
        <v>1</v>
      </c>
      <c r="E795" s="59">
        <f t="shared" si="229"/>
        <v>0</v>
      </c>
      <c r="F795" s="59">
        <v>895</v>
      </c>
      <c r="G795" s="59">
        <v>2</v>
      </c>
      <c r="H795" s="59">
        <f t="shared" si="230"/>
        <v>0</v>
      </c>
      <c r="I795" s="59">
        <f t="shared" si="231"/>
        <v>1</v>
      </c>
      <c r="J795" s="59">
        <v>15</v>
      </c>
      <c r="K795" s="59">
        <v>2</v>
      </c>
      <c r="L795" s="59">
        <v>1</v>
      </c>
      <c r="M795" s="59">
        <f t="shared" si="232"/>
        <v>1</v>
      </c>
      <c r="N795" s="59">
        <f t="shared" si="233"/>
        <v>0</v>
      </c>
      <c r="O795" s="59">
        <f t="shared" si="234"/>
        <v>0</v>
      </c>
      <c r="P795" s="59">
        <f t="shared" si="235"/>
        <v>0</v>
      </c>
      <c r="Q795" s="59">
        <f t="shared" si="236"/>
        <v>0</v>
      </c>
      <c r="R795" s="59">
        <v>1</v>
      </c>
      <c r="S795" s="59">
        <v>1102</v>
      </c>
      <c r="T795" s="59">
        <v>1</v>
      </c>
      <c r="U795" s="59">
        <v>1</v>
      </c>
      <c r="V795" s="59">
        <v>50</v>
      </c>
      <c r="W795" s="59">
        <v>3</v>
      </c>
      <c r="X795" s="59">
        <v>1</v>
      </c>
      <c r="Y795" s="59">
        <v>3</v>
      </c>
      <c r="Z795" s="59">
        <f t="shared" si="237"/>
        <v>0</v>
      </c>
      <c r="AA795" s="59">
        <f>IF('Updated Dummy'!Y795=2,1,0)</f>
        <v>0</v>
      </c>
      <c r="AB795" s="59">
        <f t="shared" si="238"/>
        <v>1</v>
      </c>
      <c r="AC795" s="59">
        <f t="shared" si="239"/>
        <v>0</v>
      </c>
      <c r="AD795" s="59">
        <f t="shared" si="240"/>
        <v>0</v>
      </c>
      <c r="AE795" s="59">
        <f t="shared" si="241"/>
        <v>0</v>
      </c>
      <c r="AF795" s="59">
        <f t="shared" si="242"/>
        <v>0</v>
      </c>
      <c r="AG795" s="59">
        <f t="shared" si="243"/>
        <v>0</v>
      </c>
      <c r="AH795" s="59">
        <v>3</v>
      </c>
      <c r="AI795" s="59">
        <v>3</v>
      </c>
      <c r="AJ795" s="59">
        <f t="shared" si="244"/>
        <v>0</v>
      </c>
      <c r="AK795" s="59">
        <f t="shared" si="245"/>
        <v>0</v>
      </c>
      <c r="AL795" s="59">
        <v>2207</v>
      </c>
      <c r="AM795" s="59">
        <v>22482</v>
      </c>
      <c r="AN795" s="59">
        <v>1</v>
      </c>
      <c r="AO795" s="59">
        <v>0</v>
      </c>
      <c r="AP795" s="59">
        <v>16</v>
      </c>
      <c r="AQ795" s="59">
        <v>3</v>
      </c>
      <c r="AR795" s="59">
        <v>4</v>
      </c>
      <c r="AS795" s="59">
        <v>80</v>
      </c>
      <c r="AT795" s="59">
        <v>1</v>
      </c>
      <c r="AU795" s="59">
        <v>4</v>
      </c>
      <c r="AV795" s="59">
        <v>5</v>
      </c>
      <c r="AW795" s="59">
        <v>2</v>
      </c>
      <c r="AX795" s="59">
        <v>4</v>
      </c>
      <c r="AY795" s="59">
        <v>2</v>
      </c>
      <c r="AZ795" s="59">
        <v>2</v>
      </c>
      <c r="BA795" s="59">
        <v>2</v>
      </c>
      <c r="BB795" s="57">
        <f t="shared" si="246"/>
        <v>2207</v>
      </c>
    </row>
    <row r="796" spans="1:54" x14ac:dyDescent="0.25">
      <c r="A796" s="58">
        <v>34</v>
      </c>
      <c r="B796" s="59">
        <v>0</v>
      </c>
      <c r="C796" s="59">
        <v>2</v>
      </c>
      <c r="D796" s="59">
        <f t="shared" si="228"/>
        <v>0</v>
      </c>
      <c r="E796" s="59">
        <f t="shared" si="229"/>
        <v>1</v>
      </c>
      <c r="F796" s="59">
        <v>618</v>
      </c>
      <c r="G796" s="59">
        <v>2</v>
      </c>
      <c r="H796" s="59">
        <f t="shared" si="230"/>
        <v>0</v>
      </c>
      <c r="I796" s="59">
        <f t="shared" si="231"/>
        <v>1</v>
      </c>
      <c r="J796" s="59">
        <v>3</v>
      </c>
      <c r="K796" s="59">
        <v>1</v>
      </c>
      <c r="L796" s="59">
        <v>1</v>
      </c>
      <c r="M796" s="59">
        <f t="shared" si="232"/>
        <v>1</v>
      </c>
      <c r="N796" s="59">
        <f t="shared" si="233"/>
        <v>0</v>
      </c>
      <c r="O796" s="59">
        <f t="shared" si="234"/>
        <v>0</v>
      </c>
      <c r="P796" s="59">
        <f t="shared" si="235"/>
        <v>0</v>
      </c>
      <c r="Q796" s="59">
        <f t="shared" si="236"/>
        <v>0</v>
      </c>
      <c r="R796" s="59">
        <v>1</v>
      </c>
      <c r="S796" s="59">
        <v>1103</v>
      </c>
      <c r="T796" s="59">
        <v>1</v>
      </c>
      <c r="U796" s="59">
        <v>1</v>
      </c>
      <c r="V796" s="59">
        <v>45</v>
      </c>
      <c r="W796" s="59">
        <v>3</v>
      </c>
      <c r="X796" s="59">
        <v>2</v>
      </c>
      <c r="Y796" s="59">
        <v>5</v>
      </c>
      <c r="Z796" s="59">
        <f t="shared" si="237"/>
        <v>0</v>
      </c>
      <c r="AA796" s="59">
        <f>IF('Updated Dummy'!Y796=2,1,0)</f>
        <v>0</v>
      </c>
      <c r="AB796" s="59">
        <f t="shared" si="238"/>
        <v>0</v>
      </c>
      <c r="AC796" s="59">
        <f t="shared" si="239"/>
        <v>0</v>
      </c>
      <c r="AD796" s="59">
        <f t="shared" si="240"/>
        <v>1</v>
      </c>
      <c r="AE796" s="59">
        <f t="shared" si="241"/>
        <v>0</v>
      </c>
      <c r="AF796" s="59">
        <f t="shared" si="242"/>
        <v>0</v>
      </c>
      <c r="AG796" s="59">
        <f t="shared" si="243"/>
        <v>0</v>
      </c>
      <c r="AH796" s="59">
        <v>4</v>
      </c>
      <c r="AI796" s="59">
        <v>1</v>
      </c>
      <c r="AJ796" s="59">
        <f t="shared" si="244"/>
        <v>1</v>
      </c>
      <c r="AK796" s="59">
        <f t="shared" si="245"/>
        <v>0</v>
      </c>
      <c r="AL796" s="59">
        <v>7756</v>
      </c>
      <c r="AM796" s="59">
        <v>22266</v>
      </c>
      <c r="AN796" s="59">
        <v>0</v>
      </c>
      <c r="AO796" s="59">
        <v>0</v>
      </c>
      <c r="AP796" s="59">
        <v>17</v>
      </c>
      <c r="AQ796" s="59">
        <v>3</v>
      </c>
      <c r="AR796" s="59">
        <v>3</v>
      </c>
      <c r="AS796" s="59">
        <v>80</v>
      </c>
      <c r="AT796" s="59">
        <v>0</v>
      </c>
      <c r="AU796" s="59">
        <v>7</v>
      </c>
      <c r="AV796" s="59">
        <v>1</v>
      </c>
      <c r="AW796" s="59">
        <v>2</v>
      </c>
      <c r="AX796" s="59">
        <v>6</v>
      </c>
      <c r="AY796" s="59">
        <v>2</v>
      </c>
      <c r="AZ796" s="59">
        <v>0</v>
      </c>
      <c r="BA796" s="59">
        <v>4</v>
      </c>
      <c r="BB796" s="57">
        <f t="shared" si="246"/>
        <v>15512</v>
      </c>
    </row>
    <row r="797" spans="1:54" x14ac:dyDescent="0.25">
      <c r="A797" s="58">
        <v>37</v>
      </c>
      <c r="B797" s="59">
        <v>0</v>
      </c>
      <c r="C797" s="59">
        <v>1</v>
      </c>
      <c r="D797" s="59">
        <f t="shared" si="228"/>
        <v>1</v>
      </c>
      <c r="E797" s="59">
        <f t="shared" si="229"/>
        <v>0</v>
      </c>
      <c r="F797" s="59">
        <v>309</v>
      </c>
      <c r="G797" s="59">
        <v>1</v>
      </c>
      <c r="H797" s="59">
        <f t="shared" si="230"/>
        <v>1</v>
      </c>
      <c r="I797" s="59">
        <f t="shared" si="231"/>
        <v>0</v>
      </c>
      <c r="J797" s="59">
        <v>10</v>
      </c>
      <c r="K797" s="59">
        <v>4</v>
      </c>
      <c r="L797" s="59">
        <v>1</v>
      </c>
      <c r="M797" s="59">
        <f t="shared" si="232"/>
        <v>1</v>
      </c>
      <c r="N797" s="59">
        <f t="shared" si="233"/>
        <v>0</v>
      </c>
      <c r="O797" s="59">
        <f t="shared" si="234"/>
        <v>0</v>
      </c>
      <c r="P797" s="59">
        <f t="shared" si="235"/>
        <v>0</v>
      </c>
      <c r="Q797" s="59">
        <f t="shared" si="236"/>
        <v>0</v>
      </c>
      <c r="R797" s="59">
        <v>1</v>
      </c>
      <c r="S797" s="59">
        <v>1105</v>
      </c>
      <c r="T797" s="59">
        <v>4</v>
      </c>
      <c r="U797" s="59">
        <v>0</v>
      </c>
      <c r="V797" s="59">
        <v>88</v>
      </c>
      <c r="W797" s="59">
        <v>2</v>
      </c>
      <c r="X797" s="59">
        <v>2</v>
      </c>
      <c r="Y797" s="59">
        <v>1</v>
      </c>
      <c r="Z797" s="59">
        <f t="shared" si="237"/>
        <v>1</v>
      </c>
      <c r="AA797" s="59">
        <f>IF('Updated Dummy'!Y797=2,1,0)</f>
        <v>0</v>
      </c>
      <c r="AB797" s="59">
        <f t="shared" si="238"/>
        <v>0</v>
      </c>
      <c r="AC797" s="59">
        <f t="shared" si="239"/>
        <v>0</v>
      </c>
      <c r="AD797" s="59">
        <f t="shared" si="240"/>
        <v>0</v>
      </c>
      <c r="AE797" s="59">
        <f t="shared" si="241"/>
        <v>0</v>
      </c>
      <c r="AF797" s="59">
        <f t="shared" si="242"/>
        <v>0</v>
      </c>
      <c r="AG797" s="59">
        <f t="shared" si="243"/>
        <v>0</v>
      </c>
      <c r="AH797" s="59">
        <v>4</v>
      </c>
      <c r="AI797" s="59">
        <v>3</v>
      </c>
      <c r="AJ797" s="59">
        <f t="shared" si="244"/>
        <v>0</v>
      </c>
      <c r="AK797" s="59">
        <f t="shared" si="245"/>
        <v>0</v>
      </c>
      <c r="AL797" s="59">
        <v>6694</v>
      </c>
      <c r="AM797" s="59">
        <v>24223</v>
      </c>
      <c r="AN797" s="59">
        <v>2</v>
      </c>
      <c r="AO797" s="59">
        <v>1</v>
      </c>
      <c r="AP797" s="59">
        <v>14</v>
      </c>
      <c r="AQ797" s="59">
        <v>3</v>
      </c>
      <c r="AR797" s="59">
        <v>3</v>
      </c>
      <c r="AS797" s="59">
        <v>80</v>
      </c>
      <c r="AT797" s="59">
        <v>3</v>
      </c>
      <c r="AU797" s="59">
        <v>8</v>
      </c>
      <c r="AV797" s="59">
        <v>5</v>
      </c>
      <c r="AW797" s="59">
        <v>3</v>
      </c>
      <c r="AX797" s="59">
        <v>1</v>
      </c>
      <c r="AY797" s="59">
        <v>0</v>
      </c>
      <c r="AZ797" s="59">
        <v>0</v>
      </c>
      <c r="BA797" s="59">
        <v>0</v>
      </c>
      <c r="BB797" s="57">
        <f t="shared" si="246"/>
        <v>13388</v>
      </c>
    </row>
    <row r="798" spans="1:54" x14ac:dyDescent="0.25">
      <c r="A798" s="58">
        <v>25</v>
      </c>
      <c r="B798" s="59">
        <v>1</v>
      </c>
      <c r="C798" s="59">
        <v>1</v>
      </c>
      <c r="D798" s="59">
        <f t="shared" si="228"/>
        <v>1</v>
      </c>
      <c r="E798" s="59">
        <f t="shared" si="229"/>
        <v>0</v>
      </c>
      <c r="F798" s="59">
        <v>1219</v>
      </c>
      <c r="G798" s="59">
        <v>2</v>
      </c>
      <c r="H798" s="59">
        <f t="shared" si="230"/>
        <v>0</v>
      </c>
      <c r="I798" s="59">
        <f t="shared" si="231"/>
        <v>1</v>
      </c>
      <c r="J798" s="59">
        <v>4</v>
      </c>
      <c r="K798" s="59">
        <v>1</v>
      </c>
      <c r="L798" s="59">
        <v>5</v>
      </c>
      <c r="M798" s="59">
        <f t="shared" si="232"/>
        <v>0</v>
      </c>
      <c r="N798" s="59">
        <f t="shared" si="233"/>
        <v>0</v>
      </c>
      <c r="O798" s="59">
        <f t="shared" si="234"/>
        <v>0</v>
      </c>
      <c r="P798" s="59">
        <f t="shared" si="235"/>
        <v>0</v>
      </c>
      <c r="Q798" s="59">
        <f t="shared" si="236"/>
        <v>1</v>
      </c>
      <c r="R798" s="59">
        <v>1</v>
      </c>
      <c r="S798" s="59">
        <v>1106</v>
      </c>
      <c r="T798" s="59">
        <v>4</v>
      </c>
      <c r="U798" s="59">
        <v>1</v>
      </c>
      <c r="V798" s="59">
        <v>32</v>
      </c>
      <c r="W798" s="59">
        <v>3</v>
      </c>
      <c r="X798" s="59">
        <v>1</v>
      </c>
      <c r="Y798" s="59">
        <v>3</v>
      </c>
      <c r="Z798" s="59">
        <f t="shared" si="237"/>
        <v>0</v>
      </c>
      <c r="AA798" s="59">
        <f>IF('Updated Dummy'!Y798=2,1,0)</f>
        <v>0</v>
      </c>
      <c r="AB798" s="59">
        <f t="shared" si="238"/>
        <v>1</v>
      </c>
      <c r="AC798" s="59">
        <f t="shared" si="239"/>
        <v>0</v>
      </c>
      <c r="AD798" s="59">
        <f t="shared" si="240"/>
        <v>0</v>
      </c>
      <c r="AE798" s="59">
        <f t="shared" si="241"/>
        <v>0</v>
      </c>
      <c r="AF798" s="59">
        <f t="shared" si="242"/>
        <v>0</v>
      </c>
      <c r="AG798" s="59">
        <f t="shared" si="243"/>
        <v>0</v>
      </c>
      <c r="AH798" s="59">
        <v>4</v>
      </c>
      <c r="AI798" s="59">
        <v>2</v>
      </c>
      <c r="AJ798" s="59">
        <f t="shared" si="244"/>
        <v>0</v>
      </c>
      <c r="AK798" s="59">
        <f t="shared" si="245"/>
        <v>1</v>
      </c>
      <c r="AL798" s="59">
        <v>3691</v>
      </c>
      <c r="AM798" s="59">
        <v>4605</v>
      </c>
      <c r="AN798" s="59">
        <v>1</v>
      </c>
      <c r="AO798" s="59">
        <v>1</v>
      </c>
      <c r="AP798" s="59">
        <v>15</v>
      </c>
      <c r="AQ798" s="59">
        <v>3</v>
      </c>
      <c r="AR798" s="59">
        <v>2</v>
      </c>
      <c r="AS798" s="59">
        <v>80</v>
      </c>
      <c r="AT798" s="59">
        <v>1</v>
      </c>
      <c r="AU798" s="59">
        <v>7</v>
      </c>
      <c r="AV798" s="59">
        <v>3</v>
      </c>
      <c r="AW798" s="59">
        <v>4</v>
      </c>
      <c r="AX798" s="59">
        <v>7</v>
      </c>
      <c r="AY798" s="59">
        <v>7</v>
      </c>
      <c r="AZ798" s="59">
        <v>5</v>
      </c>
      <c r="BA798" s="59">
        <v>6</v>
      </c>
      <c r="BB798" s="57">
        <f t="shared" si="246"/>
        <v>3691</v>
      </c>
    </row>
    <row r="799" spans="1:54" x14ac:dyDescent="0.25">
      <c r="A799" s="58">
        <v>26</v>
      </c>
      <c r="B799" s="59">
        <v>1</v>
      </c>
      <c r="C799" s="59">
        <v>1</v>
      </c>
      <c r="D799" s="59">
        <f t="shared" si="228"/>
        <v>1</v>
      </c>
      <c r="E799" s="59">
        <f t="shared" si="229"/>
        <v>0</v>
      </c>
      <c r="F799" s="59">
        <v>1330</v>
      </c>
      <c r="G799" s="59">
        <v>2</v>
      </c>
      <c r="H799" s="59">
        <f t="shared" si="230"/>
        <v>0</v>
      </c>
      <c r="I799" s="59">
        <f t="shared" si="231"/>
        <v>1</v>
      </c>
      <c r="J799" s="59">
        <v>21</v>
      </c>
      <c r="K799" s="59">
        <v>3</v>
      </c>
      <c r="L799" s="59">
        <v>3</v>
      </c>
      <c r="M799" s="59">
        <f t="shared" si="232"/>
        <v>0</v>
      </c>
      <c r="N799" s="59">
        <f t="shared" si="233"/>
        <v>0</v>
      </c>
      <c r="O799" s="59">
        <f t="shared" si="234"/>
        <v>1</v>
      </c>
      <c r="P799" s="59">
        <f t="shared" si="235"/>
        <v>0</v>
      </c>
      <c r="Q799" s="59">
        <f t="shared" si="236"/>
        <v>0</v>
      </c>
      <c r="R799" s="59">
        <v>1</v>
      </c>
      <c r="S799" s="59">
        <v>1107</v>
      </c>
      <c r="T799" s="59">
        <v>1</v>
      </c>
      <c r="U799" s="59">
        <v>1</v>
      </c>
      <c r="V799" s="59">
        <v>37</v>
      </c>
      <c r="W799" s="59">
        <v>3</v>
      </c>
      <c r="X799" s="59">
        <v>1</v>
      </c>
      <c r="Y799" s="59">
        <v>3</v>
      </c>
      <c r="Z799" s="59">
        <f t="shared" si="237"/>
        <v>0</v>
      </c>
      <c r="AA799" s="59">
        <f>IF('Updated Dummy'!Y799=2,1,0)</f>
        <v>0</v>
      </c>
      <c r="AB799" s="59">
        <f t="shared" si="238"/>
        <v>1</v>
      </c>
      <c r="AC799" s="59">
        <f t="shared" si="239"/>
        <v>0</v>
      </c>
      <c r="AD799" s="59">
        <f t="shared" si="240"/>
        <v>0</v>
      </c>
      <c r="AE799" s="59">
        <f t="shared" si="241"/>
        <v>0</v>
      </c>
      <c r="AF799" s="59">
        <f t="shared" si="242"/>
        <v>0</v>
      </c>
      <c r="AG799" s="59">
        <f t="shared" si="243"/>
        <v>0</v>
      </c>
      <c r="AH799" s="59">
        <v>3</v>
      </c>
      <c r="AI799" s="59">
        <v>3</v>
      </c>
      <c r="AJ799" s="59">
        <f t="shared" si="244"/>
        <v>0</v>
      </c>
      <c r="AK799" s="59">
        <f t="shared" si="245"/>
        <v>0</v>
      </c>
      <c r="AL799" s="59">
        <v>2377</v>
      </c>
      <c r="AM799" s="59">
        <v>19373</v>
      </c>
      <c r="AN799" s="59">
        <v>1</v>
      </c>
      <c r="AO799" s="59">
        <v>0</v>
      </c>
      <c r="AP799" s="59">
        <v>20</v>
      </c>
      <c r="AQ799" s="59">
        <v>4</v>
      </c>
      <c r="AR799" s="59">
        <v>3</v>
      </c>
      <c r="AS799" s="59">
        <v>80</v>
      </c>
      <c r="AT799" s="59">
        <v>1</v>
      </c>
      <c r="AU799" s="59">
        <v>1</v>
      </c>
      <c r="AV799" s="59">
        <v>0</v>
      </c>
      <c r="AW799" s="59">
        <v>2</v>
      </c>
      <c r="AX799" s="59">
        <v>1</v>
      </c>
      <c r="AY799" s="59">
        <v>1</v>
      </c>
      <c r="AZ799" s="59">
        <v>0</v>
      </c>
      <c r="BA799" s="59">
        <v>0</v>
      </c>
      <c r="BB799" s="57">
        <f t="shared" si="246"/>
        <v>2377</v>
      </c>
    </row>
    <row r="800" spans="1:54" x14ac:dyDescent="0.25">
      <c r="A800" s="58">
        <v>33</v>
      </c>
      <c r="B800" s="59">
        <v>1</v>
      </c>
      <c r="C800" s="59">
        <v>1</v>
      </c>
      <c r="D800" s="59">
        <f t="shared" si="228"/>
        <v>1</v>
      </c>
      <c r="E800" s="59">
        <f t="shared" si="229"/>
        <v>0</v>
      </c>
      <c r="F800" s="59">
        <v>1017</v>
      </c>
      <c r="G800" s="59">
        <v>2</v>
      </c>
      <c r="H800" s="59">
        <f t="shared" si="230"/>
        <v>0</v>
      </c>
      <c r="I800" s="59">
        <f t="shared" si="231"/>
        <v>1</v>
      </c>
      <c r="J800" s="59">
        <v>25</v>
      </c>
      <c r="K800" s="59">
        <v>3</v>
      </c>
      <c r="L800" s="59">
        <v>3</v>
      </c>
      <c r="M800" s="59">
        <f t="shared" si="232"/>
        <v>0</v>
      </c>
      <c r="N800" s="59">
        <f t="shared" si="233"/>
        <v>0</v>
      </c>
      <c r="O800" s="59">
        <f t="shared" si="234"/>
        <v>1</v>
      </c>
      <c r="P800" s="59">
        <f t="shared" si="235"/>
        <v>0</v>
      </c>
      <c r="Q800" s="59">
        <f t="shared" si="236"/>
        <v>0</v>
      </c>
      <c r="R800" s="59">
        <v>1</v>
      </c>
      <c r="S800" s="59">
        <v>1108</v>
      </c>
      <c r="T800" s="59">
        <v>1</v>
      </c>
      <c r="U800" s="59">
        <v>1</v>
      </c>
      <c r="V800" s="59">
        <v>55</v>
      </c>
      <c r="W800" s="59">
        <v>2</v>
      </c>
      <c r="X800" s="59">
        <v>1</v>
      </c>
      <c r="Y800" s="59">
        <v>2</v>
      </c>
      <c r="Z800" s="59">
        <f t="shared" si="237"/>
        <v>0</v>
      </c>
      <c r="AA800" s="59">
        <f>IF('Updated Dummy'!Y800=2,1,0)</f>
        <v>1</v>
      </c>
      <c r="AB800" s="59">
        <f t="shared" si="238"/>
        <v>0</v>
      </c>
      <c r="AC800" s="59">
        <f t="shared" si="239"/>
        <v>0</v>
      </c>
      <c r="AD800" s="59">
        <f t="shared" si="240"/>
        <v>0</v>
      </c>
      <c r="AE800" s="59">
        <f t="shared" si="241"/>
        <v>0</v>
      </c>
      <c r="AF800" s="59">
        <f t="shared" si="242"/>
        <v>0</v>
      </c>
      <c r="AG800" s="59">
        <f t="shared" si="243"/>
        <v>0</v>
      </c>
      <c r="AH800" s="59">
        <v>2</v>
      </c>
      <c r="AI800" s="59">
        <v>1</v>
      </c>
      <c r="AJ800" s="59">
        <f t="shared" si="244"/>
        <v>1</v>
      </c>
      <c r="AK800" s="59">
        <f t="shared" si="245"/>
        <v>0</v>
      </c>
      <c r="AL800" s="59">
        <v>2313</v>
      </c>
      <c r="AM800" s="59">
        <v>2993</v>
      </c>
      <c r="AN800" s="59">
        <v>4</v>
      </c>
      <c r="AO800" s="59">
        <v>1</v>
      </c>
      <c r="AP800" s="59">
        <v>20</v>
      </c>
      <c r="AQ800" s="59">
        <v>4</v>
      </c>
      <c r="AR800" s="59">
        <v>2</v>
      </c>
      <c r="AS800" s="59">
        <v>80</v>
      </c>
      <c r="AT800" s="59">
        <v>0</v>
      </c>
      <c r="AU800" s="59">
        <v>5</v>
      </c>
      <c r="AV800" s="59">
        <v>0</v>
      </c>
      <c r="AW800" s="59">
        <v>3</v>
      </c>
      <c r="AX800" s="59">
        <v>2</v>
      </c>
      <c r="AY800" s="59">
        <v>2</v>
      </c>
      <c r="AZ800" s="59">
        <v>2</v>
      </c>
      <c r="BA800" s="59">
        <v>2</v>
      </c>
      <c r="BB800" s="57">
        <f t="shared" si="246"/>
        <v>2313</v>
      </c>
    </row>
    <row r="801" spans="1:54" x14ac:dyDescent="0.25">
      <c r="A801" s="58">
        <v>42</v>
      </c>
      <c r="B801" s="59">
        <v>0</v>
      </c>
      <c r="C801" s="59">
        <v>1</v>
      </c>
      <c r="D801" s="59">
        <f t="shared" si="228"/>
        <v>1</v>
      </c>
      <c r="E801" s="59">
        <f t="shared" si="229"/>
        <v>0</v>
      </c>
      <c r="F801" s="59">
        <v>469</v>
      </c>
      <c r="G801" s="59">
        <v>2</v>
      </c>
      <c r="H801" s="59">
        <f t="shared" si="230"/>
        <v>0</v>
      </c>
      <c r="I801" s="59">
        <f t="shared" si="231"/>
        <v>1</v>
      </c>
      <c r="J801" s="59">
        <v>2</v>
      </c>
      <c r="K801" s="59">
        <v>2</v>
      </c>
      <c r="L801" s="59">
        <v>3</v>
      </c>
      <c r="M801" s="59">
        <f t="shared" si="232"/>
        <v>0</v>
      </c>
      <c r="N801" s="59">
        <f t="shared" si="233"/>
        <v>0</v>
      </c>
      <c r="O801" s="59">
        <f t="shared" si="234"/>
        <v>1</v>
      </c>
      <c r="P801" s="59">
        <f t="shared" si="235"/>
        <v>0</v>
      </c>
      <c r="Q801" s="59">
        <f t="shared" si="236"/>
        <v>0</v>
      </c>
      <c r="R801" s="59">
        <v>1</v>
      </c>
      <c r="S801" s="59">
        <v>1109</v>
      </c>
      <c r="T801" s="59">
        <v>4</v>
      </c>
      <c r="U801" s="59">
        <v>1</v>
      </c>
      <c r="V801" s="59">
        <v>35</v>
      </c>
      <c r="W801" s="59">
        <v>3</v>
      </c>
      <c r="X801" s="59">
        <v>4</v>
      </c>
      <c r="Y801" s="59">
        <v>6</v>
      </c>
      <c r="Z801" s="59">
        <f t="shared" si="237"/>
        <v>0</v>
      </c>
      <c r="AA801" s="59">
        <f>IF('Updated Dummy'!Y801=2,1,0)</f>
        <v>0</v>
      </c>
      <c r="AB801" s="59">
        <f t="shared" si="238"/>
        <v>0</v>
      </c>
      <c r="AC801" s="59">
        <f t="shared" si="239"/>
        <v>0</v>
      </c>
      <c r="AD801" s="59">
        <f t="shared" si="240"/>
        <v>0</v>
      </c>
      <c r="AE801" s="59">
        <f t="shared" si="241"/>
        <v>1</v>
      </c>
      <c r="AF801" s="59">
        <f t="shared" si="242"/>
        <v>0</v>
      </c>
      <c r="AG801" s="59">
        <f t="shared" si="243"/>
        <v>0</v>
      </c>
      <c r="AH801" s="59">
        <v>1</v>
      </c>
      <c r="AI801" s="59">
        <v>2</v>
      </c>
      <c r="AJ801" s="59">
        <f t="shared" si="244"/>
        <v>0</v>
      </c>
      <c r="AK801" s="59">
        <f t="shared" si="245"/>
        <v>1</v>
      </c>
      <c r="AL801" s="59">
        <v>17665</v>
      </c>
      <c r="AM801" s="59">
        <v>14399</v>
      </c>
      <c r="AN801" s="59">
        <v>0</v>
      </c>
      <c r="AO801" s="59">
        <v>0</v>
      </c>
      <c r="AP801" s="59">
        <v>17</v>
      </c>
      <c r="AQ801" s="59">
        <v>3</v>
      </c>
      <c r="AR801" s="59">
        <v>4</v>
      </c>
      <c r="AS801" s="59">
        <v>80</v>
      </c>
      <c r="AT801" s="59">
        <v>1</v>
      </c>
      <c r="AU801" s="59">
        <v>23</v>
      </c>
      <c r="AV801" s="59">
        <v>3</v>
      </c>
      <c r="AW801" s="59">
        <v>3</v>
      </c>
      <c r="AX801" s="59">
        <v>22</v>
      </c>
      <c r="AY801" s="59">
        <v>6</v>
      </c>
      <c r="AZ801" s="59">
        <v>13</v>
      </c>
      <c r="BA801" s="59">
        <v>7</v>
      </c>
      <c r="BB801" s="57">
        <f t="shared" si="246"/>
        <v>70660</v>
      </c>
    </row>
    <row r="802" spans="1:54" x14ac:dyDescent="0.25">
      <c r="A802" s="58">
        <v>28</v>
      </c>
      <c r="B802" s="59">
        <v>1</v>
      </c>
      <c r="C802" s="59">
        <v>2</v>
      </c>
      <c r="D802" s="59">
        <f t="shared" si="228"/>
        <v>0</v>
      </c>
      <c r="E802" s="59">
        <f t="shared" si="229"/>
        <v>1</v>
      </c>
      <c r="F802" s="59">
        <v>1009</v>
      </c>
      <c r="G802" s="59">
        <v>2</v>
      </c>
      <c r="H802" s="59">
        <f t="shared" si="230"/>
        <v>0</v>
      </c>
      <c r="I802" s="59">
        <f t="shared" si="231"/>
        <v>1</v>
      </c>
      <c r="J802" s="59">
        <v>1</v>
      </c>
      <c r="K802" s="59">
        <v>3</v>
      </c>
      <c r="L802" s="59">
        <v>3</v>
      </c>
      <c r="M802" s="59">
        <f t="shared" si="232"/>
        <v>0</v>
      </c>
      <c r="N802" s="59">
        <f t="shared" si="233"/>
        <v>0</v>
      </c>
      <c r="O802" s="59">
        <f t="shared" si="234"/>
        <v>1</v>
      </c>
      <c r="P802" s="59">
        <f t="shared" si="235"/>
        <v>0</v>
      </c>
      <c r="Q802" s="59">
        <f t="shared" si="236"/>
        <v>0</v>
      </c>
      <c r="R802" s="59">
        <v>1</v>
      </c>
      <c r="S802" s="59">
        <v>1111</v>
      </c>
      <c r="T802" s="59">
        <v>1</v>
      </c>
      <c r="U802" s="59">
        <v>1</v>
      </c>
      <c r="V802" s="59">
        <v>45</v>
      </c>
      <c r="W802" s="59">
        <v>2</v>
      </c>
      <c r="X802" s="59">
        <v>1</v>
      </c>
      <c r="Y802" s="59">
        <v>3</v>
      </c>
      <c r="Z802" s="59">
        <f t="shared" si="237"/>
        <v>0</v>
      </c>
      <c r="AA802" s="59">
        <f>IF('Updated Dummy'!Y802=2,1,0)</f>
        <v>0</v>
      </c>
      <c r="AB802" s="59">
        <f t="shared" si="238"/>
        <v>1</v>
      </c>
      <c r="AC802" s="59">
        <f t="shared" si="239"/>
        <v>0</v>
      </c>
      <c r="AD802" s="59">
        <f t="shared" si="240"/>
        <v>0</v>
      </c>
      <c r="AE802" s="59">
        <f t="shared" si="241"/>
        <v>0</v>
      </c>
      <c r="AF802" s="59">
        <f t="shared" si="242"/>
        <v>0</v>
      </c>
      <c r="AG802" s="59">
        <f t="shared" si="243"/>
        <v>0</v>
      </c>
      <c r="AH802" s="59">
        <v>2</v>
      </c>
      <c r="AI802" s="59">
        <v>3</v>
      </c>
      <c r="AJ802" s="59">
        <f t="shared" si="244"/>
        <v>0</v>
      </c>
      <c r="AK802" s="59">
        <f t="shared" si="245"/>
        <v>0</v>
      </c>
      <c r="AL802" s="59">
        <v>2596</v>
      </c>
      <c r="AM802" s="59">
        <v>7160</v>
      </c>
      <c r="AN802" s="59">
        <v>1</v>
      </c>
      <c r="AO802" s="59">
        <v>0</v>
      </c>
      <c r="AP802" s="59">
        <v>15</v>
      </c>
      <c r="AQ802" s="59">
        <v>3</v>
      </c>
      <c r="AR802" s="59">
        <v>1</v>
      </c>
      <c r="AS802" s="59">
        <v>80</v>
      </c>
      <c r="AT802" s="59">
        <v>2</v>
      </c>
      <c r="AU802" s="59">
        <v>1</v>
      </c>
      <c r="AV802" s="59">
        <v>2</v>
      </c>
      <c r="AW802" s="59">
        <v>3</v>
      </c>
      <c r="AX802" s="59">
        <v>1</v>
      </c>
      <c r="AY802" s="59">
        <v>0</v>
      </c>
      <c r="AZ802" s="59">
        <v>0</v>
      </c>
      <c r="BA802" s="59">
        <v>0</v>
      </c>
      <c r="BB802" s="57">
        <f t="shared" si="246"/>
        <v>2596</v>
      </c>
    </row>
    <row r="803" spans="1:54" x14ac:dyDescent="0.25">
      <c r="A803" s="58">
        <v>50</v>
      </c>
      <c r="B803" s="59">
        <v>1</v>
      </c>
      <c r="C803" s="59">
        <v>2</v>
      </c>
      <c r="D803" s="59">
        <f t="shared" si="228"/>
        <v>0</v>
      </c>
      <c r="E803" s="59">
        <f t="shared" si="229"/>
        <v>1</v>
      </c>
      <c r="F803" s="59">
        <v>959</v>
      </c>
      <c r="G803" s="59">
        <v>1</v>
      </c>
      <c r="H803" s="59">
        <f t="shared" si="230"/>
        <v>1</v>
      </c>
      <c r="I803" s="59">
        <f t="shared" si="231"/>
        <v>0</v>
      </c>
      <c r="J803" s="59">
        <v>1</v>
      </c>
      <c r="K803" s="59">
        <v>4</v>
      </c>
      <c r="L803" s="59">
        <v>6</v>
      </c>
      <c r="M803" s="59">
        <f t="shared" si="232"/>
        <v>0</v>
      </c>
      <c r="N803" s="59">
        <f t="shared" si="233"/>
        <v>0</v>
      </c>
      <c r="O803" s="59">
        <f t="shared" si="234"/>
        <v>0</v>
      </c>
      <c r="P803" s="59">
        <f t="shared" si="235"/>
        <v>0</v>
      </c>
      <c r="Q803" s="59">
        <f t="shared" si="236"/>
        <v>0</v>
      </c>
      <c r="R803" s="59">
        <v>1</v>
      </c>
      <c r="S803" s="59">
        <v>1113</v>
      </c>
      <c r="T803" s="59">
        <v>4</v>
      </c>
      <c r="U803" s="59">
        <v>1</v>
      </c>
      <c r="V803" s="59">
        <v>81</v>
      </c>
      <c r="W803" s="59">
        <v>3</v>
      </c>
      <c r="X803" s="59">
        <v>2</v>
      </c>
      <c r="Y803" s="59">
        <v>1</v>
      </c>
      <c r="Z803" s="59">
        <f t="shared" si="237"/>
        <v>1</v>
      </c>
      <c r="AA803" s="59">
        <f>IF('Updated Dummy'!Y803=2,1,0)</f>
        <v>0</v>
      </c>
      <c r="AB803" s="59">
        <f t="shared" si="238"/>
        <v>0</v>
      </c>
      <c r="AC803" s="59">
        <f t="shared" si="239"/>
        <v>0</v>
      </c>
      <c r="AD803" s="59">
        <f t="shared" si="240"/>
        <v>0</v>
      </c>
      <c r="AE803" s="59">
        <f t="shared" si="241"/>
        <v>0</v>
      </c>
      <c r="AF803" s="59">
        <f t="shared" si="242"/>
        <v>0</v>
      </c>
      <c r="AG803" s="59">
        <f t="shared" si="243"/>
        <v>0</v>
      </c>
      <c r="AH803" s="59">
        <v>3</v>
      </c>
      <c r="AI803" s="59">
        <v>1</v>
      </c>
      <c r="AJ803" s="59">
        <f t="shared" si="244"/>
        <v>1</v>
      </c>
      <c r="AK803" s="59">
        <f t="shared" si="245"/>
        <v>0</v>
      </c>
      <c r="AL803" s="59">
        <v>4728</v>
      </c>
      <c r="AM803" s="59">
        <v>17251</v>
      </c>
      <c r="AN803" s="59">
        <v>3</v>
      </c>
      <c r="AO803" s="59">
        <v>1</v>
      </c>
      <c r="AP803" s="59">
        <v>14</v>
      </c>
      <c r="AQ803" s="59">
        <v>3</v>
      </c>
      <c r="AR803" s="59">
        <v>4</v>
      </c>
      <c r="AS803" s="59">
        <v>80</v>
      </c>
      <c r="AT803" s="59">
        <v>0</v>
      </c>
      <c r="AU803" s="59">
        <v>5</v>
      </c>
      <c r="AV803" s="59">
        <v>4</v>
      </c>
      <c r="AW803" s="59">
        <v>3</v>
      </c>
      <c r="AX803" s="59">
        <v>0</v>
      </c>
      <c r="AY803" s="59">
        <v>0</v>
      </c>
      <c r="AZ803" s="59">
        <v>0</v>
      </c>
      <c r="BA803" s="59">
        <v>0</v>
      </c>
      <c r="BB803" s="57">
        <f t="shared" si="246"/>
        <v>9456</v>
      </c>
    </row>
    <row r="804" spans="1:54" x14ac:dyDescent="0.25">
      <c r="A804" s="58">
        <v>33</v>
      </c>
      <c r="B804" s="59">
        <v>0</v>
      </c>
      <c r="C804" s="59">
        <v>2</v>
      </c>
      <c r="D804" s="59">
        <f t="shared" si="228"/>
        <v>0</v>
      </c>
      <c r="E804" s="59">
        <f t="shared" si="229"/>
        <v>1</v>
      </c>
      <c r="F804" s="59">
        <v>970</v>
      </c>
      <c r="G804" s="59">
        <v>1</v>
      </c>
      <c r="H804" s="59">
        <f t="shared" si="230"/>
        <v>1</v>
      </c>
      <c r="I804" s="59">
        <f t="shared" si="231"/>
        <v>0</v>
      </c>
      <c r="J804" s="59">
        <v>7</v>
      </c>
      <c r="K804" s="59">
        <v>3</v>
      </c>
      <c r="L804" s="59">
        <v>1</v>
      </c>
      <c r="M804" s="59">
        <f t="shared" si="232"/>
        <v>1</v>
      </c>
      <c r="N804" s="59">
        <f t="shared" si="233"/>
        <v>0</v>
      </c>
      <c r="O804" s="59">
        <f t="shared" si="234"/>
        <v>0</v>
      </c>
      <c r="P804" s="59">
        <f t="shared" si="235"/>
        <v>0</v>
      </c>
      <c r="Q804" s="59">
        <f t="shared" si="236"/>
        <v>0</v>
      </c>
      <c r="R804" s="59">
        <v>1</v>
      </c>
      <c r="S804" s="59">
        <v>1114</v>
      </c>
      <c r="T804" s="59">
        <v>4</v>
      </c>
      <c r="U804" s="59">
        <v>0</v>
      </c>
      <c r="V804" s="59">
        <v>30</v>
      </c>
      <c r="W804" s="59">
        <v>3</v>
      </c>
      <c r="X804" s="59">
        <v>2</v>
      </c>
      <c r="Y804" s="59">
        <v>1</v>
      </c>
      <c r="Z804" s="59">
        <f t="shared" si="237"/>
        <v>1</v>
      </c>
      <c r="AA804" s="59">
        <f>IF('Updated Dummy'!Y804=2,1,0)</f>
        <v>0</v>
      </c>
      <c r="AB804" s="59">
        <f t="shared" si="238"/>
        <v>0</v>
      </c>
      <c r="AC804" s="59">
        <f t="shared" si="239"/>
        <v>0</v>
      </c>
      <c r="AD804" s="59">
        <f t="shared" si="240"/>
        <v>0</v>
      </c>
      <c r="AE804" s="59">
        <f t="shared" si="241"/>
        <v>0</v>
      </c>
      <c r="AF804" s="59">
        <f t="shared" si="242"/>
        <v>0</v>
      </c>
      <c r="AG804" s="59">
        <f t="shared" si="243"/>
        <v>0</v>
      </c>
      <c r="AH804" s="59">
        <v>2</v>
      </c>
      <c r="AI804" s="59">
        <v>2</v>
      </c>
      <c r="AJ804" s="59">
        <f t="shared" si="244"/>
        <v>0</v>
      </c>
      <c r="AK804" s="59">
        <f t="shared" si="245"/>
        <v>1</v>
      </c>
      <c r="AL804" s="59">
        <v>4302</v>
      </c>
      <c r="AM804" s="59">
        <v>13401</v>
      </c>
      <c r="AN804" s="59">
        <v>0</v>
      </c>
      <c r="AO804" s="59">
        <v>0</v>
      </c>
      <c r="AP804" s="59">
        <v>17</v>
      </c>
      <c r="AQ804" s="59">
        <v>3</v>
      </c>
      <c r="AR804" s="59">
        <v>3</v>
      </c>
      <c r="AS804" s="59">
        <v>80</v>
      </c>
      <c r="AT804" s="59">
        <v>1</v>
      </c>
      <c r="AU804" s="59">
        <v>4</v>
      </c>
      <c r="AV804" s="59">
        <v>3</v>
      </c>
      <c r="AW804" s="59">
        <v>3</v>
      </c>
      <c r="AX804" s="59">
        <v>3</v>
      </c>
      <c r="AY804" s="59">
        <v>2</v>
      </c>
      <c r="AZ804" s="59">
        <v>0</v>
      </c>
      <c r="BA804" s="59">
        <v>2</v>
      </c>
      <c r="BB804" s="57">
        <f t="shared" si="246"/>
        <v>8604</v>
      </c>
    </row>
    <row r="805" spans="1:54" x14ac:dyDescent="0.25">
      <c r="A805" s="58">
        <v>34</v>
      </c>
      <c r="B805" s="59">
        <v>0</v>
      </c>
      <c r="C805" s="59">
        <v>3</v>
      </c>
      <c r="D805" s="59">
        <f t="shared" si="228"/>
        <v>0</v>
      </c>
      <c r="E805" s="59">
        <f t="shared" si="229"/>
        <v>0</v>
      </c>
      <c r="F805" s="59">
        <v>697</v>
      </c>
      <c r="G805" s="59">
        <v>2</v>
      </c>
      <c r="H805" s="59">
        <f t="shared" si="230"/>
        <v>0</v>
      </c>
      <c r="I805" s="59">
        <f t="shared" si="231"/>
        <v>1</v>
      </c>
      <c r="J805" s="59">
        <v>3</v>
      </c>
      <c r="K805" s="59">
        <v>4</v>
      </c>
      <c r="L805" s="59">
        <v>1</v>
      </c>
      <c r="M805" s="59">
        <f t="shared" si="232"/>
        <v>1</v>
      </c>
      <c r="N805" s="59">
        <f t="shared" si="233"/>
        <v>0</v>
      </c>
      <c r="O805" s="59">
        <f t="shared" si="234"/>
        <v>0</v>
      </c>
      <c r="P805" s="59">
        <f t="shared" si="235"/>
        <v>0</v>
      </c>
      <c r="Q805" s="59">
        <f t="shared" si="236"/>
        <v>0</v>
      </c>
      <c r="R805" s="59">
        <v>1</v>
      </c>
      <c r="S805" s="59">
        <v>1115</v>
      </c>
      <c r="T805" s="59">
        <v>3</v>
      </c>
      <c r="U805" s="59">
        <v>1</v>
      </c>
      <c r="V805" s="59">
        <v>40</v>
      </c>
      <c r="W805" s="59">
        <v>2</v>
      </c>
      <c r="X805" s="59">
        <v>1</v>
      </c>
      <c r="Y805" s="59">
        <v>2</v>
      </c>
      <c r="Z805" s="59">
        <f t="shared" si="237"/>
        <v>0</v>
      </c>
      <c r="AA805" s="59">
        <f>IF('Updated Dummy'!Y805=2,1,0)</f>
        <v>1</v>
      </c>
      <c r="AB805" s="59">
        <f t="shared" si="238"/>
        <v>0</v>
      </c>
      <c r="AC805" s="59">
        <f t="shared" si="239"/>
        <v>0</v>
      </c>
      <c r="AD805" s="59">
        <f t="shared" si="240"/>
        <v>0</v>
      </c>
      <c r="AE805" s="59">
        <f t="shared" si="241"/>
        <v>0</v>
      </c>
      <c r="AF805" s="59">
        <f t="shared" si="242"/>
        <v>0</v>
      </c>
      <c r="AG805" s="59">
        <f t="shared" si="243"/>
        <v>0</v>
      </c>
      <c r="AH805" s="59">
        <v>4</v>
      </c>
      <c r="AI805" s="59">
        <v>2</v>
      </c>
      <c r="AJ805" s="59">
        <f t="shared" si="244"/>
        <v>0</v>
      </c>
      <c r="AK805" s="59">
        <f t="shared" si="245"/>
        <v>1</v>
      </c>
      <c r="AL805" s="59">
        <v>2979</v>
      </c>
      <c r="AM805" s="59">
        <v>22478</v>
      </c>
      <c r="AN805" s="59">
        <v>3</v>
      </c>
      <c r="AO805" s="59">
        <v>0</v>
      </c>
      <c r="AP805" s="59">
        <v>17</v>
      </c>
      <c r="AQ805" s="59">
        <v>3</v>
      </c>
      <c r="AR805" s="59">
        <v>4</v>
      </c>
      <c r="AS805" s="59">
        <v>80</v>
      </c>
      <c r="AT805" s="59">
        <v>3</v>
      </c>
      <c r="AU805" s="59">
        <v>6</v>
      </c>
      <c r="AV805" s="59">
        <v>2</v>
      </c>
      <c r="AW805" s="59">
        <v>3</v>
      </c>
      <c r="AX805" s="59">
        <v>0</v>
      </c>
      <c r="AY805" s="59">
        <v>0</v>
      </c>
      <c r="AZ805" s="59">
        <v>0</v>
      </c>
      <c r="BA805" s="59">
        <v>0</v>
      </c>
      <c r="BB805" s="57">
        <f t="shared" si="246"/>
        <v>2979</v>
      </c>
    </row>
    <row r="806" spans="1:54" x14ac:dyDescent="0.25">
      <c r="A806" s="58">
        <v>48</v>
      </c>
      <c r="B806" s="59">
        <v>0</v>
      </c>
      <c r="C806" s="59">
        <v>3</v>
      </c>
      <c r="D806" s="59">
        <f t="shared" si="228"/>
        <v>0</v>
      </c>
      <c r="E806" s="59">
        <f t="shared" si="229"/>
        <v>0</v>
      </c>
      <c r="F806" s="59">
        <v>1262</v>
      </c>
      <c r="G806" s="59">
        <v>2</v>
      </c>
      <c r="H806" s="59">
        <f t="shared" si="230"/>
        <v>0</v>
      </c>
      <c r="I806" s="59">
        <f t="shared" si="231"/>
        <v>1</v>
      </c>
      <c r="J806" s="59">
        <v>1</v>
      </c>
      <c r="K806" s="59">
        <v>4</v>
      </c>
      <c r="L806" s="59">
        <v>3</v>
      </c>
      <c r="M806" s="59">
        <f t="shared" si="232"/>
        <v>0</v>
      </c>
      <c r="N806" s="59">
        <f t="shared" si="233"/>
        <v>0</v>
      </c>
      <c r="O806" s="59">
        <f t="shared" si="234"/>
        <v>1</v>
      </c>
      <c r="P806" s="59">
        <f t="shared" si="235"/>
        <v>0</v>
      </c>
      <c r="Q806" s="59">
        <f t="shared" si="236"/>
        <v>0</v>
      </c>
      <c r="R806" s="59">
        <v>1</v>
      </c>
      <c r="S806" s="59">
        <v>1116</v>
      </c>
      <c r="T806" s="59">
        <v>1</v>
      </c>
      <c r="U806" s="59">
        <v>1</v>
      </c>
      <c r="V806" s="59">
        <v>35</v>
      </c>
      <c r="W806" s="59">
        <v>4</v>
      </c>
      <c r="X806" s="59">
        <v>4</v>
      </c>
      <c r="Y806" s="59">
        <v>6</v>
      </c>
      <c r="Z806" s="59">
        <f t="shared" si="237"/>
        <v>0</v>
      </c>
      <c r="AA806" s="59">
        <f>IF('Updated Dummy'!Y806=2,1,0)</f>
        <v>0</v>
      </c>
      <c r="AB806" s="59">
        <f t="shared" si="238"/>
        <v>0</v>
      </c>
      <c r="AC806" s="59">
        <f t="shared" si="239"/>
        <v>0</v>
      </c>
      <c r="AD806" s="59">
        <f t="shared" si="240"/>
        <v>0</v>
      </c>
      <c r="AE806" s="59">
        <f t="shared" si="241"/>
        <v>1</v>
      </c>
      <c r="AF806" s="59">
        <f t="shared" si="242"/>
        <v>0</v>
      </c>
      <c r="AG806" s="59">
        <f t="shared" si="243"/>
        <v>0</v>
      </c>
      <c r="AH806" s="59">
        <v>4</v>
      </c>
      <c r="AI806" s="59">
        <v>1</v>
      </c>
      <c r="AJ806" s="59">
        <f t="shared" si="244"/>
        <v>1</v>
      </c>
      <c r="AK806" s="59">
        <f t="shared" si="245"/>
        <v>0</v>
      </c>
      <c r="AL806" s="59">
        <v>16885</v>
      </c>
      <c r="AM806" s="59">
        <v>16154</v>
      </c>
      <c r="AN806" s="59">
        <v>2</v>
      </c>
      <c r="AO806" s="59">
        <v>0</v>
      </c>
      <c r="AP806" s="59">
        <v>22</v>
      </c>
      <c r="AQ806" s="59">
        <v>4</v>
      </c>
      <c r="AR806" s="59">
        <v>3</v>
      </c>
      <c r="AS806" s="59">
        <v>80</v>
      </c>
      <c r="AT806" s="59">
        <v>0</v>
      </c>
      <c r="AU806" s="59">
        <v>27</v>
      </c>
      <c r="AV806" s="59">
        <v>3</v>
      </c>
      <c r="AW806" s="59">
        <v>2</v>
      </c>
      <c r="AX806" s="59">
        <v>5</v>
      </c>
      <c r="AY806" s="59">
        <v>4</v>
      </c>
      <c r="AZ806" s="59">
        <v>2</v>
      </c>
      <c r="BA806" s="59">
        <v>1</v>
      </c>
      <c r="BB806" s="57">
        <f t="shared" si="246"/>
        <v>67540</v>
      </c>
    </row>
    <row r="807" spans="1:54" x14ac:dyDescent="0.25">
      <c r="A807" s="58">
        <v>45</v>
      </c>
      <c r="B807" s="59">
        <v>0</v>
      </c>
      <c r="C807" s="59">
        <v>3</v>
      </c>
      <c r="D807" s="59">
        <f t="shared" si="228"/>
        <v>0</v>
      </c>
      <c r="E807" s="59">
        <f t="shared" si="229"/>
        <v>0</v>
      </c>
      <c r="F807" s="59">
        <v>1050</v>
      </c>
      <c r="G807" s="59">
        <v>1</v>
      </c>
      <c r="H807" s="59">
        <f t="shared" si="230"/>
        <v>1</v>
      </c>
      <c r="I807" s="59">
        <f t="shared" si="231"/>
        <v>0</v>
      </c>
      <c r="J807" s="59">
        <v>9</v>
      </c>
      <c r="K807" s="59">
        <v>4</v>
      </c>
      <c r="L807" s="59">
        <v>1</v>
      </c>
      <c r="M807" s="59">
        <f t="shared" si="232"/>
        <v>1</v>
      </c>
      <c r="N807" s="59">
        <f t="shared" si="233"/>
        <v>0</v>
      </c>
      <c r="O807" s="59">
        <f t="shared" si="234"/>
        <v>0</v>
      </c>
      <c r="P807" s="59">
        <f t="shared" si="235"/>
        <v>0</v>
      </c>
      <c r="Q807" s="59">
        <f t="shared" si="236"/>
        <v>0</v>
      </c>
      <c r="R807" s="59">
        <v>1</v>
      </c>
      <c r="S807" s="59">
        <v>1117</v>
      </c>
      <c r="T807" s="59">
        <v>2</v>
      </c>
      <c r="U807" s="59">
        <v>0</v>
      </c>
      <c r="V807" s="59">
        <v>65</v>
      </c>
      <c r="W807" s="59">
        <v>2</v>
      </c>
      <c r="X807" s="59">
        <v>2</v>
      </c>
      <c r="Y807" s="59">
        <v>1</v>
      </c>
      <c r="Z807" s="59">
        <f t="shared" si="237"/>
        <v>1</v>
      </c>
      <c r="AA807" s="59">
        <f>IF('Updated Dummy'!Y807=2,1,0)</f>
        <v>0</v>
      </c>
      <c r="AB807" s="59">
        <f t="shared" si="238"/>
        <v>0</v>
      </c>
      <c r="AC807" s="59">
        <f t="shared" si="239"/>
        <v>0</v>
      </c>
      <c r="AD807" s="59">
        <f t="shared" si="240"/>
        <v>0</v>
      </c>
      <c r="AE807" s="59">
        <f t="shared" si="241"/>
        <v>0</v>
      </c>
      <c r="AF807" s="59">
        <f t="shared" si="242"/>
        <v>0</v>
      </c>
      <c r="AG807" s="59">
        <f t="shared" si="243"/>
        <v>0</v>
      </c>
      <c r="AH807" s="59">
        <v>3</v>
      </c>
      <c r="AI807" s="59">
        <v>2</v>
      </c>
      <c r="AJ807" s="59">
        <f t="shared" si="244"/>
        <v>0</v>
      </c>
      <c r="AK807" s="59">
        <f t="shared" si="245"/>
        <v>1</v>
      </c>
      <c r="AL807" s="59">
        <v>5593</v>
      </c>
      <c r="AM807" s="59">
        <v>17970</v>
      </c>
      <c r="AN807" s="59">
        <v>1</v>
      </c>
      <c r="AO807" s="59">
        <v>0</v>
      </c>
      <c r="AP807" s="59">
        <v>13</v>
      </c>
      <c r="AQ807" s="59">
        <v>3</v>
      </c>
      <c r="AR807" s="59">
        <v>4</v>
      </c>
      <c r="AS807" s="59">
        <v>80</v>
      </c>
      <c r="AT807" s="59">
        <v>1</v>
      </c>
      <c r="AU807" s="59">
        <v>15</v>
      </c>
      <c r="AV807" s="59">
        <v>2</v>
      </c>
      <c r="AW807" s="59">
        <v>3</v>
      </c>
      <c r="AX807" s="59">
        <v>15</v>
      </c>
      <c r="AY807" s="59">
        <v>10</v>
      </c>
      <c r="AZ807" s="59">
        <v>4</v>
      </c>
      <c r="BA807" s="59">
        <v>12</v>
      </c>
      <c r="BB807" s="57">
        <f t="shared" si="246"/>
        <v>11186</v>
      </c>
    </row>
    <row r="808" spans="1:54" x14ac:dyDescent="0.25">
      <c r="A808" s="58">
        <v>52</v>
      </c>
      <c r="B808" s="59">
        <v>0</v>
      </c>
      <c r="C808" s="59">
        <v>1</v>
      </c>
      <c r="D808" s="59">
        <f t="shared" si="228"/>
        <v>1</v>
      </c>
      <c r="E808" s="59">
        <f t="shared" si="229"/>
        <v>0</v>
      </c>
      <c r="F808" s="59">
        <v>994</v>
      </c>
      <c r="G808" s="59">
        <v>2</v>
      </c>
      <c r="H808" s="59">
        <f t="shared" si="230"/>
        <v>0</v>
      </c>
      <c r="I808" s="59">
        <f t="shared" si="231"/>
        <v>1</v>
      </c>
      <c r="J808" s="59">
        <v>7</v>
      </c>
      <c r="K808" s="59">
        <v>4</v>
      </c>
      <c r="L808" s="59">
        <v>1</v>
      </c>
      <c r="M808" s="59">
        <f t="shared" si="232"/>
        <v>1</v>
      </c>
      <c r="N808" s="59">
        <f t="shared" si="233"/>
        <v>0</v>
      </c>
      <c r="O808" s="59">
        <f t="shared" si="234"/>
        <v>0</v>
      </c>
      <c r="P808" s="59">
        <f t="shared" si="235"/>
        <v>0</v>
      </c>
      <c r="Q808" s="59">
        <f t="shared" si="236"/>
        <v>0</v>
      </c>
      <c r="R808" s="59">
        <v>1</v>
      </c>
      <c r="S808" s="59">
        <v>1118</v>
      </c>
      <c r="T808" s="59">
        <v>2</v>
      </c>
      <c r="U808" s="59">
        <v>1</v>
      </c>
      <c r="V808" s="59">
        <v>87</v>
      </c>
      <c r="W808" s="59">
        <v>3</v>
      </c>
      <c r="X808" s="59">
        <v>3</v>
      </c>
      <c r="Y808" s="59">
        <v>5</v>
      </c>
      <c r="Z808" s="59">
        <f t="shared" si="237"/>
        <v>0</v>
      </c>
      <c r="AA808" s="59">
        <f>IF('Updated Dummy'!Y808=2,1,0)</f>
        <v>0</v>
      </c>
      <c r="AB808" s="59">
        <f t="shared" si="238"/>
        <v>0</v>
      </c>
      <c r="AC808" s="59">
        <f t="shared" si="239"/>
        <v>0</v>
      </c>
      <c r="AD808" s="59">
        <f t="shared" si="240"/>
        <v>1</v>
      </c>
      <c r="AE808" s="59">
        <f t="shared" si="241"/>
        <v>0</v>
      </c>
      <c r="AF808" s="59">
        <f t="shared" si="242"/>
        <v>0</v>
      </c>
      <c r="AG808" s="59">
        <f t="shared" si="243"/>
        <v>0</v>
      </c>
      <c r="AH808" s="59">
        <v>2</v>
      </c>
      <c r="AI808" s="59">
        <v>1</v>
      </c>
      <c r="AJ808" s="59">
        <f t="shared" si="244"/>
        <v>1</v>
      </c>
      <c r="AK808" s="59">
        <f t="shared" si="245"/>
        <v>0</v>
      </c>
      <c r="AL808" s="59">
        <v>10445</v>
      </c>
      <c r="AM808" s="59">
        <v>15322</v>
      </c>
      <c r="AN808" s="59">
        <v>7</v>
      </c>
      <c r="AO808" s="59">
        <v>0</v>
      </c>
      <c r="AP808" s="59">
        <v>19</v>
      </c>
      <c r="AQ808" s="59">
        <v>3</v>
      </c>
      <c r="AR808" s="59">
        <v>4</v>
      </c>
      <c r="AS808" s="59">
        <v>80</v>
      </c>
      <c r="AT808" s="59">
        <v>0</v>
      </c>
      <c r="AU808" s="59">
        <v>18</v>
      </c>
      <c r="AV808" s="59">
        <v>4</v>
      </c>
      <c r="AW808" s="59">
        <v>3</v>
      </c>
      <c r="AX808" s="59">
        <v>8</v>
      </c>
      <c r="AY808" s="59">
        <v>6</v>
      </c>
      <c r="AZ808" s="59">
        <v>4</v>
      </c>
      <c r="BA808" s="59">
        <v>0</v>
      </c>
      <c r="BB808" s="57">
        <f t="shared" si="246"/>
        <v>31335</v>
      </c>
    </row>
    <row r="809" spans="1:54" x14ac:dyDescent="0.25">
      <c r="A809" s="58">
        <v>38</v>
      </c>
      <c r="B809" s="59">
        <v>0</v>
      </c>
      <c r="C809" s="59">
        <v>1</v>
      </c>
      <c r="D809" s="59">
        <f t="shared" si="228"/>
        <v>1</v>
      </c>
      <c r="E809" s="59">
        <f t="shared" si="229"/>
        <v>0</v>
      </c>
      <c r="F809" s="59">
        <v>770</v>
      </c>
      <c r="G809" s="59">
        <v>1</v>
      </c>
      <c r="H809" s="59">
        <f t="shared" si="230"/>
        <v>1</v>
      </c>
      <c r="I809" s="59">
        <f t="shared" si="231"/>
        <v>0</v>
      </c>
      <c r="J809" s="59">
        <v>10</v>
      </c>
      <c r="K809" s="59">
        <v>4</v>
      </c>
      <c r="L809" s="59">
        <v>4</v>
      </c>
      <c r="M809" s="59">
        <f t="shared" si="232"/>
        <v>0</v>
      </c>
      <c r="N809" s="59">
        <f t="shared" si="233"/>
        <v>0</v>
      </c>
      <c r="O809" s="59">
        <f t="shared" si="234"/>
        <v>0</v>
      </c>
      <c r="P809" s="59">
        <f t="shared" si="235"/>
        <v>1</v>
      </c>
      <c r="Q809" s="59">
        <f t="shared" si="236"/>
        <v>0</v>
      </c>
      <c r="R809" s="59">
        <v>1</v>
      </c>
      <c r="S809" s="59">
        <v>1119</v>
      </c>
      <c r="T809" s="59">
        <v>3</v>
      </c>
      <c r="U809" s="59">
        <v>1</v>
      </c>
      <c r="V809" s="59">
        <v>73</v>
      </c>
      <c r="W809" s="59">
        <v>2</v>
      </c>
      <c r="X809" s="59">
        <v>3</v>
      </c>
      <c r="Y809" s="59">
        <v>1</v>
      </c>
      <c r="Z809" s="59">
        <f t="shared" si="237"/>
        <v>1</v>
      </c>
      <c r="AA809" s="59">
        <f>IF('Updated Dummy'!Y809=2,1,0)</f>
        <v>0</v>
      </c>
      <c r="AB809" s="59">
        <f t="shared" si="238"/>
        <v>0</v>
      </c>
      <c r="AC809" s="59">
        <f t="shared" si="239"/>
        <v>0</v>
      </c>
      <c r="AD809" s="59">
        <f t="shared" si="240"/>
        <v>0</v>
      </c>
      <c r="AE809" s="59">
        <f t="shared" si="241"/>
        <v>0</v>
      </c>
      <c r="AF809" s="59">
        <f t="shared" si="242"/>
        <v>0</v>
      </c>
      <c r="AG809" s="59">
        <f t="shared" si="243"/>
        <v>0</v>
      </c>
      <c r="AH809" s="59">
        <v>3</v>
      </c>
      <c r="AI809" s="59">
        <v>3</v>
      </c>
      <c r="AJ809" s="59">
        <f t="shared" si="244"/>
        <v>0</v>
      </c>
      <c r="AK809" s="59">
        <f t="shared" si="245"/>
        <v>0</v>
      </c>
      <c r="AL809" s="59">
        <v>8740</v>
      </c>
      <c r="AM809" s="59">
        <v>5569</v>
      </c>
      <c r="AN809" s="59">
        <v>0</v>
      </c>
      <c r="AO809" s="59">
        <v>1</v>
      </c>
      <c r="AP809" s="59">
        <v>14</v>
      </c>
      <c r="AQ809" s="59">
        <v>3</v>
      </c>
      <c r="AR809" s="59">
        <v>2</v>
      </c>
      <c r="AS809" s="59">
        <v>80</v>
      </c>
      <c r="AT809" s="59">
        <v>2</v>
      </c>
      <c r="AU809" s="59">
        <v>9</v>
      </c>
      <c r="AV809" s="59">
        <v>2</v>
      </c>
      <c r="AW809" s="59">
        <v>3</v>
      </c>
      <c r="AX809" s="59">
        <v>8</v>
      </c>
      <c r="AY809" s="59">
        <v>7</v>
      </c>
      <c r="AZ809" s="59">
        <v>2</v>
      </c>
      <c r="BA809" s="59">
        <v>7</v>
      </c>
      <c r="BB809" s="57">
        <f t="shared" si="246"/>
        <v>26220</v>
      </c>
    </row>
    <row r="810" spans="1:54" x14ac:dyDescent="0.25">
      <c r="A810" s="58">
        <v>29</v>
      </c>
      <c r="B810" s="59">
        <v>0</v>
      </c>
      <c r="C810" s="59">
        <v>1</v>
      </c>
      <c r="D810" s="59">
        <f t="shared" si="228"/>
        <v>1</v>
      </c>
      <c r="E810" s="59">
        <f t="shared" si="229"/>
        <v>0</v>
      </c>
      <c r="F810" s="59">
        <v>1107</v>
      </c>
      <c r="G810" s="59">
        <v>2</v>
      </c>
      <c r="H810" s="59">
        <f t="shared" si="230"/>
        <v>0</v>
      </c>
      <c r="I810" s="59">
        <f t="shared" si="231"/>
        <v>1</v>
      </c>
      <c r="J810" s="59">
        <v>28</v>
      </c>
      <c r="K810" s="59">
        <v>4</v>
      </c>
      <c r="L810" s="59">
        <v>1</v>
      </c>
      <c r="M810" s="59">
        <f t="shared" si="232"/>
        <v>1</v>
      </c>
      <c r="N810" s="59">
        <f t="shared" si="233"/>
        <v>0</v>
      </c>
      <c r="O810" s="59">
        <f t="shared" si="234"/>
        <v>0</v>
      </c>
      <c r="P810" s="59">
        <f t="shared" si="235"/>
        <v>0</v>
      </c>
      <c r="Q810" s="59">
        <f t="shared" si="236"/>
        <v>0</v>
      </c>
      <c r="R810" s="59">
        <v>1</v>
      </c>
      <c r="S810" s="59">
        <v>1120</v>
      </c>
      <c r="T810" s="59">
        <v>3</v>
      </c>
      <c r="U810" s="59">
        <v>0</v>
      </c>
      <c r="V810" s="59">
        <v>93</v>
      </c>
      <c r="W810" s="59">
        <v>3</v>
      </c>
      <c r="X810" s="59">
        <v>1</v>
      </c>
      <c r="Y810" s="59">
        <v>2</v>
      </c>
      <c r="Z810" s="59">
        <f t="shared" si="237"/>
        <v>0</v>
      </c>
      <c r="AA810" s="59">
        <f>IF('Updated Dummy'!Y810=2,1,0)</f>
        <v>1</v>
      </c>
      <c r="AB810" s="59">
        <f t="shared" si="238"/>
        <v>0</v>
      </c>
      <c r="AC810" s="59">
        <f t="shared" si="239"/>
        <v>0</v>
      </c>
      <c r="AD810" s="59">
        <f t="shared" si="240"/>
        <v>0</v>
      </c>
      <c r="AE810" s="59">
        <f t="shared" si="241"/>
        <v>0</v>
      </c>
      <c r="AF810" s="59">
        <f t="shared" si="242"/>
        <v>0</v>
      </c>
      <c r="AG810" s="59">
        <f t="shared" si="243"/>
        <v>0</v>
      </c>
      <c r="AH810" s="59">
        <v>4</v>
      </c>
      <c r="AI810" s="59">
        <v>3</v>
      </c>
      <c r="AJ810" s="59">
        <f t="shared" si="244"/>
        <v>0</v>
      </c>
      <c r="AK810" s="59">
        <f t="shared" si="245"/>
        <v>0</v>
      </c>
      <c r="AL810" s="59">
        <v>2514</v>
      </c>
      <c r="AM810" s="59">
        <v>26968</v>
      </c>
      <c r="AN810" s="59">
        <v>4</v>
      </c>
      <c r="AO810" s="59">
        <v>0</v>
      </c>
      <c r="AP810" s="59">
        <v>22</v>
      </c>
      <c r="AQ810" s="59">
        <v>4</v>
      </c>
      <c r="AR810" s="59">
        <v>1</v>
      </c>
      <c r="AS810" s="59">
        <v>80</v>
      </c>
      <c r="AT810" s="59">
        <v>1</v>
      </c>
      <c r="AU810" s="59">
        <v>11</v>
      </c>
      <c r="AV810" s="59">
        <v>1</v>
      </c>
      <c r="AW810" s="59">
        <v>3</v>
      </c>
      <c r="AX810" s="59">
        <v>7</v>
      </c>
      <c r="AY810" s="59">
        <v>5</v>
      </c>
      <c r="AZ810" s="59">
        <v>1</v>
      </c>
      <c r="BA810" s="59">
        <v>7</v>
      </c>
      <c r="BB810" s="57">
        <f t="shared" si="246"/>
        <v>2514</v>
      </c>
    </row>
    <row r="811" spans="1:54" x14ac:dyDescent="0.25">
      <c r="A811" s="58">
        <v>28</v>
      </c>
      <c r="B811" s="59">
        <v>0</v>
      </c>
      <c r="C811" s="59">
        <v>1</v>
      </c>
      <c r="D811" s="59">
        <f t="shared" si="228"/>
        <v>1</v>
      </c>
      <c r="E811" s="59">
        <f t="shared" si="229"/>
        <v>0</v>
      </c>
      <c r="F811" s="59">
        <v>950</v>
      </c>
      <c r="G811" s="59">
        <v>2</v>
      </c>
      <c r="H811" s="59">
        <f t="shared" si="230"/>
        <v>0</v>
      </c>
      <c r="I811" s="59">
        <f t="shared" si="231"/>
        <v>1</v>
      </c>
      <c r="J811" s="59">
        <v>3</v>
      </c>
      <c r="K811" s="59">
        <v>3</v>
      </c>
      <c r="L811" s="59">
        <v>3</v>
      </c>
      <c r="M811" s="59">
        <f t="shared" si="232"/>
        <v>0</v>
      </c>
      <c r="N811" s="59">
        <f t="shared" si="233"/>
        <v>0</v>
      </c>
      <c r="O811" s="59">
        <f t="shared" si="234"/>
        <v>1</v>
      </c>
      <c r="P811" s="59">
        <f t="shared" si="235"/>
        <v>0</v>
      </c>
      <c r="Q811" s="59">
        <f t="shared" si="236"/>
        <v>0</v>
      </c>
      <c r="R811" s="59">
        <v>1</v>
      </c>
      <c r="S811" s="59">
        <v>1121</v>
      </c>
      <c r="T811" s="59">
        <v>4</v>
      </c>
      <c r="U811" s="59">
        <v>0</v>
      </c>
      <c r="V811" s="59">
        <v>93</v>
      </c>
      <c r="W811" s="59">
        <v>3</v>
      </c>
      <c r="X811" s="59">
        <v>3</v>
      </c>
      <c r="Y811" s="59">
        <v>4</v>
      </c>
      <c r="Z811" s="59">
        <f t="shared" si="237"/>
        <v>0</v>
      </c>
      <c r="AA811" s="59">
        <f>IF('Updated Dummy'!Y811=2,1,0)</f>
        <v>0</v>
      </c>
      <c r="AB811" s="59">
        <f t="shared" si="238"/>
        <v>0</v>
      </c>
      <c r="AC811" s="59">
        <f t="shared" si="239"/>
        <v>1</v>
      </c>
      <c r="AD811" s="59">
        <f t="shared" si="240"/>
        <v>0</v>
      </c>
      <c r="AE811" s="59">
        <f t="shared" si="241"/>
        <v>0</v>
      </c>
      <c r="AF811" s="59">
        <f t="shared" si="242"/>
        <v>0</v>
      </c>
      <c r="AG811" s="59">
        <f t="shared" si="243"/>
        <v>0</v>
      </c>
      <c r="AH811" s="59">
        <v>2</v>
      </c>
      <c r="AI811" s="59">
        <v>3</v>
      </c>
      <c r="AJ811" s="59">
        <f t="shared" si="244"/>
        <v>0</v>
      </c>
      <c r="AK811" s="59">
        <f t="shared" si="245"/>
        <v>0</v>
      </c>
      <c r="AL811" s="59">
        <v>7655</v>
      </c>
      <c r="AM811" s="59">
        <v>8039</v>
      </c>
      <c r="AN811" s="59">
        <v>0</v>
      </c>
      <c r="AO811" s="59">
        <v>0</v>
      </c>
      <c r="AP811" s="59">
        <v>17</v>
      </c>
      <c r="AQ811" s="59">
        <v>3</v>
      </c>
      <c r="AR811" s="59">
        <v>2</v>
      </c>
      <c r="AS811" s="59">
        <v>80</v>
      </c>
      <c r="AT811" s="59">
        <v>3</v>
      </c>
      <c r="AU811" s="59">
        <v>10</v>
      </c>
      <c r="AV811" s="59">
        <v>3</v>
      </c>
      <c r="AW811" s="59">
        <v>2</v>
      </c>
      <c r="AX811" s="59">
        <v>9</v>
      </c>
      <c r="AY811" s="59">
        <v>7</v>
      </c>
      <c r="AZ811" s="59">
        <v>1</v>
      </c>
      <c r="BA811" s="59">
        <v>7</v>
      </c>
      <c r="BB811" s="57">
        <f t="shared" si="246"/>
        <v>22965</v>
      </c>
    </row>
    <row r="812" spans="1:54" x14ac:dyDescent="0.25">
      <c r="A812" s="58">
        <v>46</v>
      </c>
      <c r="B812" s="59">
        <v>0</v>
      </c>
      <c r="C812" s="59">
        <v>1</v>
      </c>
      <c r="D812" s="59">
        <f t="shared" si="228"/>
        <v>1</v>
      </c>
      <c r="E812" s="59">
        <f t="shared" si="229"/>
        <v>0</v>
      </c>
      <c r="F812" s="59">
        <v>406</v>
      </c>
      <c r="G812" s="59">
        <v>1</v>
      </c>
      <c r="H812" s="59">
        <f t="shared" si="230"/>
        <v>1</v>
      </c>
      <c r="I812" s="59">
        <f t="shared" si="231"/>
        <v>0</v>
      </c>
      <c r="J812" s="59">
        <v>3</v>
      </c>
      <c r="K812" s="59">
        <v>1</v>
      </c>
      <c r="L812" s="59">
        <v>4</v>
      </c>
      <c r="M812" s="59">
        <f t="shared" si="232"/>
        <v>0</v>
      </c>
      <c r="N812" s="59">
        <f t="shared" si="233"/>
        <v>0</v>
      </c>
      <c r="O812" s="59">
        <f t="shared" si="234"/>
        <v>0</v>
      </c>
      <c r="P812" s="59">
        <f t="shared" si="235"/>
        <v>1</v>
      </c>
      <c r="Q812" s="59">
        <f t="shared" si="236"/>
        <v>0</v>
      </c>
      <c r="R812" s="59">
        <v>1</v>
      </c>
      <c r="S812" s="59">
        <v>1124</v>
      </c>
      <c r="T812" s="59">
        <v>1</v>
      </c>
      <c r="U812" s="59">
        <v>1</v>
      </c>
      <c r="V812" s="59">
        <v>52</v>
      </c>
      <c r="W812" s="59">
        <v>3</v>
      </c>
      <c r="X812" s="59">
        <v>4</v>
      </c>
      <c r="Y812" s="59">
        <v>6</v>
      </c>
      <c r="Z812" s="59">
        <f t="shared" si="237"/>
        <v>0</v>
      </c>
      <c r="AA812" s="59">
        <f>IF('Updated Dummy'!Y812=2,1,0)</f>
        <v>0</v>
      </c>
      <c r="AB812" s="59">
        <f t="shared" si="238"/>
        <v>0</v>
      </c>
      <c r="AC812" s="59">
        <f t="shared" si="239"/>
        <v>0</v>
      </c>
      <c r="AD812" s="59">
        <f t="shared" si="240"/>
        <v>0</v>
      </c>
      <c r="AE812" s="59">
        <f t="shared" si="241"/>
        <v>1</v>
      </c>
      <c r="AF812" s="59">
        <f t="shared" si="242"/>
        <v>0</v>
      </c>
      <c r="AG812" s="59">
        <f t="shared" si="243"/>
        <v>0</v>
      </c>
      <c r="AH812" s="59">
        <v>3</v>
      </c>
      <c r="AI812" s="59">
        <v>2</v>
      </c>
      <c r="AJ812" s="59">
        <f t="shared" si="244"/>
        <v>0</v>
      </c>
      <c r="AK812" s="59">
        <f t="shared" si="245"/>
        <v>1</v>
      </c>
      <c r="AL812" s="59">
        <v>17465</v>
      </c>
      <c r="AM812" s="59">
        <v>15596</v>
      </c>
      <c r="AN812" s="59">
        <v>3</v>
      </c>
      <c r="AO812" s="59">
        <v>0</v>
      </c>
      <c r="AP812" s="59">
        <v>12</v>
      </c>
      <c r="AQ812" s="59">
        <v>3</v>
      </c>
      <c r="AR812" s="59">
        <v>4</v>
      </c>
      <c r="AS812" s="59">
        <v>80</v>
      </c>
      <c r="AT812" s="59">
        <v>1</v>
      </c>
      <c r="AU812" s="59">
        <v>23</v>
      </c>
      <c r="AV812" s="59">
        <v>3</v>
      </c>
      <c r="AW812" s="59">
        <v>3</v>
      </c>
      <c r="AX812" s="59">
        <v>12</v>
      </c>
      <c r="AY812" s="59">
        <v>9</v>
      </c>
      <c r="AZ812" s="59">
        <v>4</v>
      </c>
      <c r="BA812" s="59">
        <v>9</v>
      </c>
      <c r="BB812" s="57">
        <f t="shared" si="246"/>
        <v>69860</v>
      </c>
    </row>
    <row r="813" spans="1:54" x14ac:dyDescent="0.25">
      <c r="A813" s="58">
        <v>38</v>
      </c>
      <c r="B813" s="59">
        <v>0</v>
      </c>
      <c r="C813" s="59">
        <v>1</v>
      </c>
      <c r="D813" s="59">
        <f t="shared" si="228"/>
        <v>1</v>
      </c>
      <c r="E813" s="59">
        <f t="shared" si="229"/>
        <v>0</v>
      </c>
      <c r="F813" s="59">
        <v>130</v>
      </c>
      <c r="G813" s="59">
        <v>1</v>
      </c>
      <c r="H813" s="59">
        <f t="shared" si="230"/>
        <v>1</v>
      </c>
      <c r="I813" s="59">
        <f t="shared" si="231"/>
        <v>0</v>
      </c>
      <c r="J813" s="59">
        <v>2</v>
      </c>
      <c r="K813" s="59">
        <v>2</v>
      </c>
      <c r="L813" s="59">
        <v>4</v>
      </c>
      <c r="M813" s="59">
        <f t="shared" si="232"/>
        <v>0</v>
      </c>
      <c r="N813" s="59">
        <f t="shared" si="233"/>
        <v>0</v>
      </c>
      <c r="O813" s="59">
        <f t="shared" si="234"/>
        <v>0</v>
      </c>
      <c r="P813" s="59">
        <f t="shared" si="235"/>
        <v>1</v>
      </c>
      <c r="Q813" s="59">
        <f t="shared" si="236"/>
        <v>0</v>
      </c>
      <c r="R813" s="59">
        <v>1</v>
      </c>
      <c r="S813" s="59">
        <v>1125</v>
      </c>
      <c r="T813" s="59">
        <v>4</v>
      </c>
      <c r="U813" s="59">
        <v>1</v>
      </c>
      <c r="V813" s="59">
        <v>32</v>
      </c>
      <c r="W813" s="59">
        <v>3</v>
      </c>
      <c r="X813" s="59">
        <v>3</v>
      </c>
      <c r="Y813" s="59">
        <v>1</v>
      </c>
      <c r="Z813" s="59">
        <f t="shared" si="237"/>
        <v>1</v>
      </c>
      <c r="AA813" s="59">
        <f>IF('Updated Dummy'!Y813=2,1,0)</f>
        <v>0</v>
      </c>
      <c r="AB813" s="59">
        <f t="shared" si="238"/>
        <v>0</v>
      </c>
      <c r="AC813" s="59">
        <f t="shared" si="239"/>
        <v>0</v>
      </c>
      <c r="AD813" s="59">
        <f t="shared" si="240"/>
        <v>0</v>
      </c>
      <c r="AE813" s="59">
        <f t="shared" si="241"/>
        <v>0</v>
      </c>
      <c r="AF813" s="59">
        <f t="shared" si="242"/>
        <v>0</v>
      </c>
      <c r="AG813" s="59">
        <f t="shared" si="243"/>
        <v>0</v>
      </c>
      <c r="AH813" s="59">
        <v>2</v>
      </c>
      <c r="AI813" s="59">
        <v>1</v>
      </c>
      <c r="AJ813" s="59">
        <f t="shared" si="244"/>
        <v>1</v>
      </c>
      <c r="AK813" s="59">
        <f t="shared" si="245"/>
        <v>0</v>
      </c>
      <c r="AL813" s="59">
        <v>7351</v>
      </c>
      <c r="AM813" s="59">
        <v>20619</v>
      </c>
      <c r="AN813" s="59">
        <v>7</v>
      </c>
      <c r="AO813" s="59">
        <v>0</v>
      </c>
      <c r="AP813" s="59">
        <v>16</v>
      </c>
      <c r="AQ813" s="59">
        <v>3</v>
      </c>
      <c r="AR813" s="59">
        <v>3</v>
      </c>
      <c r="AS813" s="59">
        <v>80</v>
      </c>
      <c r="AT813" s="59">
        <v>0</v>
      </c>
      <c r="AU813" s="59">
        <v>10</v>
      </c>
      <c r="AV813" s="59">
        <v>2</v>
      </c>
      <c r="AW813" s="59">
        <v>3</v>
      </c>
      <c r="AX813" s="59">
        <v>1</v>
      </c>
      <c r="AY813" s="59">
        <v>0</v>
      </c>
      <c r="AZ813" s="59">
        <v>0</v>
      </c>
      <c r="BA813" s="59">
        <v>0</v>
      </c>
      <c r="BB813" s="57">
        <f t="shared" si="246"/>
        <v>22053</v>
      </c>
    </row>
    <row r="814" spans="1:54" x14ac:dyDescent="0.25">
      <c r="A814" s="58">
        <v>43</v>
      </c>
      <c r="B814" s="59">
        <v>0</v>
      </c>
      <c r="C814" s="59">
        <v>2</v>
      </c>
      <c r="D814" s="59">
        <f t="shared" si="228"/>
        <v>0</v>
      </c>
      <c r="E814" s="59">
        <f t="shared" si="229"/>
        <v>1</v>
      </c>
      <c r="F814" s="59">
        <v>1082</v>
      </c>
      <c r="G814" s="59">
        <v>2</v>
      </c>
      <c r="H814" s="59">
        <f t="shared" si="230"/>
        <v>0</v>
      </c>
      <c r="I814" s="59">
        <f t="shared" si="231"/>
        <v>1</v>
      </c>
      <c r="J814" s="59">
        <v>27</v>
      </c>
      <c r="K814" s="59">
        <v>3</v>
      </c>
      <c r="L814" s="59">
        <v>1</v>
      </c>
      <c r="M814" s="59">
        <f t="shared" si="232"/>
        <v>1</v>
      </c>
      <c r="N814" s="59">
        <f t="shared" si="233"/>
        <v>0</v>
      </c>
      <c r="O814" s="59">
        <f t="shared" si="234"/>
        <v>0</v>
      </c>
      <c r="P814" s="59">
        <f t="shared" si="235"/>
        <v>0</v>
      </c>
      <c r="Q814" s="59">
        <f t="shared" si="236"/>
        <v>0</v>
      </c>
      <c r="R814" s="59">
        <v>1</v>
      </c>
      <c r="S814" s="59">
        <v>1126</v>
      </c>
      <c r="T814" s="59">
        <v>3</v>
      </c>
      <c r="U814" s="59">
        <v>0</v>
      </c>
      <c r="V814" s="59">
        <v>83</v>
      </c>
      <c r="W814" s="59">
        <v>3</v>
      </c>
      <c r="X814" s="59">
        <v>3</v>
      </c>
      <c r="Y814" s="59">
        <v>4</v>
      </c>
      <c r="Z814" s="59">
        <f t="shared" si="237"/>
        <v>0</v>
      </c>
      <c r="AA814" s="59">
        <f>IF('Updated Dummy'!Y814=2,1,0)</f>
        <v>0</v>
      </c>
      <c r="AB814" s="59">
        <f t="shared" si="238"/>
        <v>0</v>
      </c>
      <c r="AC814" s="59">
        <f t="shared" si="239"/>
        <v>1</v>
      </c>
      <c r="AD814" s="59">
        <f t="shared" si="240"/>
        <v>0</v>
      </c>
      <c r="AE814" s="59">
        <f t="shared" si="241"/>
        <v>0</v>
      </c>
      <c r="AF814" s="59">
        <f t="shared" si="242"/>
        <v>0</v>
      </c>
      <c r="AG814" s="59">
        <f t="shared" si="243"/>
        <v>0</v>
      </c>
      <c r="AH814" s="59">
        <v>1</v>
      </c>
      <c r="AI814" s="59">
        <v>2</v>
      </c>
      <c r="AJ814" s="59">
        <f t="shared" si="244"/>
        <v>0</v>
      </c>
      <c r="AK814" s="59">
        <f t="shared" si="245"/>
        <v>1</v>
      </c>
      <c r="AL814" s="59">
        <v>10820</v>
      </c>
      <c r="AM814" s="59">
        <v>11535</v>
      </c>
      <c r="AN814" s="59">
        <v>8</v>
      </c>
      <c r="AO814" s="59">
        <v>0</v>
      </c>
      <c r="AP814" s="59">
        <v>11</v>
      </c>
      <c r="AQ814" s="59">
        <v>3</v>
      </c>
      <c r="AR814" s="59">
        <v>3</v>
      </c>
      <c r="AS814" s="59">
        <v>80</v>
      </c>
      <c r="AT814" s="59">
        <v>1</v>
      </c>
      <c r="AU814" s="59">
        <v>18</v>
      </c>
      <c r="AV814" s="59">
        <v>1</v>
      </c>
      <c r="AW814" s="59">
        <v>3</v>
      </c>
      <c r="AX814" s="59">
        <v>8</v>
      </c>
      <c r="AY814" s="59">
        <v>7</v>
      </c>
      <c r="AZ814" s="59">
        <v>0</v>
      </c>
      <c r="BA814" s="59">
        <v>1</v>
      </c>
      <c r="BB814" s="57">
        <f t="shared" si="246"/>
        <v>32460</v>
      </c>
    </row>
    <row r="815" spans="1:54" x14ac:dyDescent="0.25">
      <c r="A815" s="58">
        <v>39</v>
      </c>
      <c r="B815" s="59">
        <v>1</v>
      </c>
      <c r="C815" s="59">
        <v>2</v>
      </c>
      <c r="D815" s="59">
        <f t="shared" si="228"/>
        <v>0</v>
      </c>
      <c r="E815" s="59">
        <f t="shared" si="229"/>
        <v>1</v>
      </c>
      <c r="F815" s="59">
        <v>203</v>
      </c>
      <c r="G815" s="59">
        <v>2</v>
      </c>
      <c r="H815" s="59">
        <f t="shared" si="230"/>
        <v>0</v>
      </c>
      <c r="I815" s="59">
        <f t="shared" si="231"/>
        <v>1</v>
      </c>
      <c r="J815" s="59">
        <v>2</v>
      </c>
      <c r="K815" s="59">
        <v>3</v>
      </c>
      <c r="L815" s="59">
        <v>1</v>
      </c>
      <c r="M815" s="59">
        <f t="shared" si="232"/>
        <v>1</v>
      </c>
      <c r="N815" s="59">
        <f t="shared" si="233"/>
        <v>0</v>
      </c>
      <c r="O815" s="59">
        <f t="shared" si="234"/>
        <v>0</v>
      </c>
      <c r="P815" s="59">
        <f t="shared" si="235"/>
        <v>0</v>
      </c>
      <c r="Q815" s="59">
        <f t="shared" si="236"/>
        <v>0</v>
      </c>
      <c r="R815" s="59">
        <v>1</v>
      </c>
      <c r="S815" s="59">
        <v>1127</v>
      </c>
      <c r="T815" s="59">
        <v>1</v>
      </c>
      <c r="U815" s="59">
        <v>1</v>
      </c>
      <c r="V815" s="59">
        <v>84</v>
      </c>
      <c r="W815" s="59">
        <v>3</v>
      </c>
      <c r="X815" s="59">
        <v>4</v>
      </c>
      <c r="Y815" s="59">
        <v>5</v>
      </c>
      <c r="Z815" s="59">
        <f t="shared" si="237"/>
        <v>0</v>
      </c>
      <c r="AA815" s="59">
        <f>IF('Updated Dummy'!Y815=2,1,0)</f>
        <v>0</v>
      </c>
      <c r="AB815" s="59">
        <f t="shared" si="238"/>
        <v>0</v>
      </c>
      <c r="AC815" s="59">
        <f t="shared" si="239"/>
        <v>0</v>
      </c>
      <c r="AD815" s="59">
        <f t="shared" si="240"/>
        <v>1</v>
      </c>
      <c r="AE815" s="59">
        <f t="shared" si="241"/>
        <v>0</v>
      </c>
      <c r="AF815" s="59">
        <f t="shared" si="242"/>
        <v>0</v>
      </c>
      <c r="AG815" s="59">
        <f t="shared" si="243"/>
        <v>0</v>
      </c>
      <c r="AH815" s="59">
        <v>4</v>
      </c>
      <c r="AI815" s="59">
        <v>3</v>
      </c>
      <c r="AJ815" s="59">
        <f t="shared" si="244"/>
        <v>0</v>
      </c>
      <c r="AK815" s="59">
        <f t="shared" si="245"/>
        <v>0</v>
      </c>
      <c r="AL815" s="59">
        <v>12169</v>
      </c>
      <c r="AM815" s="59">
        <v>13547</v>
      </c>
      <c r="AN815" s="59">
        <v>7</v>
      </c>
      <c r="AO815" s="59">
        <v>0</v>
      </c>
      <c r="AP815" s="59">
        <v>11</v>
      </c>
      <c r="AQ815" s="59">
        <v>3</v>
      </c>
      <c r="AR815" s="59">
        <v>4</v>
      </c>
      <c r="AS815" s="59">
        <v>80</v>
      </c>
      <c r="AT815" s="59">
        <v>3</v>
      </c>
      <c r="AU815" s="59">
        <v>21</v>
      </c>
      <c r="AV815" s="59">
        <v>4</v>
      </c>
      <c r="AW815" s="59">
        <v>3</v>
      </c>
      <c r="AX815" s="59">
        <v>18</v>
      </c>
      <c r="AY815" s="59">
        <v>7</v>
      </c>
      <c r="AZ815" s="59">
        <v>11</v>
      </c>
      <c r="BA815" s="59">
        <v>5</v>
      </c>
      <c r="BB815" s="57">
        <f t="shared" si="246"/>
        <v>48676</v>
      </c>
    </row>
    <row r="816" spans="1:54" x14ac:dyDescent="0.25">
      <c r="A816" s="58">
        <v>40</v>
      </c>
      <c r="B816" s="59">
        <v>0</v>
      </c>
      <c r="C816" s="59">
        <v>1</v>
      </c>
      <c r="D816" s="59">
        <f t="shared" si="228"/>
        <v>1</v>
      </c>
      <c r="E816" s="59">
        <f t="shared" si="229"/>
        <v>0</v>
      </c>
      <c r="F816" s="59">
        <v>1308</v>
      </c>
      <c r="G816" s="59">
        <v>2</v>
      </c>
      <c r="H816" s="59">
        <f t="shared" si="230"/>
        <v>0</v>
      </c>
      <c r="I816" s="59">
        <f t="shared" si="231"/>
        <v>1</v>
      </c>
      <c r="J816" s="59">
        <v>14</v>
      </c>
      <c r="K816" s="59">
        <v>3</v>
      </c>
      <c r="L816" s="59">
        <v>3</v>
      </c>
      <c r="M816" s="59">
        <f t="shared" si="232"/>
        <v>0</v>
      </c>
      <c r="N816" s="59">
        <f t="shared" si="233"/>
        <v>0</v>
      </c>
      <c r="O816" s="59">
        <f t="shared" si="234"/>
        <v>1</v>
      </c>
      <c r="P816" s="59">
        <f t="shared" si="235"/>
        <v>0</v>
      </c>
      <c r="Q816" s="59">
        <f t="shared" si="236"/>
        <v>0</v>
      </c>
      <c r="R816" s="59">
        <v>1</v>
      </c>
      <c r="S816" s="59">
        <v>1128</v>
      </c>
      <c r="T816" s="59">
        <v>3</v>
      </c>
      <c r="U816" s="59">
        <v>1</v>
      </c>
      <c r="V816" s="59">
        <v>44</v>
      </c>
      <c r="W816" s="59">
        <v>2</v>
      </c>
      <c r="X816" s="59">
        <v>5</v>
      </c>
      <c r="Y816" s="59">
        <v>8</v>
      </c>
      <c r="Z816" s="59">
        <f t="shared" si="237"/>
        <v>0</v>
      </c>
      <c r="AA816" s="59">
        <f>IF('Updated Dummy'!Y816=2,1,0)</f>
        <v>0</v>
      </c>
      <c r="AB816" s="59">
        <f t="shared" si="238"/>
        <v>0</v>
      </c>
      <c r="AC816" s="59">
        <f t="shared" si="239"/>
        <v>0</v>
      </c>
      <c r="AD816" s="59">
        <f t="shared" si="240"/>
        <v>0</v>
      </c>
      <c r="AE816" s="59">
        <f t="shared" si="241"/>
        <v>0</v>
      </c>
      <c r="AF816" s="59">
        <f t="shared" si="242"/>
        <v>0</v>
      </c>
      <c r="AG816" s="59">
        <f t="shared" si="243"/>
        <v>1</v>
      </c>
      <c r="AH816" s="59">
        <v>3</v>
      </c>
      <c r="AI816" s="59">
        <v>1</v>
      </c>
      <c r="AJ816" s="59">
        <f t="shared" si="244"/>
        <v>1</v>
      </c>
      <c r="AK816" s="59">
        <f t="shared" si="245"/>
        <v>0</v>
      </c>
      <c r="AL816" s="59">
        <v>19626</v>
      </c>
      <c r="AM816" s="59">
        <v>17544</v>
      </c>
      <c r="AN816" s="59">
        <v>1</v>
      </c>
      <c r="AO816" s="59">
        <v>0</v>
      </c>
      <c r="AP816" s="59">
        <v>14</v>
      </c>
      <c r="AQ816" s="59">
        <v>3</v>
      </c>
      <c r="AR816" s="59">
        <v>1</v>
      </c>
      <c r="AS816" s="59">
        <v>80</v>
      </c>
      <c r="AT816" s="59">
        <v>0</v>
      </c>
      <c r="AU816" s="59">
        <v>21</v>
      </c>
      <c r="AV816" s="59">
        <v>2</v>
      </c>
      <c r="AW816" s="59">
        <v>4</v>
      </c>
      <c r="AX816" s="59">
        <v>20</v>
      </c>
      <c r="AY816" s="59">
        <v>7</v>
      </c>
      <c r="AZ816" s="59">
        <v>4</v>
      </c>
      <c r="BA816" s="59">
        <v>9</v>
      </c>
      <c r="BB816" s="57">
        <f t="shared" si="246"/>
        <v>98130</v>
      </c>
    </row>
    <row r="817" spans="1:54" x14ac:dyDescent="0.25">
      <c r="A817" s="58">
        <v>21</v>
      </c>
      <c r="B817" s="59">
        <v>0</v>
      </c>
      <c r="C817" s="59">
        <v>1</v>
      </c>
      <c r="D817" s="59">
        <f t="shared" si="228"/>
        <v>1</v>
      </c>
      <c r="E817" s="59">
        <f t="shared" si="229"/>
        <v>0</v>
      </c>
      <c r="F817" s="59">
        <v>984</v>
      </c>
      <c r="G817" s="59">
        <v>2</v>
      </c>
      <c r="H817" s="59">
        <f t="shared" si="230"/>
        <v>0</v>
      </c>
      <c r="I817" s="59">
        <f t="shared" si="231"/>
        <v>1</v>
      </c>
      <c r="J817" s="59">
        <v>1</v>
      </c>
      <c r="K817" s="59">
        <v>1</v>
      </c>
      <c r="L817" s="59">
        <v>5</v>
      </c>
      <c r="M817" s="59">
        <f t="shared" si="232"/>
        <v>0</v>
      </c>
      <c r="N817" s="59">
        <f t="shared" si="233"/>
        <v>0</v>
      </c>
      <c r="O817" s="59">
        <f t="shared" si="234"/>
        <v>0</v>
      </c>
      <c r="P817" s="59">
        <f t="shared" si="235"/>
        <v>0</v>
      </c>
      <c r="Q817" s="59">
        <f t="shared" si="236"/>
        <v>1</v>
      </c>
      <c r="R817" s="59">
        <v>1</v>
      </c>
      <c r="S817" s="59">
        <v>1131</v>
      </c>
      <c r="T817" s="59">
        <v>4</v>
      </c>
      <c r="U817" s="59">
        <v>0</v>
      </c>
      <c r="V817" s="59">
        <v>70</v>
      </c>
      <c r="W817" s="59">
        <v>2</v>
      </c>
      <c r="X817" s="59">
        <v>1</v>
      </c>
      <c r="Y817" s="59">
        <v>2</v>
      </c>
      <c r="Z817" s="59">
        <f t="shared" si="237"/>
        <v>0</v>
      </c>
      <c r="AA817" s="59">
        <f>IF('Updated Dummy'!Y817=2,1,0)</f>
        <v>1</v>
      </c>
      <c r="AB817" s="59">
        <f t="shared" si="238"/>
        <v>0</v>
      </c>
      <c r="AC817" s="59">
        <f t="shared" si="239"/>
        <v>0</v>
      </c>
      <c r="AD817" s="59">
        <f t="shared" si="240"/>
        <v>0</v>
      </c>
      <c r="AE817" s="59">
        <f t="shared" si="241"/>
        <v>0</v>
      </c>
      <c r="AF817" s="59">
        <f t="shared" si="242"/>
        <v>0</v>
      </c>
      <c r="AG817" s="59">
        <f t="shared" si="243"/>
        <v>0</v>
      </c>
      <c r="AH817" s="59">
        <v>2</v>
      </c>
      <c r="AI817" s="59">
        <v>1</v>
      </c>
      <c r="AJ817" s="59">
        <f t="shared" si="244"/>
        <v>1</v>
      </c>
      <c r="AK817" s="59">
        <f t="shared" si="245"/>
        <v>0</v>
      </c>
      <c r="AL817" s="59">
        <v>2070</v>
      </c>
      <c r="AM817" s="59">
        <v>25326</v>
      </c>
      <c r="AN817" s="59">
        <v>1</v>
      </c>
      <c r="AO817" s="59">
        <v>1</v>
      </c>
      <c r="AP817" s="59">
        <v>11</v>
      </c>
      <c r="AQ817" s="59">
        <v>3</v>
      </c>
      <c r="AR817" s="59">
        <v>3</v>
      </c>
      <c r="AS817" s="59">
        <v>80</v>
      </c>
      <c r="AT817" s="59">
        <v>0</v>
      </c>
      <c r="AU817" s="59">
        <v>2</v>
      </c>
      <c r="AV817" s="59">
        <v>6</v>
      </c>
      <c r="AW817" s="59">
        <v>4</v>
      </c>
      <c r="AX817" s="59">
        <v>2</v>
      </c>
      <c r="AY817" s="59">
        <v>2</v>
      </c>
      <c r="AZ817" s="59">
        <v>2</v>
      </c>
      <c r="BA817" s="59">
        <v>2</v>
      </c>
      <c r="BB817" s="57">
        <f t="shared" si="246"/>
        <v>2070</v>
      </c>
    </row>
    <row r="818" spans="1:54" x14ac:dyDescent="0.25">
      <c r="A818" s="58">
        <v>39</v>
      </c>
      <c r="B818" s="59">
        <v>0</v>
      </c>
      <c r="C818" s="59">
        <v>3</v>
      </c>
      <c r="D818" s="59">
        <f t="shared" si="228"/>
        <v>0</v>
      </c>
      <c r="E818" s="59">
        <f t="shared" si="229"/>
        <v>0</v>
      </c>
      <c r="F818" s="59">
        <v>439</v>
      </c>
      <c r="G818" s="59">
        <v>2</v>
      </c>
      <c r="H818" s="59">
        <f t="shared" si="230"/>
        <v>0</v>
      </c>
      <c r="I818" s="59">
        <f t="shared" si="231"/>
        <v>1</v>
      </c>
      <c r="J818" s="59">
        <v>9</v>
      </c>
      <c r="K818" s="59">
        <v>3</v>
      </c>
      <c r="L818" s="59">
        <v>1</v>
      </c>
      <c r="M818" s="59">
        <f t="shared" si="232"/>
        <v>1</v>
      </c>
      <c r="N818" s="59">
        <f t="shared" si="233"/>
        <v>0</v>
      </c>
      <c r="O818" s="59">
        <f t="shared" si="234"/>
        <v>0</v>
      </c>
      <c r="P818" s="59">
        <f t="shared" si="235"/>
        <v>0</v>
      </c>
      <c r="Q818" s="59">
        <f t="shared" si="236"/>
        <v>0</v>
      </c>
      <c r="R818" s="59">
        <v>1</v>
      </c>
      <c r="S818" s="59">
        <v>1132</v>
      </c>
      <c r="T818" s="59">
        <v>3</v>
      </c>
      <c r="U818" s="59">
        <v>1</v>
      </c>
      <c r="V818" s="59">
        <v>70</v>
      </c>
      <c r="W818" s="59">
        <v>3</v>
      </c>
      <c r="X818" s="59">
        <v>2</v>
      </c>
      <c r="Y818" s="59">
        <v>3</v>
      </c>
      <c r="Z818" s="59">
        <f t="shared" si="237"/>
        <v>0</v>
      </c>
      <c r="AA818" s="59">
        <f>IF('Updated Dummy'!Y818=2,1,0)</f>
        <v>0</v>
      </c>
      <c r="AB818" s="59">
        <f t="shared" si="238"/>
        <v>1</v>
      </c>
      <c r="AC818" s="59">
        <f t="shared" si="239"/>
        <v>0</v>
      </c>
      <c r="AD818" s="59">
        <f t="shared" si="240"/>
        <v>0</v>
      </c>
      <c r="AE818" s="59">
        <f t="shared" si="241"/>
        <v>0</v>
      </c>
      <c r="AF818" s="59">
        <f t="shared" si="242"/>
        <v>0</v>
      </c>
      <c r="AG818" s="59">
        <f t="shared" si="243"/>
        <v>0</v>
      </c>
      <c r="AH818" s="59">
        <v>2</v>
      </c>
      <c r="AI818" s="59">
        <v>1</v>
      </c>
      <c r="AJ818" s="59">
        <f t="shared" si="244"/>
        <v>1</v>
      </c>
      <c r="AK818" s="59">
        <f t="shared" si="245"/>
        <v>0</v>
      </c>
      <c r="AL818" s="59">
        <v>6782</v>
      </c>
      <c r="AM818" s="59">
        <v>8770</v>
      </c>
      <c r="AN818" s="59">
        <v>9</v>
      </c>
      <c r="AO818" s="59">
        <v>0</v>
      </c>
      <c r="AP818" s="59">
        <v>15</v>
      </c>
      <c r="AQ818" s="59">
        <v>3</v>
      </c>
      <c r="AR818" s="59">
        <v>3</v>
      </c>
      <c r="AS818" s="59">
        <v>80</v>
      </c>
      <c r="AT818" s="59">
        <v>0</v>
      </c>
      <c r="AU818" s="59">
        <v>9</v>
      </c>
      <c r="AV818" s="59">
        <v>2</v>
      </c>
      <c r="AW818" s="59">
        <v>2</v>
      </c>
      <c r="AX818" s="59">
        <v>5</v>
      </c>
      <c r="AY818" s="59">
        <v>4</v>
      </c>
      <c r="AZ818" s="59">
        <v>0</v>
      </c>
      <c r="BA818" s="59">
        <v>3</v>
      </c>
      <c r="BB818" s="57">
        <f t="shared" si="246"/>
        <v>13564</v>
      </c>
    </row>
    <row r="819" spans="1:54" x14ac:dyDescent="0.25">
      <c r="A819" s="58">
        <v>36</v>
      </c>
      <c r="B819" s="59">
        <v>0</v>
      </c>
      <c r="C819" s="59">
        <v>3</v>
      </c>
      <c r="D819" s="59">
        <f t="shared" si="228"/>
        <v>0</v>
      </c>
      <c r="E819" s="59">
        <f t="shared" si="229"/>
        <v>0</v>
      </c>
      <c r="F819" s="59">
        <v>217</v>
      </c>
      <c r="G819" s="59">
        <v>2</v>
      </c>
      <c r="H819" s="59">
        <f t="shared" si="230"/>
        <v>0</v>
      </c>
      <c r="I819" s="59">
        <f t="shared" si="231"/>
        <v>1</v>
      </c>
      <c r="J819" s="59">
        <v>18</v>
      </c>
      <c r="K819" s="59">
        <v>4</v>
      </c>
      <c r="L819" s="59">
        <v>1</v>
      </c>
      <c r="M819" s="59">
        <f t="shared" si="232"/>
        <v>1</v>
      </c>
      <c r="N819" s="59">
        <f t="shared" si="233"/>
        <v>0</v>
      </c>
      <c r="O819" s="59">
        <f t="shared" si="234"/>
        <v>0</v>
      </c>
      <c r="P819" s="59">
        <f t="shared" si="235"/>
        <v>0</v>
      </c>
      <c r="Q819" s="59">
        <f t="shared" si="236"/>
        <v>0</v>
      </c>
      <c r="R819" s="59">
        <v>1</v>
      </c>
      <c r="S819" s="59">
        <v>1133</v>
      </c>
      <c r="T819" s="59">
        <v>1</v>
      </c>
      <c r="U819" s="59">
        <v>1</v>
      </c>
      <c r="V819" s="59">
        <v>78</v>
      </c>
      <c r="W819" s="59">
        <v>3</v>
      </c>
      <c r="X819" s="59">
        <v>2</v>
      </c>
      <c r="Y819" s="59">
        <v>4</v>
      </c>
      <c r="Z819" s="59">
        <f t="shared" si="237"/>
        <v>0</v>
      </c>
      <c r="AA819" s="59">
        <f>IF('Updated Dummy'!Y819=2,1,0)</f>
        <v>0</v>
      </c>
      <c r="AB819" s="59">
        <f t="shared" si="238"/>
        <v>0</v>
      </c>
      <c r="AC819" s="59">
        <f t="shared" si="239"/>
        <v>1</v>
      </c>
      <c r="AD819" s="59">
        <f t="shared" si="240"/>
        <v>0</v>
      </c>
      <c r="AE819" s="59">
        <f t="shared" si="241"/>
        <v>0</v>
      </c>
      <c r="AF819" s="59">
        <f t="shared" si="242"/>
        <v>0</v>
      </c>
      <c r="AG819" s="59">
        <f t="shared" si="243"/>
        <v>0</v>
      </c>
      <c r="AH819" s="59">
        <v>4</v>
      </c>
      <c r="AI819" s="59">
        <v>1</v>
      </c>
      <c r="AJ819" s="59">
        <f t="shared" si="244"/>
        <v>1</v>
      </c>
      <c r="AK819" s="59">
        <f t="shared" si="245"/>
        <v>0</v>
      </c>
      <c r="AL819" s="59">
        <v>7779</v>
      </c>
      <c r="AM819" s="59">
        <v>23238</v>
      </c>
      <c r="AN819" s="59">
        <v>2</v>
      </c>
      <c r="AO819" s="59">
        <v>0</v>
      </c>
      <c r="AP819" s="59">
        <v>20</v>
      </c>
      <c r="AQ819" s="59">
        <v>4</v>
      </c>
      <c r="AR819" s="59">
        <v>1</v>
      </c>
      <c r="AS819" s="59">
        <v>80</v>
      </c>
      <c r="AT819" s="59">
        <v>0</v>
      </c>
      <c r="AU819" s="59">
        <v>18</v>
      </c>
      <c r="AV819" s="59">
        <v>0</v>
      </c>
      <c r="AW819" s="59">
        <v>3</v>
      </c>
      <c r="AX819" s="59">
        <v>11</v>
      </c>
      <c r="AY819" s="59">
        <v>9</v>
      </c>
      <c r="AZ819" s="59">
        <v>0</v>
      </c>
      <c r="BA819" s="59">
        <v>9</v>
      </c>
      <c r="BB819" s="57">
        <f t="shared" si="246"/>
        <v>15558</v>
      </c>
    </row>
    <row r="820" spans="1:54" x14ac:dyDescent="0.25">
      <c r="A820" s="58">
        <v>31</v>
      </c>
      <c r="B820" s="59">
        <v>0</v>
      </c>
      <c r="C820" s="59">
        <v>2</v>
      </c>
      <c r="D820" s="59">
        <f t="shared" si="228"/>
        <v>0</v>
      </c>
      <c r="E820" s="59">
        <f t="shared" si="229"/>
        <v>1</v>
      </c>
      <c r="F820" s="59">
        <v>793</v>
      </c>
      <c r="G820" s="59">
        <v>1</v>
      </c>
      <c r="H820" s="59">
        <f t="shared" si="230"/>
        <v>1</v>
      </c>
      <c r="I820" s="59">
        <f t="shared" si="231"/>
        <v>0</v>
      </c>
      <c r="J820" s="59">
        <v>20</v>
      </c>
      <c r="K820" s="59">
        <v>3</v>
      </c>
      <c r="L820" s="59">
        <v>1</v>
      </c>
      <c r="M820" s="59">
        <f t="shared" si="232"/>
        <v>1</v>
      </c>
      <c r="N820" s="59">
        <f t="shared" si="233"/>
        <v>0</v>
      </c>
      <c r="O820" s="59">
        <f t="shared" si="234"/>
        <v>0</v>
      </c>
      <c r="P820" s="59">
        <f t="shared" si="235"/>
        <v>0</v>
      </c>
      <c r="Q820" s="59">
        <f t="shared" si="236"/>
        <v>0</v>
      </c>
      <c r="R820" s="59">
        <v>1</v>
      </c>
      <c r="S820" s="59">
        <v>1135</v>
      </c>
      <c r="T820" s="59">
        <v>3</v>
      </c>
      <c r="U820" s="59">
        <v>1</v>
      </c>
      <c r="V820" s="59">
        <v>67</v>
      </c>
      <c r="W820" s="59">
        <v>4</v>
      </c>
      <c r="X820" s="59">
        <v>1</v>
      </c>
      <c r="Y820" s="59">
        <v>7</v>
      </c>
      <c r="Z820" s="59">
        <f t="shared" si="237"/>
        <v>0</v>
      </c>
      <c r="AA820" s="59">
        <f>IF('Updated Dummy'!Y820=2,1,0)</f>
        <v>0</v>
      </c>
      <c r="AB820" s="59">
        <f t="shared" si="238"/>
        <v>0</v>
      </c>
      <c r="AC820" s="59">
        <f t="shared" si="239"/>
        <v>0</v>
      </c>
      <c r="AD820" s="59">
        <f t="shared" si="240"/>
        <v>0</v>
      </c>
      <c r="AE820" s="59">
        <f t="shared" si="241"/>
        <v>0</v>
      </c>
      <c r="AF820" s="59">
        <f t="shared" si="242"/>
        <v>1</v>
      </c>
      <c r="AG820" s="59">
        <f t="shared" si="243"/>
        <v>0</v>
      </c>
      <c r="AH820" s="59">
        <v>4</v>
      </c>
      <c r="AI820" s="59">
        <v>2</v>
      </c>
      <c r="AJ820" s="59">
        <f t="shared" si="244"/>
        <v>0</v>
      </c>
      <c r="AK820" s="59">
        <f t="shared" si="245"/>
        <v>1</v>
      </c>
      <c r="AL820" s="59">
        <v>2791</v>
      </c>
      <c r="AM820" s="59">
        <v>21981</v>
      </c>
      <c r="AN820" s="59">
        <v>0</v>
      </c>
      <c r="AO820" s="59">
        <v>0</v>
      </c>
      <c r="AP820" s="59">
        <v>12</v>
      </c>
      <c r="AQ820" s="59">
        <v>3</v>
      </c>
      <c r="AR820" s="59">
        <v>1</v>
      </c>
      <c r="AS820" s="59">
        <v>80</v>
      </c>
      <c r="AT820" s="59">
        <v>1</v>
      </c>
      <c r="AU820" s="59">
        <v>3</v>
      </c>
      <c r="AV820" s="59">
        <v>4</v>
      </c>
      <c r="AW820" s="59">
        <v>3</v>
      </c>
      <c r="AX820" s="59">
        <v>2</v>
      </c>
      <c r="AY820" s="59">
        <v>2</v>
      </c>
      <c r="AZ820" s="59">
        <v>2</v>
      </c>
      <c r="BA820" s="59">
        <v>2</v>
      </c>
      <c r="BB820" s="57">
        <f t="shared" si="246"/>
        <v>2791</v>
      </c>
    </row>
    <row r="821" spans="1:54" x14ac:dyDescent="0.25">
      <c r="A821" s="58">
        <v>28</v>
      </c>
      <c r="B821" s="59">
        <v>0</v>
      </c>
      <c r="C821" s="59">
        <v>1</v>
      </c>
      <c r="D821" s="59">
        <f t="shared" si="228"/>
        <v>1</v>
      </c>
      <c r="E821" s="59">
        <f t="shared" si="229"/>
        <v>0</v>
      </c>
      <c r="F821" s="59">
        <v>1451</v>
      </c>
      <c r="G821" s="59">
        <v>2</v>
      </c>
      <c r="H821" s="59">
        <f t="shared" si="230"/>
        <v>0</v>
      </c>
      <c r="I821" s="59">
        <f t="shared" si="231"/>
        <v>1</v>
      </c>
      <c r="J821" s="59">
        <v>2</v>
      </c>
      <c r="K821" s="59">
        <v>1</v>
      </c>
      <c r="L821" s="59">
        <v>1</v>
      </c>
      <c r="M821" s="59">
        <f t="shared" si="232"/>
        <v>1</v>
      </c>
      <c r="N821" s="59">
        <f t="shared" si="233"/>
        <v>0</v>
      </c>
      <c r="O821" s="59">
        <f t="shared" si="234"/>
        <v>0</v>
      </c>
      <c r="P821" s="59">
        <f t="shared" si="235"/>
        <v>0</v>
      </c>
      <c r="Q821" s="59">
        <f t="shared" si="236"/>
        <v>0</v>
      </c>
      <c r="R821" s="59">
        <v>1</v>
      </c>
      <c r="S821" s="59">
        <v>1136</v>
      </c>
      <c r="T821" s="59">
        <v>1</v>
      </c>
      <c r="U821" s="59">
        <v>1</v>
      </c>
      <c r="V821" s="59">
        <v>67</v>
      </c>
      <c r="W821" s="59">
        <v>2</v>
      </c>
      <c r="X821" s="59">
        <v>1</v>
      </c>
      <c r="Y821" s="59">
        <v>2</v>
      </c>
      <c r="Z821" s="59">
        <f t="shared" si="237"/>
        <v>0</v>
      </c>
      <c r="AA821" s="59">
        <f>IF('Updated Dummy'!Y821=2,1,0)</f>
        <v>1</v>
      </c>
      <c r="AB821" s="59">
        <f t="shared" si="238"/>
        <v>0</v>
      </c>
      <c r="AC821" s="59">
        <f t="shared" si="239"/>
        <v>0</v>
      </c>
      <c r="AD821" s="59">
        <f t="shared" si="240"/>
        <v>0</v>
      </c>
      <c r="AE821" s="59">
        <f t="shared" si="241"/>
        <v>0</v>
      </c>
      <c r="AF821" s="59">
        <f t="shared" si="242"/>
        <v>0</v>
      </c>
      <c r="AG821" s="59">
        <f t="shared" si="243"/>
        <v>0</v>
      </c>
      <c r="AH821" s="59">
        <v>2</v>
      </c>
      <c r="AI821" s="59">
        <v>2</v>
      </c>
      <c r="AJ821" s="59">
        <f t="shared" si="244"/>
        <v>0</v>
      </c>
      <c r="AK821" s="59">
        <f t="shared" si="245"/>
        <v>1</v>
      </c>
      <c r="AL821" s="59">
        <v>3201</v>
      </c>
      <c r="AM821" s="59">
        <v>19911</v>
      </c>
      <c r="AN821" s="59">
        <v>0</v>
      </c>
      <c r="AO821" s="59">
        <v>0</v>
      </c>
      <c r="AP821" s="59">
        <v>17</v>
      </c>
      <c r="AQ821" s="59">
        <v>3</v>
      </c>
      <c r="AR821" s="59">
        <v>1</v>
      </c>
      <c r="AS821" s="59">
        <v>80</v>
      </c>
      <c r="AT821" s="59">
        <v>0</v>
      </c>
      <c r="AU821" s="59">
        <v>6</v>
      </c>
      <c r="AV821" s="59">
        <v>2</v>
      </c>
      <c r="AW821" s="59">
        <v>1</v>
      </c>
      <c r="AX821" s="59">
        <v>5</v>
      </c>
      <c r="AY821" s="59">
        <v>3</v>
      </c>
      <c r="AZ821" s="59">
        <v>0</v>
      </c>
      <c r="BA821" s="59">
        <v>4</v>
      </c>
      <c r="BB821" s="57">
        <f t="shared" si="246"/>
        <v>3201</v>
      </c>
    </row>
    <row r="822" spans="1:54" x14ac:dyDescent="0.25">
      <c r="A822" s="58">
        <v>35</v>
      </c>
      <c r="B822" s="59">
        <v>0</v>
      </c>
      <c r="C822" s="59">
        <v>2</v>
      </c>
      <c r="D822" s="59">
        <f t="shared" si="228"/>
        <v>0</v>
      </c>
      <c r="E822" s="59">
        <f t="shared" si="229"/>
        <v>1</v>
      </c>
      <c r="F822" s="59">
        <v>1182</v>
      </c>
      <c r="G822" s="59">
        <v>1</v>
      </c>
      <c r="H822" s="59">
        <f t="shared" si="230"/>
        <v>1</v>
      </c>
      <c r="I822" s="59">
        <f t="shared" si="231"/>
        <v>0</v>
      </c>
      <c r="J822" s="59">
        <v>11</v>
      </c>
      <c r="K822" s="59">
        <v>2</v>
      </c>
      <c r="L822" s="59">
        <v>4</v>
      </c>
      <c r="M822" s="59">
        <f t="shared" si="232"/>
        <v>0</v>
      </c>
      <c r="N822" s="59">
        <f t="shared" si="233"/>
        <v>0</v>
      </c>
      <c r="O822" s="59">
        <f t="shared" si="234"/>
        <v>0</v>
      </c>
      <c r="P822" s="59">
        <f t="shared" si="235"/>
        <v>1</v>
      </c>
      <c r="Q822" s="59">
        <f t="shared" si="236"/>
        <v>0</v>
      </c>
      <c r="R822" s="59">
        <v>1</v>
      </c>
      <c r="S822" s="59">
        <v>1137</v>
      </c>
      <c r="T822" s="59">
        <v>4</v>
      </c>
      <c r="U822" s="59">
        <v>1</v>
      </c>
      <c r="V822" s="59">
        <v>54</v>
      </c>
      <c r="W822" s="59">
        <v>3</v>
      </c>
      <c r="X822" s="59">
        <v>2</v>
      </c>
      <c r="Y822" s="59">
        <v>1</v>
      </c>
      <c r="Z822" s="59">
        <f t="shared" si="237"/>
        <v>1</v>
      </c>
      <c r="AA822" s="59">
        <f>IF('Updated Dummy'!Y822=2,1,0)</f>
        <v>0</v>
      </c>
      <c r="AB822" s="59">
        <f t="shared" si="238"/>
        <v>0</v>
      </c>
      <c r="AC822" s="59">
        <f t="shared" si="239"/>
        <v>0</v>
      </c>
      <c r="AD822" s="59">
        <f t="shared" si="240"/>
        <v>0</v>
      </c>
      <c r="AE822" s="59">
        <f t="shared" si="241"/>
        <v>0</v>
      </c>
      <c r="AF822" s="59">
        <f t="shared" si="242"/>
        <v>0</v>
      </c>
      <c r="AG822" s="59">
        <f t="shared" si="243"/>
        <v>0</v>
      </c>
      <c r="AH822" s="59">
        <v>4</v>
      </c>
      <c r="AI822" s="59">
        <v>3</v>
      </c>
      <c r="AJ822" s="59">
        <f t="shared" si="244"/>
        <v>0</v>
      </c>
      <c r="AK822" s="59">
        <f t="shared" si="245"/>
        <v>0</v>
      </c>
      <c r="AL822" s="59">
        <v>4968</v>
      </c>
      <c r="AM822" s="59">
        <v>18500</v>
      </c>
      <c r="AN822" s="59">
        <v>1</v>
      </c>
      <c r="AO822" s="59">
        <v>0</v>
      </c>
      <c r="AP822" s="59">
        <v>11</v>
      </c>
      <c r="AQ822" s="59">
        <v>3</v>
      </c>
      <c r="AR822" s="59">
        <v>4</v>
      </c>
      <c r="AS822" s="59">
        <v>80</v>
      </c>
      <c r="AT822" s="59">
        <v>1</v>
      </c>
      <c r="AU822" s="59">
        <v>5</v>
      </c>
      <c r="AV822" s="59">
        <v>3</v>
      </c>
      <c r="AW822" s="59">
        <v>3</v>
      </c>
      <c r="AX822" s="59">
        <v>5</v>
      </c>
      <c r="AY822" s="59">
        <v>2</v>
      </c>
      <c r="AZ822" s="59">
        <v>0</v>
      </c>
      <c r="BA822" s="59">
        <v>2</v>
      </c>
      <c r="BB822" s="57">
        <f t="shared" si="246"/>
        <v>9936</v>
      </c>
    </row>
    <row r="823" spans="1:54" x14ac:dyDescent="0.25">
      <c r="A823" s="58">
        <v>49</v>
      </c>
      <c r="B823" s="59">
        <v>0</v>
      </c>
      <c r="C823" s="59">
        <v>1</v>
      </c>
      <c r="D823" s="59">
        <f t="shared" si="228"/>
        <v>1</v>
      </c>
      <c r="E823" s="59">
        <f t="shared" si="229"/>
        <v>0</v>
      </c>
      <c r="F823" s="59">
        <v>174</v>
      </c>
      <c r="G823" s="59">
        <v>1</v>
      </c>
      <c r="H823" s="59">
        <f t="shared" si="230"/>
        <v>1</v>
      </c>
      <c r="I823" s="59">
        <f t="shared" si="231"/>
        <v>0</v>
      </c>
      <c r="J823" s="59">
        <v>8</v>
      </c>
      <c r="K823" s="59">
        <v>4</v>
      </c>
      <c r="L823" s="59">
        <v>5</v>
      </c>
      <c r="M823" s="59">
        <f t="shared" si="232"/>
        <v>0</v>
      </c>
      <c r="N823" s="59">
        <f t="shared" si="233"/>
        <v>0</v>
      </c>
      <c r="O823" s="59">
        <f t="shared" si="234"/>
        <v>0</v>
      </c>
      <c r="P823" s="59">
        <f t="shared" si="235"/>
        <v>0</v>
      </c>
      <c r="Q823" s="59">
        <f t="shared" si="236"/>
        <v>1</v>
      </c>
      <c r="R823" s="59">
        <v>1</v>
      </c>
      <c r="S823" s="59">
        <v>1138</v>
      </c>
      <c r="T823" s="59">
        <v>4</v>
      </c>
      <c r="U823" s="59">
        <v>1</v>
      </c>
      <c r="V823" s="59">
        <v>56</v>
      </c>
      <c r="W823" s="59">
        <v>2</v>
      </c>
      <c r="X823" s="59">
        <v>4</v>
      </c>
      <c r="Y823" s="59">
        <v>1</v>
      </c>
      <c r="Z823" s="59">
        <f t="shared" si="237"/>
        <v>1</v>
      </c>
      <c r="AA823" s="59">
        <f>IF('Updated Dummy'!Y823=2,1,0)</f>
        <v>0</v>
      </c>
      <c r="AB823" s="59">
        <f t="shared" si="238"/>
        <v>0</v>
      </c>
      <c r="AC823" s="59">
        <f t="shared" si="239"/>
        <v>0</v>
      </c>
      <c r="AD823" s="59">
        <f t="shared" si="240"/>
        <v>0</v>
      </c>
      <c r="AE823" s="59">
        <f t="shared" si="241"/>
        <v>0</v>
      </c>
      <c r="AF823" s="59">
        <f t="shared" si="242"/>
        <v>0</v>
      </c>
      <c r="AG823" s="59">
        <f t="shared" si="243"/>
        <v>0</v>
      </c>
      <c r="AH823" s="59">
        <v>2</v>
      </c>
      <c r="AI823" s="59">
        <v>2</v>
      </c>
      <c r="AJ823" s="59">
        <f t="shared" si="244"/>
        <v>0</v>
      </c>
      <c r="AK823" s="59">
        <f t="shared" si="245"/>
        <v>1</v>
      </c>
      <c r="AL823" s="59">
        <v>13120</v>
      </c>
      <c r="AM823" s="59">
        <v>11879</v>
      </c>
      <c r="AN823" s="59">
        <v>6</v>
      </c>
      <c r="AO823" s="59">
        <v>0</v>
      </c>
      <c r="AP823" s="59">
        <v>17</v>
      </c>
      <c r="AQ823" s="59">
        <v>3</v>
      </c>
      <c r="AR823" s="59">
        <v>2</v>
      </c>
      <c r="AS823" s="59">
        <v>80</v>
      </c>
      <c r="AT823" s="59">
        <v>1</v>
      </c>
      <c r="AU823" s="59">
        <v>22</v>
      </c>
      <c r="AV823" s="59">
        <v>3</v>
      </c>
      <c r="AW823" s="59">
        <v>3</v>
      </c>
      <c r="AX823" s="59">
        <v>9</v>
      </c>
      <c r="AY823" s="59">
        <v>8</v>
      </c>
      <c r="AZ823" s="59">
        <v>2</v>
      </c>
      <c r="BA823" s="59">
        <v>3</v>
      </c>
      <c r="BB823" s="57">
        <f t="shared" si="246"/>
        <v>52480</v>
      </c>
    </row>
    <row r="824" spans="1:54" x14ac:dyDescent="0.25">
      <c r="A824" s="58">
        <v>34</v>
      </c>
      <c r="B824" s="59">
        <v>0</v>
      </c>
      <c r="C824" s="59">
        <v>2</v>
      </c>
      <c r="D824" s="59">
        <f t="shared" si="228"/>
        <v>0</v>
      </c>
      <c r="E824" s="59">
        <f t="shared" si="229"/>
        <v>1</v>
      </c>
      <c r="F824" s="59">
        <v>1003</v>
      </c>
      <c r="G824" s="59">
        <v>2</v>
      </c>
      <c r="H824" s="59">
        <f t="shared" si="230"/>
        <v>0</v>
      </c>
      <c r="I824" s="59">
        <f t="shared" si="231"/>
        <v>1</v>
      </c>
      <c r="J824" s="59">
        <v>2</v>
      </c>
      <c r="K824" s="59">
        <v>2</v>
      </c>
      <c r="L824" s="59">
        <v>1</v>
      </c>
      <c r="M824" s="59">
        <f t="shared" si="232"/>
        <v>1</v>
      </c>
      <c r="N824" s="59">
        <f t="shared" si="233"/>
        <v>0</v>
      </c>
      <c r="O824" s="59">
        <f t="shared" si="234"/>
        <v>0</v>
      </c>
      <c r="P824" s="59">
        <f t="shared" si="235"/>
        <v>0</v>
      </c>
      <c r="Q824" s="59">
        <f t="shared" si="236"/>
        <v>0</v>
      </c>
      <c r="R824" s="59">
        <v>1</v>
      </c>
      <c r="S824" s="59">
        <v>1140</v>
      </c>
      <c r="T824" s="59">
        <v>4</v>
      </c>
      <c r="U824" s="59">
        <v>1</v>
      </c>
      <c r="V824" s="59">
        <v>95</v>
      </c>
      <c r="W824" s="59">
        <v>3</v>
      </c>
      <c r="X824" s="59">
        <v>2</v>
      </c>
      <c r="Y824" s="59">
        <v>4</v>
      </c>
      <c r="Z824" s="59">
        <f t="shared" si="237"/>
        <v>0</v>
      </c>
      <c r="AA824" s="59">
        <f>IF('Updated Dummy'!Y824=2,1,0)</f>
        <v>0</v>
      </c>
      <c r="AB824" s="59">
        <f t="shared" si="238"/>
        <v>0</v>
      </c>
      <c r="AC824" s="59">
        <f t="shared" si="239"/>
        <v>1</v>
      </c>
      <c r="AD824" s="59">
        <f t="shared" si="240"/>
        <v>0</v>
      </c>
      <c r="AE824" s="59">
        <f t="shared" si="241"/>
        <v>0</v>
      </c>
      <c r="AF824" s="59">
        <f t="shared" si="242"/>
        <v>0</v>
      </c>
      <c r="AG824" s="59">
        <f t="shared" si="243"/>
        <v>0</v>
      </c>
      <c r="AH824" s="59">
        <v>3</v>
      </c>
      <c r="AI824" s="59">
        <v>1</v>
      </c>
      <c r="AJ824" s="59">
        <f t="shared" si="244"/>
        <v>1</v>
      </c>
      <c r="AK824" s="59">
        <f t="shared" si="245"/>
        <v>0</v>
      </c>
      <c r="AL824" s="59">
        <v>4033</v>
      </c>
      <c r="AM824" s="59">
        <v>15834</v>
      </c>
      <c r="AN824" s="59">
        <v>2</v>
      </c>
      <c r="AO824" s="59">
        <v>0</v>
      </c>
      <c r="AP824" s="59">
        <v>11</v>
      </c>
      <c r="AQ824" s="59">
        <v>3</v>
      </c>
      <c r="AR824" s="59">
        <v>4</v>
      </c>
      <c r="AS824" s="59">
        <v>80</v>
      </c>
      <c r="AT824" s="59">
        <v>0</v>
      </c>
      <c r="AU824" s="59">
        <v>5</v>
      </c>
      <c r="AV824" s="59">
        <v>3</v>
      </c>
      <c r="AW824" s="59">
        <v>2</v>
      </c>
      <c r="AX824" s="59">
        <v>3</v>
      </c>
      <c r="AY824" s="59">
        <v>2</v>
      </c>
      <c r="AZ824" s="59">
        <v>0</v>
      </c>
      <c r="BA824" s="59">
        <v>2</v>
      </c>
      <c r="BB824" s="57">
        <f t="shared" si="246"/>
        <v>8066</v>
      </c>
    </row>
    <row r="825" spans="1:54" x14ac:dyDescent="0.25">
      <c r="A825" s="58">
        <v>29</v>
      </c>
      <c r="B825" s="59">
        <v>0</v>
      </c>
      <c r="C825" s="59">
        <v>2</v>
      </c>
      <c r="D825" s="59">
        <f t="shared" si="228"/>
        <v>0</v>
      </c>
      <c r="E825" s="59">
        <f t="shared" si="229"/>
        <v>1</v>
      </c>
      <c r="F825" s="59">
        <v>490</v>
      </c>
      <c r="G825" s="59">
        <v>2</v>
      </c>
      <c r="H825" s="59">
        <f t="shared" si="230"/>
        <v>0</v>
      </c>
      <c r="I825" s="59">
        <f t="shared" si="231"/>
        <v>1</v>
      </c>
      <c r="J825" s="59">
        <v>10</v>
      </c>
      <c r="K825" s="59">
        <v>3</v>
      </c>
      <c r="L825" s="59">
        <v>1</v>
      </c>
      <c r="M825" s="59">
        <f t="shared" si="232"/>
        <v>1</v>
      </c>
      <c r="N825" s="59">
        <f t="shared" si="233"/>
        <v>0</v>
      </c>
      <c r="O825" s="59">
        <f t="shared" si="234"/>
        <v>0</v>
      </c>
      <c r="P825" s="59">
        <f t="shared" si="235"/>
        <v>0</v>
      </c>
      <c r="Q825" s="59">
        <f t="shared" si="236"/>
        <v>0</v>
      </c>
      <c r="R825" s="59">
        <v>1</v>
      </c>
      <c r="S825" s="59">
        <v>1143</v>
      </c>
      <c r="T825" s="59">
        <v>4</v>
      </c>
      <c r="U825" s="59">
        <v>0</v>
      </c>
      <c r="V825" s="59">
        <v>61</v>
      </c>
      <c r="W825" s="59">
        <v>3</v>
      </c>
      <c r="X825" s="59">
        <v>1</v>
      </c>
      <c r="Y825" s="59">
        <v>2</v>
      </c>
      <c r="Z825" s="59">
        <f t="shared" si="237"/>
        <v>0</v>
      </c>
      <c r="AA825" s="59">
        <f>IF('Updated Dummy'!Y825=2,1,0)</f>
        <v>1</v>
      </c>
      <c r="AB825" s="59">
        <f t="shared" si="238"/>
        <v>0</v>
      </c>
      <c r="AC825" s="59">
        <f t="shared" si="239"/>
        <v>0</v>
      </c>
      <c r="AD825" s="59">
        <f t="shared" si="240"/>
        <v>0</v>
      </c>
      <c r="AE825" s="59">
        <f t="shared" si="241"/>
        <v>0</v>
      </c>
      <c r="AF825" s="59">
        <f t="shared" si="242"/>
        <v>0</v>
      </c>
      <c r="AG825" s="59">
        <f t="shared" si="243"/>
        <v>0</v>
      </c>
      <c r="AH825" s="59">
        <v>2</v>
      </c>
      <c r="AI825" s="59">
        <v>3</v>
      </c>
      <c r="AJ825" s="59">
        <f t="shared" si="244"/>
        <v>0</v>
      </c>
      <c r="AK825" s="59">
        <f t="shared" si="245"/>
        <v>0</v>
      </c>
      <c r="AL825" s="59">
        <v>3291</v>
      </c>
      <c r="AM825" s="59">
        <v>17940</v>
      </c>
      <c r="AN825" s="59">
        <v>0</v>
      </c>
      <c r="AO825" s="59">
        <v>0</v>
      </c>
      <c r="AP825" s="59">
        <v>14</v>
      </c>
      <c r="AQ825" s="59">
        <v>3</v>
      </c>
      <c r="AR825" s="59">
        <v>4</v>
      </c>
      <c r="AS825" s="59">
        <v>80</v>
      </c>
      <c r="AT825" s="59">
        <v>2</v>
      </c>
      <c r="AU825" s="59">
        <v>8</v>
      </c>
      <c r="AV825" s="59">
        <v>2</v>
      </c>
      <c r="AW825" s="59">
        <v>2</v>
      </c>
      <c r="AX825" s="59">
        <v>7</v>
      </c>
      <c r="AY825" s="59">
        <v>5</v>
      </c>
      <c r="AZ825" s="59">
        <v>1</v>
      </c>
      <c r="BA825" s="59">
        <v>1</v>
      </c>
      <c r="BB825" s="57">
        <f t="shared" si="246"/>
        <v>3291</v>
      </c>
    </row>
    <row r="826" spans="1:54" x14ac:dyDescent="0.25">
      <c r="A826" s="58">
        <v>42</v>
      </c>
      <c r="B826" s="59">
        <v>0</v>
      </c>
      <c r="C826" s="59">
        <v>1</v>
      </c>
      <c r="D826" s="59">
        <f t="shared" si="228"/>
        <v>1</v>
      </c>
      <c r="E826" s="59">
        <f t="shared" si="229"/>
        <v>0</v>
      </c>
      <c r="F826" s="59">
        <v>188</v>
      </c>
      <c r="G826" s="59">
        <v>2</v>
      </c>
      <c r="H826" s="59">
        <f t="shared" si="230"/>
        <v>0</v>
      </c>
      <c r="I826" s="59">
        <f t="shared" si="231"/>
        <v>1</v>
      </c>
      <c r="J826" s="59">
        <v>29</v>
      </c>
      <c r="K826" s="59">
        <v>3</v>
      </c>
      <c r="L826" s="59">
        <v>3</v>
      </c>
      <c r="M826" s="59">
        <f t="shared" si="232"/>
        <v>0</v>
      </c>
      <c r="N826" s="59">
        <f t="shared" si="233"/>
        <v>0</v>
      </c>
      <c r="O826" s="59">
        <f t="shared" si="234"/>
        <v>1</v>
      </c>
      <c r="P826" s="59">
        <f t="shared" si="235"/>
        <v>0</v>
      </c>
      <c r="Q826" s="59">
        <f t="shared" si="236"/>
        <v>0</v>
      </c>
      <c r="R826" s="59">
        <v>1</v>
      </c>
      <c r="S826" s="59">
        <v>1148</v>
      </c>
      <c r="T826" s="59">
        <v>2</v>
      </c>
      <c r="U826" s="59">
        <v>1</v>
      </c>
      <c r="V826" s="59">
        <v>56</v>
      </c>
      <c r="W826" s="59">
        <v>1</v>
      </c>
      <c r="X826" s="59">
        <v>2</v>
      </c>
      <c r="Y826" s="59">
        <v>3</v>
      </c>
      <c r="Z826" s="59">
        <f t="shared" si="237"/>
        <v>0</v>
      </c>
      <c r="AA826" s="59">
        <f>IF('Updated Dummy'!Y826=2,1,0)</f>
        <v>0</v>
      </c>
      <c r="AB826" s="59">
        <f t="shared" si="238"/>
        <v>1</v>
      </c>
      <c r="AC826" s="59">
        <f t="shared" si="239"/>
        <v>0</v>
      </c>
      <c r="AD826" s="59">
        <f t="shared" si="240"/>
        <v>0</v>
      </c>
      <c r="AE826" s="59">
        <f t="shared" si="241"/>
        <v>0</v>
      </c>
      <c r="AF826" s="59">
        <f t="shared" si="242"/>
        <v>0</v>
      </c>
      <c r="AG826" s="59">
        <f t="shared" si="243"/>
        <v>0</v>
      </c>
      <c r="AH826" s="59">
        <v>4</v>
      </c>
      <c r="AI826" s="59">
        <v>1</v>
      </c>
      <c r="AJ826" s="59">
        <f t="shared" si="244"/>
        <v>1</v>
      </c>
      <c r="AK826" s="59">
        <f t="shared" si="245"/>
        <v>0</v>
      </c>
      <c r="AL826" s="59">
        <v>4272</v>
      </c>
      <c r="AM826" s="59">
        <v>9558</v>
      </c>
      <c r="AN826" s="59">
        <v>4</v>
      </c>
      <c r="AO826" s="59">
        <v>0</v>
      </c>
      <c r="AP826" s="59">
        <v>19</v>
      </c>
      <c r="AQ826" s="59">
        <v>3</v>
      </c>
      <c r="AR826" s="59">
        <v>1</v>
      </c>
      <c r="AS826" s="59">
        <v>80</v>
      </c>
      <c r="AT826" s="59">
        <v>0</v>
      </c>
      <c r="AU826" s="59">
        <v>16</v>
      </c>
      <c r="AV826" s="59">
        <v>3</v>
      </c>
      <c r="AW826" s="59">
        <v>3</v>
      </c>
      <c r="AX826" s="59">
        <v>1</v>
      </c>
      <c r="AY826" s="59">
        <v>0</v>
      </c>
      <c r="AZ826" s="59">
        <v>0</v>
      </c>
      <c r="BA826" s="59">
        <v>0</v>
      </c>
      <c r="BB826" s="57">
        <f t="shared" si="246"/>
        <v>8544</v>
      </c>
    </row>
    <row r="827" spans="1:54" x14ac:dyDescent="0.25">
      <c r="A827" s="58">
        <v>29</v>
      </c>
      <c r="B827" s="59">
        <v>0</v>
      </c>
      <c r="C827" s="59">
        <v>1</v>
      </c>
      <c r="D827" s="59">
        <f t="shared" si="228"/>
        <v>1</v>
      </c>
      <c r="E827" s="59">
        <f t="shared" si="229"/>
        <v>0</v>
      </c>
      <c r="F827" s="59">
        <v>718</v>
      </c>
      <c r="G827" s="59">
        <v>2</v>
      </c>
      <c r="H827" s="59">
        <f t="shared" si="230"/>
        <v>0</v>
      </c>
      <c r="I827" s="59">
        <f t="shared" si="231"/>
        <v>1</v>
      </c>
      <c r="J827" s="59">
        <v>8</v>
      </c>
      <c r="K827" s="59">
        <v>1</v>
      </c>
      <c r="L827" s="59">
        <v>3</v>
      </c>
      <c r="M827" s="59">
        <f t="shared" si="232"/>
        <v>0</v>
      </c>
      <c r="N827" s="59">
        <f t="shared" si="233"/>
        <v>0</v>
      </c>
      <c r="O827" s="59">
        <f t="shared" si="234"/>
        <v>1</v>
      </c>
      <c r="P827" s="59">
        <f t="shared" si="235"/>
        <v>0</v>
      </c>
      <c r="Q827" s="59">
        <f t="shared" si="236"/>
        <v>0</v>
      </c>
      <c r="R827" s="59">
        <v>1</v>
      </c>
      <c r="S827" s="59">
        <v>1150</v>
      </c>
      <c r="T827" s="59">
        <v>2</v>
      </c>
      <c r="U827" s="59">
        <v>1</v>
      </c>
      <c r="V827" s="59">
        <v>79</v>
      </c>
      <c r="W827" s="59">
        <v>2</v>
      </c>
      <c r="X827" s="59">
        <v>2</v>
      </c>
      <c r="Y827" s="59">
        <v>4</v>
      </c>
      <c r="Z827" s="59">
        <f t="shared" si="237"/>
        <v>0</v>
      </c>
      <c r="AA827" s="59">
        <f>IF('Updated Dummy'!Y827=2,1,0)</f>
        <v>0</v>
      </c>
      <c r="AB827" s="59">
        <f t="shared" si="238"/>
        <v>0</v>
      </c>
      <c r="AC827" s="59">
        <f t="shared" si="239"/>
        <v>1</v>
      </c>
      <c r="AD827" s="59">
        <f t="shared" si="240"/>
        <v>0</v>
      </c>
      <c r="AE827" s="59">
        <f t="shared" si="241"/>
        <v>0</v>
      </c>
      <c r="AF827" s="59">
        <f t="shared" si="242"/>
        <v>0</v>
      </c>
      <c r="AG827" s="59">
        <f t="shared" si="243"/>
        <v>0</v>
      </c>
      <c r="AH827" s="59">
        <v>4</v>
      </c>
      <c r="AI827" s="59">
        <v>2</v>
      </c>
      <c r="AJ827" s="59">
        <f t="shared" si="244"/>
        <v>0</v>
      </c>
      <c r="AK827" s="59">
        <f t="shared" si="245"/>
        <v>1</v>
      </c>
      <c r="AL827" s="59">
        <v>5056</v>
      </c>
      <c r="AM827" s="59">
        <v>17689</v>
      </c>
      <c r="AN827" s="59">
        <v>1</v>
      </c>
      <c r="AO827" s="59">
        <v>1</v>
      </c>
      <c r="AP827" s="59">
        <v>15</v>
      </c>
      <c r="AQ827" s="59">
        <v>3</v>
      </c>
      <c r="AR827" s="59">
        <v>3</v>
      </c>
      <c r="AS827" s="59">
        <v>80</v>
      </c>
      <c r="AT827" s="59">
        <v>1</v>
      </c>
      <c r="AU827" s="59">
        <v>10</v>
      </c>
      <c r="AV827" s="59">
        <v>2</v>
      </c>
      <c r="AW827" s="59">
        <v>2</v>
      </c>
      <c r="AX827" s="59">
        <v>10</v>
      </c>
      <c r="AY827" s="59">
        <v>7</v>
      </c>
      <c r="AZ827" s="59">
        <v>1</v>
      </c>
      <c r="BA827" s="59">
        <v>2</v>
      </c>
      <c r="BB827" s="57">
        <f t="shared" si="246"/>
        <v>10112</v>
      </c>
    </row>
    <row r="828" spans="1:54" x14ac:dyDescent="0.25">
      <c r="A828" s="58">
        <v>38</v>
      </c>
      <c r="B828" s="59">
        <v>0</v>
      </c>
      <c r="C828" s="59">
        <v>1</v>
      </c>
      <c r="D828" s="59">
        <f t="shared" si="228"/>
        <v>1</v>
      </c>
      <c r="E828" s="59">
        <f t="shared" si="229"/>
        <v>0</v>
      </c>
      <c r="F828" s="59">
        <v>433</v>
      </c>
      <c r="G828" s="59">
        <v>3</v>
      </c>
      <c r="H828" s="59">
        <f t="shared" si="230"/>
        <v>0</v>
      </c>
      <c r="I828" s="59">
        <f t="shared" si="231"/>
        <v>0</v>
      </c>
      <c r="J828" s="59">
        <v>1</v>
      </c>
      <c r="K828" s="59">
        <v>3</v>
      </c>
      <c r="L828" s="59">
        <v>2</v>
      </c>
      <c r="M828" s="59">
        <f t="shared" si="232"/>
        <v>0</v>
      </c>
      <c r="N828" s="59">
        <f t="shared" si="233"/>
        <v>1</v>
      </c>
      <c r="O828" s="59">
        <f t="shared" si="234"/>
        <v>0</v>
      </c>
      <c r="P828" s="59">
        <f t="shared" si="235"/>
        <v>0</v>
      </c>
      <c r="Q828" s="59">
        <f t="shared" si="236"/>
        <v>0</v>
      </c>
      <c r="R828" s="59">
        <v>1</v>
      </c>
      <c r="S828" s="59">
        <v>1152</v>
      </c>
      <c r="T828" s="59">
        <v>3</v>
      </c>
      <c r="U828" s="59">
        <v>1</v>
      </c>
      <c r="V828" s="59">
        <v>37</v>
      </c>
      <c r="W828" s="59">
        <v>4</v>
      </c>
      <c r="X828" s="59">
        <v>1</v>
      </c>
      <c r="Y828" s="59">
        <v>9</v>
      </c>
      <c r="Z828" s="59">
        <f t="shared" si="237"/>
        <v>0</v>
      </c>
      <c r="AA828" s="59">
        <f>IF('Updated Dummy'!Y828=2,1,0)</f>
        <v>0</v>
      </c>
      <c r="AB828" s="59">
        <f t="shared" si="238"/>
        <v>0</v>
      </c>
      <c r="AC828" s="59">
        <f t="shared" si="239"/>
        <v>0</v>
      </c>
      <c r="AD828" s="59">
        <f t="shared" si="240"/>
        <v>0</v>
      </c>
      <c r="AE828" s="59">
        <f t="shared" si="241"/>
        <v>0</v>
      </c>
      <c r="AF828" s="59">
        <f t="shared" si="242"/>
        <v>0</v>
      </c>
      <c r="AG828" s="59">
        <f t="shared" si="243"/>
        <v>0</v>
      </c>
      <c r="AH828" s="59">
        <v>3</v>
      </c>
      <c r="AI828" s="59">
        <v>2</v>
      </c>
      <c r="AJ828" s="59">
        <f t="shared" si="244"/>
        <v>0</v>
      </c>
      <c r="AK828" s="59">
        <f t="shared" si="245"/>
        <v>1</v>
      </c>
      <c r="AL828" s="59">
        <v>2844</v>
      </c>
      <c r="AM828" s="59">
        <v>6004</v>
      </c>
      <c r="AN828" s="59">
        <v>1</v>
      </c>
      <c r="AO828" s="59">
        <v>0</v>
      </c>
      <c r="AP828" s="59">
        <v>13</v>
      </c>
      <c r="AQ828" s="59">
        <v>3</v>
      </c>
      <c r="AR828" s="59">
        <v>4</v>
      </c>
      <c r="AS828" s="59">
        <v>80</v>
      </c>
      <c r="AT828" s="59">
        <v>1</v>
      </c>
      <c r="AU828" s="59">
        <v>7</v>
      </c>
      <c r="AV828" s="59">
        <v>2</v>
      </c>
      <c r="AW828" s="59">
        <v>4</v>
      </c>
      <c r="AX828" s="59">
        <v>7</v>
      </c>
      <c r="AY828" s="59">
        <v>6</v>
      </c>
      <c r="AZ828" s="59">
        <v>5</v>
      </c>
      <c r="BA828" s="59">
        <v>0</v>
      </c>
      <c r="BB828" s="57">
        <f t="shared" si="246"/>
        <v>2844</v>
      </c>
    </row>
    <row r="829" spans="1:54" x14ac:dyDescent="0.25">
      <c r="A829" s="58">
        <v>28</v>
      </c>
      <c r="B829" s="59">
        <v>0</v>
      </c>
      <c r="C829" s="59">
        <v>2</v>
      </c>
      <c r="D829" s="59">
        <f t="shared" si="228"/>
        <v>0</v>
      </c>
      <c r="E829" s="59">
        <f t="shared" si="229"/>
        <v>1</v>
      </c>
      <c r="F829" s="59">
        <v>773</v>
      </c>
      <c r="G829" s="59">
        <v>2</v>
      </c>
      <c r="H829" s="59">
        <f t="shared" si="230"/>
        <v>0</v>
      </c>
      <c r="I829" s="59">
        <f t="shared" si="231"/>
        <v>1</v>
      </c>
      <c r="J829" s="59">
        <v>6</v>
      </c>
      <c r="K829" s="59">
        <v>3</v>
      </c>
      <c r="L829" s="59">
        <v>1</v>
      </c>
      <c r="M829" s="59">
        <f t="shared" si="232"/>
        <v>1</v>
      </c>
      <c r="N829" s="59">
        <f t="shared" si="233"/>
        <v>0</v>
      </c>
      <c r="O829" s="59">
        <f t="shared" si="234"/>
        <v>0</v>
      </c>
      <c r="P829" s="59">
        <f t="shared" si="235"/>
        <v>0</v>
      </c>
      <c r="Q829" s="59">
        <f t="shared" si="236"/>
        <v>0</v>
      </c>
      <c r="R829" s="59">
        <v>1</v>
      </c>
      <c r="S829" s="59">
        <v>1154</v>
      </c>
      <c r="T829" s="59">
        <v>3</v>
      </c>
      <c r="U829" s="59">
        <v>1</v>
      </c>
      <c r="V829" s="59">
        <v>39</v>
      </c>
      <c r="W829" s="59">
        <v>2</v>
      </c>
      <c r="X829" s="59">
        <v>1</v>
      </c>
      <c r="Y829" s="59">
        <v>2</v>
      </c>
      <c r="Z829" s="59">
        <f t="shared" si="237"/>
        <v>0</v>
      </c>
      <c r="AA829" s="59">
        <f>IF('Updated Dummy'!Y829=2,1,0)</f>
        <v>1</v>
      </c>
      <c r="AB829" s="59">
        <f t="shared" si="238"/>
        <v>0</v>
      </c>
      <c r="AC829" s="59">
        <f t="shared" si="239"/>
        <v>0</v>
      </c>
      <c r="AD829" s="59">
        <f t="shared" si="240"/>
        <v>0</v>
      </c>
      <c r="AE829" s="59">
        <f t="shared" si="241"/>
        <v>0</v>
      </c>
      <c r="AF829" s="59">
        <f t="shared" si="242"/>
        <v>0</v>
      </c>
      <c r="AG829" s="59">
        <f t="shared" si="243"/>
        <v>0</v>
      </c>
      <c r="AH829" s="59">
        <v>3</v>
      </c>
      <c r="AI829" s="59">
        <v>3</v>
      </c>
      <c r="AJ829" s="59">
        <f t="shared" si="244"/>
        <v>0</v>
      </c>
      <c r="AK829" s="59">
        <f t="shared" si="245"/>
        <v>0</v>
      </c>
      <c r="AL829" s="59">
        <v>2703</v>
      </c>
      <c r="AM829" s="59">
        <v>22088</v>
      </c>
      <c r="AN829" s="59">
        <v>1</v>
      </c>
      <c r="AO829" s="59">
        <v>1</v>
      </c>
      <c r="AP829" s="59">
        <v>14</v>
      </c>
      <c r="AQ829" s="59">
        <v>3</v>
      </c>
      <c r="AR829" s="59">
        <v>4</v>
      </c>
      <c r="AS829" s="59">
        <v>80</v>
      </c>
      <c r="AT829" s="59">
        <v>1</v>
      </c>
      <c r="AU829" s="59">
        <v>3</v>
      </c>
      <c r="AV829" s="59">
        <v>2</v>
      </c>
      <c r="AW829" s="59">
        <v>3</v>
      </c>
      <c r="AX829" s="59">
        <v>3</v>
      </c>
      <c r="AY829" s="59">
        <v>1</v>
      </c>
      <c r="AZ829" s="59">
        <v>0</v>
      </c>
      <c r="BA829" s="59">
        <v>2</v>
      </c>
      <c r="BB829" s="57">
        <f t="shared" si="246"/>
        <v>2703</v>
      </c>
    </row>
    <row r="830" spans="1:54" x14ac:dyDescent="0.25">
      <c r="A830" s="58">
        <v>18</v>
      </c>
      <c r="B830" s="59">
        <v>1</v>
      </c>
      <c r="C830" s="59">
        <v>3</v>
      </c>
      <c r="D830" s="59">
        <f t="shared" si="228"/>
        <v>0</v>
      </c>
      <c r="E830" s="59">
        <f t="shared" si="229"/>
        <v>0</v>
      </c>
      <c r="F830" s="59">
        <v>247</v>
      </c>
      <c r="G830" s="59">
        <v>2</v>
      </c>
      <c r="H830" s="59">
        <f t="shared" si="230"/>
        <v>0</v>
      </c>
      <c r="I830" s="59">
        <f t="shared" si="231"/>
        <v>1</v>
      </c>
      <c r="J830" s="59">
        <v>8</v>
      </c>
      <c r="K830" s="59">
        <v>1</v>
      </c>
      <c r="L830" s="59">
        <v>3</v>
      </c>
      <c r="M830" s="59">
        <f t="shared" si="232"/>
        <v>0</v>
      </c>
      <c r="N830" s="59">
        <f t="shared" si="233"/>
        <v>0</v>
      </c>
      <c r="O830" s="59">
        <f t="shared" si="234"/>
        <v>1</v>
      </c>
      <c r="P830" s="59">
        <f t="shared" si="235"/>
        <v>0</v>
      </c>
      <c r="Q830" s="59">
        <f t="shared" si="236"/>
        <v>0</v>
      </c>
      <c r="R830" s="59">
        <v>1</v>
      </c>
      <c r="S830" s="59">
        <v>1156</v>
      </c>
      <c r="T830" s="59">
        <v>3</v>
      </c>
      <c r="U830" s="59">
        <v>1</v>
      </c>
      <c r="V830" s="59">
        <v>80</v>
      </c>
      <c r="W830" s="59">
        <v>3</v>
      </c>
      <c r="X830" s="59">
        <v>1</v>
      </c>
      <c r="Y830" s="59">
        <v>3</v>
      </c>
      <c r="Z830" s="59">
        <f t="shared" si="237"/>
        <v>0</v>
      </c>
      <c r="AA830" s="59">
        <f>IF('Updated Dummy'!Y830=2,1,0)</f>
        <v>0</v>
      </c>
      <c r="AB830" s="59">
        <f t="shared" si="238"/>
        <v>1</v>
      </c>
      <c r="AC830" s="59">
        <f t="shared" si="239"/>
        <v>0</v>
      </c>
      <c r="AD830" s="59">
        <f t="shared" si="240"/>
        <v>0</v>
      </c>
      <c r="AE830" s="59">
        <f t="shared" si="241"/>
        <v>0</v>
      </c>
      <c r="AF830" s="59">
        <f t="shared" si="242"/>
        <v>0</v>
      </c>
      <c r="AG830" s="59">
        <f t="shared" si="243"/>
        <v>0</v>
      </c>
      <c r="AH830" s="59">
        <v>3</v>
      </c>
      <c r="AI830" s="59">
        <v>1</v>
      </c>
      <c r="AJ830" s="59">
        <f t="shared" si="244"/>
        <v>1</v>
      </c>
      <c r="AK830" s="59">
        <f t="shared" si="245"/>
        <v>0</v>
      </c>
      <c r="AL830" s="59">
        <v>1904</v>
      </c>
      <c r="AM830" s="59">
        <v>13556</v>
      </c>
      <c r="AN830" s="59">
        <v>1</v>
      </c>
      <c r="AO830" s="59">
        <v>0</v>
      </c>
      <c r="AP830" s="59">
        <v>12</v>
      </c>
      <c r="AQ830" s="59">
        <v>3</v>
      </c>
      <c r="AR830" s="59">
        <v>4</v>
      </c>
      <c r="AS830" s="59">
        <v>80</v>
      </c>
      <c r="AT830" s="59">
        <v>0</v>
      </c>
      <c r="AU830" s="59">
        <v>0</v>
      </c>
      <c r="AV830" s="59">
        <v>0</v>
      </c>
      <c r="AW830" s="59">
        <v>3</v>
      </c>
      <c r="AX830" s="59">
        <v>0</v>
      </c>
      <c r="AY830" s="59">
        <v>0</v>
      </c>
      <c r="AZ830" s="59">
        <v>0</v>
      </c>
      <c r="BA830" s="59">
        <v>0</v>
      </c>
      <c r="BB830" s="57">
        <f t="shared" si="246"/>
        <v>1904</v>
      </c>
    </row>
    <row r="831" spans="1:54" x14ac:dyDescent="0.25">
      <c r="A831" s="58">
        <v>33</v>
      </c>
      <c r="B831" s="59">
        <v>1</v>
      </c>
      <c r="C831" s="59">
        <v>1</v>
      </c>
      <c r="D831" s="59">
        <f t="shared" si="228"/>
        <v>1</v>
      </c>
      <c r="E831" s="59">
        <f t="shared" si="229"/>
        <v>0</v>
      </c>
      <c r="F831" s="59">
        <v>603</v>
      </c>
      <c r="G831" s="59">
        <v>1</v>
      </c>
      <c r="H831" s="59">
        <f t="shared" si="230"/>
        <v>1</v>
      </c>
      <c r="I831" s="59">
        <f t="shared" si="231"/>
        <v>0</v>
      </c>
      <c r="J831" s="59">
        <v>9</v>
      </c>
      <c r="K831" s="59">
        <v>4</v>
      </c>
      <c r="L831" s="59">
        <v>4</v>
      </c>
      <c r="M831" s="59">
        <f t="shared" si="232"/>
        <v>0</v>
      </c>
      <c r="N831" s="59">
        <f t="shared" si="233"/>
        <v>0</v>
      </c>
      <c r="O831" s="59">
        <f t="shared" si="234"/>
        <v>0</v>
      </c>
      <c r="P831" s="59">
        <f t="shared" si="235"/>
        <v>1</v>
      </c>
      <c r="Q831" s="59">
        <f t="shared" si="236"/>
        <v>0</v>
      </c>
      <c r="R831" s="59">
        <v>1</v>
      </c>
      <c r="S831" s="59">
        <v>1157</v>
      </c>
      <c r="T831" s="59">
        <v>1</v>
      </c>
      <c r="U831" s="59">
        <v>0</v>
      </c>
      <c r="V831" s="59">
        <v>77</v>
      </c>
      <c r="W831" s="59">
        <v>3</v>
      </c>
      <c r="X831" s="59">
        <v>2</v>
      </c>
      <c r="Y831" s="59">
        <v>1</v>
      </c>
      <c r="Z831" s="59">
        <f t="shared" si="237"/>
        <v>1</v>
      </c>
      <c r="AA831" s="59">
        <f>IF('Updated Dummy'!Y831=2,1,0)</f>
        <v>0</v>
      </c>
      <c r="AB831" s="59">
        <f t="shared" si="238"/>
        <v>0</v>
      </c>
      <c r="AC831" s="59">
        <f t="shared" si="239"/>
        <v>0</v>
      </c>
      <c r="AD831" s="59">
        <f t="shared" si="240"/>
        <v>0</v>
      </c>
      <c r="AE831" s="59">
        <f t="shared" si="241"/>
        <v>0</v>
      </c>
      <c r="AF831" s="59">
        <f t="shared" si="242"/>
        <v>0</v>
      </c>
      <c r="AG831" s="59">
        <f t="shared" si="243"/>
        <v>0</v>
      </c>
      <c r="AH831" s="59">
        <v>1</v>
      </c>
      <c r="AI831" s="59">
        <v>1</v>
      </c>
      <c r="AJ831" s="59">
        <f t="shared" si="244"/>
        <v>1</v>
      </c>
      <c r="AK831" s="59">
        <f t="shared" si="245"/>
        <v>0</v>
      </c>
      <c r="AL831" s="59">
        <v>8224</v>
      </c>
      <c r="AM831" s="59">
        <v>18385</v>
      </c>
      <c r="AN831" s="59">
        <v>0</v>
      </c>
      <c r="AO831" s="59">
        <v>1</v>
      </c>
      <c r="AP831" s="59">
        <v>17</v>
      </c>
      <c r="AQ831" s="59">
        <v>3</v>
      </c>
      <c r="AR831" s="59">
        <v>1</v>
      </c>
      <c r="AS831" s="59">
        <v>80</v>
      </c>
      <c r="AT831" s="59">
        <v>0</v>
      </c>
      <c r="AU831" s="59">
        <v>6</v>
      </c>
      <c r="AV831" s="59">
        <v>3</v>
      </c>
      <c r="AW831" s="59">
        <v>3</v>
      </c>
      <c r="AX831" s="59">
        <v>5</v>
      </c>
      <c r="AY831" s="59">
        <v>2</v>
      </c>
      <c r="AZ831" s="59">
        <v>0</v>
      </c>
      <c r="BA831" s="59">
        <v>3</v>
      </c>
      <c r="BB831" s="57">
        <f t="shared" si="246"/>
        <v>16448</v>
      </c>
    </row>
    <row r="832" spans="1:54" x14ac:dyDescent="0.25">
      <c r="A832" s="58">
        <v>41</v>
      </c>
      <c r="B832" s="59">
        <v>0</v>
      </c>
      <c r="C832" s="59">
        <v>1</v>
      </c>
      <c r="D832" s="59">
        <f t="shared" si="228"/>
        <v>1</v>
      </c>
      <c r="E832" s="59">
        <f t="shared" si="229"/>
        <v>0</v>
      </c>
      <c r="F832" s="59">
        <v>167</v>
      </c>
      <c r="G832" s="59">
        <v>2</v>
      </c>
      <c r="H832" s="59">
        <f t="shared" si="230"/>
        <v>0</v>
      </c>
      <c r="I832" s="59">
        <f t="shared" si="231"/>
        <v>1</v>
      </c>
      <c r="J832" s="59">
        <v>12</v>
      </c>
      <c r="K832" s="59">
        <v>4</v>
      </c>
      <c r="L832" s="59">
        <v>1</v>
      </c>
      <c r="M832" s="59">
        <f t="shared" si="232"/>
        <v>1</v>
      </c>
      <c r="N832" s="59">
        <f t="shared" si="233"/>
        <v>0</v>
      </c>
      <c r="O832" s="59">
        <f t="shared" si="234"/>
        <v>0</v>
      </c>
      <c r="P832" s="59">
        <f t="shared" si="235"/>
        <v>0</v>
      </c>
      <c r="Q832" s="59">
        <f t="shared" si="236"/>
        <v>0</v>
      </c>
      <c r="R832" s="59">
        <v>1</v>
      </c>
      <c r="S832" s="59">
        <v>1158</v>
      </c>
      <c r="T832" s="59">
        <v>2</v>
      </c>
      <c r="U832" s="59">
        <v>1</v>
      </c>
      <c r="V832" s="59">
        <v>46</v>
      </c>
      <c r="W832" s="59">
        <v>3</v>
      </c>
      <c r="X832" s="59">
        <v>1</v>
      </c>
      <c r="Y832" s="59">
        <v>3</v>
      </c>
      <c r="Z832" s="59">
        <f t="shared" si="237"/>
        <v>0</v>
      </c>
      <c r="AA832" s="59">
        <f>IF('Updated Dummy'!Y832=2,1,0)</f>
        <v>0</v>
      </c>
      <c r="AB832" s="59">
        <f t="shared" si="238"/>
        <v>1</v>
      </c>
      <c r="AC832" s="59">
        <f t="shared" si="239"/>
        <v>0</v>
      </c>
      <c r="AD832" s="59">
        <f t="shared" si="240"/>
        <v>0</v>
      </c>
      <c r="AE832" s="59">
        <f t="shared" si="241"/>
        <v>0</v>
      </c>
      <c r="AF832" s="59">
        <f t="shared" si="242"/>
        <v>0</v>
      </c>
      <c r="AG832" s="59">
        <f t="shared" si="243"/>
        <v>0</v>
      </c>
      <c r="AH832" s="59">
        <v>4</v>
      </c>
      <c r="AI832" s="59">
        <v>2</v>
      </c>
      <c r="AJ832" s="59">
        <f t="shared" si="244"/>
        <v>0</v>
      </c>
      <c r="AK832" s="59">
        <f t="shared" si="245"/>
        <v>1</v>
      </c>
      <c r="AL832" s="59">
        <v>4766</v>
      </c>
      <c r="AM832" s="59">
        <v>9051</v>
      </c>
      <c r="AN832" s="59">
        <v>3</v>
      </c>
      <c r="AO832" s="59">
        <v>1</v>
      </c>
      <c r="AP832" s="59">
        <v>11</v>
      </c>
      <c r="AQ832" s="59">
        <v>3</v>
      </c>
      <c r="AR832" s="59">
        <v>1</v>
      </c>
      <c r="AS832" s="59">
        <v>80</v>
      </c>
      <c r="AT832" s="59">
        <v>1</v>
      </c>
      <c r="AU832" s="59">
        <v>6</v>
      </c>
      <c r="AV832" s="59">
        <v>4</v>
      </c>
      <c r="AW832" s="59">
        <v>3</v>
      </c>
      <c r="AX832" s="59">
        <v>1</v>
      </c>
      <c r="AY832" s="59">
        <v>0</v>
      </c>
      <c r="AZ832" s="59">
        <v>0</v>
      </c>
      <c r="BA832" s="59">
        <v>0</v>
      </c>
      <c r="BB832" s="57">
        <f t="shared" si="246"/>
        <v>4766</v>
      </c>
    </row>
    <row r="833" spans="1:54" x14ac:dyDescent="0.25">
      <c r="A833" s="58">
        <v>31</v>
      </c>
      <c r="B833" s="59">
        <v>1</v>
      </c>
      <c r="C833" s="59">
        <v>2</v>
      </c>
      <c r="D833" s="59">
        <f t="shared" si="228"/>
        <v>0</v>
      </c>
      <c r="E833" s="59">
        <f t="shared" si="229"/>
        <v>1</v>
      </c>
      <c r="F833" s="59">
        <v>874</v>
      </c>
      <c r="G833" s="59">
        <v>2</v>
      </c>
      <c r="H833" s="59">
        <f t="shared" si="230"/>
        <v>0</v>
      </c>
      <c r="I833" s="59">
        <f t="shared" si="231"/>
        <v>1</v>
      </c>
      <c r="J833" s="59">
        <v>15</v>
      </c>
      <c r="K833" s="59">
        <v>3</v>
      </c>
      <c r="L833" s="59">
        <v>3</v>
      </c>
      <c r="M833" s="59">
        <f t="shared" si="232"/>
        <v>0</v>
      </c>
      <c r="N833" s="59">
        <f t="shared" si="233"/>
        <v>0</v>
      </c>
      <c r="O833" s="59">
        <f t="shared" si="234"/>
        <v>1</v>
      </c>
      <c r="P833" s="59">
        <f t="shared" si="235"/>
        <v>0</v>
      </c>
      <c r="Q833" s="59">
        <f t="shared" si="236"/>
        <v>0</v>
      </c>
      <c r="R833" s="59">
        <v>1</v>
      </c>
      <c r="S833" s="59">
        <v>1160</v>
      </c>
      <c r="T833" s="59">
        <v>3</v>
      </c>
      <c r="U833" s="59">
        <v>1</v>
      </c>
      <c r="V833" s="59">
        <v>72</v>
      </c>
      <c r="W833" s="59">
        <v>3</v>
      </c>
      <c r="X833" s="59">
        <v>1</v>
      </c>
      <c r="Y833" s="59">
        <v>3</v>
      </c>
      <c r="Z833" s="59">
        <f t="shared" si="237"/>
        <v>0</v>
      </c>
      <c r="AA833" s="59">
        <f>IF('Updated Dummy'!Y833=2,1,0)</f>
        <v>0</v>
      </c>
      <c r="AB833" s="59">
        <f t="shared" si="238"/>
        <v>1</v>
      </c>
      <c r="AC833" s="59">
        <f t="shared" si="239"/>
        <v>0</v>
      </c>
      <c r="AD833" s="59">
        <f t="shared" si="240"/>
        <v>0</v>
      </c>
      <c r="AE833" s="59">
        <f t="shared" si="241"/>
        <v>0</v>
      </c>
      <c r="AF833" s="59">
        <f t="shared" si="242"/>
        <v>0</v>
      </c>
      <c r="AG833" s="59">
        <f t="shared" si="243"/>
        <v>0</v>
      </c>
      <c r="AH833" s="59">
        <v>3</v>
      </c>
      <c r="AI833" s="59">
        <v>2</v>
      </c>
      <c r="AJ833" s="59">
        <f t="shared" si="244"/>
        <v>0</v>
      </c>
      <c r="AK833" s="59">
        <f t="shared" si="245"/>
        <v>1</v>
      </c>
      <c r="AL833" s="59">
        <v>2610</v>
      </c>
      <c r="AM833" s="59">
        <v>6233</v>
      </c>
      <c r="AN833" s="59">
        <v>1</v>
      </c>
      <c r="AO833" s="59">
        <v>0</v>
      </c>
      <c r="AP833" s="59">
        <v>12</v>
      </c>
      <c r="AQ833" s="59">
        <v>3</v>
      </c>
      <c r="AR833" s="59">
        <v>3</v>
      </c>
      <c r="AS833" s="59">
        <v>80</v>
      </c>
      <c r="AT833" s="59">
        <v>1</v>
      </c>
      <c r="AU833" s="59">
        <v>2</v>
      </c>
      <c r="AV833" s="59">
        <v>5</v>
      </c>
      <c r="AW833" s="59">
        <v>2</v>
      </c>
      <c r="AX833" s="59">
        <v>2</v>
      </c>
      <c r="AY833" s="59">
        <v>2</v>
      </c>
      <c r="AZ833" s="59">
        <v>2</v>
      </c>
      <c r="BA833" s="59">
        <v>2</v>
      </c>
      <c r="BB833" s="57">
        <f t="shared" si="246"/>
        <v>2610</v>
      </c>
    </row>
    <row r="834" spans="1:54" x14ac:dyDescent="0.25">
      <c r="A834" s="58">
        <v>37</v>
      </c>
      <c r="B834" s="59">
        <v>0</v>
      </c>
      <c r="C834" s="59">
        <v>1</v>
      </c>
      <c r="D834" s="59">
        <f t="shared" si="228"/>
        <v>1</v>
      </c>
      <c r="E834" s="59">
        <f t="shared" si="229"/>
        <v>0</v>
      </c>
      <c r="F834" s="59">
        <v>367</v>
      </c>
      <c r="G834" s="59">
        <v>2</v>
      </c>
      <c r="H834" s="59">
        <f t="shared" si="230"/>
        <v>0</v>
      </c>
      <c r="I834" s="59">
        <f t="shared" si="231"/>
        <v>1</v>
      </c>
      <c r="J834" s="59">
        <v>25</v>
      </c>
      <c r="K834" s="59">
        <v>2</v>
      </c>
      <c r="L834" s="59">
        <v>3</v>
      </c>
      <c r="M834" s="59">
        <f t="shared" si="232"/>
        <v>0</v>
      </c>
      <c r="N834" s="59">
        <f t="shared" si="233"/>
        <v>0</v>
      </c>
      <c r="O834" s="59">
        <f t="shared" si="234"/>
        <v>1</v>
      </c>
      <c r="P834" s="59">
        <f t="shared" si="235"/>
        <v>0</v>
      </c>
      <c r="Q834" s="59">
        <f t="shared" si="236"/>
        <v>0</v>
      </c>
      <c r="R834" s="59">
        <v>1</v>
      </c>
      <c r="S834" s="59">
        <v>1161</v>
      </c>
      <c r="T834" s="59">
        <v>3</v>
      </c>
      <c r="U834" s="59">
        <v>0</v>
      </c>
      <c r="V834" s="59">
        <v>52</v>
      </c>
      <c r="W834" s="59">
        <v>2</v>
      </c>
      <c r="X834" s="59">
        <v>2</v>
      </c>
      <c r="Y834" s="59">
        <v>5</v>
      </c>
      <c r="Z834" s="59">
        <f t="shared" si="237"/>
        <v>0</v>
      </c>
      <c r="AA834" s="59">
        <f>IF('Updated Dummy'!Y834=2,1,0)</f>
        <v>0</v>
      </c>
      <c r="AB834" s="59">
        <f t="shared" si="238"/>
        <v>0</v>
      </c>
      <c r="AC834" s="59">
        <f t="shared" si="239"/>
        <v>0</v>
      </c>
      <c r="AD834" s="59">
        <f t="shared" si="240"/>
        <v>1</v>
      </c>
      <c r="AE834" s="59">
        <f t="shared" si="241"/>
        <v>0</v>
      </c>
      <c r="AF834" s="59">
        <f t="shared" si="242"/>
        <v>0</v>
      </c>
      <c r="AG834" s="59">
        <f t="shared" si="243"/>
        <v>0</v>
      </c>
      <c r="AH834" s="59">
        <v>4</v>
      </c>
      <c r="AI834" s="59">
        <v>3</v>
      </c>
      <c r="AJ834" s="59">
        <f t="shared" si="244"/>
        <v>0</v>
      </c>
      <c r="AK834" s="59">
        <f t="shared" si="245"/>
        <v>0</v>
      </c>
      <c r="AL834" s="59">
        <v>5731</v>
      </c>
      <c r="AM834" s="59">
        <v>17171</v>
      </c>
      <c r="AN834" s="59">
        <v>7</v>
      </c>
      <c r="AO834" s="59">
        <v>0</v>
      </c>
      <c r="AP834" s="59">
        <v>13</v>
      </c>
      <c r="AQ834" s="59">
        <v>3</v>
      </c>
      <c r="AR834" s="59">
        <v>3</v>
      </c>
      <c r="AS834" s="59">
        <v>80</v>
      </c>
      <c r="AT834" s="59">
        <v>2</v>
      </c>
      <c r="AU834" s="59">
        <v>9</v>
      </c>
      <c r="AV834" s="59">
        <v>2</v>
      </c>
      <c r="AW834" s="59">
        <v>3</v>
      </c>
      <c r="AX834" s="59">
        <v>6</v>
      </c>
      <c r="AY834" s="59">
        <v>2</v>
      </c>
      <c r="AZ834" s="59">
        <v>1</v>
      </c>
      <c r="BA834" s="59">
        <v>3</v>
      </c>
      <c r="BB834" s="57">
        <f t="shared" si="246"/>
        <v>11462</v>
      </c>
    </row>
    <row r="835" spans="1:54" x14ac:dyDescent="0.25">
      <c r="A835" s="58">
        <v>27</v>
      </c>
      <c r="B835" s="59">
        <v>0</v>
      </c>
      <c r="C835" s="59">
        <v>1</v>
      </c>
      <c r="D835" s="59">
        <f t="shared" ref="D835:D898" si="247">IF(C835=1,1,0)</f>
        <v>1</v>
      </c>
      <c r="E835" s="59">
        <f t="shared" ref="E835:E898" si="248">IF(C835=2,1,0)</f>
        <v>0</v>
      </c>
      <c r="F835" s="59">
        <v>199</v>
      </c>
      <c r="G835" s="59">
        <v>2</v>
      </c>
      <c r="H835" s="59">
        <f t="shared" ref="H835:H898" si="249">IF(G835=1,1,0)</f>
        <v>0</v>
      </c>
      <c r="I835" s="59">
        <f t="shared" ref="I835:I898" si="250">IF(G835=2,1,0)</f>
        <v>1</v>
      </c>
      <c r="J835" s="59">
        <v>6</v>
      </c>
      <c r="K835" s="59">
        <v>3</v>
      </c>
      <c r="L835" s="59">
        <v>1</v>
      </c>
      <c r="M835" s="59">
        <f t="shared" ref="M835:M898" si="251">IF(L835=1,1,0)</f>
        <v>1</v>
      </c>
      <c r="N835" s="59">
        <f t="shared" ref="N835:N898" si="252">IF(L835=2,1,0)</f>
        <v>0</v>
      </c>
      <c r="O835" s="59">
        <f t="shared" ref="O835:O898" si="253">IF(L835=3,1,0)</f>
        <v>0</v>
      </c>
      <c r="P835" s="59">
        <f t="shared" ref="P835:P898" si="254">IF(L835=4,1,0)</f>
        <v>0</v>
      </c>
      <c r="Q835" s="59">
        <f t="shared" ref="Q835:Q898" si="255">IF(L835=5,1,0)</f>
        <v>0</v>
      </c>
      <c r="R835" s="59">
        <v>1</v>
      </c>
      <c r="S835" s="59">
        <v>1162</v>
      </c>
      <c r="T835" s="59">
        <v>4</v>
      </c>
      <c r="U835" s="59">
        <v>1</v>
      </c>
      <c r="V835" s="59">
        <v>55</v>
      </c>
      <c r="W835" s="59">
        <v>2</v>
      </c>
      <c r="X835" s="59">
        <v>1</v>
      </c>
      <c r="Y835" s="59">
        <v>2</v>
      </c>
      <c r="Z835" s="59">
        <f t="shared" ref="Z835:Z898" si="256">IF(Y835=1,1,0)</f>
        <v>0</v>
      </c>
      <c r="AA835" s="59">
        <f>IF('Updated Dummy'!Y835=2,1,0)</f>
        <v>1</v>
      </c>
      <c r="AB835" s="59">
        <f t="shared" ref="AB835:AB898" si="257">IF(Y835=3,1,0)</f>
        <v>0</v>
      </c>
      <c r="AC835" s="59">
        <f t="shared" ref="AC835:AC898" si="258">IF(Y835=4,1,0)</f>
        <v>0</v>
      </c>
      <c r="AD835" s="59">
        <f t="shared" ref="AD835:AD898" si="259">IF(Y835=5,1,0)</f>
        <v>0</v>
      </c>
      <c r="AE835" s="59">
        <f t="shared" ref="AE835:AE898" si="260">IF(Y835=6,1,0)</f>
        <v>0</v>
      </c>
      <c r="AF835" s="59">
        <f t="shared" ref="AF835:AF898" si="261">IF(Y835=7,1,0)</f>
        <v>0</v>
      </c>
      <c r="AG835" s="59">
        <f t="shared" ref="AG835:AG898" si="262">IF(Y835=8,1,0)</f>
        <v>0</v>
      </c>
      <c r="AH835" s="59">
        <v>3</v>
      </c>
      <c r="AI835" s="59">
        <v>2</v>
      </c>
      <c r="AJ835" s="59">
        <f t="shared" ref="AJ835:AJ898" si="263">IF(AI835=1,1,0)</f>
        <v>0</v>
      </c>
      <c r="AK835" s="59">
        <f t="shared" ref="AK835:AK898" si="264">IF(AI835=2,1,0)</f>
        <v>1</v>
      </c>
      <c r="AL835" s="59">
        <v>2539</v>
      </c>
      <c r="AM835" s="59">
        <v>7950</v>
      </c>
      <c r="AN835" s="59">
        <v>1</v>
      </c>
      <c r="AO835" s="59">
        <v>0</v>
      </c>
      <c r="AP835" s="59">
        <v>13</v>
      </c>
      <c r="AQ835" s="59">
        <v>3</v>
      </c>
      <c r="AR835" s="59">
        <v>3</v>
      </c>
      <c r="AS835" s="59">
        <v>80</v>
      </c>
      <c r="AT835" s="59">
        <v>1</v>
      </c>
      <c r="AU835" s="59">
        <v>4</v>
      </c>
      <c r="AV835" s="59">
        <v>0</v>
      </c>
      <c r="AW835" s="59">
        <v>3</v>
      </c>
      <c r="AX835" s="59">
        <v>4</v>
      </c>
      <c r="AY835" s="59">
        <v>2</v>
      </c>
      <c r="AZ835" s="59">
        <v>2</v>
      </c>
      <c r="BA835" s="59">
        <v>2</v>
      </c>
      <c r="BB835" s="57">
        <f t="shared" ref="BB835:BB898" si="265">X835*AL835</f>
        <v>2539</v>
      </c>
    </row>
    <row r="836" spans="1:54" x14ac:dyDescent="0.25">
      <c r="A836" s="58">
        <v>34</v>
      </c>
      <c r="B836" s="59">
        <v>0</v>
      </c>
      <c r="C836" s="59">
        <v>1</v>
      </c>
      <c r="D836" s="59">
        <f t="shared" si="247"/>
        <v>1</v>
      </c>
      <c r="E836" s="59">
        <f t="shared" si="248"/>
        <v>0</v>
      </c>
      <c r="F836" s="59">
        <v>1400</v>
      </c>
      <c r="G836" s="59">
        <v>1</v>
      </c>
      <c r="H836" s="59">
        <f t="shared" si="249"/>
        <v>1</v>
      </c>
      <c r="I836" s="59">
        <f t="shared" si="250"/>
        <v>0</v>
      </c>
      <c r="J836" s="59">
        <v>9</v>
      </c>
      <c r="K836" s="59">
        <v>1</v>
      </c>
      <c r="L836" s="59">
        <v>1</v>
      </c>
      <c r="M836" s="59">
        <f t="shared" si="251"/>
        <v>1</v>
      </c>
      <c r="N836" s="59">
        <f t="shared" si="252"/>
        <v>0</v>
      </c>
      <c r="O836" s="59">
        <f t="shared" si="253"/>
        <v>0</v>
      </c>
      <c r="P836" s="59">
        <f t="shared" si="254"/>
        <v>0</v>
      </c>
      <c r="Q836" s="59">
        <f t="shared" si="255"/>
        <v>0</v>
      </c>
      <c r="R836" s="59">
        <v>1</v>
      </c>
      <c r="S836" s="59">
        <v>1163</v>
      </c>
      <c r="T836" s="59">
        <v>2</v>
      </c>
      <c r="U836" s="59">
        <v>0</v>
      </c>
      <c r="V836" s="59">
        <v>70</v>
      </c>
      <c r="W836" s="59">
        <v>3</v>
      </c>
      <c r="X836" s="59">
        <v>2</v>
      </c>
      <c r="Y836" s="59">
        <v>1</v>
      </c>
      <c r="Z836" s="59">
        <f t="shared" si="256"/>
        <v>1</v>
      </c>
      <c r="AA836" s="59">
        <f>IF('Updated Dummy'!Y836=2,1,0)</f>
        <v>0</v>
      </c>
      <c r="AB836" s="59">
        <f t="shared" si="257"/>
        <v>0</v>
      </c>
      <c r="AC836" s="59">
        <f t="shared" si="258"/>
        <v>0</v>
      </c>
      <c r="AD836" s="59">
        <f t="shared" si="259"/>
        <v>0</v>
      </c>
      <c r="AE836" s="59">
        <f t="shared" si="260"/>
        <v>0</v>
      </c>
      <c r="AF836" s="59">
        <f t="shared" si="261"/>
        <v>0</v>
      </c>
      <c r="AG836" s="59">
        <f t="shared" si="262"/>
        <v>0</v>
      </c>
      <c r="AH836" s="59">
        <v>3</v>
      </c>
      <c r="AI836" s="59">
        <v>2</v>
      </c>
      <c r="AJ836" s="59">
        <f t="shared" si="263"/>
        <v>0</v>
      </c>
      <c r="AK836" s="59">
        <f t="shared" si="264"/>
        <v>1</v>
      </c>
      <c r="AL836" s="59">
        <v>5714</v>
      </c>
      <c r="AM836" s="59">
        <v>5829</v>
      </c>
      <c r="AN836" s="59">
        <v>1</v>
      </c>
      <c r="AO836" s="59">
        <v>0</v>
      </c>
      <c r="AP836" s="59">
        <v>20</v>
      </c>
      <c r="AQ836" s="59">
        <v>4</v>
      </c>
      <c r="AR836" s="59">
        <v>1</v>
      </c>
      <c r="AS836" s="59">
        <v>80</v>
      </c>
      <c r="AT836" s="59">
        <v>0</v>
      </c>
      <c r="AU836" s="59">
        <v>6</v>
      </c>
      <c r="AV836" s="59">
        <v>3</v>
      </c>
      <c r="AW836" s="59">
        <v>2</v>
      </c>
      <c r="AX836" s="59">
        <v>6</v>
      </c>
      <c r="AY836" s="59">
        <v>5</v>
      </c>
      <c r="AZ836" s="59">
        <v>1</v>
      </c>
      <c r="BA836" s="59">
        <v>3</v>
      </c>
      <c r="BB836" s="57">
        <f t="shared" si="265"/>
        <v>11428</v>
      </c>
    </row>
    <row r="837" spans="1:54" x14ac:dyDescent="0.25">
      <c r="A837" s="58">
        <v>35</v>
      </c>
      <c r="B837" s="59">
        <v>0</v>
      </c>
      <c r="C837" s="59">
        <v>1</v>
      </c>
      <c r="D837" s="59">
        <f t="shared" si="247"/>
        <v>1</v>
      </c>
      <c r="E837" s="59">
        <f t="shared" si="248"/>
        <v>0</v>
      </c>
      <c r="F837" s="59">
        <v>528</v>
      </c>
      <c r="G837" s="59">
        <v>3</v>
      </c>
      <c r="H837" s="59">
        <f t="shared" si="249"/>
        <v>0</v>
      </c>
      <c r="I837" s="59">
        <f t="shared" si="250"/>
        <v>0</v>
      </c>
      <c r="J837" s="59">
        <v>8</v>
      </c>
      <c r="K837" s="59">
        <v>4</v>
      </c>
      <c r="L837" s="59">
        <v>5</v>
      </c>
      <c r="M837" s="59">
        <f t="shared" si="251"/>
        <v>0</v>
      </c>
      <c r="N837" s="59">
        <f t="shared" si="252"/>
        <v>0</v>
      </c>
      <c r="O837" s="59">
        <f t="shared" si="253"/>
        <v>0</v>
      </c>
      <c r="P837" s="59">
        <f t="shared" si="254"/>
        <v>0</v>
      </c>
      <c r="Q837" s="59">
        <f t="shared" si="255"/>
        <v>1</v>
      </c>
      <c r="R837" s="59">
        <v>1</v>
      </c>
      <c r="S837" s="59">
        <v>1164</v>
      </c>
      <c r="T837" s="59">
        <v>3</v>
      </c>
      <c r="U837" s="59">
        <v>1</v>
      </c>
      <c r="V837" s="59">
        <v>100</v>
      </c>
      <c r="W837" s="59">
        <v>3</v>
      </c>
      <c r="X837" s="59">
        <v>1</v>
      </c>
      <c r="Y837" s="59">
        <v>9</v>
      </c>
      <c r="Z837" s="59">
        <f t="shared" si="256"/>
        <v>0</v>
      </c>
      <c r="AA837" s="59">
        <f>IF('Updated Dummy'!Y837=2,1,0)</f>
        <v>0</v>
      </c>
      <c r="AB837" s="59">
        <f t="shared" si="257"/>
        <v>0</v>
      </c>
      <c r="AC837" s="59">
        <f t="shared" si="258"/>
        <v>0</v>
      </c>
      <c r="AD837" s="59">
        <f t="shared" si="259"/>
        <v>0</v>
      </c>
      <c r="AE837" s="59">
        <f t="shared" si="260"/>
        <v>0</v>
      </c>
      <c r="AF837" s="59">
        <f t="shared" si="261"/>
        <v>0</v>
      </c>
      <c r="AG837" s="59">
        <f t="shared" si="262"/>
        <v>0</v>
      </c>
      <c r="AH837" s="59">
        <v>3</v>
      </c>
      <c r="AI837" s="59">
        <v>1</v>
      </c>
      <c r="AJ837" s="59">
        <f t="shared" si="263"/>
        <v>1</v>
      </c>
      <c r="AK837" s="59">
        <f t="shared" si="264"/>
        <v>0</v>
      </c>
      <c r="AL837" s="59">
        <v>4323</v>
      </c>
      <c r="AM837" s="59">
        <v>7108</v>
      </c>
      <c r="AN837" s="59">
        <v>1</v>
      </c>
      <c r="AO837" s="59">
        <v>0</v>
      </c>
      <c r="AP837" s="59">
        <v>17</v>
      </c>
      <c r="AQ837" s="59">
        <v>3</v>
      </c>
      <c r="AR837" s="59">
        <v>2</v>
      </c>
      <c r="AS837" s="59">
        <v>80</v>
      </c>
      <c r="AT837" s="59">
        <v>0</v>
      </c>
      <c r="AU837" s="59">
        <v>6</v>
      </c>
      <c r="AV837" s="59">
        <v>2</v>
      </c>
      <c r="AW837" s="59">
        <v>1</v>
      </c>
      <c r="AX837" s="59">
        <v>5</v>
      </c>
      <c r="AY837" s="59">
        <v>4</v>
      </c>
      <c r="AZ837" s="59">
        <v>1</v>
      </c>
      <c r="BA837" s="59">
        <v>4</v>
      </c>
      <c r="BB837" s="57">
        <f t="shared" si="265"/>
        <v>4323</v>
      </c>
    </row>
    <row r="838" spans="1:54" x14ac:dyDescent="0.25">
      <c r="A838" s="58">
        <v>29</v>
      </c>
      <c r="B838" s="59">
        <v>1</v>
      </c>
      <c r="C838" s="59">
        <v>1</v>
      </c>
      <c r="D838" s="59">
        <f t="shared" si="247"/>
        <v>1</v>
      </c>
      <c r="E838" s="59">
        <f t="shared" si="248"/>
        <v>0</v>
      </c>
      <c r="F838" s="59">
        <v>408</v>
      </c>
      <c r="G838" s="59">
        <v>1</v>
      </c>
      <c r="H838" s="59">
        <f t="shared" si="249"/>
        <v>1</v>
      </c>
      <c r="I838" s="59">
        <f t="shared" si="250"/>
        <v>0</v>
      </c>
      <c r="J838" s="59">
        <v>23</v>
      </c>
      <c r="K838" s="59">
        <v>1</v>
      </c>
      <c r="L838" s="59">
        <v>1</v>
      </c>
      <c r="M838" s="59">
        <f t="shared" si="251"/>
        <v>1</v>
      </c>
      <c r="N838" s="59">
        <f t="shared" si="252"/>
        <v>0</v>
      </c>
      <c r="O838" s="59">
        <f t="shared" si="253"/>
        <v>0</v>
      </c>
      <c r="P838" s="59">
        <f t="shared" si="254"/>
        <v>0</v>
      </c>
      <c r="Q838" s="59">
        <f t="shared" si="255"/>
        <v>0</v>
      </c>
      <c r="R838" s="59">
        <v>1</v>
      </c>
      <c r="S838" s="59">
        <v>1165</v>
      </c>
      <c r="T838" s="59">
        <v>4</v>
      </c>
      <c r="U838" s="59">
        <v>0</v>
      </c>
      <c r="V838" s="59">
        <v>45</v>
      </c>
      <c r="W838" s="59">
        <v>2</v>
      </c>
      <c r="X838" s="59">
        <v>3</v>
      </c>
      <c r="Y838" s="59">
        <v>1</v>
      </c>
      <c r="Z838" s="59">
        <f t="shared" si="256"/>
        <v>1</v>
      </c>
      <c r="AA838" s="59">
        <f>IF('Updated Dummy'!Y838=2,1,0)</f>
        <v>0</v>
      </c>
      <c r="AB838" s="59">
        <f t="shared" si="257"/>
        <v>0</v>
      </c>
      <c r="AC838" s="59">
        <f t="shared" si="258"/>
        <v>0</v>
      </c>
      <c r="AD838" s="59">
        <f t="shared" si="259"/>
        <v>0</v>
      </c>
      <c r="AE838" s="59">
        <f t="shared" si="260"/>
        <v>0</v>
      </c>
      <c r="AF838" s="59">
        <f t="shared" si="261"/>
        <v>0</v>
      </c>
      <c r="AG838" s="59">
        <f t="shared" si="262"/>
        <v>0</v>
      </c>
      <c r="AH838" s="59">
        <v>1</v>
      </c>
      <c r="AI838" s="59">
        <v>2</v>
      </c>
      <c r="AJ838" s="59">
        <f t="shared" si="263"/>
        <v>0</v>
      </c>
      <c r="AK838" s="59">
        <f t="shared" si="264"/>
        <v>1</v>
      </c>
      <c r="AL838" s="59">
        <v>7336</v>
      </c>
      <c r="AM838" s="59">
        <v>11162</v>
      </c>
      <c r="AN838" s="59">
        <v>1</v>
      </c>
      <c r="AO838" s="59">
        <v>0</v>
      </c>
      <c r="AP838" s="59">
        <v>13</v>
      </c>
      <c r="AQ838" s="59">
        <v>3</v>
      </c>
      <c r="AR838" s="59">
        <v>1</v>
      </c>
      <c r="AS838" s="59">
        <v>80</v>
      </c>
      <c r="AT838" s="59">
        <v>1</v>
      </c>
      <c r="AU838" s="59">
        <v>11</v>
      </c>
      <c r="AV838" s="59">
        <v>3</v>
      </c>
      <c r="AW838" s="59">
        <v>1</v>
      </c>
      <c r="AX838" s="59">
        <v>11</v>
      </c>
      <c r="AY838" s="59">
        <v>8</v>
      </c>
      <c r="AZ838" s="59">
        <v>3</v>
      </c>
      <c r="BA838" s="59">
        <v>10</v>
      </c>
      <c r="BB838" s="57">
        <f t="shared" si="265"/>
        <v>22008</v>
      </c>
    </row>
    <row r="839" spans="1:54" x14ac:dyDescent="0.25">
      <c r="A839" s="58">
        <v>40</v>
      </c>
      <c r="B839" s="59">
        <v>0</v>
      </c>
      <c r="C839" s="59">
        <v>2</v>
      </c>
      <c r="D839" s="59">
        <f t="shared" si="247"/>
        <v>0</v>
      </c>
      <c r="E839" s="59">
        <f t="shared" si="248"/>
        <v>1</v>
      </c>
      <c r="F839" s="59">
        <v>593</v>
      </c>
      <c r="G839" s="59">
        <v>2</v>
      </c>
      <c r="H839" s="59">
        <f t="shared" si="249"/>
        <v>0</v>
      </c>
      <c r="I839" s="59">
        <f t="shared" si="250"/>
        <v>1</v>
      </c>
      <c r="J839" s="59">
        <v>9</v>
      </c>
      <c r="K839" s="59">
        <v>4</v>
      </c>
      <c r="L839" s="59">
        <v>3</v>
      </c>
      <c r="M839" s="59">
        <f t="shared" si="251"/>
        <v>0</v>
      </c>
      <c r="N839" s="59">
        <f t="shared" si="252"/>
        <v>0</v>
      </c>
      <c r="O839" s="59">
        <f t="shared" si="253"/>
        <v>1</v>
      </c>
      <c r="P839" s="59">
        <f t="shared" si="254"/>
        <v>0</v>
      </c>
      <c r="Q839" s="59">
        <f t="shared" si="255"/>
        <v>0</v>
      </c>
      <c r="R839" s="59">
        <v>1</v>
      </c>
      <c r="S839" s="59">
        <v>1166</v>
      </c>
      <c r="T839" s="59">
        <v>2</v>
      </c>
      <c r="U839" s="59">
        <v>0</v>
      </c>
      <c r="V839" s="59">
        <v>88</v>
      </c>
      <c r="W839" s="59">
        <v>3</v>
      </c>
      <c r="X839" s="59">
        <v>3</v>
      </c>
      <c r="Y839" s="59">
        <v>8</v>
      </c>
      <c r="Z839" s="59">
        <f t="shared" si="256"/>
        <v>0</v>
      </c>
      <c r="AA839" s="59">
        <f>IF('Updated Dummy'!Y839=2,1,0)</f>
        <v>0</v>
      </c>
      <c r="AB839" s="59">
        <f t="shared" si="257"/>
        <v>0</v>
      </c>
      <c r="AC839" s="59">
        <f t="shared" si="258"/>
        <v>0</v>
      </c>
      <c r="AD839" s="59">
        <f t="shared" si="259"/>
        <v>0</v>
      </c>
      <c r="AE839" s="59">
        <f t="shared" si="260"/>
        <v>0</v>
      </c>
      <c r="AF839" s="59">
        <f t="shared" si="261"/>
        <v>0</v>
      </c>
      <c r="AG839" s="59">
        <f t="shared" si="262"/>
        <v>1</v>
      </c>
      <c r="AH839" s="59">
        <v>3</v>
      </c>
      <c r="AI839" s="59">
        <v>1</v>
      </c>
      <c r="AJ839" s="59">
        <f t="shared" si="263"/>
        <v>1</v>
      </c>
      <c r="AK839" s="59">
        <f t="shared" si="264"/>
        <v>0</v>
      </c>
      <c r="AL839" s="59">
        <v>13499</v>
      </c>
      <c r="AM839" s="59">
        <v>13782</v>
      </c>
      <c r="AN839" s="59">
        <v>9</v>
      </c>
      <c r="AO839" s="59">
        <v>0</v>
      </c>
      <c r="AP839" s="59">
        <v>17</v>
      </c>
      <c r="AQ839" s="59">
        <v>3</v>
      </c>
      <c r="AR839" s="59">
        <v>3</v>
      </c>
      <c r="AS839" s="59">
        <v>80</v>
      </c>
      <c r="AT839" s="59">
        <v>0</v>
      </c>
      <c r="AU839" s="59">
        <v>20</v>
      </c>
      <c r="AV839" s="59">
        <v>3</v>
      </c>
      <c r="AW839" s="59">
        <v>2</v>
      </c>
      <c r="AX839" s="59">
        <v>18</v>
      </c>
      <c r="AY839" s="59">
        <v>7</v>
      </c>
      <c r="AZ839" s="59">
        <v>2</v>
      </c>
      <c r="BA839" s="59">
        <v>13</v>
      </c>
      <c r="BB839" s="57">
        <f t="shared" si="265"/>
        <v>40497</v>
      </c>
    </row>
    <row r="840" spans="1:54" x14ac:dyDescent="0.25">
      <c r="A840" s="58">
        <v>42</v>
      </c>
      <c r="B840" s="59">
        <v>1</v>
      </c>
      <c r="C840" s="59">
        <v>2</v>
      </c>
      <c r="D840" s="59">
        <f t="shared" si="247"/>
        <v>0</v>
      </c>
      <c r="E840" s="59">
        <f t="shared" si="248"/>
        <v>1</v>
      </c>
      <c r="F840" s="59">
        <v>481</v>
      </c>
      <c r="G840" s="59">
        <v>1</v>
      </c>
      <c r="H840" s="59">
        <f t="shared" si="249"/>
        <v>1</v>
      </c>
      <c r="I840" s="59">
        <f t="shared" si="250"/>
        <v>0</v>
      </c>
      <c r="J840" s="59">
        <v>12</v>
      </c>
      <c r="K840" s="59">
        <v>3</v>
      </c>
      <c r="L840" s="59">
        <v>1</v>
      </c>
      <c r="M840" s="59">
        <f t="shared" si="251"/>
        <v>1</v>
      </c>
      <c r="N840" s="59">
        <f t="shared" si="252"/>
        <v>0</v>
      </c>
      <c r="O840" s="59">
        <f t="shared" si="253"/>
        <v>0</v>
      </c>
      <c r="P840" s="59">
        <f t="shared" si="254"/>
        <v>0</v>
      </c>
      <c r="Q840" s="59">
        <f t="shared" si="255"/>
        <v>0</v>
      </c>
      <c r="R840" s="59">
        <v>1</v>
      </c>
      <c r="S840" s="59">
        <v>1167</v>
      </c>
      <c r="T840" s="59">
        <v>3</v>
      </c>
      <c r="U840" s="59">
        <v>1</v>
      </c>
      <c r="V840" s="59">
        <v>44</v>
      </c>
      <c r="W840" s="59">
        <v>3</v>
      </c>
      <c r="X840" s="59">
        <v>4</v>
      </c>
      <c r="Y840" s="59">
        <v>1</v>
      </c>
      <c r="Z840" s="59">
        <f t="shared" si="256"/>
        <v>1</v>
      </c>
      <c r="AA840" s="59">
        <f>IF('Updated Dummy'!Y840=2,1,0)</f>
        <v>0</v>
      </c>
      <c r="AB840" s="59">
        <f t="shared" si="257"/>
        <v>0</v>
      </c>
      <c r="AC840" s="59">
        <f t="shared" si="258"/>
        <v>0</v>
      </c>
      <c r="AD840" s="59">
        <f t="shared" si="259"/>
        <v>0</v>
      </c>
      <c r="AE840" s="59">
        <f t="shared" si="260"/>
        <v>0</v>
      </c>
      <c r="AF840" s="59">
        <f t="shared" si="261"/>
        <v>0</v>
      </c>
      <c r="AG840" s="59">
        <f t="shared" si="262"/>
        <v>0</v>
      </c>
      <c r="AH840" s="59">
        <v>1</v>
      </c>
      <c r="AI840" s="59">
        <v>1</v>
      </c>
      <c r="AJ840" s="59">
        <f t="shared" si="263"/>
        <v>1</v>
      </c>
      <c r="AK840" s="59">
        <f t="shared" si="264"/>
        <v>0</v>
      </c>
      <c r="AL840" s="59">
        <v>13758</v>
      </c>
      <c r="AM840" s="59">
        <v>2447</v>
      </c>
      <c r="AN840" s="59">
        <v>0</v>
      </c>
      <c r="AO840" s="59">
        <v>1</v>
      </c>
      <c r="AP840" s="59">
        <v>12</v>
      </c>
      <c r="AQ840" s="59">
        <v>3</v>
      </c>
      <c r="AR840" s="59">
        <v>2</v>
      </c>
      <c r="AS840" s="59">
        <v>80</v>
      </c>
      <c r="AT840" s="59">
        <v>0</v>
      </c>
      <c r="AU840" s="59">
        <v>22</v>
      </c>
      <c r="AV840" s="59">
        <v>2</v>
      </c>
      <c r="AW840" s="59">
        <v>2</v>
      </c>
      <c r="AX840" s="59">
        <v>21</v>
      </c>
      <c r="AY840" s="59">
        <v>9</v>
      </c>
      <c r="AZ840" s="59">
        <v>13</v>
      </c>
      <c r="BA840" s="59">
        <v>14</v>
      </c>
      <c r="BB840" s="57">
        <f t="shared" si="265"/>
        <v>55032</v>
      </c>
    </row>
    <row r="841" spans="1:54" x14ac:dyDescent="0.25">
      <c r="A841" s="58">
        <v>42</v>
      </c>
      <c r="B841" s="59">
        <v>0</v>
      </c>
      <c r="C841" s="59">
        <v>1</v>
      </c>
      <c r="D841" s="59">
        <f t="shared" si="247"/>
        <v>1</v>
      </c>
      <c r="E841" s="59">
        <f t="shared" si="248"/>
        <v>0</v>
      </c>
      <c r="F841" s="59">
        <v>647</v>
      </c>
      <c r="G841" s="59">
        <v>1</v>
      </c>
      <c r="H841" s="59">
        <f t="shared" si="249"/>
        <v>1</v>
      </c>
      <c r="I841" s="59">
        <f t="shared" si="250"/>
        <v>0</v>
      </c>
      <c r="J841" s="59">
        <v>4</v>
      </c>
      <c r="K841" s="59">
        <v>4</v>
      </c>
      <c r="L841" s="59">
        <v>4</v>
      </c>
      <c r="M841" s="59">
        <f t="shared" si="251"/>
        <v>0</v>
      </c>
      <c r="N841" s="59">
        <f t="shared" si="252"/>
        <v>0</v>
      </c>
      <c r="O841" s="59">
        <f t="shared" si="253"/>
        <v>0</v>
      </c>
      <c r="P841" s="59">
        <f t="shared" si="254"/>
        <v>1</v>
      </c>
      <c r="Q841" s="59">
        <f t="shared" si="255"/>
        <v>0</v>
      </c>
      <c r="R841" s="59">
        <v>1</v>
      </c>
      <c r="S841" s="59">
        <v>1171</v>
      </c>
      <c r="T841" s="59">
        <v>2</v>
      </c>
      <c r="U841" s="59">
        <v>1</v>
      </c>
      <c r="V841" s="59">
        <v>45</v>
      </c>
      <c r="W841" s="59">
        <v>3</v>
      </c>
      <c r="X841" s="59">
        <v>2</v>
      </c>
      <c r="Y841" s="59">
        <v>1</v>
      </c>
      <c r="Z841" s="59">
        <f t="shared" si="256"/>
        <v>1</v>
      </c>
      <c r="AA841" s="59">
        <f>IF('Updated Dummy'!Y841=2,1,0)</f>
        <v>0</v>
      </c>
      <c r="AB841" s="59">
        <f t="shared" si="257"/>
        <v>0</v>
      </c>
      <c r="AC841" s="59">
        <f t="shared" si="258"/>
        <v>0</v>
      </c>
      <c r="AD841" s="59">
        <f t="shared" si="259"/>
        <v>0</v>
      </c>
      <c r="AE841" s="59">
        <f t="shared" si="260"/>
        <v>0</v>
      </c>
      <c r="AF841" s="59">
        <f t="shared" si="261"/>
        <v>0</v>
      </c>
      <c r="AG841" s="59">
        <f t="shared" si="262"/>
        <v>0</v>
      </c>
      <c r="AH841" s="59">
        <v>1</v>
      </c>
      <c r="AI841" s="59">
        <v>1</v>
      </c>
      <c r="AJ841" s="59">
        <f t="shared" si="263"/>
        <v>1</v>
      </c>
      <c r="AK841" s="59">
        <f t="shared" si="264"/>
        <v>0</v>
      </c>
      <c r="AL841" s="59">
        <v>5155</v>
      </c>
      <c r="AM841" s="59">
        <v>2253</v>
      </c>
      <c r="AN841" s="59">
        <v>7</v>
      </c>
      <c r="AO841" s="59">
        <v>0</v>
      </c>
      <c r="AP841" s="59">
        <v>13</v>
      </c>
      <c r="AQ841" s="59">
        <v>3</v>
      </c>
      <c r="AR841" s="59">
        <v>4</v>
      </c>
      <c r="AS841" s="59">
        <v>80</v>
      </c>
      <c r="AT841" s="59">
        <v>0</v>
      </c>
      <c r="AU841" s="59">
        <v>9</v>
      </c>
      <c r="AV841" s="59">
        <v>3</v>
      </c>
      <c r="AW841" s="59">
        <v>4</v>
      </c>
      <c r="AX841" s="59">
        <v>6</v>
      </c>
      <c r="AY841" s="59">
        <v>4</v>
      </c>
      <c r="AZ841" s="59">
        <v>1</v>
      </c>
      <c r="BA841" s="59">
        <v>5</v>
      </c>
      <c r="BB841" s="57">
        <f t="shared" si="265"/>
        <v>10310</v>
      </c>
    </row>
    <row r="842" spans="1:54" x14ac:dyDescent="0.25">
      <c r="A842" s="58">
        <v>35</v>
      </c>
      <c r="B842" s="59">
        <v>0</v>
      </c>
      <c r="C842" s="59">
        <v>1</v>
      </c>
      <c r="D842" s="59">
        <f t="shared" si="247"/>
        <v>1</v>
      </c>
      <c r="E842" s="59">
        <f t="shared" si="248"/>
        <v>0</v>
      </c>
      <c r="F842" s="59">
        <v>982</v>
      </c>
      <c r="G842" s="59">
        <v>2</v>
      </c>
      <c r="H842" s="59">
        <f t="shared" si="249"/>
        <v>0</v>
      </c>
      <c r="I842" s="59">
        <f t="shared" si="250"/>
        <v>1</v>
      </c>
      <c r="J842" s="59">
        <v>1</v>
      </c>
      <c r="K842" s="59">
        <v>4</v>
      </c>
      <c r="L842" s="59">
        <v>3</v>
      </c>
      <c r="M842" s="59">
        <f t="shared" si="251"/>
        <v>0</v>
      </c>
      <c r="N842" s="59">
        <f t="shared" si="252"/>
        <v>0</v>
      </c>
      <c r="O842" s="59">
        <f t="shared" si="253"/>
        <v>1</v>
      </c>
      <c r="P842" s="59">
        <f t="shared" si="254"/>
        <v>0</v>
      </c>
      <c r="Q842" s="59">
        <f t="shared" si="255"/>
        <v>0</v>
      </c>
      <c r="R842" s="59">
        <v>1</v>
      </c>
      <c r="S842" s="59">
        <v>1172</v>
      </c>
      <c r="T842" s="59">
        <v>4</v>
      </c>
      <c r="U842" s="59">
        <v>1</v>
      </c>
      <c r="V842" s="59">
        <v>58</v>
      </c>
      <c r="W842" s="59">
        <v>2</v>
      </c>
      <c r="X842" s="59">
        <v>1</v>
      </c>
      <c r="Y842" s="59">
        <v>3</v>
      </c>
      <c r="Z842" s="59">
        <f t="shared" si="256"/>
        <v>0</v>
      </c>
      <c r="AA842" s="59">
        <f>IF('Updated Dummy'!Y842=2,1,0)</f>
        <v>0</v>
      </c>
      <c r="AB842" s="59">
        <f t="shared" si="257"/>
        <v>1</v>
      </c>
      <c r="AC842" s="59">
        <f t="shared" si="258"/>
        <v>0</v>
      </c>
      <c r="AD842" s="59">
        <f t="shared" si="259"/>
        <v>0</v>
      </c>
      <c r="AE842" s="59">
        <f t="shared" si="260"/>
        <v>0</v>
      </c>
      <c r="AF842" s="59">
        <f t="shared" si="261"/>
        <v>0</v>
      </c>
      <c r="AG842" s="59">
        <f t="shared" si="262"/>
        <v>0</v>
      </c>
      <c r="AH842" s="59">
        <v>3</v>
      </c>
      <c r="AI842" s="59">
        <v>2</v>
      </c>
      <c r="AJ842" s="59">
        <f t="shared" si="263"/>
        <v>0</v>
      </c>
      <c r="AK842" s="59">
        <f t="shared" si="264"/>
        <v>1</v>
      </c>
      <c r="AL842" s="59">
        <v>2258</v>
      </c>
      <c r="AM842" s="59">
        <v>16340</v>
      </c>
      <c r="AN842" s="59">
        <v>6</v>
      </c>
      <c r="AO842" s="59">
        <v>0</v>
      </c>
      <c r="AP842" s="59">
        <v>12</v>
      </c>
      <c r="AQ842" s="59">
        <v>3</v>
      </c>
      <c r="AR842" s="59">
        <v>2</v>
      </c>
      <c r="AS842" s="59">
        <v>80</v>
      </c>
      <c r="AT842" s="59">
        <v>1</v>
      </c>
      <c r="AU842" s="59">
        <v>10</v>
      </c>
      <c r="AV842" s="59">
        <v>2</v>
      </c>
      <c r="AW842" s="59">
        <v>3</v>
      </c>
      <c r="AX842" s="59">
        <v>8</v>
      </c>
      <c r="AY842" s="59">
        <v>0</v>
      </c>
      <c r="AZ842" s="59">
        <v>1</v>
      </c>
      <c r="BA842" s="59">
        <v>7</v>
      </c>
      <c r="BB842" s="57">
        <f t="shared" si="265"/>
        <v>2258</v>
      </c>
    </row>
    <row r="843" spans="1:54" x14ac:dyDescent="0.25">
      <c r="A843" s="58">
        <v>24</v>
      </c>
      <c r="B843" s="59">
        <v>0</v>
      </c>
      <c r="C843" s="59">
        <v>1</v>
      </c>
      <c r="D843" s="59">
        <f t="shared" si="247"/>
        <v>1</v>
      </c>
      <c r="E843" s="59">
        <f t="shared" si="248"/>
        <v>0</v>
      </c>
      <c r="F843" s="59">
        <v>477</v>
      </c>
      <c r="G843" s="59">
        <v>2</v>
      </c>
      <c r="H843" s="59">
        <f t="shared" si="249"/>
        <v>0</v>
      </c>
      <c r="I843" s="59">
        <f t="shared" si="250"/>
        <v>1</v>
      </c>
      <c r="J843" s="59">
        <v>24</v>
      </c>
      <c r="K843" s="59">
        <v>3</v>
      </c>
      <c r="L843" s="59">
        <v>3</v>
      </c>
      <c r="M843" s="59">
        <f t="shared" si="251"/>
        <v>0</v>
      </c>
      <c r="N843" s="59">
        <f t="shared" si="252"/>
        <v>0</v>
      </c>
      <c r="O843" s="59">
        <f t="shared" si="253"/>
        <v>1</v>
      </c>
      <c r="P843" s="59">
        <f t="shared" si="254"/>
        <v>0</v>
      </c>
      <c r="Q843" s="59">
        <f t="shared" si="255"/>
        <v>0</v>
      </c>
      <c r="R843" s="59">
        <v>1</v>
      </c>
      <c r="S843" s="59">
        <v>1173</v>
      </c>
      <c r="T843" s="59">
        <v>4</v>
      </c>
      <c r="U843" s="59">
        <v>1</v>
      </c>
      <c r="V843" s="59">
        <v>49</v>
      </c>
      <c r="W843" s="59">
        <v>3</v>
      </c>
      <c r="X843" s="59">
        <v>1</v>
      </c>
      <c r="Y843" s="59">
        <v>3</v>
      </c>
      <c r="Z843" s="59">
        <f t="shared" si="256"/>
        <v>0</v>
      </c>
      <c r="AA843" s="59">
        <f>IF('Updated Dummy'!Y843=2,1,0)</f>
        <v>0</v>
      </c>
      <c r="AB843" s="59">
        <f t="shared" si="257"/>
        <v>1</v>
      </c>
      <c r="AC843" s="59">
        <f t="shared" si="258"/>
        <v>0</v>
      </c>
      <c r="AD843" s="59">
        <f t="shared" si="259"/>
        <v>0</v>
      </c>
      <c r="AE843" s="59">
        <f t="shared" si="260"/>
        <v>0</v>
      </c>
      <c r="AF843" s="59">
        <f t="shared" si="261"/>
        <v>0</v>
      </c>
      <c r="AG843" s="59">
        <f t="shared" si="262"/>
        <v>0</v>
      </c>
      <c r="AH843" s="59">
        <v>2</v>
      </c>
      <c r="AI843" s="59">
        <v>1</v>
      </c>
      <c r="AJ843" s="59">
        <f t="shared" si="263"/>
        <v>1</v>
      </c>
      <c r="AK843" s="59">
        <f t="shared" si="264"/>
        <v>0</v>
      </c>
      <c r="AL843" s="59">
        <v>3597</v>
      </c>
      <c r="AM843" s="59">
        <v>6409</v>
      </c>
      <c r="AN843" s="59">
        <v>8</v>
      </c>
      <c r="AO843" s="59">
        <v>0</v>
      </c>
      <c r="AP843" s="59">
        <v>22</v>
      </c>
      <c r="AQ843" s="59">
        <v>4</v>
      </c>
      <c r="AR843" s="59">
        <v>4</v>
      </c>
      <c r="AS843" s="59">
        <v>80</v>
      </c>
      <c r="AT843" s="59">
        <v>0</v>
      </c>
      <c r="AU843" s="59">
        <v>6</v>
      </c>
      <c r="AV843" s="59">
        <v>2</v>
      </c>
      <c r="AW843" s="59">
        <v>3</v>
      </c>
      <c r="AX843" s="59">
        <v>4</v>
      </c>
      <c r="AY843" s="59">
        <v>3</v>
      </c>
      <c r="AZ843" s="59">
        <v>1</v>
      </c>
      <c r="BA843" s="59">
        <v>2</v>
      </c>
      <c r="BB843" s="57">
        <f t="shared" si="265"/>
        <v>3597</v>
      </c>
    </row>
    <row r="844" spans="1:54" x14ac:dyDescent="0.25">
      <c r="A844" s="58">
        <v>28</v>
      </c>
      <c r="B844" s="59">
        <v>1</v>
      </c>
      <c r="C844" s="59">
        <v>1</v>
      </c>
      <c r="D844" s="59">
        <f t="shared" si="247"/>
        <v>1</v>
      </c>
      <c r="E844" s="59">
        <f t="shared" si="248"/>
        <v>0</v>
      </c>
      <c r="F844" s="59">
        <v>1485</v>
      </c>
      <c r="G844" s="59">
        <v>2</v>
      </c>
      <c r="H844" s="59">
        <f t="shared" si="249"/>
        <v>0</v>
      </c>
      <c r="I844" s="59">
        <f t="shared" si="250"/>
        <v>1</v>
      </c>
      <c r="J844" s="59">
        <v>12</v>
      </c>
      <c r="K844" s="59">
        <v>1</v>
      </c>
      <c r="L844" s="59">
        <v>1</v>
      </c>
      <c r="M844" s="59">
        <f t="shared" si="251"/>
        <v>1</v>
      </c>
      <c r="N844" s="59">
        <f t="shared" si="252"/>
        <v>0</v>
      </c>
      <c r="O844" s="59">
        <f t="shared" si="253"/>
        <v>0</v>
      </c>
      <c r="P844" s="59">
        <f t="shared" si="254"/>
        <v>0</v>
      </c>
      <c r="Q844" s="59">
        <f t="shared" si="255"/>
        <v>0</v>
      </c>
      <c r="R844" s="59">
        <v>1</v>
      </c>
      <c r="S844" s="59">
        <v>1175</v>
      </c>
      <c r="T844" s="59">
        <v>3</v>
      </c>
      <c r="U844" s="59">
        <v>0</v>
      </c>
      <c r="V844" s="59">
        <v>79</v>
      </c>
      <c r="W844" s="59">
        <v>3</v>
      </c>
      <c r="X844" s="59">
        <v>1</v>
      </c>
      <c r="Y844" s="59">
        <v>3</v>
      </c>
      <c r="Z844" s="59">
        <f t="shared" si="256"/>
        <v>0</v>
      </c>
      <c r="AA844" s="59">
        <f>IF('Updated Dummy'!Y844=2,1,0)</f>
        <v>0</v>
      </c>
      <c r="AB844" s="59">
        <f t="shared" si="257"/>
        <v>1</v>
      </c>
      <c r="AC844" s="59">
        <f t="shared" si="258"/>
        <v>0</v>
      </c>
      <c r="AD844" s="59">
        <f t="shared" si="259"/>
        <v>0</v>
      </c>
      <c r="AE844" s="59">
        <f t="shared" si="260"/>
        <v>0</v>
      </c>
      <c r="AF844" s="59">
        <f t="shared" si="261"/>
        <v>0</v>
      </c>
      <c r="AG844" s="59">
        <f t="shared" si="262"/>
        <v>0</v>
      </c>
      <c r="AH844" s="59">
        <v>4</v>
      </c>
      <c r="AI844" s="59">
        <v>2</v>
      </c>
      <c r="AJ844" s="59">
        <f t="shared" si="263"/>
        <v>0</v>
      </c>
      <c r="AK844" s="59">
        <f t="shared" si="264"/>
        <v>1</v>
      </c>
      <c r="AL844" s="59">
        <v>2515</v>
      </c>
      <c r="AM844" s="59">
        <v>22955</v>
      </c>
      <c r="AN844" s="59">
        <v>1</v>
      </c>
      <c r="AO844" s="59">
        <v>1</v>
      </c>
      <c r="AP844" s="59">
        <v>11</v>
      </c>
      <c r="AQ844" s="59">
        <v>3</v>
      </c>
      <c r="AR844" s="59">
        <v>4</v>
      </c>
      <c r="AS844" s="59">
        <v>80</v>
      </c>
      <c r="AT844" s="59">
        <v>0</v>
      </c>
      <c r="AU844" s="59">
        <v>1</v>
      </c>
      <c r="AV844" s="59">
        <v>4</v>
      </c>
      <c r="AW844" s="59">
        <v>2</v>
      </c>
      <c r="AX844" s="59">
        <v>1</v>
      </c>
      <c r="AY844" s="59">
        <v>1</v>
      </c>
      <c r="AZ844" s="59">
        <v>0</v>
      </c>
      <c r="BA844" s="59">
        <v>0</v>
      </c>
      <c r="BB844" s="57">
        <f t="shared" si="265"/>
        <v>2515</v>
      </c>
    </row>
    <row r="845" spans="1:54" x14ac:dyDescent="0.25">
      <c r="A845" s="58">
        <v>26</v>
      </c>
      <c r="B845" s="59">
        <v>0</v>
      </c>
      <c r="C845" s="59">
        <v>1</v>
      </c>
      <c r="D845" s="59">
        <f t="shared" si="247"/>
        <v>1</v>
      </c>
      <c r="E845" s="59">
        <f t="shared" si="248"/>
        <v>0</v>
      </c>
      <c r="F845" s="59">
        <v>1384</v>
      </c>
      <c r="G845" s="59">
        <v>2</v>
      </c>
      <c r="H845" s="59">
        <f t="shared" si="249"/>
        <v>0</v>
      </c>
      <c r="I845" s="59">
        <f t="shared" si="250"/>
        <v>1</v>
      </c>
      <c r="J845" s="59">
        <v>3</v>
      </c>
      <c r="K845" s="59">
        <v>4</v>
      </c>
      <c r="L845" s="59">
        <v>3</v>
      </c>
      <c r="M845" s="59">
        <f t="shared" si="251"/>
        <v>0</v>
      </c>
      <c r="N845" s="59">
        <f t="shared" si="252"/>
        <v>0</v>
      </c>
      <c r="O845" s="59">
        <f t="shared" si="253"/>
        <v>1</v>
      </c>
      <c r="P845" s="59">
        <f t="shared" si="254"/>
        <v>0</v>
      </c>
      <c r="Q845" s="59">
        <f t="shared" si="255"/>
        <v>0</v>
      </c>
      <c r="R845" s="59">
        <v>1</v>
      </c>
      <c r="S845" s="59">
        <v>1177</v>
      </c>
      <c r="T845" s="59">
        <v>1</v>
      </c>
      <c r="U845" s="59">
        <v>1</v>
      </c>
      <c r="V845" s="59">
        <v>82</v>
      </c>
      <c r="W845" s="59">
        <v>4</v>
      </c>
      <c r="X845" s="59">
        <v>1</v>
      </c>
      <c r="Y845" s="59">
        <v>3</v>
      </c>
      <c r="Z845" s="59">
        <f t="shared" si="256"/>
        <v>0</v>
      </c>
      <c r="AA845" s="59">
        <f>IF('Updated Dummy'!Y845=2,1,0)</f>
        <v>0</v>
      </c>
      <c r="AB845" s="59">
        <f t="shared" si="257"/>
        <v>1</v>
      </c>
      <c r="AC845" s="59">
        <f t="shared" si="258"/>
        <v>0</v>
      </c>
      <c r="AD845" s="59">
        <f t="shared" si="259"/>
        <v>0</v>
      </c>
      <c r="AE845" s="59">
        <f t="shared" si="260"/>
        <v>0</v>
      </c>
      <c r="AF845" s="59">
        <f t="shared" si="261"/>
        <v>0</v>
      </c>
      <c r="AG845" s="59">
        <f t="shared" si="262"/>
        <v>0</v>
      </c>
      <c r="AH845" s="59">
        <v>4</v>
      </c>
      <c r="AI845" s="59">
        <v>2</v>
      </c>
      <c r="AJ845" s="59">
        <f t="shared" si="263"/>
        <v>0</v>
      </c>
      <c r="AK845" s="59">
        <f t="shared" si="264"/>
        <v>1</v>
      </c>
      <c r="AL845" s="59">
        <v>4420</v>
      </c>
      <c r="AM845" s="59">
        <v>13421</v>
      </c>
      <c r="AN845" s="59">
        <v>1</v>
      </c>
      <c r="AO845" s="59">
        <v>0</v>
      </c>
      <c r="AP845" s="59">
        <v>22</v>
      </c>
      <c r="AQ845" s="59">
        <v>4</v>
      </c>
      <c r="AR845" s="59">
        <v>2</v>
      </c>
      <c r="AS845" s="59">
        <v>80</v>
      </c>
      <c r="AT845" s="59">
        <v>1</v>
      </c>
      <c r="AU845" s="59">
        <v>8</v>
      </c>
      <c r="AV845" s="59">
        <v>2</v>
      </c>
      <c r="AW845" s="59">
        <v>3</v>
      </c>
      <c r="AX845" s="59">
        <v>8</v>
      </c>
      <c r="AY845" s="59">
        <v>7</v>
      </c>
      <c r="AZ845" s="59">
        <v>0</v>
      </c>
      <c r="BA845" s="59">
        <v>7</v>
      </c>
      <c r="BB845" s="57">
        <f t="shared" si="265"/>
        <v>4420</v>
      </c>
    </row>
    <row r="846" spans="1:54" x14ac:dyDescent="0.25">
      <c r="A846" s="58">
        <v>30</v>
      </c>
      <c r="B846" s="59">
        <v>0</v>
      </c>
      <c r="C846" s="59">
        <v>1</v>
      </c>
      <c r="D846" s="59">
        <f t="shared" si="247"/>
        <v>1</v>
      </c>
      <c r="E846" s="59">
        <f t="shared" si="248"/>
        <v>0</v>
      </c>
      <c r="F846" s="59">
        <v>852</v>
      </c>
      <c r="G846" s="59">
        <v>1</v>
      </c>
      <c r="H846" s="59">
        <f t="shared" si="249"/>
        <v>1</v>
      </c>
      <c r="I846" s="59">
        <f t="shared" si="250"/>
        <v>0</v>
      </c>
      <c r="J846" s="59">
        <v>10</v>
      </c>
      <c r="K846" s="59">
        <v>3</v>
      </c>
      <c r="L846" s="59">
        <v>4</v>
      </c>
      <c r="M846" s="59">
        <f t="shared" si="251"/>
        <v>0</v>
      </c>
      <c r="N846" s="59">
        <f t="shared" si="252"/>
        <v>0</v>
      </c>
      <c r="O846" s="59">
        <f t="shared" si="253"/>
        <v>0</v>
      </c>
      <c r="P846" s="59">
        <f t="shared" si="254"/>
        <v>1</v>
      </c>
      <c r="Q846" s="59">
        <f t="shared" si="255"/>
        <v>0</v>
      </c>
      <c r="R846" s="59">
        <v>1</v>
      </c>
      <c r="S846" s="59">
        <v>1179</v>
      </c>
      <c r="T846" s="59">
        <v>3</v>
      </c>
      <c r="U846" s="59">
        <v>1</v>
      </c>
      <c r="V846" s="59">
        <v>72</v>
      </c>
      <c r="W846" s="59">
        <v>2</v>
      </c>
      <c r="X846" s="59">
        <v>2</v>
      </c>
      <c r="Y846" s="59">
        <v>1</v>
      </c>
      <c r="Z846" s="59">
        <f t="shared" si="256"/>
        <v>1</v>
      </c>
      <c r="AA846" s="59">
        <f>IF('Updated Dummy'!Y846=2,1,0)</f>
        <v>0</v>
      </c>
      <c r="AB846" s="59">
        <f t="shared" si="257"/>
        <v>0</v>
      </c>
      <c r="AC846" s="59">
        <f t="shared" si="258"/>
        <v>0</v>
      </c>
      <c r="AD846" s="59">
        <f t="shared" si="259"/>
        <v>0</v>
      </c>
      <c r="AE846" s="59">
        <f t="shared" si="260"/>
        <v>0</v>
      </c>
      <c r="AF846" s="59">
        <f t="shared" si="261"/>
        <v>0</v>
      </c>
      <c r="AG846" s="59">
        <f t="shared" si="262"/>
        <v>0</v>
      </c>
      <c r="AH846" s="59">
        <v>3</v>
      </c>
      <c r="AI846" s="59">
        <v>2</v>
      </c>
      <c r="AJ846" s="59">
        <f t="shared" si="263"/>
        <v>0</v>
      </c>
      <c r="AK846" s="59">
        <f t="shared" si="264"/>
        <v>1</v>
      </c>
      <c r="AL846" s="59">
        <v>6578</v>
      </c>
      <c r="AM846" s="59">
        <v>2706</v>
      </c>
      <c r="AN846" s="59">
        <v>1</v>
      </c>
      <c r="AO846" s="59">
        <v>0</v>
      </c>
      <c r="AP846" s="59">
        <v>18</v>
      </c>
      <c r="AQ846" s="59">
        <v>3</v>
      </c>
      <c r="AR846" s="59">
        <v>1</v>
      </c>
      <c r="AS846" s="59">
        <v>80</v>
      </c>
      <c r="AT846" s="59">
        <v>1</v>
      </c>
      <c r="AU846" s="59">
        <v>10</v>
      </c>
      <c r="AV846" s="59">
        <v>3</v>
      </c>
      <c r="AW846" s="59">
        <v>3</v>
      </c>
      <c r="AX846" s="59">
        <v>10</v>
      </c>
      <c r="AY846" s="59">
        <v>3</v>
      </c>
      <c r="AZ846" s="59">
        <v>1</v>
      </c>
      <c r="BA846" s="59">
        <v>4</v>
      </c>
      <c r="BB846" s="57">
        <f t="shared" si="265"/>
        <v>13156</v>
      </c>
    </row>
    <row r="847" spans="1:54" x14ac:dyDescent="0.25">
      <c r="A847" s="58">
        <v>40</v>
      </c>
      <c r="B847" s="59">
        <v>0</v>
      </c>
      <c r="C847" s="59">
        <v>2</v>
      </c>
      <c r="D847" s="59">
        <f t="shared" si="247"/>
        <v>0</v>
      </c>
      <c r="E847" s="59">
        <f t="shared" si="248"/>
        <v>1</v>
      </c>
      <c r="F847" s="59">
        <v>902</v>
      </c>
      <c r="G847" s="59">
        <v>2</v>
      </c>
      <c r="H847" s="59">
        <f t="shared" si="249"/>
        <v>0</v>
      </c>
      <c r="I847" s="59">
        <f t="shared" si="250"/>
        <v>1</v>
      </c>
      <c r="J847" s="59">
        <v>26</v>
      </c>
      <c r="K847" s="59">
        <v>2</v>
      </c>
      <c r="L847" s="59">
        <v>3</v>
      </c>
      <c r="M847" s="59">
        <f t="shared" si="251"/>
        <v>0</v>
      </c>
      <c r="N847" s="59">
        <f t="shared" si="252"/>
        <v>0</v>
      </c>
      <c r="O847" s="59">
        <f t="shared" si="253"/>
        <v>1</v>
      </c>
      <c r="P847" s="59">
        <f t="shared" si="254"/>
        <v>0</v>
      </c>
      <c r="Q847" s="59">
        <f t="shared" si="255"/>
        <v>0</v>
      </c>
      <c r="R847" s="59">
        <v>1</v>
      </c>
      <c r="S847" s="59">
        <v>1180</v>
      </c>
      <c r="T847" s="59">
        <v>3</v>
      </c>
      <c r="U847" s="59">
        <v>0</v>
      </c>
      <c r="V847" s="59">
        <v>92</v>
      </c>
      <c r="W847" s="59">
        <v>2</v>
      </c>
      <c r="X847" s="59">
        <v>2</v>
      </c>
      <c r="Y847" s="59">
        <v>2</v>
      </c>
      <c r="Z847" s="59">
        <f t="shared" si="256"/>
        <v>0</v>
      </c>
      <c r="AA847" s="59">
        <f>IF('Updated Dummy'!Y847=2,1,0)</f>
        <v>1</v>
      </c>
      <c r="AB847" s="59">
        <f t="shared" si="257"/>
        <v>0</v>
      </c>
      <c r="AC847" s="59">
        <f t="shared" si="258"/>
        <v>0</v>
      </c>
      <c r="AD847" s="59">
        <f t="shared" si="259"/>
        <v>0</v>
      </c>
      <c r="AE847" s="59">
        <f t="shared" si="260"/>
        <v>0</v>
      </c>
      <c r="AF847" s="59">
        <f t="shared" si="261"/>
        <v>0</v>
      </c>
      <c r="AG847" s="59">
        <f t="shared" si="262"/>
        <v>0</v>
      </c>
      <c r="AH847" s="59">
        <v>4</v>
      </c>
      <c r="AI847" s="59">
        <v>2</v>
      </c>
      <c r="AJ847" s="59">
        <f t="shared" si="263"/>
        <v>0</v>
      </c>
      <c r="AK847" s="59">
        <f t="shared" si="264"/>
        <v>1</v>
      </c>
      <c r="AL847" s="59">
        <v>4422</v>
      </c>
      <c r="AM847" s="59">
        <v>21203</v>
      </c>
      <c r="AN847" s="59">
        <v>3</v>
      </c>
      <c r="AO847" s="59">
        <v>1</v>
      </c>
      <c r="AP847" s="59">
        <v>13</v>
      </c>
      <c r="AQ847" s="59">
        <v>3</v>
      </c>
      <c r="AR847" s="59">
        <v>4</v>
      </c>
      <c r="AS847" s="59">
        <v>80</v>
      </c>
      <c r="AT847" s="59">
        <v>1</v>
      </c>
      <c r="AU847" s="59">
        <v>16</v>
      </c>
      <c r="AV847" s="59">
        <v>3</v>
      </c>
      <c r="AW847" s="59">
        <v>1</v>
      </c>
      <c r="AX847" s="59">
        <v>1</v>
      </c>
      <c r="AY847" s="59">
        <v>1</v>
      </c>
      <c r="AZ847" s="59">
        <v>0</v>
      </c>
      <c r="BA847" s="59">
        <v>0</v>
      </c>
      <c r="BB847" s="57">
        <f t="shared" si="265"/>
        <v>8844</v>
      </c>
    </row>
    <row r="848" spans="1:54" x14ac:dyDescent="0.25">
      <c r="A848" s="58">
        <v>35</v>
      </c>
      <c r="B848" s="59">
        <v>0</v>
      </c>
      <c r="C848" s="59">
        <v>1</v>
      </c>
      <c r="D848" s="59">
        <f t="shared" si="247"/>
        <v>1</v>
      </c>
      <c r="E848" s="59">
        <f t="shared" si="248"/>
        <v>0</v>
      </c>
      <c r="F848" s="59">
        <v>819</v>
      </c>
      <c r="G848" s="59">
        <v>2</v>
      </c>
      <c r="H848" s="59">
        <f t="shared" si="249"/>
        <v>0</v>
      </c>
      <c r="I848" s="59">
        <f t="shared" si="250"/>
        <v>1</v>
      </c>
      <c r="J848" s="59">
        <v>2</v>
      </c>
      <c r="K848" s="59">
        <v>3</v>
      </c>
      <c r="L848" s="59">
        <v>1</v>
      </c>
      <c r="M848" s="59">
        <f t="shared" si="251"/>
        <v>1</v>
      </c>
      <c r="N848" s="59">
        <f t="shared" si="252"/>
        <v>0</v>
      </c>
      <c r="O848" s="59">
        <f t="shared" si="253"/>
        <v>0</v>
      </c>
      <c r="P848" s="59">
        <f t="shared" si="254"/>
        <v>0</v>
      </c>
      <c r="Q848" s="59">
        <f t="shared" si="255"/>
        <v>0</v>
      </c>
      <c r="R848" s="59">
        <v>1</v>
      </c>
      <c r="S848" s="59">
        <v>1182</v>
      </c>
      <c r="T848" s="59">
        <v>3</v>
      </c>
      <c r="U848" s="59">
        <v>1</v>
      </c>
      <c r="V848" s="59">
        <v>44</v>
      </c>
      <c r="W848" s="59">
        <v>2</v>
      </c>
      <c r="X848" s="59">
        <v>3</v>
      </c>
      <c r="Y848" s="59">
        <v>4</v>
      </c>
      <c r="Z848" s="59">
        <f t="shared" si="256"/>
        <v>0</v>
      </c>
      <c r="AA848" s="59">
        <f>IF('Updated Dummy'!Y848=2,1,0)</f>
        <v>0</v>
      </c>
      <c r="AB848" s="59">
        <f t="shared" si="257"/>
        <v>0</v>
      </c>
      <c r="AC848" s="59">
        <f t="shared" si="258"/>
        <v>1</v>
      </c>
      <c r="AD848" s="59">
        <f t="shared" si="259"/>
        <v>0</v>
      </c>
      <c r="AE848" s="59">
        <f t="shared" si="260"/>
        <v>0</v>
      </c>
      <c r="AF848" s="59">
        <f t="shared" si="261"/>
        <v>0</v>
      </c>
      <c r="AG848" s="59">
        <f t="shared" si="262"/>
        <v>0</v>
      </c>
      <c r="AH848" s="59">
        <v>2</v>
      </c>
      <c r="AI848" s="59">
        <v>3</v>
      </c>
      <c r="AJ848" s="59">
        <f t="shared" si="263"/>
        <v>0</v>
      </c>
      <c r="AK848" s="59">
        <f t="shared" si="264"/>
        <v>0</v>
      </c>
      <c r="AL848" s="59">
        <v>10274</v>
      </c>
      <c r="AM848" s="59">
        <v>19588</v>
      </c>
      <c r="AN848" s="59">
        <v>2</v>
      </c>
      <c r="AO848" s="59">
        <v>0</v>
      </c>
      <c r="AP848" s="59">
        <v>18</v>
      </c>
      <c r="AQ848" s="59">
        <v>3</v>
      </c>
      <c r="AR848" s="59">
        <v>2</v>
      </c>
      <c r="AS848" s="59">
        <v>80</v>
      </c>
      <c r="AT848" s="59">
        <v>1</v>
      </c>
      <c r="AU848" s="59">
        <v>15</v>
      </c>
      <c r="AV848" s="59">
        <v>2</v>
      </c>
      <c r="AW848" s="59">
        <v>4</v>
      </c>
      <c r="AX848" s="59">
        <v>7</v>
      </c>
      <c r="AY848" s="59">
        <v>7</v>
      </c>
      <c r="AZ848" s="59">
        <v>6</v>
      </c>
      <c r="BA848" s="59">
        <v>4</v>
      </c>
      <c r="BB848" s="57">
        <f t="shared" si="265"/>
        <v>30822</v>
      </c>
    </row>
    <row r="849" spans="1:54" x14ac:dyDescent="0.25">
      <c r="A849" s="58">
        <v>34</v>
      </c>
      <c r="B849" s="59">
        <v>0</v>
      </c>
      <c r="C849" s="59">
        <v>2</v>
      </c>
      <c r="D849" s="59">
        <f t="shared" si="247"/>
        <v>0</v>
      </c>
      <c r="E849" s="59">
        <f t="shared" si="248"/>
        <v>1</v>
      </c>
      <c r="F849" s="59">
        <v>669</v>
      </c>
      <c r="G849" s="59">
        <v>2</v>
      </c>
      <c r="H849" s="59">
        <f t="shared" si="249"/>
        <v>0</v>
      </c>
      <c r="I849" s="59">
        <f t="shared" si="250"/>
        <v>1</v>
      </c>
      <c r="J849" s="59">
        <v>1</v>
      </c>
      <c r="K849" s="59">
        <v>3</v>
      </c>
      <c r="L849" s="59">
        <v>3</v>
      </c>
      <c r="M849" s="59">
        <f t="shared" si="251"/>
        <v>0</v>
      </c>
      <c r="N849" s="59">
        <f t="shared" si="252"/>
        <v>0</v>
      </c>
      <c r="O849" s="59">
        <f t="shared" si="253"/>
        <v>1</v>
      </c>
      <c r="P849" s="59">
        <f t="shared" si="254"/>
        <v>0</v>
      </c>
      <c r="Q849" s="59">
        <f t="shared" si="255"/>
        <v>0</v>
      </c>
      <c r="R849" s="59">
        <v>1</v>
      </c>
      <c r="S849" s="59">
        <v>1184</v>
      </c>
      <c r="T849" s="59">
        <v>4</v>
      </c>
      <c r="U849" s="59">
        <v>1</v>
      </c>
      <c r="V849" s="59">
        <v>97</v>
      </c>
      <c r="W849" s="59">
        <v>2</v>
      </c>
      <c r="X849" s="59">
        <v>2</v>
      </c>
      <c r="Y849" s="59">
        <v>5</v>
      </c>
      <c r="Z849" s="59">
        <f t="shared" si="256"/>
        <v>0</v>
      </c>
      <c r="AA849" s="59">
        <f>IF('Updated Dummy'!Y849=2,1,0)</f>
        <v>0</v>
      </c>
      <c r="AB849" s="59">
        <f t="shared" si="257"/>
        <v>0</v>
      </c>
      <c r="AC849" s="59">
        <f t="shared" si="258"/>
        <v>0</v>
      </c>
      <c r="AD849" s="59">
        <f t="shared" si="259"/>
        <v>1</v>
      </c>
      <c r="AE849" s="59">
        <f t="shared" si="260"/>
        <v>0</v>
      </c>
      <c r="AF849" s="59">
        <f t="shared" si="261"/>
        <v>0</v>
      </c>
      <c r="AG849" s="59">
        <f t="shared" si="262"/>
        <v>0</v>
      </c>
      <c r="AH849" s="59">
        <v>1</v>
      </c>
      <c r="AI849" s="59">
        <v>1</v>
      </c>
      <c r="AJ849" s="59">
        <f t="shared" si="263"/>
        <v>1</v>
      </c>
      <c r="AK849" s="59">
        <f t="shared" si="264"/>
        <v>0</v>
      </c>
      <c r="AL849" s="59">
        <v>5343</v>
      </c>
      <c r="AM849" s="59">
        <v>25755</v>
      </c>
      <c r="AN849" s="59">
        <v>0</v>
      </c>
      <c r="AO849" s="59">
        <v>0</v>
      </c>
      <c r="AP849" s="59">
        <v>20</v>
      </c>
      <c r="AQ849" s="59">
        <v>4</v>
      </c>
      <c r="AR849" s="59">
        <v>3</v>
      </c>
      <c r="AS849" s="59">
        <v>80</v>
      </c>
      <c r="AT849" s="59">
        <v>0</v>
      </c>
      <c r="AU849" s="59">
        <v>14</v>
      </c>
      <c r="AV849" s="59">
        <v>3</v>
      </c>
      <c r="AW849" s="59">
        <v>3</v>
      </c>
      <c r="AX849" s="59">
        <v>13</v>
      </c>
      <c r="AY849" s="59">
        <v>9</v>
      </c>
      <c r="AZ849" s="59">
        <v>4</v>
      </c>
      <c r="BA849" s="59">
        <v>9</v>
      </c>
      <c r="BB849" s="57">
        <f t="shared" si="265"/>
        <v>10686</v>
      </c>
    </row>
    <row r="850" spans="1:54" x14ac:dyDescent="0.25">
      <c r="A850" s="58">
        <v>35</v>
      </c>
      <c r="B850" s="59">
        <v>0</v>
      </c>
      <c r="C850" s="59">
        <v>2</v>
      </c>
      <c r="D850" s="59">
        <f t="shared" si="247"/>
        <v>0</v>
      </c>
      <c r="E850" s="59">
        <f t="shared" si="248"/>
        <v>1</v>
      </c>
      <c r="F850" s="59">
        <v>636</v>
      </c>
      <c r="G850" s="59">
        <v>2</v>
      </c>
      <c r="H850" s="59">
        <f t="shared" si="249"/>
        <v>0</v>
      </c>
      <c r="I850" s="59">
        <f t="shared" si="250"/>
        <v>1</v>
      </c>
      <c r="J850" s="59">
        <v>4</v>
      </c>
      <c r="K850" s="59">
        <v>4</v>
      </c>
      <c r="L850" s="59">
        <v>6</v>
      </c>
      <c r="M850" s="59">
        <f t="shared" si="251"/>
        <v>0</v>
      </c>
      <c r="N850" s="59">
        <f t="shared" si="252"/>
        <v>0</v>
      </c>
      <c r="O850" s="59">
        <f t="shared" si="253"/>
        <v>0</v>
      </c>
      <c r="P850" s="59">
        <f t="shared" si="254"/>
        <v>0</v>
      </c>
      <c r="Q850" s="59">
        <f t="shared" si="255"/>
        <v>0</v>
      </c>
      <c r="R850" s="59">
        <v>1</v>
      </c>
      <c r="S850" s="59">
        <v>1185</v>
      </c>
      <c r="T850" s="59">
        <v>4</v>
      </c>
      <c r="U850" s="59">
        <v>1</v>
      </c>
      <c r="V850" s="59">
        <v>47</v>
      </c>
      <c r="W850" s="59">
        <v>2</v>
      </c>
      <c r="X850" s="59">
        <v>1</v>
      </c>
      <c r="Y850" s="59">
        <v>3</v>
      </c>
      <c r="Z850" s="59">
        <f t="shared" si="256"/>
        <v>0</v>
      </c>
      <c r="AA850" s="59">
        <f>IF('Updated Dummy'!Y850=2,1,0)</f>
        <v>0</v>
      </c>
      <c r="AB850" s="59">
        <f t="shared" si="257"/>
        <v>1</v>
      </c>
      <c r="AC850" s="59">
        <f t="shared" si="258"/>
        <v>0</v>
      </c>
      <c r="AD850" s="59">
        <f t="shared" si="259"/>
        <v>0</v>
      </c>
      <c r="AE850" s="59">
        <f t="shared" si="260"/>
        <v>0</v>
      </c>
      <c r="AF850" s="59">
        <f t="shared" si="261"/>
        <v>0</v>
      </c>
      <c r="AG850" s="59">
        <f t="shared" si="262"/>
        <v>0</v>
      </c>
      <c r="AH850" s="59">
        <v>4</v>
      </c>
      <c r="AI850" s="59">
        <v>2</v>
      </c>
      <c r="AJ850" s="59">
        <f t="shared" si="263"/>
        <v>0</v>
      </c>
      <c r="AK850" s="59">
        <f t="shared" si="264"/>
        <v>1</v>
      </c>
      <c r="AL850" s="59">
        <v>2376</v>
      </c>
      <c r="AM850" s="59">
        <v>26537</v>
      </c>
      <c r="AN850" s="59">
        <v>1</v>
      </c>
      <c r="AO850" s="59">
        <v>0</v>
      </c>
      <c r="AP850" s="59">
        <v>13</v>
      </c>
      <c r="AQ850" s="59">
        <v>3</v>
      </c>
      <c r="AR850" s="59">
        <v>2</v>
      </c>
      <c r="AS850" s="59">
        <v>80</v>
      </c>
      <c r="AT850" s="59">
        <v>1</v>
      </c>
      <c r="AU850" s="59">
        <v>2</v>
      </c>
      <c r="AV850" s="59">
        <v>2</v>
      </c>
      <c r="AW850" s="59">
        <v>4</v>
      </c>
      <c r="AX850" s="59">
        <v>2</v>
      </c>
      <c r="AY850" s="59">
        <v>2</v>
      </c>
      <c r="AZ850" s="59">
        <v>2</v>
      </c>
      <c r="BA850" s="59">
        <v>2</v>
      </c>
      <c r="BB850" s="57">
        <f t="shared" si="265"/>
        <v>2376</v>
      </c>
    </row>
    <row r="851" spans="1:54" x14ac:dyDescent="0.25">
      <c r="A851" s="58">
        <v>43</v>
      </c>
      <c r="B851" s="59">
        <v>1</v>
      </c>
      <c r="C851" s="59">
        <v>1</v>
      </c>
      <c r="D851" s="59">
        <f t="shared" si="247"/>
        <v>1</v>
      </c>
      <c r="E851" s="59">
        <f t="shared" si="248"/>
        <v>0</v>
      </c>
      <c r="F851" s="59">
        <v>1372</v>
      </c>
      <c r="G851" s="59">
        <v>1</v>
      </c>
      <c r="H851" s="59">
        <f t="shared" si="249"/>
        <v>1</v>
      </c>
      <c r="I851" s="59">
        <f t="shared" si="250"/>
        <v>0</v>
      </c>
      <c r="J851" s="59">
        <v>9</v>
      </c>
      <c r="K851" s="59">
        <v>3</v>
      </c>
      <c r="L851" s="59">
        <v>4</v>
      </c>
      <c r="M851" s="59">
        <f t="shared" si="251"/>
        <v>0</v>
      </c>
      <c r="N851" s="59">
        <f t="shared" si="252"/>
        <v>0</v>
      </c>
      <c r="O851" s="59">
        <f t="shared" si="253"/>
        <v>0</v>
      </c>
      <c r="P851" s="59">
        <f t="shared" si="254"/>
        <v>1</v>
      </c>
      <c r="Q851" s="59">
        <f t="shared" si="255"/>
        <v>0</v>
      </c>
      <c r="R851" s="59">
        <v>1</v>
      </c>
      <c r="S851" s="59">
        <v>1188</v>
      </c>
      <c r="T851" s="59">
        <v>1</v>
      </c>
      <c r="U851" s="59">
        <v>0</v>
      </c>
      <c r="V851" s="59">
        <v>85</v>
      </c>
      <c r="W851" s="59">
        <v>1</v>
      </c>
      <c r="X851" s="59">
        <v>2</v>
      </c>
      <c r="Y851" s="59">
        <v>1</v>
      </c>
      <c r="Z851" s="59">
        <f t="shared" si="256"/>
        <v>1</v>
      </c>
      <c r="AA851" s="59">
        <f>IF('Updated Dummy'!Y851=2,1,0)</f>
        <v>0</v>
      </c>
      <c r="AB851" s="59">
        <f t="shared" si="257"/>
        <v>0</v>
      </c>
      <c r="AC851" s="59">
        <f t="shared" si="258"/>
        <v>0</v>
      </c>
      <c r="AD851" s="59">
        <f t="shared" si="259"/>
        <v>0</v>
      </c>
      <c r="AE851" s="59">
        <f t="shared" si="260"/>
        <v>0</v>
      </c>
      <c r="AF851" s="59">
        <f t="shared" si="261"/>
        <v>0</v>
      </c>
      <c r="AG851" s="59">
        <f t="shared" si="262"/>
        <v>0</v>
      </c>
      <c r="AH851" s="59">
        <v>3</v>
      </c>
      <c r="AI851" s="59">
        <v>1</v>
      </c>
      <c r="AJ851" s="59">
        <f t="shared" si="263"/>
        <v>1</v>
      </c>
      <c r="AK851" s="59">
        <f t="shared" si="264"/>
        <v>0</v>
      </c>
      <c r="AL851" s="59">
        <v>5346</v>
      </c>
      <c r="AM851" s="59">
        <v>9489</v>
      </c>
      <c r="AN851" s="59">
        <v>8</v>
      </c>
      <c r="AO851" s="59">
        <v>0</v>
      </c>
      <c r="AP851" s="59">
        <v>13</v>
      </c>
      <c r="AQ851" s="59">
        <v>3</v>
      </c>
      <c r="AR851" s="59">
        <v>2</v>
      </c>
      <c r="AS851" s="59">
        <v>80</v>
      </c>
      <c r="AT851" s="59">
        <v>0</v>
      </c>
      <c r="AU851" s="59">
        <v>7</v>
      </c>
      <c r="AV851" s="59">
        <v>2</v>
      </c>
      <c r="AW851" s="59">
        <v>2</v>
      </c>
      <c r="AX851" s="59">
        <v>4</v>
      </c>
      <c r="AY851" s="59">
        <v>3</v>
      </c>
      <c r="AZ851" s="59">
        <v>1</v>
      </c>
      <c r="BA851" s="59">
        <v>3</v>
      </c>
      <c r="BB851" s="57">
        <f t="shared" si="265"/>
        <v>10692</v>
      </c>
    </row>
    <row r="852" spans="1:54" x14ac:dyDescent="0.25">
      <c r="A852" s="58">
        <v>32</v>
      </c>
      <c r="B852" s="59">
        <v>0</v>
      </c>
      <c r="C852" s="59">
        <v>3</v>
      </c>
      <c r="D852" s="59">
        <f t="shared" si="247"/>
        <v>0</v>
      </c>
      <c r="E852" s="59">
        <f t="shared" si="248"/>
        <v>0</v>
      </c>
      <c r="F852" s="59">
        <v>862</v>
      </c>
      <c r="G852" s="59">
        <v>1</v>
      </c>
      <c r="H852" s="59">
        <f t="shared" si="249"/>
        <v>1</v>
      </c>
      <c r="I852" s="59">
        <f t="shared" si="250"/>
        <v>0</v>
      </c>
      <c r="J852" s="59">
        <v>2</v>
      </c>
      <c r="K852" s="59">
        <v>1</v>
      </c>
      <c r="L852" s="59">
        <v>1</v>
      </c>
      <c r="M852" s="59">
        <f t="shared" si="251"/>
        <v>1</v>
      </c>
      <c r="N852" s="59">
        <f t="shared" si="252"/>
        <v>0</v>
      </c>
      <c r="O852" s="59">
        <f t="shared" si="253"/>
        <v>0</v>
      </c>
      <c r="P852" s="59">
        <f t="shared" si="254"/>
        <v>0</v>
      </c>
      <c r="Q852" s="59">
        <f t="shared" si="255"/>
        <v>0</v>
      </c>
      <c r="R852" s="59">
        <v>1</v>
      </c>
      <c r="S852" s="59">
        <v>1190</v>
      </c>
      <c r="T852" s="59">
        <v>3</v>
      </c>
      <c r="U852" s="59">
        <v>0</v>
      </c>
      <c r="V852" s="59">
        <v>76</v>
      </c>
      <c r="W852" s="59">
        <v>3</v>
      </c>
      <c r="X852" s="59">
        <v>1</v>
      </c>
      <c r="Y852" s="59">
        <v>7</v>
      </c>
      <c r="Z852" s="59">
        <f t="shared" si="256"/>
        <v>0</v>
      </c>
      <c r="AA852" s="59">
        <f>IF('Updated Dummy'!Y852=2,1,0)</f>
        <v>0</v>
      </c>
      <c r="AB852" s="59">
        <f t="shared" si="257"/>
        <v>0</v>
      </c>
      <c r="AC852" s="59">
        <f t="shared" si="258"/>
        <v>0</v>
      </c>
      <c r="AD852" s="59">
        <f t="shared" si="259"/>
        <v>0</v>
      </c>
      <c r="AE852" s="59">
        <f t="shared" si="260"/>
        <v>0</v>
      </c>
      <c r="AF852" s="59">
        <f t="shared" si="261"/>
        <v>1</v>
      </c>
      <c r="AG852" s="59">
        <f t="shared" si="262"/>
        <v>0</v>
      </c>
      <c r="AH852" s="59">
        <v>1</v>
      </c>
      <c r="AI852" s="59">
        <v>3</v>
      </c>
      <c r="AJ852" s="59">
        <f t="shared" si="263"/>
        <v>0</v>
      </c>
      <c r="AK852" s="59">
        <f t="shared" si="264"/>
        <v>0</v>
      </c>
      <c r="AL852" s="59">
        <v>2827</v>
      </c>
      <c r="AM852" s="59">
        <v>14947</v>
      </c>
      <c r="AN852" s="59">
        <v>1</v>
      </c>
      <c r="AO852" s="59">
        <v>0</v>
      </c>
      <c r="AP852" s="59">
        <v>12</v>
      </c>
      <c r="AQ852" s="59">
        <v>3</v>
      </c>
      <c r="AR852" s="59">
        <v>3</v>
      </c>
      <c r="AS852" s="59">
        <v>80</v>
      </c>
      <c r="AT852" s="59">
        <v>3</v>
      </c>
      <c r="AU852" s="59">
        <v>1</v>
      </c>
      <c r="AV852" s="59">
        <v>3</v>
      </c>
      <c r="AW852" s="59">
        <v>3</v>
      </c>
      <c r="AX852" s="59">
        <v>1</v>
      </c>
      <c r="AY852" s="59">
        <v>0</v>
      </c>
      <c r="AZ852" s="59">
        <v>0</v>
      </c>
      <c r="BA852" s="59">
        <v>0</v>
      </c>
      <c r="BB852" s="57">
        <f t="shared" si="265"/>
        <v>2827</v>
      </c>
    </row>
    <row r="853" spans="1:54" x14ac:dyDescent="0.25">
      <c r="A853" s="58">
        <v>56</v>
      </c>
      <c r="B853" s="59">
        <v>0</v>
      </c>
      <c r="C853" s="59">
        <v>1</v>
      </c>
      <c r="D853" s="59">
        <f t="shared" si="247"/>
        <v>1</v>
      </c>
      <c r="E853" s="59">
        <f t="shared" si="248"/>
        <v>0</v>
      </c>
      <c r="F853" s="59">
        <v>718</v>
      </c>
      <c r="G853" s="59">
        <v>2</v>
      </c>
      <c r="H853" s="59">
        <f t="shared" si="249"/>
        <v>0</v>
      </c>
      <c r="I853" s="59">
        <f t="shared" si="250"/>
        <v>1</v>
      </c>
      <c r="J853" s="59">
        <v>4</v>
      </c>
      <c r="K853" s="59">
        <v>4</v>
      </c>
      <c r="L853" s="59">
        <v>5</v>
      </c>
      <c r="M853" s="59">
        <f t="shared" si="251"/>
        <v>0</v>
      </c>
      <c r="N853" s="59">
        <f t="shared" si="252"/>
        <v>0</v>
      </c>
      <c r="O853" s="59">
        <f t="shared" si="253"/>
        <v>0</v>
      </c>
      <c r="P853" s="59">
        <f t="shared" si="254"/>
        <v>0</v>
      </c>
      <c r="Q853" s="59">
        <f t="shared" si="255"/>
        <v>1</v>
      </c>
      <c r="R853" s="59">
        <v>1</v>
      </c>
      <c r="S853" s="59">
        <v>1191</v>
      </c>
      <c r="T853" s="59">
        <v>4</v>
      </c>
      <c r="U853" s="59">
        <v>0</v>
      </c>
      <c r="V853" s="59">
        <v>92</v>
      </c>
      <c r="W853" s="59">
        <v>3</v>
      </c>
      <c r="X853" s="59">
        <v>5</v>
      </c>
      <c r="Y853" s="59">
        <v>6</v>
      </c>
      <c r="Z853" s="59">
        <f t="shared" si="256"/>
        <v>0</v>
      </c>
      <c r="AA853" s="59">
        <f>IF('Updated Dummy'!Y853=2,1,0)</f>
        <v>0</v>
      </c>
      <c r="AB853" s="59">
        <f t="shared" si="257"/>
        <v>0</v>
      </c>
      <c r="AC853" s="59">
        <f t="shared" si="258"/>
        <v>0</v>
      </c>
      <c r="AD853" s="59">
        <f t="shared" si="259"/>
        <v>0</v>
      </c>
      <c r="AE853" s="59">
        <f t="shared" si="260"/>
        <v>1</v>
      </c>
      <c r="AF853" s="59">
        <f t="shared" si="261"/>
        <v>0</v>
      </c>
      <c r="AG853" s="59">
        <f t="shared" si="262"/>
        <v>0</v>
      </c>
      <c r="AH853" s="59">
        <v>1</v>
      </c>
      <c r="AI853" s="59">
        <v>3</v>
      </c>
      <c r="AJ853" s="59">
        <f t="shared" si="263"/>
        <v>0</v>
      </c>
      <c r="AK853" s="59">
        <f t="shared" si="264"/>
        <v>0</v>
      </c>
      <c r="AL853" s="59">
        <v>19943</v>
      </c>
      <c r="AM853" s="59">
        <v>18575</v>
      </c>
      <c r="AN853" s="59">
        <v>4</v>
      </c>
      <c r="AO853" s="59">
        <v>0</v>
      </c>
      <c r="AP853" s="59">
        <v>13</v>
      </c>
      <c r="AQ853" s="59">
        <v>3</v>
      </c>
      <c r="AR853" s="59">
        <v>4</v>
      </c>
      <c r="AS853" s="59">
        <v>80</v>
      </c>
      <c r="AT853" s="59">
        <v>1</v>
      </c>
      <c r="AU853" s="59">
        <v>28</v>
      </c>
      <c r="AV853" s="59">
        <v>2</v>
      </c>
      <c r="AW853" s="59">
        <v>3</v>
      </c>
      <c r="AX853" s="59">
        <v>5</v>
      </c>
      <c r="AY853" s="59">
        <v>2</v>
      </c>
      <c r="AZ853" s="59">
        <v>4</v>
      </c>
      <c r="BA853" s="59">
        <v>2</v>
      </c>
      <c r="BB853" s="57">
        <f t="shared" si="265"/>
        <v>99715</v>
      </c>
    </row>
    <row r="854" spans="1:54" x14ac:dyDescent="0.25">
      <c r="A854" s="58">
        <v>29</v>
      </c>
      <c r="B854" s="59">
        <v>0</v>
      </c>
      <c r="C854" s="59">
        <v>1</v>
      </c>
      <c r="D854" s="59">
        <f t="shared" si="247"/>
        <v>1</v>
      </c>
      <c r="E854" s="59">
        <f t="shared" si="248"/>
        <v>0</v>
      </c>
      <c r="F854" s="59">
        <v>1401</v>
      </c>
      <c r="G854" s="59">
        <v>2</v>
      </c>
      <c r="H854" s="59">
        <f t="shared" si="249"/>
        <v>0</v>
      </c>
      <c r="I854" s="59">
        <f t="shared" si="250"/>
        <v>1</v>
      </c>
      <c r="J854" s="59">
        <v>6</v>
      </c>
      <c r="K854" s="59">
        <v>1</v>
      </c>
      <c r="L854" s="59">
        <v>3</v>
      </c>
      <c r="M854" s="59">
        <f t="shared" si="251"/>
        <v>0</v>
      </c>
      <c r="N854" s="59">
        <f t="shared" si="252"/>
        <v>0</v>
      </c>
      <c r="O854" s="59">
        <f t="shared" si="253"/>
        <v>1</v>
      </c>
      <c r="P854" s="59">
        <f t="shared" si="254"/>
        <v>0</v>
      </c>
      <c r="Q854" s="59">
        <f t="shared" si="255"/>
        <v>0</v>
      </c>
      <c r="R854" s="59">
        <v>1</v>
      </c>
      <c r="S854" s="59">
        <v>1192</v>
      </c>
      <c r="T854" s="59">
        <v>2</v>
      </c>
      <c r="U854" s="59">
        <v>0</v>
      </c>
      <c r="V854" s="59">
        <v>54</v>
      </c>
      <c r="W854" s="59">
        <v>3</v>
      </c>
      <c r="X854" s="59">
        <v>1</v>
      </c>
      <c r="Y854" s="59">
        <v>3</v>
      </c>
      <c r="Z854" s="59">
        <f t="shared" si="256"/>
        <v>0</v>
      </c>
      <c r="AA854" s="59">
        <f>IF('Updated Dummy'!Y854=2,1,0)</f>
        <v>0</v>
      </c>
      <c r="AB854" s="59">
        <f t="shared" si="257"/>
        <v>1</v>
      </c>
      <c r="AC854" s="59">
        <f t="shared" si="258"/>
        <v>0</v>
      </c>
      <c r="AD854" s="59">
        <f t="shared" si="259"/>
        <v>0</v>
      </c>
      <c r="AE854" s="59">
        <f t="shared" si="260"/>
        <v>0</v>
      </c>
      <c r="AF854" s="59">
        <f t="shared" si="261"/>
        <v>0</v>
      </c>
      <c r="AG854" s="59">
        <f t="shared" si="262"/>
        <v>0</v>
      </c>
      <c r="AH854" s="59">
        <v>4</v>
      </c>
      <c r="AI854" s="59">
        <v>2</v>
      </c>
      <c r="AJ854" s="59">
        <f t="shared" si="263"/>
        <v>0</v>
      </c>
      <c r="AK854" s="59">
        <f t="shared" si="264"/>
        <v>1</v>
      </c>
      <c r="AL854" s="59">
        <v>3131</v>
      </c>
      <c r="AM854" s="59">
        <v>26342</v>
      </c>
      <c r="AN854" s="59">
        <v>1</v>
      </c>
      <c r="AO854" s="59">
        <v>0</v>
      </c>
      <c r="AP854" s="59">
        <v>13</v>
      </c>
      <c r="AQ854" s="59">
        <v>3</v>
      </c>
      <c r="AR854" s="59">
        <v>1</v>
      </c>
      <c r="AS854" s="59">
        <v>80</v>
      </c>
      <c r="AT854" s="59">
        <v>1</v>
      </c>
      <c r="AU854" s="59">
        <v>10</v>
      </c>
      <c r="AV854" s="59">
        <v>5</v>
      </c>
      <c r="AW854" s="59">
        <v>3</v>
      </c>
      <c r="AX854" s="59">
        <v>10</v>
      </c>
      <c r="AY854" s="59">
        <v>8</v>
      </c>
      <c r="AZ854" s="59">
        <v>0</v>
      </c>
      <c r="BA854" s="59">
        <v>8</v>
      </c>
      <c r="BB854" s="57">
        <f t="shared" si="265"/>
        <v>3131</v>
      </c>
    </row>
    <row r="855" spans="1:54" x14ac:dyDescent="0.25">
      <c r="A855" s="58">
        <v>19</v>
      </c>
      <c r="B855" s="59">
        <v>0</v>
      </c>
      <c r="C855" s="59">
        <v>1</v>
      </c>
      <c r="D855" s="59">
        <f t="shared" si="247"/>
        <v>1</v>
      </c>
      <c r="E855" s="59">
        <f t="shared" si="248"/>
        <v>0</v>
      </c>
      <c r="F855" s="59">
        <v>645</v>
      </c>
      <c r="G855" s="59">
        <v>2</v>
      </c>
      <c r="H855" s="59">
        <f t="shared" si="249"/>
        <v>0</v>
      </c>
      <c r="I855" s="59">
        <f t="shared" si="250"/>
        <v>1</v>
      </c>
      <c r="J855" s="59">
        <v>9</v>
      </c>
      <c r="K855" s="59">
        <v>2</v>
      </c>
      <c r="L855" s="59">
        <v>1</v>
      </c>
      <c r="M855" s="59">
        <f t="shared" si="251"/>
        <v>1</v>
      </c>
      <c r="N855" s="59">
        <f t="shared" si="252"/>
        <v>0</v>
      </c>
      <c r="O855" s="59">
        <f t="shared" si="253"/>
        <v>0</v>
      </c>
      <c r="P855" s="59">
        <f t="shared" si="254"/>
        <v>0</v>
      </c>
      <c r="Q855" s="59">
        <f t="shared" si="255"/>
        <v>0</v>
      </c>
      <c r="R855" s="59">
        <v>1</v>
      </c>
      <c r="S855" s="59">
        <v>1193</v>
      </c>
      <c r="T855" s="59">
        <v>3</v>
      </c>
      <c r="U855" s="59">
        <v>1</v>
      </c>
      <c r="V855" s="59">
        <v>54</v>
      </c>
      <c r="W855" s="59">
        <v>3</v>
      </c>
      <c r="X855" s="59">
        <v>1</v>
      </c>
      <c r="Y855" s="59">
        <v>2</v>
      </c>
      <c r="Z855" s="59">
        <f t="shared" si="256"/>
        <v>0</v>
      </c>
      <c r="AA855" s="59">
        <f>IF('Updated Dummy'!Y855=2,1,0)</f>
        <v>1</v>
      </c>
      <c r="AB855" s="59">
        <f t="shared" si="257"/>
        <v>0</v>
      </c>
      <c r="AC855" s="59">
        <f t="shared" si="258"/>
        <v>0</v>
      </c>
      <c r="AD855" s="59">
        <f t="shared" si="259"/>
        <v>0</v>
      </c>
      <c r="AE855" s="59">
        <f t="shared" si="260"/>
        <v>0</v>
      </c>
      <c r="AF855" s="59">
        <f t="shared" si="261"/>
        <v>0</v>
      </c>
      <c r="AG855" s="59">
        <f t="shared" si="262"/>
        <v>0</v>
      </c>
      <c r="AH855" s="59">
        <v>1</v>
      </c>
      <c r="AI855" s="59">
        <v>1</v>
      </c>
      <c r="AJ855" s="59">
        <f t="shared" si="263"/>
        <v>1</v>
      </c>
      <c r="AK855" s="59">
        <f t="shared" si="264"/>
        <v>0</v>
      </c>
      <c r="AL855" s="59">
        <v>2552</v>
      </c>
      <c r="AM855" s="59">
        <v>7172</v>
      </c>
      <c r="AN855" s="59">
        <v>1</v>
      </c>
      <c r="AO855" s="59">
        <v>0</v>
      </c>
      <c r="AP855" s="59">
        <v>25</v>
      </c>
      <c r="AQ855" s="59">
        <v>4</v>
      </c>
      <c r="AR855" s="59">
        <v>3</v>
      </c>
      <c r="AS855" s="59">
        <v>80</v>
      </c>
      <c r="AT855" s="59">
        <v>0</v>
      </c>
      <c r="AU855" s="59">
        <v>1</v>
      </c>
      <c r="AV855" s="59">
        <v>4</v>
      </c>
      <c r="AW855" s="59">
        <v>3</v>
      </c>
      <c r="AX855" s="59">
        <v>1</v>
      </c>
      <c r="AY855" s="59">
        <v>1</v>
      </c>
      <c r="AZ855" s="59">
        <v>0</v>
      </c>
      <c r="BA855" s="59">
        <v>0</v>
      </c>
      <c r="BB855" s="57">
        <f t="shared" si="265"/>
        <v>2552</v>
      </c>
    </row>
    <row r="856" spans="1:54" x14ac:dyDescent="0.25">
      <c r="A856" s="58">
        <v>45</v>
      </c>
      <c r="B856" s="59">
        <v>0</v>
      </c>
      <c r="C856" s="59">
        <v>1</v>
      </c>
      <c r="D856" s="59">
        <f t="shared" si="247"/>
        <v>1</v>
      </c>
      <c r="E856" s="59">
        <f t="shared" si="248"/>
        <v>0</v>
      </c>
      <c r="F856" s="59">
        <v>1457</v>
      </c>
      <c r="G856" s="59">
        <v>2</v>
      </c>
      <c r="H856" s="59">
        <f t="shared" si="249"/>
        <v>0</v>
      </c>
      <c r="I856" s="59">
        <f t="shared" si="250"/>
        <v>1</v>
      </c>
      <c r="J856" s="59">
        <v>7</v>
      </c>
      <c r="K856" s="59">
        <v>3</v>
      </c>
      <c r="L856" s="59">
        <v>3</v>
      </c>
      <c r="M856" s="59">
        <f t="shared" si="251"/>
        <v>0</v>
      </c>
      <c r="N856" s="59">
        <f t="shared" si="252"/>
        <v>0</v>
      </c>
      <c r="O856" s="59">
        <f t="shared" si="253"/>
        <v>1</v>
      </c>
      <c r="P856" s="59">
        <f t="shared" si="254"/>
        <v>0</v>
      </c>
      <c r="Q856" s="59">
        <f t="shared" si="255"/>
        <v>0</v>
      </c>
      <c r="R856" s="59">
        <v>1</v>
      </c>
      <c r="S856" s="59">
        <v>1195</v>
      </c>
      <c r="T856" s="59">
        <v>1</v>
      </c>
      <c r="U856" s="59">
        <v>0</v>
      </c>
      <c r="V856" s="59">
        <v>83</v>
      </c>
      <c r="W856" s="59">
        <v>3</v>
      </c>
      <c r="X856" s="59">
        <v>1</v>
      </c>
      <c r="Y856" s="59">
        <v>2</v>
      </c>
      <c r="Z856" s="59">
        <f t="shared" si="256"/>
        <v>0</v>
      </c>
      <c r="AA856" s="59">
        <f>IF('Updated Dummy'!Y856=2,1,0)</f>
        <v>1</v>
      </c>
      <c r="AB856" s="59">
        <f t="shared" si="257"/>
        <v>0</v>
      </c>
      <c r="AC856" s="59">
        <f t="shared" si="258"/>
        <v>0</v>
      </c>
      <c r="AD856" s="59">
        <f t="shared" si="259"/>
        <v>0</v>
      </c>
      <c r="AE856" s="59">
        <f t="shared" si="260"/>
        <v>0</v>
      </c>
      <c r="AF856" s="59">
        <f t="shared" si="261"/>
        <v>0</v>
      </c>
      <c r="AG856" s="59">
        <f t="shared" si="262"/>
        <v>0</v>
      </c>
      <c r="AH856" s="59">
        <v>3</v>
      </c>
      <c r="AI856" s="59">
        <v>2</v>
      </c>
      <c r="AJ856" s="59">
        <f t="shared" si="263"/>
        <v>0</v>
      </c>
      <c r="AK856" s="59">
        <f t="shared" si="264"/>
        <v>1</v>
      </c>
      <c r="AL856" s="59">
        <v>4477</v>
      </c>
      <c r="AM856" s="59">
        <v>20100</v>
      </c>
      <c r="AN856" s="59">
        <v>4</v>
      </c>
      <c r="AO856" s="59">
        <v>1</v>
      </c>
      <c r="AP856" s="59">
        <v>19</v>
      </c>
      <c r="AQ856" s="59">
        <v>3</v>
      </c>
      <c r="AR856" s="59">
        <v>3</v>
      </c>
      <c r="AS856" s="59">
        <v>80</v>
      </c>
      <c r="AT856" s="59">
        <v>1</v>
      </c>
      <c r="AU856" s="59">
        <v>7</v>
      </c>
      <c r="AV856" s="59">
        <v>2</v>
      </c>
      <c r="AW856" s="59">
        <v>2</v>
      </c>
      <c r="AX856" s="59">
        <v>3</v>
      </c>
      <c r="AY856" s="59">
        <v>2</v>
      </c>
      <c r="AZ856" s="59">
        <v>0</v>
      </c>
      <c r="BA856" s="59">
        <v>2</v>
      </c>
      <c r="BB856" s="57">
        <f t="shared" si="265"/>
        <v>4477</v>
      </c>
    </row>
    <row r="857" spans="1:54" x14ac:dyDescent="0.25">
      <c r="A857" s="58">
        <v>37</v>
      </c>
      <c r="B857" s="59">
        <v>0</v>
      </c>
      <c r="C857" s="59">
        <v>1</v>
      </c>
      <c r="D857" s="59">
        <f t="shared" si="247"/>
        <v>1</v>
      </c>
      <c r="E857" s="59">
        <f t="shared" si="248"/>
        <v>0</v>
      </c>
      <c r="F857" s="59">
        <v>977</v>
      </c>
      <c r="G857" s="59">
        <v>2</v>
      </c>
      <c r="H857" s="59">
        <f t="shared" si="249"/>
        <v>0</v>
      </c>
      <c r="I857" s="59">
        <f t="shared" si="250"/>
        <v>1</v>
      </c>
      <c r="J857" s="59">
        <v>1</v>
      </c>
      <c r="K857" s="59">
        <v>3</v>
      </c>
      <c r="L857" s="59">
        <v>1</v>
      </c>
      <c r="M857" s="59">
        <f t="shared" si="251"/>
        <v>1</v>
      </c>
      <c r="N857" s="59">
        <f t="shared" si="252"/>
        <v>0</v>
      </c>
      <c r="O857" s="59">
        <f t="shared" si="253"/>
        <v>0</v>
      </c>
      <c r="P857" s="59">
        <f t="shared" si="254"/>
        <v>0</v>
      </c>
      <c r="Q857" s="59">
        <f t="shared" si="255"/>
        <v>0</v>
      </c>
      <c r="R857" s="59">
        <v>1</v>
      </c>
      <c r="S857" s="59">
        <v>1196</v>
      </c>
      <c r="T857" s="59">
        <v>4</v>
      </c>
      <c r="U857" s="59">
        <v>0</v>
      </c>
      <c r="V857" s="59">
        <v>56</v>
      </c>
      <c r="W857" s="59">
        <v>2</v>
      </c>
      <c r="X857" s="59">
        <v>2</v>
      </c>
      <c r="Y857" s="59">
        <v>4</v>
      </c>
      <c r="Z857" s="59">
        <f t="shared" si="256"/>
        <v>0</v>
      </c>
      <c r="AA857" s="59">
        <f>IF('Updated Dummy'!Y857=2,1,0)</f>
        <v>0</v>
      </c>
      <c r="AB857" s="59">
        <f t="shared" si="257"/>
        <v>0</v>
      </c>
      <c r="AC857" s="59">
        <f t="shared" si="258"/>
        <v>1</v>
      </c>
      <c r="AD857" s="59">
        <f t="shared" si="259"/>
        <v>0</v>
      </c>
      <c r="AE857" s="59">
        <f t="shared" si="260"/>
        <v>0</v>
      </c>
      <c r="AF857" s="59">
        <f t="shared" si="261"/>
        <v>0</v>
      </c>
      <c r="AG857" s="59">
        <f t="shared" si="262"/>
        <v>0</v>
      </c>
      <c r="AH857" s="59">
        <v>4</v>
      </c>
      <c r="AI857" s="59">
        <v>2</v>
      </c>
      <c r="AJ857" s="59">
        <f t="shared" si="263"/>
        <v>0</v>
      </c>
      <c r="AK857" s="59">
        <f t="shared" si="264"/>
        <v>1</v>
      </c>
      <c r="AL857" s="59">
        <v>6474</v>
      </c>
      <c r="AM857" s="59">
        <v>9961</v>
      </c>
      <c r="AN857" s="59">
        <v>1</v>
      </c>
      <c r="AO857" s="59">
        <v>0</v>
      </c>
      <c r="AP857" s="59">
        <v>13</v>
      </c>
      <c r="AQ857" s="59">
        <v>3</v>
      </c>
      <c r="AR857" s="59">
        <v>2</v>
      </c>
      <c r="AS857" s="59">
        <v>80</v>
      </c>
      <c r="AT857" s="59">
        <v>1</v>
      </c>
      <c r="AU857" s="59">
        <v>14</v>
      </c>
      <c r="AV857" s="59">
        <v>2</v>
      </c>
      <c r="AW857" s="59">
        <v>2</v>
      </c>
      <c r="AX857" s="59">
        <v>14</v>
      </c>
      <c r="AY857" s="59">
        <v>8</v>
      </c>
      <c r="AZ857" s="59">
        <v>3</v>
      </c>
      <c r="BA857" s="59">
        <v>11</v>
      </c>
      <c r="BB857" s="57">
        <f t="shared" si="265"/>
        <v>12948</v>
      </c>
    </row>
    <row r="858" spans="1:54" x14ac:dyDescent="0.25">
      <c r="A858" s="58">
        <v>20</v>
      </c>
      <c r="B858" s="59">
        <v>0</v>
      </c>
      <c r="C858" s="59">
        <v>1</v>
      </c>
      <c r="D858" s="59">
        <f t="shared" si="247"/>
        <v>1</v>
      </c>
      <c r="E858" s="59">
        <f t="shared" si="248"/>
        <v>0</v>
      </c>
      <c r="F858" s="59">
        <v>805</v>
      </c>
      <c r="G858" s="59">
        <v>2</v>
      </c>
      <c r="H858" s="59">
        <f t="shared" si="249"/>
        <v>0</v>
      </c>
      <c r="I858" s="59">
        <f t="shared" si="250"/>
        <v>1</v>
      </c>
      <c r="J858" s="59">
        <v>3</v>
      </c>
      <c r="K858" s="59">
        <v>3</v>
      </c>
      <c r="L858" s="59">
        <v>1</v>
      </c>
      <c r="M858" s="59">
        <f t="shared" si="251"/>
        <v>1</v>
      </c>
      <c r="N858" s="59">
        <f t="shared" si="252"/>
        <v>0</v>
      </c>
      <c r="O858" s="59">
        <f t="shared" si="253"/>
        <v>0</v>
      </c>
      <c r="P858" s="59">
        <f t="shared" si="254"/>
        <v>0</v>
      </c>
      <c r="Q858" s="59">
        <f t="shared" si="255"/>
        <v>0</v>
      </c>
      <c r="R858" s="59">
        <v>1</v>
      </c>
      <c r="S858" s="59">
        <v>1198</v>
      </c>
      <c r="T858" s="59">
        <v>1</v>
      </c>
      <c r="U858" s="59">
        <v>1</v>
      </c>
      <c r="V858" s="59">
        <v>87</v>
      </c>
      <c r="W858" s="59">
        <v>2</v>
      </c>
      <c r="X858" s="59">
        <v>1</v>
      </c>
      <c r="Y858" s="59">
        <v>3</v>
      </c>
      <c r="Z858" s="59">
        <f t="shared" si="256"/>
        <v>0</v>
      </c>
      <c r="AA858" s="59">
        <f>IF('Updated Dummy'!Y858=2,1,0)</f>
        <v>0</v>
      </c>
      <c r="AB858" s="59">
        <f t="shared" si="257"/>
        <v>1</v>
      </c>
      <c r="AC858" s="59">
        <f t="shared" si="258"/>
        <v>0</v>
      </c>
      <c r="AD858" s="59">
        <f t="shared" si="259"/>
        <v>0</v>
      </c>
      <c r="AE858" s="59">
        <f t="shared" si="260"/>
        <v>0</v>
      </c>
      <c r="AF858" s="59">
        <f t="shared" si="261"/>
        <v>0</v>
      </c>
      <c r="AG858" s="59">
        <f t="shared" si="262"/>
        <v>0</v>
      </c>
      <c r="AH858" s="59">
        <v>3</v>
      </c>
      <c r="AI858" s="59">
        <v>1</v>
      </c>
      <c r="AJ858" s="59">
        <f t="shared" si="263"/>
        <v>1</v>
      </c>
      <c r="AK858" s="59">
        <f t="shared" si="264"/>
        <v>0</v>
      </c>
      <c r="AL858" s="59">
        <v>3033</v>
      </c>
      <c r="AM858" s="59">
        <v>12828</v>
      </c>
      <c r="AN858" s="59">
        <v>1</v>
      </c>
      <c r="AO858" s="59">
        <v>0</v>
      </c>
      <c r="AP858" s="59">
        <v>12</v>
      </c>
      <c r="AQ858" s="59">
        <v>3</v>
      </c>
      <c r="AR858" s="59">
        <v>1</v>
      </c>
      <c r="AS858" s="59">
        <v>80</v>
      </c>
      <c r="AT858" s="59">
        <v>0</v>
      </c>
      <c r="AU858" s="59">
        <v>2</v>
      </c>
      <c r="AV858" s="59">
        <v>2</v>
      </c>
      <c r="AW858" s="59">
        <v>2</v>
      </c>
      <c r="AX858" s="59">
        <v>2</v>
      </c>
      <c r="AY858" s="59">
        <v>2</v>
      </c>
      <c r="AZ858" s="59">
        <v>1</v>
      </c>
      <c r="BA858" s="59">
        <v>2</v>
      </c>
      <c r="BB858" s="57">
        <f t="shared" si="265"/>
        <v>3033</v>
      </c>
    </row>
    <row r="859" spans="1:54" x14ac:dyDescent="0.25">
      <c r="A859" s="58">
        <v>44</v>
      </c>
      <c r="B859" s="59">
        <v>1</v>
      </c>
      <c r="C859" s="59">
        <v>1</v>
      </c>
      <c r="D859" s="59">
        <f t="shared" si="247"/>
        <v>1</v>
      </c>
      <c r="E859" s="59">
        <f t="shared" si="248"/>
        <v>0</v>
      </c>
      <c r="F859" s="59">
        <v>1097</v>
      </c>
      <c r="G859" s="59">
        <v>2</v>
      </c>
      <c r="H859" s="59">
        <f t="shared" si="249"/>
        <v>0</v>
      </c>
      <c r="I859" s="59">
        <f t="shared" si="250"/>
        <v>1</v>
      </c>
      <c r="J859" s="59">
        <v>10</v>
      </c>
      <c r="K859" s="59">
        <v>4</v>
      </c>
      <c r="L859" s="59">
        <v>1</v>
      </c>
      <c r="M859" s="59">
        <f t="shared" si="251"/>
        <v>1</v>
      </c>
      <c r="N859" s="59">
        <f t="shared" si="252"/>
        <v>0</v>
      </c>
      <c r="O859" s="59">
        <f t="shared" si="253"/>
        <v>0</v>
      </c>
      <c r="P859" s="59">
        <f t="shared" si="254"/>
        <v>0</v>
      </c>
      <c r="Q859" s="59">
        <f t="shared" si="255"/>
        <v>0</v>
      </c>
      <c r="R859" s="59">
        <v>1</v>
      </c>
      <c r="S859" s="59">
        <v>1200</v>
      </c>
      <c r="T859" s="59">
        <v>3</v>
      </c>
      <c r="U859" s="59">
        <v>1</v>
      </c>
      <c r="V859" s="59">
        <v>96</v>
      </c>
      <c r="W859" s="59">
        <v>3</v>
      </c>
      <c r="X859" s="59">
        <v>1</v>
      </c>
      <c r="Y859" s="59">
        <v>2</v>
      </c>
      <c r="Z859" s="59">
        <f t="shared" si="256"/>
        <v>0</v>
      </c>
      <c r="AA859" s="59">
        <f>IF('Updated Dummy'!Y859=2,1,0)</f>
        <v>1</v>
      </c>
      <c r="AB859" s="59">
        <f t="shared" si="257"/>
        <v>0</v>
      </c>
      <c r="AC859" s="59">
        <f t="shared" si="258"/>
        <v>0</v>
      </c>
      <c r="AD859" s="59">
        <f t="shared" si="259"/>
        <v>0</v>
      </c>
      <c r="AE859" s="59">
        <f t="shared" si="260"/>
        <v>0</v>
      </c>
      <c r="AF859" s="59">
        <f t="shared" si="261"/>
        <v>0</v>
      </c>
      <c r="AG859" s="59">
        <f t="shared" si="262"/>
        <v>0</v>
      </c>
      <c r="AH859" s="59">
        <v>3</v>
      </c>
      <c r="AI859" s="59">
        <v>1</v>
      </c>
      <c r="AJ859" s="59">
        <f t="shared" si="263"/>
        <v>1</v>
      </c>
      <c r="AK859" s="59">
        <f t="shared" si="264"/>
        <v>0</v>
      </c>
      <c r="AL859" s="59">
        <v>2936</v>
      </c>
      <c r="AM859" s="59">
        <v>10826</v>
      </c>
      <c r="AN859" s="59">
        <v>1</v>
      </c>
      <c r="AO859" s="59">
        <v>1</v>
      </c>
      <c r="AP859" s="59">
        <v>11</v>
      </c>
      <c r="AQ859" s="59">
        <v>3</v>
      </c>
      <c r="AR859" s="59">
        <v>3</v>
      </c>
      <c r="AS859" s="59">
        <v>80</v>
      </c>
      <c r="AT859" s="59">
        <v>0</v>
      </c>
      <c r="AU859" s="59">
        <v>6</v>
      </c>
      <c r="AV859" s="59">
        <v>4</v>
      </c>
      <c r="AW859" s="59">
        <v>3</v>
      </c>
      <c r="AX859" s="59">
        <v>6</v>
      </c>
      <c r="AY859" s="59">
        <v>4</v>
      </c>
      <c r="AZ859" s="59">
        <v>0</v>
      </c>
      <c r="BA859" s="59">
        <v>2</v>
      </c>
      <c r="BB859" s="57">
        <f t="shared" si="265"/>
        <v>2936</v>
      </c>
    </row>
    <row r="860" spans="1:54" x14ac:dyDescent="0.25">
      <c r="A860" s="58">
        <v>53</v>
      </c>
      <c r="B860" s="59">
        <v>0</v>
      </c>
      <c r="C860" s="59">
        <v>1</v>
      </c>
      <c r="D860" s="59">
        <f t="shared" si="247"/>
        <v>1</v>
      </c>
      <c r="E860" s="59">
        <f t="shared" si="248"/>
        <v>0</v>
      </c>
      <c r="F860" s="59">
        <v>1223</v>
      </c>
      <c r="G860" s="59">
        <v>2</v>
      </c>
      <c r="H860" s="59">
        <f t="shared" si="249"/>
        <v>0</v>
      </c>
      <c r="I860" s="59">
        <f t="shared" si="250"/>
        <v>1</v>
      </c>
      <c r="J860" s="59">
        <v>7</v>
      </c>
      <c r="K860" s="59">
        <v>2</v>
      </c>
      <c r="L860" s="59">
        <v>3</v>
      </c>
      <c r="M860" s="59">
        <f t="shared" si="251"/>
        <v>0</v>
      </c>
      <c r="N860" s="59">
        <f t="shared" si="252"/>
        <v>0</v>
      </c>
      <c r="O860" s="59">
        <f t="shared" si="253"/>
        <v>1</v>
      </c>
      <c r="P860" s="59">
        <f t="shared" si="254"/>
        <v>0</v>
      </c>
      <c r="Q860" s="59">
        <f t="shared" si="255"/>
        <v>0</v>
      </c>
      <c r="R860" s="59">
        <v>1</v>
      </c>
      <c r="S860" s="59">
        <v>1201</v>
      </c>
      <c r="T860" s="59">
        <v>4</v>
      </c>
      <c r="U860" s="59">
        <v>0</v>
      </c>
      <c r="V860" s="59">
        <v>50</v>
      </c>
      <c r="W860" s="59">
        <v>3</v>
      </c>
      <c r="X860" s="59">
        <v>5</v>
      </c>
      <c r="Y860" s="59">
        <v>6</v>
      </c>
      <c r="Z860" s="59">
        <f t="shared" si="256"/>
        <v>0</v>
      </c>
      <c r="AA860" s="59">
        <f>IF('Updated Dummy'!Y860=2,1,0)</f>
        <v>0</v>
      </c>
      <c r="AB860" s="59">
        <f t="shared" si="257"/>
        <v>0</v>
      </c>
      <c r="AC860" s="59">
        <f t="shared" si="258"/>
        <v>0</v>
      </c>
      <c r="AD860" s="59">
        <f t="shared" si="259"/>
        <v>0</v>
      </c>
      <c r="AE860" s="59">
        <f t="shared" si="260"/>
        <v>1</v>
      </c>
      <c r="AF860" s="59">
        <f t="shared" si="261"/>
        <v>0</v>
      </c>
      <c r="AG860" s="59">
        <f t="shared" si="262"/>
        <v>0</v>
      </c>
      <c r="AH860" s="59">
        <v>3</v>
      </c>
      <c r="AI860" s="59">
        <v>3</v>
      </c>
      <c r="AJ860" s="59">
        <f t="shared" si="263"/>
        <v>0</v>
      </c>
      <c r="AK860" s="59">
        <f t="shared" si="264"/>
        <v>0</v>
      </c>
      <c r="AL860" s="59">
        <v>18606</v>
      </c>
      <c r="AM860" s="59">
        <v>18640</v>
      </c>
      <c r="AN860" s="59">
        <v>3</v>
      </c>
      <c r="AO860" s="59">
        <v>0</v>
      </c>
      <c r="AP860" s="59">
        <v>18</v>
      </c>
      <c r="AQ860" s="59">
        <v>3</v>
      </c>
      <c r="AR860" s="59">
        <v>2</v>
      </c>
      <c r="AS860" s="59">
        <v>80</v>
      </c>
      <c r="AT860" s="59">
        <v>1</v>
      </c>
      <c r="AU860" s="59">
        <v>26</v>
      </c>
      <c r="AV860" s="59">
        <v>6</v>
      </c>
      <c r="AW860" s="59">
        <v>3</v>
      </c>
      <c r="AX860" s="59">
        <v>7</v>
      </c>
      <c r="AY860" s="59">
        <v>7</v>
      </c>
      <c r="AZ860" s="59">
        <v>4</v>
      </c>
      <c r="BA860" s="59">
        <v>7</v>
      </c>
      <c r="BB860" s="57">
        <f t="shared" si="265"/>
        <v>93030</v>
      </c>
    </row>
    <row r="861" spans="1:54" x14ac:dyDescent="0.25">
      <c r="A861" s="58">
        <v>29</v>
      </c>
      <c r="B861" s="59">
        <v>0</v>
      </c>
      <c r="C861" s="59">
        <v>1</v>
      </c>
      <c r="D861" s="59">
        <f t="shared" si="247"/>
        <v>1</v>
      </c>
      <c r="E861" s="59">
        <f t="shared" si="248"/>
        <v>0</v>
      </c>
      <c r="F861" s="59">
        <v>942</v>
      </c>
      <c r="G861" s="59">
        <v>2</v>
      </c>
      <c r="H861" s="59">
        <f t="shared" si="249"/>
        <v>0</v>
      </c>
      <c r="I861" s="59">
        <f t="shared" si="250"/>
        <v>1</v>
      </c>
      <c r="J861" s="59">
        <v>15</v>
      </c>
      <c r="K861" s="59">
        <v>1</v>
      </c>
      <c r="L861" s="59">
        <v>1</v>
      </c>
      <c r="M861" s="59">
        <f t="shared" si="251"/>
        <v>1</v>
      </c>
      <c r="N861" s="59">
        <f t="shared" si="252"/>
        <v>0</v>
      </c>
      <c r="O861" s="59">
        <f t="shared" si="253"/>
        <v>0</v>
      </c>
      <c r="P861" s="59">
        <f t="shared" si="254"/>
        <v>0</v>
      </c>
      <c r="Q861" s="59">
        <f t="shared" si="255"/>
        <v>0</v>
      </c>
      <c r="R861" s="59">
        <v>1</v>
      </c>
      <c r="S861" s="59">
        <v>1202</v>
      </c>
      <c r="T861" s="59">
        <v>2</v>
      </c>
      <c r="U861" s="59">
        <v>0</v>
      </c>
      <c r="V861" s="59">
        <v>69</v>
      </c>
      <c r="W861" s="59">
        <v>1</v>
      </c>
      <c r="X861" s="59">
        <v>1</v>
      </c>
      <c r="Y861" s="59">
        <v>2</v>
      </c>
      <c r="Z861" s="59">
        <f t="shared" si="256"/>
        <v>0</v>
      </c>
      <c r="AA861" s="59">
        <f>IF('Updated Dummy'!Y861=2,1,0)</f>
        <v>1</v>
      </c>
      <c r="AB861" s="59">
        <f t="shared" si="257"/>
        <v>0</v>
      </c>
      <c r="AC861" s="59">
        <f t="shared" si="258"/>
        <v>0</v>
      </c>
      <c r="AD861" s="59">
        <f t="shared" si="259"/>
        <v>0</v>
      </c>
      <c r="AE861" s="59">
        <f t="shared" si="260"/>
        <v>0</v>
      </c>
      <c r="AF861" s="59">
        <f t="shared" si="261"/>
        <v>0</v>
      </c>
      <c r="AG861" s="59">
        <f t="shared" si="262"/>
        <v>0</v>
      </c>
      <c r="AH861" s="59">
        <v>4</v>
      </c>
      <c r="AI861" s="59">
        <v>2</v>
      </c>
      <c r="AJ861" s="59">
        <f t="shared" si="263"/>
        <v>0</v>
      </c>
      <c r="AK861" s="59">
        <f t="shared" si="264"/>
        <v>1</v>
      </c>
      <c r="AL861" s="59">
        <v>2168</v>
      </c>
      <c r="AM861" s="59">
        <v>26933</v>
      </c>
      <c r="AN861" s="59">
        <v>0</v>
      </c>
      <c r="AO861" s="59">
        <v>1</v>
      </c>
      <c r="AP861" s="59">
        <v>18</v>
      </c>
      <c r="AQ861" s="59">
        <v>3</v>
      </c>
      <c r="AR861" s="59">
        <v>1</v>
      </c>
      <c r="AS861" s="59">
        <v>80</v>
      </c>
      <c r="AT861" s="59">
        <v>1</v>
      </c>
      <c r="AU861" s="59">
        <v>6</v>
      </c>
      <c r="AV861" s="59">
        <v>2</v>
      </c>
      <c r="AW861" s="59">
        <v>2</v>
      </c>
      <c r="AX861" s="59">
        <v>5</v>
      </c>
      <c r="AY861" s="59">
        <v>4</v>
      </c>
      <c r="AZ861" s="59">
        <v>1</v>
      </c>
      <c r="BA861" s="59">
        <v>3</v>
      </c>
      <c r="BB861" s="57">
        <f t="shared" si="265"/>
        <v>2168</v>
      </c>
    </row>
    <row r="862" spans="1:54" x14ac:dyDescent="0.25">
      <c r="A862" s="58">
        <v>22</v>
      </c>
      <c r="B862" s="59">
        <v>1</v>
      </c>
      <c r="C862" s="59">
        <v>2</v>
      </c>
      <c r="D862" s="59">
        <f t="shared" si="247"/>
        <v>0</v>
      </c>
      <c r="E862" s="59">
        <f t="shared" si="248"/>
        <v>1</v>
      </c>
      <c r="F862" s="59">
        <v>1256</v>
      </c>
      <c r="G862" s="59">
        <v>2</v>
      </c>
      <c r="H862" s="59">
        <f t="shared" si="249"/>
        <v>0</v>
      </c>
      <c r="I862" s="59">
        <f t="shared" si="250"/>
        <v>1</v>
      </c>
      <c r="J862" s="59">
        <v>3</v>
      </c>
      <c r="K862" s="59">
        <v>4</v>
      </c>
      <c r="L862" s="59">
        <v>1</v>
      </c>
      <c r="M862" s="59">
        <f t="shared" si="251"/>
        <v>1</v>
      </c>
      <c r="N862" s="59">
        <f t="shared" si="252"/>
        <v>0</v>
      </c>
      <c r="O862" s="59">
        <f t="shared" si="253"/>
        <v>0</v>
      </c>
      <c r="P862" s="59">
        <f t="shared" si="254"/>
        <v>0</v>
      </c>
      <c r="Q862" s="59">
        <f t="shared" si="255"/>
        <v>0</v>
      </c>
      <c r="R862" s="59">
        <v>1</v>
      </c>
      <c r="S862" s="59">
        <v>1203</v>
      </c>
      <c r="T862" s="59">
        <v>3</v>
      </c>
      <c r="U862" s="59">
        <v>1</v>
      </c>
      <c r="V862" s="59">
        <v>48</v>
      </c>
      <c r="W862" s="59">
        <v>2</v>
      </c>
      <c r="X862" s="59">
        <v>1</v>
      </c>
      <c r="Y862" s="59">
        <v>2</v>
      </c>
      <c r="Z862" s="59">
        <f t="shared" si="256"/>
        <v>0</v>
      </c>
      <c r="AA862" s="59">
        <f>IF('Updated Dummy'!Y862=2,1,0)</f>
        <v>1</v>
      </c>
      <c r="AB862" s="59">
        <f t="shared" si="257"/>
        <v>0</v>
      </c>
      <c r="AC862" s="59">
        <f t="shared" si="258"/>
        <v>0</v>
      </c>
      <c r="AD862" s="59">
        <f t="shared" si="259"/>
        <v>0</v>
      </c>
      <c r="AE862" s="59">
        <f t="shared" si="260"/>
        <v>0</v>
      </c>
      <c r="AF862" s="59">
        <f t="shared" si="261"/>
        <v>0</v>
      </c>
      <c r="AG862" s="59">
        <f t="shared" si="262"/>
        <v>0</v>
      </c>
      <c r="AH862" s="59">
        <v>4</v>
      </c>
      <c r="AI862" s="59">
        <v>2</v>
      </c>
      <c r="AJ862" s="59">
        <f t="shared" si="263"/>
        <v>0</v>
      </c>
      <c r="AK862" s="59">
        <f t="shared" si="264"/>
        <v>1</v>
      </c>
      <c r="AL862" s="59">
        <v>2853</v>
      </c>
      <c r="AM862" s="59">
        <v>4223</v>
      </c>
      <c r="AN862" s="59">
        <v>0</v>
      </c>
      <c r="AO862" s="59">
        <v>1</v>
      </c>
      <c r="AP862" s="59">
        <v>11</v>
      </c>
      <c r="AQ862" s="59">
        <v>3</v>
      </c>
      <c r="AR862" s="59">
        <v>2</v>
      </c>
      <c r="AS862" s="59">
        <v>80</v>
      </c>
      <c r="AT862" s="59">
        <v>1</v>
      </c>
      <c r="AU862" s="59">
        <v>1</v>
      </c>
      <c r="AV862" s="59">
        <v>5</v>
      </c>
      <c r="AW862" s="59">
        <v>3</v>
      </c>
      <c r="AX862" s="59">
        <v>0</v>
      </c>
      <c r="AY862" s="59">
        <v>0</v>
      </c>
      <c r="AZ862" s="59">
        <v>0</v>
      </c>
      <c r="BA862" s="59">
        <v>0</v>
      </c>
      <c r="BB862" s="57">
        <f t="shared" si="265"/>
        <v>2853</v>
      </c>
    </row>
    <row r="863" spans="1:54" x14ac:dyDescent="0.25">
      <c r="A863" s="58">
        <v>46</v>
      </c>
      <c r="B863" s="59">
        <v>0</v>
      </c>
      <c r="C863" s="59">
        <v>1</v>
      </c>
      <c r="D863" s="59">
        <f t="shared" si="247"/>
        <v>1</v>
      </c>
      <c r="E863" s="59">
        <f t="shared" si="248"/>
        <v>0</v>
      </c>
      <c r="F863" s="59">
        <v>1402</v>
      </c>
      <c r="G863" s="59">
        <v>1</v>
      </c>
      <c r="H863" s="59">
        <f t="shared" si="249"/>
        <v>1</v>
      </c>
      <c r="I863" s="59">
        <f t="shared" si="250"/>
        <v>0</v>
      </c>
      <c r="J863" s="59">
        <v>2</v>
      </c>
      <c r="K863" s="59">
        <v>3</v>
      </c>
      <c r="L863" s="59">
        <v>4</v>
      </c>
      <c r="M863" s="59">
        <f t="shared" si="251"/>
        <v>0</v>
      </c>
      <c r="N863" s="59">
        <f t="shared" si="252"/>
        <v>0</v>
      </c>
      <c r="O863" s="59">
        <f t="shared" si="253"/>
        <v>0</v>
      </c>
      <c r="P863" s="59">
        <f t="shared" si="254"/>
        <v>1</v>
      </c>
      <c r="Q863" s="59">
        <f t="shared" si="255"/>
        <v>0</v>
      </c>
      <c r="R863" s="59">
        <v>1</v>
      </c>
      <c r="S863" s="59">
        <v>1204</v>
      </c>
      <c r="T863" s="59">
        <v>3</v>
      </c>
      <c r="U863" s="59">
        <v>0</v>
      </c>
      <c r="V863" s="59">
        <v>69</v>
      </c>
      <c r="W863" s="59">
        <v>3</v>
      </c>
      <c r="X863" s="59">
        <v>4</v>
      </c>
      <c r="Y863" s="59">
        <v>6</v>
      </c>
      <c r="Z863" s="59">
        <f t="shared" si="256"/>
        <v>0</v>
      </c>
      <c r="AA863" s="59">
        <f>IF('Updated Dummy'!Y863=2,1,0)</f>
        <v>0</v>
      </c>
      <c r="AB863" s="59">
        <f t="shared" si="257"/>
        <v>0</v>
      </c>
      <c r="AC863" s="59">
        <f t="shared" si="258"/>
        <v>0</v>
      </c>
      <c r="AD863" s="59">
        <f t="shared" si="259"/>
        <v>0</v>
      </c>
      <c r="AE863" s="59">
        <f t="shared" si="260"/>
        <v>1</v>
      </c>
      <c r="AF863" s="59">
        <f t="shared" si="261"/>
        <v>0</v>
      </c>
      <c r="AG863" s="59">
        <f t="shared" si="262"/>
        <v>0</v>
      </c>
      <c r="AH863" s="59">
        <v>1</v>
      </c>
      <c r="AI863" s="59">
        <v>2</v>
      </c>
      <c r="AJ863" s="59">
        <f t="shared" si="263"/>
        <v>0</v>
      </c>
      <c r="AK863" s="59">
        <f t="shared" si="264"/>
        <v>1</v>
      </c>
      <c r="AL863" s="59">
        <v>17048</v>
      </c>
      <c r="AM863" s="59">
        <v>24097</v>
      </c>
      <c r="AN863" s="59">
        <v>8</v>
      </c>
      <c r="AO863" s="59">
        <v>0</v>
      </c>
      <c r="AP863" s="59">
        <v>23</v>
      </c>
      <c r="AQ863" s="59">
        <v>4</v>
      </c>
      <c r="AR863" s="59">
        <v>1</v>
      </c>
      <c r="AS863" s="59">
        <v>80</v>
      </c>
      <c r="AT863" s="59">
        <v>0</v>
      </c>
      <c r="AU863" s="59">
        <v>28</v>
      </c>
      <c r="AV863" s="59">
        <v>2</v>
      </c>
      <c r="AW863" s="59">
        <v>3</v>
      </c>
      <c r="AX863" s="59">
        <v>26</v>
      </c>
      <c r="AY863" s="59">
        <v>15</v>
      </c>
      <c r="AZ863" s="59">
        <v>15</v>
      </c>
      <c r="BA863" s="59">
        <v>9</v>
      </c>
      <c r="BB863" s="57">
        <f t="shared" si="265"/>
        <v>68192</v>
      </c>
    </row>
    <row r="864" spans="1:54" x14ac:dyDescent="0.25">
      <c r="A864" s="58">
        <v>44</v>
      </c>
      <c r="B864" s="59">
        <v>0</v>
      </c>
      <c r="C864" s="59">
        <v>3</v>
      </c>
      <c r="D864" s="59">
        <f t="shared" si="247"/>
        <v>0</v>
      </c>
      <c r="E864" s="59">
        <f t="shared" si="248"/>
        <v>0</v>
      </c>
      <c r="F864" s="59">
        <v>111</v>
      </c>
      <c r="G864" s="59">
        <v>2</v>
      </c>
      <c r="H864" s="59">
        <f t="shared" si="249"/>
        <v>0</v>
      </c>
      <c r="I864" s="59">
        <f t="shared" si="250"/>
        <v>1</v>
      </c>
      <c r="J864" s="59">
        <v>17</v>
      </c>
      <c r="K864" s="59">
        <v>3</v>
      </c>
      <c r="L864" s="59">
        <v>1</v>
      </c>
      <c r="M864" s="59">
        <f t="shared" si="251"/>
        <v>1</v>
      </c>
      <c r="N864" s="59">
        <f t="shared" si="252"/>
        <v>0</v>
      </c>
      <c r="O864" s="59">
        <f t="shared" si="253"/>
        <v>0</v>
      </c>
      <c r="P864" s="59">
        <f t="shared" si="254"/>
        <v>0</v>
      </c>
      <c r="Q864" s="59">
        <f t="shared" si="255"/>
        <v>0</v>
      </c>
      <c r="R864" s="59">
        <v>1</v>
      </c>
      <c r="S864" s="59">
        <v>1206</v>
      </c>
      <c r="T864" s="59">
        <v>4</v>
      </c>
      <c r="U864" s="59">
        <v>1</v>
      </c>
      <c r="V864" s="59">
        <v>74</v>
      </c>
      <c r="W864" s="59">
        <v>1</v>
      </c>
      <c r="X864" s="59">
        <v>1</v>
      </c>
      <c r="Y864" s="59">
        <v>2</v>
      </c>
      <c r="Z864" s="59">
        <f t="shared" si="256"/>
        <v>0</v>
      </c>
      <c r="AA864" s="59">
        <f>IF('Updated Dummy'!Y864=2,1,0)</f>
        <v>1</v>
      </c>
      <c r="AB864" s="59">
        <f t="shared" si="257"/>
        <v>0</v>
      </c>
      <c r="AC864" s="59">
        <f t="shared" si="258"/>
        <v>0</v>
      </c>
      <c r="AD864" s="59">
        <f t="shared" si="259"/>
        <v>0</v>
      </c>
      <c r="AE864" s="59">
        <f t="shared" si="260"/>
        <v>0</v>
      </c>
      <c r="AF864" s="59">
        <f t="shared" si="261"/>
        <v>0</v>
      </c>
      <c r="AG864" s="59">
        <f t="shared" si="262"/>
        <v>0</v>
      </c>
      <c r="AH864" s="59">
        <v>3</v>
      </c>
      <c r="AI864" s="59">
        <v>1</v>
      </c>
      <c r="AJ864" s="59">
        <f t="shared" si="263"/>
        <v>1</v>
      </c>
      <c r="AK864" s="59">
        <f t="shared" si="264"/>
        <v>0</v>
      </c>
      <c r="AL864" s="59">
        <v>2290</v>
      </c>
      <c r="AM864" s="59">
        <v>4279</v>
      </c>
      <c r="AN864" s="59">
        <v>2</v>
      </c>
      <c r="AO864" s="59">
        <v>0</v>
      </c>
      <c r="AP864" s="59">
        <v>13</v>
      </c>
      <c r="AQ864" s="59">
        <v>3</v>
      </c>
      <c r="AR864" s="59">
        <v>4</v>
      </c>
      <c r="AS864" s="59">
        <v>80</v>
      </c>
      <c r="AT864" s="59">
        <v>0</v>
      </c>
      <c r="AU864" s="59">
        <v>6</v>
      </c>
      <c r="AV864" s="59">
        <v>3</v>
      </c>
      <c r="AW864" s="59">
        <v>3</v>
      </c>
      <c r="AX864" s="59">
        <v>0</v>
      </c>
      <c r="AY864" s="59">
        <v>0</v>
      </c>
      <c r="AZ864" s="59">
        <v>0</v>
      </c>
      <c r="BA864" s="59">
        <v>0</v>
      </c>
      <c r="BB864" s="57">
        <f t="shared" si="265"/>
        <v>2290</v>
      </c>
    </row>
    <row r="865" spans="1:54" x14ac:dyDescent="0.25">
      <c r="A865" s="58">
        <v>33</v>
      </c>
      <c r="B865" s="59">
        <v>0</v>
      </c>
      <c r="C865" s="59">
        <v>1</v>
      </c>
      <c r="D865" s="59">
        <f t="shared" si="247"/>
        <v>1</v>
      </c>
      <c r="E865" s="59">
        <f t="shared" si="248"/>
        <v>0</v>
      </c>
      <c r="F865" s="59">
        <v>147</v>
      </c>
      <c r="G865" s="59">
        <v>3</v>
      </c>
      <c r="H865" s="59">
        <f t="shared" si="249"/>
        <v>0</v>
      </c>
      <c r="I865" s="59">
        <f t="shared" si="250"/>
        <v>0</v>
      </c>
      <c r="J865" s="59">
        <v>2</v>
      </c>
      <c r="K865" s="59">
        <v>3</v>
      </c>
      <c r="L865" s="59">
        <v>2</v>
      </c>
      <c r="M865" s="59">
        <f t="shared" si="251"/>
        <v>0</v>
      </c>
      <c r="N865" s="59">
        <f t="shared" si="252"/>
        <v>1</v>
      </c>
      <c r="O865" s="59">
        <f t="shared" si="253"/>
        <v>0</v>
      </c>
      <c r="P865" s="59">
        <f t="shared" si="254"/>
        <v>0</v>
      </c>
      <c r="Q865" s="59">
        <f t="shared" si="255"/>
        <v>0</v>
      </c>
      <c r="R865" s="59">
        <v>1</v>
      </c>
      <c r="S865" s="59">
        <v>1207</v>
      </c>
      <c r="T865" s="59">
        <v>2</v>
      </c>
      <c r="U865" s="59">
        <v>1</v>
      </c>
      <c r="V865" s="59">
        <v>99</v>
      </c>
      <c r="W865" s="59">
        <v>3</v>
      </c>
      <c r="X865" s="59">
        <v>1</v>
      </c>
      <c r="Y865" s="59">
        <v>9</v>
      </c>
      <c r="Z865" s="59">
        <f t="shared" si="256"/>
        <v>0</v>
      </c>
      <c r="AA865" s="59">
        <f>IF('Updated Dummy'!Y865=2,1,0)</f>
        <v>0</v>
      </c>
      <c r="AB865" s="59">
        <f t="shared" si="257"/>
        <v>0</v>
      </c>
      <c r="AC865" s="59">
        <f t="shared" si="258"/>
        <v>0</v>
      </c>
      <c r="AD865" s="59">
        <f t="shared" si="259"/>
        <v>0</v>
      </c>
      <c r="AE865" s="59">
        <f t="shared" si="260"/>
        <v>0</v>
      </c>
      <c r="AF865" s="59">
        <f t="shared" si="261"/>
        <v>0</v>
      </c>
      <c r="AG865" s="59">
        <f t="shared" si="262"/>
        <v>0</v>
      </c>
      <c r="AH865" s="59">
        <v>3</v>
      </c>
      <c r="AI865" s="59">
        <v>2</v>
      </c>
      <c r="AJ865" s="59">
        <f t="shared" si="263"/>
        <v>0</v>
      </c>
      <c r="AK865" s="59">
        <f t="shared" si="264"/>
        <v>1</v>
      </c>
      <c r="AL865" s="59">
        <v>3600</v>
      </c>
      <c r="AM865" s="59">
        <v>8429</v>
      </c>
      <c r="AN865" s="59">
        <v>1</v>
      </c>
      <c r="AO865" s="59">
        <v>0</v>
      </c>
      <c r="AP865" s="59">
        <v>13</v>
      </c>
      <c r="AQ865" s="59">
        <v>3</v>
      </c>
      <c r="AR865" s="59">
        <v>4</v>
      </c>
      <c r="AS865" s="59">
        <v>80</v>
      </c>
      <c r="AT865" s="59">
        <v>1</v>
      </c>
      <c r="AU865" s="59">
        <v>5</v>
      </c>
      <c r="AV865" s="59">
        <v>2</v>
      </c>
      <c r="AW865" s="59">
        <v>3</v>
      </c>
      <c r="AX865" s="59">
        <v>5</v>
      </c>
      <c r="AY865" s="59">
        <v>4</v>
      </c>
      <c r="AZ865" s="59">
        <v>1</v>
      </c>
      <c r="BA865" s="59">
        <v>4</v>
      </c>
      <c r="BB865" s="57">
        <f t="shared" si="265"/>
        <v>3600</v>
      </c>
    </row>
    <row r="866" spans="1:54" x14ac:dyDescent="0.25">
      <c r="A866" s="58">
        <v>41</v>
      </c>
      <c r="B866" s="59">
        <v>1</v>
      </c>
      <c r="C866" s="59">
        <v>3</v>
      </c>
      <c r="D866" s="59">
        <f t="shared" si="247"/>
        <v>0</v>
      </c>
      <c r="E866" s="59">
        <f t="shared" si="248"/>
        <v>0</v>
      </c>
      <c r="F866" s="59">
        <v>906</v>
      </c>
      <c r="G866" s="59">
        <v>2</v>
      </c>
      <c r="H866" s="59">
        <f t="shared" si="249"/>
        <v>0</v>
      </c>
      <c r="I866" s="59">
        <f t="shared" si="250"/>
        <v>1</v>
      </c>
      <c r="J866" s="59">
        <v>5</v>
      </c>
      <c r="K866" s="59">
        <v>2</v>
      </c>
      <c r="L866" s="59">
        <v>1</v>
      </c>
      <c r="M866" s="59">
        <f t="shared" si="251"/>
        <v>1</v>
      </c>
      <c r="N866" s="59">
        <f t="shared" si="252"/>
        <v>0</v>
      </c>
      <c r="O866" s="59">
        <f t="shared" si="253"/>
        <v>0</v>
      </c>
      <c r="P866" s="59">
        <f t="shared" si="254"/>
        <v>0</v>
      </c>
      <c r="Q866" s="59">
        <f t="shared" si="255"/>
        <v>0</v>
      </c>
      <c r="R866" s="59">
        <v>1</v>
      </c>
      <c r="S866" s="59">
        <v>1210</v>
      </c>
      <c r="T866" s="59">
        <v>1</v>
      </c>
      <c r="U866" s="59">
        <v>1</v>
      </c>
      <c r="V866" s="59">
        <v>95</v>
      </c>
      <c r="W866" s="59">
        <v>2</v>
      </c>
      <c r="X866" s="59">
        <v>1</v>
      </c>
      <c r="Y866" s="59">
        <v>2</v>
      </c>
      <c r="Z866" s="59">
        <f t="shared" si="256"/>
        <v>0</v>
      </c>
      <c r="AA866" s="59">
        <f>IF('Updated Dummy'!Y866=2,1,0)</f>
        <v>1</v>
      </c>
      <c r="AB866" s="59">
        <f t="shared" si="257"/>
        <v>0</v>
      </c>
      <c r="AC866" s="59">
        <f t="shared" si="258"/>
        <v>0</v>
      </c>
      <c r="AD866" s="59">
        <f t="shared" si="259"/>
        <v>0</v>
      </c>
      <c r="AE866" s="59">
        <f t="shared" si="260"/>
        <v>0</v>
      </c>
      <c r="AF866" s="59">
        <f t="shared" si="261"/>
        <v>0</v>
      </c>
      <c r="AG866" s="59">
        <f t="shared" si="262"/>
        <v>0</v>
      </c>
      <c r="AH866" s="59">
        <v>1</v>
      </c>
      <c r="AI866" s="59">
        <v>3</v>
      </c>
      <c r="AJ866" s="59">
        <f t="shared" si="263"/>
        <v>0</v>
      </c>
      <c r="AK866" s="59">
        <f t="shared" si="264"/>
        <v>0</v>
      </c>
      <c r="AL866" s="59">
        <v>2107</v>
      </c>
      <c r="AM866" s="59">
        <v>20293</v>
      </c>
      <c r="AN866" s="59">
        <v>6</v>
      </c>
      <c r="AO866" s="59">
        <v>0</v>
      </c>
      <c r="AP866" s="59">
        <v>17</v>
      </c>
      <c r="AQ866" s="59">
        <v>3</v>
      </c>
      <c r="AR866" s="59">
        <v>1</v>
      </c>
      <c r="AS866" s="59">
        <v>80</v>
      </c>
      <c r="AT866" s="59">
        <v>1</v>
      </c>
      <c r="AU866" s="59">
        <v>5</v>
      </c>
      <c r="AV866" s="59">
        <v>2</v>
      </c>
      <c r="AW866" s="59">
        <v>1</v>
      </c>
      <c r="AX866" s="59">
        <v>1</v>
      </c>
      <c r="AY866" s="59">
        <v>0</v>
      </c>
      <c r="AZ866" s="59">
        <v>0</v>
      </c>
      <c r="BA866" s="59">
        <v>0</v>
      </c>
      <c r="BB866" s="57">
        <f t="shared" si="265"/>
        <v>2107</v>
      </c>
    </row>
    <row r="867" spans="1:54" x14ac:dyDescent="0.25">
      <c r="A867" s="58">
        <v>30</v>
      </c>
      <c r="B867" s="59">
        <v>0</v>
      </c>
      <c r="C867" s="59">
        <v>1</v>
      </c>
      <c r="D867" s="59">
        <f t="shared" si="247"/>
        <v>1</v>
      </c>
      <c r="E867" s="59">
        <f t="shared" si="248"/>
        <v>0</v>
      </c>
      <c r="F867" s="59">
        <v>1329</v>
      </c>
      <c r="G867" s="59">
        <v>1</v>
      </c>
      <c r="H867" s="59">
        <f t="shared" si="249"/>
        <v>1</v>
      </c>
      <c r="I867" s="59">
        <f t="shared" si="250"/>
        <v>0</v>
      </c>
      <c r="J867" s="59">
        <v>29</v>
      </c>
      <c r="K867" s="59">
        <v>4</v>
      </c>
      <c r="L867" s="59">
        <v>1</v>
      </c>
      <c r="M867" s="59">
        <f t="shared" si="251"/>
        <v>1</v>
      </c>
      <c r="N867" s="59">
        <f t="shared" si="252"/>
        <v>0</v>
      </c>
      <c r="O867" s="59">
        <f t="shared" si="253"/>
        <v>0</v>
      </c>
      <c r="P867" s="59">
        <f t="shared" si="254"/>
        <v>0</v>
      </c>
      <c r="Q867" s="59">
        <f t="shared" si="255"/>
        <v>0</v>
      </c>
      <c r="R867" s="59">
        <v>1</v>
      </c>
      <c r="S867" s="59">
        <v>1211</v>
      </c>
      <c r="T867" s="59">
        <v>3</v>
      </c>
      <c r="U867" s="59">
        <v>1</v>
      </c>
      <c r="V867" s="59">
        <v>61</v>
      </c>
      <c r="W867" s="59">
        <v>3</v>
      </c>
      <c r="X867" s="59">
        <v>2</v>
      </c>
      <c r="Y867" s="59">
        <v>1</v>
      </c>
      <c r="Z867" s="59">
        <f t="shared" si="256"/>
        <v>1</v>
      </c>
      <c r="AA867" s="59">
        <f>IF('Updated Dummy'!Y867=2,1,0)</f>
        <v>0</v>
      </c>
      <c r="AB867" s="59">
        <f t="shared" si="257"/>
        <v>0</v>
      </c>
      <c r="AC867" s="59">
        <f t="shared" si="258"/>
        <v>0</v>
      </c>
      <c r="AD867" s="59">
        <f t="shared" si="259"/>
        <v>0</v>
      </c>
      <c r="AE867" s="59">
        <f t="shared" si="260"/>
        <v>0</v>
      </c>
      <c r="AF867" s="59">
        <f t="shared" si="261"/>
        <v>0</v>
      </c>
      <c r="AG867" s="59">
        <f t="shared" si="262"/>
        <v>0</v>
      </c>
      <c r="AH867" s="59">
        <v>1</v>
      </c>
      <c r="AI867" s="59">
        <v>3</v>
      </c>
      <c r="AJ867" s="59">
        <f t="shared" si="263"/>
        <v>0</v>
      </c>
      <c r="AK867" s="59">
        <f t="shared" si="264"/>
        <v>0</v>
      </c>
      <c r="AL867" s="59">
        <v>4115</v>
      </c>
      <c r="AM867" s="59">
        <v>13192</v>
      </c>
      <c r="AN867" s="59">
        <v>8</v>
      </c>
      <c r="AO867" s="59">
        <v>0</v>
      </c>
      <c r="AP867" s="59">
        <v>19</v>
      </c>
      <c r="AQ867" s="59">
        <v>3</v>
      </c>
      <c r="AR867" s="59">
        <v>3</v>
      </c>
      <c r="AS867" s="59">
        <v>80</v>
      </c>
      <c r="AT867" s="59">
        <v>3</v>
      </c>
      <c r="AU867" s="59">
        <v>8</v>
      </c>
      <c r="AV867" s="59">
        <v>3</v>
      </c>
      <c r="AW867" s="59">
        <v>3</v>
      </c>
      <c r="AX867" s="59">
        <v>4</v>
      </c>
      <c r="AY867" s="59">
        <v>3</v>
      </c>
      <c r="AZ867" s="59">
        <v>0</v>
      </c>
      <c r="BA867" s="59">
        <v>3</v>
      </c>
      <c r="BB867" s="57">
        <f t="shared" si="265"/>
        <v>8230</v>
      </c>
    </row>
    <row r="868" spans="1:54" x14ac:dyDescent="0.25">
      <c r="A868" s="58">
        <v>40</v>
      </c>
      <c r="B868" s="59">
        <v>0</v>
      </c>
      <c r="C868" s="59">
        <v>2</v>
      </c>
      <c r="D868" s="59">
        <f t="shared" si="247"/>
        <v>0</v>
      </c>
      <c r="E868" s="59">
        <f t="shared" si="248"/>
        <v>1</v>
      </c>
      <c r="F868" s="59">
        <v>1184</v>
      </c>
      <c r="G868" s="59">
        <v>1</v>
      </c>
      <c r="H868" s="59">
        <f t="shared" si="249"/>
        <v>1</v>
      </c>
      <c r="I868" s="59">
        <f t="shared" si="250"/>
        <v>0</v>
      </c>
      <c r="J868" s="59">
        <v>2</v>
      </c>
      <c r="K868" s="59">
        <v>4</v>
      </c>
      <c r="L868" s="59">
        <v>3</v>
      </c>
      <c r="M868" s="59">
        <f t="shared" si="251"/>
        <v>0</v>
      </c>
      <c r="N868" s="59">
        <f t="shared" si="252"/>
        <v>0</v>
      </c>
      <c r="O868" s="59">
        <f t="shared" si="253"/>
        <v>1</v>
      </c>
      <c r="P868" s="59">
        <f t="shared" si="254"/>
        <v>0</v>
      </c>
      <c r="Q868" s="59">
        <f t="shared" si="255"/>
        <v>0</v>
      </c>
      <c r="R868" s="59">
        <v>1</v>
      </c>
      <c r="S868" s="59">
        <v>1212</v>
      </c>
      <c r="T868" s="59">
        <v>2</v>
      </c>
      <c r="U868" s="59">
        <v>1</v>
      </c>
      <c r="V868" s="59">
        <v>62</v>
      </c>
      <c r="W868" s="59">
        <v>3</v>
      </c>
      <c r="X868" s="59">
        <v>2</v>
      </c>
      <c r="Y868" s="59">
        <v>1</v>
      </c>
      <c r="Z868" s="59">
        <f t="shared" si="256"/>
        <v>1</v>
      </c>
      <c r="AA868" s="59">
        <f>IF('Updated Dummy'!Y868=2,1,0)</f>
        <v>0</v>
      </c>
      <c r="AB868" s="59">
        <f t="shared" si="257"/>
        <v>0</v>
      </c>
      <c r="AC868" s="59">
        <f t="shared" si="258"/>
        <v>0</v>
      </c>
      <c r="AD868" s="59">
        <f t="shared" si="259"/>
        <v>0</v>
      </c>
      <c r="AE868" s="59">
        <f t="shared" si="260"/>
        <v>0</v>
      </c>
      <c r="AF868" s="59">
        <f t="shared" si="261"/>
        <v>0</v>
      </c>
      <c r="AG868" s="59">
        <f t="shared" si="262"/>
        <v>0</v>
      </c>
      <c r="AH868" s="59">
        <v>2</v>
      </c>
      <c r="AI868" s="59">
        <v>2</v>
      </c>
      <c r="AJ868" s="59">
        <f t="shared" si="263"/>
        <v>0</v>
      </c>
      <c r="AK868" s="59">
        <f t="shared" si="264"/>
        <v>1</v>
      </c>
      <c r="AL868" s="59">
        <v>4327</v>
      </c>
      <c r="AM868" s="59">
        <v>25440</v>
      </c>
      <c r="AN868" s="59">
        <v>5</v>
      </c>
      <c r="AO868" s="59">
        <v>0</v>
      </c>
      <c r="AP868" s="59">
        <v>12</v>
      </c>
      <c r="AQ868" s="59">
        <v>3</v>
      </c>
      <c r="AR868" s="59">
        <v>4</v>
      </c>
      <c r="AS868" s="59">
        <v>80</v>
      </c>
      <c r="AT868" s="59">
        <v>3</v>
      </c>
      <c r="AU868" s="59">
        <v>5</v>
      </c>
      <c r="AV868" s="59">
        <v>2</v>
      </c>
      <c r="AW868" s="59">
        <v>3</v>
      </c>
      <c r="AX868" s="59">
        <v>0</v>
      </c>
      <c r="AY868" s="59">
        <v>0</v>
      </c>
      <c r="AZ868" s="59">
        <v>0</v>
      </c>
      <c r="BA868" s="59">
        <v>0</v>
      </c>
      <c r="BB868" s="57">
        <f t="shared" si="265"/>
        <v>8654</v>
      </c>
    </row>
    <row r="869" spans="1:54" x14ac:dyDescent="0.25">
      <c r="A869" s="58">
        <v>50</v>
      </c>
      <c r="B869" s="59">
        <v>0</v>
      </c>
      <c r="C869" s="59">
        <v>2</v>
      </c>
      <c r="D869" s="59">
        <f t="shared" si="247"/>
        <v>0</v>
      </c>
      <c r="E869" s="59">
        <f t="shared" si="248"/>
        <v>1</v>
      </c>
      <c r="F869" s="59">
        <v>1421</v>
      </c>
      <c r="G869" s="59">
        <v>2</v>
      </c>
      <c r="H869" s="59">
        <f t="shared" si="249"/>
        <v>0</v>
      </c>
      <c r="I869" s="59">
        <f t="shared" si="250"/>
        <v>1</v>
      </c>
      <c r="J869" s="59">
        <v>2</v>
      </c>
      <c r="K869" s="59">
        <v>3</v>
      </c>
      <c r="L869" s="59">
        <v>3</v>
      </c>
      <c r="M869" s="59">
        <f t="shared" si="251"/>
        <v>0</v>
      </c>
      <c r="N869" s="59">
        <f t="shared" si="252"/>
        <v>0</v>
      </c>
      <c r="O869" s="59">
        <f t="shared" si="253"/>
        <v>1</v>
      </c>
      <c r="P869" s="59">
        <f t="shared" si="254"/>
        <v>0</v>
      </c>
      <c r="Q869" s="59">
        <f t="shared" si="255"/>
        <v>0</v>
      </c>
      <c r="R869" s="59">
        <v>1</v>
      </c>
      <c r="S869" s="59">
        <v>1215</v>
      </c>
      <c r="T869" s="59">
        <v>4</v>
      </c>
      <c r="U869" s="59">
        <v>0</v>
      </c>
      <c r="V869" s="59">
        <v>30</v>
      </c>
      <c r="W869" s="59">
        <v>3</v>
      </c>
      <c r="X869" s="59">
        <v>4</v>
      </c>
      <c r="Y869" s="59">
        <v>6</v>
      </c>
      <c r="Z869" s="59">
        <f t="shared" si="256"/>
        <v>0</v>
      </c>
      <c r="AA869" s="59">
        <f>IF('Updated Dummy'!Y869=2,1,0)</f>
        <v>0</v>
      </c>
      <c r="AB869" s="59">
        <f t="shared" si="257"/>
        <v>0</v>
      </c>
      <c r="AC869" s="59">
        <f t="shared" si="258"/>
        <v>0</v>
      </c>
      <c r="AD869" s="59">
        <f t="shared" si="259"/>
        <v>0</v>
      </c>
      <c r="AE869" s="59">
        <f t="shared" si="260"/>
        <v>1</v>
      </c>
      <c r="AF869" s="59">
        <f t="shared" si="261"/>
        <v>0</v>
      </c>
      <c r="AG869" s="59">
        <f t="shared" si="262"/>
        <v>0</v>
      </c>
      <c r="AH869" s="59">
        <v>1</v>
      </c>
      <c r="AI869" s="59">
        <v>2</v>
      </c>
      <c r="AJ869" s="59">
        <f t="shared" si="263"/>
        <v>0</v>
      </c>
      <c r="AK869" s="59">
        <f t="shared" si="264"/>
        <v>1</v>
      </c>
      <c r="AL869" s="59">
        <v>17856</v>
      </c>
      <c r="AM869" s="59">
        <v>9490</v>
      </c>
      <c r="AN869" s="59">
        <v>2</v>
      </c>
      <c r="AO869" s="59">
        <v>0</v>
      </c>
      <c r="AP869" s="59">
        <v>22</v>
      </c>
      <c r="AQ869" s="59">
        <v>4</v>
      </c>
      <c r="AR869" s="59">
        <v>3</v>
      </c>
      <c r="AS869" s="59">
        <v>80</v>
      </c>
      <c r="AT869" s="59">
        <v>1</v>
      </c>
      <c r="AU869" s="59">
        <v>32</v>
      </c>
      <c r="AV869" s="59">
        <v>3</v>
      </c>
      <c r="AW869" s="59">
        <v>3</v>
      </c>
      <c r="AX869" s="59">
        <v>2</v>
      </c>
      <c r="AY869" s="59">
        <v>2</v>
      </c>
      <c r="AZ869" s="59">
        <v>2</v>
      </c>
      <c r="BA869" s="59">
        <v>2</v>
      </c>
      <c r="BB869" s="57">
        <f t="shared" si="265"/>
        <v>71424</v>
      </c>
    </row>
    <row r="870" spans="1:54" x14ac:dyDescent="0.25">
      <c r="A870" s="58">
        <v>28</v>
      </c>
      <c r="B870" s="59">
        <v>0</v>
      </c>
      <c r="C870" s="59">
        <v>1</v>
      </c>
      <c r="D870" s="59">
        <f t="shared" si="247"/>
        <v>1</v>
      </c>
      <c r="E870" s="59">
        <f t="shared" si="248"/>
        <v>0</v>
      </c>
      <c r="F870" s="59">
        <v>1179</v>
      </c>
      <c r="G870" s="59">
        <v>2</v>
      </c>
      <c r="H870" s="59">
        <f t="shared" si="249"/>
        <v>0</v>
      </c>
      <c r="I870" s="59">
        <f t="shared" si="250"/>
        <v>1</v>
      </c>
      <c r="J870" s="59">
        <v>19</v>
      </c>
      <c r="K870" s="59">
        <v>4</v>
      </c>
      <c r="L870" s="59">
        <v>3</v>
      </c>
      <c r="M870" s="59">
        <f t="shared" si="251"/>
        <v>0</v>
      </c>
      <c r="N870" s="59">
        <f t="shared" si="252"/>
        <v>0</v>
      </c>
      <c r="O870" s="59">
        <f t="shared" si="253"/>
        <v>1</v>
      </c>
      <c r="P870" s="59">
        <f t="shared" si="254"/>
        <v>0</v>
      </c>
      <c r="Q870" s="59">
        <f t="shared" si="255"/>
        <v>0</v>
      </c>
      <c r="R870" s="59">
        <v>1</v>
      </c>
      <c r="S870" s="59">
        <v>1216</v>
      </c>
      <c r="T870" s="59">
        <v>4</v>
      </c>
      <c r="U870" s="59">
        <v>1</v>
      </c>
      <c r="V870" s="59">
        <v>78</v>
      </c>
      <c r="W870" s="59">
        <v>2</v>
      </c>
      <c r="X870" s="59">
        <v>1</v>
      </c>
      <c r="Y870" s="59">
        <v>3</v>
      </c>
      <c r="Z870" s="59">
        <f t="shared" si="256"/>
        <v>0</v>
      </c>
      <c r="AA870" s="59">
        <f>IF('Updated Dummy'!Y870=2,1,0)</f>
        <v>0</v>
      </c>
      <c r="AB870" s="59">
        <f t="shared" si="257"/>
        <v>1</v>
      </c>
      <c r="AC870" s="59">
        <f t="shared" si="258"/>
        <v>0</v>
      </c>
      <c r="AD870" s="59">
        <f t="shared" si="259"/>
        <v>0</v>
      </c>
      <c r="AE870" s="59">
        <f t="shared" si="260"/>
        <v>0</v>
      </c>
      <c r="AF870" s="59">
        <f t="shared" si="261"/>
        <v>0</v>
      </c>
      <c r="AG870" s="59">
        <f t="shared" si="262"/>
        <v>0</v>
      </c>
      <c r="AH870" s="59">
        <v>1</v>
      </c>
      <c r="AI870" s="59">
        <v>2</v>
      </c>
      <c r="AJ870" s="59">
        <f t="shared" si="263"/>
        <v>0</v>
      </c>
      <c r="AK870" s="59">
        <f t="shared" si="264"/>
        <v>1</v>
      </c>
      <c r="AL870" s="59">
        <v>3196</v>
      </c>
      <c r="AM870" s="59">
        <v>12449</v>
      </c>
      <c r="AN870" s="59">
        <v>1</v>
      </c>
      <c r="AO870" s="59">
        <v>0</v>
      </c>
      <c r="AP870" s="59">
        <v>12</v>
      </c>
      <c r="AQ870" s="59">
        <v>3</v>
      </c>
      <c r="AR870" s="59">
        <v>3</v>
      </c>
      <c r="AS870" s="59">
        <v>80</v>
      </c>
      <c r="AT870" s="59">
        <v>3</v>
      </c>
      <c r="AU870" s="59">
        <v>6</v>
      </c>
      <c r="AV870" s="59">
        <v>2</v>
      </c>
      <c r="AW870" s="59">
        <v>3</v>
      </c>
      <c r="AX870" s="59">
        <v>6</v>
      </c>
      <c r="AY870" s="59">
        <v>5</v>
      </c>
      <c r="AZ870" s="59">
        <v>3</v>
      </c>
      <c r="BA870" s="59">
        <v>3</v>
      </c>
      <c r="BB870" s="57">
        <f t="shared" si="265"/>
        <v>3196</v>
      </c>
    </row>
    <row r="871" spans="1:54" x14ac:dyDescent="0.25">
      <c r="A871" s="58">
        <v>46</v>
      </c>
      <c r="B871" s="59">
        <v>0</v>
      </c>
      <c r="C871" s="59">
        <v>1</v>
      </c>
      <c r="D871" s="59">
        <f t="shared" si="247"/>
        <v>1</v>
      </c>
      <c r="E871" s="59">
        <f t="shared" si="248"/>
        <v>0</v>
      </c>
      <c r="F871" s="59">
        <v>1450</v>
      </c>
      <c r="G871" s="59">
        <v>2</v>
      </c>
      <c r="H871" s="59">
        <f t="shared" si="249"/>
        <v>0</v>
      </c>
      <c r="I871" s="59">
        <f t="shared" si="250"/>
        <v>1</v>
      </c>
      <c r="J871" s="59">
        <v>15</v>
      </c>
      <c r="K871" s="59">
        <v>2</v>
      </c>
      <c r="L871" s="59">
        <v>1</v>
      </c>
      <c r="M871" s="59">
        <f t="shared" si="251"/>
        <v>1</v>
      </c>
      <c r="N871" s="59">
        <f t="shared" si="252"/>
        <v>0</v>
      </c>
      <c r="O871" s="59">
        <f t="shared" si="253"/>
        <v>0</v>
      </c>
      <c r="P871" s="59">
        <f t="shared" si="254"/>
        <v>0</v>
      </c>
      <c r="Q871" s="59">
        <f t="shared" si="255"/>
        <v>0</v>
      </c>
      <c r="R871" s="59">
        <v>1</v>
      </c>
      <c r="S871" s="59">
        <v>1217</v>
      </c>
      <c r="T871" s="59">
        <v>4</v>
      </c>
      <c r="U871" s="59">
        <v>1</v>
      </c>
      <c r="V871" s="59">
        <v>52</v>
      </c>
      <c r="W871" s="59">
        <v>3</v>
      </c>
      <c r="X871" s="59">
        <v>5</v>
      </c>
      <c r="Y871" s="59">
        <v>8</v>
      </c>
      <c r="Z871" s="59">
        <f t="shared" si="256"/>
        <v>0</v>
      </c>
      <c r="AA871" s="59">
        <f>IF('Updated Dummy'!Y871=2,1,0)</f>
        <v>0</v>
      </c>
      <c r="AB871" s="59">
        <f t="shared" si="257"/>
        <v>0</v>
      </c>
      <c r="AC871" s="59">
        <f t="shared" si="258"/>
        <v>0</v>
      </c>
      <c r="AD871" s="59">
        <f t="shared" si="259"/>
        <v>0</v>
      </c>
      <c r="AE871" s="59">
        <f t="shared" si="260"/>
        <v>0</v>
      </c>
      <c r="AF871" s="59">
        <f t="shared" si="261"/>
        <v>0</v>
      </c>
      <c r="AG871" s="59">
        <f t="shared" si="262"/>
        <v>1</v>
      </c>
      <c r="AH871" s="59">
        <v>2</v>
      </c>
      <c r="AI871" s="59">
        <v>2</v>
      </c>
      <c r="AJ871" s="59">
        <f t="shared" si="263"/>
        <v>0</v>
      </c>
      <c r="AK871" s="59">
        <f t="shared" si="264"/>
        <v>1</v>
      </c>
      <c r="AL871" s="59">
        <v>19081</v>
      </c>
      <c r="AM871" s="59">
        <v>10849</v>
      </c>
      <c r="AN871" s="59">
        <v>5</v>
      </c>
      <c r="AO871" s="59">
        <v>0</v>
      </c>
      <c r="AP871" s="59">
        <v>11</v>
      </c>
      <c r="AQ871" s="59">
        <v>3</v>
      </c>
      <c r="AR871" s="59">
        <v>1</v>
      </c>
      <c r="AS871" s="59">
        <v>80</v>
      </c>
      <c r="AT871" s="59">
        <v>1</v>
      </c>
      <c r="AU871" s="59">
        <v>25</v>
      </c>
      <c r="AV871" s="59">
        <v>2</v>
      </c>
      <c r="AW871" s="59">
        <v>3</v>
      </c>
      <c r="AX871" s="59">
        <v>4</v>
      </c>
      <c r="AY871" s="59">
        <v>2</v>
      </c>
      <c r="AZ871" s="59">
        <v>0</v>
      </c>
      <c r="BA871" s="59">
        <v>3</v>
      </c>
      <c r="BB871" s="57">
        <f t="shared" si="265"/>
        <v>95405</v>
      </c>
    </row>
    <row r="872" spans="1:54" x14ac:dyDescent="0.25">
      <c r="A872" s="58">
        <v>35</v>
      </c>
      <c r="B872" s="59">
        <v>0</v>
      </c>
      <c r="C872" s="59">
        <v>1</v>
      </c>
      <c r="D872" s="59">
        <f t="shared" si="247"/>
        <v>1</v>
      </c>
      <c r="E872" s="59">
        <f t="shared" si="248"/>
        <v>0</v>
      </c>
      <c r="F872" s="59">
        <v>1361</v>
      </c>
      <c r="G872" s="59">
        <v>1</v>
      </c>
      <c r="H872" s="59">
        <f t="shared" si="249"/>
        <v>1</v>
      </c>
      <c r="I872" s="59">
        <f t="shared" si="250"/>
        <v>0</v>
      </c>
      <c r="J872" s="59">
        <v>17</v>
      </c>
      <c r="K872" s="59">
        <v>4</v>
      </c>
      <c r="L872" s="59">
        <v>1</v>
      </c>
      <c r="M872" s="59">
        <f t="shared" si="251"/>
        <v>1</v>
      </c>
      <c r="N872" s="59">
        <f t="shared" si="252"/>
        <v>0</v>
      </c>
      <c r="O872" s="59">
        <f t="shared" si="253"/>
        <v>0</v>
      </c>
      <c r="P872" s="59">
        <f t="shared" si="254"/>
        <v>0</v>
      </c>
      <c r="Q872" s="59">
        <f t="shared" si="255"/>
        <v>0</v>
      </c>
      <c r="R872" s="59">
        <v>1</v>
      </c>
      <c r="S872" s="59">
        <v>1218</v>
      </c>
      <c r="T872" s="59">
        <v>3</v>
      </c>
      <c r="U872" s="59">
        <v>1</v>
      </c>
      <c r="V872" s="59">
        <v>94</v>
      </c>
      <c r="W872" s="59">
        <v>3</v>
      </c>
      <c r="X872" s="59">
        <v>2</v>
      </c>
      <c r="Y872" s="59">
        <v>1</v>
      </c>
      <c r="Z872" s="59">
        <f t="shared" si="256"/>
        <v>1</v>
      </c>
      <c r="AA872" s="59">
        <f>IF('Updated Dummy'!Y872=2,1,0)</f>
        <v>0</v>
      </c>
      <c r="AB872" s="59">
        <f t="shared" si="257"/>
        <v>0</v>
      </c>
      <c r="AC872" s="59">
        <f t="shared" si="258"/>
        <v>0</v>
      </c>
      <c r="AD872" s="59">
        <f t="shared" si="259"/>
        <v>0</v>
      </c>
      <c r="AE872" s="59">
        <f t="shared" si="260"/>
        <v>0</v>
      </c>
      <c r="AF872" s="59">
        <f t="shared" si="261"/>
        <v>0</v>
      </c>
      <c r="AG872" s="59">
        <f t="shared" si="262"/>
        <v>0</v>
      </c>
      <c r="AH872" s="59">
        <v>1</v>
      </c>
      <c r="AI872" s="59">
        <v>2</v>
      </c>
      <c r="AJ872" s="59">
        <f t="shared" si="263"/>
        <v>0</v>
      </c>
      <c r="AK872" s="59">
        <f t="shared" si="264"/>
        <v>1</v>
      </c>
      <c r="AL872" s="59">
        <v>8966</v>
      </c>
      <c r="AM872" s="59">
        <v>21026</v>
      </c>
      <c r="AN872" s="59">
        <v>3</v>
      </c>
      <c r="AO872" s="59">
        <v>1</v>
      </c>
      <c r="AP872" s="59">
        <v>15</v>
      </c>
      <c r="AQ872" s="59">
        <v>3</v>
      </c>
      <c r="AR872" s="59">
        <v>4</v>
      </c>
      <c r="AS872" s="59">
        <v>80</v>
      </c>
      <c r="AT872" s="59">
        <v>3</v>
      </c>
      <c r="AU872" s="59">
        <v>15</v>
      </c>
      <c r="AV872" s="59">
        <v>2</v>
      </c>
      <c r="AW872" s="59">
        <v>3</v>
      </c>
      <c r="AX872" s="59">
        <v>7</v>
      </c>
      <c r="AY872" s="59">
        <v>7</v>
      </c>
      <c r="AZ872" s="59">
        <v>1</v>
      </c>
      <c r="BA872" s="59">
        <v>7</v>
      </c>
      <c r="BB872" s="57">
        <f t="shared" si="265"/>
        <v>17932</v>
      </c>
    </row>
    <row r="873" spans="1:54" x14ac:dyDescent="0.25">
      <c r="A873" s="58">
        <v>24</v>
      </c>
      <c r="B873" s="59">
        <v>1</v>
      </c>
      <c r="C873" s="59">
        <v>1</v>
      </c>
      <c r="D873" s="59">
        <f t="shared" si="247"/>
        <v>1</v>
      </c>
      <c r="E873" s="59">
        <f t="shared" si="248"/>
        <v>0</v>
      </c>
      <c r="F873" s="59">
        <v>984</v>
      </c>
      <c r="G873" s="59">
        <v>2</v>
      </c>
      <c r="H873" s="59">
        <f t="shared" si="249"/>
        <v>0</v>
      </c>
      <c r="I873" s="59">
        <f t="shared" si="250"/>
        <v>1</v>
      </c>
      <c r="J873" s="59">
        <v>17</v>
      </c>
      <c r="K873" s="59">
        <v>2</v>
      </c>
      <c r="L873" s="59">
        <v>1</v>
      </c>
      <c r="M873" s="59">
        <f t="shared" si="251"/>
        <v>1</v>
      </c>
      <c r="N873" s="59">
        <f t="shared" si="252"/>
        <v>0</v>
      </c>
      <c r="O873" s="59">
        <f t="shared" si="253"/>
        <v>0</v>
      </c>
      <c r="P873" s="59">
        <f t="shared" si="254"/>
        <v>0</v>
      </c>
      <c r="Q873" s="59">
        <f t="shared" si="255"/>
        <v>0</v>
      </c>
      <c r="R873" s="59">
        <v>1</v>
      </c>
      <c r="S873" s="59">
        <v>1219</v>
      </c>
      <c r="T873" s="59">
        <v>4</v>
      </c>
      <c r="U873" s="59">
        <v>0</v>
      </c>
      <c r="V873" s="59">
        <v>97</v>
      </c>
      <c r="W873" s="59">
        <v>3</v>
      </c>
      <c r="X873" s="59">
        <v>1</v>
      </c>
      <c r="Y873" s="59">
        <v>3</v>
      </c>
      <c r="Z873" s="59">
        <f t="shared" si="256"/>
        <v>0</v>
      </c>
      <c r="AA873" s="59">
        <f>IF('Updated Dummy'!Y873=2,1,0)</f>
        <v>0</v>
      </c>
      <c r="AB873" s="59">
        <f t="shared" si="257"/>
        <v>1</v>
      </c>
      <c r="AC873" s="59">
        <f t="shared" si="258"/>
        <v>0</v>
      </c>
      <c r="AD873" s="59">
        <f t="shared" si="259"/>
        <v>0</v>
      </c>
      <c r="AE873" s="59">
        <f t="shared" si="260"/>
        <v>0</v>
      </c>
      <c r="AF873" s="59">
        <f t="shared" si="261"/>
        <v>0</v>
      </c>
      <c r="AG873" s="59">
        <f t="shared" si="262"/>
        <v>0</v>
      </c>
      <c r="AH873" s="59">
        <v>2</v>
      </c>
      <c r="AI873" s="59">
        <v>2</v>
      </c>
      <c r="AJ873" s="59">
        <f t="shared" si="263"/>
        <v>0</v>
      </c>
      <c r="AK873" s="59">
        <f t="shared" si="264"/>
        <v>1</v>
      </c>
      <c r="AL873" s="59">
        <v>2210</v>
      </c>
      <c r="AM873" s="59">
        <v>3372</v>
      </c>
      <c r="AN873" s="59">
        <v>1</v>
      </c>
      <c r="AO873" s="59">
        <v>0</v>
      </c>
      <c r="AP873" s="59">
        <v>13</v>
      </c>
      <c r="AQ873" s="59">
        <v>3</v>
      </c>
      <c r="AR873" s="59">
        <v>1</v>
      </c>
      <c r="AS873" s="59">
        <v>80</v>
      </c>
      <c r="AT873" s="59">
        <v>1</v>
      </c>
      <c r="AU873" s="59">
        <v>1</v>
      </c>
      <c r="AV873" s="59">
        <v>3</v>
      </c>
      <c r="AW873" s="59">
        <v>1</v>
      </c>
      <c r="AX873" s="59">
        <v>1</v>
      </c>
      <c r="AY873" s="59">
        <v>0</v>
      </c>
      <c r="AZ873" s="59">
        <v>0</v>
      </c>
      <c r="BA873" s="59">
        <v>0</v>
      </c>
      <c r="BB873" s="57">
        <f t="shared" si="265"/>
        <v>2210</v>
      </c>
    </row>
    <row r="874" spans="1:54" x14ac:dyDescent="0.25">
      <c r="A874" s="58">
        <v>33</v>
      </c>
      <c r="B874" s="59">
        <v>0</v>
      </c>
      <c r="C874" s="59">
        <v>2</v>
      </c>
      <c r="D874" s="59">
        <f t="shared" si="247"/>
        <v>0</v>
      </c>
      <c r="E874" s="59">
        <f t="shared" si="248"/>
        <v>1</v>
      </c>
      <c r="F874" s="59">
        <v>1146</v>
      </c>
      <c r="G874" s="59">
        <v>1</v>
      </c>
      <c r="H874" s="59">
        <f t="shared" si="249"/>
        <v>1</v>
      </c>
      <c r="I874" s="59">
        <f t="shared" si="250"/>
        <v>0</v>
      </c>
      <c r="J874" s="59">
        <v>25</v>
      </c>
      <c r="K874" s="59">
        <v>3</v>
      </c>
      <c r="L874" s="59">
        <v>3</v>
      </c>
      <c r="M874" s="59">
        <f t="shared" si="251"/>
        <v>0</v>
      </c>
      <c r="N874" s="59">
        <f t="shared" si="252"/>
        <v>0</v>
      </c>
      <c r="O874" s="59">
        <f t="shared" si="253"/>
        <v>1</v>
      </c>
      <c r="P874" s="59">
        <f t="shared" si="254"/>
        <v>0</v>
      </c>
      <c r="Q874" s="59">
        <f t="shared" si="255"/>
        <v>0</v>
      </c>
      <c r="R874" s="59">
        <v>1</v>
      </c>
      <c r="S874" s="59">
        <v>1220</v>
      </c>
      <c r="T874" s="59">
        <v>2</v>
      </c>
      <c r="U874" s="59">
        <v>0</v>
      </c>
      <c r="V874" s="59">
        <v>82</v>
      </c>
      <c r="W874" s="59">
        <v>3</v>
      </c>
      <c r="X874" s="59">
        <v>2</v>
      </c>
      <c r="Y874" s="59">
        <v>1</v>
      </c>
      <c r="Z874" s="59">
        <f t="shared" si="256"/>
        <v>1</v>
      </c>
      <c r="AA874" s="59">
        <f>IF('Updated Dummy'!Y874=2,1,0)</f>
        <v>0</v>
      </c>
      <c r="AB874" s="59">
        <f t="shared" si="257"/>
        <v>0</v>
      </c>
      <c r="AC874" s="59">
        <f t="shared" si="258"/>
        <v>0</v>
      </c>
      <c r="AD874" s="59">
        <f t="shared" si="259"/>
        <v>0</v>
      </c>
      <c r="AE874" s="59">
        <f t="shared" si="260"/>
        <v>0</v>
      </c>
      <c r="AF874" s="59">
        <f t="shared" si="261"/>
        <v>0</v>
      </c>
      <c r="AG874" s="59">
        <f t="shared" si="262"/>
        <v>0</v>
      </c>
      <c r="AH874" s="59">
        <v>3</v>
      </c>
      <c r="AI874" s="59">
        <v>2</v>
      </c>
      <c r="AJ874" s="59">
        <f t="shared" si="263"/>
        <v>0</v>
      </c>
      <c r="AK874" s="59">
        <f t="shared" si="264"/>
        <v>1</v>
      </c>
      <c r="AL874" s="59">
        <v>4539</v>
      </c>
      <c r="AM874" s="59">
        <v>4905</v>
      </c>
      <c r="AN874" s="59">
        <v>1</v>
      </c>
      <c r="AO874" s="59">
        <v>0</v>
      </c>
      <c r="AP874" s="59">
        <v>12</v>
      </c>
      <c r="AQ874" s="59">
        <v>3</v>
      </c>
      <c r="AR874" s="59">
        <v>1</v>
      </c>
      <c r="AS874" s="59">
        <v>80</v>
      </c>
      <c r="AT874" s="59">
        <v>1</v>
      </c>
      <c r="AU874" s="59">
        <v>10</v>
      </c>
      <c r="AV874" s="59">
        <v>3</v>
      </c>
      <c r="AW874" s="59">
        <v>2</v>
      </c>
      <c r="AX874" s="59">
        <v>10</v>
      </c>
      <c r="AY874" s="59">
        <v>7</v>
      </c>
      <c r="AZ874" s="59">
        <v>0</v>
      </c>
      <c r="BA874" s="59">
        <v>1</v>
      </c>
      <c r="BB874" s="57">
        <f t="shared" si="265"/>
        <v>9078</v>
      </c>
    </row>
    <row r="875" spans="1:54" x14ac:dyDescent="0.25">
      <c r="A875" s="58">
        <v>36</v>
      </c>
      <c r="B875" s="59">
        <v>0</v>
      </c>
      <c r="C875" s="59">
        <v>1</v>
      </c>
      <c r="D875" s="59">
        <f t="shared" si="247"/>
        <v>1</v>
      </c>
      <c r="E875" s="59">
        <f t="shared" si="248"/>
        <v>0</v>
      </c>
      <c r="F875" s="59">
        <v>917</v>
      </c>
      <c r="G875" s="59">
        <v>2</v>
      </c>
      <c r="H875" s="59">
        <f t="shared" si="249"/>
        <v>0</v>
      </c>
      <c r="I875" s="59">
        <f t="shared" si="250"/>
        <v>1</v>
      </c>
      <c r="J875" s="59">
        <v>6</v>
      </c>
      <c r="K875" s="59">
        <v>4</v>
      </c>
      <c r="L875" s="59">
        <v>1</v>
      </c>
      <c r="M875" s="59">
        <f t="shared" si="251"/>
        <v>1</v>
      </c>
      <c r="N875" s="59">
        <f t="shared" si="252"/>
        <v>0</v>
      </c>
      <c r="O875" s="59">
        <f t="shared" si="253"/>
        <v>0</v>
      </c>
      <c r="P875" s="59">
        <f t="shared" si="254"/>
        <v>0</v>
      </c>
      <c r="Q875" s="59">
        <f t="shared" si="255"/>
        <v>0</v>
      </c>
      <c r="R875" s="59">
        <v>1</v>
      </c>
      <c r="S875" s="59">
        <v>1221</v>
      </c>
      <c r="T875" s="59">
        <v>3</v>
      </c>
      <c r="U875" s="59">
        <v>1</v>
      </c>
      <c r="V875" s="59">
        <v>60</v>
      </c>
      <c r="W875" s="59">
        <v>1</v>
      </c>
      <c r="X875" s="59">
        <v>1</v>
      </c>
      <c r="Y875" s="59">
        <v>3</v>
      </c>
      <c r="Z875" s="59">
        <f t="shared" si="256"/>
        <v>0</v>
      </c>
      <c r="AA875" s="59">
        <f>IF('Updated Dummy'!Y875=2,1,0)</f>
        <v>0</v>
      </c>
      <c r="AB875" s="59">
        <f t="shared" si="257"/>
        <v>1</v>
      </c>
      <c r="AC875" s="59">
        <f t="shared" si="258"/>
        <v>0</v>
      </c>
      <c r="AD875" s="59">
        <f t="shared" si="259"/>
        <v>0</v>
      </c>
      <c r="AE875" s="59">
        <f t="shared" si="260"/>
        <v>0</v>
      </c>
      <c r="AF875" s="59">
        <f t="shared" si="261"/>
        <v>0</v>
      </c>
      <c r="AG875" s="59">
        <f t="shared" si="262"/>
        <v>0</v>
      </c>
      <c r="AH875" s="59">
        <v>3</v>
      </c>
      <c r="AI875" s="59">
        <v>3</v>
      </c>
      <c r="AJ875" s="59">
        <f t="shared" si="263"/>
        <v>0</v>
      </c>
      <c r="AK875" s="59">
        <f t="shared" si="264"/>
        <v>0</v>
      </c>
      <c r="AL875" s="59">
        <v>2741</v>
      </c>
      <c r="AM875" s="59">
        <v>6865</v>
      </c>
      <c r="AN875" s="59">
        <v>1</v>
      </c>
      <c r="AO875" s="59">
        <v>0</v>
      </c>
      <c r="AP875" s="59">
        <v>14</v>
      </c>
      <c r="AQ875" s="59">
        <v>3</v>
      </c>
      <c r="AR875" s="59">
        <v>3</v>
      </c>
      <c r="AS875" s="59">
        <v>80</v>
      </c>
      <c r="AT875" s="59">
        <v>1</v>
      </c>
      <c r="AU875" s="59">
        <v>7</v>
      </c>
      <c r="AV875" s="59">
        <v>4</v>
      </c>
      <c r="AW875" s="59">
        <v>3</v>
      </c>
      <c r="AX875" s="59">
        <v>7</v>
      </c>
      <c r="AY875" s="59">
        <v>7</v>
      </c>
      <c r="AZ875" s="59">
        <v>1</v>
      </c>
      <c r="BA875" s="59">
        <v>7</v>
      </c>
      <c r="BB875" s="57">
        <f t="shared" si="265"/>
        <v>2741</v>
      </c>
    </row>
    <row r="876" spans="1:54" x14ac:dyDescent="0.25">
      <c r="A876" s="58">
        <v>30</v>
      </c>
      <c r="B876" s="59">
        <v>0</v>
      </c>
      <c r="C876" s="59">
        <v>1</v>
      </c>
      <c r="D876" s="59">
        <f t="shared" si="247"/>
        <v>1</v>
      </c>
      <c r="E876" s="59">
        <f t="shared" si="248"/>
        <v>0</v>
      </c>
      <c r="F876" s="59">
        <v>853</v>
      </c>
      <c r="G876" s="59">
        <v>2</v>
      </c>
      <c r="H876" s="59">
        <f t="shared" si="249"/>
        <v>0</v>
      </c>
      <c r="I876" s="59">
        <f t="shared" si="250"/>
        <v>1</v>
      </c>
      <c r="J876" s="59">
        <v>7</v>
      </c>
      <c r="K876" s="59">
        <v>4</v>
      </c>
      <c r="L876" s="59">
        <v>1</v>
      </c>
      <c r="M876" s="59">
        <f t="shared" si="251"/>
        <v>1</v>
      </c>
      <c r="N876" s="59">
        <f t="shared" si="252"/>
        <v>0</v>
      </c>
      <c r="O876" s="59">
        <f t="shared" si="253"/>
        <v>0</v>
      </c>
      <c r="P876" s="59">
        <f t="shared" si="254"/>
        <v>0</v>
      </c>
      <c r="Q876" s="59">
        <f t="shared" si="255"/>
        <v>0</v>
      </c>
      <c r="R876" s="59">
        <v>1</v>
      </c>
      <c r="S876" s="59">
        <v>1224</v>
      </c>
      <c r="T876" s="59">
        <v>3</v>
      </c>
      <c r="U876" s="59">
        <v>1</v>
      </c>
      <c r="V876" s="59">
        <v>49</v>
      </c>
      <c r="W876" s="59">
        <v>3</v>
      </c>
      <c r="X876" s="59">
        <v>2</v>
      </c>
      <c r="Y876" s="59">
        <v>3</v>
      </c>
      <c r="Z876" s="59">
        <f t="shared" si="256"/>
        <v>0</v>
      </c>
      <c r="AA876" s="59">
        <f>IF('Updated Dummy'!Y876=2,1,0)</f>
        <v>0</v>
      </c>
      <c r="AB876" s="59">
        <f t="shared" si="257"/>
        <v>1</v>
      </c>
      <c r="AC876" s="59">
        <f t="shared" si="258"/>
        <v>0</v>
      </c>
      <c r="AD876" s="59">
        <f t="shared" si="259"/>
        <v>0</v>
      </c>
      <c r="AE876" s="59">
        <f t="shared" si="260"/>
        <v>0</v>
      </c>
      <c r="AF876" s="59">
        <f t="shared" si="261"/>
        <v>0</v>
      </c>
      <c r="AG876" s="59">
        <f t="shared" si="262"/>
        <v>0</v>
      </c>
      <c r="AH876" s="59">
        <v>3</v>
      </c>
      <c r="AI876" s="59">
        <v>3</v>
      </c>
      <c r="AJ876" s="59">
        <f t="shared" si="263"/>
        <v>0</v>
      </c>
      <c r="AK876" s="59">
        <f t="shared" si="264"/>
        <v>0</v>
      </c>
      <c r="AL876" s="59">
        <v>3491</v>
      </c>
      <c r="AM876" s="59">
        <v>11309</v>
      </c>
      <c r="AN876" s="59">
        <v>1</v>
      </c>
      <c r="AO876" s="59">
        <v>0</v>
      </c>
      <c r="AP876" s="59">
        <v>13</v>
      </c>
      <c r="AQ876" s="59">
        <v>3</v>
      </c>
      <c r="AR876" s="59">
        <v>1</v>
      </c>
      <c r="AS876" s="59">
        <v>80</v>
      </c>
      <c r="AT876" s="59">
        <v>3</v>
      </c>
      <c r="AU876" s="59">
        <v>10</v>
      </c>
      <c r="AV876" s="59">
        <v>4</v>
      </c>
      <c r="AW876" s="59">
        <v>2</v>
      </c>
      <c r="AX876" s="59">
        <v>10</v>
      </c>
      <c r="AY876" s="59">
        <v>7</v>
      </c>
      <c r="AZ876" s="59">
        <v>8</v>
      </c>
      <c r="BA876" s="59">
        <v>9</v>
      </c>
      <c r="BB876" s="57">
        <f t="shared" si="265"/>
        <v>6982</v>
      </c>
    </row>
    <row r="877" spans="1:54" x14ac:dyDescent="0.25">
      <c r="A877" s="58">
        <v>44</v>
      </c>
      <c r="B877" s="59">
        <v>0</v>
      </c>
      <c r="C877" s="59">
        <v>1</v>
      </c>
      <c r="D877" s="59">
        <f t="shared" si="247"/>
        <v>1</v>
      </c>
      <c r="E877" s="59">
        <f t="shared" si="248"/>
        <v>0</v>
      </c>
      <c r="F877" s="59">
        <v>200</v>
      </c>
      <c r="G877" s="59">
        <v>2</v>
      </c>
      <c r="H877" s="59">
        <f t="shared" si="249"/>
        <v>0</v>
      </c>
      <c r="I877" s="59">
        <f t="shared" si="250"/>
        <v>1</v>
      </c>
      <c r="J877" s="59">
        <v>29</v>
      </c>
      <c r="K877" s="59">
        <v>4</v>
      </c>
      <c r="L877" s="59">
        <v>6</v>
      </c>
      <c r="M877" s="59">
        <f t="shared" si="251"/>
        <v>0</v>
      </c>
      <c r="N877" s="59">
        <f t="shared" si="252"/>
        <v>0</v>
      </c>
      <c r="O877" s="59">
        <f t="shared" si="253"/>
        <v>0</v>
      </c>
      <c r="P877" s="59">
        <f t="shared" si="254"/>
        <v>0</v>
      </c>
      <c r="Q877" s="59">
        <f t="shared" si="255"/>
        <v>0</v>
      </c>
      <c r="R877" s="59">
        <v>1</v>
      </c>
      <c r="S877" s="59">
        <v>1225</v>
      </c>
      <c r="T877" s="59">
        <v>4</v>
      </c>
      <c r="U877" s="59">
        <v>1</v>
      </c>
      <c r="V877" s="59">
        <v>32</v>
      </c>
      <c r="W877" s="59">
        <v>3</v>
      </c>
      <c r="X877" s="59">
        <v>2</v>
      </c>
      <c r="Y877" s="59">
        <v>2</v>
      </c>
      <c r="Z877" s="59">
        <f t="shared" si="256"/>
        <v>0</v>
      </c>
      <c r="AA877" s="59">
        <f>IF('Updated Dummy'!Y877=2,1,0)</f>
        <v>1</v>
      </c>
      <c r="AB877" s="59">
        <f t="shared" si="257"/>
        <v>0</v>
      </c>
      <c r="AC877" s="59">
        <f t="shared" si="258"/>
        <v>0</v>
      </c>
      <c r="AD877" s="59">
        <f t="shared" si="259"/>
        <v>0</v>
      </c>
      <c r="AE877" s="59">
        <f t="shared" si="260"/>
        <v>0</v>
      </c>
      <c r="AF877" s="59">
        <f t="shared" si="261"/>
        <v>0</v>
      </c>
      <c r="AG877" s="59">
        <f t="shared" si="262"/>
        <v>0</v>
      </c>
      <c r="AH877" s="59">
        <v>4</v>
      </c>
      <c r="AI877" s="59">
        <v>1</v>
      </c>
      <c r="AJ877" s="59">
        <f t="shared" si="263"/>
        <v>1</v>
      </c>
      <c r="AK877" s="59">
        <f t="shared" si="264"/>
        <v>0</v>
      </c>
      <c r="AL877" s="59">
        <v>4541</v>
      </c>
      <c r="AM877" s="59">
        <v>7744</v>
      </c>
      <c r="AN877" s="59">
        <v>1</v>
      </c>
      <c r="AO877" s="59">
        <v>0</v>
      </c>
      <c r="AP877" s="59">
        <v>25</v>
      </c>
      <c r="AQ877" s="59">
        <v>4</v>
      </c>
      <c r="AR877" s="59">
        <v>2</v>
      </c>
      <c r="AS877" s="59">
        <v>80</v>
      </c>
      <c r="AT877" s="59">
        <v>0</v>
      </c>
      <c r="AU877" s="59">
        <v>20</v>
      </c>
      <c r="AV877" s="59">
        <v>3</v>
      </c>
      <c r="AW877" s="59">
        <v>3</v>
      </c>
      <c r="AX877" s="59">
        <v>20</v>
      </c>
      <c r="AY877" s="59">
        <v>11</v>
      </c>
      <c r="AZ877" s="59">
        <v>13</v>
      </c>
      <c r="BA877" s="59">
        <v>17</v>
      </c>
      <c r="BB877" s="57">
        <f t="shared" si="265"/>
        <v>9082</v>
      </c>
    </row>
    <row r="878" spans="1:54" x14ac:dyDescent="0.25">
      <c r="A878" s="58">
        <v>20</v>
      </c>
      <c r="B878" s="59">
        <v>0</v>
      </c>
      <c r="C878" s="59">
        <v>1</v>
      </c>
      <c r="D878" s="59">
        <f t="shared" si="247"/>
        <v>1</v>
      </c>
      <c r="E878" s="59">
        <f t="shared" si="248"/>
        <v>0</v>
      </c>
      <c r="F878" s="59">
        <v>654</v>
      </c>
      <c r="G878" s="59">
        <v>1</v>
      </c>
      <c r="H878" s="59">
        <f t="shared" si="249"/>
        <v>1</v>
      </c>
      <c r="I878" s="59">
        <f t="shared" si="250"/>
        <v>0</v>
      </c>
      <c r="J878" s="59">
        <v>21</v>
      </c>
      <c r="K878" s="59">
        <v>3</v>
      </c>
      <c r="L878" s="59">
        <v>4</v>
      </c>
      <c r="M878" s="59">
        <f t="shared" si="251"/>
        <v>0</v>
      </c>
      <c r="N878" s="59">
        <f t="shared" si="252"/>
        <v>0</v>
      </c>
      <c r="O878" s="59">
        <f t="shared" si="253"/>
        <v>0</v>
      </c>
      <c r="P878" s="59">
        <f t="shared" si="254"/>
        <v>1</v>
      </c>
      <c r="Q878" s="59">
        <f t="shared" si="255"/>
        <v>0</v>
      </c>
      <c r="R878" s="59">
        <v>1</v>
      </c>
      <c r="S878" s="59">
        <v>1226</v>
      </c>
      <c r="T878" s="59">
        <v>3</v>
      </c>
      <c r="U878" s="59">
        <v>1</v>
      </c>
      <c r="V878" s="59">
        <v>43</v>
      </c>
      <c r="W878" s="59">
        <v>4</v>
      </c>
      <c r="X878" s="59">
        <v>1</v>
      </c>
      <c r="Y878" s="59">
        <v>7</v>
      </c>
      <c r="Z878" s="59">
        <f t="shared" si="256"/>
        <v>0</v>
      </c>
      <c r="AA878" s="59">
        <f>IF('Updated Dummy'!Y878=2,1,0)</f>
        <v>0</v>
      </c>
      <c r="AB878" s="59">
        <f t="shared" si="257"/>
        <v>0</v>
      </c>
      <c r="AC878" s="59">
        <f t="shared" si="258"/>
        <v>0</v>
      </c>
      <c r="AD878" s="59">
        <f t="shared" si="259"/>
        <v>0</v>
      </c>
      <c r="AE878" s="59">
        <f t="shared" si="260"/>
        <v>0</v>
      </c>
      <c r="AF878" s="59">
        <f t="shared" si="261"/>
        <v>1</v>
      </c>
      <c r="AG878" s="59">
        <f t="shared" si="262"/>
        <v>0</v>
      </c>
      <c r="AH878" s="59">
        <v>4</v>
      </c>
      <c r="AI878" s="59">
        <v>1</v>
      </c>
      <c r="AJ878" s="59">
        <f t="shared" si="263"/>
        <v>1</v>
      </c>
      <c r="AK878" s="59">
        <f t="shared" si="264"/>
        <v>0</v>
      </c>
      <c r="AL878" s="59">
        <v>2678</v>
      </c>
      <c r="AM878" s="59">
        <v>5050</v>
      </c>
      <c r="AN878" s="59">
        <v>1</v>
      </c>
      <c r="AO878" s="59">
        <v>0</v>
      </c>
      <c r="AP878" s="59">
        <v>17</v>
      </c>
      <c r="AQ878" s="59">
        <v>3</v>
      </c>
      <c r="AR878" s="59">
        <v>4</v>
      </c>
      <c r="AS878" s="59">
        <v>80</v>
      </c>
      <c r="AT878" s="59">
        <v>0</v>
      </c>
      <c r="AU878" s="59">
        <v>2</v>
      </c>
      <c r="AV878" s="59">
        <v>2</v>
      </c>
      <c r="AW878" s="59">
        <v>3</v>
      </c>
      <c r="AX878" s="59">
        <v>2</v>
      </c>
      <c r="AY878" s="59">
        <v>1</v>
      </c>
      <c r="AZ878" s="59">
        <v>2</v>
      </c>
      <c r="BA878" s="59">
        <v>2</v>
      </c>
      <c r="BB878" s="57">
        <f t="shared" si="265"/>
        <v>2678</v>
      </c>
    </row>
    <row r="879" spans="1:54" x14ac:dyDescent="0.25">
      <c r="A879" s="58">
        <v>46</v>
      </c>
      <c r="B879" s="59">
        <v>0</v>
      </c>
      <c r="C879" s="59">
        <v>1</v>
      </c>
      <c r="D879" s="59">
        <f t="shared" si="247"/>
        <v>1</v>
      </c>
      <c r="E879" s="59">
        <f t="shared" si="248"/>
        <v>0</v>
      </c>
      <c r="F879" s="59">
        <v>150</v>
      </c>
      <c r="G879" s="59">
        <v>2</v>
      </c>
      <c r="H879" s="59">
        <f t="shared" si="249"/>
        <v>0</v>
      </c>
      <c r="I879" s="59">
        <f t="shared" si="250"/>
        <v>1</v>
      </c>
      <c r="J879" s="59">
        <v>2</v>
      </c>
      <c r="K879" s="59">
        <v>4</v>
      </c>
      <c r="L879" s="59">
        <v>5</v>
      </c>
      <c r="M879" s="59">
        <f t="shared" si="251"/>
        <v>0</v>
      </c>
      <c r="N879" s="59">
        <f t="shared" si="252"/>
        <v>0</v>
      </c>
      <c r="O879" s="59">
        <f t="shared" si="253"/>
        <v>0</v>
      </c>
      <c r="P879" s="59">
        <f t="shared" si="254"/>
        <v>0</v>
      </c>
      <c r="Q879" s="59">
        <f t="shared" si="255"/>
        <v>1</v>
      </c>
      <c r="R879" s="59">
        <v>1</v>
      </c>
      <c r="S879" s="59">
        <v>1228</v>
      </c>
      <c r="T879" s="59">
        <v>4</v>
      </c>
      <c r="U879" s="59">
        <v>1</v>
      </c>
      <c r="V879" s="59">
        <v>60</v>
      </c>
      <c r="W879" s="59">
        <v>3</v>
      </c>
      <c r="X879" s="59">
        <v>2</v>
      </c>
      <c r="Y879" s="59">
        <v>4</v>
      </c>
      <c r="Z879" s="59">
        <f t="shared" si="256"/>
        <v>0</v>
      </c>
      <c r="AA879" s="59">
        <f>IF('Updated Dummy'!Y879=2,1,0)</f>
        <v>0</v>
      </c>
      <c r="AB879" s="59">
        <f t="shared" si="257"/>
        <v>0</v>
      </c>
      <c r="AC879" s="59">
        <f t="shared" si="258"/>
        <v>1</v>
      </c>
      <c r="AD879" s="59">
        <f t="shared" si="259"/>
        <v>0</v>
      </c>
      <c r="AE879" s="59">
        <f t="shared" si="260"/>
        <v>0</v>
      </c>
      <c r="AF879" s="59">
        <f t="shared" si="261"/>
        <v>0</v>
      </c>
      <c r="AG879" s="59">
        <f t="shared" si="262"/>
        <v>0</v>
      </c>
      <c r="AH879" s="59">
        <v>4</v>
      </c>
      <c r="AI879" s="59">
        <v>3</v>
      </c>
      <c r="AJ879" s="59">
        <f t="shared" si="263"/>
        <v>0</v>
      </c>
      <c r="AK879" s="59">
        <f t="shared" si="264"/>
        <v>0</v>
      </c>
      <c r="AL879" s="59">
        <v>7379</v>
      </c>
      <c r="AM879" s="59">
        <v>17433</v>
      </c>
      <c r="AN879" s="59">
        <v>2</v>
      </c>
      <c r="AO879" s="59">
        <v>0</v>
      </c>
      <c r="AP879" s="59">
        <v>11</v>
      </c>
      <c r="AQ879" s="59">
        <v>3</v>
      </c>
      <c r="AR879" s="59">
        <v>3</v>
      </c>
      <c r="AS879" s="59">
        <v>80</v>
      </c>
      <c r="AT879" s="59">
        <v>1</v>
      </c>
      <c r="AU879" s="59">
        <v>12</v>
      </c>
      <c r="AV879" s="59">
        <v>3</v>
      </c>
      <c r="AW879" s="59">
        <v>2</v>
      </c>
      <c r="AX879" s="59">
        <v>6</v>
      </c>
      <c r="AY879" s="59">
        <v>3</v>
      </c>
      <c r="AZ879" s="59">
        <v>1</v>
      </c>
      <c r="BA879" s="59">
        <v>4</v>
      </c>
      <c r="BB879" s="57">
        <f t="shared" si="265"/>
        <v>14758</v>
      </c>
    </row>
    <row r="880" spans="1:54" x14ac:dyDescent="0.25">
      <c r="A880" s="58">
        <v>42</v>
      </c>
      <c r="B880" s="59">
        <v>0</v>
      </c>
      <c r="C880" s="59">
        <v>3</v>
      </c>
      <c r="D880" s="59">
        <f t="shared" si="247"/>
        <v>0</v>
      </c>
      <c r="E880" s="59">
        <f t="shared" si="248"/>
        <v>0</v>
      </c>
      <c r="F880" s="59">
        <v>179</v>
      </c>
      <c r="G880" s="59">
        <v>3</v>
      </c>
      <c r="H880" s="59">
        <f t="shared" si="249"/>
        <v>0</v>
      </c>
      <c r="I880" s="59">
        <f t="shared" si="250"/>
        <v>0</v>
      </c>
      <c r="J880" s="59">
        <v>2</v>
      </c>
      <c r="K880" s="59">
        <v>5</v>
      </c>
      <c r="L880" s="59">
        <v>3</v>
      </c>
      <c r="M880" s="59">
        <f t="shared" si="251"/>
        <v>0</v>
      </c>
      <c r="N880" s="59">
        <f t="shared" si="252"/>
        <v>0</v>
      </c>
      <c r="O880" s="59">
        <f t="shared" si="253"/>
        <v>1</v>
      </c>
      <c r="P880" s="59">
        <f t="shared" si="254"/>
        <v>0</v>
      </c>
      <c r="Q880" s="59">
        <f t="shared" si="255"/>
        <v>0</v>
      </c>
      <c r="R880" s="59">
        <v>1</v>
      </c>
      <c r="S880" s="59">
        <v>1231</v>
      </c>
      <c r="T880" s="59">
        <v>4</v>
      </c>
      <c r="U880" s="59">
        <v>1</v>
      </c>
      <c r="V880" s="59">
        <v>79</v>
      </c>
      <c r="W880" s="59">
        <v>4</v>
      </c>
      <c r="X880" s="59">
        <v>2</v>
      </c>
      <c r="Y880" s="59">
        <v>9</v>
      </c>
      <c r="Z880" s="59">
        <f t="shared" si="256"/>
        <v>0</v>
      </c>
      <c r="AA880" s="59">
        <f>IF('Updated Dummy'!Y880=2,1,0)</f>
        <v>0</v>
      </c>
      <c r="AB880" s="59">
        <f t="shared" si="257"/>
        <v>0</v>
      </c>
      <c r="AC880" s="59">
        <f t="shared" si="258"/>
        <v>0</v>
      </c>
      <c r="AD880" s="59">
        <f t="shared" si="259"/>
        <v>0</v>
      </c>
      <c r="AE880" s="59">
        <f t="shared" si="260"/>
        <v>0</v>
      </c>
      <c r="AF880" s="59">
        <f t="shared" si="261"/>
        <v>0</v>
      </c>
      <c r="AG880" s="59">
        <f t="shared" si="262"/>
        <v>0</v>
      </c>
      <c r="AH880" s="59">
        <v>1</v>
      </c>
      <c r="AI880" s="59">
        <v>2</v>
      </c>
      <c r="AJ880" s="59">
        <f t="shared" si="263"/>
        <v>0</v>
      </c>
      <c r="AK880" s="59">
        <f t="shared" si="264"/>
        <v>1</v>
      </c>
      <c r="AL880" s="59">
        <v>6272</v>
      </c>
      <c r="AM880" s="59">
        <v>12858</v>
      </c>
      <c r="AN880" s="59">
        <v>7</v>
      </c>
      <c r="AO880" s="59">
        <v>0</v>
      </c>
      <c r="AP880" s="59">
        <v>16</v>
      </c>
      <c r="AQ880" s="59">
        <v>3</v>
      </c>
      <c r="AR880" s="59">
        <v>1</v>
      </c>
      <c r="AS880" s="59">
        <v>80</v>
      </c>
      <c r="AT880" s="59">
        <v>1</v>
      </c>
      <c r="AU880" s="59">
        <v>10</v>
      </c>
      <c r="AV880" s="59">
        <v>3</v>
      </c>
      <c r="AW880" s="59">
        <v>4</v>
      </c>
      <c r="AX880" s="59">
        <v>4</v>
      </c>
      <c r="AY880" s="59">
        <v>3</v>
      </c>
      <c r="AZ880" s="59">
        <v>0</v>
      </c>
      <c r="BA880" s="59">
        <v>3</v>
      </c>
      <c r="BB880" s="57">
        <f t="shared" si="265"/>
        <v>12544</v>
      </c>
    </row>
    <row r="881" spans="1:54" x14ac:dyDescent="0.25">
      <c r="A881" s="58">
        <v>60</v>
      </c>
      <c r="B881" s="59">
        <v>0</v>
      </c>
      <c r="C881" s="59">
        <v>1</v>
      </c>
      <c r="D881" s="59">
        <f t="shared" si="247"/>
        <v>1</v>
      </c>
      <c r="E881" s="59">
        <f t="shared" si="248"/>
        <v>0</v>
      </c>
      <c r="F881" s="59">
        <v>696</v>
      </c>
      <c r="G881" s="59">
        <v>1</v>
      </c>
      <c r="H881" s="59">
        <f t="shared" si="249"/>
        <v>1</v>
      </c>
      <c r="I881" s="59">
        <f t="shared" si="250"/>
        <v>0</v>
      </c>
      <c r="J881" s="59">
        <v>7</v>
      </c>
      <c r="K881" s="59">
        <v>4</v>
      </c>
      <c r="L881" s="59">
        <v>4</v>
      </c>
      <c r="M881" s="59">
        <f t="shared" si="251"/>
        <v>0</v>
      </c>
      <c r="N881" s="59">
        <f t="shared" si="252"/>
        <v>0</v>
      </c>
      <c r="O881" s="59">
        <f t="shared" si="253"/>
        <v>0</v>
      </c>
      <c r="P881" s="59">
        <f t="shared" si="254"/>
        <v>1</v>
      </c>
      <c r="Q881" s="59">
        <f t="shared" si="255"/>
        <v>0</v>
      </c>
      <c r="R881" s="59">
        <v>1</v>
      </c>
      <c r="S881" s="59">
        <v>1233</v>
      </c>
      <c r="T881" s="59">
        <v>2</v>
      </c>
      <c r="U881" s="59">
        <v>1</v>
      </c>
      <c r="V881" s="59">
        <v>52</v>
      </c>
      <c r="W881" s="59">
        <v>4</v>
      </c>
      <c r="X881" s="59">
        <v>2</v>
      </c>
      <c r="Y881" s="59">
        <v>1</v>
      </c>
      <c r="Z881" s="59">
        <f t="shared" si="256"/>
        <v>1</v>
      </c>
      <c r="AA881" s="59">
        <f>IF('Updated Dummy'!Y881=2,1,0)</f>
        <v>0</v>
      </c>
      <c r="AB881" s="59">
        <f t="shared" si="257"/>
        <v>0</v>
      </c>
      <c r="AC881" s="59">
        <f t="shared" si="258"/>
        <v>0</v>
      </c>
      <c r="AD881" s="59">
        <f t="shared" si="259"/>
        <v>0</v>
      </c>
      <c r="AE881" s="59">
        <f t="shared" si="260"/>
        <v>0</v>
      </c>
      <c r="AF881" s="59">
        <f t="shared" si="261"/>
        <v>0</v>
      </c>
      <c r="AG881" s="59">
        <f t="shared" si="262"/>
        <v>0</v>
      </c>
      <c r="AH881" s="59">
        <v>4</v>
      </c>
      <c r="AI881" s="59">
        <v>3</v>
      </c>
      <c r="AJ881" s="59">
        <f t="shared" si="263"/>
        <v>0</v>
      </c>
      <c r="AK881" s="59">
        <f t="shared" si="264"/>
        <v>0</v>
      </c>
      <c r="AL881" s="59">
        <v>5220</v>
      </c>
      <c r="AM881" s="59">
        <v>10893</v>
      </c>
      <c r="AN881" s="59">
        <v>0</v>
      </c>
      <c r="AO881" s="59">
        <v>1</v>
      </c>
      <c r="AP881" s="59">
        <v>18</v>
      </c>
      <c r="AQ881" s="59">
        <v>3</v>
      </c>
      <c r="AR881" s="59">
        <v>2</v>
      </c>
      <c r="AS881" s="59">
        <v>80</v>
      </c>
      <c r="AT881" s="59">
        <v>1</v>
      </c>
      <c r="AU881" s="59">
        <v>12</v>
      </c>
      <c r="AV881" s="59">
        <v>3</v>
      </c>
      <c r="AW881" s="59">
        <v>3</v>
      </c>
      <c r="AX881" s="59">
        <v>11</v>
      </c>
      <c r="AY881" s="59">
        <v>7</v>
      </c>
      <c r="AZ881" s="59">
        <v>1</v>
      </c>
      <c r="BA881" s="59">
        <v>9</v>
      </c>
      <c r="BB881" s="57">
        <f t="shared" si="265"/>
        <v>10440</v>
      </c>
    </row>
    <row r="882" spans="1:54" x14ac:dyDescent="0.25">
      <c r="A882" s="58">
        <v>32</v>
      </c>
      <c r="B882" s="59">
        <v>0</v>
      </c>
      <c r="C882" s="59">
        <v>2</v>
      </c>
      <c r="D882" s="59">
        <f t="shared" si="247"/>
        <v>0</v>
      </c>
      <c r="E882" s="59">
        <f t="shared" si="248"/>
        <v>1</v>
      </c>
      <c r="F882" s="59">
        <v>116</v>
      </c>
      <c r="G882" s="59">
        <v>2</v>
      </c>
      <c r="H882" s="59">
        <f t="shared" si="249"/>
        <v>0</v>
      </c>
      <c r="I882" s="59">
        <f t="shared" si="250"/>
        <v>1</v>
      </c>
      <c r="J882" s="59">
        <v>13</v>
      </c>
      <c r="K882" s="59">
        <v>3</v>
      </c>
      <c r="L882" s="59">
        <v>6</v>
      </c>
      <c r="M882" s="59">
        <f t="shared" si="251"/>
        <v>0</v>
      </c>
      <c r="N882" s="59">
        <f t="shared" si="252"/>
        <v>0</v>
      </c>
      <c r="O882" s="59">
        <f t="shared" si="253"/>
        <v>0</v>
      </c>
      <c r="P882" s="59">
        <f t="shared" si="254"/>
        <v>0</v>
      </c>
      <c r="Q882" s="59">
        <f t="shared" si="255"/>
        <v>0</v>
      </c>
      <c r="R882" s="59">
        <v>1</v>
      </c>
      <c r="S882" s="59">
        <v>1234</v>
      </c>
      <c r="T882" s="59">
        <v>3</v>
      </c>
      <c r="U882" s="59">
        <v>0</v>
      </c>
      <c r="V882" s="59">
        <v>77</v>
      </c>
      <c r="W882" s="59">
        <v>2</v>
      </c>
      <c r="X882" s="59">
        <v>1</v>
      </c>
      <c r="Y882" s="59">
        <v>3</v>
      </c>
      <c r="Z882" s="59">
        <f t="shared" si="256"/>
        <v>0</v>
      </c>
      <c r="AA882" s="59">
        <f>IF('Updated Dummy'!Y882=2,1,0)</f>
        <v>0</v>
      </c>
      <c r="AB882" s="59">
        <f t="shared" si="257"/>
        <v>1</v>
      </c>
      <c r="AC882" s="59">
        <f t="shared" si="258"/>
        <v>0</v>
      </c>
      <c r="AD882" s="59">
        <f t="shared" si="259"/>
        <v>0</v>
      </c>
      <c r="AE882" s="59">
        <f t="shared" si="260"/>
        <v>0</v>
      </c>
      <c r="AF882" s="59">
        <f t="shared" si="261"/>
        <v>0</v>
      </c>
      <c r="AG882" s="59">
        <f t="shared" si="262"/>
        <v>0</v>
      </c>
      <c r="AH882" s="59">
        <v>2</v>
      </c>
      <c r="AI882" s="59">
        <v>2</v>
      </c>
      <c r="AJ882" s="59">
        <f t="shared" si="263"/>
        <v>0</v>
      </c>
      <c r="AK882" s="59">
        <f t="shared" si="264"/>
        <v>1</v>
      </c>
      <c r="AL882" s="59">
        <v>2743</v>
      </c>
      <c r="AM882" s="59">
        <v>7331</v>
      </c>
      <c r="AN882" s="59">
        <v>1</v>
      </c>
      <c r="AO882" s="59">
        <v>0</v>
      </c>
      <c r="AP882" s="59">
        <v>20</v>
      </c>
      <c r="AQ882" s="59">
        <v>4</v>
      </c>
      <c r="AR882" s="59">
        <v>3</v>
      </c>
      <c r="AS882" s="59">
        <v>80</v>
      </c>
      <c r="AT882" s="59">
        <v>1</v>
      </c>
      <c r="AU882" s="59">
        <v>2</v>
      </c>
      <c r="AV882" s="59">
        <v>2</v>
      </c>
      <c r="AW882" s="59">
        <v>3</v>
      </c>
      <c r="AX882" s="59">
        <v>2</v>
      </c>
      <c r="AY882" s="59">
        <v>2</v>
      </c>
      <c r="AZ882" s="59">
        <v>2</v>
      </c>
      <c r="BA882" s="59">
        <v>2</v>
      </c>
      <c r="BB882" s="57">
        <f t="shared" si="265"/>
        <v>2743</v>
      </c>
    </row>
    <row r="883" spans="1:54" x14ac:dyDescent="0.25">
      <c r="A883" s="58">
        <v>32</v>
      </c>
      <c r="B883" s="59">
        <v>0</v>
      </c>
      <c r="C883" s="59">
        <v>2</v>
      </c>
      <c r="D883" s="59">
        <f t="shared" si="247"/>
        <v>0</v>
      </c>
      <c r="E883" s="59">
        <f t="shared" si="248"/>
        <v>1</v>
      </c>
      <c r="F883" s="59">
        <v>1316</v>
      </c>
      <c r="G883" s="59">
        <v>2</v>
      </c>
      <c r="H883" s="59">
        <f t="shared" si="249"/>
        <v>0</v>
      </c>
      <c r="I883" s="59">
        <f t="shared" si="250"/>
        <v>1</v>
      </c>
      <c r="J883" s="59">
        <v>2</v>
      </c>
      <c r="K883" s="59">
        <v>2</v>
      </c>
      <c r="L883" s="59">
        <v>1</v>
      </c>
      <c r="M883" s="59">
        <f t="shared" si="251"/>
        <v>1</v>
      </c>
      <c r="N883" s="59">
        <f t="shared" si="252"/>
        <v>0</v>
      </c>
      <c r="O883" s="59">
        <f t="shared" si="253"/>
        <v>0</v>
      </c>
      <c r="P883" s="59">
        <f t="shared" si="254"/>
        <v>0</v>
      </c>
      <c r="Q883" s="59">
        <f t="shared" si="255"/>
        <v>0</v>
      </c>
      <c r="R883" s="59">
        <v>1</v>
      </c>
      <c r="S883" s="59">
        <v>1235</v>
      </c>
      <c r="T883" s="59">
        <v>4</v>
      </c>
      <c r="U883" s="59">
        <v>0</v>
      </c>
      <c r="V883" s="59">
        <v>38</v>
      </c>
      <c r="W883" s="59">
        <v>3</v>
      </c>
      <c r="X883" s="59">
        <v>2</v>
      </c>
      <c r="Y883" s="59">
        <v>2</v>
      </c>
      <c r="Z883" s="59">
        <f t="shared" si="256"/>
        <v>0</v>
      </c>
      <c r="AA883" s="59">
        <f>IF('Updated Dummy'!Y883=2,1,0)</f>
        <v>1</v>
      </c>
      <c r="AB883" s="59">
        <f t="shared" si="257"/>
        <v>0</v>
      </c>
      <c r="AC883" s="59">
        <f t="shared" si="258"/>
        <v>0</v>
      </c>
      <c r="AD883" s="59">
        <f t="shared" si="259"/>
        <v>0</v>
      </c>
      <c r="AE883" s="59">
        <f t="shared" si="260"/>
        <v>0</v>
      </c>
      <c r="AF883" s="59">
        <f t="shared" si="261"/>
        <v>0</v>
      </c>
      <c r="AG883" s="59">
        <f t="shared" si="262"/>
        <v>0</v>
      </c>
      <c r="AH883" s="59">
        <v>3</v>
      </c>
      <c r="AI883" s="59">
        <v>1</v>
      </c>
      <c r="AJ883" s="59">
        <f t="shared" si="263"/>
        <v>1</v>
      </c>
      <c r="AK883" s="59">
        <f t="shared" si="264"/>
        <v>0</v>
      </c>
      <c r="AL883" s="59">
        <v>4998</v>
      </c>
      <c r="AM883" s="59">
        <v>2338</v>
      </c>
      <c r="AN883" s="59">
        <v>4</v>
      </c>
      <c r="AO883" s="59">
        <v>1</v>
      </c>
      <c r="AP883" s="59">
        <v>14</v>
      </c>
      <c r="AQ883" s="59">
        <v>3</v>
      </c>
      <c r="AR883" s="59">
        <v>4</v>
      </c>
      <c r="AS883" s="59">
        <v>80</v>
      </c>
      <c r="AT883" s="59">
        <v>0</v>
      </c>
      <c r="AU883" s="59">
        <v>10</v>
      </c>
      <c r="AV883" s="59">
        <v>2</v>
      </c>
      <c r="AW883" s="59">
        <v>3</v>
      </c>
      <c r="AX883" s="59">
        <v>8</v>
      </c>
      <c r="AY883" s="59">
        <v>7</v>
      </c>
      <c r="AZ883" s="59">
        <v>0</v>
      </c>
      <c r="BA883" s="59">
        <v>7</v>
      </c>
      <c r="BB883" s="57">
        <f t="shared" si="265"/>
        <v>9996</v>
      </c>
    </row>
    <row r="884" spans="1:54" x14ac:dyDescent="0.25">
      <c r="A884" s="58">
        <v>36</v>
      </c>
      <c r="B884" s="59">
        <v>0</v>
      </c>
      <c r="C884" s="59">
        <v>1</v>
      </c>
      <c r="D884" s="59">
        <f t="shared" si="247"/>
        <v>1</v>
      </c>
      <c r="E884" s="59">
        <f t="shared" si="248"/>
        <v>0</v>
      </c>
      <c r="F884" s="59">
        <v>363</v>
      </c>
      <c r="G884" s="59">
        <v>2</v>
      </c>
      <c r="H884" s="59">
        <f t="shared" si="249"/>
        <v>0</v>
      </c>
      <c r="I884" s="59">
        <f t="shared" si="250"/>
        <v>1</v>
      </c>
      <c r="J884" s="59">
        <v>1</v>
      </c>
      <c r="K884" s="59">
        <v>3</v>
      </c>
      <c r="L884" s="59">
        <v>5</v>
      </c>
      <c r="M884" s="59">
        <f t="shared" si="251"/>
        <v>0</v>
      </c>
      <c r="N884" s="59">
        <f t="shared" si="252"/>
        <v>0</v>
      </c>
      <c r="O884" s="59">
        <f t="shared" si="253"/>
        <v>0</v>
      </c>
      <c r="P884" s="59">
        <f t="shared" si="254"/>
        <v>0</v>
      </c>
      <c r="Q884" s="59">
        <f t="shared" si="255"/>
        <v>1</v>
      </c>
      <c r="R884" s="59">
        <v>1</v>
      </c>
      <c r="S884" s="59">
        <v>1237</v>
      </c>
      <c r="T884" s="59">
        <v>3</v>
      </c>
      <c r="U884" s="59">
        <v>0</v>
      </c>
      <c r="V884" s="59">
        <v>77</v>
      </c>
      <c r="W884" s="59">
        <v>1</v>
      </c>
      <c r="X884" s="59">
        <v>3</v>
      </c>
      <c r="Y884" s="59">
        <v>4</v>
      </c>
      <c r="Z884" s="59">
        <f t="shared" si="256"/>
        <v>0</v>
      </c>
      <c r="AA884" s="59">
        <f>IF('Updated Dummy'!Y884=2,1,0)</f>
        <v>0</v>
      </c>
      <c r="AB884" s="59">
        <f t="shared" si="257"/>
        <v>0</v>
      </c>
      <c r="AC884" s="59">
        <f t="shared" si="258"/>
        <v>1</v>
      </c>
      <c r="AD884" s="59">
        <f t="shared" si="259"/>
        <v>0</v>
      </c>
      <c r="AE884" s="59">
        <f t="shared" si="260"/>
        <v>0</v>
      </c>
      <c r="AF884" s="59">
        <f t="shared" si="261"/>
        <v>0</v>
      </c>
      <c r="AG884" s="59">
        <f t="shared" si="262"/>
        <v>0</v>
      </c>
      <c r="AH884" s="59">
        <v>1</v>
      </c>
      <c r="AI884" s="59">
        <v>3</v>
      </c>
      <c r="AJ884" s="59">
        <f t="shared" si="263"/>
        <v>0</v>
      </c>
      <c r="AK884" s="59">
        <f t="shared" si="264"/>
        <v>0</v>
      </c>
      <c r="AL884" s="59">
        <v>10252</v>
      </c>
      <c r="AM884" s="59">
        <v>4235</v>
      </c>
      <c r="AN884" s="59">
        <v>2</v>
      </c>
      <c r="AO884" s="59">
        <v>1</v>
      </c>
      <c r="AP884" s="59">
        <v>21</v>
      </c>
      <c r="AQ884" s="59">
        <v>4</v>
      </c>
      <c r="AR884" s="59">
        <v>3</v>
      </c>
      <c r="AS884" s="59">
        <v>80</v>
      </c>
      <c r="AT884" s="59">
        <v>1</v>
      </c>
      <c r="AU884" s="59">
        <v>17</v>
      </c>
      <c r="AV884" s="59">
        <v>2</v>
      </c>
      <c r="AW884" s="59">
        <v>3</v>
      </c>
      <c r="AX884" s="59">
        <v>7</v>
      </c>
      <c r="AY884" s="59">
        <v>7</v>
      </c>
      <c r="AZ884" s="59">
        <v>7</v>
      </c>
      <c r="BA884" s="59">
        <v>7</v>
      </c>
      <c r="BB884" s="57">
        <f t="shared" si="265"/>
        <v>30756</v>
      </c>
    </row>
    <row r="885" spans="1:54" x14ac:dyDescent="0.25">
      <c r="A885" s="58">
        <v>33</v>
      </c>
      <c r="B885" s="59">
        <v>0</v>
      </c>
      <c r="C885" s="59">
        <v>1</v>
      </c>
      <c r="D885" s="59">
        <f t="shared" si="247"/>
        <v>1</v>
      </c>
      <c r="E885" s="59">
        <f t="shared" si="248"/>
        <v>0</v>
      </c>
      <c r="F885" s="59">
        <v>117</v>
      </c>
      <c r="G885" s="59">
        <v>2</v>
      </c>
      <c r="H885" s="59">
        <f t="shared" si="249"/>
        <v>0</v>
      </c>
      <c r="I885" s="59">
        <f t="shared" si="250"/>
        <v>1</v>
      </c>
      <c r="J885" s="59">
        <v>9</v>
      </c>
      <c r="K885" s="59">
        <v>3</v>
      </c>
      <c r="L885" s="59">
        <v>3</v>
      </c>
      <c r="M885" s="59">
        <f t="shared" si="251"/>
        <v>0</v>
      </c>
      <c r="N885" s="59">
        <f t="shared" si="252"/>
        <v>0</v>
      </c>
      <c r="O885" s="59">
        <f t="shared" si="253"/>
        <v>1</v>
      </c>
      <c r="P885" s="59">
        <f t="shared" si="254"/>
        <v>0</v>
      </c>
      <c r="Q885" s="59">
        <f t="shared" si="255"/>
        <v>0</v>
      </c>
      <c r="R885" s="59">
        <v>1</v>
      </c>
      <c r="S885" s="59">
        <v>1238</v>
      </c>
      <c r="T885" s="59">
        <v>1</v>
      </c>
      <c r="U885" s="59">
        <v>1</v>
      </c>
      <c r="V885" s="59">
        <v>60</v>
      </c>
      <c r="W885" s="59">
        <v>3</v>
      </c>
      <c r="X885" s="59">
        <v>1</v>
      </c>
      <c r="Y885" s="59">
        <v>2</v>
      </c>
      <c r="Z885" s="59">
        <f t="shared" si="256"/>
        <v>0</v>
      </c>
      <c r="AA885" s="59">
        <f>IF('Updated Dummy'!Y885=2,1,0)</f>
        <v>1</v>
      </c>
      <c r="AB885" s="59">
        <f t="shared" si="257"/>
        <v>0</v>
      </c>
      <c r="AC885" s="59">
        <f t="shared" si="258"/>
        <v>0</v>
      </c>
      <c r="AD885" s="59">
        <f t="shared" si="259"/>
        <v>0</v>
      </c>
      <c r="AE885" s="59">
        <f t="shared" si="260"/>
        <v>0</v>
      </c>
      <c r="AF885" s="59">
        <f t="shared" si="261"/>
        <v>0</v>
      </c>
      <c r="AG885" s="59">
        <f t="shared" si="262"/>
        <v>0</v>
      </c>
      <c r="AH885" s="59">
        <v>4</v>
      </c>
      <c r="AI885" s="59">
        <v>2</v>
      </c>
      <c r="AJ885" s="59">
        <f t="shared" si="263"/>
        <v>0</v>
      </c>
      <c r="AK885" s="59">
        <f t="shared" si="264"/>
        <v>1</v>
      </c>
      <c r="AL885" s="59">
        <v>2781</v>
      </c>
      <c r="AM885" s="59">
        <v>6311</v>
      </c>
      <c r="AN885" s="59">
        <v>0</v>
      </c>
      <c r="AO885" s="59">
        <v>0</v>
      </c>
      <c r="AP885" s="59">
        <v>13</v>
      </c>
      <c r="AQ885" s="59">
        <v>3</v>
      </c>
      <c r="AR885" s="59">
        <v>2</v>
      </c>
      <c r="AS885" s="59">
        <v>80</v>
      </c>
      <c r="AT885" s="59">
        <v>1</v>
      </c>
      <c r="AU885" s="59">
        <v>15</v>
      </c>
      <c r="AV885" s="59">
        <v>5</v>
      </c>
      <c r="AW885" s="59">
        <v>3</v>
      </c>
      <c r="AX885" s="59">
        <v>14</v>
      </c>
      <c r="AY885" s="59">
        <v>10</v>
      </c>
      <c r="AZ885" s="59">
        <v>4</v>
      </c>
      <c r="BA885" s="59">
        <v>10</v>
      </c>
      <c r="BB885" s="57">
        <f t="shared" si="265"/>
        <v>2781</v>
      </c>
    </row>
    <row r="886" spans="1:54" x14ac:dyDescent="0.25">
      <c r="A886" s="58">
        <v>40</v>
      </c>
      <c r="B886" s="59">
        <v>0</v>
      </c>
      <c r="C886" s="59">
        <v>1</v>
      </c>
      <c r="D886" s="59">
        <f t="shared" si="247"/>
        <v>1</v>
      </c>
      <c r="E886" s="59">
        <f t="shared" si="248"/>
        <v>0</v>
      </c>
      <c r="F886" s="59">
        <v>107</v>
      </c>
      <c r="G886" s="59">
        <v>1</v>
      </c>
      <c r="H886" s="59">
        <f t="shared" si="249"/>
        <v>1</v>
      </c>
      <c r="I886" s="59">
        <f t="shared" si="250"/>
        <v>0</v>
      </c>
      <c r="J886" s="59">
        <v>10</v>
      </c>
      <c r="K886" s="59">
        <v>3</v>
      </c>
      <c r="L886" s="59">
        <v>5</v>
      </c>
      <c r="M886" s="59">
        <f t="shared" si="251"/>
        <v>0</v>
      </c>
      <c r="N886" s="59">
        <f t="shared" si="252"/>
        <v>0</v>
      </c>
      <c r="O886" s="59">
        <f t="shared" si="253"/>
        <v>0</v>
      </c>
      <c r="P886" s="59">
        <f t="shared" si="254"/>
        <v>0</v>
      </c>
      <c r="Q886" s="59">
        <f t="shared" si="255"/>
        <v>1</v>
      </c>
      <c r="R886" s="59">
        <v>1</v>
      </c>
      <c r="S886" s="59">
        <v>1239</v>
      </c>
      <c r="T886" s="59">
        <v>2</v>
      </c>
      <c r="U886" s="59">
        <v>0</v>
      </c>
      <c r="V886" s="59">
        <v>84</v>
      </c>
      <c r="W886" s="59">
        <v>2</v>
      </c>
      <c r="X886" s="59">
        <v>2</v>
      </c>
      <c r="Y886" s="59">
        <v>1</v>
      </c>
      <c r="Z886" s="59">
        <f t="shared" si="256"/>
        <v>1</v>
      </c>
      <c r="AA886" s="59">
        <f>IF('Updated Dummy'!Y886=2,1,0)</f>
        <v>0</v>
      </c>
      <c r="AB886" s="59">
        <f t="shared" si="257"/>
        <v>0</v>
      </c>
      <c r="AC886" s="59">
        <f t="shared" si="258"/>
        <v>0</v>
      </c>
      <c r="AD886" s="59">
        <f t="shared" si="259"/>
        <v>0</v>
      </c>
      <c r="AE886" s="59">
        <f t="shared" si="260"/>
        <v>0</v>
      </c>
      <c r="AF886" s="59">
        <f t="shared" si="261"/>
        <v>0</v>
      </c>
      <c r="AG886" s="59">
        <f t="shared" si="262"/>
        <v>0</v>
      </c>
      <c r="AH886" s="59">
        <v>2</v>
      </c>
      <c r="AI886" s="59">
        <v>3</v>
      </c>
      <c r="AJ886" s="59">
        <f t="shared" si="263"/>
        <v>0</v>
      </c>
      <c r="AK886" s="59">
        <f t="shared" si="264"/>
        <v>0</v>
      </c>
      <c r="AL886" s="59">
        <v>6852</v>
      </c>
      <c r="AM886" s="59">
        <v>11591</v>
      </c>
      <c r="AN886" s="59">
        <v>7</v>
      </c>
      <c r="AO886" s="59">
        <v>0</v>
      </c>
      <c r="AP886" s="59">
        <v>12</v>
      </c>
      <c r="AQ886" s="59">
        <v>3</v>
      </c>
      <c r="AR886" s="59">
        <v>2</v>
      </c>
      <c r="AS886" s="59">
        <v>80</v>
      </c>
      <c r="AT886" s="59">
        <v>1</v>
      </c>
      <c r="AU886" s="59">
        <v>7</v>
      </c>
      <c r="AV886" s="59">
        <v>2</v>
      </c>
      <c r="AW886" s="59">
        <v>4</v>
      </c>
      <c r="AX886" s="59">
        <v>5</v>
      </c>
      <c r="AY886" s="59">
        <v>1</v>
      </c>
      <c r="AZ886" s="59">
        <v>1</v>
      </c>
      <c r="BA886" s="59">
        <v>3</v>
      </c>
      <c r="BB886" s="57">
        <f t="shared" si="265"/>
        <v>13704</v>
      </c>
    </row>
    <row r="887" spans="1:54" x14ac:dyDescent="0.25">
      <c r="A887" s="58">
        <v>25</v>
      </c>
      <c r="B887" s="59">
        <v>0</v>
      </c>
      <c r="C887" s="59">
        <v>1</v>
      </c>
      <c r="D887" s="59">
        <f t="shared" si="247"/>
        <v>1</v>
      </c>
      <c r="E887" s="59">
        <f t="shared" si="248"/>
        <v>0</v>
      </c>
      <c r="F887" s="59">
        <v>1356</v>
      </c>
      <c r="G887" s="59">
        <v>1</v>
      </c>
      <c r="H887" s="59">
        <f t="shared" si="249"/>
        <v>1</v>
      </c>
      <c r="I887" s="59">
        <f t="shared" si="250"/>
        <v>0</v>
      </c>
      <c r="J887" s="59">
        <v>10</v>
      </c>
      <c r="K887" s="59">
        <v>4</v>
      </c>
      <c r="L887" s="59">
        <v>1</v>
      </c>
      <c r="M887" s="59">
        <f t="shared" si="251"/>
        <v>1</v>
      </c>
      <c r="N887" s="59">
        <f t="shared" si="252"/>
        <v>0</v>
      </c>
      <c r="O887" s="59">
        <f t="shared" si="253"/>
        <v>0</v>
      </c>
      <c r="P887" s="59">
        <f t="shared" si="254"/>
        <v>0</v>
      </c>
      <c r="Q887" s="59">
        <f t="shared" si="255"/>
        <v>0</v>
      </c>
      <c r="R887" s="59">
        <v>1</v>
      </c>
      <c r="S887" s="59">
        <v>1240</v>
      </c>
      <c r="T887" s="59">
        <v>3</v>
      </c>
      <c r="U887" s="59">
        <v>1</v>
      </c>
      <c r="V887" s="59">
        <v>57</v>
      </c>
      <c r="W887" s="59">
        <v>3</v>
      </c>
      <c r="X887" s="59">
        <v>2</v>
      </c>
      <c r="Y887" s="59">
        <v>1</v>
      </c>
      <c r="Z887" s="59">
        <f t="shared" si="256"/>
        <v>1</v>
      </c>
      <c r="AA887" s="59">
        <f>IF('Updated Dummy'!Y887=2,1,0)</f>
        <v>0</v>
      </c>
      <c r="AB887" s="59">
        <f t="shared" si="257"/>
        <v>0</v>
      </c>
      <c r="AC887" s="59">
        <f t="shared" si="258"/>
        <v>0</v>
      </c>
      <c r="AD887" s="59">
        <f t="shared" si="259"/>
        <v>0</v>
      </c>
      <c r="AE887" s="59">
        <f t="shared" si="260"/>
        <v>0</v>
      </c>
      <c r="AF887" s="59">
        <f t="shared" si="261"/>
        <v>0</v>
      </c>
      <c r="AG887" s="59">
        <f t="shared" si="262"/>
        <v>0</v>
      </c>
      <c r="AH887" s="59">
        <v>4</v>
      </c>
      <c r="AI887" s="59">
        <v>1</v>
      </c>
      <c r="AJ887" s="59">
        <f t="shared" si="263"/>
        <v>1</v>
      </c>
      <c r="AK887" s="59">
        <f t="shared" si="264"/>
        <v>0</v>
      </c>
      <c r="AL887" s="59">
        <v>4950</v>
      </c>
      <c r="AM887" s="59">
        <v>20623</v>
      </c>
      <c r="AN887" s="59">
        <v>0</v>
      </c>
      <c r="AO887" s="59">
        <v>0</v>
      </c>
      <c r="AP887" s="59">
        <v>14</v>
      </c>
      <c r="AQ887" s="59">
        <v>3</v>
      </c>
      <c r="AR887" s="59">
        <v>2</v>
      </c>
      <c r="AS887" s="59">
        <v>80</v>
      </c>
      <c r="AT887" s="59">
        <v>0</v>
      </c>
      <c r="AU887" s="59">
        <v>5</v>
      </c>
      <c r="AV887" s="59">
        <v>4</v>
      </c>
      <c r="AW887" s="59">
        <v>3</v>
      </c>
      <c r="AX887" s="59">
        <v>4</v>
      </c>
      <c r="AY887" s="59">
        <v>3</v>
      </c>
      <c r="AZ887" s="59">
        <v>1</v>
      </c>
      <c r="BA887" s="59">
        <v>1</v>
      </c>
      <c r="BB887" s="57">
        <f t="shared" si="265"/>
        <v>9900</v>
      </c>
    </row>
    <row r="888" spans="1:54" x14ac:dyDescent="0.25">
      <c r="A888" s="58">
        <v>30</v>
      </c>
      <c r="B888" s="59">
        <v>0</v>
      </c>
      <c r="C888" s="59">
        <v>1</v>
      </c>
      <c r="D888" s="59">
        <f t="shared" si="247"/>
        <v>1</v>
      </c>
      <c r="E888" s="59">
        <f t="shared" si="248"/>
        <v>0</v>
      </c>
      <c r="F888" s="59">
        <v>1465</v>
      </c>
      <c r="G888" s="59">
        <v>2</v>
      </c>
      <c r="H888" s="59">
        <f t="shared" si="249"/>
        <v>0</v>
      </c>
      <c r="I888" s="59">
        <f t="shared" si="250"/>
        <v>1</v>
      </c>
      <c r="J888" s="59">
        <v>1</v>
      </c>
      <c r="K888" s="59">
        <v>3</v>
      </c>
      <c r="L888" s="59">
        <v>3</v>
      </c>
      <c r="M888" s="59">
        <f t="shared" si="251"/>
        <v>0</v>
      </c>
      <c r="N888" s="59">
        <f t="shared" si="252"/>
        <v>0</v>
      </c>
      <c r="O888" s="59">
        <f t="shared" si="253"/>
        <v>1</v>
      </c>
      <c r="P888" s="59">
        <f t="shared" si="254"/>
        <v>0</v>
      </c>
      <c r="Q888" s="59">
        <f t="shared" si="255"/>
        <v>0</v>
      </c>
      <c r="R888" s="59">
        <v>1</v>
      </c>
      <c r="S888" s="59">
        <v>1241</v>
      </c>
      <c r="T888" s="59">
        <v>4</v>
      </c>
      <c r="U888" s="59">
        <v>1</v>
      </c>
      <c r="V888" s="59">
        <v>63</v>
      </c>
      <c r="W888" s="59">
        <v>3</v>
      </c>
      <c r="X888" s="59">
        <v>1</v>
      </c>
      <c r="Y888" s="59">
        <v>2</v>
      </c>
      <c r="Z888" s="59">
        <f t="shared" si="256"/>
        <v>0</v>
      </c>
      <c r="AA888" s="59">
        <f>IF('Updated Dummy'!Y888=2,1,0)</f>
        <v>1</v>
      </c>
      <c r="AB888" s="59">
        <f t="shared" si="257"/>
        <v>0</v>
      </c>
      <c r="AC888" s="59">
        <f t="shared" si="258"/>
        <v>0</v>
      </c>
      <c r="AD888" s="59">
        <f t="shared" si="259"/>
        <v>0</v>
      </c>
      <c r="AE888" s="59">
        <f t="shared" si="260"/>
        <v>0</v>
      </c>
      <c r="AF888" s="59">
        <f t="shared" si="261"/>
        <v>0</v>
      </c>
      <c r="AG888" s="59">
        <f t="shared" si="262"/>
        <v>0</v>
      </c>
      <c r="AH888" s="59">
        <v>2</v>
      </c>
      <c r="AI888" s="59">
        <v>2</v>
      </c>
      <c r="AJ888" s="59">
        <f t="shared" si="263"/>
        <v>0</v>
      </c>
      <c r="AK888" s="59">
        <f t="shared" si="264"/>
        <v>1</v>
      </c>
      <c r="AL888" s="59">
        <v>3579</v>
      </c>
      <c r="AM888" s="59">
        <v>9369</v>
      </c>
      <c r="AN888" s="59">
        <v>0</v>
      </c>
      <c r="AO888" s="59">
        <v>1</v>
      </c>
      <c r="AP888" s="59">
        <v>21</v>
      </c>
      <c r="AQ888" s="59">
        <v>4</v>
      </c>
      <c r="AR888" s="59">
        <v>1</v>
      </c>
      <c r="AS888" s="59">
        <v>80</v>
      </c>
      <c r="AT888" s="59">
        <v>1</v>
      </c>
      <c r="AU888" s="59">
        <v>12</v>
      </c>
      <c r="AV888" s="59">
        <v>2</v>
      </c>
      <c r="AW888" s="59">
        <v>3</v>
      </c>
      <c r="AX888" s="59">
        <v>11</v>
      </c>
      <c r="AY888" s="59">
        <v>9</v>
      </c>
      <c r="AZ888" s="59">
        <v>5</v>
      </c>
      <c r="BA888" s="59">
        <v>7</v>
      </c>
      <c r="BB888" s="57">
        <f t="shared" si="265"/>
        <v>3579</v>
      </c>
    </row>
    <row r="889" spans="1:54" x14ac:dyDescent="0.25">
      <c r="A889" s="58">
        <v>42</v>
      </c>
      <c r="B889" s="59">
        <v>0</v>
      </c>
      <c r="C889" s="59">
        <v>2</v>
      </c>
      <c r="D889" s="59">
        <f t="shared" si="247"/>
        <v>0</v>
      </c>
      <c r="E889" s="59">
        <f t="shared" si="248"/>
        <v>1</v>
      </c>
      <c r="F889" s="59">
        <v>458</v>
      </c>
      <c r="G889" s="59">
        <v>2</v>
      </c>
      <c r="H889" s="59">
        <f t="shared" si="249"/>
        <v>0</v>
      </c>
      <c r="I889" s="59">
        <f t="shared" si="250"/>
        <v>1</v>
      </c>
      <c r="J889" s="59">
        <v>26</v>
      </c>
      <c r="K889" s="59">
        <v>5</v>
      </c>
      <c r="L889" s="59">
        <v>3</v>
      </c>
      <c r="M889" s="59">
        <f t="shared" si="251"/>
        <v>0</v>
      </c>
      <c r="N889" s="59">
        <f t="shared" si="252"/>
        <v>0</v>
      </c>
      <c r="O889" s="59">
        <f t="shared" si="253"/>
        <v>1</v>
      </c>
      <c r="P889" s="59">
        <f t="shared" si="254"/>
        <v>0</v>
      </c>
      <c r="Q889" s="59">
        <f t="shared" si="255"/>
        <v>0</v>
      </c>
      <c r="R889" s="59">
        <v>1</v>
      </c>
      <c r="S889" s="59">
        <v>1242</v>
      </c>
      <c r="T889" s="59">
        <v>1</v>
      </c>
      <c r="U889" s="59">
        <v>0</v>
      </c>
      <c r="V889" s="59">
        <v>60</v>
      </c>
      <c r="W889" s="59">
        <v>3</v>
      </c>
      <c r="X889" s="59">
        <v>3</v>
      </c>
      <c r="Y889" s="59">
        <v>8</v>
      </c>
      <c r="Z889" s="59">
        <f t="shared" si="256"/>
        <v>0</v>
      </c>
      <c r="AA889" s="59">
        <f>IF('Updated Dummy'!Y889=2,1,0)</f>
        <v>0</v>
      </c>
      <c r="AB889" s="59">
        <f t="shared" si="257"/>
        <v>0</v>
      </c>
      <c r="AC889" s="59">
        <f t="shared" si="258"/>
        <v>0</v>
      </c>
      <c r="AD889" s="59">
        <f t="shared" si="259"/>
        <v>0</v>
      </c>
      <c r="AE889" s="59">
        <f t="shared" si="260"/>
        <v>0</v>
      </c>
      <c r="AF889" s="59">
        <f t="shared" si="261"/>
        <v>0</v>
      </c>
      <c r="AG889" s="59">
        <f t="shared" si="262"/>
        <v>1</v>
      </c>
      <c r="AH889" s="59">
        <v>1</v>
      </c>
      <c r="AI889" s="59">
        <v>2</v>
      </c>
      <c r="AJ889" s="59">
        <f t="shared" si="263"/>
        <v>0</v>
      </c>
      <c r="AK889" s="59">
        <f t="shared" si="264"/>
        <v>1</v>
      </c>
      <c r="AL889" s="59">
        <v>13191</v>
      </c>
      <c r="AM889" s="59">
        <v>23281</v>
      </c>
      <c r="AN889" s="59">
        <v>3</v>
      </c>
      <c r="AO889" s="59">
        <v>1</v>
      </c>
      <c r="AP889" s="59">
        <v>17</v>
      </c>
      <c r="AQ889" s="59">
        <v>3</v>
      </c>
      <c r="AR889" s="59">
        <v>3</v>
      </c>
      <c r="AS889" s="59">
        <v>80</v>
      </c>
      <c r="AT889" s="59">
        <v>0</v>
      </c>
      <c r="AU889" s="59">
        <v>20</v>
      </c>
      <c r="AV889" s="59">
        <v>6</v>
      </c>
      <c r="AW889" s="59">
        <v>3</v>
      </c>
      <c r="AX889" s="59">
        <v>1</v>
      </c>
      <c r="AY889" s="59">
        <v>0</v>
      </c>
      <c r="AZ889" s="59">
        <v>0</v>
      </c>
      <c r="BA889" s="59">
        <v>0</v>
      </c>
      <c r="BB889" s="57">
        <f t="shared" si="265"/>
        <v>39573</v>
      </c>
    </row>
    <row r="890" spans="1:54" x14ac:dyDescent="0.25">
      <c r="A890" s="58">
        <v>35</v>
      </c>
      <c r="B890" s="59">
        <v>0</v>
      </c>
      <c r="C890" s="59">
        <v>3</v>
      </c>
      <c r="D890" s="59">
        <f t="shared" si="247"/>
        <v>0</v>
      </c>
      <c r="E890" s="59">
        <f t="shared" si="248"/>
        <v>0</v>
      </c>
      <c r="F890" s="59">
        <v>1212</v>
      </c>
      <c r="G890" s="59">
        <v>1</v>
      </c>
      <c r="H890" s="59">
        <f t="shared" si="249"/>
        <v>1</v>
      </c>
      <c r="I890" s="59">
        <f t="shared" si="250"/>
        <v>0</v>
      </c>
      <c r="J890" s="59">
        <v>8</v>
      </c>
      <c r="K890" s="59">
        <v>2</v>
      </c>
      <c r="L890" s="59">
        <v>4</v>
      </c>
      <c r="M890" s="59">
        <f t="shared" si="251"/>
        <v>0</v>
      </c>
      <c r="N890" s="59">
        <f t="shared" si="252"/>
        <v>0</v>
      </c>
      <c r="O890" s="59">
        <f t="shared" si="253"/>
        <v>0</v>
      </c>
      <c r="P890" s="59">
        <f t="shared" si="254"/>
        <v>1</v>
      </c>
      <c r="Q890" s="59">
        <f t="shared" si="255"/>
        <v>0</v>
      </c>
      <c r="R890" s="59">
        <v>1</v>
      </c>
      <c r="S890" s="59">
        <v>1243</v>
      </c>
      <c r="T890" s="59">
        <v>3</v>
      </c>
      <c r="U890" s="59">
        <v>0</v>
      </c>
      <c r="V890" s="59">
        <v>78</v>
      </c>
      <c r="W890" s="59">
        <v>2</v>
      </c>
      <c r="X890" s="59">
        <v>3</v>
      </c>
      <c r="Y890" s="59">
        <v>1</v>
      </c>
      <c r="Z890" s="59">
        <f t="shared" si="256"/>
        <v>1</v>
      </c>
      <c r="AA890" s="59">
        <f>IF('Updated Dummy'!Y890=2,1,0)</f>
        <v>0</v>
      </c>
      <c r="AB890" s="59">
        <f t="shared" si="257"/>
        <v>0</v>
      </c>
      <c r="AC890" s="59">
        <f t="shared" si="258"/>
        <v>0</v>
      </c>
      <c r="AD890" s="59">
        <f t="shared" si="259"/>
        <v>0</v>
      </c>
      <c r="AE890" s="59">
        <f t="shared" si="260"/>
        <v>0</v>
      </c>
      <c r="AF890" s="59">
        <f t="shared" si="261"/>
        <v>0</v>
      </c>
      <c r="AG890" s="59">
        <f t="shared" si="262"/>
        <v>0</v>
      </c>
      <c r="AH890" s="59">
        <v>4</v>
      </c>
      <c r="AI890" s="59">
        <v>2</v>
      </c>
      <c r="AJ890" s="59">
        <f t="shared" si="263"/>
        <v>0</v>
      </c>
      <c r="AK890" s="59">
        <f t="shared" si="264"/>
        <v>1</v>
      </c>
      <c r="AL890" s="59">
        <v>10377</v>
      </c>
      <c r="AM890" s="59">
        <v>13755</v>
      </c>
      <c r="AN890" s="59">
        <v>4</v>
      </c>
      <c r="AO890" s="59">
        <v>1</v>
      </c>
      <c r="AP890" s="59">
        <v>11</v>
      </c>
      <c r="AQ890" s="59">
        <v>3</v>
      </c>
      <c r="AR890" s="59">
        <v>2</v>
      </c>
      <c r="AS890" s="59">
        <v>80</v>
      </c>
      <c r="AT890" s="59">
        <v>1</v>
      </c>
      <c r="AU890" s="59">
        <v>16</v>
      </c>
      <c r="AV890" s="59">
        <v>6</v>
      </c>
      <c r="AW890" s="59">
        <v>2</v>
      </c>
      <c r="AX890" s="59">
        <v>13</v>
      </c>
      <c r="AY890" s="59">
        <v>2</v>
      </c>
      <c r="AZ890" s="59">
        <v>4</v>
      </c>
      <c r="BA890" s="59">
        <v>12</v>
      </c>
      <c r="BB890" s="57">
        <f t="shared" si="265"/>
        <v>31131</v>
      </c>
    </row>
    <row r="891" spans="1:54" x14ac:dyDescent="0.25">
      <c r="A891" s="58">
        <v>27</v>
      </c>
      <c r="B891" s="59">
        <v>0</v>
      </c>
      <c r="C891" s="59">
        <v>1</v>
      </c>
      <c r="D891" s="59">
        <f t="shared" si="247"/>
        <v>1</v>
      </c>
      <c r="E891" s="59">
        <f t="shared" si="248"/>
        <v>0</v>
      </c>
      <c r="F891" s="59">
        <v>1103</v>
      </c>
      <c r="G891" s="59">
        <v>2</v>
      </c>
      <c r="H891" s="59">
        <f t="shared" si="249"/>
        <v>0</v>
      </c>
      <c r="I891" s="59">
        <f t="shared" si="250"/>
        <v>1</v>
      </c>
      <c r="J891" s="59">
        <v>14</v>
      </c>
      <c r="K891" s="59">
        <v>3</v>
      </c>
      <c r="L891" s="59">
        <v>1</v>
      </c>
      <c r="M891" s="59">
        <f t="shared" si="251"/>
        <v>1</v>
      </c>
      <c r="N891" s="59">
        <f t="shared" si="252"/>
        <v>0</v>
      </c>
      <c r="O891" s="59">
        <f t="shared" si="253"/>
        <v>0</v>
      </c>
      <c r="P891" s="59">
        <f t="shared" si="254"/>
        <v>0</v>
      </c>
      <c r="Q891" s="59">
        <f t="shared" si="255"/>
        <v>0</v>
      </c>
      <c r="R891" s="59">
        <v>1</v>
      </c>
      <c r="S891" s="59">
        <v>1244</v>
      </c>
      <c r="T891" s="59">
        <v>1</v>
      </c>
      <c r="U891" s="59">
        <v>1</v>
      </c>
      <c r="V891" s="59">
        <v>42</v>
      </c>
      <c r="W891" s="59">
        <v>3</v>
      </c>
      <c r="X891" s="59">
        <v>1</v>
      </c>
      <c r="Y891" s="59">
        <v>2</v>
      </c>
      <c r="Z891" s="59">
        <f t="shared" si="256"/>
        <v>0</v>
      </c>
      <c r="AA891" s="59">
        <f>IF('Updated Dummy'!Y891=2,1,0)</f>
        <v>1</v>
      </c>
      <c r="AB891" s="59">
        <f t="shared" si="257"/>
        <v>0</v>
      </c>
      <c r="AC891" s="59">
        <f t="shared" si="258"/>
        <v>0</v>
      </c>
      <c r="AD891" s="59">
        <f t="shared" si="259"/>
        <v>0</v>
      </c>
      <c r="AE891" s="59">
        <f t="shared" si="260"/>
        <v>0</v>
      </c>
      <c r="AF891" s="59">
        <f t="shared" si="261"/>
        <v>0</v>
      </c>
      <c r="AG891" s="59">
        <f t="shared" si="262"/>
        <v>0</v>
      </c>
      <c r="AH891" s="59">
        <v>1</v>
      </c>
      <c r="AI891" s="59">
        <v>2</v>
      </c>
      <c r="AJ891" s="59">
        <f t="shared" si="263"/>
        <v>0</v>
      </c>
      <c r="AK891" s="59">
        <f t="shared" si="264"/>
        <v>1</v>
      </c>
      <c r="AL891" s="59">
        <v>2235</v>
      </c>
      <c r="AM891" s="59">
        <v>14377</v>
      </c>
      <c r="AN891" s="59">
        <v>1</v>
      </c>
      <c r="AO891" s="59">
        <v>1</v>
      </c>
      <c r="AP891" s="59">
        <v>14</v>
      </c>
      <c r="AQ891" s="59">
        <v>3</v>
      </c>
      <c r="AR891" s="59">
        <v>4</v>
      </c>
      <c r="AS891" s="59">
        <v>80</v>
      </c>
      <c r="AT891" s="59">
        <v>2</v>
      </c>
      <c r="AU891" s="59">
        <v>9</v>
      </c>
      <c r="AV891" s="59">
        <v>3</v>
      </c>
      <c r="AW891" s="59">
        <v>2</v>
      </c>
      <c r="AX891" s="59">
        <v>9</v>
      </c>
      <c r="AY891" s="59">
        <v>7</v>
      </c>
      <c r="AZ891" s="59">
        <v>6</v>
      </c>
      <c r="BA891" s="59">
        <v>8</v>
      </c>
      <c r="BB891" s="57">
        <f t="shared" si="265"/>
        <v>2235</v>
      </c>
    </row>
    <row r="892" spans="1:54" x14ac:dyDescent="0.25">
      <c r="A892" s="58">
        <v>54</v>
      </c>
      <c r="B892" s="59">
        <v>0</v>
      </c>
      <c r="C892" s="59">
        <v>2</v>
      </c>
      <c r="D892" s="59">
        <f t="shared" si="247"/>
        <v>0</v>
      </c>
      <c r="E892" s="59">
        <f t="shared" si="248"/>
        <v>1</v>
      </c>
      <c r="F892" s="59">
        <v>966</v>
      </c>
      <c r="G892" s="59">
        <v>2</v>
      </c>
      <c r="H892" s="59">
        <f t="shared" si="249"/>
        <v>0</v>
      </c>
      <c r="I892" s="59">
        <f t="shared" si="250"/>
        <v>1</v>
      </c>
      <c r="J892" s="59">
        <v>1</v>
      </c>
      <c r="K892" s="59">
        <v>4</v>
      </c>
      <c r="L892" s="59">
        <v>1</v>
      </c>
      <c r="M892" s="59">
        <f t="shared" si="251"/>
        <v>1</v>
      </c>
      <c r="N892" s="59">
        <f t="shared" si="252"/>
        <v>0</v>
      </c>
      <c r="O892" s="59">
        <f t="shared" si="253"/>
        <v>0</v>
      </c>
      <c r="P892" s="59">
        <f t="shared" si="254"/>
        <v>0</v>
      </c>
      <c r="Q892" s="59">
        <f t="shared" si="255"/>
        <v>0</v>
      </c>
      <c r="R892" s="59">
        <v>1</v>
      </c>
      <c r="S892" s="59">
        <v>1245</v>
      </c>
      <c r="T892" s="59">
        <v>4</v>
      </c>
      <c r="U892" s="59">
        <v>0</v>
      </c>
      <c r="V892" s="59">
        <v>53</v>
      </c>
      <c r="W892" s="59">
        <v>3</v>
      </c>
      <c r="X892" s="59">
        <v>3</v>
      </c>
      <c r="Y892" s="59">
        <v>4</v>
      </c>
      <c r="Z892" s="59">
        <f t="shared" si="256"/>
        <v>0</v>
      </c>
      <c r="AA892" s="59">
        <f>IF('Updated Dummy'!Y892=2,1,0)</f>
        <v>0</v>
      </c>
      <c r="AB892" s="59">
        <f t="shared" si="257"/>
        <v>0</v>
      </c>
      <c r="AC892" s="59">
        <f t="shared" si="258"/>
        <v>1</v>
      </c>
      <c r="AD892" s="59">
        <f t="shared" si="259"/>
        <v>0</v>
      </c>
      <c r="AE892" s="59">
        <f t="shared" si="260"/>
        <v>0</v>
      </c>
      <c r="AF892" s="59">
        <f t="shared" si="261"/>
        <v>0</v>
      </c>
      <c r="AG892" s="59">
        <f t="shared" si="262"/>
        <v>0</v>
      </c>
      <c r="AH892" s="59">
        <v>3</v>
      </c>
      <c r="AI892" s="59">
        <v>3</v>
      </c>
      <c r="AJ892" s="59">
        <f t="shared" si="263"/>
        <v>0</v>
      </c>
      <c r="AK892" s="59">
        <f t="shared" si="264"/>
        <v>0</v>
      </c>
      <c r="AL892" s="59">
        <v>10502</v>
      </c>
      <c r="AM892" s="59">
        <v>9659</v>
      </c>
      <c r="AN892" s="59">
        <v>7</v>
      </c>
      <c r="AO892" s="59">
        <v>0</v>
      </c>
      <c r="AP892" s="59">
        <v>17</v>
      </c>
      <c r="AQ892" s="59">
        <v>3</v>
      </c>
      <c r="AR892" s="59">
        <v>1</v>
      </c>
      <c r="AS892" s="59">
        <v>80</v>
      </c>
      <c r="AT892" s="59">
        <v>1</v>
      </c>
      <c r="AU892" s="59">
        <v>33</v>
      </c>
      <c r="AV892" s="59">
        <v>2</v>
      </c>
      <c r="AW892" s="59">
        <v>1</v>
      </c>
      <c r="AX892" s="59">
        <v>5</v>
      </c>
      <c r="AY892" s="59">
        <v>4</v>
      </c>
      <c r="AZ892" s="59">
        <v>1</v>
      </c>
      <c r="BA892" s="59">
        <v>4</v>
      </c>
      <c r="BB892" s="57">
        <f t="shared" si="265"/>
        <v>31506</v>
      </c>
    </row>
    <row r="893" spans="1:54" x14ac:dyDescent="0.25">
      <c r="A893" s="58">
        <v>44</v>
      </c>
      <c r="B893" s="59">
        <v>0</v>
      </c>
      <c r="C893" s="59">
        <v>1</v>
      </c>
      <c r="D893" s="59">
        <f t="shared" si="247"/>
        <v>1</v>
      </c>
      <c r="E893" s="59">
        <f t="shared" si="248"/>
        <v>0</v>
      </c>
      <c r="F893" s="59">
        <v>1117</v>
      </c>
      <c r="G893" s="59">
        <v>2</v>
      </c>
      <c r="H893" s="59">
        <f t="shared" si="249"/>
        <v>0</v>
      </c>
      <c r="I893" s="59">
        <f t="shared" si="250"/>
        <v>1</v>
      </c>
      <c r="J893" s="59">
        <v>2</v>
      </c>
      <c r="K893" s="59">
        <v>1</v>
      </c>
      <c r="L893" s="59">
        <v>1</v>
      </c>
      <c r="M893" s="59">
        <f t="shared" si="251"/>
        <v>1</v>
      </c>
      <c r="N893" s="59">
        <f t="shared" si="252"/>
        <v>0</v>
      </c>
      <c r="O893" s="59">
        <f t="shared" si="253"/>
        <v>0</v>
      </c>
      <c r="P893" s="59">
        <f t="shared" si="254"/>
        <v>0</v>
      </c>
      <c r="Q893" s="59">
        <f t="shared" si="255"/>
        <v>0</v>
      </c>
      <c r="R893" s="59">
        <v>1</v>
      </c>
      <c r="S893" s="59">
        <v>1246</v>
      </c>
      <c r="T893" s="59">
        <v>1</v>
      </c>
      <c r="U893" s="59">
        <v>0</v>
      </c>
      <c r="V893" s="59">
        <v>72</v>
      </c>
      <c r="W893" s="59">
        <v>4</v>
      </c>
      <c r="X893" s="59">
        <v>1</v>
      </c>
      <c r="Y893" s="59">
        <v>2</v>
      </c>
      <c r="Z893" s="59">
        <f t="shared" si="256"/>
        <v>0</v>
      </c>
      <c r="AA893" s="59">
        <f>IF('Updated Dummy'!Y893=2,1,0)</f>
        <v>1</v>
      </c>
      <c r="AB893" s="59">
        <f t="shared" si="257"/>
        <v>0</v>
      </c>
      <c r="AC893" s="59">
        <f t="shared" si="258"/>
        <v>0</v>
      </c>
      <c r="AD893" s="59">
        <f t="shared" si="259"/>
        <v>0</v>
      </c>
      <c r="AE893" s="59">
        <f t="shared" si="260"/>
        <v>0</v>
      </c>
      <c r="AF893" s="59">
        <f t="shared" si="261"/>
        <v>0</v>
      </c>
      <c r="AG893" s="59">
        <f t="shared" si="262"/>
        <v>0</v>
      </c>
      <c r="AH893" s="59">
        <v>4</v>
      </c>
      <c r="AI893" s="59">
        <v>2</v>
      </c>
      <c r="AJ893" s="59">
        <f t="shared" si="263"/>
        <v>0</v>
      </c>
      <c r="AK893" s="59">
        <f t="shared" si="264"/>
        <v>1</v>
      </c>
      <c r="AL893" s="59">
        <v>2011</v>
      </c>
      <c r="AM893" s="59">
        <v>19982</v>
      </c>
      <c r="AN893" s="59">
        <v>1</v>
      </c>
      <c r="AO893" s="59">
        <v>0</v>
      </c>
      <c r="AP893" s="59">
        <v>13</v>
      </c>
      <c r="AQ893" s="59">
        <v>3</v>
      </c>
      <c r="AR893" s="59">
        <v>4</v>
      </c>
      <c r="AS893" s="59">
        <v>80</v>
      </c>
      <c r="AT893" s="59">
        <v>1</v>
      </c>
      <c r="AU893" s="59">
        <v>10</v>
      </c>
      <c r="AV893" s="59">
        <v>5</v>
      </c>
      <c r="AW893" s="59">
        <v>3</v>
      </c>
      <c r="AX893" s="59">
        <v>10</v>
      </c>
      <c r="AY893" s="59">
        <v>5</v>
      </c>
      <c r="AZ893" s="59">
        <v>7</v>
      </c>
      <c r="BA893" s="59">
        <v>7</v>
      </c>
      <c r="BB893" s="57">
        <f t="shared" si="265"/>
        <v>2011</v>
      </c>
    </row>
    <row r="894" spans="1:54" x14ac:dyDescent="0.25">
      <c r="A894" s="58">
        <v>19</v>
      </c>
      <c r="B894" s="59">
        <v>1</v>
      </c>
      <c r="C894" s="59">
        <v>3</v>
      </c>
      <c r="D894" s="59">
        <f t="shared" si="247"/>
        <v>0</v>
      </c>
      <c r="E894" s="59">
        <f t="shared" si="248"/>
        <v>0</v>
      </c>
      <c r="F894" s="59">
        <v>504</v>
      </c>
      <c r="G894" s="59">
        <v>2</v>
      </c>
      <c r="H894" s="59">
        <f t="shared" si="249"/>
        <v>0</v>
      </c>
      <c r="I894" s="59">
        <f t="shared" si="250"/>
        <v>1</v>
      </c>
      <c r="J894" s="59">
        <v>10</v>
      </c>
      <c r="K894" s="59">
        <v>3</v>
      </c>
      <c r="L894" s="59">
        <v>3</v>
      </c>
      <c r="M894" s="59">
        <f t="shared" si="251"/>
        <v>0</v>
      </c>
      <c r="N894" s="59">
        <f t="shared" si="252"/>
        <v>0</v>
      </c>
      <c r="O894" s="59">
        <f t="shared" si="253"/>
        <v>1</v>
      </c>
      <c r="P894" s="59">
        <f t="shared" si="254"/>
        <v>0</v>
      </c>
      <c r="Q894" s="59">
        <f t="shared" si="255"/>
        <v>0</v>
      </c>
      <c r="R894" s="59">
        <v>1</v>
      </c>
      <c r="S894" s="59">
        <v>1248</v>
      </c>
      <c r="T894" s="59">
        <v>1</v>
      </c>
      <c r="U894" s="59">
        <v>0</v>
      </c>
      <c r="V894" s="59">
        <v>96</v>
      </c>
      <c r="W894" s="59">
        <v>2</v>
      </c>
      <c r="X894" s="59">
        <v>1</v>
      </c>
      <c r="Y894" s="59">
        <v>2</v>
      </c>
      <c r="Z894" s="59">
        <f t="shared" si="256"/>
        <v>0</v>
      </c>
      <c r="AA894" s="59">
        <f>IF('Updated Dummy'!Y894=2,1,0)</f>
        <v>1</v>
      </c>
      <c r="AB894" s="59">
        <f t="shared" si="257"/>
        <v>0</v>
      </c>
      <c r="AC894" s="59">
        <f t="shared" si="258"/>
        <v>0</v>
      </c>
      <c r="AD894" s="59">
        <f t="shared" si="259"/>
        <v>0</v>
      </c>
      <c r="AE894" s="59">
        <f t="shared" si="260"/>
        <v>0</v>
      </c>
      <c r="AF894" s="59">
        <f t="shared" si="261"/>
        <v>0</v>
      </c>
      <c r="AG894" s="59">
        <f t="shared" si="262"/>
        <v>0</v>
      </c>
      <c r="AH894" s="59">
        <v>2</v>
      </c>
      <c r="AI894" s="59">
        <v>1</v>
      </c>
      <c r="AJ894" s="59">
        <f t="shared" si="263"/>
        <v>1</v>
      </c>
      <c r="AK894" s="59">
        <f t="shared" si="264"/>
        <v>0</v>
      </c>
      <c r="AL894" s="59">
        <v>1859</v>
      </c>
      <c r="AM894" s="59">
        <v>6148</v>
      </c>
      <c r="AN894" s="59">
        <v>1</v>
      </c>
      <c r="AO894" s="59">
        <v>1</v>
      </c>
      <c r="AP894" s="59">
        <v>25</v>
      </c>
      <c r="AQ894" s="59">
        <v>4</v>
      </c>
      <c r="AR894" s="59">
        <v>2</v>
      </c>
      <c r="AS894" s="59">
        <v>80</v>
      </c>
      <c r="AT894" s="59">
        <v>0</v>
      </c>
      <c r="AU894" s="59">
        <v>1</v>
      </c>
      <c r="AV894" s="59">
        <v>2</v>
      </c>
      <c r="AW894" s="59">
        <v>4</v>
      </c>
      <c r="AX894" s="59">
        <v>1</v>
      </c>
      <c r="AY894" s="59">
        <v>1</v>
      </c>
      <c r="AZ894" s="59">
        <v>0</v>
      </c>
      <c r="BA894" s="59">
        <v>0</v>
      </c>
      <c r="BB894" s="57">
        <f t="shared" si="265"/>
        <v>1859</v>
      </c>
    </row>
    <row r="895" spans="1:54" x14ac:dyDescent="0.25">
      <c r="A895" s="58">
        <v>29</v>
      </c>
      <c r="B895" s="59">
        <v>0</v>
      </c>
      <c r="C895" s="59">
        <v>1</v>
      </c>
      <c r="D895" s="59">
        <f t="shared" si="247"/>
        <v>1</v>
      </c>
      <c r="E895" s="59">
        <f t="shared" si="248"/>
        <v>0</v>
      </c>
      <c r="F895" s="59">
        <v>1010</v>
      </c>
      <c r="G895" s="59">
        <v>2</v>
      </c>
      <c r="H895" s="59">
        <f t="shared" si="249"/>
        <v>0</v>
      </c>
      <c r="I895" s="59">
        <f t="shared" si="250"/>
        <v>1</v>
      </c>
      <c r="J895" s="59">
        <v>1</v>
      </c>
      <c r="K895" s="59">
        <v>3</v>
      </c>
      <c r="L895" s="59">
        <v>1</v>
      </c>
      <c r="M895" s="59">
        <f t="shared" si="251"/>
        <v>1</v>
      </c>
      <c r="N895" s="59">
        <f t="shared" si="252"/>
        <v>0</v>
      </c>
      <c r="O895" s="59">
        <f t="shared" si="253"/>
        <v>0</v>
      </c>
      <c r="P895" s="59">
        <f t="shared" si="254"/>
        <v>0</v>
      </c>
      <c r="Q895" s="59">
        <f t="shared" si="255"/>
        <v>0</v>
      </c>
      <c r="R895" s="59">
        <v>1</v>
      </c>
      <c r="S895" s="59">
        <v>1249</v>
      </c>
      <c r="T895" s="59">
        <v>1</v>
      </c>
      <c r="U895" s="59">
        <v>0</v>
      </c>
      <c r="V895" s="59">
        <v>97</v>
      </c>
      <c r="W895" s="59">
        <v>3</v>
      </c>
      <c r="X895" s="59">
        <v>1</v>
      </c>
      <c r="Y895" s="59">
        <v>2</v>
      </c>
      <c r="Z895" s="59">
        <f t="shared" si="256"/>
        <v>0</v>
      </c>
      <c r="AA895" s="59">
        <f>IF('Updated Dummy'!Y895=2,1,0)</f>
        <v>1</v>
      </c>
      <c r="AB895" s="59">
        <f t="shared" si="257"/>
        <v>0</v>
      </c>
      <c r="AC895" s="59">
        <f t="shared" si="258"/>
        <v>0</v>
      </c>
      <c r="AD895" s="59">
        <f t="shared" si="259"/>
        <v>0</v>
      </c>
      <c r="AE895" s="59">
        <f t="shared" si="260"/>
        <v>0</v>
      </c>
      <c r="AF895" s="59">
        <f t="shared" si="261"/>
        <v>0</v>
      </c>
      <c r="AG895" s="59">
        <f t="shared" si="262"/>
        <v>0</v>
      </c>
      <c r="AH895" s="59">
        <v>4</v>
      </c>
      <c r="AI895" s="59">
        <v>3</v>
      </c>
      <c r="AJ895" s="59">
        <f t="shared" si="263"/>
        <v>0</v>
      </c>
      <c r="AK895" s="59">
        <f t="shared" si="264"/>
        <v>0</v>
      </c>
      <c r="AL895" s="59">
        <v>3760</v>
      </c>
      <c r="AM895" s="59">
        <v>5598</v>
      </c>
      <c r="AN895" s="59">
        <v>1</v>
      </c>
      <c r="AO895" s="59">
        <v>0</v>
      </c>
      <c r="AP895" s="59">
        <v>15</v>
      </c>
      <c r="AQ895" s="59">
        <v>3</v>
      </c>
      <c r="AR895" s="59">
        <v>1</v>
      </c>
      <c r="AS895" s="59">
        <v>80</v>
      </c>
      <c r="AT895" s="59">
        <v>3</v>
      </c>
      <c r="AU895" s="59">
        <v>3</v>
      </c>
      <c r="AV895" s="59">
        <v>5</v>
      </c>
      <c r="AW895" s="59">
        <v>3</v>
      </c>
      <c r="AX895" s="59">
        <v>3</v>
      </c>
      <c r="AY895" s="59">
        <v>2</v>
      </c>
      <c r="AZ895" s="59">
        <v>1</v>
      </c>
      <c r="BA895" s="59">
        <v>2</v>
      </c>
      <c r="BB895" s="57">
        <f t="shared" si="265"/>
        <v>3760</v>
      </c>
    </row>
    <row r="896" spans="1:54" x14ac:dyDescent="0.25">
      <c r="A896" s="58">
        <v>54</v>
      </c>
      <c r="B896" s="59">
        <v>0</v>
      </c>
      <c r="C896" s="59">
        <v>1</v>
      </c>
      <c r="D896" s="59">
        <f t="shared" si="247"/>
        <v>1</v>
      </c>
      <c r="E896" s="59">
        <f t="shared" si="248"/>
        <v>0</v>
      </c>
      <c r="F896" s="59">
        <v>685</v>
      </c>
      <c r="G896" s="59">
        <v>2</v>
      </c>
      <c r="H896" s="59">
        <f t="shared" si="249"/>
        <v>0</v>
      </c>
      <c r="I896" s="59">
        <f t="shared" si="250"/>
        <v>1</v>
      </c>
      <c r="J896" s="59">
        <v>3</v>
      </c>
      <c r="K896" s="59">
        <v>3</v>
      </c>
      <c r="L896" s="59">
        <v>1</v>
      </c>
      <c r="M896" s="59">
        <f t="shared" si="251"/>
        <v>1</v>
      </c>
      <c r="N896" s="59">
        <f t="shared" si="252"/>
        <v>0</v>
      </c>
      <c r="O896" s="59">
        <f t="shared" si="253"/>
        <v>0</v>
      </c>
      <c r="P896" s="59">
        <f t="shared" si="254"/>
        <v>0</v>
      </c>
      <c r="Q896" s="59">
        <f t="shared" si="255"/>
        <v>0</v>
      </c>
      <c r="R896" s="59">
        <v>1</v>
      </c>
      <c r="S896" s="59">
        <v>1250</v>
      </c>
      <c r="T896" s="59">
        <v>4</v>
      </c>
      <c r="U896" s="59">
        <v>1</v>
      </c>
      <c r="V896" s="59">
        <v>85</v>
      </c>
      <c r="W896" s="59">
        <v>3</v>
      </c>
      <c r="X896" s="59">
        <v>4</v>
      </c>
      <c r="Y896" s="59">
        <v>8</v>
      </c>
      <c r="Z896" s="59">
        <f t="shared" si="256"/>
        <v>0</v>
      </c>
      <c r="AA896" s="59">
        <f>IF('Updated Dummy'!Y896=2,1,0)</f>
        <v>0</v>
      </c>
      <c r="AB896" s="59">
        <f t="shared" si="257"/>
        <v>0</v>
      </c>
      <c r="AC896" s="59">
        <f t="shared" si="258"/>
        <v>0</v>
      </c>
      <c r="AD896" s="59">
        <f t="shared" si="259"/>
        <v>0</v>
      </c>
      <c r="AE896" s="59">
        <f t="shared" si="260"/>
        <v>0</v>
      </c>
      <c r="AF896" s="59">
        <f t="shared" si="261"/>
        <v>0</v>
      </c>
      <c r="AG896" s="59">
        <f t="shared" si="262"/>
        <v>1</v>
      </c>
      <c r="AH896" s="59">
        <v>4</v>
      </c>
      <c r="AI896" s="59">
        <v>2</v>
      </c>
      <c r="AJ896" s="59">
        <f t="shared" si="263"/>
        <v>0</v>
      </c>
      <c r="AK896" s="59">
        <f t="shared" si="264"/>
        <v>1</v>
      </c>
      <c r="AL896" s="59">
        <v>17779</v>
      </c>
      <c r="AM896" s="59">
        <v>23474</v>
      </c>
      <c r="AN896" s="59">
        <v>3</v>
      </c>
      <c r="AO896" s="59">
        <v>0</v>
      </c>
      <c r="AP896" s="59">
        <v>14</v>
      </c>
      <c r="AQ896" s="59">
        <v>3</v>
      </c>
      <c r="AR896" s="59">
        <v>1</v>
      </c>
      <c r="AS896" s="59">
        <v>80</v>
      </c>
      <c r="AT896" s="59">
        <v>0</v>
      </c>
      <c r="AU896" s="59">
        <v>36</v>
      </c>
      <c r="AV896" s="59">
        <v>2</v>
      </c>
      <c r="AW896" s="59">
        <v>3</v>
      </c>
      <c r="AX896" s="59">
        <v>10</v>
      </c>
      <c r="AY896" s="59">
        <v>9</v>
      </c>
      <c r="AZ896" s="59">
        <v>0</v>
      </c>
      <c r="BA896" s="59">
        <v>9</v>
      </c>
      <c r="BB896" s="57">
        <f t="shared" si="265"/>
        <v>71116</v>
      </c>
    </row>
    <row r="897" spans="1:54" x14ac:dyDescent="0.25">
      <c r="A897" s="58">
        <v>31</v>
      </c>
      <c r="B897" s="59">
        <v>0</v>
      </c>
      <c r="C897" s="59">
        <v>1</v>
      </c>
      <c r="D897" s="59">
        <f t="shared" si="247"/>
        <v>1</v>
      </c>
      <c r="E897" s="59">
        <f t="shared" si="248"/>
        <v>0</v>
      </c>
      <c r="F897" s="59">
        <v>1332</v>
      </c>
      <c r="G897" s="59">
        <v>2</v>
      </c>
      <c r="H897" s="59">
        <f t="shared" si="249"/>
        <v>0</v>
      </c>
      <c r="I897" s="59">
        <f t="shared" si="250"/>
        <v>1</v>
      </c>
      <c r="J897" s="59">
        <v>11</v>
      </c>
      <c r="K897" s="59">
        <v>2</v>
      </c>
      <c r="L897" s="59">
        <v>3</v>
      </c>
      <c r="M897" s="59">
        <f t="shared" si="251"/>
        <v>0</v>
      </c>
      <c r="N897" s="59">
        <f t="shared" si="252"/>
        <v>0</v>
      </c>
      <c r="O897" s="59">
        <f t="shared" si="253"/>
        <v>1</v>
      </c>
      <c r="P897" s="59">
        <f t="shared" si="254"/>
        <v>0</v>
      </c>
      <c r="Q897" s="59">
        <f t="shared" si="255"/>
        <v>0</v>
      </c>
      <c r="R897" s="59">
        <v>1</v>
      </c>
      <c r="S897" s="59">
        <v>1251</v>
      </c>
      <c r="T897" s="59">
        <v>3</v>
      </c>
      <c r="U897" s="59">
        <v>1</v>
      </c>
      <c r="V897" s="59">
        <v>80</v>
      </c>
      <c r="W897" s="59">
        <v>3</v>
      </c>
      <c r="X897" s="59">
        <v>2</v>
      </c>
      <c r="Y897" s="59">
        <v>5</v>
      </c>
      <c r="Z897" s="59">
        <f t="shared" si="256"/>
        <v>0</v>
      </c>
      <c r="AA897" s="59">
        <f>IF('Updated Dummy'!Y897=2,1,0)</f>
        <v>0</v>
      </c>
      <c r="AB897" s="59">
        <f t="shared" si="257"/>
        <v>0</v>
      </c>
      <c r="AC897" s="59">
        <f t="shared" si="258"/>
        <v>0</v>
      </c>
      <c r="AD897" s="59">
        <f t="shared" si="259"/>
        <v>1</v>
      </c>
      <c r="AE897" s="59">
        <f t="shared" si="260"/>
        <v>0</v>
      </c>
      <c r="AF897" s="59">
        <f t="shared" si="261"/>
        <v>0</v>
      </c>
      <c r="AG897" s="59">
        <f t="shared" si="262"/>
        <v>0</v>
      </c>
      <c r="AH897" s="59">
        <v>1</v>
      </c>
      <c r="AI897" s="59">
        <v>2</v>
      </c>
      <c r="AJ897" s="59">
        <f t="shared" si="263"/>
        <v>0</v>
      </c>
      <c r="AK897" s="59">
        <f t="shared" si="264"/>
        <v>1</v>
      </c>
      <c r="AL897" s="59">
        <v>6833</v>
      </c>
      <c r="AM897" s="59">
        <v>17089</v>
      </c>
      <c r="AN897" s="59">
        <v>1</v>
      </c>
      <c r="AO897" s="59">
        <v>1</v>
      </c>
      <c r="AP897" s="59">
        <v>12</v>
      </c>
      <c r="AQ897" s="59">
        <v>3</v>
      </c>
      <c r="AR897" s="59">
        <v>4</v>
      </c>
      <c r="AS897" s="59">
        <v>80</v>
      </c>
      <c r="AT897" s="59">
        <v>0</v>
      </c>
      <c r="AU897" s="59">
        <v>6</v>
      </c>
      <c r="AV897" s="59">
        <v>2</v>
      </c>
      <c r="AW897" s="59">
        <v>2</v>
      </c>
      <c r="AX897" s="59">
        <v>6</v>
      </c>
      <c r="AY897" s="59">
        <v>5</v>
      </c>
      <c r="AZ897" s="59">
        <v>0</v>
      </c>
      <c r="BA897" s="59">
        <v>1</v>
      </c>
      <c r="BB897" s="57">
        <f t="shared" si="265"/>
        <v>13666</v>
      </c>
    </row>
    <row r="898" spans="1:54" x14ac:dyDescent="0.25">
      <c r="A898" s="58">
        <v>31</v>
      </c>
      <c r="B898" s="59">
        <v>0</v>
      </c>
      <c r="C898" s="59">
        <v>1</v>
      </c>
      <c r="D898" s="59">
        <f t="shared" si="247"/>
        <v>1</v>
      </c>
      <c r="E898" s="59">
        <f t="shared" si="248"/>
        <v>0</v>
      </c>
      <c r="F898" s="59">
        <v>1062</v>
      </c>
      <c r="G898" s="59">
        <v>2</v>
      </c>
      <c r="H898" s="59">
        <f t="shared" si="249"/>
        <v>0</v>
      </c>
      <c r="I898" s="59">
        <f t="shared" si="250"/>
        <v>1</v>
      </c>
      <c r="J898" s="59">
        <v>24</v>
      </c>
      <c r="K898" s="59">
        <v>3</v>
      </c>
      <c r="L898" s="59">
        <v>3</v>
      </c>
      <c r="M898" s="59">
        <f t="shared" si="251"/>
        <v>0</v>
      </c>
      <c r="N898" s="59">
        <f t="shared" si="252"/>
        <v>0</v>
      </c>
      <c r="O898" s="59">
        <f t="shared" si="253"/>
        <v>1</v>
      </c>
      <c r="P898" s="59">
        <f t="shared" si="254"/>
        <v>0</v>
      </c>
      <c r="Q898" s="59">
        <f t="shared" si="255"/>
        <v>0</v>
      </c>
      <c r="R898" s="59">
        <v>1</v>
      </c>
      <c r="S898" s="59">
        <v>1252</v>
      </c>
      <c r="T898" s="59">
        <v>3</v>
      </c>
      <c r="U898" s="59">
        <v>0</v>
      </c>
      <c r="V898" s="59">
        <v>96</v>
      </c>
      <c r="W898" s="59">
        <v>2</v>
      </c>
      <c r="X898" s="59">
        <v>2</v>
      </c>
      <c r="Y898" s="59">
        <v>5</v>
      </c>
      <c r="Z898" s="59">
        <f t="shared" si="256"/>
        <v>0</v>
      </c>
      <c r="AA898" s="59">
        <f>IF('Updated Dummy'!Y898=2,1,0)</f>
        <v>0</v>
      </c>
      <c r="AB898" s="59">
        <f t="shared" si="257"/>
        <v>0</v>
      </c>
      <c r="AC898" s="59">
        <f t="shared" si="258"/>
        <v>0</v>
      </c>
      <c r="AD898" s="59">
        <f t="shared" si="259"/>
        <v>1</v>
      </c>
      <c r="AE898" s="59">
        <f t="shared" si="260"/>
        <v>0</v>
      </c>
      <c r="AF898" s="59">
        <f t="shared" si="261"/>
        <v>0</v>
      </c>
      <c r="AG898" s="59">
        <f t="shared" si="262"/>
        <v>0</v>
      </c>
      <c r="AH898" s="59">
        <v>1</v>
      </c>
      <c r="AI898" s="59">
        <v>1</v>
      </c>
      <c r="AJ898" s="59">
        <f t="shared" si="263"/>
        <v>1</v>
      </c>
      <c r="AK898" s="59">
        <f t="shared" si="264"/>
        <v>0</v>
      </c>
      <c r="AL898" s="59">
        <v>6812</v>
      </c>
      <c r="AM898" s="59">
        <v>17198</v>
      </c>
      <c r="AN898" s="59">
        <v>1</v>
      </c>
      <c r="AO898" s="59">
        <v>0</v>
      </c>
      <c r="AP898" s="59">
        <v>19</v>
      </c>
      <c r="AQ898" s="59">
        <v>3</v>
      </c>
      <c r="AR898" s="59">
        <v>2</v>
      </c>
      <c r="AS898" s="59">
        <v>80</v>
      </c>
      <c r="AT898" s="59">
        <v>0</v>
      </c>
      <c r="AU898" s="59">
        <v>10</v>
      </c>
      <c r="AV898" s="59">
        <v>2</v>
      </c>
      <c r="AW898" s="59">
        <v>3</v>
      </c>
      <c r="AX898" s="59">
        <v>10</v>
      </c>
      <c r="AY898" s="59">
        <v>9</v>
      </c>
      <c r="AZ898" s="59">
        <v>1</v>
      </c>
      <c r="BA898" s="59">
        <v>8</v>
      </c>
      <c r="BB898" s="57">
        <f t="shared" si="265"/>
        <v>13624</v>
      </c>
    </row>
    <row r="899" spans="1:54" x14ac:dyDescent="0.25">
      <c r="A899" s="58">
        <v>59</v>
      </c>
      <c r="B899" s="59">
        <v>0</v>
      </c>
      <c r="C899" s="59">
        <v>1</v>
      </c>
      <c r="D899" s="59">
        <f t="shared" ref="D899:D962" si="266">IF(C899=1,1,0)</f>
        <v>1</v>
      </c>
      <c r="E899" s="59">
        <f t="shared" ref="E899:E962" si="267">IF(C899=2,1,0)</f>
        <v>0</v>
      </c>
      <c r="F899" s="59">
        <v>326</v>
      </c>
      <c r="G899" s="59">
        <v>1</v>
      </c>
      <c r="H899" s="59">
        <f t="shared" ref="H899:H962" si="268">IF(G899=1,1,0)</f>
        <v>1</v>
      </c>
      <c r="I899" s="59">
        <f t="shared" ref="I899:I962" si="269">IF(G899=2,1,0)</f>
        <v>0</v>
      </c>
      <c r="J899" s="59">
        <v>3</v>
      </c>
      <c r="K899" s="59">
        <v>3</v>
      </c>
      <c r="L899" s="59">
        <v>1</v>
      </c>
      <c r="M899" s="59">
        <f t="shared" ref="M899:M962" si="270">IF(L899=1,1,0)</f>
        <v>1</v>
      </c>
      <c r="N899" s="59">
        <f t="shared" ref="N899:N962" si="271">IF(L899=2,1,0)</f>
        <v>0</v>
      </c>
      <c r="O899" s="59">
        <f t="shared" ref="O899:O962" si="272">IF(L899=3,1,0)</f>
        <v>0</v>
      </c>
      <c r="P899" s="59">
        <f t="shared" ref="P899:P962" si="273">IF(L899=4,1,0)</f>
        <v>0</v>
      </c>
      <c r="Q899" s="59">
        <f t="shared" ref="Q899:Q962" si="274">IF(L899=5,1,0)</f>
        <v>0</v>
      </c>
      <c r="R899" s="59">
        <v>1</v>
      </c>
      <c r="S899" s="59">
        <v>1254</v>
      </c>
      <c r="T899" s="59">
        <v>3</v>
      </c>
      <c r="U899" s="59">
        <v>0</v>
      </c>
      <c r="V899" s="59">
        <v>48</v>
      </c>
      <c r="W899" s="59">
        <v>2</v>
      </c>
      <c r="X899" s="59">
        <v>2</v>
      </c>
      <c r="Y899" s="59">
        <v>1</v>
      </c>
      <c r="Z899" s="59">
        <f t="shared" ref="Z899:Z962" si="275">IF(Y899=1,1,0)</f>
        <v>1</v>
      </c>
      <c r="AA899" s="59">
        <f>IF('Updated Dummy'!Y899=2,1,0)</f>
        <v>0</v>
      </c>
      <c r="AB899" s="59">
        <f t="shared" ref="AB899:AB962" si="276">IF(Y899=3,1,0)</f>
        <v>0</v>
      </c>
      <c r="AC899" s="59">
        <f t="shared" ref="AC899:AC962" si="277">IF(Y899=4,1,0)</f>
        <v>0</v>
      </c>
      <c r="AD899" s="59">
        <f t="shared" ref="AD899:AD962" si="278">IF(Y899=5,1,0)</f>
        <v>0</v>
      </c>
      <c r="AE899" s="59">
        <f t="shared" ref="AE899:AE962" si="279">IF(Y899=6,1,0)</f>
        <v>0</v>
      </c>
      <c r="AF899" s="59">
        <f t="shared" ref="AF899:AF962" si="280">IF(Y899=7,1,0)</f>
        <v>0</v>
      </c>
      <c r="AG899" s="59">
        <f t="shared" ref="AG899:AG962" si="281">IF(Y899=8,1,0)</f>
        <v>0</v>
      </c>
      <c r="AH899" s="59">
        <v>4</v>
      </c>
      <c r="AI899" s="59">
        <v>1</v>
      </c>
      <c r="AJ899" s="59">
        <f t="shared" ref="AJ899:AJ962" si="282">IF(AI899=1,1,0)</f>
        <v>1</v>
      </c>
      <c r="AK899" s="59">
        <f t="shared" ref="AK899:AK962" si="283">IF(AI899=2,1,0)</f>
        <v>0</v>
      </c>
      <c r="AL899" s="59">
        <v>5171</v>
      </c>
      <c r="AM899" s="59">
        <v>16490</v>
      </c>
      <c r="AN899" s="59">
        <v>5</v>
      </c>
      <c r="AO899" s="59">
        <v>0</v>
      </c>
      <c r="AP899" s="59">
        <v>17</v>
      </c>
      <c r="AQ899" s="59">
        <v>3</v>
      </c>
      <c r="AR899" s="59">
        <v>4</v>
      </c>
      <c r="AS899" s="59">
        <v>80</v>
      </c>
      <c r="AT899" s="59">
        <v>0</v>
      </c>
      <c r="AU899" s="59">
        <v>13</v>
      </c>
      <c r="AV899" s="59">
        <v>2</v>
      </c>
      <c r="AW899" s="59">
        <v>3</v>
      </c>
      <c r="AX899" s="59">
        <v>6</v>
      </c>
      <c r="AY899" s="59">
        <v>1</v>
      </c>
      <c r="AZ899" s="59">
        <v>0</v>
      </c>
      <c r="BA899" s="59">
        <v>5</v>
      </c>
      <c r="BB899" s="57">
        <f t="shared" ref="BB899:BB962" si="284">X899*AL899</f>
        <v>10342</v>
      </c>
    </row>
    <row r="900" spans="1:54" x14ac:dyDescent="0.25">
      <c r="A900" s="58">
        <v>43</v>
      </c>
      <c r="B900" s="59">
        <v>0</v>
      </c>
      <c r="C900" s="59">
        <v>1</v>
      </c>
      <c r="D900" s="59">
        <f t="shared" si="266"/>
        <v>1</v>
      </c>
      <c r="E900" s="59">
        <f t="shared" si="267"/>
        <v>0</v>
      </c>
      <c r="F900" s="59">
        <v>920</v>
      </c>
      <c r="G900" s="59">
        <v>2</v>
      </c>
      <c r="H900" s="59">
        <f t="shared" si="268"/>
        <v>0</v>
      </c>
      <c r="I900" s="59">
        <f t="shared" si="269"/>
        <v>1</v>
      </c>
      <c r="J900" s="59">
        <v>3</v>
      </c>
      <c r="K900" s="59">
        <v>3</v>
      </c>
      <c r="L900" s="59">
        <v>1</v>
      </c>
      <c r="M900" s="59">
        <f t="shared" si="270"/>
        <v>1</v>
      </c>
      <c r="N900" s="59">
        <f t="shared" si="271"/>
        <v>0</v>
      </c>
      <c r="O900" s="59">
        <f t="shared" si="272"/>
        <v>0</v>
      </c>
      <c r="P900" s="59">
        <f t="shared" si="273"/>
        <v>0</v>
      </c>
      <c r="Q900" s="59">
        <f t="shared" si="274"/>
        <v>0</v>
      </c>
      <c r="R900" s="59">
        <v>1</v>
      </c>
      <c r="S900" s="59">
        <v>1255</v>
      </c>
      <c r="T900" s="59">
        <v>3</v>
      </c>
      <c r="U900" s="59">
        <v>1</v>
      </c>
      <c r="V900" s="59">
        <v>96</v>
      </c>
      <c r="W900" s="59">
        <v>1</v>
      </c>
      <c r="X900" s="59">
        <v>5</v>
      </c>
      <c r="Y900" s="59">
        <v>8</v>
      </c>
      <c r="Z900" s="59">
        <f t="shared" si="275"/>
        <v>0</v>
      </c>
      <c r="AA900" s="59">
        <f>IF('Updated Dummy'!Y900=2,1,0)</f>
        <v>0</v>
      </c>
      <c r="AB900" s="59">
        <f t="shared" si="276"/>
        <v>0</v>
      </c>
      <c r="AC900" s="59">
        <f t="shared" si="277"/>
        <v>0</v>
      </c>
      <c r="AD900" s="59">
        <f t="shared" si="278"/>
        <v>0</v>
      </c>
      <c r="AE900" s="59">
        <f t="shared" si="279"/>
        <v>0</v>
      </c>
      <c r="AF900" s="59">
        <f t="shared" si="280"/>
        <v>0</v>
      </c>
      <c r="AG900" s="59">
        <f t="shared" si="281"/>
        <v>1</v>
      </c>
      <c r="AH900" s="59">
        <v>4</v>
      </c>
      <c r="AI900" s="59">
        <v>2</v>
      </c>
      <c r="AJ900" s="59">
        <f t="shared" si="282"/>
        <v>0</v>
      </c>
      <c r="AK900" s="59">
        <f t="shared" si="283"/>
        <v>1</v>
      </c>
      <c r="AL900" s="59">
        <v>19740</v>
      </c>
      <c r="AM900" s="59">
        <v>18625</v>
      </c>
      <c r="AN900" s="59">
        <v>3</v>
      </c>
      <c r="AO900" s="59">
        <v>0</v>
      </c>
      <c r="AP900" s="59">
        <v>14</v>
      </c>
      <c r="AQ900" s="59">
        <v>3</v>
      </c>
      <c r="AR900" s="59">
        <v>2</v>
      </c>
      <c r="AS900" s="59">
        <v>80</v>
      </c>
      <c r="AT900" s="59">
        <v>1</v>
      </c>
      <c r="AU900" s="59">
        <v>25</v>
      </c>
      <c r="AV900" s="59">
        <v>2</v>
      </c>
      <c r="AW900" s="59">
        <v>3</v>
      </c>
      <c r="AX900" s="59">
        <v>8</v>
      </c>
      <c r="AY900" s="59">
        <v>7</v>
      </c>
      <c r="AZ900" s="59">
        <v>0</v>
      </c>
      <c r="BA900" s="59">
        <v>7</v>
      </c>
      <c r="BB900" s="57">
        <f t="shared" si="284"/>
        <v>98700</v>
      </c>
    </row>
    <row r="901" spans="1:54" x14ac:dyDescent="0.25">
      <c r="A901" s="58">
        <v>49</v>
      </c>
      <c r="B901" s="59">
        <v>0</v>
      </c>
      <c r="C901" s="59">
        <v>1</v>
      </c>
      <c r="D901" s="59">
        <f t="shared" si="266"/>
        <v>1</v>
      </c>
      <c r="E901" s="59">
        <f t="shared" si="267"/>
        <v>0</v>
      </c>
      <c r="F901" s="59">
        <v>1098</v>
      </c>
      <c r="G901" s="59">
        <v>2</v>
      </c>
      <c r="H901" s="59">
        <f t="shared" si="268"/>
        <v>0</v>
      </c>
      <c r="I901" s="59">
        <f t="shared" si="269"/>
        <v>1</v>
      </c>
      <c r="J901" s="59">
        <v>4</v>
      </c>
      <c r="K901" s="59">
        <v>2</v>
      </c>
      <c r="L901" s="59">
        <v>3</v>
      </c>
      <c r="M901" s="59">
        <f t="shared" si="270"/>
        <v>0</v>
      </c>
      <c r="N901" s="59">
        <f t="shared" si="271"/>
        <v>0</v>
      </c>
      <c r="O901" s="59">
        <f t="shared" si="272"/>
        <v>1</v>
      </c>
      <c r="P901" s="59">
        <f t="shared" si="273"/>
        <v>0</v>
      </c>
      <c r="Q901" s="59">
        <f t="shared" si="274"/>
        <v>0</v>
      </c>
      <c r="R901" s="59">
        <v>1</v>
      </c>
      <c r="S901" s="59">
        <v>1256</v>
      </c>
      <c r="T901" s="59">
        <v>1</v>
      </c>
      <c r="U901" s="59">
        <v>1</v>
      </c>
      <c r="V901" s="59">
        <v>85</v>
      </c>
      <c r="W901" s="59">
        <v>2</v>
      </c>
      <c r="X901" s="59">
        <v>5</v>
      </c>
      <c r="Y901" s="59">
        <v>6</v>
      </c>
      <c r="Z901" s="59">
        <f t="shared" si="275"/>
        <v>0</v>
      </c>
      <c r="AA901" s="59">
        <f>IF('Updated Dummy'!Y901=2,1,0)</f>
        <v>0</v>
      </c>
      <c r="AB901" s="59">
        <f t="shared" si="276"/>
        <v>0</v>
      </c>
      <c r="AC901" s="59">
        <f t="shared" si="277"/>
        <v>0</v>
      </c>
      <c r="AD901" s="59">
        <f t="shared" si="278"/>
        <v>0</v>
      </c>
      <c r="AE901" s="59">
        <f t="shared" si="279"/>
        <v>1</v>
      </c>
      <c r="AF901" s="59">
        <f t="shared" si="280"/>
        <v>0</v>
      </c>
      <c r="AG901" s="59">
        <f t="shared" si="281"/>
        <v>0</v>
      </c>
      <c r="AH901" s="59">
        <v>3</v>
      </c>
      <c r="AI901" s="59">
        <v>2</v>
      </c>
      <c r="AJ901" s="59">
        <f t="shared" si="282"/>
        <v>0</v>
      </c>
      <c r="AK901" s="59">
        <f t="shared" si="283"/>
        <v>1</v>
      </c>
      <c r="AL901" s="59">
        <v>18711</v>
      </c>
      <c r="AM901" s="59">
        <v>12124</v>
      </c>
      <c r="AN901" s="59">
        <v>2</v>
      </c>
      <c r="AO901" s="59">
        <v>0</v>
      </c>
      <c r="AP901" s="59">
        <v>13</v>
      </c>
      <c r="AQ901" s="59">
        <v>3</v>
      </c>
      <c r="AR901" s="59">
        <v>3</v>
      </c>
      <c r="AS901" s="59">
        <v>80</v>
      </c>
      <c r="AT901" s="59">
        <v>1</v>
      </c>
      <c r="AU901" s="59">
        <v>23</v>
      </c>
      <c r="AV901" s="59">
        <v>2</v>
      </c>
      <c r="AW901" s="59">
        <v>4</v>
      </c>
      <c r="AX901" s="59">
        <v>1</v>
      </c>
      <c r="AY901" s="59">
        <v>0</v>
      </c>
      <c r="AZ901" s="59">
        <v>0</v>
      </c>
      <c r="BA901" s="59">
        <v>0</v>
      </c>
      <c r="BB901" s="57">
        <f t="shared" si="284"/>
        <v>93555</v>
      </c>
    </row>
    <row r="902" spans="1:54" x14ac:dyDescent="0.25">
      <c r="A902" s="58">
        <v>36</v>
      </c>
      <c r="B902" s="59">
        <v>0</v>
      </c>
      <c r="C902" s="59">
        <v>2</v>
      </c>
      <c r="D902" s="59">
        <f t="shared" si="266"/>
        <v>0</v>
      </c>
      <c r="E902" s="59">
        <f t="shared" si="267"/>
        <v>1</v>
      </c>
      <c r="F902" s="59">
        <v>469</v>
      </c>
      <c r="G902" s="59">
        <v>2</v>
      </c>
      <c r="H902" s="59">
        <f t="shared" si="268"/>
        <v>0</v>
      </c>
      <c r="I902" s="59">
        <f t="shared" si="269"/>
        <v>1</v>
      </c>
      <c r="J902" s="59">
        <v>3</v>
      </c>
      <c r="K902" s="59">
        <v>3</v>
      </c>
      <c r="L902" s="59">
        <v>5</v>
      </c>
      <c r="M902" s="59">
        <f t="shared" si="270"/>
        <v>0</v>
      </c>
      <c r="N902" s="59">
        <f t="shared" si="271"/>
        <v>0</v>
      </c>
      <c r="O902" s="59">
        <f t="shared" si="272"/>
        <v>0</v>
      </c>
      <c r="P902" s="59">
        <f t="shared" si="273"/>
        <v>0</v>
      </c>
      <c r="Q902" s="59">
        <f t="shared" si="274"/>
        <v>1</v>
      </c>
      <c r="R902" s="59">
        <v>1</v>
      </c>
      <c r="S902" s="59">
        <v>1257</v>
      </c>
      <c r="T902" s="59">
        <v>3</v>
      </c>
      <c r="U902" s="59">
        <v>1</v>
      </c>
      <c r="V902" s="59">
        <v>46</v>
      </c>
      <c r="W902" s="59">
        <v>3</v>
      </c>
      <c r="X902" s="59">
        <v>1</v>
      </c>
      <c r="Y902" s="59">
        <v>2</v>
      </c>
      <c r="Z902" s="59">
        <f t="shared" si="275"/>
        <v>0</v>
      </c>
      <c r="AA902" s="59">
        <f>IF('Updated Dummy'!Y902=2,1,0)</f>
        <v>1</v>
      </c>
      <c r="AB902" s="59">
        <f t="shared" si="276"/>
        <v>0</v>
      </c>
      <c r="AC902" s="59">
        <f t="shared" si="277"/>
        <v>0</v>
      </c>
      <c r="AD902" s="59">
        <f t="shared" si="278"/>
        <v>0</v>
      </c>
      <c r="AE902" s="59">
        <f t="shared" si="279"/>
        <v>0</v>
      </c>
      <c r="AF902" s="59">
        <f t="shared" si="280"/>
        <v>0</v>
      </c>
      <c r="AG902" s="59">
        <f t="shared" si="281"/>
        <v>0</v>
      </c>
      <c r="AH902" s="59">
        <v>2</v>
      </c>
      <c r="AI902" s="59">
        <v>2</v>
      </c>
      <c r="AJ902" s="59">
        <f t="shared" si="282"/>
        <v>0</v>
      </c>
      <c r="AK902" s="59">
        <f t="shared" si="283"/>
        <v>1</v>
      </c>
      <c r="AL902" s="59">
        <v>3692</v>
      </c>
      <c r="AM902" s="59">
        <v>9256</v>
      </c>
      <c r="AN902" s="59">
        <v>1</v>
      </c>
      <c r="AO902" s="59">
        <v>0</v>
      </c>
      <c r="AP902" s="59">
        <v>12</v>
      </c>
      <c r="AQ902" s="59">
        <v>3</v>
      </c>
      <c r="AR902" s="59">
        <v>3</v>
      </c>
      <c r="AS902" s="59">
        <v>80</v>
      </c>
      <c r="AT902" s="59">
        <v>0</v>
      </c>
      <c r="AU902" s="59">
        <v>12</v>
      </c>
      <c r="AV902" s="59">
        <v>2</v>
      </c>
      <c r="AW902" s="59">
        <v>2</v>
      </c>
      <c r="AX902" s="59">
        <v>11</v>
      </c>
      <c r="AY902" s="59">
        <v>10</v>
      </c>
      <c r="AZ902" s="59">
        <v>0</v>
      </c>
      <c r="BA902" s="59">
        <v>7</v>
      </c>
      <c r="BB902" s="57">
        <f t="shared" si="284"/>
        <v>3692</v>
      </c>
    </row>
    <row r="903" spans="1:54" x14ac:dyDescent="0.25">
      <c r="A903" s="58">
        <v>48</v>
      </c>
      <c r="B903" s="59">
        <v>0</v>
      </c>
      <c r="C903" s="59">
        <v>1</v>
      </c>
      <c r="D903" s="59">
        <f t="shared" si="266"/>
        <v>1</v>
      </c>
      <c r="E903" s="59">
        <f t="shared" si="267"/>
        <v>0</v>
      </c>
      <c r="F903" s="59">
        <v>969</v>
      </c>
      <c r="G903" s="59">
        <v>2</v>
      </c>
      <c r="H903" s="59">
        <f t="shared" si="268"/>
        <v>0</v>
      </c>
      <c r="I903" s="59">
        <f t="shared" si="269"/>
        <v>1</v>
      </c>
      <c r="J903" s="59">
        <v>2</v>
      </c>
      <c r="K903" s="59">
        <v>2</v>
      </c>
      <c r="L903" s="59">
        <v>5</v>
      </c>
      <c r="M903" s="59">
        <f t="shared" si="270"/>
        <v>0</v>
      </c>
      <c r="N903" s="59">
        <f t="shared" si="271"/>
        <v>0</v>
      </c>
      <c r="O903" s="59">
        <f t="shared" si="272"/>
        <v>0</v>
      </c>
      <c r="P903" s="59">
        <f t="shared" si="273"/>
        <v>0</v>
      </c>
      <c r="Q903" s="59">
        <f t="shared" si="274"/>
        <v>1</v>
      </c>
      <c r="R903" s="59">
        <v>1</v>
      </c>
      <c r="S903" s="59">
        <v>1258</v>
      </c>
      <c r="T903" s="59">
        <v>4</v>
      </c>
      <c r="U903" s="59">
        <v>1</v>
      </c>
      <c r="V903" s="59">
        <v>76</v>
      </c>
      <c r="W903" s="59">
        <v>4</v>
      </c>
      <c r="X903" s="59">
        <v>1</v>
      </c>
      <c r="Y903" s="59">
        <v>3</v>
      </c>
      <c r="Z903" s="59">
        <f t="shared" si="275"/>
        <v>0</v>
      </c>
      <c r="AA903" s="59">
        <f>IF('Updated Dummy'!Y903=2,1,0)</f>
        <v>0</v>
      </c>
      <c r="AB903" s="59">
        <f t="shared" si="276"/>
        <v>1</v>
      </c>
      <c r="AC903" s="59">
        <f t="shared" si="277"/>
        <v>0</v>
      </c>
      <c r="AD903" s="59">
        <f t="shared" si="278"/>
        <v>0</v>
      </c>
      <c r="AE903" s="59">
        <f t="shared" si="279"/>
        <v>0</v>
      </c>
      <c r="AF903" s="59">
        <f t="shared" si="280"/>
        <v>0</v>
      </c>
      <c r="AG903" s="59">
        <f t="shared" si="281"/>
        <v>0</v>
      </c>
      <c r="AH903" s="59">
        <v>2</v>
      </c>
      <c r="AI903" s="59">
        <v>1</v>
      </c>
      <c r="AJ903" s="59">
        <f t="shared" si="282"/>
        <v>1</v>
      </c>
      <c r="AK903" s="59">
        <f t="shared" si="283"/>
        <v>0</v>
      </c>
      <c r="AL903" s="59">
        <v>2559</v>
      </c>
      <c r="AM903" s="59">
        <v>16620</v>
      </c>
      <c r="AN903" s="59">
        <v>5</v>
      </c>
      <c r="AO903" s="59">
        <v>0</v>
      </c>
      <c r="AP903" s="59">
        <v>11</v>
      </c>
      <c r="AQ903" s="59">
        <v>3</v>
      </c>
      <c r="AR903" s="59">
        <v>3</v>
      </c>
      <c r="AS903" s="59">
        <v>80</v>
      </c>
      <c r="AT903" s="59">
        <v>0</v>
      </c>
      <c r="AU903" s="59">
        <v>7</v>
      </c>
      <c r="AV903" s="59">
        <v>4</v>
      </c>
      <c r="AW903" s="59">
        <v>2</v>
      </c>
      <c r="AX903" s="59">
        <v>1</v>
      </c>
      <c r="AY903" s="59">
        <v>0</v>
      </c>
      <c r="AZ903" s="59">
        <v>0</v>
      </c>
      <c r="BA903" s="59">
        <v>0</v>
      </c>
      <c r="BB903" s="57">
        <f t="shared" si="284"/>
        <v>2559</v>
      </c>
    </row>
    <row r="904" spans="1:54" x14ac:dyDescent="0.25">
      <c r="A904" s="58">
        <v>27</v>
      </c>
      <c r="B904" s="59">
        <v>0</v>
      </c>
      <c r="C904" s="59">
        <v>1</v>
      </c>
      <c r="D904" s="59">
        <f t="shared" si="266"/>
        <v>1</v>
      </c>
      <c r="E904" s="59">
        <f t="shared" si="267"/>
        <v>0</v>
      </c>
      <c r="F904" s="59">
        <v>1167</v>
      </c>
      <c r="G904" s="59">
        <v>2</v>
      </c>
      <c r="H904" s="59">
        <f t="shared" si="268"/>
        <v>0</v>
      </c>
      <c r="I904" s="59">
        <f t="shared" si="269"/>
        <v>1</v>
      </c>
      <c r="J904" s="59">
        <v>4</v>
      </c>
      <c r="K904" s="59">
        <v>2</v>
      </c>
      <c r="L904" s="59">
        <v>1</v>
      </c>
      <c r="M904" s="59">
        <f t="shared" si="270"/>
        <v>1</v>
      </c>
      <c r="N904" s="59">
        <f t="shared" si="271"/>
        <v>0</v>
      </c>
      <c r="O904" s="59">
        <f t="shared" si="272"/>
        <v>0</v>
      </c>
      <c r="P904" s="59">
        <f t="shared" si="273"/>
        <v>0</v>
      </c>
      <c r="Q904" s="59">
        <f t="shared" si="274"/>
        <v>0</v>
      </c>
      <c r="R904" s="59">
        <v>1</v>
      </c>
      <c r="S904" s="59">
        <v>1259</v>
      </c>
      <c r="T904" s="59">
        <v>1</v>
      </c>
      <c r="U904" s="59">
        <v>1</v>
      </c>
      <c r="V904" s="59">
        <v>76</v>
      </c>
      <c r="W904" s="59">
        <v>3</v>
      </c>
      <c r="X904" s="59">
        <v>1</v>
      </c>
      <c r="Y904" s="59">
        <v>2</v>
      </c>
      <c r="Z904" s="59">
        <f t="shared" si="275"/>
        <v>0</v>
      </c>
      <c r="AA904" s="59">
        <f>IF('Updated Dummy'!Y904=2,1,0)</f>
        <v>1</v>
      </c>
      <c r="AB904" s="59">
        <f t="shared" si="276"/>
        <v>0</v>
      </c>
      <c r="AC904" s="59">
        <f t="shared" si="277"/>
        <v>0</v>
      </c>
      <c r="AD904" s="59">
        <f t="shared" si="278"/>
        <v>0</v>
      </c>
      <c r="AE904" s="59">
        <f t="shared" si="279"/>
        <v>0</v>
      </c>
      <c r="AF904" s="59">
        <f t="shared" si="280"/>
        <v>0</v>
      </c>
      <c r="AG904" s="59">
        <f t="shared" si="281"/>
        <v>0</v>
      </c>
      <c r="AH904" s="59">
        <v>3</v>
      </c>
      <c r="AI904" s="59">
        <v>3</v>
      </c>
      <c r="AJ904" s="59">
        <f t="shared" si="282"/>
        <v>0</v>
      </c>
      <c r="AK904" s="59">
        <f t="shared" si="283"/>
        <v>0</v>
      </c>
      <c r="AL904" s="59">
        <v>2517</v>
      </c>
      <c r="AM904" s="59">
        <v>3208</v>
      </c>
      <c r="AN904" s="59">
        <v>1</v>
      </c>
      <c r="AO904" s="59">
        <v>0</v>
      </c>
      <c r="AP904" s="59">
        <v>11</v>
      </c>
      <c r="AQ904" s="59">
        <v>3</v>
      </c>
      <c r="AR904" s="59">
        <v>2</v>
      </c>
      <c r="AS904" s="59">
        <v>80</v>
      </c>
      <c r="AT904" s="59">
        <v>3</v>
      </c>
      <c r="AU904" s="59">
        <v>5</v>
      </c>
      <c r="AV904" s="59">
        <v>2</v>
      </c>
      <c r="AW904" s="59">
        <v>3</v>
      </c>
      <c r="AX904" s="59">
        <v>5</v>
      </c>
      <c r="AY904" s="59">
        <v>3</v>
      </c>
      <c r="AZ904" s="59">
        <v>0</v>
      </c>
      <c r="BA904" s="59">
        <v>3</v>
      </c>
      <c r="BB904" s="57">
        <f t="shared" si="284"/>
        <v>2517</v>
      </c>
    </row>
    <row r="905" spans="1:54" x14ac:dyDescent="0.25">
      <c r="A905" s="58">
        <v>29</v>
      </c>
      <c r="B905" s="59">
        <v>0</v>
      </c>
      <c r="C905" s="59">
        <v>1</v>
      </c>
      <c r="D905" s="59">
        <f t="shared" si="266"/>
        <v>1</v>
      </c>
      <c r="E905" s="59">
        <f t="shared" si="267"/>
        <v>0</v>
      </c>
      <c r="F905" s="59">
        <v>1329</v>
      </c>
      <c r="G905" s="59">
        <v>2</v>
      </c>
      <c r="H905" s="59">
        <f t="shared" si="268"/>
        <v>0</v>
      </c>
      <c r="I905" s="59">
        <f t="shared" si="269"/>
        <v>1</v>
      </c>
      <c r="J905" s="59">
        <v>7</v>
      </c>
      <c r="K905" s="59">
        <v>3</v>
      </c>
      <c r="L905" s="59">
        <v>1</v>
      </c>
      <c r="M905" s="59">
        <f t="shared" si="270"/>
        <v>1</v>
      </c>
      <c r="N905" s="59">
        <f t="shared" si="271"/>
        <v>0</v>
      </c>
      <c r="O905" s="59">
        <f t="shared" si="272"/>
        <v>0</v>
      </c>
      <c r="P905" s="59">
        <f t="shared" si="273"/>
        <v>0</v>
      </c>
      <c r="Q905" s="59">
        <f t="shared" si="274"/>
        <v>0</v>
      </c>
      <c r="R905" s="59">
        <v>1</v>
      </c>
      <c r="S905" s="59">
        <v>1260</v>
      </c>
      <c r="T905" s="59">
        <v>3</v>
      </c>
      <c r="U905" s="59">
        <v>1</v>
      </c>
      <c r="V905" s="59">
        <v>82</v>
      </c>
      <c r="W905" s="59">
        <v>3</v>
      </c>
      <c r="X905" s="59">
        <v>2</v>
      </c>
      <c r="Y905" s="59">
        <v>5</v>
      </c>
      <c r="Z905" s="59">
        <f t="shared" si="275"/>
        <v>0</v>
      </c>
      <c r="AA905" s="59">
        <f>IF('Updated Dummy'!Y905=2,1,0)</f>
        <v>0</v>
      </c>
      <c r="AB905" s="59">
        <f t="shared" si="276"/>
        <v>0</v>
      </c>
      <c r="AC905" s="59">
        <f t="shared" si="277"/>
        <v>0</v>
      </c>
      <c r="AD905" s="59">
        <f t="shared" si="278"/>
        <v>1</v>
      </c>
      <c r="AE905" s="59">
        <f t="shared" si="279"/>
        <v>0</v>
      </c>
      <c r="AF905" s="59">
        <f t="shared" si="280"/>
        <v>0</v>
      </c>
      <c r="AG905" s="59">
        <f t="shared" si="281"/>
        <v>0</v>
      </c>
      <c r="AH905" s="59">
        <v>4</v>
      </c>
      <c r="AI905" s="59">
        <v>3</v>
      </c>
      <c r="AJ905" s="59">
        <f t="shared" si="282"/>
        <v>0</v>
      </c>
      <c r="AK905" s="59">
        <f t="shared" si="283"/>
        <v>0</v>
      </c>
      <c r="AL905" s="59">
        <v>6623</v>
      </c>
      <c r="AM905" s="59">
        <v>4204</v>
      </c>
      <c r="AN905" s="59">
        <v>1</v>
      </c>
      <c r="AO905" s="59">
        <v>1</v>
      </c>
      <c r="AP905" s="59">
        <v>11</v>
      </c>
      <c r="AQ905" s="59">
        <v>3</v>
      </c>
      <c r="AR905" s="59">
        <v>2</v>
      </c>
      <c r="AS905" s="59">
        <v>80</v>
      </c>
      <c r="AT905" s="59">
        <v>2</v>
      </c>
      <c r="AU905" s="59">
        <v>6</v>
      </c>
      <c r="AV905" s="59">
        <v>2</v>
      </c>
      <c r="AW905" s="59">
        <v>3</v>
      </c>
      <c r="AX905" s="59">
        <v>6</v>
      </c>
      <c r="AY905" s="59">
        <v>0</v>
      </c>
      <c r="AZ905" s="59">
        <v>1</v>
      </c>
      <c r="BA905" s="59">
        <v>0</v>
      </c>
      <c r="BB905" s="57">
        <f t="shared" si="284"/>
        <v>13246</v>
      </c>
    </row>
    <row r="906" spans="1:54" x14ac:dyDescent="0.25">
      <c r="A906" s="58">
        <v>48</v>
      </c>
      <c r="B906" s="59">
        <v>0</v>
      </c>
      <c r="C906" s="59">
        <v>1</v>
      </c>
      <c r="D906" s="59">
        <f t="shared" si="266"/>
        <v>1</v>
      </c>
      <c r="E906" s="59">
        <f t="shared" si="267"/>
        <v>0</v>
      </c>
      <c r="F906" s="59">
        <v>715</v>
      </c>
      <c r="G906" s="59">
        <v>2</v>
      </c>
      <c r="H906" s="59">
        <f t="shared" si="268"/>
        <v>0</v>
      </c>
      <c r="I906" s="59">
        <f t="shared" si="269"/>
        <v>1</v>
      </c>
      <c r="J906" s="59">
        <v>1</v>
      </c>
      <c r="K906" s="59">
        <v>3</v>
      </c>
      <c r="L906" s="59">
        <v>1</v>
      </c>
      <c r="M906" s="59">
        <f t="shared" si="270"/>
        <v>1</v>
      </c>
      <c r="N906" s="59">
        <f t="shared" si="271"/>
        <v>0</v>
      </c>
      <c r="O906" s="59">
        <f t="shared" si="272"/>
        <v>0</v>
      </c>
      <c r="P906" s="59">
        <f t="shared" si="273"/>
        <v>0</v>
      </c>
      <c r="Q906" s="59">
        <f t="shared" si="274"/>
        <v>0</v>
      </c>
      <c r="R906" s="59">
        <v>1</v>
      </c>
      <c r="S906" s="59">
        <v>1263</v>
      </c>
      <c r="T906" s="59">
        <v>4</v>
      </c>
      <c r="U906" s="59">
        <v>1</v>
      </c>
      <c r="V906" s="59">
        <v>76</v>
      </c>
      <c r="W906" s="59">
        <v>2</v>
      </c>
      <c r="X906" s="59">
        <v>5</v>
      </c>
      <c r="Y906" s="59">
        <v>8</v>
      </c>
      <c r="Z906" s="59">
        <f t="shared" si="275"/>
        <v>0</v>
      </c>
      <c r="AA906" s="59">
        <f>IF('Updated Dummy'!Y906=2,1,0)</f>
        <v>0</v>
      </c>
      <c r="AB906" s="59">
        <f t="shared" si="276"/>
        <v>0</v>
      </c>
      <c r="AC906" s="59">
        <f t="shared" si="277"/>
        <v>0</v>
      </c>
      <c r="AD906" s="59">
        <f t="shared" si="278"/>
        <v>0</v>
      </c>
      <c r="AE906" s="59">
        <f t="shared" si="279"/>
        <v>0</v>
      </c>
      <c r="AF906" s="59">
        <f t="shared" si="280"/>
        <v>0</v>
      </c>
      <c r="AG906" s="59">
        <f t="shared" si="281"/>
        <v>1</v>
      </c>
      <c r="AH906" s="59">
        <v>4</v>
      </c>
      <c r="AI906" s="59">
        <v>1</v>
      </c>
      <c r="AJ906" s="59">
        <f t="shared" si="282"/>
        <v>1</v>
      </c>
      <c r="AK906" s="59">
        <f t="shared" si="283"/>
        <v>0</v>
      </c>
      <c r="AL906" s="59">
        <v>18265</v>
      </c>
      <c r="AM906" s="59">
        <v>8733</v>
      </c>
      <c r="AN906" s="59">
        <v>6</v>
      </c>
      <c r="AO906" s="59">
        <v>0</v>
      </c>
      <c r="AP906" s="59">
        <v>12</v>
      </c>
      <c r="AQ906" s="59">
        <v>3</v>
      </c>
      <c r="AR906" s="59">
        <v>3</v>
      </c>
      <c r="AS906" s="59">
        <v>80</v>
      </c>
      <c r="AT906" s="59">
        <v>0</v>
      </c>
      <c r="AU906" s="59">
        <v>25</v>
      </c>
      <c r="AV906" s="59">
        <v>3</v>
      </c>
      <c r="AW906" s="59">
        <v>4</v>
      </c>
      <c r="AX906" s="59">
        <v>1</v>
      </c>
      <c r="AY906" s="59">
        <v>0</v>
      </c>
      <c r="AZ906" s="59">
        <v>0</v>
      </c>
      <c r="BA906" s="59">
        <v>0</v>
      </c>
      <c r="BB906" s="57">
        <f t="shared" si="284"/>
        <v>91325</v>
      </c>
    </row>
    <row r="907" spans="1:54" x14ac:dyDescent="0.25">
      <c r="A907" s="58">
        <v>29</v>
      </c>
      <c r="B907" s="59">
        <v>0</v>
      </c>
      <c r="C907" s="59">
        <v>1</v>
      </c>
      <c r="D907" s="59">
        <f t="shared" si="266"/>
        <v>1</v>
      </c>
      <c r="E907" s="59">
        <f t="shared" si="267"/>
        <v>0</v>
      </c>
      <c r="F907" s="59">
        <v>694</v>
      </c>
      <c r="G907" s="59">
        <v>2</v>
      </c>
      <c r="H907" s="59">
        <f t="shared" si="268"/>
        <v>0</v>
      </c>
      <c r="I907" s="59">
        <f t="shared" si="269"/>
        <v>1</v>
      </c>
      <c r="J907" s="59">
        <v>1</v>
      </c>
      <c r="K907" s="59">
        <v>3</v>
      </c>
      <c r="L907" s="59">
        <v>1</v>
      </c>
      <c r="M907" s="59">
        <f t="shared" si="270"/>
        <v>1</v>
      </c>
      <c r="N907" s="59">
        <f t="shared" si="271"/>
        <v>0</v>
      </c>
      <c r="O907" s="59">
        <f t="shared" si="272"/>
        <v>0</v>
      </c>
      <c r="P907" s="59">
        <f t="shared" si="273"/>
        <v>0</v>
      </c>
      <c r="Q907" s="59">
        <f t="shared" si="274"/>
        <v>0</v>
      </c>
      <c r="R907" s="59">
        <v>1</v>
      </c>
      <c r="S907" s="59">
        <v>1264</v>
      </c>
      <c r="T907" s="59">
        <v>4</v>
      </c>
      <c r="U907" s="59">
        <v>0</v>
      </c>
      <c r="V907" s="59">
        <v>87</v>
      </c>
      <c r="W907" s="59">
        <v>2</v>
      </c>
      <c r="X907" s="59">
        <v>4</v>
      </c>
      <c r="Y907" s="59">
        <v>8</v>
      </c>
      <c r="Z907" s="59">
        <f t="shared" si="275"/>
        <v>0</v>
      </c>
      <c r="AA907" s="59">
        <f>IF('Updated Dummy'!Y907=2,1,0)</f>
        <v>0</v>
      </c>
      <c r="AB907" s="59">
        <f t="shared" si="276"/>
        <v>0</v>
      </c>
      <c r="AC907" s="59">
        <f t="shared" si="277"/>
        <v>0</v>
      </c>
      <c r="AD907" s="59">
        <f t="shared" si="278"/>
        <v>0</v>
      </c>
      <c r="AE907" s="59">
        <f t="shared" si="279"/>
        <v>0</v>
      </c>
      <c r="AF907" s="59">
        <f t="shared" si="280"/>
        <v>0</v>
      </c>
      <c r="AG907" s="59">
        <f t="shared" si="281"/>
        <v>1</v>
      </c>
      <c r="AH907" s="59">
        <v>4</v>
      </c>
      <c r="AI907" s="59">
        <v>3</v>
      </c>
      <c r="AJ907" s="59">
        <f t="shared" si="282"/>
        <v>0</v>
      </c>
      <c r="AK907" s="59">
        <f t="shared" si="283"/>
        <v>0</v>
      </c>
      <c r="AL907" s="59">
        <v>16124</v>
      </c>
      <c r="AM907" s="59">
        <v>3423</v>
      </c>
      <c r="AN907" s="59">
        <v>3</v>
      </c>
      <c r="AO907" s="59">
        <v>0</v>
      </c>
      <c r="AP907" s="59">
        <v>14</v>
      </c>
      <c r="AQ907" s="59">
        <v>3</v>
      </c>
      <c r="AR907" s="59">
        <v>2</v>
      </c>
      <c r="AS907" s="59">
        <v>80</v>
      </c>
      <c r="AT907" s="59">
        <v>2</v>
      </c>
      <c r="AU907" s="59">
        <v>9</v>
      </c>
      <c r="AV907" s="59">
        <v>2</v>
      </c>
      <c r="AW907" s="59">
        <v>2</v>
      </c>
      <c r="AX907" s="59">
        <v>7</v>
      </c>
      <c r="AY907" s="59">
        <v>7</v>
      </c>
      <c r="AZ907" s="59">
        <v>1</v>
      </c>
      <c r="BA907" s="59">
        <v>7</v>
      </c>
      <c r="BB907" s="57">
        <f t="shared" si="284"/>
        <v>64496</v>
      </c>
    </row>
    <row r="908" spans="1:54" x14ac:dyDescent="0.25">
      <c r="A908" s="58">
        <v>34</v>
      </c>
      <c r="B908" s="59">
        <v>0</v>
      </c>
      <c r="C908" s="59">
        <v>1</v>
      </c>
      <c r="D908" s="59">
        <f t="shared" si="266"/>
        <v>1</v>
      </c>
      <c r="E908" s="59">
        <f t="shared" si="267"/>
        <v>0</v>
      </c>
      <c r="F908" s="59">
        <v>1320</v>
      </c>
      <c r="G908" s="59">
        <v>2</v>
      </c>
      <c r="H908" s="59">
        <f t="shared" si="268"/>
        <v>0</v>
      </c>
      <c r="I908" s="59">
        <f t="shared" si="269"/>
        <v>1</v>
      </c>
      <c r="J908" s="59">
        <v>20</v>
      </c>
      <c r="K908" s="59">
        <v>3</v>
      </c>
      <c r="L908" s="59">
        <v>5</v>
      </c>
      <c r="M908" s="59">
        <f t="shared" si="270"/>
        <v>0</v>
      </c>
      <c r="N908" s="59">
        <f t="shared" si="271"/>
        <v>0</v>
      </c>
      <c r="O908" s="59">
        <f t="shared" si="272"/>
        <v>0</v>
      </c>
      <c r="P908" s="59">
        <f t="shared" si="273"/>
        <v>0</v>
      </c>
      <c r="Q908" s="59">
        <f t="shared" si="274"/>
        <v>1</v>
      </c>
      <c r="R908" s="59">
        <v>1</v>
      </c>
      <c r="S908" s="59">
        <v>1265</v>
      </c>
      <c r="T908" s="59">
        <v>3</v>
      </c>
      <c r="U908" s="59">
        <v>0</v>
      </c>
      <c r="V908" s="59">
        <v>89</v>
      </c>
      <c r="W908" s="59">
        <v>4</v>
      </c>
      <c r="X908" s="59">
        <v>1</v>
      </c>
      <c r="Y908" s="59">
        <v>2</v>
      </c>
      <c r="Z908" s="59">
        <f t="shared" si="275"/>
        <v>0</v>
      </c>
      <c r="AA908" s="59">
        <f>IF('Updated Dummy'!Y908=2,1,0)</f>
        <v>1</v>
      </c>
      <c r="AB908" s="59">
        <f t="shared" si="276"/>
        <v>0</v>
      </c>
      <c r="AC908" s="59">
        <f t="shared" si="277"/>
        <v>0</v>
      </c>
      <c r="AD908" s="59">
        <f t="shared" si="278"/>
        <v>0</v>
      </c>
      <c r="AE908" s="59">
        <f t="shared" si="279"/>
        <v>0</v>
      </c>
      <c r="AF908" s="59">
        <f t="shared" si="280"/>
        <v>0</v>
      </c>
      <c r="AG908" s="59">
        <f t="shared" si="281"/>
        <v>0</v>
      </c>
      <c r="AH908" s="59">
        <v>3</v>
      </c>
      <c r="AI908" s="59">
        <v>2</v>
      </c>
      <c r="AJ908" s="59">
        <f t="shared" si="282"/>
        <v>0</v>
      </c>
      <c r="AK908" s="59">
        <f t="shared" si="283"/>
        <v>1</v>
      </c>
      <c r="AL908" s="59">
        <v>2585</v>
      </c>
      <c r="AM908" s="59">
        <v>21643</v>
      </c>
      <c r="AN908" s="59">
        <v>0</v>
      </c>
      <c r="AO908" s="59">
        <v>0</v>
      </c>
      <c r="AP908" s="59">
        <v>17</v>
      </c>
      <c r="AQ908" s="59">
        <v>3</v>
      </c>
      <c r="AR908" s="59">
        <v>4</v>
      </c>
      <c r="AS908" s="59">
        <v>80</v>
      </c>
      <c r="AT908" s="59">
        <v>0</v>
      </c>
      <c r="AU908" s="59">
        <v>2</v>
      </c>
      <c r="AV908" s="59">
        <v>5</v>
      </c>
      <c r="AW908" s="59">
        <v>2</v>
      </c>
      <c r="AX908" s="59">
        <v>1</v>
      </c>
      <c r="AY908" s="59">
        <v>0</v>
      </c>
      <c r="AZ908" s="59">
        <v>0</v>
      </c>
      <c r="BA908" s="59">
        <v>0</v>
      </c>
      <c r="BB908" s="57">
        <f t="shared" si="284"/>
        <v>2585</v>
      </c>
    </row>
    <row r="909" spans="1:54" x14ac:dyDescent="0.25">
      <c r="A909" s="58">
        <v>44</v>
      </c>
      <c r="B909" s="59">
        <v>0</v>
      </c>
      <c r="C909" s="59">
        <v>1</v>
      </c>
      <c r="D909" s="59">
        <f t="shared" si="266"/>
        <v>1</v>
      </c>
      <c r="E909" s="59">
        <f t="shared" si="267"/>
        <v>0</v>
      </c>
      <c r="F909" s="59">
        <v>1099</v>
      </c>
      <c r="G909" s="59">
        <v>1</v>
      </c>
      <c r="H909" s="59">
        <f t="shared" si="268"/>
        <v>1</v>
      </c>
      <c r="I909" s="59">
        <f t="shared" si="269"/>
        <v>0</v>
      </c>
      <c r="J909" s="59">
        <v>5</v>
      </c>
      <c r="K909" s="59">
        <v>3</v>
      </c>
      <c r="L909" s="59">
        <v>4</v>
      </c>
      <c r="M909" s="59">
        <f t="shared" si="270"/>
        <v>0</v>
      </c>
      <c r="N909" s="59">
        <f t="shared" si="271"/>
        <v>0</v>
      </c>
      <c r="O909" s="59">
        <f t="shared" si="272"/>
        <v>0</v>
      </c>
      <c r="P909" s="59">
        <f t="shared" si="273"/>
        <v>1</v>
      </c>
      <c r="Q909" s="59">
        <f t="shared" si="274"/>
        <v>0</v>
      </c>
      <c r="R909" s="59">
        <v>1</v>
      </c>
      <c r="S909" s="59">
        <v>1267</v>
      </c>
      <c r="T909" s="59">
        <v>2</v>
      </c>
      <c r="U909" s="59">
        <v>1</v>
      </c>
      <c r="V909" s="59">
        <v>88</v>
      </c>
      <c r="W909" s="59">
        <v>3</v>
      </c>
      <c r="X909" s="59">
        <v>5</v>
      </c>
      <c r="Y909" s="59">
        <v>6</v>
      </c>
      <c r="Z909" s="59">
        <f t="shared" si="275"/>
        <v>0</v>
      </c>
      <c r="AA909" s="59">
        <f>IF('Updated Dummy'!Y909=2,1,0)</f>
        <v>0</v>
      </c>
      <c r="AB909" s="59">
        <f t="shared" si="276"/>
        <v>0</v>
      </c>
      <c r="AC909" s="59">
        <f t="shared" si="277"/>
        <v>0</v>
      </c>
      <c r="AD909" s="59">
        <f t="shared" si="278"/>
        <v>0</v>
      </c>
      <c r="AE909" s="59">
        <f t="shared" si="279"/>
        <v>1</v>
      </c>
      <c r="AF909" s="59">
        <f t="shared" si="280"/>
        <v>0</v>
      </c>
      <c r="AG909" s="59">
        <f t="shared" si="281"/>
        <v>0</v>
      </c>
      <c r="AH909" s="59">
        <v>2</v>
      </c>
      <c r="AI909" s="59">
        <v>2</v>
      </c>
      <c r="AJ909" s="59">
        <f t="shared" si="282"/>
        <v>0</v>
      </c>
      <c r="AK909" s="59">
        <f t="shared" si="283"/>
        <v>1</v>
      </c>
      <c r="AL909" s="59">
        <v>18213</v>
      </c>
      <c r="AM909" s="59">
        <v>8751</v>
      </c>
      <c r="AN909" s="59">
        <v>7</v>
      </c>
      <c r="AO909" s="59">
        <v>0</v>
      </c>
      <c r="AP909" s="59">
        <v>11</v>
      </c>
      <c r="AQ909" s="59">
        <v>3</v>
      </c>
      <c r="AR909" s="59">
        <v>3</v>
      </c>
      <c r="AS909" s="59">
        <v>80</v>
      </c>
      <c r="AT909" s="59">
        <v>1</v>
      </c>
      <c r="AU909" s="59">
        <v>26</v>
      </c>
      <c r="AV909" s="59">
        <v>5</v>
      </c>
      <c r="AW909" s="59">
        <v>3</v>
      </c>
      <c r="AX909" s="59">
        <v>22</v>
      </c>
      <c r="AY909" s="59">
        <v>9</v>
      </c>
      <c r="AZ909" s="59">
        <v>3</v>
      </c>
      <c r="BA909" s="59">
        <v>10</v>
      </c>
      <c r="BB909" s="57">
        <f t="shared" si="284"/>
        <v>91065</v>
      </c>
    </row>
    <row r="910" spans="1:54" x14ac:dyDescent="0.25">
      <c r="A910" s="58">
        <v>33</v>
      </c>
      <c r="B910" s="59">
        <v>0</v>
      </c>
      <c r="C910" s="59">
        <v>1</v>
      </c>
      <c r="D910" s="59">
        <f t="shared" si="266"/>
        <v>1</v>
      </c>
      <c r="E910" s="59">
        <f t="shared" si="267"/>
        <v>0</v>
      </c>
      <c r="F910" s="59">
        <v>536</v>
      </c>
      <c r="G910" s="59">
        <v>1</v>
      </c>
      <c r="H910" s="59">
        <f t="shared" si="268"/>
        <v>1</v>
      </c>
      <c r="I910" s="59">
        <f t="shared" si="269"/>
        <v>0</v>
      </c>
      <c r="J910" s="59">
        <v>10</v>
      </c>
      <c r="K910" s="59">
        <v>5</v>
      </c>
      <c r="L910" s="59">
        <v>4</v>
      </c>
      <c r="M910" s="59">
        <f t="shared" si="270"/>
        <v>0</v>
      </c>
      <c r="N910" s="59">
        <f t="shared" si="271"/>
        <v>0</v>
      </c>
      <c r="O910" s="59">
        <f t="shared" si="272"/>
        <v>0</v>
      </c>
      <c r="P910" s="59">
        <f t="shared" si="273"/>
        <v>1</v>
      </c>
      <c r="Q910" s="59">
        <f t="shared" si="274"/>
        <v>0</v>
      </c>
      <c r="R910" s="59">
        <v>1</v>
      </c>
      <c r="S910" s="59">
        <v>1268</v>
      </c>
      <c r="T910" s="59">
        <v>4</v>
      </c>
      <c r="U910" s="59">
        <v>1</v>
      </c>
      <c r="V910" s="59">
        <v>82</v>
      </c>
      <c r="W910" s="59">
        <v>4</v>
      </c>
      <c r="X910" s="59">
        <v>3</v>
      </c>
      <c r="Y910" s="59">
        <v>1</v>
      </c>
      <c r="Z910" s="59">
        <f t="shared" si="275"/>
        <v>1</v>
      </c>
      <c r="AA910" s="59">
        <f>IF('Updated Dummy'!Y910=2,1,0)</f>
        <v>0</v>
      </c>
      <c r="AB910" s="59">
        <f t="shared" si="276"/>
        <v>0</v>
      </c>
      <c r="AC910" s="59">
        <f t="shared" si="277"/>
        <v>0</v>
      </c>
      <c r="AD910" s="59">
        <f t="shared" si="278"/>
        <v>0</v>
      </c>
      <c r="AE910" s="59">
        <f t="shared" si="279"/>
        <v>0</v>
      </c>
      <c r="AF910" s="59">
        <f t="shared" si="280"/>
        <v>0</v>
      </c>
      <c r="AG910" s="59">
        <f t="shared" si="281"/>
        <v>0</v>
      </c>
      <c r="AH910" s="59">
        <v>3</v>
      </c>
      <c r="AI910" s="59">
        <v>3</v>
      </c>
      <c r="AJ910" s="59">
        <f t="shared" si="282"/>
        <v>0</v>
      </c>
      <c r="AK910" s="59">
        <f t="shared" si="283"/>
        <v>0</v>
      </c>
      <c r="AL910" s="59">
        <v>8380</v>
      </c>
      <c r="AM910" s="59">
        <v>21708</v>
      </c>
      <c r="AN910" s="59">
        <v>0</v>
      </c>
      <c r="AO910" s="59">
        <v>1</v>
      </c>
      <c r="AP910" s="59">
        <v>14</v>
      </c>
      <c r="AQ910" s="59">
        <v>3</v>
      </c>
      <c r="AR910" s="59">
        <v>4</v>
      </c>
      <c r="AS910" s="59">
        <v>80</v>
      </c>
      <c r="AT910" s="59">
        <v>2</v>
      </c>
      <c r="AU910" s="59">
        <v>10</v>
      </c>
      <c r="AV910" s="59">
        <v>3</v>
      </c>
      <c r="AW910" s="59">
        <v>3</v>
      </c>
      <c r="AX910" s="59">
        <v>9</v>
      </c>
      <c r="AY910" s="59">
        <v>8</v>
      </c>
      <c r="AZ910" s="59">
        <v>0</v>
      </c>
      <c r="BA910" s="59">
        <v>8</v>
      </c>
      <c r="BB910" s="57">
        <f t="shared" si="284"/>
        <v>25140</v>
      </c>
    </row>
    <row r="911" spans="1:54" x14ac:dyDescent="0.25">
      <c r="A911" s="58">
        <v>19</v>
      </c>
      <c r="B911" s="59">
        <v>0</v>
      </c>
      <c r="C911" s="59">
        <v>1</v>
      </c>
      <c r="D911" s="59">
        <f t="shared" si="266"/>
        <v>1</v>
      </c>
      <c r="E911" s="59">
        <f t="shared" si="267"/>
        <v>0</v>
      </c>
      <c r="F911" s="59">
        <v>265</v>
      </c>
      <c r="G911" s="59">
        <v>2</v>
      </c>
      <c r="H911" s="59">
        <f t="shared" si="268"/>
        <v>0</v>
      </c>
      <c r="I911" s="59">
        <f t="shared" si="269"/>
        <v>1</v>
      </c>
      <c r="J911" s="59">
        <v>25</v>
      </c>
      <c r="K911" s="59">
        <v>3</v>
      </c>
      <c r="L911" s="59">
        <v>1</v>
      </c>
      <c r="M911" s="59">
        <f t="shared" si="270"/>
        <v>1</v>
      </c>
      <c r="N911" s="59">
        <f t="shared" si="271"/>
        <v>0</v>
      </c>
      <c r="O911" s="59">
        <f t="shared" si="272"/>
        <v>0</v>
      </c>
      <c r="P911" s="59">
        <f t="shared" si="273"/>
        <v>0</v>
      </c>
      <c r="Q911" s="59">
        <f t="shared" si="274"/>
        <v>0</v>
      </c>
      <c r="R911" s="59">
        <v>1</v>
      </c>
      <c r="S911" s="59">
        <v>1269</v>
      </c>
      <c r="T911" s="59">
        <v>2</v>
      </c>
      <c r="U911" s="59">
        <v>0</v>
      </c>
      <c r="V911" s="59">
        <v>57</v>
      </c>
      <c r="W911" s="59">
        <v>4</v>
      </c>
      <c r="X911" s="59">
        <v>1</v>
      </c>
      <c r="Y911" s="59">
        <v>2</v>
      </c>
      <c r="Z911" s="59">
        <f t="shared" si="275"/>
        <v>0</v>
      </c>
      <c r="AA911" s="59">
        <f>IF('Updated Dummy'!Y911=2,1,0)</f>
        <v>1</v>
      </c>
      <c r="AB911" s="59">
        <f t="shared" si="276"/>
        <v>0</v>
      </c>
      <c r="AC911" s="59">
        <f t="shared" si="277"/>
        <v>0</v>
      </c>
      <c r="AD911" s="59">
        <f t="shared" si="278"/>
        <v>0</v>
      </c>
      <c r="AE911" s="59">
        <f t="shared" si="279"/>
        <v>0</v>
      </c>
      <c r="AF911" s="59">
        <f t="shared" si="280"/>
        <v>0</v>
      </c>
      <c r="AG911" s="59">
        <f t="shared" si="281"/>
        <v>0</v>
      </c>
      <c r="AH911" s="59">
        <v>4</v>
      </c>
      <c r="AI911" s="59">
        <v>1</v>
      </c>
      <c r="AJ911" s="59">
        <f t="shared" si="282"/>
        <v>1</v>
      </c>
      <c r="AK911" s="59">
        <f t="shared" si="283"/>
        <v>0</v>
      </c>
      <c r="AL911" s="59">
        <v>2994</v>
      </c>
      <c r="AM911" s="59">
        <v>21221</v>
      </c>
      <c r="AN911" s="59">
        <v>1</v>
      </c>
      <c r="AO911" s="59">
        <v>1</v>
      </c>
      <c r="AP911" s="59">
        <v>12</v>
      </c>
      <c r="AQ911" s="59">
        <v>3</v>
      </c>
      <c r="AR911" s="59">
        <v>4</v>
      </c>
      <c r="AS911" s="59">
        <v>80</v>
      </c>
      <c r="AT911" s="59">
        <v>0</v>
      </c>
      <c r="AU911" s="59">
        <v>1</v>
      </c>
      <c r="AV911" s="59">
        <v>2</v>
      </c>
      <c r="AW911" s="59">
        <v>3</v>
      </c>
      <c r="AX911" s="59">
        <v>1</v>
      </c>
      <c r="AY911" s="59">
        <v>0</v>
      </c>
      <c r="AZ911" s="59">
        <v>0</v>
      </c>
      <c r="BA911" s="59">
        <v>1</v>
      </c>
      <c r="BB911" s="57">
        <f t="shared" si="284"/>
        <v>2994</v>
      </c>
    </row>
    <row r="912" spans="1:54" x14ac:dyDescent="0.25">
      <c r="A912" s="58">
        <v>23</v>
      </c>
      <c r="B912" s="59">
        <v>0</v>
      </c>
      <c r="C912" s="59">
        <v>1</v>
      </c>
      <c r="D912" s="59">
        <f t="shared" si="266"/>
        <v>1</v>
      </c>
      <c r="E912" s="59">
        <f t="shared" si="267"/>
        <v>0</v>
      </c>
      <c r="F912" s="59">
        <v>373</v>
      </c>
      <c r="G912" s="59">
        <v>2</v>
      </c>
      <c r="H912" s="59">
        <f t="shared" si="268"/>
        <v>0</v>
      </c>
      <c r="I912" s="59">
        <f t="shared" si="269"/>
        <v>1</v>
      </c>
      <c r="J912" s="59">
        <v>1</v>
      </c>
      <c r="K912" s="59">
        <v>2</v>
      </c>
      <c r="L912" s="59">
        <v>1</v>
      </c>
      <c r="M912" s="59">
        <f t="shared" si="270"/>
        <v>1</v>
      </c>
      <c r="N912" s="59">
        <f t="shared" si="271"/>
        <v>0</v>
      </c>
      <c r="O912" s="59">
        <f t="shared" si="272"/>
        <v>0</v>
      </c>
      <c r="P912" s="59">
        <f t="shared" si="273"/>
        <v>0</v>
      </c>
      <c r="Q912" s="59">
        <f t="shared" si="274"/>
        <v>0</v>
      </c>
      <c r="R912" s="59">
        <v>1</v>
      </c>
      <c r="S912" s="59">
        <v>1270</v>
      </c>
      <c r="T912" s="59">
        <v>4</v>
      </c>
      <c r="U912" s="59">
        <v>1</v>
      </c>
      <c r="V912" s="59">
        <v>47</v>
      </c>
      <c r="W912" s="59">
        <v>3</v>
      </c>
      <c r="X912" s="59">
        <v>1</v>
      </c>
      <c r="Y912" s="59">
        <v>2</v>
      </c>
      <c r="Z912" s="59">
        <f t="shared" si="275"/>
        <v>0</v>
      </c>
      <c r="AA912" s="59">
        <f>IF('Updated Dummy'!Y912=2,1,0)</f>
        <v>1</v>
      </c>
      <c r="AB912" s="59">
        <f t="shared" si="276"/>
        <v>0</v>
      </c>
      <c r="AC912" s="59">
        <f t="shared" si="277"/>
        <v>0</v>
      </c>
      <c r="AD912" s="59">
        <f t="shared" si="278"/>
        <v>0</v>
      </c>
      <c r="AE912" s="59">
        <f t="shared" si="279"/>
        <v>0</v>
      </c>
      <c r="AF912" s="59">
        <f t="shared" si="280"/>
        <v>0</v>
      </c>
      <c r="AG912" s="59">
        <f t="shared" si="281"/>
        <v>0</v>
      </c>
      <c r="AH912" s="59">
        <v>3</v>
      </c>
      <c r="AI912" s="59">
        <v>2</v>
      </c>
      <c r="AJ912" s="59">
        <f t="shared" si="282"/>
        <v>0</v>
      </c>
      <c r="AK912" s="59">
        <f t="shared" si="283"/>
        <v>1</v>
      </c>
      <c r="AL912" s="59">
        <v>1223</v>
      </c>
      <c r="AM912" s="59">
        <v>16901</v>
      </c>
      <c r="AN912" s="59">
        <v>1</v>
      </c>
      <c r="AO912" s="59">
        <v>0</v>
      </c>
      <c r="AP912" s="59">
        <v>22</v>
      </c>
      <c r="AQ912" s="59">
        <v>4</v>
      </c>
      <c r="AR912" s="59">
        <v>4</v>
      </c>
      <c r="AS912" s="59">
        <v>80</v>
      </c>
      <c r="AT912" s="59">
        <v>1</v>
      </c>
      <c r="AU912" s="59">
        <v>1</v>
      </c>
      <c r="AV912" s="59">
        <v>2</v>
      </c>
      <c r="AW912" s="59">
        <v>3</v>
      </c>
      <c r="AX912" s="59">
        <v>1</v>
      </c>
      <c r="AY912" s="59">
        <v>0</v>
      </c>
      <c r="AZ912" s="59">
        <v>0</v>
      </c>
      <c r="BA912" s="59">
        <v>1</v>
      </c>
      <c r="BB912" s="57">
        <f t="shared" si="284"/>
        <v>1223</v>
      </c>
    </row>
    <row r="913" spans="1:54" x14ac:dyDescent="0.25">
      <c r="A913" s="58">
        <v>25</v>
      </c>
      <c r="B913" s="59">
        <v>1</v>
      </c>
      <c r="C913" s="59">
        <v>2</v>
      </c>
      <c r="D913" s="59">
        <f t="shared" si="266"/>
        <v>0</v>
      </c>
      <c r="E913" s="59">
        <f t="shared" si="267"/>
        <v>1</v>
      </c>
      <c r="F913" s="59">
        <v>599</v>
      </c>
      <c r="G913" s="59">
        <v>1</v>
      </c>
      <c r="H913" s="59">
        <f t="shared" si="268"/>
        <v>1</v>
      </c>
      <c r="I913" s="59">
        <f t="shared" si="269"/>
        <v>0</v>
      </c>
      <c r="J913" s="59">
        <v>24</v>
      </c>
      <c r="K913" s="59">
        <v>1</v>
      </c>
      <c r="L913" s="59">
        <v>1</v>
      </c>
      <c r="M913" s="59">
        <f t="shared" si="270"/>
        <v>1</v>
      </c>
      <c r="N913" s="59">
        <f t="shared" si="271"/>
        <v>0</v>
      </c>
      <c r="O913" s="59">
        <f t="shared" si="272"/>
        <v>0</v>
      </c>
      <c r="P913" s="59">
        <f t="shared" si="273"/>
        <v>0</v>
      </c>
      <c r="Q913" s="59">
        <f t="shared" si="274"/>
        <v>0</v>
      </c>
      <c r="R913" s="59">
        <v>1</v>
      </c>
      <c r="S913" s="59">
        <v>1273</v>
      </c>
      <c r="T913" s="59">
        <v>3</v>
      </c>
      <c r="U913" s="59">
        <v>1</v>
      </c>
      <c r="V913" s="59">
        <v>73</v>
      </c>
      <c r="W913" s="59">
        <v>1</v>
      </c>
      <c r="X913" s="59">
        <v>1</v>
      </c>
      <c r="Y913" s="59">
        <v>7</v>
      </c>
      <c r="Z913" s="59">
        <f t="shared" si="275"/>
        <v>0</v>
      </c>
      <c r="AA913" s="59">
        <f>IF('Updated Dummy'!Y913=2,1,0)</f>
        <v>0</v>
      </c>
      <c r="AB913" s="59">
        <f t="shared" si="276"/>
        <v>0</v>
      </c>
      <c r="AC913" s="59">
        <f t="shared" si="277"/>
        <v>0</v>
      </c>
      <c r="AD913" s="59">
        <f t="shared" si="278"/>
        <v>0</v>
      </c>
      <c r="AE913" s="59">
        <f t="shared" si="279"/>
        <v>0</v>
      </c>
      <c r="AF913" s="59">
        <f t="shared" si="280"/>
        <v>1</v>
      </c>
      <c r="AG913" s="59">
        <f t="shared" si="281"/>
        <v>0</v>
      </c>
      <c r="AH913" s="59">
        <v>4</v>
      </c>
      <c r="AI913" s="59">
        <v>1</v>
      </c>
      <c r="AJ913" s="59">
        <f t="shared" si="282"/>
        <v>1</v>
      </c>
      <c r="AK913" s="59">
        <f t="shared" si="283"/>
        <v>0</v>
      </c>
      <c r="AL913" s="59">
        <v>1118</v>
      </c>
      <c r="AM913" s="59">
        <v>8040</v>
      </c>
      <c r="AN913" s="59">
        <v>1</v>
      </c>
      <c r="AO913" s="59">
        <v>1</v>
      </c>
      <c r="AP913" s="59">
        <v>14</v>
      </c>
      <c r="AQ913" s="59">
        <v>3</v>
      </c>
      <c r="AR913" s="59">
        <v>4</v>
      </c>
      <c r="AS913" s="59">
        <v>80</v>
      </c>
      <c r="AT913" s="59">
        <v>0</v>
      </c>
      <c r="AU913" s="59">
        <v>1</v>
      </c>
      <c r="AV913" s="59">
        <v>4</v>
      </c>
      <c r="AW913" s="59">
        <v>3</v>
      </c>
      <c r="AX913" s="59">
        <v>1</v>
      </c>
      <c r="AY913" s="59">
        <v>0</v>
      </c>
      <c r="AZ913" s="59">
        <v>1</v>
      </c>
      <c r="BA913" s="59">
        <v>0</v>
      </c>
      <c r="BB913" s="57">
        <f t="shared" si="284"/>
        <v>1118</v>
      </c>
    </row>
    <row r="914" spans="1:54" x14ac:dyDescent="0.25">
      <c r="A914" s="58">
        <v>26</v>
      </c>
      <c r="B914" s="59">
        <v>0</v>
      </c>
      <c r="C914" s="59">
        <v>1</v>
      </c>
      <c r="D914" s="59">
        <f t="shared" si="266"/>
        <v>1</v>
      </c>
      <c r="E914" s="59">
        <f t="shared" si="267"/>
        <v>0</v>
      </c>
      <c r="F914" s="59">
        <v>583</v>
      </c>
      <c r="G914" s="59">
        <v>2</v>
      </c>
      <c r="H914" s="59">
        <f t="shared" si="268"/>
        <v>0</v>
      </c>
      <c r="I914" s="59">
        <f t="shared" si="269"/>
        <v>1</v>
      </c>
      <c r="J914" s="59">
        <v>4</v>
      </c>
      <c r="K914" s="59">
        <v>2</v>
      </c>
      <c r="L914" s="59">
        <v>1</v>
      </c>
      <c r="M914" s="59">
        <f t="shared" si="270"/>
        <v>1</v>
      </c>
      <c r="N914" s="59">
        <f t="shared" si="271"/>
        <v>0</v>
      </c>
      <c r="O914" s="59">
        <f t="shared" si="272"/>
        <v>0</v>
      </c>
      <c r="P914" s="59">
        <f t="shared" si="273"/>
        <v>0</v>
      </c>
      <c r="Q914" s="59">
        <f t="shared" si="274"/>
        <v>0</v>
      </c>
      <c r="R914" s="59">
        <v>1</v>
      </c>
      <c r="S914" s="59">
        <v>1275</v>
      </c>
      <c r="T914" s="59">
        <v>3</v>
      </c>
      <c r="U914" s="59">
        <v>1</v>
      </c>
      <c r="V914" s="59">
        <v>53</v>
      </c>
      <c r="W914" s="59">
        <v>3</v>
      </c>
      <c r="X914" s="59">
        <v>1</v>
      </c>
      <c r="Y914" s="59">
        <v>2</v>
      </c>
      <c r="Z914" s="59">
        <f t="shared" si="275"/>
        <v>0</v>
      </c>
      <c r="AA914" s="59">
        <f>IF('Updated Dummy'!Y914=2,1,0)</f>
        <v>1</v>
      </c>
      <c r="AB914" s="59">
        <f t="shared" si="276"/>
        <v>0</v>
      </c>
      <c r="AC914" s="59">
        <f t="shared" si="277"/>
        <v>0</v>
      </c>
      <c r="AD914" s="59">
        <f t="shared" si="278"/>
        <v>0</v>
      </c>
      <c r="AE914" s="59">
        <f t="shared" si="279"/>
        <v>0</v>
      </c>
      <c r="AF914" s="59">
        <f t="shared" si="280"/>
        <v>0</v>
      </c>
      <c r="AG914" s="59">
        <f t="shared" si="281"/>
        <v>0</v>
      </c>
      <c r="AH914" s="59">
        <v>4</v>
      </c>
      <c r="AI914" s="59">
        <v>1</v>
      </c>
      <c r="AJ914" s="59">
        <f t="shared" si="282"/>
        <v>1</v>
      </c>
      <c r="AK914" s="59">
        <f t="shared" si="283"/>
        <v>0</v>
      </c>
      <c r="AL914" s="59">
        <v>2875</v>
      </c>
      <c r="AM914" s="59">
        <v>9973</v>
      </c>
      <c r="AN914" s="59">
        <v>1</v>
      </c>
      <c r="AO914" s="59">
        <v>1</v>
      </c>
      <c r="AP914" s="59">
        <v>20</v>
      </c>
      <c r="AQ914" s="59">
        <v>4</v>
      </c>
      <c r="AR914" s="59">
        <v>2</v>
      </c>
      <c r="AS914" s="59">
        <v>80</v>
      </c>
      <c r="AT914" s="59">
        <v>0</v>
      </c>
      <c r="AU914" s="59">
        <v>8</v>
      </c>
      <c r="AV914" s="59">
        <v>2</v>
      </c>
      <c r="AW914" s="59">
        <v>2</v>
      </c>
      <c r="AX914" s="59">
        <v>8</v>
      </c>
      <c r="AY914" s="59">
        <v>5</v>
      </c>
      <c r="AZ914" s="59">
        <v>2</v>
      </c>
      <c r="BA914" s="59">
        <v>2</v>
      </c>
      <c r="BB914" s="57">
        <f t="shared" si="284"/>
        <v>2875</v>
      </c>
    </row>
    <row r="915" spans="1:54" x14ac:dyDescent="0.25">
      <c r="A915" s="58">
        <v>45</v>
      </c>
      <c r="B915" s="59">
        <v>1</v>
      </c>
      <c r="C915" s="59">
        <v>1</v>
      </c>
      <c r="D915" s="59">
        <f t="shared" si="266"/>
        <v>1</v>
      </c>
      <c r="E915" s="59">
        <f t="shared" si="267"/>
        <v>0</v>
      </c>
      <c r="F915" s="59">
        <v>1449</v>
      </c>
      <c r="G915" s="59">
        <v>1</v>
      </c>
      <c r="H915" s="59">
        <f t="shared" si="268"/>
        <v>1</v>
      </c>
      <c r="I915" s="59">
        <f t="shared" si="269"/>
        <v>0</v>
      </c>
      <c r="J915" s="59">
        <v>2</v>
      </c>
      <c r="K915" s="59">
        <v>3</v>
      </c>
      <c r="L915" s="59">
        <v>4</v>
      </c>
      <c r="M915" s="59">
        <f t="shared" si="270"/>
        <v>0</v>
      </c>
      <c r="N915" s="59">
        <f t="shared" si="271"/>
        <v>0</v>
      </c>
      <c r="O915" s="59">
        <f t="shared" si="272"/>
        <v>0</v>
      </c>
      <c r="P915" s="59">
        <f t="shared" si="273"/>
        <v>1</v>
      </c>
      <c r="Q915" s="59">
        <f t="shared" si="274"/>
        <v>0</v>
      </c>
      <c r="R915" s="59">
        <v>1</v>
      </c>
      <c r="S915" s="59">
        <v>1277</v>
      </c>
      <c r="T915" s="59">
        <v>1</v>
      </c>
      <c r="U915" s="59">
        <v>0</v>
      </c>
      <c r="V915" s="59">
        <v>94</v>
      </c>
      <c r="W915" s="59">
        <v>1</v>
      </c>
      <c r="X915" s="59">
        <v>5</v>
      </c>
      <c r="Y915" s="59">
        <v>6</v>
      </c>
      <c r="Z915" s="59">
        <f t="shared" si="275"/>
        <v>0</v>
      </c>
      <c r="AA915" s="59">
        <f>IF('Updated Dummy'!Y915=2,1,0)</f>
        <v>0</v>
      </c>
      <c r="AB915" s="59">
        <f t="shared" si="276"/>
        <v>0</v>
      </c>
      <c r="AC915" s="59">
        <f t="shared" si="277"/>
        <v>0</v>
      </c>
      <c r="AD915" s="59">
        <f t="shared" si="278"/>
        <v>0</v>
      </c>
      <c r="AE915" s="59">
        <f t="shared" si="279"/>
        <v>1</v>
      </c>
      <c r="AF915" s="59">
        <f t="shared" si="280"/>
        <v>0</v>
      </c>
      <c r="AG915" s="59">
        <f t="shared" si="281"/>
        <v>0</v>
      </c>
      <c r="AH915" s="59">
        <v>2</v>
      </c>
      <c r="AI915" s="59">
        <v>1</v>
      </c>
      <c r="AJ915" s="59">
        <f t="shared" si="282"/>
        <v>1</v>
      </c>
      <c r="AK915" s="59">
        <f t="shared" si="283"/>
        <v>0</v>
      </c>
      <c r="AL915" s="59">
        <v>18824</v>
      </c>
      <c r="AM915" s="59">
        <v>2493</v>
      </c>
      <c r="AN915" s="59">
        <v>2</v>
      </c>
      <c r="AO915" s="59">
        <v>1</v>
      </c>
      <c r="AP915" s="59">
        <v>16</v>
      </c>
      <c r="AQ915" s="59">
        <v>3</v>
      </c>
      <c r="AR915" s="59">
        <v>1</v>
      </c>
      <c r="AS915" s="59">
        <v>80</v>
      </c>
      <c r="AT915" s="59">
        <v>0</v>
      </c>
      <c r="AU915" s="59">
        <v>26</v>
      </c>
      <c r="AV915" s="59">
        <v>2</v>
      </c>
      <c r="AW915" s="59">
        <v>3</v>
      </c>
      <c r="AX915" s="59">
        <v>24</v>
      </c>
      <c r="AY915" s="59">
        <v>10</v>
      </c>
      <c r="AZ915" s="59">
        <v>1</v>
      </c>
      <c r="BA915" s="59">
        <v>11</v>
      </c>
      <c r="BB915" s="57">
        <f t="shared" si="284"/>
        <v>94120</v>
      </c>
    </row>
    <row r="916" spans="1:54" x14ac:dyDescent="0.25">
      <c r="A916" s="58">
        <v>55</v>
      </c>
      <c r="B916" s="59">
        <v>0</v>
      </c>
      <c r="C916" s="59">
        <v>3</v>
      </c>
      <c r="D916" s="59">
        <f t="shared" si="266"/>
        <v>0</v>
      </c>
      <c r="E916" s="59">
        <f t="shared" si="267"/>
        <v>0</v>
      </c>
      <c r="F916" s="59">
        <v>177</v>
      </c>
      <c r="G916" s="59">
        <v>2</v>
      </c>
      <c r="H916" s="59">
        <f t="shared" si="268"/>
        <v>0</v>
      </c>
      <c r="I916" s="59">
        <f t="shared" si="269"/>
        <v>1</v>
      </c>
      <c r="J916" s="59">
        <v>8</v>
      </c>
      <c r="K916" s="59">
        <v>1</v>
      </c>
      <c r="L916" s="59">
        <v>3</v>
      </c>
      <c r="M916" s="59">
        <f t="shared" si="270"/>
        <v>0</v>
      </c>
      <c r="N916" s="59">
        <f t="shared" si="271"/>
        <v>0</v>
      </c>
      <c r="O916" s="59">
        <f t="shared" si="272"/>
        <v>1</v>
      </c>
      <c r="P916" s="59">
        <f t="shared" si="273"/>
        <v>0</v>
      </c>
      <c r="Q916" s="59">
        <f t="shared" si="274"/>
        <v>0</v>
      </c>
      <c r="R916" s="59">
        <v>1</v>
      </c>
      <c r="S916" s="59">
        <v>1278</v>
      </c>
      <c r="T916" s="59">
        <v>4</v>
      </c>
      <c r="U916" s="59">
        <v>1</v>
      </c>
      <c r="V916" s="59">
        <v>37</v>
      </c>
      <c r="W916" s="59">
        <v>2</v>
      </c>
      <c r="X916" s="59">
        <v>4</v>
      </c>
      <c r="Y916" s="59">
        <v>5</v>
      </c>
      <c r="Z916" s="59">
        <f t="shared" si="275"/>
        <v>0</v>
      </c>
      <c r="AA916" s="59">
        <f>IF('Updated Dummy'!Y916=2,1,0)</f>
        <v>0</v>
      </c>
      <c r="AB916" s="59">
        <f t="shared" si="276"/>
        <v>0</v>
      </c>
      <c r="AC916" s="59">
        <f t="shared" si="277"/>
        <v>0</v>
      </c>
      <c r="AD916" s="59">
        <f t="shared" si="278"/>
        <v>1</v>
      </c>
      <c r="AE916" s="59">
        <f t="shared" si="279"/>
        <v>0</v>
      </c>
      <c r="AF916" s="59">
        <f t="shared" si="280"/>
        <v>0</v>
      </c>
      <c r="AG916" s="59">
        <f t="shared" si="281"/>
        <v>0</v>
      </c>
      <c r="AH916" s="59">
        <v>2</v>
      </c>
      <c r="AI916" s="59">
        <v>3</v>
      </c>
      <c r="AJ916" s="59">
        <f t="shared" si="282"/>
        <v>0</v>
      </c>
      <c r="AK916" s="59">
        <f t="shared" si="283"/>
        <v>0</v>
      </c>
      <c r="AL916" s="59">
        <v>13577</v>
      </c>
      <c r="AM916" s="59">
        <v>25592</v>
      </c>
      <c r="AN916" s="59">
        <v>1</v>
      </c>
      <c r="AO916" s="59">
        <v>1</v>
      </c>
      <c r="AP916" s="59">
        <v>15</v>
      </c>
      <c r="AQ916" s="59">
        <v>3</v>
      </c>
      <c r="AR916" s="59">
        <v>4</v>
      </c>
      <c r="AS916" s="59">
        <v>80</v>
      </c>
      <c r="AT916" s="59">
        <v>1</v>
      </c>
      <c r="AU916" s="59">
        <v>34</v>
      </c>
      <c r="AV916" s="59">
        <v>3</v>
      </c>
      <c r="AW916" s="59">
        <v>3</v>
      </c>
      <c r="AX916" s="59">
        <v>33</v>
      </c>
      <c r="AY916" s="59">
        <v>9</v>
      </c>
      <c r="AZ916" s="59">
        <v>15</v>
      </c>
      <c r="BA916" s="59">
        <v>0</v>
      </c>
      <c r="BB916" s="57">
        <f t="shared" si="284"/>
        <v>54308</v>
      </c>
    </row>
    <row r="917" spans="1:54" x14ac:dyDescent="0.25">
      <c r="A917" s="58">
        <v>21</v>
      </c>
      <c r="B917" s="59">
        <v>1</v>
      </c>
      <c r="C917" s="59">
        <v>2</v>
      </c>
      <c r="D917" s="59">
        <f t="shared" si="266"/>
        <v>0</v>
      </c>
      <c r="E917" s="59">
        <f t="shared" si="267"/>
        <v>1</v>
      </c>
      <c r="F917" s="59">
        <v>251</v>
      </c>
      <c r="G917" s="59">
        <v>2</v>
      </c>
      <c r="H917" s="59">
        <f t="shared" si="268"/>
        <v>0</v>
      </c>
      <c r="I917" s="59">
        <f t="shared" si="269"/>
        <v>1</v>
      </c>
      <c r="J917" s="59">
        <v>10</v>
      </c>
      <c r="K917" s="59">
        <v>2</v>
      </c>
      <c r="L917" s="59">
        <v>1</v>
      </c>
      <c r="M917" s="59">
        <f t="shared" si="270"/>
        <v>1</v>
      </c>
      <c r="N917" s="59">
        <f t="shared" si="271"/>
        <v>0</v>
      </c>
      <c r="O917" s="59">
        <f t="shared" si="272"/>
        <v>0</v>
      </c>
      <c r="P917" s="59">
        <f t="shared" si="273"/>
        <v>0</v>
      </c>
      <c r="Q917" s="59">
        <f t="shared" si="274"/>
        <v>0</v>
      </c>
      <c r="R917" s="59">
        <v>1</v>
      </c>
      <c r="S917" s="59">
        <v>1279</v>
      </c>
      <c r="T917" s="59">
        <v>1</v>
      </c>
      <c r="U917" s="59">
        <v>0</v>
      </c>
      <c r="V917" s="59">
        <v>45</v>
      </c>
      <c r="W917" s="59">
        <v>2</v>
      </c>
      <c r="X917" s="59">
        <v>1</v>
      </c>
      <c r="Y917" s="59">
        <v>3</v>
      </c>
      <c r="Z917" s="59">
        <f t="shared" si="275"/>
        <v>0</v>
      </c>
      <c r="AA917" s="59">
        <f>IF('Updated Dummy'!Y917=2,1,0)</f>
        <v>0</v>
      </c>
      <c r="AB917" s="59">
        <f t="shared" si="276"/>
        <v>1</v>
      </c>
      <c r="AC917" s="59">
        <f t="shared" si="277"/>
        <v>0</v>
      </c>
      <c r="AD917" s="59">
        <f t="shared" si="278"/>
        <v>0</v>
      </c>
      <c r="AE917" s="59">
        <f t="shared" si="279"/>
        <v>0</v>
      </c>
      <c r="AF917" s="59">
        <f t="shared" si="280"/>
        <v>0</v>
      </c>
      <c r="AG917" s="59">
        <f t="shared" si="281"/>
        <v>0</v>
      </c>
      <c r="AH917" s="59">
        <v>3</v>
      </c>
      <c r="AI917" s="59">
        <v>1</v>
      </c>
      <c r="AJ917" s="59">
        <f t="shared" si="282"/>
        <v>1</v>
      </c>
      <c r="AK917" s="59">
        <f t="shared" si="283"/>
        <v>0</v>
      </c>
      <c r="AL917" s="59">
        <v>2625</v>
      </c>
      <c r="AM917" s="59">
        <v>25308</v>
      </c>
      <c r="AN917" s="59">
        <v>1</v>
      </c>
      <c r="AO917" s="59">
        <v>0</v>
      </c>
      <c r="AP917" s="59">
        <v>20</v>
      </c>
      <c r="AQ917" s="59">
        <v>4</v>
      </c>
      <c r="AR917" s="59">
        <v>3</v>
      </c>
      <c r="AS917" s="59">
        <v>80</v>
      </c>
      <c r="AT917" s="59">
        <v>0</v>
      </c>
      <c r="AU917" s="59">
        <v>2</v>
      </c>
      <c r="AV917" s="59">
        <v>2</v>
      </c>
      <c r="AW917" s="59">
        <v>1</v>
      </c>
      <c r="AX917" s="59">
        <v>2</v>
      </c>
      <c r="AY917" s="59">
        <v>2</v>
      </c>
      <c r="AZ917" s="59">
        <v>2</v>
      </c>
      <c r="BA917" s="59">
        <v>2</v>
      </c>
      <c r="BB917" s="57">
        <f t="shared" si="284"/>
        <v>2625</v>
      </c>
    </row>
    <row r="918" spans="1:54" x14ac:dyDescent="0.25">
      <c r="A918" s="58">
        <v>46</v>
      </c>
      <c r="B918" s="59">
        <v>0</v>
      </c>
      <c r="C918" s="59">
        <v>1</v>
      </c>
      <c r="D918" s="59">
        <f t="shared" si="266"/>
        <v>1</v>
      </c>
      <c r="E918" s="59">
        <f t="shared" si="267"/>
        <v>0</v>
      </c>
      <c r="F918" s="59">
        <v>168</v>
      </c>
      <c r="G918" s="59">
        <v>1</v>
      </c>
      <c r="H918" s="59">
        <f t="shared" si="268"/>
        <v>1</v>
      </c>
      <c r="I918" s="59">
        <f t="shared" si="269"/>
        <v>0</v>
      </c>
      <c r="J918" s="59">
        <v>4</v>
      </c>
      <c r="K918" s="59">
        <v>2</v>
      </c>
      <c r="L918" s="59">
        <v>4</v>
      </c>
      <c r="M918" s="59">
        <f t="shared" si="270"/>
        <v>0</v>
      </c>
      <c r="N918" s="59">
        <f t="shared" si="271"/>
        <v>0</v>
      </c>
      <c r="O918" s="59">
        <f t="shared" si="272"/>
        <v>0</v>
      </c>
      <c r="P918" s="59">
        <f t="shared" si="273"/>
        <v>1</v>
      </c>
      <c r="Q918" s="59">
        <f t="shared" si="274"/>
        <v>0</v>
      </c>
      <c r="R918" s="59">
        <v>1</v>
      </c>
      <c r="S918" s="59">
        <v>1280</v>
      </c>
      <c r="T918" s="59">
        <v>4</v>
      </c>
      <c r="U918" s="59">
        <v>0</v>
      </c>
      <c r="V918" s="59">
        <v>33</v>
      </c>
      <c r="W918" s="59">
        <v>2</v>
      </c>
      <c r="X918" s="59">
        <v>5</v>
      </c>
      <c r="Y918" s="59">
        <v>6</v>
      </c>
      <c r="Z918" s="59">
        <f t="shared" si="275"/>
        <v>0</v>
      </c>
      <c r="AA918" s="59">
        <f>IF('Updated Dummy'!Y918=2,1,0)</f>
        <v>0</v>
      </c>
      <c r="AB918" s="59">
        <f t="shared" si="276"/>
        <v>0</v>
      </c>
      <c r="AC918" s="59">
        <f t="shared" si="277"/>
        <v>0</v>
      </c>
      <c r="AD918" s="59">
        <f t="shared" si="278"/>
        <v>0</v>
      </c>
      <c r="AE918" s="59">
        <f t="shared" si="279"/>
        <v>1</v>
      </c>
      <c r="AF918" s="59">
        <f t="shared" si="280"/>
        <v>0</v>
      </c>
      <c r="AG918" s="59">
        <f t="shared" si="281"/>
        <v>0</v>
      </c>
      <c r="AH918" s="59">
        <v>2</v>
      </c>
      <c r="AI918" s="59">
        <v>2</v>
      </c>
      <c r="AJ918" s="59">
        <f t="shared" si="282"/>
        <v>0</v>
      </c>
      <c r="AK918" s="59">
        <f t="shared" si="283"/>
        <v>1</v>
      </c>
      <c r="AL918" s="59">
        <v>18789</v>
      </c>
      <c r="AM918" s="59">
        <v>9946</v>
      </c>
      <c r="AN918" s="59">
        <v>2</v>
      </c>
      <c r="AO918" s="59">
        <v>0</v>
      </c>
      <c r="AP918" s="59">
        <v>14</v>
      </c>
      <c r="AQ918" s="59">
        <v>3</v>
      </c>
      <c r="AR918" s="59">
        <v>3</v>
      </c>
      <c r="AS918" s="59">
        <v>80</v>
      </c>
      <c r="AT918" s="59">
        <v>1</v>
      </c>
      <c r="AU918" s="59">
        <v>26</v>
      </c>
      <c r="AV918" s="59">
        <v>2</v>
      </c>
      <c r="AW918" s="59">
        <v>3</v>
      </c>
      <c r="AX918" s="59">
        <v>11</v>
      </c>
      <c r="AY918" s="59">
        <v>4</v>
      </c>
      <c r="AZ918" s="59">
        <v>0</v>
      </c>
      <c r="BA918" s="59">
        <v>8</v>
      </c>
      <c r="BB918" s="57">
        <f t="shared" si="284"/>
        <v>93945</v>
      </c>
    </row>
    <row r="919" spans="1:54" x14ac:dyDescent="0.25">
      <c r="A919" s="58">
        <v>34</v>
      </c>
      <c r="B919" s="59">
        <v>0</v>
      </c>
      <c r="C919" s="59">
        <v>1</v>
      </c>
      <c r="D919" s="59">
        <f t="shared" si="266"/>
        <v>1</v>
      </c>
      <c r="E919" s="59">
        <f t="shared" si="267"/>
        <v>0</v>
      </c>
      <c r="F919" s="59">
        <v>131</v>
      </c>
      <c r="G919" s="59">
        <v>1</v>
      </c>
      <c r="H919" s="59">
        <f t="shared" si="268"/>
        <v>1</v>
      </c>
      <c r="I919" s="59">
        <f t="shared" si="269"/>
        <v>0</v>
      </c>
      <c r="J919" s="59">
        <v>2</v>
      </c>
      <c r="K919" s="59">
        <v>3</v>
      </c>
      <c r="L919" s="59">
        <v>4</v>
      </c>
      <c r="M919" s="59">
        <f t="shared" si="270"/>
        <v>0</v>
      </c>
      <c r="N919" s="59">
        <f t="shared" si="271"/>
        <v>0</v>
      </c>
      <c r="O919" s="59">
        <f t="shared" si="272"/>
        <v>0</v>
      </c>
      <c r="P919" s="59">
        <f t="shared" si="273"/>
        <v>1</v>
      </c>
      <c r="Q919" s="59">
        <f t="shared" si="274"/>
        <v>0</v>
      </c>
      <c r="R919" s="59">
        <v>1</v>
      </c>
      <c r="S919" s="59">
        <v>1281</v>
      </c>
      <c r="T919" s="59">
        <v>3</v>
      </c>
      <c r="U919" s="59">
        <v>0</v>
      </c>
      <c r="V919" s="59">
        <v>86</v>
      </c>
      <c r="W919" s="59">
        <v>3</v>
      </c>
      <c r="X919" s="59">
        <v>2</v>
      </c>
      <c r="Y919" s="59">
        <v>1</v>
      </c>
      <c r="Z919" s="59">
        <f t="shared" si="275"/>
        <v>1</v>
      </c>
      <c r="AA919" s="59">
        <f>IF('Updated Dummy'!Y919=2,1,0)</f>
        <v>0</v>
      </c>
      <c r="AB919" s="59">
        <f t="shared" si="276"/>
        <v>0</v>
      </c>
      <c r="AC919" s="59">
        <f t="shared" si="277"/>
        <v>0</v>
      </c>
      <c r="AD919" s="59">
        <f t="shared" si="278"/>
        <v>0</v>
      </c>
      <c r="AE919" s="59">
        <f t="shared" si="279"/>
        <v>0</v>
      </c>
      <c r="AF919" s="59">
        <f t="shared" si="280"/>
        <v>0</v>
      </c>
      <c r="AG919" s="59">
        <f t="shared" si="281"/>
        <v>0</v>
      </c>
      <c r="AH919" s="59">
        <v>1</v>
      </c>
      <c r="AI919" s="59">
        <v>1</v>
      </c>
      <c r="AJ919" s="59">
        <f t="shared" si="282"/>
        <v>1</v>
      </c>
      <c r="AK919" s="59">
        <f t="shared" si="283"/>
        <v>0</v>
      </c>
      <c r="AL919" s="59">
        <v>4538</v>
      </c>
      <c r="AM919" s="59">
        <v>6039</v>
      </c>
      <c r="AN919" s="59">
        <v>0</v>
      </c>
      <c r="AO919" s="59">
        <v>1</v>
      </c>
      <c r="AP919" s="59">
        <v>12</v>
      </c>
      <c r="AQ919" s="59">
        <v>3</v>
      </c>
      <c r="AR919" s="59">
        <v>4</v>
      </c>
      <c r="AS919" s="59">
        <v>80</v>
      </c>
      <c r="AT919" s="59">
        <v>0</v>
      </c>
      <c r="AU919" s="59">
        <v>4</v>
      </c>
      <c r="AV919" s="59">
        <v>3</v>
      </c>
      <c r="AW919" s="59">
        <v>3</v>
      </c>
      <c r="AX919" s="59">
        <v>3</v>
      </c>
      <c r="AY919" s="59">
        <v>2</v>
      </c>
      <c r="AZ919" s="59">
        <v>0</v>
      </c>
      <c r="BA919" s="59">
        <v>2</v>
      </c>
      <c r="BB919" s="57">
        <f t="shared" si="284"/>
        <v>9076</v>
      </c>
    </row>
    <row r="920" spans="1:54" x14ac:dyDescent="0.25">
      <c r="A920" s="58">
        <v>51</v>
      </c>
      <c r="B920" s="59">
        <v>0</v>
      </c>
      <c r="C920" s="59">
        <v>2</v>
      </c>
      <c r="D920" s="59">
        <f t="shared" si="266"/>
        <v>0</v>
      </c>
      <c r="E920" s="59">
        <f t="shared" si="267"/>
        <v>1</v>
      </c>
      <c r="F920" s="59">
        <v>237</v>
      </c>
      <c r="G920" s="59">
        <v>1</v>
      </c>
      <c r="H920" s="59">
        <f t="shared" si="268"/>
        <v>1</v>
      </c>
      <c r="I920" s="59">
        <f t="shared" si="269"/>
        <v>0</v>
      </c>
      <c r="J920" s="59">
        <v>9</v>
      </c>
      <c r="K920" s="59">
        <v>3</v>
      </c>
      <c r="L920" s="59">
        <v>1</v>
      </c>
      <c r="M920" s="59">
        <f t="shared" si="270"/>
        <v>1</v>
      </c>
      <c r="N920" s="59">
        <f t="shared" si="271"/>
        <v>0</v>
      </c>
      <c r="O920" s="59">
        <f t="shared" si="272"/>
        <v>0</v>
      </c>
      <c r="P920" s="59">
        <f t="shared" si="273"/>
        <v>0</v>
      </c>
      <c r="Q920" s="59">
        <f t="shared" si="274"/>
        <v>0</v>
      </c>
      <c r="R920" s="59">
        <v>1</v>
      </c>
      <c r="S920" s="59">
        <v>1282</v>
      </c>
      <c r="T920" s="59">
        <v>4</v>
      </c>
      <c r="U920" s="59">
        <v>1</v>
      </c>
      <c r="V920" s="59">
        <v>83</v>
      </c>
      <c r="W920" s="59">
        <v>3</v>
      </c>
      <c r="X920" s="59">
        <v>5</v>
      </c>
      <c r="Y920" s="59">
        <v>6</v>
      </c>
      <c r="Z920" s="59">
        <f t="shared" si="275"/>
        <v>0</v>
      </c>
      <c r="AA920" s="59">
        <f>IF('Updated Dummy'!Y920=2,1,0)</f>
        <v>0</v>
      </c>
      <c r="AB920" s="59">
        <f t="shared" si="276"/>
        <v>0</v>
      </c>
      <c r="AC920" s="59">
        <f t="shared" si="277"/>
        <v>0</v>
      </c>
      <c r="AD920" s="59">
        <f t="shared" si="278"/>
        <v>0</v>
      </c>
      <c r="AE920" s="59">
        <f t="shared" si="279"/>
        <v>1</v>
      </c>
      <c r="AF920" s="59">
        <f t="shared" si="280"/>
        <v>0</v>
      </c>
      <c r="AG920" s="59">
        <f t="shared" si="281"/>
        <v>0</v>
      </c>
      <c r="AH920" s="59">
        <v>2</v>
      </c>
      <c r="AI920" s="59">
        <v>3</v>
      </c>
      <c r="AJ920" s="59">
        <f t="shared" si="282"/>
        <v>0</v>
      </c>
      <c r="AK920" s="59">
        <f t="shared" si="283"/>
        <v>0</v>
      </c>
      <c r="AL920" s="59">
        <v>19847</v>
      </c>
      <c r="AM920" s="59">
        <v>19196</v>
      </c>
      <c r="AN920" s="59">
        <v>4</v>
      </c>
      <c r="AO920" s="59">
        <v>1</v>
      </c>
      <c r="AP920" s="59">
        <v>24</v>
      </c>
      <c r="AQ920" s="59">
        <v>4</v>
      </c>
      <c r="AR920" s="59">
        <v>1</v>
      </c>
      <c r="AS920" s="59">
        <v>80</v>
      </c>
      <c r="AT920" s="59">
        <v>1</v>
      </c>
      <c r="AU920" s="59">
        <v>31</v>
      </c>
      <c r="AV920" s="59">
        <v>5</v>
      </c>
      <c r="AW920" s="59">
        <v>2</v>
      </c>
      <c r="AX920" s="59">
        <v>29</v>
      </c>
      <c r="AY920" s="59">
        <v>10</v>
      </c>
      <c r="AZ920" s="59">
        <v>11</v>
      </c>
      <c r="BA920" s="59">
        <v>10</v>
      </c>
      <c r="BB920" s="57">
        <f t="shared" si="284"/>
        <v>99235</v>
      </c>
    </row>
    <row r="921" spans="1:54" x14ac:dyDescent="0.25">
      <c r="A921" s="58">
        <v>59</v>
      </c>
      <c r="B921" s="59">
        <v>0</v>
      </c>
      <c r="C921" s="59">
        <v>1</v>
      </c>
      <c r="D921" s="59">
        <f t="shared" si="266"/>
        <v>1</v>
      </c>
      <c r="E921" s="59">
        <f t="shared" si="267"/>
        <v>0</v>
      </c>
      <c r="F921" s="59">
        <v>1429</v>
      </c>
      <c r="G921" s="59">
        <v>2</v>
      </c>
      <c r="H921" s="59">
        <f t="shared" si="268"/>
        <v>0</v>
      </c>
      <c r="I921" s="59">
        <f t="shared" si="269"/>
        <v>1</v>
      </c>
      <c r="J921" s="59">
        <v>18</v>
      </c>
      <c r="K921" s="59">
        <v>4</v>
      </c>
      <c r="L921" s="59">
        <v>3</v>
      </c>
      <c r="M921" s="59">
        <f t="shared" si="270"/>
        <v>0</v>
      </c>
      <c r="N921" s="59">
        <f t="shared" si="271"/>
        <v>0</v>
      </c>
      <c r="O921" s="59">
        <f t="shared" si="272"/>
        <v>1</v>
      </c>
      <c r="P921" s="59">
        <f t="shared" si="273"/>
        <v>0</v>
      </c>
      <c r="Q921" s="59">
        <f t="shared" si="274"/>
        <v>0</v>
      </c>
      <c r="R921" s="59">
        <v>1</v>
      </c>
      <c r="S921" s="59">
        <v>1283</v>
      </c>
      <c r="T921" s="59">
        <v>4</v>
      </c>
      <c r="U921" s="59">
        <v>1</v>
      </c>
      <c r="V921" s="59">
        <v>67</v>
      </c>
      <c r="W921" s="59">
        <v>3</v>
      </c>
      <c r="X921" s="59">
        <v>3</v>
      </c>
      <c r="Y921" s="59">
        <v>4</v>
      </c>
      <c r="Z921" s="59">
        <f t="shared" si="275"/>
        <v>0</v>
      </c>
      <c r="AA921" s="59">
        <f>IF('Updated Dummy'!Y921=2,1,0)</f>
        <v>0</v>
      </c>
      <c r="AB921" s="59">
        <f t="shared" si="276"/>
        <v>0</v>
      </c>
      <c r="AC921" s="59">
        <f t="shared" si="277"/>
        <v>1</v>
      </c>
      <c r="AD921" s="59">
        <f t="shared" si="278"/>
        <v>0</v>
      </c>
      <c r="AE921" s="59">
        <f t="shared" si="279"/>
        <v>0</v>
      </c>
      <c r="AF921" s="59">
        <f t="shared" si="280"/>
        <v>0</v>
      </c>
      <c r="AG921" s="59">
        <f t="shared" si="281"/>
        <v>0</v>
      </c>
      <c r="AH921" s="59">
        <v>4</v>
      </c>
      <c r="AI921" s="59">
        <v>1</v>
      </c>
      <c r="AJ921" s="59">
        <f t="shared" si="282"/>
        <v>1</v>
      </c>
      <c r="AK921" s="59">
        <f t="shared" si="283"/>
        <v>0</v>
      </c>
      <c r="AL921" s="59">
        <v>10512</v>
      </c>
      <c r="AM921" s="59">
        <v>20002</v>
      </c>
      <c r="AN921" s="59">
        <v>6</v>
      </c>
      <c r="AO921" s="59">
        <v>0</v>
      </c>
      <c r="AP921" s="59">
        <v>12</v>
      </c>
      <c r="AQ921" s="59">
        <v>3</v>
      </c>
      <c r="AR921" s="59">
        <v>4</v>
      </c>
      <c r="AS921" s="59">
        <v>80</v>
      </c>
      <c r="AT921" s="59">
        <v>0</v>
      </c>
      <c r="AU921" s="59">
        <v>25</v>
      </c>
      <c r="AV921" s="59">
        <v>6</v>
      </c>
      <c r="AW921" s="59">
        <v>2</v>
      </c>
      <c r="AX921" s="59">
        <v>9</v>
      </c>
      <c r="AY921" s="59">
        <v>7</v>
      </c>
      <c r="AZ921" s="59">
        <v>5</v>
      </c>
      <c r="BA921" s="59">
        <v>4</v>
      </c>
      <c r="BB921" s="57">
        <f t="shared" si="284"/>
        <v>31536</v>
      </c>
    </row>
    <row r="922" spans="1:54" x14ac:dyDescent="0.25">
      <c r="A922" s="58">
        <v>34</v>
      </c>
      <c r="B922" s="59">
        <v>0</v>
      </c>
      <c r="C922" s="59">
        <v>2</v>
      </c>
      <c r="D922" s="59">
        <f t="shared" si="266"/>
        <v>0</v>
      </c>
      <c r="E922" s="59">
        <f t="shared" si="267"/>
        <v>1</v>
      </c>
      <c r="F922" s="59">
        <v>135</v>
      </c>
      <c r="G922" s="59">
        <v>2</v>
      </c>
      <c r="H922" s="59">
        <f t="shared" si="268"/>
        <v>0</v>
      </c>
      <c r="I922" s="59">
        <f t="shared" si="269"/>
        <v>1</v>
      </c>
      <c r="J922" s="59">
        <v>19</v>
      </c>
      <c r="K922" s="59">
        <v>3</v>
      </c>
      <c r="L922" s="59">
        <v>3</v>
      </c>
      <c r="M922" s="59">
        <f t="shared" si="270"/>
        <v>0</v>
      </c>
      <c r="N922" s="59">
        <f t="shared" si="271"/>
        <v>0</v>
      </c>
      <c r="O922" s="59">
        <f t="shared" si="272"/>
        <v>1</v>
      </c>
      <c r="P922" s="59">
        <f t="shared" si="273"/>
        <v>0</v>
      </c>
      <c r="Q922" s="59">
        <f t="shared" si="274"/>
        <v>0</v>
      </c>
      <c r="R922" s="59">
        <v>1</v>
      </c>
      <c r="S922" s="59">
        <v>1285</v>
      </c>
      <c r="T922" s="59">
        <v>3</v>
      </c>
      <c r="U922" s="59">
        <v>0</v>
      </c>
      <c r="V922" s="59">
        <v>46</v>
      </c>
      <c r="W922" s="59">
        <v>3</v>
      </c>
      <c r="X922" s="59">
        <v>2</v>
      </c>
      <c r="Y922" s="59">
        <v>3</v>
      </c>
      <c r="Z922" s="59">
        <f t="shared" si="275"/>
        <v>0</v>
      </c>
      <c r="AA922" s="59">
        <f>IF('Updated Dummy'!Y922=2,1,0)</f>
        <v>0</v>
      </c>
      <c r="AB922" s="59">
        <f t="shared" si="276"/>
        <v>1</v>
      </c>
      <c r="AC922" s="59">
        <f t="shared" si="277"/>
        <v>0</v>
      </c>
      <c r="AD922" s="59">
        <f t="shared" si="278"/>
        <v>0</v>
      </c>
      <c r="AE922" s="59">
        <f t="shared" si="279"/>
        <v>0</v>
      </c>
      <c r="AF922" s="59">
        <f t="shared" si="280"/>
        <v>0</v>
      </c>
      <c r="AG922" s="59">
        <f t="shared" si="281"/>
        <v>0</v>
      </c>
      <c r="AH922" s="59">
        <v>2</v>
      </c>
      <c r="AI922" s="59">
        <v>3</v>
      </c>
      <c r="AJ922" s="59">
        <f t="shared" si="282"/>
        <v>0</v>
      </c>
      <c r="AK922" s="59">
        <f t="shared" si="283"/>
        <v>0</v>
      </c>
      <c r="AL922" s="59">
        <v>4444</v>
      </c>
      <c r="AM922" s="59">
        <v>22534</v>
      </c>
      <c r="AN922" s="59">
        <v>4</v>
      </c>
      <c r="AO922" s="59">
        <v>0</v>
      </c>
      <c r="AP922" s="59">
        <v>13</v>
      </c>
      <c r="AQ922" s="59">
        <v>3</v>
      </c>
      <c r="AR922" s="59">
        <v>3</v>
      </c>
      <c r="AS922" s="59">
        <v>80</v>
      </c>
      <c r="AT922" s="59">
        <v>2</v>
      </c>
      <c r="AU922" s="59">
        <v>15</v>
      </c>
      <c r="AV922" s="59">
        <v>2</v>
      </c>
      <c r="AW922" s="59">
        <v>4</v>
      </c>
      <c r="AX922" s="59">
        <v>11</v>
      </c>
      <c r="AY922" s="59">
        <v>8</v>
      </c>
      <c r="AZ922" s="59">
        <v>5</v>
      </c>
      <c r="BA922" s="59">
        <v>10</v>
      </c>
      <c r="BB922" s="57">
        <f t="shared" si="284"/>
        <v>8888</v>
      </c>
    </row>
    <row r="923" spans="1:54" x14ac:dyDescent="0.25">
      <c r="A923" s="58">
        <v>28</v>
      </c>
      <c r="B923" s="59">
        <v>0</v>
      </c>
      <c r="C923" s="59">
        <v>2</v>
      </c>
      <c r="D923" s="59">
        <f t="shared" si="266"/>
        <v>0</v>
      </c>
      <c r="E923" s="59">
        <f t="shared" si="267"/>
        <v>1</v>
      </c>
      <c r="F923" s="59">
        <v>791</v>
      </c>
      <c r="G923" s="59">
        <v>2</v>
      </c>
      <c r="H923" s="59">
        <f t="shared" si="268"/>
        <v>0</v>
      </c>
      <c r="I923" s="59">
        <f t="shared" si="269"/>
        <v>1</v>
      </c>
      <c r="J923" s="59">
        <v>1</v>
      </c>
      <c r="K923" s="59">
        <v>4</v>
      </c>
      <c r="L923" s="59">
        <v>3</v>
      </c>
      <c r="M923" s="59">
        <f t="shared" si="270"/>
        <v>0</v>
      </c>
      <c r="N923" s="59">
        <f t="shared" si="271"/>
        <v>0</v>
      </c>
      <c r="O923" s="59">
        <f t="shared" si="272"/>
        <v>1</v>
      </c>
      <c r="P923" s="59">
        <f t="shared" si="273"/>
        <v>0</v>
      </c>
      <c r="Q923" s="59">
        <f t="shared" si="274"/>
        <v>0</v>
      </c>
      <c r="R923" s="59">
        <v>1</v>
      </c>
      <c r="S923" s="59">
        <v>1286</v>
      </c>
      <c r="T923" s="59">
        <v>4</v>
      </c>
      <c r="U923" s="59">
        <v>1</v>
      </c>
      <c r="V923" s="59">
        <v>44</v>
      </c>
      <c r="W923" s="59">
        <v>3</v>
      </c>
      <c r="X923" s="59">
        <v>1</v>
      </c>
      <c r="Y923" s="59">
        <v>3</v>
      </c>
      <c r="Z923" s="59">
        <f t="shared" si="275"/>
        <v>0</v>
      </c>
      <c r="AA923" s="59">
        <f>IF('Updated Dummy'!Y923=2,1,0)</f>
        <v>0</v>
      </c>
      <c r="AB923" s="59">
        <f t="shared" si="276"/>
        <v>1</v>
      </c>
      <c r="AC923" s="59">
        <f t="shared" si="277"/>
        <v>0</v>
      </c>
      <c r="AD923" s="59">
        <f t="shared" si="278"/>
        <v>0</v>
      </c>
      <c r="AE923" s="59">
        <f t="shared" si="279"/>
        <v>0</v>
      </c>
      <c r="AF923" s="59">
        <f t="shared" si="280"/>
        <v>0</v>
      </c>
      <c r="AG923" s="59">
        <f t="shared" si="281"/>
        <v>0</v>
      </c>
      <c r="AH923" s="59">
        <v>3</v>
      </c>
      <c r="AI923" s="59">
        <v>1</v>
      </c>
      <c r="AJ923" s="59">
        <f t="shared" si="282"/>
        <v>1</v>
      </c>
      <c r="AK923" s="59">
        <f t="shared" si="283"/>
        <v>0</v>
      </c>
      <c r="AL923" s="59">
        <v>2154</v>
      </c>
      <c r="AM923" s="59">
        <v>6842</v>
      </c>
      <c r="AN923" s="59">
        <v>0</v>
      </c>
      <c r="AO923" s="59">
        <v>1</v>
      </c>
      <c r="AP923" s="59">
        <v>11</v>
      </c>
      <c r="AQ923" s="59">
        <v>3</v>
      </c>
      <c r="AR923" s="59">
        <v>3</v>
      </c>
      <c r="AS923" s="59">
        <v>80</v>
      </c>
      <c r="AT923" s="59">
        <v>0</v>
      </c>
      <c r="AU923" s="59">
        <v>5</v>
      </c>
      <c r="AV923" s="59">
        <v>2</v>
      </c>
      <c r="AW923" s="59">
        <v>2</v>
      </c>
      <c r="AX923" s="59">
        <v>4</v>
      </c>
      <c r="AY923" s="59">
        <v>2</v>
      </c>
      <c r="AZ923" s="59">
        <v>0</v>
      </c>
      <c r="BA923" s="59">
        <v>2</v>
      </c>
      <c r="BB923" s="57">
        <f t="shared" si="284"/>
        <v>2154</v>
      </c>
    </row>
    <row r="924" spans="1:54" x14ac:dyDescent="0.25">
      <c r="A924" s="58">
        <v>44</v>
      </c>
      <c r="B924" s="59">
        <v>0</v>
      </c>
      <c r="C924" s="59">
        <v>1</v>
      </c>
      <c r="D924" s="59">
        <f t="shared" si="266"/>
        <v>1</v>
      </c>
      <c r="E924" s="59">
        <f t="shared" si="267"/>
        <v>0</v>
      </c>
      <c r="F924" s="59">
        <v>1199</v>
      </c>
      <c r="G924" s="59">
        <v>2</v>
      </c>
      <c r="H924" s="59">
        <f t="shared" si="268"/>
        <v>0</v>
      </c>
      <c r="I924" s="59">
        <f t="shared" si="269"/>
        <v>1</v>
      </c>
      <c r="J924" s="59">
        <v>4</v>
      </c>
      <c r="K924" s="59">
        <v>2</v>
      </c>
      <c r="L924" s="59">
        <v>1</v>
      </c>
      <c r="M924" s="59">
        <f t="shared" si="270"/>
        <v>1</v>
      </c>
      <c r="N924" s="59">
        <f t="shared" si="271"/>
        <v>0</v>
      </c>
      <c r="O924" s="59">
        <f t="shared" si="272"/>
        <v>0</v>
      </c>
      <c r="P924" s="59">
        <f t="shared" si="273"/>
        <v>0</v>
      </c>
      <c r="Q924" s="59">
        <f t="shared" si="274"/>
        <v>0</v>
      </c>
      <c r="R924" s="59">
        <v>1</v>
      </c>
      <c r="S924" s="59">
        <v>1288</v>
      </c>
      <c r="T924" s="59">
        <v>3</v>
      </c>
      <c r="U924" s="59">
        <v>1</v>
      </c>
      <c r="V924" s="59">
        <v>92</v>
      </c>
      <c r="W924" s="59">
        <v>4</v>
      </c>
      <c r="X924" s="59">
        <v>5</v>
      </c>
      <c r="Y924" s="59">
        <v>6</v>
      </c>
      <c r="Z924" s="59">
        <f t="shared" si="275"/>
        <v>0</v>
      </c>
      <c r="AA924" s="59">
        <f>IF('Updated Dummy'!Y924=2,1,0)</f>
        <v>0</v>
      </c>
      <c r="AB924" s="59">
        <f t="shared" si="276"/>
        <v>0</v>
      </c>
      <c r="AC924" s="59">
        <f t="shared" si="277"/>
        <v>0</v>
      </c>
      <c r="AD924" s="59">
        <f t="shared" si="278"/>
        <v>0</v>
      </c>
      <c r="AE924" s="59">
        <f t="shared" si="279"/>
        <v>1</v>
      </c>
      <c r="AF924" s="59">
        <f t="shared" si="280"/>
        <v>0</v>
      </c>
      <c r="AG924" s="59">
        <f t="shared" si="281"/>
        <v>0</v>
      </c>
      <c r="AH924" s="59">
        <v>1</v>
      </c>
      <c r="AI924" s="59">
        <v>3</v>
      </c>
      <c r="AJ924" s="59">
        <f t="shared" si="282"/>
        <v>0</v>
      </c>
      <c r="AK924" s="59">
        <f t="shared" si="283"/>
        <v>0</v>
      </c>
      <c r="AL924" s="59">
        <v>19190</v>
      </c>
      <c r="AM924" s="59">
        <v>17477</v>
      </c>
      <c r="AN924" s="59">
        <v>1</v>
      </c>
      <c r="AO924" s="59">
        <v>0</v>
      </c>
      <c r="AP924" s="59">
        <v>14</v>
      </c>
      <c r="AQ924" s="59">
        <v>3</v>
      </c>
      <c r="AR924" s="59">
        <v>4</v>
      </c>
      <c r="AS924" s="59">
        <v>80</v>
      </c>
      <c r="AT924" s="59">
        <v>2</v>
      </c>
      <c r="AU924" s="59">
        <v>26</v>
      </c>
      <c r="AV924" s="59">
        <v>4</v>
      </c>
      <c r="AW924" s="59">
        <v>2</v>
      </c>
      <c r="AX924" s="59">
        <v>25</v>
      </c>
      <c r="AY924" s="59">
        <v>9</v>
      </c>
      <c r="AZ924" s="59">
        <v>14</v>
      </c>
      <c r="BA924" s="59">
        <v>13</v>
      </c>
      <c r="BB924" s="57">
        <f t="shared" si="284"/>
        <v>95950</v>
      </c>
    </row>
    <row r="925" spans="1:54" x14ac:dyDescent="0.25">
      <c r="A925" s="58">
        <v>34</v>
      </c>
      <c r="B925" s="59">
        <v>0</v>
      </c>
      <c r="C925" s="59">
        <v>2</v>
      </c>
      <c r="D925" s="59">
        <f t="shared" si="266"/>
        <v>0</v>
      </c>
      <c r="E925" s="59">
        <f t="shared" si="267"/>
        <v>1</v>
      </c>
      <c r="F925" s="59">
        <v>648</v>
      </c>
      <c r="G925" s="59">
        <v>3</v>
      </c>
      <c r="H925" s="59">
        <f t="shared" si="268"/>
        <v>0</v>
      </c>
      <c r="I925" s="59">
        <f t="shared" si="269"/>
        <v>0</v>
      </c>
      <c r="J925" s="59">
        <v>11</v>
      </c>
      <c r="K925" s="59">
        <v>3</v>
      </c>
      <c r="L925" s="59">
        <v>1</v>
      </c>
      <c r="M925" s="59">
        <f t="shared" si="270"/>
        <v>1</v>
      </c>
      <c r="N925" s="59">
        <f t="shared" si="271"/>
        <v>0</v>
      </c>
      <c r="O925" s="59">
        <f t="shared" si="272"/>
        <v>0</v>
      </c>
      <c r="P925" s="59">
        <f t="shared" si="273"/>
        <v>0</v>
      </c>
      <c r="Q925" s="59">
        <f t="shared" si="274"/>
        <v>0</v>
      </c>
      <c r="R925" s="59">
        <v>1</v>
      </c>
      <c r="S925" s="59">
        <v>1289</v>
      </c>
      <c r="T925" s="59">
        <v>3</v>
      </c>
      <c r="U925" s="59">
        <v>1</v>
      </c>
      <c r="V925" s="59">
        <v>56</v>
      </c>
      <c r="W925" s="59">
        <v>2</v>
      </c>
      <c r="X925" s="59">
        <v>2</v>
      </c>
      <c r="Y925" s="59">
        <v>9</v>
      </c>
      <c r="Z925" s="59">
        <f t="shared" si="275"/>
        <v>0</v>
      </c>
      <c r="AA925" s="59">
        <f>IF('Updated Dummy'!Y925=2,1,0)</f>
        <v>0</v>
      </c>
      <c r="AB925" s="59">
        <f t="shared" si="276"/>
        <v>0</v>
      </c>
      <c r="AC925" s="59">
        <f t="shared" si="277"/>
        <v>0</v>
      </c>
      <c r="AD925" s="59">
        <f t="shared" si="278"/>
        <v>0</v>
      </c>
      <c r="AE925" s="59">
        <f t="shared" si="279"/>
        <v>0</v>
      </c>
      <c r="AF925" s="59">
        <f t="shared" si="280"/>
        <v>0</v>
      </c>
      <c r="AG925" s="59">
        <f t="shared" si="281"/>
        <v>0</v>
      </c>
      <c r="AH925" s="59">
        <v>2</v>
      </c>
      <c r="AI925" s="59">
        <v>2</v>
      </c>
      <c r="AJ925" s="59">
        <f t="shared" si="282"/>
        <v>0</v>
      </c>
      <c r="AK925" s="59">
        <f t="shared" si="283"/>
        <v>1</v>
      </c>
      <c r="AL925" s="59">
        <v>4490</v>
      </c>
      <c r="AM925" s="59">
        <v>21833</v>
      </c>
      <c r="AN925" s="59">
        <v>4</v>
      </c>
      <c r="AO925" s="59">
        <v>0</v>
      </c>
      <c r="AP925" s="59">
        <v>11</v>
      </c>
      <c r="AQ925" s="59">
        <v>3</v>
      </c>
      <c r="AR925" s="59">
        <v>4</v>
      </c>
      <c r="AS925" s="59">
        <v>80</v>
      </c>
      <c r="AT925" s="59">
        <v>2</v>
      </c>
      <c r="AU925" s="59">
        <v>14</v>
      </c>
      <c r="AV925" s="59">
        <v>5</v>
      </c>
      <c r="AW925" s="59">
        <v>4</v>
      </c>
      <c r="AX925" s="59">
        <v>10</v>
      </c>
      <c r="AY925" s="59">
        <v>9</v>
      </c>
      <c r="AZ925" s="59">
        <v>1</v>
      </c>
      <c r="BA925" s="59">
        <v>8</v>
      </c>
      <c r="BB925" s="57">
        <f t="shared" si="284"/>
        <v>8980</v>
      </c>
    </row>
    <row r="926" spans="1:54" x14ac:dyDescent="0.25">
      <c r="A926" s="58">
        <v>35</v>
      </c>
      <c r="B926" s="59">
        <v>0</v>
      </c>
      <c r="C926" s="59">
        <v>1</v>
      </c>
      <c r="D926" s="59">
        <f t="shared" si="266"/>
        <v>1</v>
      </c>
      <c r="E926" s="59">
        <f t="shared" si="267"/>
        <v>0</v>
      </c>
      <c r="F926" s="59">
        <v>735</v>
      </c>
      <c r="G926" s="59">
        <v>2</v>
      </c>
      <c r="H926" s="59">
        <f t="shared" si="268"/>
        <v>0</v>
      </c>
      <c r="I926" s="59">
        <f t="shared" si="269"/>
        <v>1</v>
      </c>
      <c r="J926" s="59">
        <v>6</v>
      </c>
      <c r="K926" s="59">
        <v>1</v>
      </c>
      <c r="L926" s="59">
        <v>1</v>
      </c>
      <c r="M926" s="59">
        <f t="shared" si="270"/>
        <v>1</v>
      </c>
      <c r="N926" s="59">
        <f t="shared" si="271"/>
        <v>0</v>
      </c>
      <c r="O926" s="59">
        <f t="shared" si="272"/>
        <v>0</v>
      </c>
      <c r="P926" s="59">
        <f t="shared" si="273"/>
        <v>0</v>
      </c>
      <c r="Q926" s="59">
        <f t="shared" si="274"/>
        <v>0</v>
      </c>
      <c r="R926" s="59">
        <v>1</v>
      </c>
      <c r="S926" s="59">
        <v>1291</v>
      </c>
      <c r="T926" s="59">
        <v>3</v>
      </c>
      <c r="U926" s="59">
        <v>1</v>
      </c>
      <c r="V926" s="59">
        <v>66</v>
      </c>
      <c r="W926" s="59">
        <v>3</v>
      </c>
      <c r="X926" s="59">
        <v>1</v>
      </c>
      <c r="Y926" s="59">
        <v>2</v>
      </c>
      <c r="Z926" s="59">
        <f t="shared" si="275"/>
        <v>0</v>
      </c>
      <c r="AA926" s="59">
        <f>IF('Updated Dummy'!Y926=2,1,0)</f>
        <v>1</v>
      </c>
      <c r="AB926" s="59">
        <f t="shared" si="276"/>
        <v>0</v>
      </c>
      <c r="AC926" s="59">
        <f t="shared" si="277"/>
        <v>0</v>
      </c>
      <c r="AD926" s="59">
        <f t="shared" si="278"/>
        <v>0</v>
      </c>
      <c r="AE926" s="59">
        <f t="shared" si="279"/>
        <v>0</v>
      </c>
      <c r="AF926" s="59">
        <f t="shared" si="280"/>
        <v>0</v>
      </c>
      <c r="AG926" s="59">
        <f t="shared" si="281"/>
        <v>0</v>
      </c>
      <c r="AH926" s="59">
        <v>3</v>
      </c>
      <c r="AI926" s="59">
        <v>2</v>
      </c>
      <c r="AJ926" s="59">
        <f t="shared" si="282"/>
        <v>0</v>
      </c>
      <c r="AK926" s="59">
        <f t="shared" si="283"/>
        <v>1</v>
      </c>
      <c r="AL926" s="59">
        <v>3506</v>
      </c>
      <c r="AM926" s="59">
        <v>6020</v>
      </c>
      <c r="AN926" s="59">
        <v>0</v>
      </c>
      <c r="AO926" s="59">
        <v>1</v>
      </c>
      <c r="AP926" s="59">
        <v>14</v>
      </c>
      <c r="AQ926" s="59">
        <v>3</v>
      </c>
      <c r="AR926" s="59">
        <v>4</v>
      </c>
      <c r="AS926" s="59">
        <v>80</v>
      </c>
      <c r="AT926" s="59">
        <v>0</v>
      </c>
      <c r="AU926" s="59">
        <v>4</v>
      </c>
      <c r="AV926" s="59">
        <v>3</v>
      </c>
      <c r="AW926" s="59">
        <v>3</v>
      </c>
      <c r="AX926" s="59">
        <v>3</v>
      </c>
      <c r="AY926" s="59">
        <v>2</v>
      </c>
      <c r="AZ926" s="59">
        <v>2</v>
      </c>
      <c r="BA926" s="59">
        <v>2</v>
      </c>
      <c r="BB926" s="57">
        <f t="shared" si="284"/>
        <v>3506</v>
      </c>
    </row>
    <row r="927" spans="1:54" x14ac:dyDescent="0.25">
      <c r="A927" s="58">
        <v>42</v>
      </c>
      <c r="B927" s="59">
        <v>0</v>
      </c>
      <c r="C927" s="59">
        <v>1</v>
      </c>
      <c r="D927" s="59">
        <f t="shared" si="266"/>
        <v>1</v>
      </c>
      <c r="E927" s="59">
        <f t="shared" si="267"/>
        <v>0</v>
      </c>
      <c r="F927" s="59">
        <v>603</v>
      </c>
      <c r="G927" s="59">
        <v>2</v>
      </c>
      <c r="H927" s="59">
        <f t="shared" si="268"/>
        <v>0</v>
      </c>
      <c r="I927" s="59">
        <f t="shared" si="269"/>
        <v>1</v>
      </c>
      <c r="J927" s="59">
        <v>7</v>
      </c>
      <c r="K927" s="59">
        <v>4</v>
      </c>
      <c r="L927" s="59">
        <v>3</v>
      </c>
      <c r="M927" s="59">
        <f t="shared" si="270"/>
        <v>0</v>
      </c>
      <c r="N927" s="59">
        <f t="shared" si="271"/>
        <v>0</v>
      </c>
      <c r="O927" s="59">
        <f t="shared" si="272"/>
        <v>1</v>
      </c>
      <c r="P927" s="59">
        <f t="shared" si="273"/>
        <v>0</v>
      </c>
      <c r="Q927" s="59">
        <f t="shared" si="274"/>
        <v>0</v>
      </c>
      <c r="R927" s="59">
        <v>1</v>
      </c>
      <c r="S927" s="59">
        <v>1292</v>
      </c>
      <c r="T927" s="59">
        <v>2</v>
      </c>
      <c r="U927" s="59">
        <v>0</v>
      </c>
      <c r="V927" s="59">
        <v>78</v>
      </c>
      <c r="W927" s="59">
        <v>4</v>
      </c>
      <c r="X927" s="59">
        <v>2</v>
      </c>
      <c r="Y927" s="59">
        <v>2</v>
      </c>
      <c r="Z927" s="59">
        <f t="shared" si="275"/>
        <v>0</v>
      </c>
      <c r="AA927" s="59">
        <f>IF('Updated Dummy'!Y927=2,1,0)</f>
        <v>1</v>
      </c>
      <c r="AB927" s="59">
        <f t="shared" si="276"/>
        <v>0</v>
      </c>
      <c r="AC927" s="59">
        <f t="shared" si="277"/>
        <v>0</v>
      </c>
      <c r="AD927" s="59">
        <f t="shared" si="278"/>
        <v>0</v>
      </c>
      <c r="AE927" s="59">
        <f t="shared" si="279"/>
        <v>0</v>
      </c>
      <c r="AF927" s="59">
        <f t="shared" si="280"/>
        <v>0</v>
      </c>
      <c r="AG927" s="59">
        <f t="shared" si="281"/>
        <v>0</v>
      </c>
      <c r="AH927" s="59">
        <v>2</v>
      </c>
      <c r="AI927" s="59">
        <v>2</v>
      </c>
      <c r="AJ927" s="59">
        <f t="shared" si="282"/>
        <v>0</v>
      </c>
      <c r="AK927" s="59">
        <f t="shared" si="283"/>
        <v>1</v>
      </c>
      <c r="AL927" s="59">
        <v>2372</v>
      </c>
      <c r="AM927" s="59">
        <v>5628</v>
      </c>
      <c r="AN927" s="59">
        <v>6</v>
      </c>
      <c r="AO927" s="59">
        <v>1</v>
      </c>
      <c r="AP927" s="59">
        <v>16</v>
      </c>
      <c r="AQ927" s="59">
        <v>3</v>
      </c>
      <c r="AR927" s="59">
        <v>4</v>
      </c>
      <c r="AS927" s="59">
        <v>80</v>
      </c>
      <c r="AT927" s="59">
        <v>0</v>
      </c>
      <c r="AU927" s="59">
        <v>18</v>
      </c>
      <c r="AV927" s="59">
        <v>2</v>
      </c>
      <c r="AW927" s="59">
        <v>3</v>
      </c>
      <c r="AX927" s="59">
        <v>1</v>
      </c>
      <c r="AY927" s="59">
        <v>0</v>
      </c>
      <c r="AZ927" s="59">
        <v>0</v>
      </c>
      <c r="BA927" s="59">
        <v>0</v>
      </c>
      <c r="BB927" s="57">
        <f t="shared" si="284"/>
        <v>4744</v>
      </c>
    </row>
    <row r="928" spans="1:54" x14ac:dyDescent="0.25">
      <c r="A928" s="58">
        <v>43</v>
      </c>
      <c r="B928" s="59">
        <v>0</v>
      </c>
      <c r="C928" s="59">
        <v>1</v>
      </c>
      <c r="D928" s="59">
        <f t="shared" si="266"/>
        <v>1</v>
      </c>
      <c r="E928" s="59">
        <f t="shared" si="267"/>
        <v>0</v>
      </c>
      <c r="F928" s="59">
        <v>531</v>
      </c>
      <c r="G928" s="59">
        <v>1</v>
      </c>
      <c r="H928" s="59">
        <f t="shared" si="268"/>
        <v>1</v>
      </c>
      <c r="I928" s="59">
        <f t="shared" si="269"/>
        <v>0</v>
      </c>
      <c r="J928" s="59">
        <v>4</v>
      </c>
      <c r="K928" s="59">
        <v>4</v>
      </c>
      <c r="L928" s="59">
        <v>4</v>
      </c>
      <c r="M928" s="59">
        <f t="shared" si="270"/>
        <v>0</v>
      </c>
      <c r="N928" s="59">
        <f t="shared" si="271"/>
        <v>0</v>
      </c>
      <c r="O928" s="59">
        <f t="shared" si="272"/>
        <v>0</v>
      </c>
      <c r="P928" s="59">
        <f t="shared" si="273"/>
        <v>1</v>
      </c>
      <c r="Q928" s="59">
        <f t="shared" si="274"/>
        <v>0</v>
      </c>
      <c r="R928" s="59">
        <v>1</v>
      </c>
      <c r="S928" s="59">
        <v>1293</v>
      </c>
      <c r="T928" s="59">
        <v>4</v>
      </c>
      <c r="U928" s="59">
        <v>0</v>
      </c>
      <c r="V928" s="59">
        <v>56</v>
      </c>
      <c r="W928" s="59">
        <v>2</v>
      </c>
      <c r="X928" s="59">
        <v>3</v>
      </c>
      <c r="Y928" s="59">
        <v>1</v>
      </c>
      <c r="Z928" s="59">
        <f t="shared" si="275"/>
        <v>1</v>
      </c>
      <c r="AA928" s="59">
        <f>IF('Updated Dummy'!Y928=2,1,0)</f>
        <v>0</v>
      </c>
      <c r="AB928" s="59">
        <f t="shared" si="276"/>
        <v>0</v>
      </c>
      <c r="AC928" s="59">
        <f t="shared" si="277"/>
        <v>0</v>
      </c>
      <c r="AD928" s="59">
        <f t="shared" si="278"/>
        <v>0</v>
      </c>
      <c r="AE928" s="59">
        <f t="shared" si="279"/>
        <v>0</v>
      </c>
      <c r="AF928" s="59">
        <f t="shared" si="280"/>
        <v>0</v>
      </c>
      <c r="AG928" s="59">
        <f t="shared" si="281"/>
        <v>0</v>
      </c>
      <c r="AH928" s="59">
        <v>4</v>
      </c>
      <c r="AI928" s="59">
        <v>1</v>
      </c>
      <c r="AJ928" s="59">
        <f t="shared" si="282"/>
        <v>1</v>
      </c>
      <c r="AK928" s="59">
        <f t="shared" si="283"/>
        <v>0</v>
      </c>
      <c r="AL928" s="59">
        <v>10231</v>
      </c>
      <c r="AM928" s="59">
        <v>20364</v>
      </c>
      <c r="AN928" s="59">
        <v>3</v>
      </c>
      <c r="AO928" s="59">
        <v>0</v>
      </c>
      <c r="AP928" s="59">
        <v>14</v>
      </c>
      <c r="AQ928" s="59">
        <v>3</v>
      </c>
      <c r="AR928" s="59">
        <v>4</v>
      </c>
      <c r="AS928" s="59">
        <v>80</v>
      </c>
      <c r="AT928" s="59">
        <v>0</v>
      </c>
      <c r="AU928" s="59">
        <v>23</v>
      </c>
      <c r="AV928" s="59">
        <v>3</v>
      </c>
      <c r="AW928" s="59">
        <v>4</v>
      </c>
      <c r="AX928" s="59">
        <v>21</v>
      </c>
      <c r="AY928" s="59">
        <v>7</v>
      </c>
      <c r="AZ928" s="59">
        <v>15</v>
      </c>
      <c r="BA928" s="59">
        <v>17</v>
      </c>
      <c r="BB928" s="57">
        <f t="shared" si="284"/>
        <v>30693</v>
      </c>
    </row>
    <row r="929" spans="1:54" x14ac:dyDescent="0.25">
      <c r="A929" s="58">
        <v>36</v>
      </c>
      <c r="B929" s="59">
        <v>0</v>
      </c>
      <c r="C929" s="59">
        <v>1</v>
      </c>
      <c r="D929" s="59">
        <f t="shared" si="266"/>
        <v>1</v>
      </c>
      <c r="E929" s="59">
        <f t="shared" si="267"/>
        <v>0</v>
      </c>
      <c r="F929" s="59">
        <v>429</v>
      </c>
      <c r="G929" s="59">
        <v>2</v>
      </c>
      <c r="H929" s="59">
        <f t="shared" si="268"/>
        <v>0</v>
      </c>
      <c r="I929" s="59">
        <f t="shared" si="269"/>
        <v>1</v>
      </c>
      <c r="J929" s="59">
        <v>2</v>
      </c>
      <c r="K929" s="59">
        <v>4</v>
      </c>
      <c r="L929" s="59">
        <v>1</v>
      </c>
      <c r="M929" s="59">
        <f t="shared" si="270"/>
        <v>1</v>
      </c>
      <c r="N929" s="59">
        <f t="shared" si="271"/>
        <v>0</v>
      </c>
      <c r="O929" s="59">
        <f t="shared" si="272"/>
        <v>0</v>
      </c>
      <c r="P929" s="59">
        <f t="shared" si="273"/>
        <v>0</v>
      </c>
      <c r="Q929" s="59">
        <f t="shared" si="274"/>
        <v>0</v>
      </c>
      <c r="R929" s="59">
        <v>1</v>
      </c>
      <c r="S929" s="59">
        <v>1294</v>
      </c>
      <c r="T929" s="59">
        <v>3</v>
      </c>
      <c r="U929" s="59">
        <v>0</v>
      </c>
      <c r="V929" s="59">
        <v>53</v>
      </c>
      <c r="W929" s="59">
        <v>3</v>
      </c>
      <c r="X929" s="59">
        <v>2</v>
      </c>
      <c r="Y929" s="59">
        <v>4</v>
      </c>
      <c r="Z929" s="59">
        <f t="shared" si="275"/>
        <v>0</v>
      </c>
      <c r="AA929" s="59">
        <f>IF('Updated Dummy'!Y929=2,1,0)</f>
        <v>0</v>
      </c>
      <c r="AB929" s="59">
        <f t="shared" si="276"/>
        <v>0</v>
      </c>
      <c r="AC929" s="59">
        <f t="shared" si="277"/>
        <v>1</v>
      </c>
      <c r="AD929" s="59">
        <f t="shared" si="278"/>
        <v>0</v>
      </c>
      <c r="AE929" s="59">
        <f t="shared" si="279"/>
        <v>0</v>
      </c>
      <c r="AF929" s="59">
        <f t="shared" si="280"/>
        <v>0</v>
      </c>
      <c r="AG929" s="59">
        <f t="shared" si="281"/>
        <v>0</v>
      </c>
      <c r="AH929" s="59">
        <v>2</v>
      </c>
      <c r="AI929" s="59">
        <v>1</v>
      </c>
      <c r="AJ929" s="59">
        <f t="shared" si="282"/>
        <v>1</v>
      </c>
      <c r="AK929" s="59">
        <f t="shared" si="283"/>
        <v>0</v>
      </c>
      <c r="AL929" s="59">
        <v>5410</v>
      </c>
      <c r="AM929" s="59">
        <v>2323</v>
      </c>
      <c r="AN929" s="59">
        <v>9</v>
      </c>
      <c r="AO929" s="59">
        <v>1</v>
      </c>
      <c r="AP929" s="59">
        <v>11</v>
      </c>
      <c r="AQ929" s="59">
        <v>3</v>
      </c>
      <c r="AR929" s="59">
        <v>4</v>
      </c>
      <c r="AS929" s="59">
        <v>80</v>
      </c>
      <c r="AT929" s="59">
        <v>0</v>
      </c>
      <c r="AU929" s="59">
        <v>18</v>
      </c>
      <c r="AV929" s="59">
        <v>2</v>
      </c>
      <c r="AW929" s="59">
        <v>3</v>
      </c>
      <c r="AX929" s="59">
        <v>16</v>
      </c>
      <c r="AY929" s="59">
        <v>14</v>
      </c>
      <c r="AZ929" s="59">
        <v>5</v>
      </c>
      <c r="BA929" s="59">
        <v>12</v>
      </c>
      <c r="BB929" s="57">
        <f t="shared" si="284"/>
        <v>10820</v>
      </c>
    </row>
    <row r="930" spans="1:54" x14ac:dyDescent="0.25">
      <c r="A930" s="58">
        <v>44</v>
      </c>
      <c r="B930" s="59">
        <v>1</v>
      </c>
      <c r="C930" s="59">
        <v>1</v>
      </c>
      <c r="D930" s="59">
        <f t="shared" si="266"/>
        <v>1</v>
      </c>
      <c r="E930" s="59">
        <f t="shared" si="267"/>
        <v>0</v>
      </c>
      <c r="F930" s="59">
        <v>621</v>
      </c>
      <c r="G930" s="59">
        <v>2</v>
      </c>
      <c r="H930" s="59">
        <f t="shared" si="268"/>
        <v>0</v>
      </c>
      <c r="I930" s="59">
        <f t="shared" si="269"/>
        <v>1</v>
      </c>
      <c r="J930" s="59">
        <v>15</v>
      </c>
      <c r="K930" s="59">
        <v>3</v>
      </c>
      <c r="L930" s="59">
        <v>3</v>
      </c>
      <c r="M930" s="59">
        <f t="shared" si="270"/>
        <v>0</v>
      </c>
      <c r="N930" s="59">
        <f t="shared" si="271"/>
        <v>0</v>
      </c>
      <c r="O930" s="59">
        <f t="shared" si="272"/>
        <v>1</v>
      </c>
      <c r="P930" s="59">
        <f t="shared" si="273"/>
        <v>0</v>
      </c>
      <c r="Q930" s="59">
        <f t="shared" si="274"/>
        <v>0</v>
      </c>
      <c r="R930" s="59">
        <v>1</v>
      </c>
      <c r="S930" s="59">
        <v>1295</v>
      </c>
      <c r="T930" s="59">
        <v>1</v>
      </c>
      <c r="U930" s="59">
        <v>0</v>
      </c>
      <c r="V930" s="59">
        <v>73</v>
      </c>
      <c r="W930" s="59">
        <v>3</v>
      </c>
      <c r="X930" s="59">
        <v>3</v>
      </c>
      <c r="Y930" s="59">
        <v>5</v>
      </c>
      <c r="Z930" s="59">
        <f t="shared" si="275"/>
        <v>0</v>
      </c>
      <c r="AA930" s="59">
        <f>IF('Updated Dummy'!Y930=2,1,0)</f>
        <v>0</v>
      </c>
      <c r="AB930" s="59">
        <f t="shared" si="276"/>
        <v>0</v>
      </c>
      <c r="AC930" s="59">
        <f t="shared" si="277"/>
        <v>0</v>
      </c>
      <c r="AD930" s="59">
        <f t="shared" si="278"/>
        <v>1</v>
      </c>
      <c r="AE930" s="59">
        <f t="shared" si="279"/>
        <v>0</v>
      </c>
      <c r="AF930" s="59">
        <f t="shared" si="280"/>
        <v>0</v>
      </c>
      <c r="AG930" s="59">
        <f t="shared" si="281"/>
        <v>0</v>
      </c>
      <c r="AH930" s="59">
        <v>4</v>
      </c>
      <c r="AI930" s="59">
        <v>2</v>
      </c>
      <c r="AJ930" s="59">
        <f t="shared" si="282"/>
        <v>0</v>
      </c>
      <c r="AK930" s="59">
        <f t="shared" si="283"/>
        <v>1</v>
      </c>
      <c r="AL930" s="59">
        <v>7978</v>
      </c>
      <c r="AM930" s="59">
        <v>14075</v>
      </c>
      <c r="AN930" s="59">
        <v>1</v>
      </c>
      <c r="AO930" s="59">
        <v>0</v>
      </c>
      <c r="AP930" s="59">
        <v>11</v>
      </c>
      <c r="AQ930" s="59">
        <v>3</v>
      </c>
      <c r="AR930" s="59">
        <v>4</v>
      </c>
      <c r="AS930" s="59">
        <v>80</v>
      </c>
      <c r="AT930" s="59">
        <v>1</v>
      </c>
      <c r="AU930" s="59">
        <v>10</v>
      </c>
      <c r="AV930" s="59">
        <v>2</v>
      </c>
      <c r="AW930" s="59">
        <v>3</v>
      </c>
      <c r="AX930" s="59">
        <v>10</v>
      </c>
      <c r="AY930" s="59">
        <v>7</v>
      </c>
      <c r="AZ930" s="59">
        <v>0</v>
      </c>
      <c r="BA930" s="59">
        <v>5</v>
      </c>
      <c r="BB930" s="57">
        <f t="shared" si="284"/>
        <v>23934</v>
      </c>
    </row>
    <row r="931" spans="1:54" x14ac:dyDescent="0.25">
      <c r="A931" s="58">
        <v>28</v>
      </c>
      <c r="B931" s="59">
        <v>0</v>
      </c>
      <c r="C931" s="59">
        <v>2</v>
      </c>
      <c r="D931" s="59">
        <f t="shared" si="266"/>
        <v>0</v>
      </c>
      <c r="E931" s="59">
        <f t="shared" si="267"/>
        <v>1</v>
      </c>
      <c r="F931" s="59">
        <v>193</v>
      </c>
      <c r="G931" s="59">
        <v>2</v>
      </c>
      <c r="H931" s="59">
        <f t="shared" si="268"/>
        <v>0</v>
      </c>
      <c r="I931" s="59">
        <f t="shared" si="269"/>
        <v>1</v>
      </c>
      <c r="J931" s="59">
        <v>2</v>
      </c>
      <c r="K931" s="59">
        <v>3</v>
      </c>
      <c r="L931" s="59">
        <v>1</v>
      </c>
      <c r="M931" s="59">
        <f t="shared" si="270"/>
        <v>1</v>
      </c>
      <c r="N931" s="59">
        <f t="shared" si="271"/>
        <v>0</v>
      </c>
      <c r="O931" s="59">
        <f t="shared" si="272"/>
        <v>0</v>
      </c>
      <c r="P931" s="59">
        <f t="shared" si="273"/>
        <v>0</v>
      </c>
      <c r="Q931" s="59">
        <f t="shared" si="274"/>
        <v>0</v>
      </c>
      <c r="R931" s="59">
        <v>1</v>
      </c>
      <c r="S931" s="59">
        <v>1296</v>
      </c>
      <c r="T931" s="59">
        <v>4</v>
      </c>
      <c r="U931" s="59">
        <v>1</v>
      </c>
      <c r="V931" s="59">
        <v>52</v>
      </c>
      <c r="W931" s="59">
        <v>2</v>
      </c>
      <c r="X931" s="59">
        <v>1</v>
      </c>
      <c r="Y931" s="59">
        <v>3</v>
      </c>
      <c r="Z931" s="59">
        <f t="shared" si="275"/>
        <v>0</v>
      </c>
      <c r="AA931" s="59">
        <f>IF('Updated Dummy'!Y931=2,1,0)</f>
        <v>0</v>
      </c>
      <c r="AB931" s="59">
        <f t="shared" si="276"/>
        <v>1</v>
      </c>
      <c r="AC931" s="59">
        <f t="shared" si="277"/>
        <v>0</v>
      </c>
      <c r="AD931" s="59">
        <f t="shared" si="278"/>
        <v>0</v>
      </c>
      <c r="AE931" s="59">
        <f t="shared" si="279"/>
        <v>0</v>
      </c>
      <c r="AF931" s="59">
        <f t="shared" si="280"/>
        <v>0</v>
      </c>
      <c r="AG931" s="59">
        <f t="shared" si="281"/>
        <v>0</v>
      </c>
      <c r="AH931" s="59">
        <v>4</v>
      </c>
      <c r="AI931" s="59">
        <v>2</v>
      </c>
      <c r="AJ931" s="59">
        <f t="shared" si="282"/>
        <v>0</v>
      </c>
      <c r="AK931" s="59">
        <f t="shared" si="283"/>
        <v>1</v>
      </c>
      <c r="AL931" s="59">
        <v>3867</v>
      </c>
      <c r="AM931" s="59">
        <v>14222</v>
      </c>
      <c r="AN931" s="59">
        <v>1</v>
      </c>
      <c r="AO931" s="59">
        <v>1</v>
      </c>
      <c r="AP931" s="59">
        <v>12</v>
      </c>
      <c r="AQ931" s="59">
        <v>3</v>
      </c>
      <c r="AR931" s="59">
        <v>2</v>
      </c>
      <c r="AS931" s="59">
        <v>80</v>
      </c>
      <c r="AT931" s="59">
        <v>1</v>
      </c>
      <c r="AU931" s="59">
        <v>2</v>
      </c>
      <c r="AV931" s="59">
        <v>2</v>
      </c>
      <c r="AW931" s="59">
        <v>3</v>
      </c>
      <c r="AX931" s="59">
        <v>2</v>
      </c>
      <c r="AY931" s="59">
        <v>2</v>
      </c>
      <c r="AZ931" s="59">
        <v>2</v>
      </c>
      <c r="BA931" s="59">
        <v>2</v>
      </c>
      <c r="BB931" s="57">
        <f t="shared" si="284"/>
        <v>3867</v>
      </c>
    </row>
    <row r="932" spans="1:54" x14ac:dyDescent="0.25">
      <c r="A932" s="58">
        <v>51</v>
      </c>
      <c r="B932" s="59">
        <v>0</v>
      </c>
      <c r="C932" s="59">
        <v>2</v>
      </c>
      <c r="D932" s="59">
        <f t="shared" si="266"/>
        <v>0</v>
      </c>
      <c r="E932" s="59">
        <f t="shared" si="267"/>
        <v>1</v>
      </c>
      <c r="F932" s="59">
        <v>968</v>
      </c>
      <c r="G932" s="59">
        <v>2</v>
      </c>
      <c r="H932" s="59">
        <f t="shared" si="268"/>
        <v>0</v>
      </c>
      <c r="I932" s="59">
        <f t="shared" si="269"/>
        <v>1</v>
      </c>
      <c r="J932" s="59">
        <v>6</v>
      </c>
      <c r="K932" s="59">
        <v>2</v>
      </c>
      <c r="L932" s="59">
        <v>3</v>
      </c>
      <c r="M932" s="59">
        <f t="shared" si="270"/>
        <v>0</v>
      </c>
      <c r="N932" s="59">
        <f t="shared" si="271"/>
        <v>0</v>
      </c>
      <c r="O932" s="59">
        <f t="shared" si="272"/>
        <v>1</v>
      </c>
      <c r="P932" s="59">
        <f t="shared" si="273"/>
        <v>0</v>
      </c>
      <c r="Q932" s="59">
        <f t="shared" si="274"/>
        <v>0</v>
      </c>
      <c r="R932" s="59">
        <v>1</v>
      </c>
      <c r="S932" s="59">
        <v>1297</v>
      </c>
      <c r="T932" s="59">
        <v>2</v>
      </c>
      <c r="U932" s="59">
        <v>0</v>
      </c>
      <c r="V932" s="59">
        <v>40</v>
      </c>
      <c r="W932" s="59">
        <v>2</v>
      </c>
      <c r="X932" s="59">
        <v>1</v>
      </c>
      <c r="Y932" s="59">
        <v>3</v>
      </c>
      <c r="Z932" s="59">
        <f t="shared" si="275"/>
        <v>0</v>
      </c>
      <c r="AA932" s="59">
        <f>IF('Updated Dummy'!Y932=2,1,0)</f>
        <v>0</v>
      </c>
      <c r="AB932" s="59">
        <f t="shared" si="276"/>
        <v>1</v>
      </c>
      <c r="AC932" s="59">
        <f t="shared" si="277"/>
        <v>0</v>
      </c>
      <c r="AD932" s="59">
        <f t="shared" si="278"/>
        <v>0</v>
      </c>
      <c r="AE932" s="59">
        <f t="shared" si="279"/>
        <v>0</v>
      </c>
      <c r="AF932" s="59">
        <f t="shared" si="280"/>
        <v>0</v>
      </c>
      <c r="AG932" s="59">
        <f t="shared" si="281"/>
        <v>0</v>
      </c>
      <c r="AH932" s="59">
        <v>3</v>
      </c>
      <c r="AI932" s="59">
        <v>1</v>
      </c>
      <c r="AJ932" s="59">
        <f t="shared" si="282"/>
        <v>1</v>
      </c>
      <c r="AK932" s="59">
        <f t="shared" si="283"/>
        <v>0</v>
      </c>
      <c r="AL932" s="59">
        <v>2838</v>
      </c>
      <c r="AM932" s="59">
        <v>4257</v>
      </c>
      <c r="AN932" s="59">
        <v>0</v>
      </c>
      <c r="AO932" s="59">
        <v>0</v>
      </c>
      <c r="AP932" s="59">
        <v>14</v>
      </c>
      <c r="AQ932" s="59">
        <v>3</v>
      </c>
      <c r="AR932" s="59">
        <v>2</v>
      </c>
      <c r="AS932" s="59">
        <v>80</v>
      </c>
      <c r="AT932" s="59">
        <v>0</v>
      </c>
      <c r="AU932" s="59">
        <v>8</v>
      </c>
      <c r="AV932" s="59">
        <v>6</v>
      </c>
      <c r="AW932" s="59">
        <v>2</v>
      </c>
      <c r="AX932" s="59">
        <v>7</v>
      </c>
      <c r="AY932" s="59">
        <v>0</v>
      </c>
      <c r="AZ932" s="59">
        <v>7</v>
      </c>
      <c r="BA932" s="59">
        <v>7</v>
      </c>
      <c r="BB932" s="57">
        <f t="shared" si="284"/>
        <v>2838</v>
      </c>
    </row>
    <row r="933" spans="1:54" x14ac:dyDescent="0.25">
      <c r="A933" s="58">
        <v>30</v>
      </c>
      <c r="B933" s="59">
        <v>0</v>
      </c>
      <c r="C933" s="59">
        <v>3</v>
      </c>
      <c r="D933" s="59">
        <f t="shared" si="266"/>
        <v>0</v>
      </c>
      <c r="E933" s="59">
        <f t="shared" si="267"/>
        <v>0</v>
      </c>
      <c r="F933" s="59">
        <v>879</v>
      </c>
      <c r="G933" s="59">
        <v>2</v>
      </c>
      <c r="H933" s="59">
        <f t="shared" si="268"/>
        <v>0</v>
      </c>
      <c r="I933" s="59">
        <f t="shared" si="269"/>
        <v>1</v>
      </c>
      <c r="J933" s="59">
        <v>9</v>
      </c>
      <c r="K933" s="59">
        <v>2</v>
      </c>
      <c r="L933" s="59">
        <v>3</v>
      </c>
      <c r="M933" s="59">
        <f t="shared" si="270"/>
        <v>0</v>
      </c>
      <c r="N933" s="59">
        <f t="shared" si="271"/>
        <v>0</v>
      </c>
      <c r="O933" s="59">
        <f t="shared" si="272"/>
        <v>1</v>
      </c>
      <c r="P933" s="59">
        <f t="shared" si="273"/>
        <v>0</v>
      </c>
      <c r="Q933" s="59">
        <f t="shared" si="274"/>
        <v>0</v>
      </c>
      <c r="R933" s="59">
        <v>1</v>
      </c>
      <c r="S933" s="59">
        <v>1298</v>
      </c>
      <c r="T933" s="59">
        <v>3</v>
      </c>
      <c r="U933" s="59">
        <v>0</v>
      </c>
      <c r="V933" s="59">
        <v>72</v>
      </c>
      <c r="W933" s="59">
        <v>3</v>
      </c>
      <c r="X933" s="59">
        <v>2</v>
      </c>
      <c r="Y933" s="59">
        <v>4</v>
      </c>
      <c r="Z933" s="59">
        <f t="shared" si="275"/>
        <v>0</v>
      </c>
      <c r="AA933" s="59">
        <f>IF('Updated Dummy'!Y933=2,1,0)</f>
        <v>0</v>
      </c>
      <c r="AB933" s="59">
        <f t="shared" si="276"/>
        <v>0</v>
      </c>
      <c r="AC933" s="59">
        <f t="shared" si="277"/>
        <v>1</v>
      </c>
      <c r="AD933" s="59">
        <f t="shared" si="278"/>
        <v>0</v>
      </c>
      <c r="AE933" s="59">
        <f t="shared" si="279"/>
        <v>0</v>
      </c>
      <c r="AF933" s="59">
        <f t="shared" si="280"/>
        <v>0</v>
      </c>
      <c r="AG933" s="59">
        <f t="shared" si="281"/>
        <v>0</v>
      </c>
      <c r="AH933" s="59">
        <v>3</v>
      </c>
      <c r="AI933" s="59">
        <v>1</v>
      </c>
      <c r="AJ933" s="59">
        <f t="shared" si="282"/>
        <v>1</v>
      </c>
      <c r="AK933" s="59">
        <f t="shared" si="283"/>
        <v>0</v>
      </c>
      <c r="AL933" s="59">
        <v>4695</v>
      </c>
      <c r="AM933" s="59">
        <v>12858</v>
      </c>
      <c r="AN933" s="59">
        <v>7</v>
      </c>
      <c r="AO933" s="59">
        <v>1</v>
      </c>
      <c r="AP933" s="59">
        <v>18</v>
      </c>
      <c r="AQ933" s="59">
        <v>3</v>
      </c>
      <c r="AR933" s="59">
        <v>3</v>
      </c>
      <c r="AS933" s="59">
        <v>80</v>
      </c>
      <c r="AT933" s="59">
        <v>0</v>
      </c>
      <c r="AU933" s="59">
        <v>10</v>
      </c>
      <c r="AV933" s="59">
        <v>3</v>
      </c>
      <c r="AW933" s="59">
        <v>3</v>
      </c>
      <c r="AX933" s="59">
        <v>8</v>
      </c>
      <c r="AY933" s="59">
        <v>4</v>
      </c>
      <c r="AZ933" s="59">
        <v>1</v>
      </c>
      <c r="BA933" s="59">
        <v>7</v>
      </c>
      <c r="BB933" s="57">
        <f t="shared" si="284"/>
        <v>9390</v>
      </c>
    </row>
    <row r="934" spans="1:54" x14ac:dyDescent="0.25">
      <c r="A934" s="58">
        <v>29</v>
      </c>
      <c r="B934" s="59">
        <v>1</v>
      </c>
      <c r="C934" s="59">
        <v>1</v>
      </c>
      <c r="D934" s="59">
        <f t="shared" si="266"/>
        <v>1</v>
      </c>
      <c r="E934" s="59">
        <f t="shared" si="267"/>
        <v>0</v>
      </c>
      <c r="F934" s="59">
        <v>806</v>
      </c>
      <c r="G934" s="59">
        <v>2</v>
      </c>
      <c r="H934" s="59">
        <f t="shared" si="268"/>
        <v>0</v>
      </c>
      <c r="I934" s="59">
        <f t="shared" si="269"/>
        <v>1</v>
      </c>
      <c r="J934" s="59">
        <v>7</v>
      </c>
      <c r="K934" s="59">
        <v>3</v>
      </c>
      <c r="L934" s="59">
        <v>5</v>
      </c>
      <c r="M934" s="59">
        <f t="shared" si="270"/>
        <v>0</v>
      </c>
      <c r="N934" s="59">
        <f t="shared" si="271"/>
        <v>0</v>
      </c>
      <c r="O934" s="59">
        <f t="shared" si="272"/>
        <v>0</v>
      </c>
      <c r="P934" s="59">
        <f t="shared" si="273"/>
        <v>0</v>
      </c>
      <c r="Q934" s="59">
        <f t="shared" si="274"/>
        <v>1</v>
      </c>
      <c r="R934" s="59">
        <v>1</v>
      </c>
      <c r="S934" s="59">
        <v>1299</v>
      </c>
      <c r="T934" s="59">
        <v>2</v>
      </c>
      <c r="U934" s="59">
        <v>0</v>
      </c>
      <c r="V934" s="59">
        <v>39</v>
      </c>
      <c r="W934" s="59">
        <v>3</v>
      </c>
      <c r="X934" s="59">
        <v>1</v>
      </c>
      <c r="Y934" s="59">
        <v>3</v>
      </c>
      <c r="Z934" s="59">
        <f t="shared" si="275"/>
        <v>0</v>
      </c>
      <c r="AA934" s="59">
        <f>IF('Updated Dummy'!Y934=2,1,0)</f>
        <v>0</v>
      </c>
      <c r="AB934" s="59">
        <f t="shared" si="276"/>
        <v>1</v>
      </c>
      <c r="AC934" s="59">
        <f t="shared" si="277"/>
        <v>0</v>
      </c>
      <c r="AD934" s="59">
        <f t="shared" si="278"/>
        <v>0</v>
      </c>
      <c r="AE934" s="59">
        <f t="shared" si="279"/>
        <v>0</v>
      </c>
      <c r="AF934" s="59">
        <f t="shared" si="280"/>
        <v>0</v>
      </c>
      <c r="AG934" s="59">
        <f t="shared" si="281"/>
        <v>0</v>
      </c>
      <c r="AH934" s="59">
        <v>3</v>
      </c>
      <c r="AI934" s="59">
        <v>3</v>
      </c>
      <c r="AJ934" s="59">
        <f t="shared" si="282"/>
        <v>0</v>
      </c>
      <c r="AK934" s="59">
        <f t="shared" si="283"/>
        <v>0</v>
      </c>
      <c r="AL934" s="59">
        <v>3339</v>
      </c>
      <c r="AM934" s="59">
        <v>17285</v>
      </c>
      <c r="AN934" s="59">
        <v>3</v>
      </c>
      <c r="AO934" s="59">
        <v>1</v>
      </c>
      <c r="AP934" s="59">
        <v>13</v>
      </c>
      <c r="AQ934" s="59">
        <v>3</v>
      </c>
      <c r="AR934" s="59">
        <v>1</v>
      </c>
      <c r="AS934" s="59">
        <v>80</v>
      </c>
      <c r="AT934" s="59">
        <v>2</v>
      </c>
      <c r="AU934" s="59">
        <v>10</v>
      </c>
      <c r="AV934" s="59">
        <v>2</v>
      </c>
      <c r="AW934" s="59">
        <v>3</v>
      </c>
      <c r="AX934" s="59">
        <v>7</v>
      </c>
      <c r="AY934" s="59">
        <v>7</v>
      </c>
      <c r="AZ934" s="59">
        <v>7</v>
      </c>
      <c r="BA934" s="59">
        <v>7</v>
      </c>
      <c r="BB934" s="57">
        <f t="shared" si="284"/>
        <v>3339</v>
      </c>
    </row>
    <row r="935" spans="1:54" x14ac:dyDescent="0.25">
      <c r="A935" s="58">
        <v>28</v>
      </c>
      <c r="B935" s="59">
        <v>0</v>
      </c>
      <c r="C935" s="59">
        <v>1</v>
      </c>
      <c r="D935" s="59">
        <f t="shared" si="266"/>
        <v>1</v>
      </c>
      <c r="E935" s="59">
        <f t="shared" si="267"/>
        <v>0</v>
      </c>
      <c r="F935" s="59">
        <v>640</v>
      </c>
      <c r="G935" s="59">
        <v>2</v>
      </c>
      <c r="H935" s="59">
        <f t="shared" si="268"/>
        <v>0</v>
      </c>
      <c r="I935" s="59">
        <f t="shared" si="269"/>
        <v>1</v>
      </c>
      <c r="J935" s="59">
        <v>1</v>
      </c>
      <c r="K935" s="59">
        <v>3</v>
      </c>
      <c r="L935" s="59">
        <v>5</v>
      </c>
      <c r="M935" s="59">
        <f t="shared" si="270"/>
        <v>0</v>
      </c>
      <c r="N935" s="59">
        <f t="shared" si="271"/>
        <v>0</v>
      </c>
      <c r="O935" s="59">
        <f t="shared" si="272"/>
        <v>0</v>
      </c>
      <c r="P935" s="59">
        <f t="shared" si="273"/>
        <v>0</v>
      </c>
      <c r="Q935" s="59">
        <f t="shared" si="274"/>
        <v>1</v>
      </c>
      <c r="R935" s="59">
        <v>1</v>
      </c>
      <c r="S935" s="59">
        <v>1301</v>
      </c>
      <c r="T935" s="59">
        <v>4</v>
      </c>
      <c r="U935" s="59">
        <v>1</v>
      </c>
      <c r="V935" s="59">
        <v>84</v>
      </c>
      <c r="W935" s="59">
        <v>3</v>
      </c>
      <c r="X935" s="59">
        <v>1</v>
      </c>
      <c r="Y935" s="59">
        <v>2</v>
      </c>
      <c r="Z935" s="59">
        <f t="shared" si="275"/>
        <v>0</v>
      </c>
      <c r="AA935" s="59">
        <f>IF('Updated Dummy'!Y935=2,1,0)</f>
        <v>1</v>
      </c>
      <c r="AB935" s="59">
        <f t="shared" si="276"/>
        <v>0</v>
      </c>
      <c r="AC935" s="59">
        <f t="shared" si="277"/>
        <v>0</v>
      </c>
      <c r="AD935" s="59">
        <f t="shared" si="278"/>
        <v>0</v>
      </c>
      <c r="AE935" s="59">
        <f t="shared" si="279"/>
        <v>0</v>
      </c>
      <c r="AF935" s="59">
        <f t="shared" si="280"/>
        <v>0</v>
      </c>
      <c r="AG935" s="59">
        <f t="shared" si="281"/>
        <v>0</v>
      </c>
      <c r="AH935" s="59">
        <v>1</v>
      </c>
      <c r="AI935" s="59">
        <v>1</v>
      </c>
      <c r="AJ935" s="59">
        <f t="shared" si="282"/>
        <v>1</v>
      </c>
      <c r="AK935" s="59">
        <f t="shared" si="283"/>
        <v>0</v>
      </c>
      <c r="AL935" s="59">
        <v>2080</v>
      </c>
      <c r="AM935" s="59">
        <v>4732</v>
      </c>
      <c r="AN935" s="59">
        <v>2</v>
      </c>
      <c r="AO935" s="59">
        <v>0</v>
      </c>
      <c r="AP935" s="59">
        <v>11</v>
      </c>
      <c r="AQ935" s="59">
        <v>3</v>
      </c>
      <c r="AR935" s="59">
        <v>2</v>
      </c>
      <c r="AS935" s="59">
        <v>80</v>
      </c>
      <c r="AT935" s="59">
        <v>0</v>
      </c>
      <c r="AU935" s="59">
        <v>5</v>
      </c>
      <c r="AV935" s="59">
        <v>2</v>
      </c>
      <c r="AW935" s="59">
        <v>2</v>
      </c>
      <c r="AX935" s="59">
        <v>3</v>
      </c>
      <c r="AY935" s="59">
        <v>2</v>
      </c>
      <c r="AZ935" s="59">
        <v>1</v>
      </c>
      <c r="BA935" s="59">
        <v>2</v>
      </c>
      <c r="BB935" s="57">
        <f t="shared" si="284"/>
        <v>2080</v>
      </c>
    </row>
    <row r="936" spans="1:54" x14ac:dyDescent="0.25">
      <c r="A936" s="58">
        <v>25</v>
      </c>
      <c r="B936" s="59">
        <v>0</v>
      </c>
      <c r="C936" s="59">
        <v>1</v>
      </c>
      <c r="D936" s="59">
        <f t="shared" si="266"/>
        <v>1</v>
      </c>
      <c r="E936" s="59">
        <f t="shared" si="267"/>
        <v>0</v>
      </c>
      <c r="F936" s="59">
        <v>266</v>
      </c>
      <c r="G936" s="59">
        <v>2</v>
      </c>
      <c r="H936" s="59">
        <f t="shared" si="268"/>
        <v>0</v>
      </c>
      <c r="I936" s="59">
        <f t="shared" si="269"/>
        <v>1</v>
      </c>
      <c r="J936" s="59">
        <v>1</v>
      </c>
      <c r="K936" s="59">
        <v>3</v>
      </c>
      <c r="L936" s="59">
        <v>3</v>
      </c>
      <c r="M936" s="59">
        <f t="shared" si="270"/>
        <v>0</v>
      </c>
      <c r="N936" s="59">
        <f t="shared" si="271"/>
        <v>0</v>
      </c>
      <c r="O936" s="59">
        <f t="shared" si="272"/>
        <v>1</v>
      </c>
      <c r="P936" s="59">
        <f t="shared" si="273"/>
        <v>0</v>
      </c>
      <c r="Q936" s="59">
        <f t="shared" si="274"/>
        <v>0</v>
      </c>
      <c r="R936" s="59">
        <v>1</v>
      </c>
      <c r="S936" s="59">
        <v>1303</v>
      </c>
      <c r="T936" s="59">
        <v>4</v>
      </c>
      <c r="U936" s="59">
        <v>0</v>
      </c>
      <c r="V936" s="59">
        <v>40</v>
      </c>
      <c r="W936" s="59">
        <v>3</v>
      </c>
      <c r="X936" s="59">
        <v>1</v>
      </c>
      <c r="Y936" s="59">
        <v>2</v>
      </c>
      <c r="Z936" s="59">
        <f t="shared" si="275"/>
        <v>0</v>
      </c>
      <c r="AA936" s="59">
        <f>IF('Updated Dummy'!Y936=2,1,0)</f>
        <v>1</v>
      </c>
      <c r="AB936" s="59">
        <f t="shared" si="276"/>
        <v>0</v>
      </c>
      <c r="AC936" s="59">
        <f t="shared" si="277"/>
        <v>0</v>
      </c>
      <c r="AD936" s="59">
        <f t="shared" si="278"/>
        <v>0</v>
      </c>
      <c r="AE936" s="59">
        <f t="shared" si="279"/>
        <v>0</v>
      </c>
      <c r="AF936" s="59">
        <f t="shared" si="280"/>
        <v>0</v>
      </c>
      <c r="AG936" s="59">
        <f t="shared" si="281"/>
        <v>0</v>
      </c>
      <c r="AH936" s="59">
        <v>2</v>
      </c>
      <c r="AI936" s="59">
        <v>1</v>
      </c>
      <c r="AJ936" s="59">
        <f t="shared" si="282"/>
        <v>1</v>
      </c>
      <c r="AK936" s="59">
        <f t="shared" si="283"/>
        <v>0</v>
      </c>
      <c r="AL936" s="59">
        <v>2096</v>
      </c>
      <c r="AM936" s="59">
        <v>18830</v>
      </c>
      <c r="AN936" s="59">
        <v>1</v>
      </c>
      <c r="AO936" s="59">
        <v>0</v>
      </c>
      <c r="AP936" s="59">
        <v>18</v>
      </c>
      <c r="AQ936" s="59">
        <v>3</v>
      </c>
      <c r="AR936" s="59">
        <v>4</v>
      </c>
      <c r="AS936" s="59">
        <v>80</v>
      </c>
      <c r="AT936" s="59">
        <v>0</v>
      </c>
      <c r="AU936" s="59">
        <v>2</v>
      </c>
      <c r="AV936" s="59">
        <v>3</v>
      </c>
      <c r="AW936" s="59">
        <v>2</v>
      </c>
      <c r="AX936" s="59">
        <v>2</v>
      </c>
      <c r="AY936" s="59">
        <v>2</v>
      </c>
      <c r="AZ936" s="59">
        <v>2</v>
      </c>
      <c r="BA936" s="59">
        <v>1</v>
      </c>
      <c r="BB936" s="57">
        <f t="shared" si="284"/>
        <v>2096</v>
      </c>
    </row>
    <row r="937" spans="1:54" x14ac:dyDescent="0.25">
      <c r="A937" s="58">
        <v>32</v>
      </c>
      <c r="B937" s="59">
        <v>0</v>
      </c>
      <c r="C937" s="59">
        <v>1</v>
      </c>
      <c r="D937" s="59">
        <f t="shared" si="266"/>
        <v>1</v>
      </c>
      <c r="E937" s="59">
        <f t="shared" si="267"/>
        <v>0</v>
      </c>
      <c r="F937" s="59">
        <v>604</v>
      </c>
      <c r="G937" s="59">
        <v>1</v>
      </c>
      <c r="H937" s="59">
        <f t="shared" si="268"/>
        <v>1</v>
      </c>
      <c r="I937" s="59">
        <f t="shared" si="269"/>
        <v>0</v>
      </c>
      <c r="J937" s="59">
        <v>8</v>
      </c>
      <c r="K937" s="59">
        <v>3</v>
      </c>
      <c r="L937" s="59">
        <v>3</v>
      </c>
      <c r="M937" s="59">
        <f t="shared" si="270"/>
        <v>0</v>
      </c>
      <c r="N937" s="59">
        <f t="shared" si="271"/>
        <v>0</v>
      </c>
      <c r="O937" s="59">
        <f t="shared" si="272"/>
        <v>1</v>
      </c>
      <c r="P937" s="59">
        <f t="shared" si="273"/>
        <v>0</v>
      </c>
      <c r="Q937" s="59">
        <f t="shared" si="274"/>
        <v>0</v>
      </c>
      <c r="R937" s="59">
        <v>1</v>
      </c>
      <c r="S937" s="59">
        <v>1304</v>
      </c>
      <c r="T937" s="59">
        <v>3</v>
      </c>
      <c r="U937" s="59">
        <v>1</v>
      </c>
      <c r="V937" s="59">
        <v>56</v>
      </c>
      <c r="W937" s="59">
        <v>4</v>
      </c>
      <c r="X937" s="59">
        <v>2</v>
      </c>
      <c r="Y937" s="59">
        <v>1</v>
      </c>
      <c r="Z937" s="59">
        <f t="shared" si="275"/>
        <v>1</v>
      </c>
      <c r="AA937" s="59">
        <f>IF('Updated Dummy'!Y937=2,1,0)</f>
        <v>0</v>
      </c>
      <c r="AB937" s="59">
        <f t="shared" si="276"/>
        <v>0</v>
      </c>
      <c r="AC937" s="59">
        <f t="shared" si="277"/>
        <v>0</v>
      </c>
      <c r="AD937" s="59">
        <f t="shared" si="278"/>
        <v>0</v>
      </c>
      <c r="AE937" s="59">
        <f t="shared" si="279"/>
        <v>0</v>
      </c>
      <c r="AF937" s="59">
        <f t="shared" si="280"/>
        <v>0</v>
      </c>
      <c r="AG937" s="59">
        <f t="shared" si="281"/>
        <v>0</v>
      </c>
      <c r="AH937" s="59">
        <v>4</v>
      </c>
      <c r="AI937" s="59">
        <v>2</v>
      </c>
      <c r="AJ937" s="59">
        <f t="shared" si="282"/>
        <v>0</v>
      </c>
      <c r="AK937" s="59">
        <f t="shared" si="283"/>
        <v>1</v>
      </c>
      <c r="AL937" s="59">
        <v>6209</v>
      </c>
      <c r="AM937" s="59">
        <v>11693</v>
      </c>
      <c r="AN937" s="59">
        <v>1</v>
      </c>
      <c r="AO937" s="59">
        <v>0</v>
      </c>
      <c r="AP937" s="59">
        <v>15</v>
      </c>
      <c r="AQ937" s="59">
        <v>3</v>
      </c>
      <c r="AR937" s="59">
        <v>3</v>
      </c>
      <c r="AS937" s="59">
        <v>80</v>
      </c>
      <c r="AT937" s="59">
        <v>2</v>
      </c>
      <c r="AU937" s="59">
        <v>10</v>
      </c>
      <c r="AV937" s="59">
        <v>4</v>
      </c>
      <c r="AW937" s="59">
        <v>4</v>
      </c>
      <c r="AX937" s="59">
        <v>10</v>
      </c>
      <c r="AY937" s="59">
        <v>7</v>
      </c>
      <c r="AZ937" s="59">
        <v>0</v>
      </c>
      <c r="BA937" s="59">
        <v>8</v>
      </c>
      <c r="BB937" s="57">
        <f t="shared" si="284"/>
        <v>12418</v>
      </c>
    </row>
    <row r="938" spans="1:54" x14ac:dyDescent="0.25">
      <c r="A938" s="58">
        <v>45</v>
      </c>
      <c r="B938" s="59">
        <v>0</v>
      </c>
      <c r="C938" s="59">
        <v>2</v>
      </c>
      <c r="D938" s="59">
        <f t="shared" si="266"/>
        <v>0</v>
      </c>
      <c r="E938" s="59">
        <f t="shared" si="267"/>
        <v>1</v>
      </c>
      <c r="F938" s="59">
        <v>364</v>
      </c>
      <c r="G938" s="59">
        <v>2</v>
      </c>
      <c r="H938" s="59">
        <f t="shared" si="268"/>
        <v>0</v>
      </c>
      <c r="I938" s="59">
        <f t="shared" si="269"/>
        <v>1</v>
      </c>
      <c r="J938" s="59">
        <v>25</v>
      </c>
      <c r="K938" s="59">
        <v>3</v>
      </c>
      <c r="L938" s="59">
        <v>3</v>
      </c>
      <c r="M938" s="59">
        <f t="shared" si="270"/>
        <v>0</v>
      </c>
      <c r="N938" s="59">
        <f t="shared" si="271"/>
        <v>0</v>
      </c>
      <c r="O938" s="59">
        <f t="shared" si="272"/>
        <v>1</v>
      </c>
      <c r="P938" s="59">
        <f t="shared" si="273"/>
        <v>0</v>
      </c>
      <c r="Q938" s="59">
        <f t="shared" si="274"/>
        <v>0</v>
      </c>
      <c r="R938" s="59">
        <v>1</v>
      </c>
      <c r="S938" s="59">
        <v>1306</v>
      </c>
      <c r="T938" s="59">
        <v>2</v>
      </c>
      <c r="U938" s="59">
        <v>0</v>
      </c>
      <c r="V938" s="59">
        <v>83</v>
      </c>
      <c r="W938" s="59">
        <v>3</v>
      </c>
      <c r="X938" s="59">
        <v>5</v>
      </c>
      <c r="Y938" s="59">
        <v>6</v>
      </c>
      <c r="Z938" s="59">
        <f t="shared" si="275"/>
        <v>0</v>
      </c>
      <c r="AA938" s="59">
        <f>IF('Updated Dummy'!Y938=2,1,0)</f>
        <v>0</v>
      </c>
      <c r="AB938" s="59">
        <f t="shared" si="276"/>
        <v>0</v>
      </c>
      <c r="AC938" s="59">
        <f t="shared" si="277"/>
        <v>0</v>
      </c>
      <c r="AD938" s="59">
        <f t="shared" si="278"/>
        <v>0</v>
      </c>
      <c r="AE938" s="59">
        <f t="shared" si="279"/>
        <v>1</v>
      </c>
      <c r="AF938" s="59">
        <f t="shared" si="280"/>
        <v>0</v>
      </c>
      <c r="AG938" s="59">
        <f t="shared" si="281"/>
        <v>0</v>
      </c>
      <c r="AH938" s="59">
        <v>2</v>
      </c>
      <c r="AI938" s="59">
        <v>1</v>
      </c>
      <c r="AJ938" s="59">
        <f t="shared" si="282"/>
        <v>1</v>
      </c>
      <c r="AK938" s="59">
        <f t="shared" si="283"/>
        <v>0</v>
      </c>
      <c r="AL938" s="59">
        <v>18061</v>
      </c>
      <c r="AM938" s="59">
        <v>13035</v>
      </c>
      <c r="AN938" s="59">
        <v>3</v>
      </c>
      <c r="AO938" s="59">
        <v>0</v>
      </c>
      <c r="AP938" s="59">
        <v>22</v>
      </c>
      <c r="AQ938" s="59">
        <v>4</v>
      </c>
      <c r="AR938" s="59">
        <v>3</v>
      </c>
      <c r="AS938" s="59">
        <v>80</v>
      </c>
      <c r="AT938" s="59">
        <v>0</v>
      </c>
      <c r="AU938" s="59">
        <v>22</v>
      </c>
      <c r="AV938" s="59">
        <v>4</v>
      </c>
      <c r="AW938" s="59">
        <v>3</v>
      </c>
      <c r="AX938" s="59">
        <v>0</v>
      </c>
      <c r="AY938" s="59">
        <v>0</v>
      </c>
      <c r="AZ938" s="59">
        <v>0</v>
      </c>
      <c r="BA938" s="59">
        <v>0</v>
      </c>
      <c r="BB938" s="57">
        <f t="shared" si="284"/>
        <v>90305</v>
      </c>
    </row>
    <row r="939" spans="1:54" x14ac:dyDescent="0.25">
      <c r="A939" s="58">
        <v>39</v>
      </c>
      <c r="B939" s="59">
        <v>0</v>
      </c>
      <c r="C939" s="59">
        <v>1</v>
      </c>
      <c r="D939" s="59">
        <f t="shared" si="266"/>
        <v>1</v>
      </c>
      <c r="E939" s="59">
        <f t="shared" si="267"/>
        <v>0</v>
      </c>
      <c r="F939" s="59">
        <v>412</v>
      </c>
      <c r="G939" s="59">
        <v>2</v>
      </c>
      <c r="H939" s="59">
        <f t="shared" si="268"/>
        <v>0</v>
      </c>
      <c r="I939" s="59">
        <f t="shared" si="269"/>
        <v>1</v>
      </c>
      <c r="J939" s="59">
        <v>13</v>
      </c>
      <c r="K939" s="59">
        <v>4</v>
      </c>
      <c r="L939" s="59">
        <v>3</v>
      </c>
      <c r="M939" s="59">
        <f t="shared" si="270"/>
        <v>0</v>
      </c>
      <c r="N939" s="59">
        <f t="shared" si="271"/>
        <v>0</v>
      </c>
      <c r="O939" s="59">
        <f t="shared" si="272"/>
        <v>1</v>
      </c>
      <c r="P939" s="59">
        <f t="shared" si="273"/>
        <v>0</v>
      </c>
      <c r="Q939" s="59">
        <f t="shared" si="274"/>
        <v>0</v>
      </c>
      <c r="R939" s="59">
        <v>1</v>
      </c>
      <c r="S939" s="59">
        <v>1307</v>
      </c>
      <c r="T939" s="59">
        <v>3</v>
      </c>
      <c r="U939" s="59">
        <v>0</v>
      </c>
      <c r="V939" s="59">
        <v>94</v>
      </c>
      <c r="W939" s="59">
        <v>2</v>
      </c>
      <c r="X939" s="59">
        <v>4</v>
      </c>
      <c r="Y939" s="59">
        <v>6</v>
      </c>
      <c r="Z939" s="59">
        <f t="shared" si="275"/>
        <v>0</v>
      </c>
      <c r="AA939" s="59">
        <f>IF('Updated Dummy'!Y939=2,1,0)</f>
        <v>0</v>
      </c>
      <c r="AB939" s="59">
        <f t="shared" si="276"/>
        <v>0</v>
      </c>
      <c r="AC939" s="59">
        <f t="shared" si="277"/>
        <v>0</v>
      </c>
      <c r="AD939" s="59">
        <f t="shared" si="278"/>
        <v>0</v>
      </c>
      <c r="AE939" s="59">
        <f t="shared" si="279"/>
        <v>1</v>
      </c>
      <c r="AF939" s="59">
        <f t="shared" si="280"/>
        <v>0</v>
      </c>
      <c r="AG939" s="59">
        <f t="shared" si="281"/>
        <v>0</v>
      </c>
      <c r="AH939" s="59">
        <v>2</v>
      </c>
      <c r="AI939" s="59">
        <v>3</v>
      </c>
      <c r="AJ939" s="59">
        <f t="shared" si="282"/>
        <v>0</v>
      </c>
      <c r="AK939" s="59">
        <f t="shared" si="283"/>
        <v>0</v>
      </c>
      <c r="AL939" s="59">
        <v>17123</v>
      </c>
      <c r="AM939" s="59">
        <v>17334</v>
      </c>
      <c r="AN939" s="59">
        <v>6</v>
      </c>
      <c r="AO939" s="59">
        <v>1</v>
      </c>
      <c r="AP939" s="59">
        <v>13</v>
      </c>
      <c r="AQ939" s="59">
        <v>3</v>
      </c>
      <c r="AR939" s="59">
        <v>4</v>
      </c>
      <c r="AS939" s="59">
        <v>80</v>
      </c>
      <c r="AT939" s="59">
        <v>2</v>
      </c>
      <c r="AU939" s="59">
        <v>21</v>
      </c>
      <c r="AV939" s="59">
        <v>4</v>
      </c>
      <c r="AW939" s="59">
        <v>3</v>
      </c>
      <c r="AX939" s="59">
        <v>19</v>
      </c>
      <c r="AY939" s="59">
        <v>9</v>
      </c>
      <c r="AZ939" s="59">
        <v>15</v>
      </c>
      <c r="BA939" s="59">
        <v>2</v>
      </c>
      <c r="BB939" s="57">
        <f t="shared" si="284"/>
        <v>68492</v>
      </c>
    </row>
    <row r="940" spans="1:54" x14ac:dyDescent="0.25">
      <c r="A940" s="58">
        <v>58</v>
      </c>
      <c r="B940" s="59">
        <v>0</v>
      </c>
      <c r="C940" s="59">
        <v>1</v>
      </c>
      <c r="D940" s="59">
        <f t="shared" si="266"/>
        <v>1</v>
      </c>
      <c r="E940" s="59">
        <f t="shared" si="267"/>
        <v>0</v>
      </c>
      <c r="F940" s="59">
        <v>848</v>
      </c>
      <c r="G940" s="59">
        <v>2</v>
      </c>
      <c r="H940" s="59">
        <f t="shared" si="268"/>
        <v>0</v>
      </c>
      <c r="I940" s="59">
        <f t="shared" si="269"/>
        <v>1</v>
      </c>
      <c r="J940" s="59">
        <v>23</v>
      </c>
      <c r="K940" s="59">
        <v>4</v>
      </c>
      <c r="L940" s="59">
        <v>1</v>
      </c>
      <c r="M940" s="59">
        <f t="shared" si="270"/>
        <v>1</v>
      </c>
      <c r="N940" s="59">
        <f t="shared" si="271"/>
        <v>0</v>
      </c>
      <c r="O940" s="59">
        <f t="shared" si="272"/>
        <v>0</v>
      </c>
      <c r="P940" s="59">
        <f t="shared" si="273"/>
        <v>0</v>
      </c>
      <c r="Q940" s="59">
        <f t="shared" si="274"/>
        <v>0</v>
      </c>
      <c r="R940" s="59">
        <v>1</v>
      </c>
      <c r="S940" s="59">
        <v>1308</v>
      </c>
      <c r="T940" s="59">
        <v>1</v>
      </c>
      <c r="U940" s="59">
        <v>1</v>
      </c>
      <c r="V940" s="59">
        <v>88</v>
      </c>
      <c r="W940" s="59">
        <v>3</v>
      </c>
      <c r="X940" s="59">
        <v>1</v>
      </c>
      <c r="Y940" s="59">
        <v>2</v>
      </c>
      <c r="Z940" s="59">
        <f t="shared" si="275"/>
        <v>0</v>
      </c>
      <c r="AA940" s="59">
        <f>IF('Updated Dummy'!Y940=2,1,0)</f>
        <v>1</v>
      </c>
      <c r="AB940" s="59">
        <f t="shared" si="276"/>
        <v>0</v>
      </c>
      <c r="AC940" s="59">
        <f t="shared" si="277"/>
        <v>0</v>
      </c>
      <c r="AD940" s="59">
        <f t="shared" si="278"/>
        <v>0</v>
      </c>
      <c r="AE940" s="59">
        <f t="shared" si="279"/>
        <v>0</v>
      </c>
      <c r="AF940" s="59">
        <f t="shared" si="280"/>
        <v>0</v>
      </c>
      <c r="AG940" s="59">
        <f t="shared" si="281"/>
        <v>0</v>
      </c>
      <c r="AH940" s="59">
        <v>3</v>
      </c>
      <c r="AI940" s="59">
        <v>3</v>
      </c>
      <c r="AJ940" s="59">
        <f t="shared" si="282"/>
        <v>0</v>
      </c>
      <c r="AK940" s="59">
        <f t="shared" si="283"/>
        <v>0</v>
      </c>
      <c r="AL940" s="59">
        <v>2372</v>
      </c>
      <c r="AM940" s="59">
        <v>26076</v>
      </c>
      <c r="AN940" s="59">
        <v>1</v>
      </c>
      <c r="AO940" s="59">
        <v>0</v>
      </c>
      <c r="AP940" s="59">
        <v>12</v>
      </c>
      <c r="AQ940" s="59">
        <v>3</v>
      </c>
      <c r="AR940" s="59">
        <v>4</v>
      </c>
      <c r="AS940" s="59">
        <v>80</v>
      </c>
      <c r="AT940" s="59">
        <v>2</v>
      </c>
      <c r="AU940" s="59">
        <v>2</v>
      </c>
      <c r="AV940" s="59">
        <v>3</v>
      </c>
      <c r="AW940" s="59">
        <v>3</v>
      </c>
      <c r="AX940" s="59">
        <v>2</v>
      </c>
      <c r="AY940" s="59">
        <v>2</v>
      </c>
      <c r="AZ940" s="59">
        <v>2</v>
      </c>
      <c r="BA940" s="59">
        <v>2</v>
      </c>
      <c r="BB940" s="57">
        <f t="shared" si="284"/>
        <v>2372</v>
      </c>
    </row>
    <row r="941" spans="1:54" x14ac:dyDescent="0.25">
      <c r="A941" s="58">
        <v>32</v>
      </c>
      <c r="B941" s="59">
        <v>1</v>
      </c>
      <c r="C941" s="59">
        <v>1</v>
      </c>
      <c r="D941" s="59">
        <f t="shared" si="266"/>
        <v>1</v>
      </c>
      <c r="E941" s="59">
        <f t="shared" si="267"/>
        <v>0</v>
      </c>
      <c r="F941" s="59">
        <v>1089</v>
      </c>
      <c r="G941" s="59">
        <v>2</v>
      </c>
      <c r="H941" s="59">
        <f t="shared" si="268"/>
        <v>0</v>
      </c>
      <c r="I941" s="59">
        <f t="shared" si="269"/>
        <v>1</v>
      </c>
      <c r="J941" s="59">
        <v>7</v>
      </c>
      <c r="K941" s="59">
        <v>2</v>
      </c>
      <c r="L941" s="59">
        <v>1</v>
      </c>
      <c r="M941" s="59">
        <f t="shared" si="270"/>
        <v>1</v>
      </c>
      <c r="N941" s="59">
        <f t="shared" si="271"/>
        <v>0</v>
      </c>
      <c r="O941" s="59">
        <f t="shared" si="272"/>
        <v>0</v>
      </c>
      <c r="P941" s="59">
        <f t="shared" si="273"/>
        <v>0</v>
      </c>
      <c r="Q941" s="59">
        <f t="shared" si="274"/>
        <v>0</v>
      </c>
      <c r="R941" s="59">
        <v>1</v>
      </c>
      <c r="S941" s="59">
        <v>1309</v>
      </c>
      <c r="T941" s="59">
        <v>4</v>
      </c>
      <c r="U941" s="59">
        <v>1</v>
      </c>
      <c r="V941" s="59">
        <v>79</v>
      </c>
      <c r="W941" s="59">
        <v>3</v>
      </c>
      <c r="X941" s="59">
        <v>2</v>
      </c>
      <c r="Y941" s="59">
        <v>3</v>
      </c>
      <c r="Z941" s="59">
        <f t="shared" si="275"/>
        <v>0</v>
      </c>
      <c r="AA941" s="59">
        <f>IF('Updated Dummy'!Y941=2,1,0)</f>
        <v>0</v>
      </c>
      <c r="AB941" s="59">
        <f t="shared" si="276"/>
        <v>1</v>
      </c>
      <c r="AC941" s="59">
        <f t="shared" si="277"/>
        <v>0</v>
      </c>
      <c r="AD941" s="59">
        <f t="shared" si="278"/>
        <v>0</v>
      </c>
      <c r="AE941" s="59">
        <f t="shared" si="279"/>
        <v>0</v>
      </c>
      <c r="AF941" s="59">
        <f t="shared" si="280"/>
        <v>0</v>
      </c>
      <c r="AG941" s="59">
        <f t="shared" si="281"/>
        <v>0</v>
      </c>
      <c r="AH941" s="59">
        <v>3</v>
      </c>
      <c r="AI941" s="59">
        <v>2</v>
      </c>
      <c r="AJ941" s="59">
        <f t="shared" si="282"/>
        <v>0</v>
      </c>
      <c r="AK941" s="59">
        <f t="shared" si="283"/>
        <v>1</v>
      </c>
      <c r="AL941" s="59">
        <v>4883</v>
      </c>
      <c r="AM941" s="59">
        <v>22845</v>
      </c>
      <c r="AN941" s="59">
        <v>1</v>
      </c>
      <c r="AO941" s="59">
        <v>0</v>
      </c>
      <c r="AP941" s="59">
        <v>18</v>
      </c>
      <c r="AQ941" s="59">
        <v>3</v>
      </c>
      <c r="AR941" s="59">
        <v>1</v>
      </c>
      <c r="AS941" s="59">
        <v>80</v>
      </c>
      <c r="AT941" s="59">
        <v>1</v>
      </c>
      <c r="AU941" s="59">
        <v>10</v>
      </c>
      <c r="AV941" s="59">
        <v>3</v>
      </c>
      <c r="AW941" s="59">
        <v>3</v>
      </c>
      <c r="AX941" s="59">
        <v>10</v>
      </c>
      <c r="AY941" s="59">
        <v>4</v>
      </c>
      <c r="AZ941" s="59">
        <v>1</v>
      </c>
      <c r="BA941" s="59">
        <v>1</v>
      </c>
      <c r="BB941" s="57">
        <f t="shared" si="284"/>
        <v>9766</v>
      </c>
    </row>
    <row r="942" spans="1:54" x14ac:dyDescent="0.25">
      <c r="A942" s="58">
        <v>39</v>
      </c>
      <c r="B942" s="59">
        <v>1</v>
      </c>
      <c r="C942" s="59">
        <v>1</v>
      </c>
      <c r="D942" s="59">
        <f t="shared" si="266"/>
        <v>1</v>
      </c>
      <c r="E942" s="59">
        <f t="shared" si="267"/>
        <v>0</v>
      </c>
      <c r="F942" s="59">
        <v>360</v>
      </c>
      <c r="G942" s="59">
        <v>2</v>
      </c>
      <c r="H942" s="59">
        <f t="shared" si="268"/>
        <v>0</v>
      </c>
      <c r="I942" s="59">
        <f t="shared" si="269"/>
        <v>1</v>
      </c>
      <c r="J942" s="59">
        <v>23</v>
      </c>
      <c r="K942" s="59">
        <v>3</v>
      </c>
      <c r="L942" s="59">
        <v>3</v>
      </c>
      <c r="M942" s="59">
        <f t="shared" si="270"/>
        <v>0</v>
      </c>
      <c r="N942" s="59">
        <f t="shared" si="271"/>
        <v>0</v>
      </c>
      <c r="O942" s="59">
        <f t="shared" si="272"/>
        <v>1</v>
      </c>
      <c r="P942" s="59">
        <f t="shared" si="273"/>
        <v>0</v>
      </c>
      <c r="Q942" s="59">
        <f t="shared" si="274"/>
        <v>0</v>
      </c>
      <c r="R942" s="59">
        <v>1</v>
      </c>
      <c r="S942" s="59">
        <v>1310</v>
      </c>
      <c r="T942" s="59">
        <v>3</v>
      </c>
      <c r="U942" s="59">
        <v>1</v>
      </c>
      <c r="V942" s="59">
        <v>93</v>
      </c>
      <c r="W942" s="59">
        <v>3</v>
      </c>
      <c r="X942" s="59">
        <v>1</v>
      </c>
      <c r="Y942" s="59">
        <v>2</v>
      </c>
      <c r="Z942" s="59">
        <f t="shared" si="275"/>
        <v>0</v>
      </c>
      <c r="AA942" s="59">
        <f>IF('Updated Dummy'!Y942=2,1,0)</f>
        <v>1</v>
      </c>
      <c r="AB942" s="59">
        <f t="shared" si="276"/>
        <v>0</v>
      </c>
      <c r="AC942" s="59">
        <f t="shared" si="277"/>
        <v>0</v>
      </c>
      <c r="AD942" s="59">
        <f t="shared" si="278"/>
        <v>0</v>
      </c>
      <c r="AE942" s="59">
        <f t="shared" si="279"/>
        <v>0</v>
      </c>
      <c r="AF942" s="59">
        <f t="shared" si="280"/>
        <v>0</v>
      </c>
      <c r="AG942" s="59">
        <f t="shared" si="281"/>
        <v>0</v>
      </c>
      <c r="AH942" s="59">
        <v>1</v>
      </c>
      <c r="AI942" s="59">
        <v>1</v>
      </c>
      <c r="AJ942" s="59">
        <f t="shared" si="282"/>
        <v>1</v>
      </c>
      <c r="AK942" s="59">
        <f t="shared" si="283"/>
        <v>0</v>
      </c>
      <c r="AL942" s="59">
        <v>3904</v>
      </c>
      <c r="AM942" s="59">
        <v>22154</v>
      </c>
      <c r="AN942" s="59">
        <v>0</v>
      </c>
      <c r="AO942" s="59">
        <v>0</v>
      </c>
      <c r="AP942" s="59">
        <v>13</v>
      </c>
      <c r="AQ942" s="59">
        <v>3</v>
      </c>
      <c r="AR942" s="59">
        <v>1</v>
      </c>
      <c r="AS942" s="59">
        <v>80</v>
      </c>
      <c r="AT942" s="59">
        <v>0</v>
      </c>
      <c r="AU942" s="59">
        <v>6</v>
      </c>
      <c r="AV942" s="59">
        <v>2</v>
      </c>
      <c r="AW942" s="59">
        <v>3</v>
      </c>
      <c r="AX942" s="59">
        <v>5</v>
      </c>
      <c r="AY942" s="59">
        <v>2</v>
      </c>
      <c r="AZ942" s="59">
        <v>0</v>
      </c>
      <c r="BA942" s="59">
        <v>3</v>
      </c>
      <c r="BB942" s="57">
        <f t="shared" si="284"/>
        <v>3904</v>
      </c>
    </row>
    <row r="943" spans="1:54" x14ac:dyDescent="0.25">
      <c r="A943" s="58">
        <v>30</v>
      </c>
      <c r="B943" s="59">
        <v>0</v>
      </c>
      <c r="C943" s="59">
        <v>1</v>
      </c>
      <c r="D943" s="59">
        <f t="shared" si="266"/>
        <v>1</v>
      </c>
      <c r="E943" s="59">
        <f t="shared" si="267"/>
        <v>0</v>
      </c>
      <c r="F943" s="59">
        <v>1138</v>
      </c>
      <c r="G943" s="59">
        <v>2</v>
      </c>
      <c r="H943" s="59">
        <f t="shared" si="268"/>
        <v>0</v>
      </c>
      <c r="I943" s="59">
        <f t="shared" si="269"/>
        <v>1</v>
      </c>
      <c r="J943" s="59">
        <v>6</v>
      </c>
      <c r="K943" s="59">
        <v>3</v>
      </c>
      <c r="L943" s="59">
        <v>5</v>
      </c>
      <c r="M943" s="59">
        <f t="shared" si="270"/>
        <v>0</v>
      </c>
      <c r="N943" s="59">
        <f t="shared" si="271"/>
        <v>0</v>
      </c>
      <c r="O943" s="59">
        <f t="shared" si="272"/>
        <v>0</v>
      </c>
      <c r="P943" s="59">
        <f t="shared" si="273"/>
        <v>0</v>
      </c>
      <c r="Q943" s="59">
        <f t="shared" si="274"/>
        <v>1</v>
      </c>
      <c r="R943" s="59">
        <v>1</v>
      </c>
      <c r="S943" s="59">
        <v>1311</v>
      </c>
      <c r="T943" s="59">
        <v>1</v>
      </c>
      <c r="U943" s="59">
        <v>0</v>
      </c>
      <c r="V943" s="59">
        <v>48</v>
      </c>
      <c r="W943" s="59">
        <v>2</v>
      </c>
      <c r="X943" s="59">
        <v>2</v>
      </c>
      <c r="Y943" s="59">
        <v>3</v>
      </c>
      <c r="Z943" s="59">
        <f t="shared" si="275"/>
        <v>0</v>
      </c>
      <c r="AA943" s="59">
        <f>IF('Updated Dummy'!Y943=2,1,0)</f>
        <v>0</v>
      </c>
      <c r="AB943" s="59">
        <f t="shared" si="276"/>
        <v>1</v>
      </c>
      <c r="AC943" s="59">
        <f t="shared" si="277"/>
        <v>0</v>
      </c>
      <c r="AD943" s="59">
        <f t="shared" si="278"/>
        <v>0</v>
      </c>
      <c r="AE943" s="59">
        <f t="shared" si="279"/>
        <v>0</v>
      </c>
      <c r="AF943" s="59">
        <f t="shared" si="280"/>
        <v>0</v>
      </c>
      <c r="AG943" s="59">
        <f t="shared" si="281"/>
        <v>0</v>
      </c>
      <c r="AH943" s="59">
        <v>4</v>
      </c>
      <c r="AI943" s="59">
        <v>2</v>
      </c>
      <c r="AJ943" s="59">
        <f t="shared" si="282"/>
        <v>0</v>
      </c>
      <c r="AK943" s="59">
        <f t="shared" si="283"/>
        <v>1</v>
      </c>
      <c r="AL943" s="59">
        <v>4627</v>
      </c>
      <c r="AM943" s="59">
        <v>23631</v>
      </c>
      <c r="AN943" s="59">
        <v>0</v>
      </c>
      <c r="AO943" s="59">
        <v>0</v>
      </c>
      <c r="AP943" s="59">
        <v>12</v>
      </c>
      <c r="AQ943" s="59">
        <v>3</v>
      </c>
      <c r="AR943" s="59">
        <v>1</v>
      </c>
      <c r="AS943" s="59">
        <v>80</v>
      </c>
      <c r="AT943" s="59">
        <v>1</v>
      </c>
      <c r="AU943" s="59">
        <v>10</v>
      </c>
      <c r="AV943" s="59">
        <v>6</v>
      </c>
      <c r="AW943" s="59">
        <v>3</v>
      </c>
      <c r="AX943" s="59">
        <v>9</v>
      </c>
      <c r="AY943" s="59">
        <v>2</v>
      </c>
      <c r="AZ943" s="59">
        <v>6</v>
      </c>
      <c r="BA943" s="59">
        <v>7</v>
      </c>
      <c r="BB943" s="57">
        <f t="shared" si="284"/>
        <v>9254</v>
      </c>
    </row>
    <row r="944" spans="1:54" x14ac:dyDescent="0.25">
      <c r="A944" s="58">
        <v>36</v>
      </c>
      <c r="B944" s="59">
        <v>0</v>
      </c>
      <c r="C944" s="59">
        <v>1</v>
      </c>
      <c r="D944" s="59">
        <f t="shared" si="266"/>
        <v>1</v>
      </c>
      <c r="E944" s="59">
        <f t="shared" si="267"/>
        <v>0</v>
      </c>
      <c r="F944" s="59">
        <v>325</v>
      </c>
      <c r="G944" s="59">
        <v>2</v>
      </c>
      <c r="H944" s="59">
        <f t="shared" si="268"/>
        <v>0</v>
      </c>
      <c r="I944" s="59">
        <f t="shared" si="269"/>
        <v>1</v>
      </c>
      <c r="J944" s="59">
        <v>10</v>
      </c>
      <c r="K944" s="59">
        <v>4</v>
      </c>
      <c r="L944" s="59">
        <v>5</v>
      </c>
      <c r="M944" s="59">
        <f t="shared" si="270"/>
        <v>0</v>
      </c>
      <c r="N944" s="59">
        <f t="shared" si="271"/>
        <v>0</v>
      </c>
      <c r="O944" s="59">
        <f t="shared" si="272"/>
        <v>0</v>
      </c>
      <c r="P944" s="59">
        <f t="shared" si="273"/>
        <v>0</v>
      </c>
      <c r="Q944" s="59">
        <f t="shared" si="274"/>
        <v>1</v>
      </c>
      <c r="R944" s="59">
        <v>1</v>
      </c>
      <c r="S944" s="59">
        <v>1312</v>
      </c>
      <c r="T944" s="59">
        <v>4</v>
      </c>
      <c r="U944" s="59">
        <v>0</v>
      </c>
      <c r="V944" s="59">
        <v>63</v>
      </c>
      <c r="W944" s="59">
        <v>3</v>
      </c>
      <c r="X944" s="59">
        <v>3</v>
      </c>
      <c r="Y944" s="59">
        <v>5</v>
      </c>
      <c r="Z944" s="59">
        <f t="shared" si="275"/>
        <v>0</v>
      </c>
      <c r="AA944" s="59">
        <f>IF('Updated Dummy'!Y944=2,1,0)</f>
        <v>0</v>
      </c>
      <c r="AB944" s="59">
        <f t="shared" si="276"/>
        <v>0</v>
      </c>
      <c r="AC944" s="59">
        <f t="shared" si="277"/>
        <v>0</v>
      </c>
      <c r="AD944" s="59">
        <f t="shared" si="278"/>
        <v>1</v>
      </c>
      <c r="AE944" s="59">
        <f t="shared" si="279"/>
        <v>0</v>
      </c>
      <c r="AF944" s="59">
        <f t="shared" si="280"/>
        <v>0</v>
      </c>
      <c r="AG944" s="59">
        <f t="shared" si="281"/>
        <v>0</v>
      </c>
      <c r="AH944" s="59">
        <v>3</v>
      </c>
      <c r="AI944" s="59">
        <v>2</v>
      </c>
      <c r="AJ944" s="59">
        <f t="shared" si="282"/>
        <v>0</v>
      </c>
      <c r="AK944" s="59">
        <f t="shared" si="283"/>
        <v>1</v>
      </c>
      <c r="AL944" s="59">
        <v>7094</v>
      </c>
      <c r="AM944" s="59">
        <v>5747</v>
      </c>
      <c r="AN944" s="59">
        <v>3</v>
      </c>
      <c r="AO944" s="59">
        <v>0</v>
      </c>
      <c r="AP944" s="59">
        <v>12</v>
      </c>
      <c r="AQ944" s="59">
        <v>3</v>
      </c>
      <c r="AR944" s="59">
        <v>1</v>
      </c>
      <c r="AS944" s="59">
        <v>80</v>
      </c>
      <c r="AT944" s="59">
        <v>0</v>
      </c>
      <c r="AU944" s="59">
        <v>10</v>
      </c>
      <c r="AV944" s="59">
        <v>0</v>
      </c>
      <c r="AW944" s="59">
        <v>3</v>
      </c>
      <c r="AX944" s="59">
        <v>7</v>
      </c>
      <c r="AY944" s="59">
        <v>7</v>
      </c>
      <c r="AZ944" s="59">
        <v>1</v>
      </c>
      <c r="BA944" s="59">
        <v>7</v>
      </c>
      <c r="BB944" s="57">
        <f t="shared" si="284"/>
        <v>21282</v>
      </c>
    </row>
    <row r="945" spans="1:54" x14ac:dyDescent="0.25">
      <c r="A945" s="58">
        <v>46</v>
      </c>
      <c r="B945" s="59">
        <v>0</v>
      </c>
      <c r="C945" s="59">
        <v>1</v>
      </c>
      <c r="D945" s="59">
        <f t="shared" si="266"/>
        <v>1</v>
      </c>
      <c r="E945" s="59">
        <f t="shared" si="267"/>
        <v>0</v>
      </c>
      <c r="F945" s="59">
        <v>991</v>
      </c>
      <c r="G945" s="59">
        <v>3</v>
      </c>
      <c r="H945" s="59">
        <f t="shared" si="268"/>
        <v>0</v>
      </c>
      <c r="I945" s="59">
        <f t="shared" si="269"/>
        <v>0</v>
      </c>
      <c r="J945" s="59">
        <v>1</v>
      </c>
      <c r="K945" s="59">
        <v>2</v>
      </c>
      <c r="L945" s="59">
        <v>1</v>
      </c>
      <c r="M945" s="59">
        <f t="shared" si="270"/>
        <v>1</v>
      </c>
      <c r="N945" s="59">
        <f t="shared" si="271"/>
        <v>0</v>
      </c>
      <c r="O945" s="59">
        <f t="shared" si="272"/>
        <v>0</v>
      </c>
      <c r="P945" s="59">
        <f t="shared" si="273"/>
        <v>0</v>
      </c>
      <c r="Q945" s="59">
        <f t="shared" si="274"/>
        <v>0</v>
      </c>
      <c r="R945" s="59">
        <v>1</v>
      </c>
      <c r="S945" s="59">
        <v>1314</v>
      </c>
      <c r="T945" s="59">
        <v>4</v>
      </c>
      <c r="U945" s="59">
        <v>0</v>
      </c>
      <c r="V945" s="59">
        <v>44</v>
      </c>
      <c r="W945" s="59">
        <v>3</v>
      </c>
      <c r="X945" s="59">
        <v>1</v>
      </c>
      <c r="Y945" s="59">
        <v>9</v>
      </c>
      <c r="Z945" s="59">
        <f t="shared" si="275"/>
        <v>0</v>
      </c>
      <c r="AA945" s="59">
        <f>IF('Updated Dummy'!Y945=2,1,0)</f>
        <v>0</v>
      </c>
      <c r="AB945" s="59">
        <f t="shared" si="276"/>
        <v>0</v>
      </c>
      <c r="AC945" s="59">
        <f t="shared" si="277"/>
        <v>0</v>
      </c>
      <c r="AD945" s="59">
        <f t="shared" si="278"/>
        <v>0</v>
      </c>
      <c r="AE945" s="59">
        <f t="shared" si="279"/>
        <v>0</v>
      </c>
      <c r="AF945" s="59">
        <f t="shared" si="280"/>
        <v>0</v>
      </c>
      <c r="AG945" s="59">
        <f t="shared" si="281"/>
        <v>0</v>
      </c>
      <c r="AH945" s="59">
        <v>1</v>
      </c>
      <c r="AI945" s="59">
        <v>1</v>
      </c>
      <c r="AJ945" s="59">
        <f t="shared" si="282"/>
        <v>1</v>
      </c>
      <c r="AK945" s="59">
        <f t="shared" si="283"/>
        <v>0</v>
      </c>
      <c r="AL945" s="59">
        <v>3423</v>
      </c>
      <c r="AM945" s="59">
        <v>22957</v>
      </c>
      <c r="AN945" s="59">
        <v>6</v>
      </c>
      <c r="AO945" s="59">
        <v>0</v>
      </c>
      <c r="AP945" s="59">
        <v>12</v>
      </c>
      <c r="AQ945" s="59">
        <v>3</v>
      </c>
      <c r="AR945" s="59">
        <v>3</v>
      </c>
      <c r="AS945" s="59">
        <v>80</v>
      </c>
      <c r="AT945" s="59">
        <v>0</v>
      </c>
      <c r="AU945" s="59">
        <v>10</v>
      </c>
      <c r="AV945" s="59">
        <v>3</v>
      </c>
      <c r="AW945" s="59">
        <v>4</v>
      </c>
      <c r="AX945" s="59">
        <v>7</v>
      </c>
      <c r="AY945" s="59">
        <v>6</v>
      </c>
      <c r="AZ945" s="59">
        <v>5</v>
      </c>
      <c r="BA945" s="59">
        <v>7</v>
      </c>
      <c r="BB945" s="57">
        <f t="shared" si="284"/>
        <v>3423</v>
      </c>
    </row>
    <row r="946" spans="1:54" x14ac:dyDescent="0.25">
      <c r="A946" s="58">
        <v>28</v>
      </c>
      <c r="B946" s="59">
        <v>0</v>
      </c>
      <c r="C946" s="59">
        <v>3</v>
      </c>
      <c r="D946" s="59">
        <f t="shared" si="266"/>
        <v>0</v>
      </c>
      <c r="E946" s="59">
        <f t="shared" si="267"/>
        <v>0</v>
      </c>
      <c r="F946" s="59">
        <v>1476</v>
      </c>
      <c r="G946" s="59">
        <v>2</v>
      </c>
      <c r="H946" s="59">
        <f t="shared" si="268"/>
        <v>0</v>
      </c>
      <c r="I946" s="59">
        <f t="shared" si="269"/>
        <v>1</v>
      </c>
      <c r="J946" s="59">
        <v>1</v>
      </c>
      <c r="K946" s="59">
        <v>3</v>
      </c>
      <c r="L946" s="59">
        <v>1</v>
      </c>
      <c r="M946" s="59">
        <f t="shared" si="270"/>
        <v>1</v>
      </c>
      <c r="N946" s="59">
        <f t="shared" si="271"/>
        <v>0</v>
      </c>
      <c r="O946" s="59">
        <f t="shared" si="272"/>
        <v>0</v>
      </c>
      <c r="P946" s="59">
        <f t="shared" si="273"/>
        <v>0</v>
      </c>
      <c r="Q946" s="59">
        <f t="shared" si="274"/>
        <v>0</v>
      </c>
      <c r="R946" s="59">
        <v>1</v>
      </c>
      <c r="S946" s="59">
        <v>1315</v>
      </c>
      <c r="T946" s="59">
        <v>3</v>
      </c>
      <c r="U946" s="59">
        <v>0</v>
      </c>
      <c r="V946" s="59">
        <v>55</v>
      </c>
      <c r="W946" s="59">
        <v>1</v>
      </c>
      <c r="X946" s="59">
        <v>2</v>
      </c>
      <c r="Y946" s="59">
        <v>3</v>
      </c>
      <c r="Z946" s="59">
        <f t="shared" si="275"/>
        <v>0</v>
      </c>
      <c r="AA946" s="59">
        <f>IF('Updated Dummy'!Y946=2,1,0)</f>
        <v>0</v>
      </c>
      <c r="AB946" s="59">
        <f t="shared" si="276"/>
        <v>1</v>
      </c>
      <c r="AC946" s="59">
        <f t="shared" si="277"/>
        <v>0</v>
      </c>
      <c r="AD946" s="59">
        <f t="shared" si="278"/>
        <v>0</v>
      </c>
      <c r="AE946" s="59">
        <f t="shared" si="279"/>
        <v>0</v>
      </c>
      <c r="AF946" s="59">
        <f t="shared" si="280"/>
        <v>0</v>
      </c>
      <c r="AG946" s="59">
        <f t="shared" si="281"/>
        <v>0</v>
      </c>
      <c r="AH946" s="59">
        <v>4</v>
      </c>
      <c r="AI946" s="59">
        <v>2</v>
      </c>
      <c r="AJ946" s="59">
        <f t="shared" si="282"/>
        <v>0</v>
      </c>
      <c r="AK946" s="59">
        <f t="shared" si="283"/>
        <v>1</v>
      </c>
      <c r="AL946" s="59">
        <v>6674</v>
      </c>
      <c r="AM946" s="59">
        <v>16392</v>
      </c>
      <c r="AN946" s="59">
        <v>0</v>
      </c>
      <c r="AO946" s="59">
        <v>0</v>
      </c>
      <c r="AP946" s="59">
        <v>11</v>
      </c>
      <c r="AQ946" s="59">
        <v>3</v>
      </c>
      <c r="AR946" s="59">
        <v>1</v>
      </c>
      <c r="AS946" s="59">
        <v>80</v>
      </c>
      <c r="AT946" s="59">
        <v>3</v>
      </c>
      <c r="AU946" s="59">
        <v>10</v>
      </c>
      <c r="AV946" s="59">
        <v>6</v>
      </c>
      <c r="AW946" s="59">
        <v>3</v>
      </c>
      <c r="AX946" s="59">
        <v>9</v>
      </c>
      <c r="AY946" s="59">
        <v>8</v>
      </c>
      <c r="AZ946" s="59">
        <v>7</v>
      </c>
      <c r="BA946" s="59">
        <v>5</v>
      </c>
      <c r="BB946" s="57">
        <f t="shared" si="284"/>
        <v>13348</v>
      </c>
    </row>
    <row r="947" spans="1:54" x14ac:dyDescent="0.25">
      <c r="A947" s="58">
        <v>50</v>
      </c>
      <c r="B947" s="59">
        <v>0</v>
      </c>
      <c r="C947" s="59">
        <v>1</v>
      </c>
      <c r="D947" s="59">
        <f t="shared" si="266"/>
        <v>1</v>
      </c>
      <c r="E947" s="59">
        <f t="shared" si="267"/>
        <v>0</v>
      </c>
      <c r="F947" s="59">
        <v>1322</v>
      </c>
      <c r="G947" s="59">
        <v>2</v>
      </c>
      <c r="H947" s="59">
        <f t="shared" si="268"/>
        <v>0</v>
      </c>
      <c r="I947" s="59">
        <f t="shared" si="269"/>
        <v>1</v>
      </c>
      <c r="J947" s="59">
        <v>28</v>
      </c>
      <c r="K947" s="59">
        <v>3</v>
      </c>
      <c r="L947" s="59">
        <v>1</v>
      </c>
      <c r="M947" s="59">
        <f t="shared" si="270"/>
        <v>1</v>
      </c>
      <c r="N947" s="59">
        <f t="shared" si="271"/>
        <v>0</v>
      </c>
      <c r="O947" s="59">
        <f t="shared" si="272"/>
        <v>0</v>
      </c>
      <c r="P947" s="59">
        <f t="shared" si="273"/>
        <v>0</v>
      </c>
      <c r="Q947" s="59">
        <f t="shared" si="274"/>
        <v>0</v>
      </c>
      <c r="R947" s="59">
        <v>1</v>
      </c>
      <c r="S947" s="59">
        <v>1317</v>
      </c>
      <c r="T947" s="59">
        <v>4</v>
      </c>
      <c r="U947" s="59">
        <v>0</v>
      </c>
      <c r="V947" s="59">
        <v>43</v>
      </c>
      <c r="W947" s="59">
        <v>3</v>
      </c>
      <c r="X947" s="59">
        <v>4</v>
      </c>
      <c r="Y947" s="59">
        <v>8</v>
      </c>
      <c r="Z947" s="59">
        <f t="shared" si="275"/>
        <v>0</v>
      </c>
      <c r="AA947" s="59">
        <f>IF('Updated Dummy'!Y947=2,1,0)</f>
        <v>0</v>
      </c>
      <c r="AB947" s="59">
        <f t="shared" si="276"/>
        <v>0</v>
      </c>
      <c r="AC947" s="59">
        <f t="shared" si="277"/>
        <v>0</v>
      </c>
      <c r="AD947" s="59">
        <f t="shared" si="278"/>
        <v>0</v>
      </c>
      <c r="AE947" s="59">
        <f t="shared" si="279"/>
        <v>0</v>
      </c>
      <c r="AF947" s="59">
        <f t="shared" si="280"/>
        <v>0</v>
      </c>
      <c r="AG947" s="59">
        <f t="shared" si="281"/>
        <v>1</v>
      </c>
      <c r="AH947" s="59">
        <v>1</v>
      </c>
      <c r="AI947" s="59">
        <v>2</v>
      </c>
      <c r="AJ947" s="59">
        <f t="shared" si="282"/>
        <v>0</v>
      </c>
      <c r="AK947" s="59">
        <f t="shared" si="283"/>
        <v>1</v>
      </c>
      <c r="AL947" s="59">
        <v>16880</v>
      </c>
      <c r="AM947" s="59">
        <v>22422</v>
      </c>
      <c r="AN947" s="59">
        <v>4</v>
      </c>
      <c r="AO947" s="59">
        <v>1</v>
      </c>
      <c r="AP947" s="59">
        <v>11</v>
      </c>
      <c r="AQ947" s="59">
        <v>3</v>
      </c>
      <c r="AR947" s="59">
        <v>2</v>
      </c>
      <c r="AS947" s="59">
        <v>80</v>
      </c>
      <c r="AT947" s="59">
        <v>0</v>
      </c>
      <c r="AU947" s="59">
        <v>25</v>
      </c>
      <c r="AV947" s="59">
        <v>2</v>
      </c>
      <c r="AW947" s="59">
        <v>3</v>
      </c>
      <c r="AX947" s="59">
        <v>3</v>
      </c>
      <c r="AY947" s="59">
        <v>2</v>
      </c>
      <c r="AZ947" s="59">
        <v>1</v>
      </c>
      <c r="BA947" s="59">
        <v>2</v>
      </c>
      <c r="BB947" s="57">
        <f t="shared" si="284"/>
        <v>67520</v>
      </c>
    </row>
    <row r="948" spans="1:54" x14ac:dyDescent="0.25">
      <c r="A948" s="58">
        <v>40</v>
      </c>
      <c r="B948" s="59">
        <v>1</v>
      </c>
      <c r="C948" s="59">
        <v>1</v>
      </c>
      <c r="D948" s="59">
        <f t="shared" si="266"/>
        <v>1</v>
      </c>
      <c r="E948" s="59">
        <f t="shared" si="267"/>
        <v>0</v>
      </c>
      <c r="F948" s="59">
        <v>299</v>
      </c>
      <c r="G948" s="59">
        <v>1</v>
      </c>
      <c r="H948" s="59">
        <f t="shared" si="268"/>
        <v>1</v>
      </c>
      <c r="I948" s="59">
        <f t="shared" si="269"/>
        <v>0</v>
      </c>
      <c r="J948" s="59">
        <v>25</v>
      </c>
      <c r="K948" s="59">
        <v>4</v>
      </c>
      <c r="L948" s="59">
        <v>4</v>
      </c>
      <c r="M948" s="59">
        <f t="shared" si="270"/>
        <v>0</v>
      </c>
      <c r="N948" s="59">
        <f t="shared" si="271"/>
        <v>0</v>
      </c>
      <c r="O948" s="59">
        <f t="shared" si="272"/>
        <v>0</v>
      </c>
      <c r="P948" s="59">
        <f t="shared" si="273"/>
        <v>1</v>
      </c>
      <c r="Q948" s="59">
        <f t="shared" si="274"/>
        <v>0</v>
      </c>
      <c r="R948" s="59">
        <v>1</v>
      </c>
      <c r="S948" s="59">
        <v>1318</v>
      </c>
      <c r="T948" s="59">
        <v>4</v>
      </c>
      <c r="U948" s="59">
        <v>1</v>
      </c>
      <c r="V948" s="59">
        <v>57</v>
      </c>
      <c r="W948" s="59">
        <v>2</v>
      </c>
      <c r="X948" s="59">
        <v>3</v>
      </c>
      <c r="Y948" s="59">
        <v>1</v>
      </c>
      <c r="Z948" s="59">
        <f t="shared" si="275"/>
        <v>1</v>
      </c>
      <c r="AA948" s="59">
        <f>IF('Updated Dummy'!Y948=2,1,0)</f>
        <v>0</v>
      </c>
      <c r="AB948" s="59">
        <f t="shared" si="276"/>
        <v>0</v>
      </c>
      <c r="AC948" s="59">
        <f t="shared" si="277"/>
        <v>0</v>
      </c>
      <c r="AD948" s="59">
        <f t="shared" si="278"/>
        <v>0</v>
      </c>
      <c r="AE948" s="59">
        <f t="shared" si="279"/>
        <v>0</v>
      </c>
      <c r="AF948" s="59">
        <f t="shared" si="280"/>
        <v>0</v>
      </c>
      <c r="AG948" s="59">
        <f t="shared" si="281"/>
        <v>0</v>
      </c>
      <c r="AH948" s="59">
        <v>2</v>
      </c>
      <c r="AI948" s="59">
        <v>1</v>
      </c>
      <c r="AJ948" s="59">
        <f t="shared" si="282"/>
        <v>1</v>
      </c>
      <c r="AK948" s="59">
        <f t="shared" si="283"/>
        <v>0</v>
      </c>
      <c r="AL948" s="59">
        <v>9094</v>
      </c>
      <c r="AM948" s="59">
        <v>17235</v>
      </c>
      <c r="AN948" s="59">
        <v>2</v>
      </c>
      <c r="AO948" s="59">
        <v>1</v>
      </c>
      <c r="AP948" s="59">
        <v>12</v>
      </c>
      <c r="AQ948" s="59">
        <v>3</v>
      </c>
      <c r="AR948" s="59">
        <v>3</v>
      </c>
      <c r="AS948" s="59">
        <v>80</v>
      </c>
      <c r="AT948" s="59">
        <v>0</v>
      </c>
      <c r="AU948" s="59">
        <v>9</v>
      </c>
      <c r="AV948" s="59">
        <v>2</v>
      </c>
      <c r="AW948" s="59">
        <v>3</v>
      </c>
      <c r="AX948" s="59">
        <v>5</v>
      </c>
      <c r="AY948" s="59">
        <v>4</v>
      </c>
      <c r="AZ948" s="59">
        <v>1</v>
      </c>
      <c r="BA948" s="59">
        <v>0</v>
      </c>
      <c r="BB948" s="57">
        <f t="shared" si="284"/>
        <v>27282</v>
      </c>
    </row>
    <row r="949" spans="1:54" x14ac:dyDescent="0.25">
      <c r="A949" s="58">
        <v>52</v>
      </c>
      <c r="B949" s="59">
        <v>1</v>
      </c>
      <c r="C949" s="59">
        <v>1</v>
      </c>
      <c r="D949" s="59">
        <f t="shared" si="266"/>
        <v>1</v>
      </c>
      <c r="E949" s="59">
        <f t="shared" si="267"/>
        <v>0</v>
      </c>
      <c r="F949" s="59">
        <v>1030</v>
      </c>
      <c r="G949" s="59">
        <v>1</v>
      </c>
      <c r="H949" s="59">
        <f t="shared" si="268"/>
        <v>1</v>
      </c>
      <c r="I949" s="59">
        <f t="shared" si="269"/>
        <v>0</v>
      </c>
      <c r="J949" s="59">
        <v>5</v>
      </c>
      <c r="K949" s="59">
        <v>3</v>
      </c>
      <c r="L949" s="59">
        <v>1</v>
      </c>
      <c r="M949" s="59">
        <f t="shared" si="270"/>
        <v>1</v>
      </c>
      <c r="N949" s="59">
        <f t="shared" si="271"/>
        <v>0</v>
      </c>
      <c r="O949" s="59">
        <f t="shared" si="272"/>
        <v>0</v>
      </c>
      <c r="P949" s="59">
        <f t="shared" si="273"/>
        <v>0</v>
      </c>
      <c r="Q949" s="59">
        <f t="shared" si="274"/>
        <v>0</v>
      </c>
      <c r="R949" s="59">
        <v>1</v>
      </c>
      <c r="S949" s="59">
        <v>1319</v>
      </c>
      <c r="T949" s="59">
        <v>2</v>
      </c>
      <c r="U949" s="59">
        <v>1</v>
      </c>
      <c r="V949" s="59">
        <v>64</v>
      </c>
      <c r="W949" s="59">
        <v>3</v>
      </c>
      <c r="X949" s="59">
        <v>3</v>
      </c>
      <c r="Y949" s="59">
        <v>1</v>
      </c>
      <c r="Z949" s="59">
        <f t="shared" si="275"/>
        <v>1</v>
      </c>
      <c r="AA949" s="59">
        <f>IF('Updated Dummy'!Y949=2,1,0)</f>
        <v>0</v>
      </c>
      <c r="AB949" s="59">
        <f t="shared" si="276"/>
        <v>0</v>
      </c>
      <c r="AC949" s="59">
        <f t="shared" si="277"/>
        <v>0</v>
      </c>
      <c r="AD949" s="59">
        <f t="shared" si="278"/>
        <v>0</v>
      </c>
      <c r="AE949" s="59">
        <f t="shared" si="279"/>
        <v>0</v>
      </c>
      <c r="AF949" s="59">
        <f t="shared" si="280"/>
        <v>0</v>
      </c>
      <c r="AG949" s="59">
        <f t="shared" si="281"/>
        <v>0</v>
      </c>
      <c r="AH949" s="59">
        <v>2</v>
      </c>
      <c r="AI949" s="59">
        <v>1</v>
      </c>
      <c r="AJ949" s="59">
        <f t="shared" si="282"/>
        <v>1</v>
      </c>
      <c r="AK949" s="59">
        <f t="shared" si="283"/>
        <v>0</v>
      </c>
      <c r="AL949" s="59">
        <v>8446</v>
      </c>
      <c r="AM949" s="59">
        <v>21534</v>
      </c>
      <c r="AN949" s="59">
        <v>9</v>
      </c>
      <c r="AO949" s="59">
        <v>1</v>
      </c>
      <c r="AP949" s="59">
        <v>19</v>
      </c>
      <c r="AQ949" s="59">
        <v>3</v>
      </c>
      <c r="AR949" s="59">
        <v>3</v>
      </c>
      <c r="AS949" s="59">
        <v>80</v>
      </c>
      <c r="AT949" s="59">
        <v>0</v>
      </c>
      <c r="AU949" s="59">
        <v>10</v>
      </c>
      <c r="AV949" s="59">
        <v>2</v>
      </c>
      <c r="AW949" s="59">
        <v>2</v>
      </c>
      <c r="AX949" s="59">
        <v>8</v>
      </c>
      <c r="AY949" s="59">
        <v>7</v>
      </c>
      <c r="AZ949" s="59">
        <v>7</v>
      </c>
      <c r="BA949" s="59">
        <v>7</v>
      </c>
      <c r="BB949" s="57">
        <f t="shared" si="284"/>
        <v>25338</v>
      </c>
    </row>
    <row r="950" spans="1:54" x14ac:dyDescent="0.25">
      <c r="A950" s="58">
        <v>30</v>
      </c>
      <c r="B950" s="59">
        <v>0</v>
      </c>
      <c r="C950" s="59">
        <v>1</v>
      </c>
      <c r="D950" s="59">
        <f t="shared" si="266"/>
        <v>1</v>
      </c>
      <c r="E950" s="59">
        <f t="shared" si="267"/>
        <v>0</v>
      </c>
      <c r="F950" s="59">
        <v>634</v>
      </c>
      <c r="G950" s="59">
        <v>2</v>
      </c>
      <c r="H950" s="59">
        <f t="shared" si="268"/>
        <v>0</v>
      </c>
      <c r="I950" s="59">
        <f t="shared" si="269"/>
        <v>1</v>
      </c>
      <c r="J950" s="59">
        <v>17</v>
      </c>
      <c r="K950" s="59">
        <v>4</v>
      </c>
      <c r="L950" s="59">
        <v>3</v>
      </c>
      <c r="M950" s="59">
        <f t="shared" si="270"/>
        <v>0</v>
      </c>
      <c r="N950" s="59">
        <f t="shared" si="271"/>
        <v>0</v>
      </c>
      <c r="O950" s="59">
        <f t="shared" si="272"/>
        <v>1</v>
      </c>
      <c r="P950" s="59">
        <f t="shared" si="273"/>
        <v>0</v>
      </c>
      <c r="Q950" s="59">
        <f t="shared" si="274"/>
        <v>0</v>
      </c>
      <c r="R950" s="59">
        <v>1</v>
      </c>
      <c r="S950" s="59">
        <v>1321</v>
      </c>
      <c r="T950" s="59">
        <v>2</v>
      </c>
      <c r="U950" s="59">
        <v>0</v>
      </c>
      <c r="V950" s="59">
        <v>95</v>
      </c>
      <c r="W950" s="59">
        <v>3</v>
      </c>
      <c r="X950" s="59">
        <v>3</v>
      </c>
      <c r="Y950" s="59">
        <v>6</v>
      </c>
      <c r="Z950" s="59">
        <f t="shared" si="275"/>
        <v>0</v>
      </c>
      <c r="AA950" s="59">
        <f>IF('Updated Dummy'!Y950=2,1,0)</f>
        <v>0</v>
      </c>
      <c r="AB950" s="59">
        <f t="shared" si="276"/>
        <v>0</v>
      </c>
      <c r="AC950" s="59">
        <f t="shared" si="277"/>
        <v>0</v>
      </c>
      <c r="AD950" s="59">
        <f t="shared" si="278"/>
        <v>0</v>
      </c>
      <c r="AE950" s="59">
        <f t="shared" si="279"/>
        <v>1</v>
      </c>
      <c r="AF950" s="59">
        <f t="shared" si="280"/>
        <v>0</v>
      </c>
      <c r="AG950" s="59">
        <f t="shared" si="281"/>
        <v>0</v>
      </c>
      <c r="AH950" s="59">
        <v>1</v>
      </c>
      <c r="AI950" s="59">
        <v>2</v>
      </c>
      <c r="AJ950" s="59">
        <f t="shared" si="282"/>
        <v>0</v>
      </c>
      <c r="AK950" s="59">
        <f t="shared" si="283"/>
        <v>1</v>
      </c>
      <c r="AL950" s="59">
        <v>11916</v>
      </c>
      <c r="AM950" s="59">
        <v>25927</v>
      </c>
      <c r="AN950" s="59">
        <v>1</v>
      </c>
      <c r="AO950" s="59">
        <v>1</v>
      </c>
      <c r="AP950" s="59">
        <v>23</v>
      </c>
      <c r="AQ950" s="59">
        <v>4</v>
      </c>
      <c r="AR950" s="59">
        <v>4</v>
      </c>
      <c r="AS950" s="59">
        <v>80</v>
      </c>
      <c r="AT950" s="59">
        <v>2</v>
      </c>
      <c r="AU950" s="59">
        <v>9</v>
      </c>
      <c r="AV950" s="59">
        <v>2</v>
      </c>
      <c r="AW950" s="59">
        <v>3</v>
      </c>
      <c r="AX950" s="59">
        <v>9</v>
      </c>
      <c r="AY950" s="59">
        <v>1</v>
      </c>
      <c r="AZ950" s="59">
        <v>0</v>
      </c>
      <c r="BA950" s="59">
        <v>8</v>
      </c>
      <c r="BB950" s="57">
        <f t="shared" si="284"/>
        <v>35748</v>
      </c>
    </row>
    <row r="951" spans="1:54" x14ac:dyDescent="0.25">
      <c r="A951" s="58">
        <v>39</v>
      </c>
      <c r="B951" s="59">
        <v>0</v>
      </c>
      <c r="C951" s="59">
        <v>1</v>
      </c>
      <c r="D951" s="59">
        <f t="shared" si="266"/>
        <v>1</v>
      </c>
      <c r="E951" s="59">
        <f t="shared" si="267"/>
        <v>0</v>
      </c>
      <c r="F951" s="59">
        <v>524</v>
      </c>
      <c r="G951" s="59">
        <v>2</v>
      </c>
      <c r="H951" s="59">
        <f t="shared" si="268"/>
        <v>0</v>
      </c>
      <c r="I951" s="59">
        <f t="shared" si="269"/>
        <v>1</v>
      </c>
      <c r="J951" s="59">
        <v>18</v>
      </c>
      <c r="K951" s="59">
        <v>2</v>
      </c>
      <c r="L951" s="59">
        <v>1</v>
      </c>
      <c r="M951" s="59">
        <f t="shared" si="270"/>
        <v>1</v>
      </c>
      <c r="N951" s="59">
        <f t="shared" si="271"/>
        <v>0</v>
      </c>
      <c r="O951" s="59">
        <f t="shared" si="272"/>
        <v>0</v>
      </c>
      <c r="P951" s="59">
        <f t="shared" si="273"/>
        <v>0</v>
      </c>
      <c r="Q951" s="59">
        <f t="shared" si="274"/>
        <v>0</v>
      </c>
      <c r="R951" s="59">
        <v>1</v>
      </c>
      <c r="S951" s="59">
        <v>1322</v>
      </c>
      <c r="T951" s="59">
        <v>1</v>
      </c>
      <c r="U951" s="59">
        <v>1</v>
      </c>
      <c r="V951" s="59">
        <v>32</v>
      </c>
      <c r="W951" s="59">
        <v>3</v>
      </c>
      <c r="X951" s="59">
        <v>2</v>
      </c>
      <c r="Y951" s="59">
        <v>4</v>
      </c>
      <c r="Z951" s="59">
        <f t="shared" si="275"/>
        <v>0</v>
      </c>
      <c r="AA951" s="59">
        <f>IF('Updated Dummy'!Y951=2,1,0)</f>
        <v>0</v>
      </c>
      <c r="AB951" s="59">
        <f t="shared" si="276"/>
        <v>0</v>
      </c>
      <c r="AC951" s="59">
        <f t="shared" si="277"/>
        <v>1</v>
      </c>
      <c r="AD951" s="59">
        <f t="shared" si="278"/>
        <v>0</v>
      </c>
      <c r="AE951" s="59">
        <f t="shared" si="279"/>
        <v>0</v>
      </c>
      <c r="AF951" s="59">
        <f t="shared" si="280"/>
        <v>0</v>
      </c>
      <c r="AG951" s="59">
        <f t="shared" si="281"/>
        <v>0</v>
      </c>
      <c r="AH951" s="59">
        <v>3</v>
      </c>
      <c r="AI951" s="59">
        <v>1</v>
      </c>
      <c r="AJ951" s="59">
        <f t="shared" si="282"/>
        <v>1</v>
      </c>
      <c r="AK951" s="59">
        <f t="shared" si="283"/>
        <v>0</v>
      </c>
      <c r="AL951" s="59">
        <v>4534</v>
      </c>
      <c r="AM951" s="59">
        <v>13352</v>
      </c>
      <c r="AN951" s="59">
        <v>0</v>
      </c>
      <c r="AO951" s="59">
        <v>0</v>
      </c>
      <c r="AP951" s="59">
        <v>11</v>
      </c>
      <c r="AQ951" s="59">
        <v>3</v>
      </c>
      <c r="AR951" s="59">
        <v>1</v>
      </c>
      <c r="AS951" s="59">
        <v>80</v>
      </c>
      <c r="AT951" s="59">
        <v>0</v>
      </c>
      <c r="AU951" s="59">
        <v>9</v>
      </c>
      <c r="AV951" s="59">
        <v>6</v>
      </c>
      <c r="AW951" s="59">
        <v>3</v>
      </c>
      <c r="AX951" s="59">
        <v>8</v>
      </c>
      <c r="AY951" s="59">
        <v>7</v>
      </c>
      <c r="AZ951" s="59">
        <v>1</v>
      </c>
      <c r="BA951" s="59">
        <v>7</v>
      </c>
      <c r="BB951" s="57">
        <f t="shared" si="284"/>
        <v>9068</v>
      </c>
    </row>
    <row r="952" spans="1:54" x14ac:dyDescent="0.25">
      <c r="A952" s="58">
        <v>31</v>
      </c>
      <c r="B952" s="59">
        <v>0</v>
      </c>
      <c r="C952" s="59">
        <v>3</v>
      </c>
      <c r="D952" s="59">
        <f t="shared" si="266"/>
        <v>0</v>
      </c>
      <c r="E952" s="59">
        <f t="shared" si="267"/>
        <v>0</v>
      </c>
      <c r="F952" s="59">
        <v>587</v>
      </c>
      <c r="G952" s="59">
        <v>1</v>
      </c>
      <c r="H952" s="59">
        <f t="shared" si="268"/>
        <v>1</v>
      </c>
      <c r="I952" s="59">
        <f t="shared" si="269"/>
        <v>0</v>
      </c>
      <c r="J952" s="59">
        <v>2</v>
      </c>
      <c r="K952" s="59">
        <v>4</v>
      </c>
      <c r="L952" s="59">
        <v>1</v>
      </c>
      <c r="M952" s="59">
        <f t="shared" si="270"/>
        <v>1</v>
      </c>
      <c r="N952" s="59">
        <f t="shared" si="271"/>
        <v>0</v>
      </c>
      <c r="O952" s="59">
        <f t="shared" si="272"/>
        <v>0</v>
      </c>
      <c r="P952" s="59">
        <f t="shared" si="273"/>
        <v>0</v>
      </c>
      <c r="Q952" s="59">
        <f t="shared" si="274"/>
        <v>0</v>
      </c>
      <c r="R952" s="59">
        <v>1</v>
      </c>
      <c r="S952" s="59">
        <v>1324</v>
      </c>
      <c r="T952" s="59">
        <v>4</v>
      </c>
      <c r="U952" s="59">
        <v>0</v>
      </c>
      <c r="V952" s="59">
        <v>57</v>
      </c>
      <c r="W952" s="59">
        <v>3</v>
      </c>
      <c r="X952" s="59">
        <v>3</v>
      </c>
      <c r="Y952" s="59">
        <v>1</v>
      </c>
      <c r="Z952" s="59">
        <f t="shared" si="275"/>
        <v>1</v>
      </c>
      <c r="AA952" s="59">
        <f>IF('Updated Dummy'!Y952=2,1,0)</f>
        <v>0</v>
      </c>
      <c r="AB952" s="59">
        <f t="shared" si="276"/>
        <v>0</v>
      </c>
      <c r="AC952" s="59">
        <f t="shared" si="277"/>
        <v>0</v>
      </c>
      <c r="AD952" s="59">
        <f t="shared" si="278"/>
        <v>0</v>
      </c>
      <c r="AE952" s="59">
        <f t="shared" si="279"/>
        <v>0</v>
      </c>
      <c r="AF952" s="59">
        <f t="shared" si="280"/>
        <v>0</v>
      </c>
      <c r="AG952" s="59">
        <f t="shared" si="281"/>
        <v>0</v>
      </c>
      <c r="AH952" s="59">
        <v>3</v>
      </c>
      <c r="AI952" s="59">
        <v>3</v>
      </c>
      <c r="AJ952" s="59">
        <f t="shared" si="282"/>
        <v>0</v>
      </c>
      <c r="AK952" s="59">
        <f t="shared" si="283"/>
        <v>0</v>
      </c>
      <c r="AL952" s="59">
        <v>9852</v>
      </c>
      <c r="AM952" s="59">
        <v>8935</v>
      </c>
      <c r="AN952" s="59">
        <v>1</v>
      </c>
      <c r="AO952" s="59">
        <v>1</v>
      </c>
      <c r="AP952" s="59">
        <v>19</v>
      </c>
      <c r="AQ952" s="59">
        <v>3</v>
      </c>
      <c r="AR952" s="59">
        <v>1</v>
      </c>
      <c r="AS952" s="59">
        <v>80</v>
      </c>
      <c r="AT952" s="59">
        <v>1</v>
      </c>
      <c r="AU952" s="59">
        <v>10</v>
      </c>
      <c r="AV952" s="59">
        <v>5</v>
      </c>
      <c r="AW952" s="59">
        <v>2</v>
      </c>
      <c r="AX952" s="59">
        <v>10</v>
      </c>
      <c r="AY952" s="59">
        <v>8</v>
      </c>
      <c r="AZ952" s="59">
        <v>9</v>
      </c>
      <c r="BA952" s="59">
        <v>6</v>
      </c>
      <c r="BB952" s="57">
        <f t="shared" si="284"/>
        <v>29556</v>
      </c>
    </row>
    <row r="953" spans="1:54" x14ac:dyDescent="0.25">
      <c r="A953" s="58">
        <v>41</v>
      </c>
      <c r="B953" s="59">
        <v>0</v>
      </c>
      <c r="C953" s="59">
        <v>3</v>
      </c>
      <c r="D953" s="59">
        <f t="shared" si="266"/>
        <v>0</v>
      </c>
      <c r="E953" s="59">
        <f t="shared" si="267"/>
        <v>0</v>
      </c>
      <c r="F953" s="59">
        <v>256</v>
      </c>
      <c r="G953" s="59">
        <v>1</v>
      </c>
      <c r="H953" s="59">
        <f t="shared" si="268"/>
        <v>1</v>
      </c>
      <c r="I953" s="59">
        <f t="shared" si="269"/>
        <v>0</v>
      </c>
      <c r="J953" s="59">
        <v>10</v>
      </c>
      <c r="K953" s="59">
        <v>2</v>
      </c>
      <c r="L953" s="59">
        <v>3</v>
      </c>
      <c r="M953" s="59">
        <f t="shared" si="270"/>
        <v>0</v>
      </c>
      <c r="N953" s="59">
        <f t="shared" si="271"/>
        <v>0</v>
      </c>
      <c r="O953" s="59">
        <f t="shared" si="272"/>
        <v>1</v>
      </c>
      <c r="P953" s="59">
        <f t="shared" si="273"/>
        <v>0</v>
      </c>
      <c r="Q953" s="59">
        <f t="shared" si="274"/>
        <v>0</v>
      </c>
      <c r="R953" s="59">
        <v>1</v>
      </c>
      <c r="S953" s="59">
        <v>1329</v>
      </c>
      <c r="T953" s="59">
        <v>3</v>
      </c>
      <c r="U953" s="59">
        <v>1</v>
      </c>
      <c r="V953" s="59">
        <v>40</v>
      </c>
      <c r="W953" s="59">
        <v>1</v>
      </c>
      <c r="X953" s="59">
        <v>2</v>
      </c>
      <c r="Y953" s="59">
        <v>1</v>
      </c>
      <c r="Z953" s="59">
        <f t="shared" si="275"/>
        <v>1</v>
      </c>
      <c r="AA953" s="59">
        <f>IF('Updated Dummy'!Y953=2,1,0)</f>
        <v>0</v>
      </c>
      <c r="AB953" s="59">
        <f t="shared" si="276"/>
        <v>0</v>
      </c>
      <c r="AC953" s="59">
        <f t="shared" si="277"/>
        <v>0</v>
      </c>
      <c r="AD953" s="59">
        <f t="shared" si="278"/>
        <v>0</v>
      </c>
      <c r="AE953" s="59">
        <f t="shared" si="279"/>
        <v>0</v>
      </c>
      <c r="AF953" s="59">
        <f t="shared" si="280"/>
        <v>0</v>
      </c>
      <c r="AG953" s="59">
        <f t="shared" si="281"/>
        <v>0</v>
      </c>
      <c r="AH953" s="59">
        <v>2</v>
      </c>
      <c r="AI953" s="59">
        <v>1</v>
      </c>
      <c r="AJ953" s="59">
        <f t="shared" si="282"/>
        <v>1</v>
      </c>
      <c r="AK953" s="59">
        <f t="shared" si="283"/>
        <v>0</v>
      </c>
      <c r="AL953" s="59">
        <v>6151</v>
      </c>
      <c r="AM953" s="59">
        <v>22074</v>
      </c>
      <c r="AN953" s="59">
        <v>1</v>
      </c>
      <c r="AO953" s="59">
        <v>0</v>
      </c>
      <c r="AP953" s="59">
        <v>13</v>
      </c>
      <c r="AQ953" s="59">
        <v>3</v>
      </c>
      <c r="AR953" s="59">
        <v>1</v>
      </c>
      <c r="AS953" s="59">
        <v>80</v>
      </c>
      <c r="AT953" s="59">
        <v>0</v>
      </c>
      <c r="AU953" s="59">
        <v>19</v>
      </c>
      <c r="AV953" s="59">
        <v>4</v>
      </c>
      <c r="AW953" s="59">
        <v>3</v>
      </c>
      <c r="AX953" s="59">
        <v>19</v>
      </c>
      <c r="AY953" s="59">
        <v>2</v>
      </c>
      <c r="AZ953" s="59">
        <v>11</v>
      </c>
      <c r="BA953" s="59">
        <v>9</v>
      </c>
      <c r="BB953" s="57">
        <f t="shared" si="284"/>
        <v>12302</v>
      </c>
    </row>
    <row r="954" spans="1:54" x14ac:dyDescent="0.25">
      <c r="A954" s="58">
        <v>31</v>
      </c>
      <c r="B954" s="59">
        <v>1</v>
      </c>
      <c r="C954" s="59">
        <v>2</v>
      </c>
      <c r="D954" s="59">
        <f t="shared" si="266"/>
        <v>0</v>
      </c>
      <c r="E954" s="59">
        <f t="shared" si="267"/>
        <v>1</v>
      </c>
      <c r="F954" s="59">
        <v>1060</v>
      </c>
      <c r="G954" s="59">
        <v>1</v>
      </c>
      <c r="H954" s="59">
        <f t="shared" si="268"/>
        <v>1</v>
      </c>
      <c r="I954" s="59">
        <f t="shared" si="269"/>
        <v>0</v>
      </c>
      <c r="J954" s="59">
        <v>1</v>
      </c>
      <c r="K954" s="59">
        <v>3</v>
      </c>
      <c r="L954" s="59">
        <v>1</v>
      </c>
      <c r="M954" s="59">
        <f t="shared" si="270"/>
        <v>1</v>
      </c>
      <c r="N954" s="59">
        <f t="shared" si="271"/>
        <v>0</v>
      </c>
      <c r="O954" s="59">
        <f t="shared" si="272"/>
        <v>0</v>
      </c>
      <c r="P954" s="59">
        <f t="shared" si="273"/>
        <v>0</v>
      </c>
      <c r="Q954" s="59">
        <f t="shared" si="274"/>
        <v>0</v>
      </c>
      <c r="R954" s="59">
        <v>1</v>
      </c>
      <c r="S954" s="59">
        <v>1331</v>
      </c>
      <c r="T954" s="59">
        <v>4</v>
      </c>
      <c r="U954" s="59">
        <v>0</v>
      </c>
      <c r="V954" s="59">
        <v>54</v>
      </c>
      <c r="W954" s="59">
        <v>3</v>
      </c>
      <c r="X954" s="59">
        <v>1</v>
      </c>
      <c r="Y954" s="59">
        <v>7</v>
      </c>
      <c r="Z954" s="59">
        <f t="shared" si="275"/>
        <v>0</v>
      </c>
      <c r="AA954" s="59">
        <f>IF('Updated Dummy'!Y954=2,1,0)</f>
        <v>0</v>
      </c>
      <c r="AB954" s="59">
        <f t="shared" si="276"/>
        <v>0</v>
      </c>
      <c r="AC954" s="59">
        <f t="shared" si="277"/>
        <v>0</v>
      </c>
      <c r="AD954" s="59">
        <f t="shared" si="278"/>
        <v>0</v>
      </c>
      <c r="AE954" s="59">
        <f t="shared" si="279"/>
        <v>0</v>
      </c>
      <c r="AF954" s="59">
        <f t="shared" si="280"/>
        <v>1</v>
      </c>
      <c r="AG954" s="59">
        <f t="shared" si="281"/>
        <v>0</v>
      </c>
      <c r="AH954" s="59">
        <v>2</v>
      </c>
      <c r="AI954" s="59">
        <v>1</v>
      </c>
      <c r="AJ954" s="59">
        <f t="shared" si="282"/>
        <v>1</v>
      </c>
      <c r="AK954" s="59">
        <f t="shared" si="283"/>
        <v>0</v>
      </c>
      <c r="AL954" s="59">
        <v>2302</v>
      </c>
      <c r="AM954" s="59">
        <v>8319</v>
      </c>
      <c r="AN954" s="59">
        <v>1</v>
      </c>
      <c r="AO954" s="59">
        <v>1</v>
      </c>
      <c r="AP954" s="59">
        <v>11</v>
      </c>
      <c r="AQ954" s="59">
        <v>3</v>
      </c>
      <c r="AR954" s="59">
        <v>1</v>
      </c>
      <c r="AS954" s="59">
        <v>80</v>
      </c>
      <c r="AT954" s="59">
        <v>0</v>
      </c>
      <c r="AU954" s="59">
        <v>3</v>
      </c>
      <c r="AV954" s="59">
        <v>2</v>
      </c>
      <c r="AW954" s="59">
        <v>4</v>
      </c>
      <c r="AX954" s="59">
        <v>3</v>
      </c>
      <c r="AY954" s="59">
        <v>2</v>
      </c>
      <c r="AZ954" s="59">
        <v>2</v>
      </c>
      <c r="BA954" s="59">
        <v>2</v>
      </c>
      <c r="BB954" s="57">
        <f t="shared" si="284"/>
        <v>2302</v>
      </c>
    </row>
    <row r="955" spans="1:54" x14ac:dyDescent="0.25">
      <c r="A955" s="58">
        <v>44</v>
      </c>
      <c r="B955" s="59">
        <v>1</v>
      </c>
      <c r="C955" s="59">
        <v>1</v>
      </c>
      <c r="D955" s="59">
        <f t="shared" si="266"/>
        <v>1</v>
      </c>
      <c r="E955" s="59">
        <f t="shared" si="267"/>
        <v>0</v>
      </c>
      <c r="F955" s="59">
        <v>935</v>
      </c>
      <c r="G955" s="59">
        <v>2</v>
      </c>
      <c r="H955" s="59">
        <f t="shared" si="268"/>
        <v>0</v>
      </c>
      <c r="I955" s="59">
        <f t="shared" si="269"/>
        <v>1</v>
      </c>
      <c r="J955" s="59">
        <v>3</v>
      </c>
      <c r="K955" s="59">
        <v>3</v>
      </c>
      <c r="L955" s="59">
        <v>1</v>
      </c>
      <c r="M955" s="59">
        <f t="shared" si="270"/>
        <v>1</v>
      </c>
      <c r="N955" s="59">
        <f t="shared" si="271"/>
        <v>0</v>
      </c>
      <c r="O955" s="59">
        <f t="shared" si="272"/>
        <v>0</v>
      </c>
      <c r="P955" s="59">
        <f t="shared" si="273"/>
        <v>0</v>
      </c>
      <c r="Q955" s="59">
        <f t="shared" si="274"/>
        <v>0</v>
      </c>
      <c r="R955" s="59">
        <v>1</v>
      </c>
      <c r="S955" s="59">
        <v>1333</v>
      </c>
      <c r="T955" s="59">
        <v>1</v>
      </c>
      <c r="U955" s="59">
        <v>1</v>
      </c>
      <c r="V955" s="59">
        <v>89</v>
      </c>
      <c r="W955" s="59">
        <v>3</v>
      </c>
      <c r="X955" s="59">
        <v>1</v>
      </c>
      <c r="Y955" s="59">
        <v>3</v>
      </c>
      <c r="Z955" s="59">
        <f t="shared" si="275"/>
        <v>0</v>
      </c>
      <c r="AA955" s="59">
        <f>IF('Updated Dummy'!Y955=2,1,0)</f>
        <v>0</v>
      </c>
      <c r="AB955" s="59">
        <f t="shared" si="276"/>
        <v>1</v>
      </c>
      <c r="AC955" s="59">
        <f t="shared" si="277"/>
        <v>0</v>
      </c>
      <c r="AD955" s="59">
        <f t="shared" si="278"/>
        <v>0</v>
      </c>
      <c r="AE955" s="59">
        <f t="shared" si="279"/>
        <v>0</v>
      </c>
      <c r="AF955" s="59">
        <f t="shared" si="280"/>
        <v>0</v>
      </c>
      <c r="AG955" s="59">
        <f t="shared" si="281"/>
        <v>0</v>
      </c>
      <c r="AH955" s="59">
        <v>1</v>
      </c>
      <c r="AI955" s="59">
        <v>2</v>
      </c>
      <c r="AJ955" s="59">
        <f t="shared" si="282"/>
        <v>0</v>
      </c>
      <c r="AK955" s="59">
        <f t="shared" si="283"/>
        <v>1</v>
      </c>
      <c r="AL955" s="59">
        <v>2362</v>
      </c>
      <c r="AM955" s="59">
        <v>14669</v>
      </c>
      <c r="AN955" s="59">
        <v>4</v>
      </c>
      <c r="AO955" s="59">
        <v>0</v>
      </c>
      <c r="AP955" s="59">
        <v>12</v>
      </c>
      <c r="AQ955" s="59">
        <v>3</v>
      </c>
      <c r="AR955" s="59">
        <v>3</v>
      </c>
      <c r="AS955" s="59">
        <v>80</v>
      </c>
      <c r="AT955" s="59">
        <v>0</v>
      </c>
      <c r="AU955" s="59">
        <v>10</v>
      </c>
      <c r="AV955" s="59">
        <v>4</v>
      </c>
      <c r="AW955" s="59">
        <v>4</v>
      </c>
      <c r="AX955" s="59">
        <v>3</v>
      </c>
      <c r="AY955" s="59">
        <v>2</v>
      </c>
      <c r="AZ955" s="59">
        <v>1</v>
      </c>
      <c r="BA955" s="59">
        <v>2</v>
      </c>
      <c r="BB955" s="57">
        <f t="shared" si="284"/>
        <v>2362</v>
      </c>
    </row>
    <row r="956" spans="1:54" x14ac:dyDescent="0.25">
      <c r="A956" s="58">
        <v>42</v>
      </c>
      <c r="B956" s="59">
        <v>0</v>
      </c>
      <c r="C956" s="59">
        <v>3</v>
      </c>
      <c r="D956" s="59">
        <f t="shared" si="266"/>
        <v>0</v>
      </c>
      <c r="E956" s="59">
        <f t="shared" si="267"/>
        <v>0</v>
      </c>
      <c r="F956" s="59">
        <v>495</v>
      </c>
      <c r="G956" s="59">
        <v>2</v>
      </c>
      <c r="H956" s="59">
        <f t="shared" si="268"/>
        <v>0</v>
      </c>
      <c r="I956" s="59">
        <f t="shared" si="269"/>
        <v>1</v>
      </c>
      <c r="J956" s="59">
        <v>2</v>
      </c>
      <c r="K956" s="59">
        <v>1</v>
      </c>
      <c r="L956" s="59">
        <v>1</v>
      </c>
      <c r="M956" s="59">
        <f t="shared" si="270"/>
        <v>1</v>
      </c>
      <c r="N956" s="59">
        <f t="shared" si="271"/>
        <v>0</v>
      </c>
      <c r="O956" s="59">
        <f t="shared" si="272"/>
        <v>0</v>
      </c>
      <c r="P956" s="59">
        <f t="shared" si="273"/>
        <v>0</v>
      </c>
      <c r="Q956" s="59">
        <f t="shared" si="274"/>
        <v>0</v>
      </c>
      <c r="R956" s="59">
        <v>1</v>
      </c>
      <c r="S956" s="59">
        <v>1334</v>
      </c>
      <c r="T956" s="59">
        <v>3</v>
      </c>
      <c r="U956" s="59">
        <v>1</v>
      </c>
      <c r="V956" s="59">
        <v>37</v>
      </c>
      <c r="W956" s="59">
        <v>3</v>
      </c>
      <c r="X956" s="59">
        <v>4</v>
      </c>
      <c r="Y956" s="59">
        <v>6</v>
      </c>
      <c r="Z956" s="59">
        <f t="shared" si="275"/>
        <v>0</v>
      </c>
      <c r="AA956" s="59">
        <f>IF('Updated Dummy'!Y956=2,1,0)</f>
        <v>0</v>
      </c>
      <c r="AB956" s="59">
        <f t="shared" si="276"/>
        <v>0</v>
      </c>
      <c r="AC956" s="59">
        <f t="shared" si="277"/>
        <v>0</v>
      </c>
      <c r="AD956" s="59">
        <f t="shared" si="278"/>
        <v>0</v>
      </c>
      <c r="AE956" s="59">
        <f t="shared" si="279"/>
        <v>1</v>
      </c>
      <c r="AF956" s="59">
        <f t="shared" si="280"/>
        <v>0</v>
      </c>
      <c r="AG956" s="59">
        <f t="shared" si="281"/>
        <v>0</v>
      </c>
      <c r="AH956" s="59">
        <v>3</v>
      </c>
      <c r="AI956" s="59">
        <v>2</v>
      </c>
      <c r="AJ956" s="59">
        <f t="shared" si="282"/>
        <v>0</v>
      </c>
      <c r="AK956" s="59">
        <f t="shared" si="283"/>
        <v>1</v>
      </c>
      <c r="AL956" s="59">
        <v>17861</v>
      </c>
      <c r="AM956" s="59">
        <v>26582</v>
      </c>
      <c r="AN956" s="59">
        <v>0</v>
      </c>
      <c r="AO956" s="59">
        <v>1</v>
      </c>
      <c r="AP956" s="59">
        <v>13</v>
      </c>
      <c r="AQ956" s="59">
        <v>3</v>
      </c>
      <c r="AR956" s="59">
        <v>4</v>
      </c>
      <c r="AS956" s="59">
        <v>80</v>
      </c>
      <c r="AT956" s="59">
        <v>0</v>
      </c>
      <c r="AU956" s="59">
        <v>21</v>
      </c>
      <c r="AV956" s="59">
        <v>3</v>
      </c>
      <c r="AW956" s="59">
        <v>2</v>
      </c>
      <c r="AX956" s="59">
        <v>20</v>
      </c>
      <c r="AY956" s="59">
        <v>8</v>
      </c>
      <c r="AZ956" s="59">
        <v>2</v>
      </c>
      <c r="BA956" s="59">
        <v>10</v>
      </c>
      <c r="BB956" s="57">
        <f t="shared" si="284"/>
        <v>71444</v>
      </c>
    </row>
    <row r="957" spans="1:54" x14ac:dyDescent="0.25">
      <c r="A957" s="58">
        <v>55</v>
      </c>
      <c r="B957" s="59">
        <v>0</v>
      </c>
      <c r="C957" s="59">
        <v>1</v>
      </c>
      <c r="D957" s="59">
        <f t="shared" si="266"/>
        <v>1</v>
      </c>
      <c r="E957" s="59">
        <f t="shared" si="267"/>
        <v>0</v>
      </c>
      <c r="F957" s="59">
        <v>282</v>
      </c>
      <c r="G957" s="59">
        <v>2</v>
      </c>
      <c r="H957" s="59">
        <f t="shared" si="268"/>
        <v>0</v>
      </c>
      <c r="I957" s="59">
        <f t="shared" si="269"/>
        <v>1</v>
      </c>
      <c r="J957" s="59">
        <v>2</v>
      </c>
      <c r="K957" s="59">
        <v>2</v>
      </c>
      <c r="L957" s="59">
        <v>3</v>
      </c>
      <c r="M957" s="59">
        <f t="shared" si="270"/>
        <v>0</v>
      </c>
      <c r="N957" s="59">
        <f t="shared" si="271"/>
        <v>0</v>
      </c>
      <c r="O957" s="59">
        <f t="shared" si="272"/>
        <v>1</v>
      </c>
      <c r="P957" s="59">
        <f t="shared" si="273"/>
        <v>0</v>
      </c>
      <c r="Q957" s="59">
        <f t="shared" si="274"/>
        <v>0</v>
      </c>
      <c r="R957" s="59">
        <v>1</v>
      </c>
      <c r="S957" s="59">
        <v>1336</v>
      </c>
      <c r="T957" s="59">
        <v>4</v>
      </c>
      <c r="U957" s="59">
        <v>0</v>
      </c>
      <c r="V957" s="59">
        <v>58</v>
      </c>
      <c r="W957" s="59">
        <v>1</v>
      </c>
      <c r="X957" s="59">
        <v>5</v>
      </c>
      <c r="Y957" s="59">
        <v>6</v>
      </c>
      <c r="Z957" s="59">
        <f t="shared" si="275"/>
        <v>0</v>
      </c>
      <c r="AA957" s="59">
        <f>IF('Updated Dummy'!Y957=2,1,0)</f>
        <v>0</v>
      </c>
      <c r="AB957" s="59">
        <f t="shared" si="276"/>
        <v>0</v>
      </c>
      <c r="AC957" s="59">
        <f t="shared" si="277"/>
        <v>0</v>
      </c>
      <c r="AD957" s="59">
        <f t="shared" si="278"/>
        <v>0</v>
      </c>
      <c r="AE957" s="59">
        <f t="shared" si="279"/>
        <v>1</v>
      </c>
      <c r="AF957" s="59">
        <f t="shared" si="280"/>
        <v>0</v>
      </c>
      <c r="AG957" s="59">
        <f t="shared" si="281"/>
        <v>0</v>
      </c>
      <c r="AH957" s="59">
        <v>3</v>
      </c>
      <c r="AI957" s="59">
        <v>2</v>
      </c>
      <c r="AJ957" s="59">
        <f t="shared" si="282"/>
        <v>0</v>
      </c>
      <c r="AK957" s="59">
        <f t="shared" si="283"/>
        <v>1</v>
      </c>
      <c r="AL957" s="59">
        <v>19187</v>
      </c>
      <c r="AM957" s="59">
        <v>6992</v>
      </c>
      <c r="AN957" s="59">
        <v>4</v>
      </c>
      <c r="AO957" s="59">
        <v>0</v>
      </c>
      <c r="AP957" s="59">
        <v>14</v>
      </c>
      <c r="AQ957" s="59">
        <v>3</v>
      </c>
      <c r="AR957" s="59">
        <v>4</v>
      </c>
      <c r="AS957" s="59">
        <v>80</v>
      </c>
      <c r="AT957" s="59">
        <v>1</v>
      </c>
      <c r="AU957" s="59">
        <v>23</v>
      </c>
      <c r="AV957" s="59">
        <v>5</v>
      </c>
      <c r="AW957" s="59">
        <v>3</v>
      </c>
      <c r="AX957" s="59">
        <v>19</v>
      </c>
      <c r="AY957" s="59">
        <v>9</v>
      </c>
      <c r="AZ957" s="59">
        <v>9</v>
      </c>
      <c r="BA957" s="59">
        <v>11</v>
      </c>
      <c r="BB957" s="57">
        <f t="shared" si="284"/>
        <v>95935</v>
      </c>
    </row>
    <row r="958" spans="1:54" x14ac:dyDescent="0.25">
      <c r="A958" s="58">
        <v>56</v>
      </c>
      <c r="B958" s="59">
        <v>0</v>
      </c>
      <c r="C958" s="59">
        <v>1</v>
      </c>
      <c r="D958" s="59">
        <f t="shared" si="266"/>
        <v>1</v>
      </c>
      <c r="E958" s="59">
        <f t="shared" si="267"/>
        <v>0</v>
      </c>
      <c r="F958" s="59">
        <v>206</v>
      </c>
      <c r="G958" s="59">
        <v>3</v>
      </c>
      <c r="H958" s="59">
        <f t="shared" si="268"/>
        <v>0</v>
      </c>
      <c r="I958" s="59">
        <f t="shared" si="269"/>
        <v>0</v>
      </c>
      <c r="J958" s="59">
        <v>8</v>
      </c>
      <c r="K958" s="59">
        <v>4</v>
      </c>
      <c r="L958" s="59">
        <v>1</v>
      </c>
      <c r="M958" s="59">
        <f t="shared" si="270"/>
        <v>1</v>
      </c>
      <c r="N958" s="59">
        <f t="shared" si="271"/>
        <v>0</v>
      </c>
      <c r="O958" s="59">
        <f t="shared" si="272"/>
        <v>0</v>
      </c>
      <c r="P958" s="59">
        <f t="shared" si="273"/>
        <v>0</v>
      </c>
      <c r="Q958" s="59">
        <f t="shared" si="274"/>
        <v>0</v>
      </c>
      <c r="R958" s="59">
        <v>1</v>
      </c>
      <c r="S958" s="59">
        <v>1338</v>
      </c>
      <c r="T958" s="59">
        <v>4</v>
      </c>
      <c r="U958" s="59">
        <v>1</v>
      </c>
      <c r="V958" s="59">
        <v>99</v>
      </c>
      <c r="W958" s="59">
        <v>3</v>
      </c>
      <c r="X958" s="59">
        <v>5</v>
      </c>
      <c r="Y958" s="59">
        <v>6</v>
      </c>
      <c r="Z958" s="59">
        <f t="shared" si="275"/>
        <v>0</v>
      </c>
      <c r="AA958" s="59">
        <f>IF('Updated Dummy'!Y958=2,1,0)</f>
        <v>0</v>
      </c>
      <c r="AB958" s="59">
        <f t="shared" si="276"/>
        <v>0</v>
      </c>
      <c r="AC958" s="59">
        <f t="shared" si="277"/>
        <v>0</v>
      </c>
      <c r="AD958" s="59">
        <f t="shared" si="278"/>
        <v>0</v>
      </c>
      <c r="AE958" s="59">
        <f t="shared" si="279"/>
        <v>1</v>
      </c>
      <c r="AF958" s="59">
        <f t="shared" si="280"/>
        <v>0</v>
      </c>
      <c r="AG958" s="59">
        <f t="shared" si="281"/>
        <v>0</v>
      </c>
      <c r="AH958" s="59">
        <v>2</v>
      </c>
      <c r="AI958" s="59">
        <v>1</v>
      </c>
      <c r="AJ958" s="59">
        <f t="shared" si="282"/>
        <v>1</v>
      </c>
      <c r="AK958" s="59">
        <f t="shared" si="283"/>
        <v>0</v>
      </c>
      <c r="AL958" s="59">
        <v>19717</v>
      </c>
      <c r="AM958" s="59">
        <v>4022</v>
      </c>
      <c r="AN958" s="59">
        <v>6</v>
      </c>
      <c r="AO958" s="59">
        <v>0</v>
      </c>
      <c r="AP958" s="59">
        <v>14</v>
      </c>
      <c r="AQ958" s="59">
        <v>3</v>
      </c>
      <c r="AR958" s="59">
        <v>1</v>
      </c>
      <c r="AS958" s="59">
        <v>80</v>
      </c>
      <c r="AT958" s="59">
        <v>0</v>
      </c>
      <c r="AU958" s="59">
        <v>36</v>
      </c>
      <c r="AV958" s="59">
        <v>4</v>
      </c>
      <c r="AW958" s="59">
        <v>3</v>
      </c>
      <c r="AX958" s="59">
        <v>7</v>
      </c>
      <c r="AY958" s="59">
        <v>3</v>
      </c>
      <c r="AZ958" s="59">
        <v>7</v>
      </c>
      <c r="BA958" s="59">
        <v>7</v>
      </c>
      <c r="BB958" s="57">
        <f t="shared" si="284"/>
        <v>98585</v>
      </c>
    </row>
    <row r="959" spans="1:54" x14ac:dyDescent="0.25">
      <c r="A959" s="58">
        <v>40</v>
      </c>
      <c r="B959" s="59">
        <v>0</v>
      </c>
      <c r="C959" s="59">
        <v>3</v>
      </c>
      <c r="D959" s="59">
        <f t="shared" si="266"/>
        <v>0</v>
      </c>
      <c r="E959" s="59">
        <f t="shared" si="267"/>
        <v>0</v>
      </c>
      <c r="F959" s="59">
        <v>458</v>
      </c>
      <c r="G959" s="59">
        <v>2</v>
      </c>
      <c r="H959" s="59">
        <f t="shared" si="268"/>
        <v>0</v>
      </c>
      <c r="I959" s="59">
        <f t="shared" si="269"/>
        <v>1</v>
      </c>
      <c r="J959" s="59">
        <v>16</v>
      </c>
      <c r="K959" s="59">
        <v>2</v>
      </c>
      <c r="L959" s="59">
        <v>1</v>
      </c>
      <c r="M959" s="59">
        <f t="shared" si="270"/>
        <v>1</v>
      </c>
      <c r="N959" s="59">
        <f t="shared" si="271"/>
        <v>0</v>
      </c>
      <c r="O959" s="59">
        <f t="shared" si="272"/>
        <v>0</v>
      </c>
      <c r="P959" s="59">
        <f t="shared" si="273"/>
        <v>0</v>
      </c>
      <c r="Q959" s="59">
        <f t="shared" si="274"/>
        <v>0</v>
      </c>
      <c r="R959" s="59">
        <v>1</v>
      </c>
      <c r="S959" s="59">
        <v>1340</v>
      </c>
      <c r="T959" s="59">
        <v>3</v>
      </c>
      <c r="U959" s="59">
        <v>1</v>
      </c>
      <c r="V959" s="59">
        <v>74</v>
      </c>
      <c r="W959" s="59">
        <v>3</v>
      </c>
      <c r="X959" s="59">
        <v>1</v>
      </c>
      <c r="Y959" s="59">
        <v>2</v>
      </c>
      <c r="Z959" s="59">
        <f t="shared" si="275"/>
        <v>0</v>
      </c>
      <c r="AA959" s="59">
        <f>IF('Updated Dummy'!Y959=2,1,0)</f>
        <v>1</v>
      </c>
      <c r="AB959" s="59">
        <f t="shared" si="276"/>
        <v>0</v>
      </c>
      <c r="AC959" s="59">
        <f t="shared" si="277"/>
        <v>0</v>
      </c>
      <c r="AD959" s="59">
        <f t="shared" si="278"/>
        <v>0</v>
      </c>
      <c r="AE959" s="59">
        <f t="shared" si="279"/>
        <v>0</v>
      </c>
      <c r="AF959" s="59">
        <f t="shared" si="280"/>
        <v>0</v>
      </c>
      <c r="AG959" s="59">
        <f t="shared" si="281"/>
        <v>0</v>
      </c>
      <c r="AH959" s="59">
        <v>3</v>
      </c>
      <c r="AI959" s="59">
        <v>3</v>
      </c>
      <c r="AJ959" s="59">
        <f t="shared" si="282"/>
        <v>0</v>
      </c>
      <c r="AK959" s="59">
        <f t="shared" si="283"/>
        <v>0</v>
      </c>
      <c r="AL959" s="59">
        <v>3544</v>
      </c>
      <c r="AM959" s="59">
        <v>8532</v>
      </c>
      <c r="AN959" s="59">
        <v>9</v>
      </c>
      <c r="AO959" s="59">
        <v>0</v>
      </c>
      <c r="AP959" s="59">
        <v>16</v>
      </c>
      <c r="AQ959" s="59">
        <v>3</v>
      </c>
      <c r="AR959" s="59">
        <v>2</v>
      </c>
      <c r="AS959" s="59">
        <v>80</v>
      </c>
      <c r="AT959" s="59">
        <v>1</v>
      </c>
      <c r="AU959" s="59">
        <v>6</v>
      </c>
      <c r="AV959" s="59">
        <v>0</v>
      </c>
      <c r="AW959" s="59">
        <v>3</v>
      </c>
      <c r="AX959" s="59">
        <v>4</v>
      </c>
      <c r="AY959" s="59">
        <v>2</v>
      </c>
      <c r="AZ959" s="59">
        <v>0</v>
      </c>
      <c r="BA959" s="59">
        <v>0</v>
      </c>
      <c r="BB959" s="57">
        <f t="shared" si="284"/>
        <v>3544</v>
      </c>
    </row>
    <row r="960" spans="1:54" x14ac:dyDescent="0.25">
      <c r="A960" s="58">
        <v>34</v>
      </c>
      <c r="B960" s="59">
        <v>0</v>
      </c>
      <c r="C960" s="59">
        <v>1</v>
      </c>
      <c r="D960" s="59">
        <f t="shared" si="266"/>
        <v>1</v>
      </c>
      <c r="E960" s="59">
        <f t="shared" si="267"/>
        <v>0</v>
      </c>
      <c r="F960" s="59">
        <v>943</v>
      </c>
      <c r="G960" s="59">
        <v>2</v>
      </c>
      <c r="H960" s="59">
        <f t="shared" si="268"/>
        <v>0</v>
      </c>
      <c r="I960" s="59">
        <f t="shared" si="269"/>
        <v>1</v>
      </c>
      <c r="J960" s="59">
        <v>9</v>
      </c>
      <c r="K960" s="59">
        <v>3</v>
      </c>
      <c r="L960" s="59">
        <v>1</v>
      </c>
      <c r="M960" s="59">
        <f t="shared" si="270"/>
        <v>1</v>
      </c>
      <c r="N960" s="59">
        <f t="shared" si="271"/>
        <v>0</v>
      </c>
      <c r="O960" s="59">
        <f t="shared" si="272"/>
        <v>0</v>
      </c>
      <c r="P960" s="59">
        <f t="shared" si="273"/>
        <v>0</v>
      </c>
      <c r="Q960" s="59">
        <f t="shared" si="274"/>
        <v>0</v>
      </c>
      <c r="R960" s="59">
        <v>1</v>
      </c>
      <c r="S960" s="59">
        <v>1344</v>
      </c>
      <c r="T960" s="59">
        <v>4</v>
      </c>
      <c r="U960" s="59">
        <v>1</v>
      </c>
      <c r="V960" s="59">
        <v>86</v>
      </c>
      <c r="W960" s="59">
        <v>3</v>
      </c>
      <c r="X960" s="59">
        <v>3</v>
      </c>
      <c r="Y960" s="59">
        <v>5</v>
      </c>
      <c r="Z960" s="59">
        <f t="shared" si="275"/>
        <v>0</v>
      </c>
      <c r="AA960" s="59">
        <f>IF('Updated Dummy'!Y960=2,1,0)</f>
        <v>0</v>
      </c>
      <c r="AB960" s="59">
        <f t="shared" si="276"/>
        <v>0</v>
      </c>
      <c r="AC960" s="59">
        <f t="shared" si="277"/>
        <v>0</v>
      </c>
      <c r="AD960" s="59">
        <f t="shared" si="278"/>
        <v>1</v>
      </c>
      <c r="AE960" s="59">
        <f t="shared" si="279"/>
        <v>0</v>
      </c>
      <c r="AF960" s="59">
        <f t="shared" si="280"/>
        <v>0</v>
      </c>
      <c r="AG960" s="59">
        <f t="shared" si="281"/>
        <v>0</v>
      </c>
      <c r="AH960" s="59">
        <v>4</v>
      </c>
      <c r="AI960" s="59">
        <v>3</v>
      </c>
      <c r="AJ960" s="59">
        <f t="shared" si="282"/>
        <v>0</v>
      </c>
      <c r="AK960" s="59">
        <f t="shared" si="283"/>
        <v>0</v>
      </c>
      <c r="AL960" s="59">
        <v>8500</v>
      </c>
      <c r="AM960" s="59">
        <v>5494</v>
      </c>
      <c r="AN960" s="59">
        <v>0</v>
      </c>
      <c r="AO960" s="59">
        <v>0</v>
      </c>
      <c r="AP960" s="59">
        <v>11</v>
      </c>
      <c r="AQ960" s="59">
        <v>3</v>
      </c>
      <c r="AR960" s="59">
        <v>4</v>
      </c>
      <c r="AS960" s="59">
        <v>80</v>
      </c>
      <c r="AT960" s="59">
        <v>1</v>
      </c>
      <c r="AU960" s="59">
        <v>10</v>
      </c>
      <c r="AV960" s="59">
        <v>0</v>
      </c>
      <c r="AW960" s="59">
        <v>2</v>
      </c>
      <c r="AX960" s="59">
        <v>9</v>
      </c>
      <c r="AY960" s="59">
        <v>7</v>
      </c>
      <c r="AZ960" s="59">
        <v>1</v>
      </c>
      <c r="BA960" s="59">
        <v>6</v>
      </c>
      <c r="BB960" s="57">
        <f t="shared" si="284"/>
        <v>25500</v>
      </c>
    </row>
    <row r="961" spans="1:54" x14ac:dyDescent="0.25">
      <c r="A961" s="58">
        <v>40</v>
      </c>
      <c r="B961" s="59">
        <v>0</v>
      </c>
      <c r="C961" s="59">
        <v>1</v>
      </c>
      <c r="D961" s="59">
        <f t="shared" si="266"/>
        <v>1</v>
      </c>
      <c r="E961" s="59">
        <f t="shared" si="267"/>
        <v>0</v>
      </c>
      <c r="F961" s="59">
        <v>523</v>
      </c>
      <c r="G961" s="59">
        <v>2</v>
      </c>
      <c r="H961" s="59">
        <f t="shared" si="268"/>
        <v>0</v>
      </c>
      <c r="I961" s="59">
        <f t="shared" si="269"/>
        <v>1</v>
      </c>
      <c r="J961" s="59">
        <v>2</v>
      </c>
      <c r="K961" s="59">
        <v>3</v>
      </c>
      <c r="L961" s="59">
        <v>1</v>
      </c>
      <c r="M961" s="59">
        <f t="shared" si="270"/>
        <v>1</v>
      </c>
      <c r="N961" s="59">
        <f t="shared" si="271"/>
        <v>0</v>
      </c>
      <c r="O961" s="59">
        <f t="shared" si="272"/>
        <v>0</v>
      </c>
      <c r="P961" s="59">
        <f t="shared" si="273"/>
        <v>0</v>
      </c>
      <c r="Q961" s="59">
        <f t="shared" si="274"/>
        <v>0</v>
      </c>
      <c r="R961" s="59">
        <v>1</v>
      </c>
      <c r="S961" s="59">
        <v>1346</v>
      </c>
      <c r="T961" s="59">
        <v>3</v>
      </c>
      <c r="U961" s="59">
        <v>1</v>
      </c>
      <c r="V961" s="59">
        <v>98</v>
      </c>
      <c r="W961" s="59">
        <v>3</v>
      </c>
      <c r="X961" s="59">
        <v>2</v>
      </c>
      <c r="Y961" s="59">
        <v>2</v>
      </c>
      <c r="Z961" s="59">
        <f t="shared" si="275"/>
        <v>0</v>
      </c>
      <c r="AA961" s="59">
        <f>IF('Updated Dummy'!Y961=2,1,0)</f>
        <v>1</v>
      </c>
      <c r="AB961" s="59">
        <f t="shared" si="276"/>
        <v>0</v>
      </c>
      <c r="AC961" s="59">
        <f t="shared" si="277"/>
        <v>0</v>
      </c>
      <c r="AD961" s="59">
        <f t="shared" si="278"/>
        <v>0</v>
      </c>
      <c r="AE961" s="59">
        <f t="shared" si="279"/>
        <v>0</v>
      </c>
      <c r="AF961" s="59">
        <f t="shared" si="280"/>
        <v>0</v>
      </c>
      <c r="AG961" s="59">
        <f t="shared" si="281"/>
        <v>0</v>
      </c>
      <c r="AH961" s="59">
        <v>4</v>
      </c>
      <c r="AI961" s="59">
        <v>1</v>
      </c>
      <c r="AJ961" s="59">
        <f t="shared" si="282"/>
        <v>1</v>
      </c>
      <c r="AK961" s="59">
        <f t="shared" si="283"/>
        <v>0</v>
      </c>
      <c r="AL961" s="59">
        <v>4661</v>
      </c>
      <c r="AM961" s="59">
        <v>22455</v>
      </c>
      <c r="AN961" s="59">
        <v>1</v>
      </c>
      <c r="AO961" s="59">
        <v>0</v>
      </c>
      <c r="AP961" s="59">
        <v>13</v>
      </c>
      <c r="AQ961" s="59">
        <v>3</v>
      </c>
      <c r="AR961" s="59">
        <v>3</v>
      </c>
      <c r="AS961" s="59">
        <v>80</v>
      </c>
      <c r="AT961" s="59">
        <v>0</v>
      </c>
      <c r="AU961" s="59">
        <v>9</v>
      </c>
      <c r="AV961" s="59">
        <v>4</v>
      </c>
      <c r="AW961" s="59">
        <v>3</v>
      </c>
      <c r="AX961" s="59">
        <v>9</v>
      </c>
      <c r="AY961" s="59">
        <v>8</v>
      </c>
      <c r="AZ961" s="59">
        <v>8</v>
      </c>
      <c r="BA961" s="59">
        <v>8</v>
      </c>
      <c r="BB961" s="57">
        <f t="shared" si="284"/>
        <v>9322</v>
      </c>
    </row>
    <row r="962" spans="1:54" x14ac:dyDescent="0.25">
      <c r="A962" s="58">
        <v>41</v>
      </c>
      <c r="B962" s="59">
        <v>0</v>
      </c>
      <c r="C962" s="59">
        <v>2</v>
      </c>
      <c r="D962" s="59">
        <f t="shared" si="266"/>
        <v>0</v>
      </c>
      <c r="E962" s="59">
        <f t="shared" si="267"/>
        <v>1</v>
      </c>
      <c r="F962" s="59">
        <v>1018</v>
      </c>
      <c r="G962" s="59">
        <v>1</v>
      </c>
      <c r="H962" s="59">
        <f t="shared" si="268"/>
        <v>1</v>
      </c>
      <c r="I962" s="59">
        <f t="shared" si="269"/>
        <v>0</v>
      </c>
      <c r="J962" s="59">
        <v>1</v>
      </c>
      <c r="K962" s="59">
        <v>3</v>
      </c>
      <c r="L962" s="59">
        <v>4</v>
      </c>
      <c r="M962" s="59">
        <f t="shared" si="270"/>
        <v>0</v>
      </c>
      <c r="N962" s="59">
        <f t="shared" si="271"/>
        <v>0</v>
      </c>
      <c r="O962" s="59">
        <f t="shared" si="272"/>
        <v>0</v>
      </c>
      <c r="P962" s="59">
        <f t="shared" si="273"/>
        <v>1</v>
      </c>
      <c r="Q962" s="59">
        <f t="shared" si="274"/>
        <v>0</v>
      </c>
      <c r="R962" s="59">
        <v>1</v>
      </c>
      <c r="S962" s="59">
        <v>1349</v>
      </c>
      <c r="T962" s="59">
        <v>3</v>
      </c>
      <c r="U962" s="59">
        <v>0</v>
      </c>
      <c r="V962" s="59">
        <v>66</v>
      </c>
      <c r="W962" s="59">
        <v>3</v>
      </c>
      <c r="X962" s="59">
        <v>2</v>
      </c>
      <c r="Y962" s="59">
        <v>1</v>
      </c>
      <c r="Z962" s="59">
        <f t="shared" si="275"/>
        <v>1</v>
      </c>
      <c r="AA962" s="59">
        <f>IF('Updated Dummy'!Y962=2,1,0)</f>
        <v>0</v>
      </c>
      <c r="AB962" s="59">
        <f t="shared" si="276"/>
        <v>0</v>
      </c>
      <c r="AC962" s="59">
        <f t="shared" si="277"/>
        <v>0</v>
      </c>
      <c r="AD962" s="59">
        <f t="shared" si="278"/>
        <v>0</v>
      </c>
      <c r="AE962" s="59">
        <f t="shared" si="279"/>
        <v>0</v>
      </c>
      <c r="AF962" s="59">
        <f t="shared" si="280"/>
        <v>0</v>
      </c>
      <c r="AG962" s="59">
        <f t="shared" si="281"/>
        <v>0</v>
      </c>
      <c r="AH962" s="59">
        <v>1</v>
      </c>
      <c r="AI962" s="59">
        <v>3</v>
      </c>
      <c r="AJ962" s="59">
        <f t="shared" si="282"/>
        <v>0</v>
      </c>
      <c r="AK962" s="59">
        <f t="shared" si="283"/>
        <v>0</v>
      </c>
      <c r="AL962" s="59">
        <v>4103</v>
      </c>
      <c r="AM962" s="59">
        <v>4297</v>
      </c>
      <c r="AN962" s="59">
        <v>0</v>
      </c>
      <c r="AO962" s="59">
        <v>0</v>
      </c>
      <c r="AP962" s="59">
        <v>17</v>
      </c>
      <c r="AQ962" s="59">
        <v>3</v>
      </c>
      <c r="AR962" s="59">
        <v>4</v>
      </c>
      <c r="AS962" s="59">
        <v>80</v>
      </c>
      <c r="AT962" s="59">
        <v>1</v>
      </c>
      <c r="AU962" s="59">
        <v>10</v>
      </c>
      <c r="AV962" s="59">
        <v>2</v>
      </c>
      <c r="AW962" s="59">
        <v>3</v>
      </c>
      <c r="AX962" s="59">
        <v>9</v>
      </c>
      <c r="AY962" s="59">
        <v>3</v>
      </c>
      <c r="AZ962" s="59">
        <v>1</v>
      </c>
      <c r="BA962" s="59">
        <v>7</v>
      </c>
      <c r="BB962" s="57">
        <f t="shared" si="284"/>
        <v>8206</v>
      </c>
    </row>
    <row r="963" spans="1:54" x14ac:dyDescent="0.25">
      <c r="A963" s="58">
        <v>35</v>
      </c>
      <c r="B963" s="59">
        <v>0</v>
      </c>
      <c r="C963" s="59">
        <v>2</v>
      </c>
      <c r="D963" s="59">
        <f t="shared" ref="D963:D1026" si="285">IF(C963=1,1,0)</f>
        <v>0</v>
      </c>
      <c r="E963" s="59">
        <f t="shared" ref="E963:E1026" si="286">IF(C963=2,1,0)</f>
        <v>1</v>
      </c>
      <c r="F963" s="59">
        <v>482</v>
      </c>
      <c r="G963" s="59">
        <v>2</v>
      </c>
      <c r="H963" s="59">
        <f t="shared" ref="H963:H1026" si="287">IF(G963=1,1,0)</f>
        <v>0</v>
      </c>
      <c r="I963" s="59">
        <f t="shared" ref="I963:I1026" si="288">IF(G963=2,1,0)</f>
        <v>1</v>
      </c>
      <c r="J963" s="59">
        <v>4</v>
      </c>
      <c r="K963" s="59">
        <v>4</v>
      </c>
      <c r="L963" s="59">
        <v>1</v>
      </c>
      <c r="M963" s="59">
        <f t="shared" ref="M963:M1026" si="289">IF(L963=1,1,0)</f>
        <v>1</v>
      </c>
      <c r="N963" s="59">
        <f t="shared" ref="N963:N1026" si="290">IF(L963=2,1,0)</f>
        <v>0</v>
      </c>
      <c r="O963" s="59">
        <f t="shared" ref="O963:O1026" si="291">IF(L963=3,1,0)</f>
        <v>0</v>
      </c>
      <c r="P963" s="59">
        <f t="shared" ref="P963:P1026" si="292">IF(L963=4,1,0)</f>
        <v>0</v>
      </c>
      <c r="Q963" s="59">
        <f t="shared" ref="Q963:Q1026" si="293">IF(L963=5,1,0)</f>
        <v>0</v>
      </c>
      <c r="R963" s="59">
        <v>1</v>
      </c>
      <c r="S963" s="59">
        <v>1350</v>
      </c>
      <c r="T963" s="59">
        <v>3</v>
      </c>
      <c r="U963" s="59">
        <v>1</v>
      </c>
      <c r="V963" s="59">
        <v>87</v>
      </c>
      <c r="W963" s="59">
        <v>3</v>
      </c>
      <c r="X963" s="59">
        <v>2</v>
      </c>
      <c r="Y963" s="59">
        <v>2</v>
      </c>
      <c r="Z963" s="59">
        <f t="shared" ref="Z963:Z1026" si="294">IF(Y963=1,1,0)</f>
        <v>0</v>
      </c>
      <c r="AA963" s="59">
        <f>IF('Updated Dummy'!Y963=2,1,0)</f>
        <v>1</v>
      </c>
      <c r="AB963" s="59">
        <f t="shared" ref="AB963:AB1026" si="295">IF(Y963=3,1,0)</f>
        <v>0</v>
      </c>
      <c r="AC963" s="59">
        <f t="shared" ref="AC963:AC1026" si="296">IF(Y963=4,1,0)</f>
        <v>0</v>
      </c>
      <c r="AD963" s="59">
        <f t="shared" ref="AD963:AD1026" si="297">IF(Y963=5,1,0)</f>
        <v>0</v>
      </c>
      <c r="AE963" s="59">
        <f t="shared" ref="AE963:AE1026" si="298">IF(Y963=6,1,0)</f>
        <v>0</v>
      </c>
      <c r="AF963" s="59">
        <f t="shared" ref="AF963:AF1026" si="299">IF(Y963=7,1,0)</f>
        <v>0</v>
      </c>
      <c r="AG963" s="59">
        <f t="shared" ref="AG963:AG1026" si="300">IF(Y963=8,1,0)</f>
        <v>0</v>
      </c>
      <c r="AH963" s="59">
        <v>3</v>
      </c>
      <c r="AI963" s="59">
        <v>1</v>
      </c>
      <c r="AJ963" s="59">
        <f t="shared" ref="AJ963:AJ1026" si="301">IF(AI963=1,1,0)</f>
        <v>1</v>
      </c>
      <c r="AK963" s="59">
        <f t="shared" ref="AK963:AK1026" si="302">IF(AI963=2,1,0)</f>
        <v>0</v>
      </c>
      <c r="AL963" s="59">
        <v>4249</v>
      </c>
      <c r="AM963" s="59">
        <v>2690</v>
      </c>
      <c r="AN963" s="59">
        <v>1</v>
      </c>
      <c r="AO963" s="59">
        <v>1</v>
      </c>
      <c r="AP963" s="59">
        <v>11</v>
      </c>
      <c r="AQ963" s="59">
        <v>3</v>
      </c>
      <c r="AR963" s="59">
        <v>2</v>
      </c>
      <c r="AS963" s="59">
        <v>80</v>
      </c>
      <c r="AT963" s="59">
        <v>0</v>
      </c>
      <c r="AU963" s="59">
        <v>9</v>
      </c>
      <c r="AV963" s="59">
        <v>3</v>
      </c>
      <c r="AW963" s="59">
        <v>3</v>
      </c>
      <c r="AX963" s="59">
        <v>9</v>
      </c>
      <c r="AY963" s="59">
        <v>6</v>
      </c>
      <c r="AZ963" s="59">
        <v>1</v>
      </c>
      <c r="BA963" s="59">
        <v>1</v>
      </c>
      <c r="BB963" s="57">
        <f t="shared" ref="BB963:BB1026" si="303">X963*AL963</f>
        <v>8498</v>
      </c>
    </row>
    <row r="964" spans="1:54" x14ac:dyDescent="0.25">
      <c r="A964" s="58">
        <v>51</v>
      </c>
      <c r="B964" s="59">
        <v>0</v>
      </c>
      <c r="C964" s="59">
        <v>1</v>
      </c>
      <c r="D964" s="59">
        <f t="shared" si="285"/>
        <v>1</v>
      </c>
      <c r="E964" s="59">
        <f t="shared" si="286"/>
        <v>0</v>
      </c>
      <c r="F964" s="59">
        <v>770</v>
      </c>
      <c r="G964" s="59">
        <v>3</v>
      </c>
      <c r="H964" s="59">
        <f t="shared" si="287"/>
        <v>0</v>
      </c>
      <c r="I964" s="59">
        <f t="shared" si="288"/>
        <v>0</v>
      </c>
      <c r="J964" s="59">
        <v>5</v>
      </c>
      <c r="K964" s="59">
        <v>3</v>
      </c>
      <c r="L964" s="59">
        <v>1</v>
      </c>
      <c r="M964" s="59">
        <f t="shared" si="289"/>
        <v>1</v>
      </c>
      <c r="N964" s="59">
        <f t="shared" si="290"/>
        <v>0</v>
      </c>
      <c r="O964" s="59">
        <f t="shared" si="291"/>
        <v>0</v>
      </c>
      <c r="P964" s="59">
        <f t="shared" si="292"/>
        <v>0</v>
      </c>
      <c r="Q964" s="59">
        <f t="shared" si="293"/>
        <v>0</v>
      </c>
      <c r="R964" s="59">
        <v>1</v>
      </c>
      <c r="S964" s="59">
        <v>1352</v>
      </c>
      <c r="T964" s="59">
        <v>3</v>
      </c>
      <c r="U964" s="59">
        <v>1</v>
      </c>
      <c r="V964" s="59">
        <v>84</v>
      </c>
      <c r="W964" s="59">
        <v>3</v>
      </c>
      <c r="X964" s="59">
        <v>4</v>
      </c>
      <c r="Y964" s="59">
        <v>6</v>
      </c>
      <c r="Z964" s="59">
        <f t="shared" si="294"/>
        <v>0</v>
      </c>
      <c r="AA964" s="59">
        <f>IF('Updated Dummy'!Y964=2,1,0)</f>
        <v>0</v>
      </c>
      <c r="AB964" s="59">
        <f t="shared" si="295"/>
        <v>0</v>
      </c>
      <c r="AC964" s="59">
        <f t="shared" si="296"/>
        <v>0</v>
      </c>
      <c r="AD964" s="59">
        <f t="shared" si="297"/>
        <v>0</v>
      </c>
      <c r="AE964" s="59">
        <f t="shared" si="298"/>
        <v>1</v>
      </c>
      <c r="AF964" s="59">
        <f t="shared" si="299"/>
        <v>0</v>
      </c>
      <c r="AG964" s="59">
        <f t="shared" si="300"/>
        <v>0</v>
      </c>
      <c r="AH964" s="59">
        <v>2</v>
      </c>
      <c r="AI964" s="59">
        <v>3</v>
      </c>
      <c r="AJ964" s="59">
        <f t="shared" si="301"/>
        <v>0</v>
      </c>
      <c r="AK964" s="59">
        <f t="shared" si="302"/>
        <v>0</v>
      </c>
      <c r="AL964" s="59">
        <v>14026</v>
      </c>
      <c r="AM964" s="59">
        <v>17588</v>
      </c>
      <c r="AN964" s="59">
        <v>1</v>
      </c>
      <c r="AO964" s="59">
        <v>1</v>
      </c>
      <c r="AP964" s="59">
        <v>11</v>
      </c>
      <c r="AQ964" s="59">
        <v>3</v>
      </c>
      <c r="AR964" s="59">
        <v>2</v>
      </c>
      <c r="AS964" s="59">
        <v>80</v>
      </c>
      <c r="AT964" s="59">
        <v>1</v>
      </c>
      <c r="AU964" s="59">
        <v>33</v>
      </c>
      <c r="AV964" s="59">
        <v>2</v>
      </c>
      <c r="AW964" s="59">
        <v>3</v>
      </c>
      <c r="AX964" s="59">
        <v>33</v>
      </c>
      <c r="AY964" s="59">
        <v>9</v>
      </c>
      <c r="AZ964" s="59">
        <v>0</v>
      </c>
      <c r="BA964" s="59">
        <v>10</v>
      </c>
      <c r="BB964" s="57">
        <f t="shared" si="303"/>
        <v>56104</v>
      </c>
    </row>
    <row r="965" spans="1:54" x14ac:dyDescent="0.25">
      <c r="A965" s="58">
        <v>38</v>
      </c>
      <c r="B965" s="59">
        <v>0</v>
      </c>
      <c r="C965" s="59">
        <v>1</v>
      </c>
      <c r="D965" s="59">
        <f t="shared" si="285"/>
        <v>1</v>
      </c>
      <c r="E965" s="59">
        <f t="shared" si="286"/>
        <v>0</v>
      </c>
      <c r="F965" s="59">
        <v>1009</v>
      </c>
      <c r="G965" s="59">
        <v>1</v>
      </c>
      <c r="H965" s="59">
        <f t="shared" si="287"/>
        <v>1</v>
      </c>
      <c r="I965" s="59">
        <f t="shared" si="288"/>
        <v>0</v>
      </c>
      <c r="J965" s="59">
        <v>2</v>
      </c>
      <c r="K965" s="59">
        <v>2</v>
      </c>
      <c r="L965" s="59">
        <v>1</v>
      </c>
      <c r="M965" s="59">
        <f t="shared" si="289"/>
        <v>1</v>
      </c>
      <c r="N965" s="59">
        <f t="shared" si="290"/>
        <v>0</v>
      </c>
      <c r="O965" s="59">
        <f t="shared" si="291"/>
        <v>0</v>
      </c>
      <c r="P965" s="59">
        <f t="shared" si="292"/>
        <v>0</v>
      </c>
      <c r="Q965" s="59">
        <f t="shared" si="293"/>
        <v>0</v>
      </c>
      <c r="R965" s="59">
        <v>1</v>
      </c>
      <c r="S965" s="59">
        <v>1355</v>
      </c>
      <c r="T965" s="59">
        <v>2</v>
      </c>
      <c r="U965" s="59">
        <v>0</v>
      </c>
      <c r="V965" s="59">
        <v>31</v>
      </c>
      <c r="W965" s="59">
        <v>3</v>
      </c>
      <c r="X965" s="59">
        <v>2</v>
      </c>
      <c r="Y965" s="59">
        <v>1</v>
      </c>
      <c r="Z965" s="59">
        <f t="shared" si="294"/>
        <v>1</v>
      </c>
      <c r="AA965" s="59">
        <f>IF('Updated Dummy'!Y965=2,1,0)</f>
        <v>0</v>
      </c>
      <c r="AB965" s="59">
        <f t="shared" si="295"/>
        <v>0</v>
      </c>
      <c r="AC965" s="59">
        <f t="shared" si="296"/>
        <v>0</v>
      </c>
      <c r="AD965" s="59">
        <f t="shared" si="297"/>
        <v>0</v>
      </c>
      <c r="AE965" s="59">
        <f t="shared" si="298"/>
        <v>0</v>
      </c>
      <c r="AF965" s="59">
        <f t="shared" si="299"/>
        <v>0</v>
      </c>
      <c r="AG965" s="59">
        <f t="shared" si="300"/>
        <v>0</v>
      </c>
      <c r="AH965" s="59">
        <v>1</v>
      </c>
      <c r="AI965" s="59">
        <v>3</v>
      </c>
      <c r="AJ965" s="59">
        <f t="shared" si="301"/>
        <v>0</v>
      </c>
      <c r="AK965" s="59">
        <f t="shared" si="302"/>
        <v>0</v>
      </c>
      <c r="AL965" s="59">
        <v>6893</v>
      </c>
      <c r="AM965" s="59">
        <v>19461</v>
      </c>
      <c r="AN965" s="59">
        <v>3</v>
      </c>
      <c r="AO965" s="59">
        <v>0</v>
      </c>
      <c r="AP965" s="59">
        <v>15</v>
      </c>
      <c r="AQ965" s="59">
        <v>3</v>
      </c>
      <c r="AR965" s="59">
        <v>4</v>
      </c>
      <c r="AS965" s="59">
        <v>80</v>
      </c>
      <c r="AT965" s="59">
        <v>1</v>
      </c>
      <c r="AU965" s="59">
        <v>11</v>
      </c>
      <c r="AV965" s="59">
        <v>3</v>
      </c>
      <c r="AW965" s="59">
        <v>3</v>
      </c>
      <c r="AX965" s="59">
        <v>7</v>
      </c>
      <c r="AY965" s="59">
        <v>7</v>
      </c>
      <c r="AZ965" s="59">
        <v>1</v>
      </c>
      <c r="BA965" s="59">
        <v>7</v>
      </c>
      <c r="BB965" s="57">
        <f t="shared" si="303"/>
        <v>13786</v>
      </c>
    </row>
    <row r="966" spans="1:54" x14ac:dyDescent="0.25">
      <c r="A966" s="58">
        <v>34</v>
      </c>
      <c r="B966" s="59">
        <v>0</v>
      </c>
      <c r="C966" s="59">
        <v>1</v>
      </c>
      <c r="D966" s="59">
        <f t="shared" si="285"/>
        <v>1</v>
      </c>
      <c r="E966" s="59">
        <f t="shared" si="286"/>
        <v>0</v>
      </c>
      <c r="F966" s="59">
        <v>507</v>
      </c>
      <c r="G966" s="59">
        <v>1</v>
      </c>
      <c r="H966" s="59">
        <f t="shared" si="287"/>
        <v>1</v>
      </c>
      <c r="I966" s="59">
        <f t="shared" si="288"/>
        <v>0</v>
      </c>
      <c r="J966" s="59">
        <v>15</v>
      </c>
      <c r="K966" s="59">
        <v>2</v>
      </c>
      <c r="L966" s="59">
        <v>3</v>
      </c>
      <c r="M966" s="59">
        <f t="shared" si="289"/>
        <v>0</v>
      </c>
      <c r="N966" s="59">
        <f t="shared" si="290"/>
        <v>0</v>
      </c>
      <c r="O966" s="59">
        <f t="shared" si="291"/>
        <v>1</v>
      </c>
      <c r="P966" s="59">
        <f t="shared" si="292"/>
        <v>0</v>
      </c>
      <c r="Q966" s="59">
        <f t="shared" si="293"/>
        <v>0</v>
      </c>
      <c r="R966" s="59">
        <v>1</v>
      </c>
      <c r="S966" s="59">
        <v>1356</v>
      </c>
      <c r="T966" s="59">
        <v>3</v>
      </c>
      <c r="U966" s="59">
        <v>0</v>
      </c>
      <c r="V966" s="59">
        <v>66</v>
      </c>
      <c r="W966" s="59">
        <v>3</v>
      </c>
      <c r="X966" s="59">
        <v>2</v>
      </c>
      <c r="Y966" s="59">
        <v>1</v>
      </c>
      <c r="Z966" s="59">
        <f t="shared" si="294"/>
        <v>1</v>
      </c>
      <c r="AA966" s="59">
        <f>IF('Updated Dummy'!Y966=2,1,0)</f>
        <v>0</v>
      </c>
      <c r="AB966" s="59">
        <f t="shared" si="295"/>
        <v>0</v>
      </c>
      <c r="AC966" s="59">
        <f t="shared" si="296"/>
        <v>0</v>
      </c>
      <c r="AD966" s="59">
        <f t="shared" si="297"/>
        <v>0</v>
      </c>
      <c r="AE966" s="59">
        <f t="shared" si="298"/>
        <v>0</v>
      </c>
      <c r="AF966" s="59">
        <f t="shared" si="299"/>
        <v>0</v>
      </c>
      <c r="AG966" s="59">
        <f t="shared" si="300"/>
        <v>0</v>
      </c>
      <c r="AH966" s="59">
        <v>1</v>
      </c>
      <c r="AI966" s="59">
        <v>1</v>
      </c>
      <c r="AJ966" s="59">
        <f t="shared" si="301"/>
        <v>1</v>
      </c>
      <c r="AK966" s="59">
        <f t="shared" si="302"/>
        <v>0</v>
      </c>
      <c r="AL966" s="59">
        <v>6125</v>
      </c>
      <c r="AM966" s="59">
        <v>23553</v>
      </c>
      <c r="AN966" s="59">
        <v>1</v>
      </c>
      <c r="AO966" s="59">
        <v>0</v>
      </c>
      <c r="AP966" s="59">
        <v>12</v>
      </c>
      <c r="AQ966" s="59">
        <v>3</v>
      </c>
      <c r="AR966" s="59">
        <v>4</v>
      </c>
      <c r="AS966" s="59">
        <v>80</v>
      </c>
      <c r="AT966" s="59">
        <v>0</v>
      </c>
      <c r="AU966" s="59">
        <v>10</v>
      </c>
      <c r="AV966" s="59">
        <v>6</v>
      </c>
      <c r="AW966" s="59">
        <v>4</v>
      </c>
      <c r="AX966" s="59">
        <v>10</v>
      </c>
      <c r="AY966" s="59">
        <v>8</v>
      </c>
      <c r="AZ966" s="59">
        <v>9</v>
      </c>
      <c r="BA966" s="59">
        <v>6</v>
      </c>
      <c r="BB966" s="57">
        <f t="shared" si="303"/>
        <v>12250</v>
      </c>
    </row>
    <row r="967" spans="1:54" x14ac:dyDescent="0.25">
      <c r="A967" s="58">
        <v>25</v>
      </c>
      <c r="B967" s="59">
        <v>0</v>
      </c>
      <c r="C967" s="59">
        <v>1</v>
      </c>
      <c r="D967" s="59">
        <f t="shared" si="285"/>
        <v>1</v>
      </c>
      <c r="E967" s="59">
        <f t="shared" si="286"/>
        <v>0</v>
      </c>
      <c r="F967" s="59">
        <v>882</v>
      </c>
      <c r="G967" s="59">
        <v>2</v>
      </c>
      <c r="H967" s="59">
        <f t="shared" si="287"/>
        <v>0</v>
      </c>
      <c r="I967" s="59">
        <f t="shared" si="288"/>
        <v>1</v>
      </c>
      <c r="J967" s="59">
        <v>19</v>
      </c>
      <c r="K967" s="59">
        <v>1</v>
      </c>
      <c r="L967" s="59">
        <v>3</v>
      </c>
      <c r="M967" s="59">
        <f t="shared" si="289"/>
        <v>0</v>
      </c>
      <c r="N967" s="59">
        <f t="shared" si="290"/>
        <v>0</v>
      </c>
      <c r="O967" s="59">
        <f t="shared" si="291"/>
        <v>1</v>
      </c>
      <c r="P967" s="59">
        <f t="shared" si="292"/>
        <v>0</v>
      </c>
      <c r="Q967" s="59">
        <f t="shared" si="293"/>
        <v>0</v>
      </c>
      <c r="R967" s="59">
        <v>1</v>
      </c>
      <c r="S967" s="59">
        <v>1358</v>
      </c>
      <c r="T967" s="59">
        <v>4</v>
      </c>
      <c r="U967" s="59">
        <v>1</v>
      </c>
      <c r="V967" s="59">
        <v>67</v>
      </c>
      <c r="W967" s="59">
        <v>3</v>
      </c>
      <c r="X967" s="59">
        <v>1</v>
      </c>
      <c r="Y967" s="59">
        <v>3</v>
      </c>
      <c r="Z967" s="59">
        <f t="shared" si="294"/>
        <v>0</v>
      </c>
      <c r="AA967" s="59">
        <f>IF('Updated Dummy'!Y967=2,1,0)</f>
        <v>0</v>
      </c>
      <c r="AB967" s="59">
        <f t="shared" si="295"/>
        <v>1</v>
      </c>
      <c r="AC967" s="59">
        <f t="shared" si="296"/>
        <v>0</v>
      </c>
      <c r="AD967" s="59">
        <f t="shared" si="297"/>
        <v>0</v>
      </c>
      <c r="AE967" s="59">
        <f t="shared" si="298"/>
        <v>0</v>
      </c>
      <c r="AF967" s="59">
        <f t="shared" si="299"/>
        <v>0</v>
      </c>
      <c r="AG967" s="59">
        <f t="shared" si="300"/>
        <v>0</v>
      </c>
      <c r="AH967" s="59">
        <v>4</v>
      </c>
      <c r="AI967" s="59">
        <v>2</v>
      </c>
      <c r="AJ967" s="59">
        <f t="shared" si="301"/>
        <v>0</v>
      </c>
      <c r="AK967" s="59">
        <f t="shared" si="302"/>
        <v>1</v>
      </c>
      <c r="AL967" s="59">
        <v>3669</v>
      </c>
      <c r="AM967" s="59">
        <v>9075</v>
      </c>
      <c r="AN967" s="59">
        <v>3</v>
      </c>
      <c r="AO967" s="59">
        <v>0</v>
      </c>
      <c r="AP967" s="59">
        <v>11</v>
      </c>
      <c r="AQ967" s="59">
        <v>3</v>
      </c>
      <c r="AR967" s="59">
        <v>3</v>
      </c>
      <c r="AS967" s="59">
        <v>80</v>
      </c>
      <c r="AT967" s="59">
        <v>3</v>
      </c>
      <c r="AU967" s="59">
        <v>7</v>
      </c>
      <c r="AV967" s="59">
        <v>6</v>
      </c>
      <c r="AW967" s="59">
        <v>2</v>
      </c>
      <c r="AX967" s="59">
        <v>3</v>
      </c>
      <c r="AY967" s="59">
        <v>2</v>
      </c>
      <c r="AZ967" s="59">
        <v>1</v>
      </c>
      <c r="BA967" s="59">
        <v>2</v>
      </c>
      <c r="BB967" s="57">
        <f t="shared" si="303"/>
        <v>3669</v>
      </c>
    </row>
    <row r="968" spans="1:54" x14ac:dyDescent="0.25">
      <c r="A968" s="58">
        <v>58</v>
      </c>
      <c r="B968" s="59">
        <v>1</v>
      </c>
      <c r="C968" s="59">
        <v>1</v>
      </c>
      <c r="D968" s="59">
        <f t="shared" si="285"/>
        <v>1</v>
      </c>
      <c r="E968" s="59">
        <f t="shared" si="286"/>
        <v>0</v>
      </c>
      <c r="F968" s="59">
        <v>601</v>
      </c>
      <c r="G968" s="59">
        <v>2</v>
      </c>
      <c r="H968" s="59">
        <f t="shared" si="287"/>
        <v>0</v>
      </c>
      <c r="I968" s="59">
        <f t="shared" si="288"/>
        <v>1</v>
      </c>
      <c r="J968" s="59">
        <v>7</v>
      </c>
      <c r="K968" s="59">
        <v>4</v>
      </c>
      <c r="L968" s="59">
        <v>3</v>
      </c>
      <c r="M968" s="59">
        <f t="shared" si="289"/>
        <v>0</v>
      </c>
      <c r="N968" s="59">
        <f t="shared" si="290"/>
        <v>0</v>
      </c>
      <c r="O968" s="59">
        <f t="shared" si="291"/>
        <v>1</v>
      </c>
      <c r="P968" s="59">
        <f t="shared" si="292"/>
        <v>0</v>
      </c>
      <c r="Q968" s="59">
        <f t="shared" si="293"/>
        <v>0</v>
      </c>
      <c r="R968" s="59">
        <v>1</v>
      </c>
      <c r="S968" s="59">
        <v>1360</v>
      </c>
      <c r="T968" s="59">
        <v>3</v>
      </c>
      <c r="U968" s="59">
        <v>0</v>
      </c>
      <c r="V968" s="59">
        <v>53</v>
      </c>
      <c r="W968" s="59">
        <v>2</v>
      </c>
      <c r="X968" s="59">
        <v>3</v>
      </c>
      <c r="Y968" s="59">
        <v>4</v>
      </c>
      <c r="Z968" s="59">
        <f t="shared" si="294"/>
        <v>0</v>
      </c>
      <c r="AA968" s="59">
        <f>IF('Updated Dummy'!Y968=2,1,0)</f>
        <v>0</v>
      </c>
      <c r="AB968" s="59">
        <f t="shared" si="295"/>
        <v>0</v>
      </c>
      <c r="AC968" s="59">
        <f t="shared" si="296"/>
        <v>1</v>
      </c>
      <c r="AD968" s="59">
        <f t="shared" si="297"/>
        <v>0</v>
      </c>
      <c r="AE968" s="59">
        <f t="shared" si="298"/>
        <v>0</v>
      </c>
      <c r="AF968" s="59">
        <f t="shared" si="299"/>
        <v>0</v>
      </c>
      <c r="AG968" s="59">
        <f t="shared" si="300"/>
        <v>0</v>
      </c>
      <c r="AH968" s="59">
        <v>1</v>
      </c>
      <c r="AI968" s="59">
        <v>2</v>
      </c>
      <c r="AJ968" s="59">
        <f t="shared" si="301"/>
        <v>0</v>
      </c>
      <c r="AK968" s="59">
        <f t="shared" si="302"/>
        <v>1</v>
      </c>
      <c r="AL968" s="59">
        <v>10008</v>
      </c>
      <c r="AM968" s="59">
        <v>12023</v>
      </c>
      <c r="AN968" s="59">
        <v>7</v>
      </c>
      <c r="AO968" s="59">
        <v>1</v>
      </c>
      <c r="AP968" s="59">
        <v>14</v>
      </c>
      <c r="AQ968" s="59">
        <v>3</v>
      </c>
      <c r="AR968" s="59">
        <v>4</v>
      </c>
      <c r="AS968" s="59">
        <v>80</v>
      </c>
      <c r="AT968" s="59">
        <v>0</v>
      </c>
      <c r="AU968" s="59">
        <v>31</v>
      </c>
      <c r="AV968" s="59">
        <v>0</v>
      </c>
      <c r="AW968" s="59">
        <v>2</v>
      </c>
      <c r="AX968" s="59">
        <v>10</v>
      </c>
      <c r="AY968" s="59">
        <v>9</v>
      </c>
      <c r="AZ968" s="59">
        <v>5</v>
      </c>
      <c r="BA968" s="59">
        <v>9</v>
      </c>
      <c r="BB968" s="57">
        <f t="shared" si="303"/>
        <v>30024</v>
      </c>
    </row>
    <row r="969" spans="1:54" x14ac:dyDescent="0.25">
      <c r="A969" s="58">
        <v>40</v>
      </c>
      <c r="B969" s="59">
        <v>0</v>
      </c>
      <c r="C969" s="59">
        <v>1</v>
      </c>
      <c r="D969" s="59">
        <f t="shared" si="285"/>
        <v>1</v>
      </c>
      <c r="E969" s="59">
        <f t="shared" si="286"/>
        <v>0</v>
      </c>
      <c r="F969" s="59">
        <v>329</v>
      </c>
      <c r="G969" s="59">
        <v>2</v>
      </c>
      <c r="H969" s="59">
        <f t="shared" si="287"/>
        <v>0</v>
      </c>
      <c r="I969" s="59">
        <f t="shared" si="288"/>
        <v>1</v>
      </c>
      <c r="J969" s="59">
        <v>1</v>
      </c>
      <c r="K969" s="59">
        <v>4</v>
      </c>
      <c r="L969" s="59">
        <v>1</v>
      </c>
      <c r="M969" s="59">
        <f t="shared" si="289"/>
        <v>1</v>
      </c>
      <c r="N969" s="59">
        <f t="shared" si="290"/>
        <v>0</v>
      </c>
      <c r="O969" s="59">
        <f t="shared" si="291"/>
        <v>0</v>
      </c>
      <c r="P969" s="59">
        <f t="shared" si="292"/>
        <v>0</v>
      </c>
      <c r="Q969" s="59">
        <f t="shared" si="293"/>
        <v>0</v>
      </c>
      <c r="R969" s="59">
        <v>1</v>
      </c>
      <c r="S969" s="59">
        <v>1361</v>
      </c>
      <c r="T969" s="59">
        <v>2</v>
      </c>
      <c r="U969" s="59">
        <v>1</v>
      </c>
      <c r="V969" s="59">
        <v>88</v>
      </c>
      <c r="W969" s="59">
        <v>3</v>
      </c>
      <c r="X969" s="59">
        <v>1</v>
      </c>
      <c r="Y969" s="59">
        <v>3</v>
      </c>
      <c r="Z969" s="59">
        <f t="shared" si="294"/>
        <v>0</v>
      </c>
      <c r="AA969" s="59">
        <f>IF('Updated Dummy'!Y969=2,1,0)</f>
        <v>0</v>
      </c>
      <c r="AB969" s="59">
        <f t="shared" si="295"/>
        <v>1</v>
      </c>
      <c r="AC969" s="59">
        <f t="shared" si="296"/>
        <v>0</v>
      </c>
      <c r="AD969" s="59">
        <f t="shared" si="297"/>
        <v>0</v>
      </c>
      <c r="AE969" s="59">
        <f t="shared" si="298"/>
        <v>0</v>
      </c>
      <c r="AF969" s="59">
        <f t="shared" si="299"/>
        <v>0</v>
      </c>
      <c r="AG969" s="59">
        <f t="shared" si="300"/>
        <v>0</v>
      </c>
      <c r="AH969" s="59">
        <v>2</v>
      </c>
      <c r="AI969" s="59">
        <v>2</v>
      </c>
      <c r="AJ969" s="59">
        <f t="shared" si="301"/>
        <v>0</v>
      </c>
      <c r="AK969" s="59">
        <f t="shared" si="302"/>
        <v>1</v>
      </c>
      <c r="AL969" s="59">
        <v>2387</v>
      </c>
      <c r="AM969" s="59">
        <v>6762</v>
      </c>
      <c r="AN969" s="59">
        <v>3</v>
      </c>
      <c r="AO969" s="59">
        <v>0</v>
      </c>
      <c r="AP969" s="59">
        <v>22</v>
      </c>
      <c r="AQ969" s="59">
        <v>4</v>
      </c>
      <c r="AR969" s="59">
        <v>3</v>
      </c>
      <c r="AS969" s="59">
        <v>80</v>
      </c>
      <c r="AT969" s="59">
        <v>1</v>
      </c>
      <c r="AU969" s="59">
        <v>7</v>
      </c>
      <c r="AV969" s="59">
        <v>3</v>
      </c>
      <c r="AW969" s="59">
        <v>3</v>
      </c>
      <c r="AX969" s="59">
        <v>4</v>
      </c>
      <c r="AY969" s="59">
        <v>2</v>
      </c>
      <c r="AZ969" s="59">
        <v>0</v>
      </c>
      <c r="BA969" s="59">
        <v>3</v>
      </c>
      <c r="BB969" s="57">
        <f t="shared" si="303"/>
        <v>2387</v>
      </c>
    </row>
    <row r="970" spans="1:54" x14ac:dyDescent="0.25">
      <c r="A970" s="58">
        <v>36</v>
      </c>
      <c r="B970" s="59">
        <v>0</v>
      </c>
      <c r="C970" s="59">
        <v>2</v>
      </c>
      <c r="D970" s="59">
        <f t="shared" si="285"/>
        <v>0</v>
      </c>
      <c r="E970" s="59">
        <f t="shared" si="286"/>
        <v>1</v>
      </c>
      <c r="F970" s="59">
        <v>607</v>
      </c>
      <c r="G970" s="59">
        <v>1</v>
      </c>
      <c r="H970" s="59">
        <f t="shared" si="287"/>
        <v>1</v>
      </c>
      <c r="I970" s="59">
        <f t="shared" si="288"/>
        <v>0</v>
      </c>
      <c r="J970" s="59">
        <v>7</v>
      </c>
      <c r="K970" s="59">
        <v>3</v>
      </c>
      <c r="L970" s="59">
        <v>4</v>
      </c>
      <c r="M970" s="59">
        <f t="shared" si="289"/>
        <v>0</v>
      </c>
      <c r="N970" s="59">
        <f t="shared" si="290"/>
        <v>0</v>
      </c>
      <c r="O970" s="59">
        <f t="shared" si="291"/>
        <v>0</v>
      </c>
      <c r="P970" s="59">
        <f t="shared" si="292"/>
        <v>1</v>
      </c>
      <c r="Q970" s="59">
        <f t="shared" si="293"/>
        <v>0</v>
      </c>
      <c r="R970" s="59">
        <v>1</v>
      </c>
      <c r="S970" s="59">
        <v>1362</v>
      </c>
      <c r="T970" s="59">
        <v>1</v>
      </c>
      <c r="U970" s="59">
        <v>0</v>
      </c>
      <c r="V970" s="59">
        <v>83</v>
      </c>
      <c r="W970" s="59">
        <v>4</v>
      </c>
      <c r="X970" s="59">
        <v>2</v>
      </c>
      <c r="Y970" s="59">
        <v>1</v>
      </c>
      <c r="Z970" s="59">
        <f t="shared" si="294"/>
        <v>1</v>
      </c>
      <c r="AA970" s="59">
        <f>IF('Updated Dummy'!Y970=2,1,0)</f>
        <v>0</v>
      </c>
      <c r="AB970" s="59">
        <f t="shared" si="295"/>
        <v>0</v>
      </c>
      <c r="AC970" s="59">
        <f t="shared" si="296"/>
        <v>0</v>
      </c>
      <c r="AD970" s="59">
        <f t="shared" si="297"/>
        <v>0</v>
      </c>
      <c r="AE970" s="59">
        <f t="shared" si="298"/>
        <v>0</v>
      </c>
      <c r="AF970" s="59">
        <f t="shared" si="299"/>
        <v>0</v>
      </c>
      <c r="AG970" s="59">
        <f t="shared" si="300"/>
        <v>0</v>
      </c>
      <c r="AH970" s="59">
        <v>1</v>
      </c>
      <c r="AI970" s="59">
        <v>2</v>
      </c>
      <c r="AJ970" s="59">
        <f t="shared" si="301"/>
        <v>0</v>
      </c>
      <c r="AK970" s="59">
        <f t="shared" si="302"/>
        <v>1</v>
      </c>
      <c r="AL970" s="59">
        <v>4639</v>
      </c>
      <c r="AM970" s="59">
        <v>2261</v>
      </c>
      <c r="AN970" s="59">
        <v>2</v>
      </c>
      <c r="AO970" s="59">
        <v>0</v>
      </c>
      <c r="AP970" s="59">
        <v>16</v>
      </c>
      <c r="AQ970" s="59">
        <v>3</v>
      </c>
      <c r="AR970" s="59">
        <v>4</v>
      </c>
      <c r="AS970" s="59">
        <v>80</v>
      </c>
      <c r="AT970" s="59">
        <v>1</v>
      </c>
      <c r="AU970" s="59">
        <v>17</v>
      </c>
      <c r="AV970" s="59">
        <v>2</v>
      </c>
      <c r="AW970" s="59">
        <v>2</v>
      </c>
      <c r="AX970" s="59">
        <v>15</v>
      </c>
      <c r="AY970" s="59">
        <v>7</v>
      </c>
      <c r="AZ970" s="59">
        <v>6</v>
      </c>
      <c r="BA970" s="59">
        <v>13</v>
      </c>
      <c r="BB970" s="57">
        <f t="shared" si="303"/>
        <v>9278</v>
      </c>
    </row>
    <row r="971" spans="1:54" x14ac:dyDescent="0.25">
      <c r="A971" s="58">
        <v>48</v>
      </c>
      <c r="B971" s="59">
        <v>0</v>
      </c>
      <c r="C971" s="59">
        <v>1</v>
      </c>
      <c r="D971" s="59">
        <f t="shared" si="285"/>
        <v>1</v>
      </c>
      <c r="E971" s="59">
        <f t="shared" si="286"/>
        <v>0</v>
      </c>
      <c r="F971" s="59">
        <v>855</v>
      </c>
      <c r="G971" s="59">
        <v>2</v>
      </c>
      <c r="H971" s="59">
        <f t="shared" si="287"/>
        <v>0</v>
      </c>
      <c r="I971" s="59">
        <f t="shared" si="288"/>
        <v>1</v>
      </c>
      <c r="J971" s="59">
        <v>4</v>
      </c>
      <c r="K971" s="59">
        <v>3</v>
      </c>
      <c r="L971" s="59">
        <v>1</v>
      </c>
      <c r="M971" s="59">
        <f t="shared" si="289"/>
        <v>1</v>
      </c>
      <c r="N971" s="59">
        <f t="shared" si="290"/>
        <v>0</v>
      </c>
      <c r="O971" s="59">
        <f t="shared" si="291"/>
        <v>0</v>
      </c>
      <c r="P971" s="59">
        <f t="shared" si="292"/>
        <v>0</v>
      </c>
      <c r="Q971" s="59">
        <f t="shared" si="293"/>
        <v>0</v>
      </c>
      <c r="R971" s="59">
        <v>1</v>
      </c>
      <c r="S971" s="59">
        <v>1363</v>
      </c>
      <c r="T971" s="59">
        <v>4</v>
      </c>
      <c r="U971" s="59">
        <v>1</v>
      </c>
      <c r="V971" s="59">
        <v>54</v>
      </c>
      <c r="W971" s="59">
        <v>3</v>
      </c>
      <c r="X971" s="59">
        <v>3</v>
      </c>
      <c r="Y971" s="59">
        <v>4</v>
      </c>
      <c r="Z971" s="59">
        <f t="shared" si="294"/>
        <v>0</v>
      </c>
      <c r="AA971" s="59">
        <f>IF('Updated Dummy'!Y971=2,1,0)</f>
        <v>0</v>
      </c>
      <c r="AB971" s="59">
        <f t="shared" si="295"/>
        <v>0</v>
      </c>
      <c r="AC971" s="59">
        <f t="shared" si="296"/>
        <v>1</v>
      </c>
      <c r="AD971" s="59">
        <f t="shared" si="297"/>
        <v>0</v>
      </c>
      <c r="AE971" s="59">
        <f t="shared" si="298"/>
        <v>0</v>
      </c>
      <c r="AF971" s="59">
        <f t="shared" si="299"/>
        <v>0</v>
      </c>
      <c r="AG971" s="59">
        <f t="shared" si="300"/>
        <v>0</v>
      </c>
      <c r="AH971" s="59">
        <v>4</v>
      </c>
      <c r="AI971" s="59">
        <v>1</v>
      </c>
      <c r="AJ971" s="59">
        <f t="shared" si="301"/>
        <v>1</v>
      </c>
      <c r="AK971" s="59">
        <f t="shared" si="302"/>
        <v>0</v>
      </c>
      <c r="AL971" s="59">
        <v>7898</v>
      </c>
      <c r="AM971" s="59">
        <v>18706</v>
      </c>
      <c r="AN971" s="59">
        <v>1</v>
      </c>
      <c r="AO971" s="59">
        <v>0</v>
      </c>
      <c r="AP971" s="59">
        <v>11</v>
      </c>
      <c r="AQ971" s="59">
        <v>3</v>
      </c>
      <c r="AR971" s="59">
        <v>3</v>
      </c>
      <c r="AS971" s="59">
        <v>80</v>
      </c>
      <c r="AT971" s="59">
        <v>0</v>
      </c>
      <c r="AU971" s="59">
        <v>11</v>
      </c>
      <c r="AV971" s="59">
        <v>2</v>
      </c>
      <c r="AW971" s="59">
        <v>3</v>
      </c>
      <c r="AX971" s="59">
        <v>10</v>
      </c>
      <c r="AY971" s="59">
        <v>9</v>
      </c>
      <c r="AZ971" s="59">
        <v>0</v>
      </c>
      <c r="BA971" s="59">
        <v>8</v>
      </c>
      <c r="BB971" s="57">
        <f t="shared" si="303"/>
        <v>23694</v>
      </c>
    </row>
    <row r="972" spans="1:54" x14ac:dyDescent="0.25">
      <c r="A972" s="58">
        <v>27</v>
      </c>
      <c r="B972" s="59">
        <v>0</v>
      </c>
      <c r="C972" s="59">
        <v>1</v>
      </c>
      <c r="D972" s="59">
        <f t="shared" si="285"/>
        <v>1</v>
      </c>
      <c r="E972" s="59">
        <f t="shared" si="286"/>
        <v>0</v>
      </c>
      <c r="F972" s="59">
        <v>1291</v>
      </c>
      <c r="G972" s="59">
        <v>1</v>
      </c>
      <c r="H972" s="59">
        <f t="shared" si="287"/>
        <v>1</v>
      </c>
      <c r="I972" s="59">
        <f t="shared" si="288"/>
        <v>0</v>
      </c>
      <c r="J972" s="59">
        <v>11</v>
      </c>
      <c r="K972" s="59">
        <v>3</v>
      </c>
      <c r="L972" s="59">
        <v>3</v>
      </c>
      <c r="M972" s="59">
        <f t="shared" si="289"/>
        <v>0</v>
      </c>
      <c r="N972" s="59">
        <f t="shared" si="290"/>
        <v>0</v>
      </c>
      <c r="O972" s="59">
        <f t="shared" si="291"/>
        <v>1</v>
      </c>
      <c r="P972" s="59">
        <f t="shared" si="292"/>
        <v>0</v>
      </c>
      <c r="Q972" s="59">
        <f t="shared" si="293"/>
        <v>0</v>
      </c>
      <c r="R972" s="59">
        <v>1</v>
      </c>
      <c r="S972" s="59">
        <v>1364</v>
      </c>
      <c r="T972" s="59">
        <v>3</v>
      </c>
      <c r="U972" s="59">
        <v>0</v>
      </c>
      <c r="V972" s="59">
        <v>98</v>
      </c>
      <c r="W972" s="59">
        <v>4</v>
      </c>
      <c r="X972" s="59">
        <v>1</v>
      </c>
      <c r="Y972" s="59">
        <v>7</v>
      </c>
      <c r="Z972" s="59">
        <f t="shared" si="294"/>
        <v>0</v>
      </c>
      <c r="AA972" s="59">
        <f>IF('Updated Dummy'!Y972=2,1,0)</f>
        <v>0</v>
      </c>
      <c r="AB972" s="59">
        <f t="shared" si="295"/>
        <v>0</v>
      </c>
      <c r="AC972" s="59">
        <f t="shared" si="296"/>
        <v>0</v>
      </c>
      <c r="AD972" s="59">
        <f t="shared" si="297"/>
        <v>0</v>
      </c>
      <c r="AE972" s="59">
        <f t="shared" si="298"/>
        <v>0</v>
      </c>
      <c r="AF972" s="59">
        <f t="shared" si="299"/>
        <v>1</v>
      </c>
      <c r="AG972" s="59">
        <f t="shared" si="300"/>
        <v>0</v>
      </c>
      <c r="AH972" s="59">
        <v>4</v>
      </c>
      <c r="AI972" s="59">
        <v>2</v>
      </c>
      <c r="AJ972" s="59">
        <f t="shared" si="301"/>
        <v>0</v>
      </c>
      <c r="AK972" s="59">
        <f t="shared" si="302"/>
        <v>1</v>
      </c>
      <c r="AL972" s="59">
        <v>2534</v>
      </c>
      <c r="AM972" s="59">
        <v>6527</v>
      </c>
      <c r="AN972" s="59">
        <v>8</v>
      </c>
      <c r="AO972" s="59">
        <v>0</v>
      </c>
      <c r="AP972" s="59">
        <v>14</v>
      </c>
      <c r="AQ972" s="59">
        <v>3</v>
      </c>
      <c r="AR972" s="59">
        <v>2</v>
      </c>
      <c r="AS972" s="59">
        <v>80</v>
      </c>
      <c r="AT972" s="59">
        <v>1</v>
      </c>
      <c r="AU972" s="59">
        <v>5</v>
      </c>
      <c r="AV972" s="59">
        <v>4</v>
      </c>
      <c r="AW972" s="59">
        <v>3</v>
      </c>
      <c r="AX972" s="59">
        <v>1</v>
      </c>
      <c r="AY972" s="59">
        <v>0</v>
      </c>
      <c r="AZ972" s="59">
        <v>0</v>
      </c>
      <c r="BA972" s="59">
        <v>0</v>
      </c>
      <c r="BB972" s="57">
        <f t="shared" si="303"/>
        <v>2534</v>
      </c>
    </row>
    <row r="973" spans="1:54" x14ac:dyDescent="0.25">
      <c r="A973" s="58">
        <v>51</v>
      </c>
      <c r="B973" s="59">
        <v>0</v>
      </c>
      <c r="C973" s="59">
        <v>1</v>
      </c>
      <c r="D973" s="59">
        <f t="shared" si="285"/>
        <v>1</v>
      </c>
      <c r="E973" s="59">
        <f t="shared" si="286"/>
        <v>0</v>
      </c>
      <c r="F973" s="59">
        <v>1405</v>
      </c>
      <c r="G973" s="59">
        <v>2</v>
      </c>
      <c r="H973" s="59">
        <f t="shared" si="287"/>
        <v>0</v>
      </c>
      <c r="I973" s="59">
        <f t="shared" si="288"/>
        <v>1</v>
      </c>
      <c r="J973" s="59">
        <v>11</v>
      </c>
      <c r="K973" s="59">
        <v>2</v>
      </c>
      <c r="L973" s="59">
        <v>5</v>
      </c>
      <c r="M973" s="59">
        <f t="shared" si="289"/>
        <v>0</v>
      </c>
      <c r="N973" s="59">
        <f t="shared" si="290"/>
        <v>0</v>
      </c>
      <c r="O973" s="59">
        <f t="shared" si="291"/>
        <v>0</v>
      </c>
      <c r="P973" s="59">
        <f t="shared" si="292"/>
        <v>0</v>
      </c>
      <c r="Q973" s="59">
        <f t="shared" si="293"/>
        <v>1</v>
      </c>
      <c r="R973" s="59">
        <v>1</v>
      </c>
      <c r="S973" s="59">
        <v>1367</v>
      </c>
      <c r="T973" s="59">
        <v>4</v>
      </c>
      <c r="U973" s="59">
        <v>0</v>
      </c>
      <c r="V973" s="59">
        <v>82</v>
      </c>
      <c r="W973" s="59">
        <v>2</v>
      </c>
      <c r="X973" s="59">
        <v>4</v>
      </c>
      <c r="Y973" s="59">
        <v>4</v>
      </c>
      <c r="Z973" s="59">
        <f t="shared" si="294"/>
        <v>0</v>
      </c>
      <c r="AA973" s="59">
        <f>IF('Updated Dummy'!Y973=2,1,0)</f>
        <v>0</v>
      </c>
      <c r="AB973" s="59">
        <f t="shared" si="295"/>
        <v>0</v>
      </c>
      <c r="AC973" s="59">
        <f t="shared" si="296"/>
        <v>1</v>
      </c>
      <c r="AD973" s="59">
        <f t="shared" si="297"/>
        <v>0</v>
      </c>
      <c r="AE973" s="59">
        <f t="shared" si="298"/>
        <v>0</v>
      </c>
      <c r="AF973" s="59">
        <f t="shared" si="299"/>
        <v>0</v>
      </c>
      <c r="AG973" s="59">
        <f t="shared" si="300"/>
        <v>0</v>
      </c>
      <c r="AH973" s="59">
        <v>2</v>
      </c>
      <c r="AI973" s="59">
        <v>1</v>
      </c>
      <c r="AJ973" s="59">
        <f t="shared" si="301"/>
        <v>1</v>
      </c>
      <c r="AK973" s="59">
        <f t="shared" si="302"/>
        <v>0</v>
      </c>
      <c r="AL973" s="59">
        <v>13142</v>
      </c>
      <c r="AM973" s="59">
        <v>24439</v>
      </c>
      <c r="AN973" s="59">
        <v>3</v>
      </c>
      <c r="AO973" s="59">
        <v>0</v>
      </c>
      <c r="AP973" s="59">
        <v>16</v>
      </c>
      <c r="AQ973" s="59">
        <v>3</v>
      </c>
      <c r="AR973" s="59">
        <v>2</v>
      </c>
      <c r="AS973" s="59">
        <v>80</v>
      </c>
      <c r="AT973" s="59">
        <v>0</v>
      </c>
      <c r="AU973" s="59">
        <v>29</v>
      </c>
      <c r="AV973" s="59">
        <v>1</v>
      </c>
      <c r="AW973" s="59">
        <v>2</v>
      </c>
      <c r="AX973" s="59">
        <v>5</v>
      </c>
      <c r="AY973" s="59">
        <v>2</v>
      </c>
      <c r="AZ973" s="59">
        <v>0</v>
      </c>
      <c r="BA973" s="59">
        <v>3</v>
      </c>
      <c r="BB973" s="57">
        <f t="shared" si="303"/>
        <v>52568</v>
      </c>
    </row>
    <row r="974" spans="1:54" x14ac:dyDescent="0.25">
      <c r="A974" s="58">
        <v>18</v>
      </c>
      <c r="B974" s="59">
        <v>0</v>
      </c>
      <c r="C974" s="59">
        <v>3</v>
      </c>
      <c r="D974" s="59">
        <f t="shared" si="285"/>
        <v>0</v>
      </c>
      <c r="E974" s="59">
        <f t="shared" si="286"/>
        <v>0</v>
      </c>
      <c r="F974" s="59">
        <v>1124</v>
      </c>
      <c r="G974" s="59">
        <v>2</v>
      </c>
      <c r="H974" s="59">
        <f t="shared" si="287"/>
        <v>0</v>
      </c>
      <c r="I974" s="59">
        <f t="shared" si="288"/>
        <v>1</v>
      </c>
      <c r="J974" s="59">
        <v>1</v>
      </c>
      <c r="K974" s="59">
        <v>3</v>
      </c>
      <c r="L974" s="59">
        <v>1</v>
      </c>
      <c r="M974" s="59">
        <f t="shared" si="289"/>
        <v>1</v>
      </c>
      <c r="N974" s="59">
        <f t="shared" si="290"/>
        <v>0</v>
      </c>
      <c r="O974" s="59">
        <f t="shared" si="291"/>
        <v>0</v>
      </c>
      <c r="P974" s="59">
        <f t="shared" si="292"/>
        <v>0</v>
      </c>
      <c r="Q974" s="59">
        <f t="shared" si="293"/>
        <v>0</v>
      </c>
      <c r="R974" s="59">
        <v>1</v>
      </c>
      <c r="S974" s="59">
        <v>1368</v>
      </c>
      <c r="T974" s="59">
        <v>4</v>
      </c>
      <c r="U974" s="59">
        <v>0</v>
      </c>
      <c r="V974" s="59">
        <v>97</v>
      </c>
      <c r="W974" s="59">
        <v>3</v>
      </c>
      <c r="X974" s="59">
        <v>1</v>
      </c>
      <c r="Y974" s="59">
        <v>3</v>
      </c>
      <c r="Z974" s="59">
        <f t="shared" si="294"/>
        <v>0</v>
      </c>
      <c r="AA974" s="59">
        <f>IF('Updated Dummy'!Y974=2,1,0)</f>
        <v>0</v>
      </c>
      <c r="AB974" s="59">
        <f t="shared" si="295"/>
        <v>1</v>
      </c>
      <c r="AC974" s="59">
        <f t="shared" si="296"/>
        <v>0</v>
      </c>
      <c r="AD974" s="59">
        <f t="shared" si="297"/>
        <v>0</v>
      </c>
      <c r="AE974" s="59">
        <f t="shared" si="298"/>
        <v>0</v>
      </c>
      <c r="AF974" s="59">
        <f t="shared" si="299"/>
        <v>0</v>
      </c>
      <c r="AG974" s="59">
        <f t="shared" si="300"/>
        <v>0</v>
      </c>
      <c r="AH974" s="59">
        <v>4</v>
      </c>
      <c r="AI974" s="59">
        <v>1</v>
      </c>
      <c r="AJ974" s="59">
        <f t="shared" si="301"/>
        <v>1</v>
      </c>
      <c r="AK974" s="59">
        <f t="shared" si="302"/>
        <v>0</v>
      </c>
      <c r="AL974" s="59">
        <v>1611</v>
      </c>
      <c r="AM974" s="59">
        <v>19305</v>
      </c>
      <c r="AN974" s="59">
        <v>1</v>
      </c>
      <c r="AO974" s="59">
        <v>0</v>
      </c>
      <c r="AP974" s="59">
        <v>15</v>
      </c>
      <c r="AQ974" s="59">
        <v>3</v>
      </c>
      <c r="AR974" s="59">
        <v>3</v>
      </c>
      <c r="AS974" s="59">
        <v>80</v>
      </c>
      <c r="AT974" s="59">
        <v>0</v>
      </c>
      <c r="AU974" s="59">
        <v>0</v>
      </c>
      <c r="AV974" s="59">
        <v>5</v>
      </c>
      <c r="AW974" s="59">
        <v>4</v>
      </c>
      <c r="AX974" s="59">
        <v>0</v>
      </c>
      <c r="AY974" s="59">
        <v>0</v>
      </c>
      <c r="AZ974" s="59">
        <v>0</v>
      </c>
      <c r="BA974" s="59">
        <v>0</v>
      </c>
      <c r="BB974" s="57">
        <f t="shared" si="303"/>
        <v>1611</v>
      </c>
    </row>
    <row r="975" spans="1:54" x14ac:dyDescent="0.25">
      <c r="A975" s="58">
        <v>35</v>
      </c>
      <c r="B975" s="59">
        <v>0</v>
      </c>
      <c r="C975" s="59">
        <v>1</v>
      </c>
      <c r="D975" s="59">
        <f t="shared" si="285"/>
        <v>1</v>
      </c>
      <c r="E975" s="59">
        <f t="shared" si="286"/>
        <v>0</v>
      </c>
      <c r="F975" s="59">
        <v>817</v>
      </c>
      <c r="G975" s="59">
        <v>2</v>
      </c>
      <c r="H975" s="59">
        <f t="shared" si="287"/>
        <v>0</v>
      </c>
      <c r="I975" s="59">
        <f t="shared" si="288"/>
        <v>1</v>
      </c>
      <c r="J975" s="59">
        <v>1</v>
      </c>
      <c r="K975" s="59">
        <v>3</v>
      </c>
      <c r="L975" s="59">
        <v>3</v>
      </c>
      <c r="M975" s="59">
        <f t="shared" si="289"/>
        <v>0</v>
      </c>
      <c r="N975" s="59">
        <f t="shared" si="290"/>
        <v>0</v>
      </c>
      <c r="O975" s="59">
        <f t="shared" si="291"/>
        <v>1</v>
      </c>
      <c r="P975" s="59">
        <f t="shared" si="292"/>
        <v>0</v>
      </c>
      <c r="Q975" s="59">
        <f t="shared" si="293"/>
        <v>0</v>
      </c>
      <c r="R975" s="59">
        <v>1</v>
      </c>
      <c r="S975" s="59">
        <v>1369</v>
      </c>
      <c r="T975" s="59">
        <v>4</v>
      </c>
      <c r="U975" s="59">
        <v>0</v>
      </c>
      <c r="V975" s="59">
        <v>60</v>
      </c>
      <c r="W975" s="59">
        <v>2</v>
      </c>
      <c r="X975" s="59">
        <v>2</v>
      </c>
      <c r="Y975" s="59">
        <v>3</v>
      </c>
      <c r="Z975" s="59">
        <f t="shared" si="294"/>
        <v>0</v>
      </c>
      <c r="AA975" s="59">
        <f>IF('Updated Dummy'!Y975=2,1,0)</f>
        <v>0</v>
      </c>
      <c r="AB975" s="59">
        <f t="shared" si="295"/>
        <v>1</v>
      </c>
      <c r="AC975" s="59">
        <f t="shared" si="296"/>
        <v>0</v>
      </c>
      <c r="AD975" s="59">
        <f t="shared" si="297"/>
        <v>0</v>
      </c>
      <c r="AE975" s="59">
        <f t="shared" si="298"/>
        <v>0</v>
      </c>
      <c r="AF975" s="59">
        <f t="shared" si="299"/>
        <v>0</v>
      </c>
      <c r="AG975" s="59">
        <f t="shared" si="300"/>
        <v>0</v>
      </c>
      <c r="AH975" s="59">
        <v>4</v>
      </c>
      <c r="AI975" s="59">
        <v>2</v>
      </c>
      <c r="AJ975" s="59">
        <f t="shared" si="301"/>
        <v>0</v>
      </c>
      <c r="AK975" s="59">
        <f t="shared" si="302"/>
        <v>1</v>
      </c>
      <c r="AL975" s="59">
        <v>5363</v>
      </c>
      <c r="AM975" s="59">
        <v>10846</v>
      </c>
      <c r="AN975" s="59">
        <v>0</v>
      </c>
      <c r="AO975" s="59">
        <v>0</v>
      </c>
      <c r="AP975" s="59">
        <v>12</v>
      </c>
      <c r="AQ975" s="59">
        <v>3</v>
      </c>
      <c r="AR975" s="59">
        <v>2</v>
      </c>
      <c r="AS975" s="59">
        <v>80</v>
      </c>
      <c r="AT975" s="59">
        <v>1</v>
      </c>
      <c r="AU975" s="59">
        <v>10</v>
      </c>
      <c r="AV975" s="59">
        <v>0</v>
      </c>
      <c r="AW975" s="59">
        <v>3</v>
      </c>
      <c r="AX975" s="59">
        <v>9</v>
      </c>
      <c r="AY975" s="59">
        <v>7</v>
      </c>
      <c r="AZ975" s="59">
        <v>0</v>
      </c>
      <c r="BA975" s="59">
        <v>0</v>
      </c>
      <c r="BB975" s="57">
        <f t="shared" si="303"/>
        <v>10726</v>
      </c>
    </row>
    <row r="976" spans="1:54" x14ac:dyDescent="0.25">
      <c r="A976" s="58">
        <v>27</v>
      </c>
      <c r="B976" s="59">
        <v>0</v>
      </c>
      <c r="C976" s="59">
        <v>2</v>
      </c>
      <c r="D976" s="59">
        <f t="shared" si="285"/>
        <v>0</v>
      </c>
      <c r="E976" s="59">
        <f t="shared" si="286"/>
        <v>1</v>
      </c>
      <c r="F976" s="59">
        <v>793</v>
      </c>
      <c r="G976" s="59">
        <v>1</v>
      </c>
      <c r="H976" s="59">
        <f t="shared" si="287"/>
        <v>1</v>
      </c>
      <c r="I976" s="59">
        <f t="shared" si="288"/>
        <v>0</v>
      </c>
      <c r="J976" s="59">
        <v>2</v>
      </c>
      <c r="K976" s="59">
        <v>1</v>
      </c>
      <c r="L976" s="59">
        <v>1</v>
      </c>
      <c r="M976" s="59">
        <f t="shared" si="289"/>
        <v>1</v>
      </c>
      <c r="N976" s="59">
        <f t="shared" si="290"/>
        <v>0</v>
      </c>
      <c r="O976" s="59">
        <f t="shared" si="291"/>
        <v>0</v>
      </c>
      <c r="P976" s="59">
        <f t="shared" si="292"/>
        <v>0</v>
      </c>
      <c r="Q976" s="59">
        <f t="shared" si="293"/>
        <v>0</v>
      </c>
      <c r="R976" s="59">
        <v>1</v>
      </c>
      <c r="S976" s="59">
        <v>1371</v>
      </c>
      <c r="T976" s="59">
        <v>4</v>
      </c>
      <c r="U976" s="59">
        <v>1</v>
      </c>
      <c r="V976" s="59">
        <v>43</v>
      </c>
      <c r="W976" s="59">
        <v>1</v>
      </c>
      <c r="X976" s="59">
        <v>2</v>
      </c>
      <c r="Y976" s="59">
        <v>1</v>
      </c>
      <c r="Z976" s="59">
        <f t="shared" si="294"/>
        <v>1</v>
      </c>
      <c r="AA976" s="59">
        <f>IF('Updated Dummy'!Y976=2,1,0)</f>
        <v>0</v>
      </c>
      <c r="AB976" s="59">
        <f t="shared" si="295"/>
        <v>0</v>
      </c>
      <c r="AC976" s="59">
        <f t="shared" si="296"/>
        <v>0</v>
      </c>
      <c r="AD976" s="59">
        <f t="shared" si="297"/>
        <v>0</v>
      </c>
      <c r="AE976" s="59">
        <f t="shared" si="298"/>
        <v>0</v>
      </c>
      <c r="AF976" s="59">
        <f t="shared" si="299"/>
        <v>0</v>
      </c>
      <c r="AG976" s="59">
        <f t="shared" si="300"/>
        <v>0</v>
      </c>
      <c r="AH976" s="59">
        <v>4</v>
      </c>
      <c r="AI976" s="59">
        <v>1</v>
      </c>
      <c r="AJ976" s="59">
        <f t="shared" si="301"/>
        <v>1</v>
      </c>
      <c r="AK976" s="59">
        <f t="shared" si="302"/>
        <v>0</v>
      </c>
      <c r="AL976" s="59">
        <v>5071</v>
      </c>
      <c r="AM976" s="59">
        <v>20392</v>
      </c>
      <c r="AN976" s="59">
        <v>3</v>
      </c>
      <c r="AO976" s="59">
        <v>0</v>
      </c>
      <c r="AP976" s="59">
        <v>20</v>
      </c>
      <c r="AQ976" s="59">
        <v>4</v>
      </c>
      <c r="AR976" s="59">
        <v>2</v>
      </c>
      <c r="AS976" s="59">
        <v>80</v>
      </c>
      <c r="AT976" s="59">
        <v>0</v>
      </c>
      <c r="AU976" s="59">
        <v>8</v>
      </c>
      <c r="AV976" s="59">
        <v>3</v>
      </c>
      <c r="AW976" s="59">
        <v>3</v>
      </c>
      <c r="AX976" s="59">
        <v>6</v>
      </c>
      <c r="AY976" s="59">
        <v>2</v>
      </c>
      <c r="AZ976" s="59">
        <v>0</v>
      </c>
      <c r="BA976" s="59">
        <v>0</v>
      </c>
      <c r="BB976" s="57">
        <f t="shared" si="303"/>
        <v>10142</v>
      </c>
    </row>
    <row r="977" spans="1:54" x14ac:dyDescent="0.25">
      <c r="A977" s="58">
        <v>55</v>
      </c>
      <c r="B977" s="59">
        <v>1</v>
      </c>
      <c r="C977" s="59">
        <v>1</v>
      </c>
      <c r="D977" s="59">
        <f t="shared" si="285"/>
        <v>1</v>
      </c>
      <c r="E977" s="59">
        <f t="shared" si="286"/>
        <v>0</v>
      </c>
      <c r="F977" s="59">
        <v>267</v>
      </c>
      <c r="G977" s="59">
        <v>1</v>
      </c>
      <c r="H977" s="59">
        <f t="shared" si="287"/>
        <v>1</v>
      </c>
      <c r="I977" s="59">
        <f t="shared" si="288"/>
        <v>0</v>
      </c>
      <c r="J977" s="59">
        <v>13</v>
      </c>
      <c r="K977" s="59">
        <v>4</v>
      </c>
      <c r="L977" s="59">
        <v>4</v>
      </c>
      <c r="M977" s="59">
        <f t="shared" si="289"/>
        <v>0</v>
      </c>
      <c r="N977" s="59">
        <f t="shared" si="290"/>
        <v>0</v>
      </c>
      <c r="O977" s="59">
        <f t="shared" si="291"/>
        <v>0</v>
      </c>
      <c r="P977" s="59">
        <f t="shared" si="292"/>
        <v>1</v>
      </c>
      <c r="Q977" s="59">
        <f t="shared" si="293"/>
        <v>0</v>
      </c>
      <c r="R977" s="59">
        <v>1</v>
      </c>
      <c r="S977" s="59">
        <v>1372</v>
      </c>
      <c r="T977" s="59">
        <v>1</v>
      </c>
      <c r="U977" s="59">
        <v>1</v>
      </c>
      <c r="V977" s="59">
        <v>85</v>
      </c>
      <c r="W977" s="59">
        <v>4</v>
      </c>
      <c r="X977" s="59">
        <v>4</v>
      </c>
      <c r="Y977" s="59">
        <v>1</v>
      </c>
      <c r="Z977" s="59">
        <f t="shared" si="294"/>
        <v>1</v>
      </c>
      <c r="AA977" s="59">
        <f>IF('Updated Dummy'!Y977=2,1,0)</f>
        <v>0</v>
      </c>
      <c r="AB977" s="59">
        <f t="shared" si="295"/>
        <v>0</v>
      </c>
      <c r="AC977" s="59">
        <f t="shared" si="296"/>
        <v>0</v>
      </c>
      <c r="AD977" s="59">
        <f t="shared" si="297"/>
        <v>0</v>
      </c>
      <c r="AE977" s="59">
        <f t="shared" si="298"/>
        <v>0</v>
      </c>
      <c r="AF977" s="59">
        <f t="shared" si="299"/>
        <v>0</v>
      </c>
      <c r="AG977" s="59">
        <f t="shared" si="300"/>
        <v>0</v>
      </c>
      <c r="AH977" s="59">
        <v>3</v>
      </c>
      <c r="AI977" s="59">
        <v>1</v>
      </c>
      <c r="AJ977" s="59">
        <f t="shared" si="301"/>
        <v>1</v>
      </c>
      <c r="AK977" s="59">
        <f t="shared" si="302"/>
        <v>0</v>
      </c>
      <c r="AL977" s="59">
        <v>13695</v>
      </c>
      <c r="AM977" s="59">
        <v>9277</v>
      </c>
      <c r="AN977" s="59">
        <v>6</v>
      </c>
      <c r="AO977" s="59">
        <v>1</v>
      </c>
      <c r="AP977" s="59">
        <v>17</v>
      </c>
      <c r="AQ977" s="59">
        <v>3</v>
      </c>
      <c r="AR977" s="59">
        <v>3</v>
      </c>
      <c r="AS977" s="59">
        <v>80</v>
      </c>
      <c r="AT977" s="59">
        <v>0</v>
      </c>
      <c r="AU977" s="59">
        <v>24</v>
      </c>
      <c r="AV977" s="59">
        <v>2</v>
      </c>
      <c r="AW977" s="59">
        <v>2</v>
      </c>
      <c r="AX977" s="59">
        <v>19</v>
      </c>
      <c r="AY977" s="59">
        <v>7</v>
      </c>
      <c r="AZ977" s="59">
        <v>3</v>
      </c>
      <c r="BA977" s="59">
        <v>8</v>
      </c>
      <c r="BB977" s="57">
        <f t="shared" si="303"/>
        <v>54780</v>
      </c>
    </row>
    <row r="978" spans="1:54" x14ac:dyDescent="0.25">
      <c r="A978" s="58">
        <v>56</v>
      </c>
      <c r="B978" s="59">
        <v>0</v>
      </c>
      <c r="C978" s="59">
        <v>1</v>
      </c>
      <c r="D978" s="59">
        <f t="shared" si="285"/>
        <v>1</v>
      </c>
      <c r="E978" s="59">
        <f t="shared" si="286"/>
        <v>0</v>
      </c>
      <c r="F978" s="59">
        <v>1369</v>
      </c>
      <c r="G978" s="59">
        <v>2</v>
      </c>
      <c r="H978" s="59">
        <f t="shared" si="287"/>
        <v>0</v>
      </c>
      <c r="I978" s="59">
        <f t="shared" si="288"/>
        <v>1</v>
      </c>
      <c r="J978" s="59">
        <v>23</v>
      </c>
      <c r="K978" s="59">
        <v>3</v>
      </c>
      <c r="L978" s="59">
        <v>1</v>
      </c>
      <c r="M978" s="59">
        <f t="shared" si="289"/>
        <v>1</v>
      </c>
      <c r="N978" s="59">
        <f t="shared" si="290"/>
        <v>0</v>
      </c>
      <c r="O978" s="59">
        <f t="shared" si="291"/>
        <v>0</v>
      </c>
      <c r="P978" s="59">
        <f t="shared" si="292"/>
        <v>0</v>
      </c>
      <c r="Q978" s="59">
        <f t="shared" si="293"/>
        <v>0</v>
      </c>
      <c r="R978" s="59">
        <v>1</v>
      </c>
      <c r="S978" s="59">
        <v>1373</v>
      </c>
      <c r="T978" s="59">
        <v>4</v>
      </c>
      <c r="U978" s="59">
        <v>1</v>
      </c>
      <c r="V978" s="59">
        <v>68</v>
      </c>
      <c r="W978" s="59">
        <v>3</v>
      </c>
      <c r="X978" s="59">
        <v>4</v>
      </c>
      <c r="Y978" s="59">
        <v>4</v>
      </c>
      <c r="Z978" s="59">
        <f t="shared" si="294"/>
        <v>0</v>
      </c>
      <c r="AA978" s="59">
        <f>IF('Updated Dummy'!Y978=2,1,0)</f>
        <v>0</v>
      </c>
      <c r="AB978" s="59">
        <f t="shared" si="295"/>
        <v>0</v>
      </c>
      <c r="AC978" s="59">
        <f t="shared" si="296"/>
        <v>1</v>
      </c>
      <c r="AD978" s="59">
        <f t="shared" si="297"/>
        <v>0</v>
      </c>
      <c r="AE978" s="59">
        <f t="shared" si="298"/>
        <v>0</v>
      </c>
      <c r="AF978" s="59">
        <f t="shared" si="299"/>
        <v>0</v>
      </c>
      <c r="AG978" s="59">
        <f t="shared" si="300"/>
        <v>0</v>
      </c>
      <c r="AH978" s="59">
        <v>2</v>
      </c>
      <c r="AI978" s="59">
        <v>2</v>
      </c>
      <c r="AJ978" s="59">
        <f t="shared" si="301"/>
        <v>0</v>
      </c>
      <c r="AK978" s="59">
        <f t="shared" si="302"/>
        <v>1</v>
      </c>
      <c r="AL978" s="59">
        <v>13402</v>
      </c>
      <c r="AM978" s="59">
        <v>18235</v>
      </c>
      <c r="AN978" s="59">
        <v>4</v>
      </c>
      <c r="AO978" s="59">
        <v>1</v>
      </c>
      <c r="AP978" s="59">
        <v>12</v>
      </c>
      <c r="AQ978" s="59">
        <v>3</v>
      </c>
      <c r="AR978" s="59">
        <v>1</v>
      </c>
      <c r="AS978" s="59">
        <v>80</v>
      </c>
      <c r="AT978" s="59">
        <v>1</v>
      </c>
      <c r="AU978" s="59">
        <v>33</v>
      </c>
      <c r="AV978" s="59">
        <v>0</v>
      </c>
      <c r="AW978" s="59">
        <v>3</v>
      </c>
      <c r="AX978" s="59">
        <v>19</v>
      </c>
      <c r="AY978" s="59">
        <v>16</v>
      </c>
      <c r="AZ978" s="59">
        <v>15</v>
      </c>
      <c r="BA978" s="59">
        <v>9</v>
      </c>
      <c r="BB978" s="57">
        <f t="shared" si="303"/>
        <v>53608</v>
      </c>
    </row>
    <row r="979" spans="1:54" x14ac:dyDescent="0.25">
      <c r="A979" s="58">
        <v>34</v>
      </c>
      <c r="B979" s="59">
        <v>0</v>
      </c>
      <c r="C979" s="59">
        <v>3</v>
      </c>
      <c r="D979" s="59">
        <f t="shared" si="285"/>
        <v>0</v>
      </c>
      <c r="E979" s="59">
        <f t="shared" si="286"/>
        <v>0</v>
      </c>
      <c r="F979" s="59">
        <v>999</v>
      </c>
      <c r="G979" s="59">
        <v>2</v>
      </c>
      <c r="H979" s="59">
        <f t="shared" si="287"/>
        <v>0</v>
      </c>
      <c r="I979" s="59">
        <f t="shared" si="288"/>
        <v>1</v>
      </c>
      <c r="J979" s="59">
        <v>26</v>
      </c>
      <c r="K979" s="59">
        <v>1</v>
      </c>
      <c r="L979" s="59">
        <v>5</v>
      </c>
      <c r="M979" s="59">
        <f t="shared" si="289"/>
        <v>0</v>
      </c>
      <c r="N979" s="59">
        <f t="shared" si="290"/>
        <v>0</v>
      </c>
      <c r="O979" s="59">
        <f t="shared" si="291"/>
        <v>0</v>
      </c>
      <c r="P979" s="59">
        <f t="shared" si="292"/>
        <v>0</v>
      </c>
      <c r="Q979" s="59">
        <f t="shared" si="293"/>
        <v>1</v>
      </c>
      <c r="R979" s="59">
        <v>1</v>
      </c>
      <c r="S979" s="59">
        <v>1374</v>
      </c>
      <c r="T979" s="59">
        <v>1</v>
      </c>
      <c r="U979" s="59">
        <v>0</v>
      </c>
      <c r="V979" s="59">
        <v>92</v>
      </c>
      <c r="W979" s="59">
        <v>2</v>
      </c>
      <c r="X979" s="59">
        <v>1</v>
      </c>
      <c r="Y979" s="59">
        <v>2</v>
      </c>
      <c r="Z979" s="59">
        <f t="shared" si="294"/>
        <v>0</v>
      </c>
      <c r="AA979" s="59">
        <f>IF('Updated Dummy'!Y979=2,1,0)</f>
        <v>1</v>
      </c>
      <c r="AB979" s="59">
        <f t="shared" si="295"/>
        <v>0</v>
      </c>
      <c r="AC979" s="59">
        <f t="shared" si="296"/>
        <v>0</v>
      </c>
      <c r="AD979" s="59">
        <f t="shared" si="297"/>
        <v>0</v>
      </c>
      <c r="AE979" s="59">
        <f t="shared" si="298"/>
        <v>0</v>
      </c>
      <c r="AF979" s="59">
        <f t="shared" si="299"/>
        <v>0</v>
      </c>
      <c r="AG979" s="59">
        <f t="shared" si="300"/>
        <v>0</v>
      </c>
      <c r="AH979" s="59">
        <v>3</v>
      </c>
      <c r="AI979" s="59">
        <v>3</v>
      </c>
      <c r="AJ979" s="59">
        <f t="shared" si="301"/>
        <v>0</v>
      </c>
      <c r="AK979" s="59">
        <f t="shared" si="302"/>
        <v>0</v>
      </c>
      <c r="AL979" s="59">
        <v>2029</v>
      </c>
      <c r="AM979" s="59">
        <v>15891</v>
      </c>
      <c r="AN979" s="59">
        <v>1</v>
      </c>
      <c r="AO979" s="59">
        <v>0</v>
      </c>
      <c r="AP979" s="59">
        <v>20</v>
      </c>
      <c r="AQ979" s="59">
        <v>4</v>
      </c>
      <c r="AR979" s="59">
        <v>3</v>
      </c>
      <c r="AS979" s="59">
        <v>80</v>
      </c>
      <c r="AT979" s="59">
        <v>3</v>
      </c>
      <c r="AU979" s="59">
        <v>5</v>
      </c>
      <c r="AV979" s="59">
        <v>2</v>
      </c>
      <c r="AW979" s="59">
        <v>3</v>
      </c>
      <c r="AX979" s="59">
        <v>5</v>
      </c>
      <c r="AY979" s="59">
        <v>4</v>
      </c>
      <c r="AZ979" s="59">
        <v>0</v>
      </c>
      <c r="BA979" s="59">
        <v>0</v>
      </c>
      <c r="BB979" s="57">
        <f t="shared" si="303"/>
        <v>2029</v>
      </c>
    </row>
    <row r="980" spans="1:54" x14ac:dyDescent="0.25">
      <c r="A980" s="58">
        <v>40</v>
      </c>
      <c r="B980" s="59">
        <v>0</v>
      </c>
      <c r="C980" s="59">
        <v>1</v>
      </c>
      <c r="D980" s="59">
        <f t="shared" si="285"/>
        <v>1</v>
      </c>
      <c r="E980" s="59">
        <f t="shared" si="286"/>
        <v>0</v>
      </c>
      <c r="F980" s="59">
        <v>1202</v>
      </c>
      <c r="G980" s="59">
        <v>2</v>
      </c>
      <c r="H980" s="59">
        <f t="shared" si="287"/>
        <v>0</v>
      </c>
      <c r="I980" s="59">
        <f t="shared" si="288"/>
        <v>1</v>
      </c>
      <c r="J980" s="59">
        <v>2</v>
      </c>
      <c r="K980" s="59">
        <v>1</v>
      </c>
      <c r="L980" s="59">
        <v>3</v>
      </c>
      <c r="M980" s="59">
        <f t="shared" si="289"/>
        <v>0</v>
      </c>
      <c r="N980" s="59">
        <f t="shared" si="290"/>
        <v>0</v>
      </c>
      <c r="O980" s="59">
        <f t="shared" si="291"/>
        <v>1</v>
      </c>
      <c r="P980" s="59">
        <f t="shared" si="292"/>
        <v>0</v>
      </c>
      <c r="Q980" s="59">
        <f t="shared" si="293"/>
        <v>0</v>
      </c>
      <c r="R980" s="59">
        <v>1</v>
      </c>
      <c r="S980" s="59">
        <v>1375</v>
      </c>
      <c r="T980" s="59">
        <v>2</v>
      </c>
      <c r="U980" s="59">
        <v>0</v>
      </c>
      <c r="V980" s="59">
        <v>89</v>
      </c>
      <c r="W980" s="59">
        <v>4</v>
      </c>
      <c r="X980" s="59">
        <v>2</v>
      </c>
      <c r="Y980" s="59">
        <v>5</v>
      </c>
      <c r="Z980" s="59">
        <f t="shared" si="294"/>
        <v>0</v>
      </c>
      <c r="AA980" s="59">
        <f>IF('Updated Dummy'!Y980=2,1,0)</f>
        <v>0</v>
      </c>
      <c r="AB980" s="59">
        <f t="shared" si="295"/>
        <v>0</v>
      </c>
      <c r="AC980" s="59">
        <f t="shared" si="296"/>
        <v>0</v>
      </c>
      <c r="AD980" s="59">
        <f t="shared" si="297"/>
        <v>1</v>
      </c>
      <c r="AE980" s="59">
        <f t="shared" si="298"/>
        <v>0</v>
      </c>
      <c r="AF980" s="59">
        <f t="shared" si="299"/>
        <v>0</v>
      </c>
      <c r="AG980" s="59">
        <f t="shared" si="300"/>
        <v>0</v>
      </c>
      <c r="AH980" s="59">
        <v>3</v>
      </c>
      <c r="AI980" s="59">
        <v>3</v>
      </c>
      <c r="AJ980" s="59">
        <f t="shared" si="301"/>
        <v>0</v>
      </c>
      <c r="AK980" s="59">
        <f t="shared" si="302"/>
        <v>0</v>
      </c>
      <c r="AL980" s="59">
        <v>6377</v>
      </c>
      <c r="AM980" s="59">
        <v>13888</v>
      </c>
      <c r="AN980" s="59">
        <v>5</v>
      </c>
      <c r="AO980" s="59">
        <v>0</v>
      </c>
      <c r="AP980" s="59">
        <v>20</v>
      </c>
      <c r="AQ980" s="59">
        <v>4</v>
      </c>
      <c r="AR980" s="59">
        <v>2</v>
      </c>
      <c r="AS980" s="59">
        <v>80</v>
      </c>
      <c r="AT980" s="59">
        <v>3</v>
      </c>
      <c r="AU980" s="59">
        <v>15</v>
      </c>
      <c r="AV980" s="59">
        <v>0</v>
      </c>
      <c r="AW980" s="59">
        <v>3</v>
      </c>
      <c r="AX980" s="59">
        <v>12</v>
      </c>
      <c r="AY980" s="59">
        <v>11</v>
      </c>
      <c r="AZ980" s="59">
        <v>11</v>
      </c>
      <c r="BA980" s="59">
        <v>8</v>
      </c>
      <c r="BB980" s="57">
        <f t="shared" si="303"/>
        <v>12754</v>
      </c>
    </row>
    <row r="981" spans="1:54" x14ac:dyDescent="0.25">
      <c r="A981" s="58">
        <v>34</v>
      </c>
      <c r="B981" s="59">
        <v>0</v>
      </c>
      <c r="C981" s="59">
        <v>1</v>
      </c>
      <c r="D981" s="59">
        <f t="shared" si="285"/>
        <v>1</v>
      </c>
      <c r="E981" s="59">
        <f t="shared" si="286"/>
        <v>0</v>
      </c>
      <c r="F981" s="59">
        <v>285</v>
      </c>
      <c r="G981" s="59">
        <v>2</v>
      </c>
      <c r="H981" s="59">
        <f t="shared" si="287"/>
        <v>0</v>
      </c>
      <c r="I981" s="59">
        <f t="shared" si="288"/>
        <v>1</v>
      </c>
      <c r="J981" s="59">
        <v>29</v>
      </c>
      <c r="K981" s="59">
        <v>3</v>
      </c>
      <c r="L981" s="59">
        <v>3</v>
      </c>
      <c r="M981" s="59">
        <f t="shared" si="289"/>
        <v>0</v>
      </c>
      <c r="N981" s="59">
        <f t="shared" si="290"/>
        <v>0</v>
      </c>
      <c r="O981" s="59">
        <f t="shared" si="291"/>
        <v>1</v>
      </c>
      <c r="P981" s="59">
        <f t="shared" si="292"/>
        <v>0</v>
      </c>
      <c r="Q981" s="59">
        <f t="shared" si="293"/>
        <v>0</v>
      </c>
      <c r="R981" s="59">
        <v>1</v>
      </c>
      <c r="S981" s="59">
        <v>1377</v>
      </c>
      <c r="T981" s="59">
        <v>2</v>
      </c>
      <c r="U981" s="59">
        <v>1</v>
      </c>
      <c r="V981" s="59">
        <v>86</v>
      </c>
      <c r="W981" s="59">
        <v>3</v>
      </c>
      <c r="X981" s="59">
        <v>2</v>
      </c>
      <c r="Y981" s="59">
        <v>3</v>
      </c>
      <c r="Z981" s="59">
        <f t="shared" si="294"/>
        <v>0</v>
      </c>
      <c r="AA981" s="59">
        <f>IF('Updated Dummy'!Y981=2,1,0)</f>
        <v>0</v>
      </c>
      <c r="AB981" s="59">
        <f t="shared" si="295"/>
        <v>1</v>
      </c>
      <c r="AC981" s="59">
        <f t="shared" si="296"/>
        <v>0</v>
      </c>
      <c r="AD981" s="59">
        <f t="shared" si="297"/>
        <v>0</v>
      </c>
      <c r="AE981" s="59">
        <f t="shared" si="298"/>
        <v>0</v>
      </c>
      <c r="AF981" s="59">
        <f t="shared" si="299"/>
        <v>0</v>
      </c>
      <c r="AG981" s="59">
        <f t="shared" si="300"/>
        <v>0</v>
      </c>
      <c r="AH981" s="59">
        <v>3</v>
      </c>
      <c r="AI981" s="59">
        <v>2</v>
      </c>
      <c r="AJ981" s="59">
        <f t="shared" si="301"/>
        <v>0</v>
      </c>
      <c r="AK981" s="59">
        <f t="shared" si="302"/>
        <v>1</v>
      </c>
      <c r="AL981" s="59">
        <v>5429</v>
      </c>
      <c r="AM981" s="59">
        <v>17491</v>
      </c>
      <c r="AN981" s="59">
        <v>4</v>
      </c>
      <c r="AO981" s="59">
        <v>0</v>
      </c>
      <c r="AP981" s="59">
        <v>13</v>
      </c>
      <c r="AQ981" s="59">
        <v>3</v>
      </c>
      <c r="AR981" s="59">
        <v>1</v>
      </c>
      <c r="AS981" s="59">
        <v>80</v>
      </c>
      <c r="AT981" s="59">
        <v>2</v>
      </c>
      <c r="AU981" s="59">
        <v>10</v>
      </c>
      <c r="AV981" s="59">
        <v>1</v>
      </c>
      <c r="AW981" s="59">
        <v>3</v>
      </c>
      <c r="AX981" s="59">
        <v>8</v>
      </c>
      <c r="AY981" s="59">
        <v>7</v>
      </c>
      <c r="AZ981" s="59">
        <v>7</v>
      </c>
      <c r="BA981" s="59">
        <v>7</v>
      </c>
      <c r="BB981" s="57">
        <f t="shared" si="303"/>
        <v>10858</v>
      </c>
    </row>
    <row r="982" spans="1:54" x14ac:dyDescent="0.25">
      <c r="A982" s="58">
        <v>31</v>
      </c>
      <c r="B982" s="59">
        <v>1</v>
      </c>
      <c r="C982" s="59">
        <v>2</v>
      </c>
      <c r="D982" s="59">
        <f t="shared" si="285"/>
        <v>0</v>
      </c>
      <c r="E982" s="59">
        <f t="shared" si="286"/>
        <v>1</v>
      </c>
      <c r="F982" s="59">
        <v>703</v>
      </c>
      <c r="G982" s="59">
        <v>1</v>
      </c>
      <c r="H982" s="59">
        <f t="shared" si="287"/>
        <v>1</v>
      </c>
      <c r="I982" s="59">
        <f t="shared" si="288"/>
        <v>0</v>
      </c>
      <c r="J982" s="59">
        <v>2</v>
      </c>
      <c r="K982" s="59">
        <v>3</v>
      </c>
      <c r="L982" s="59">
        <v>1</v>
      </c>
      <c r="M982" s="59">
        <f t="shared" si="289"/>
        <v>1</v>
      </c>
      <c r="N982" s="59">
        <f t="shared" si="290"/>
        <v>0</v>
      </c>
      <c r="O982" s="59">
        <f t="shared" si="291"/>
        <v>0</v>
      </c>
      <c r="P982" s="59">
        <f t="shared" si="292"/>
        <v>0</v>
      </c>
      <c r="Q982" s="59">
        <f t="shared" si="293"/>
        <v>0</v>
      </c>
      <c r="R982" s="59">
        <v>1</v>
      </c>
      <c r="S982" s="59">
        <v>1379</v>
      </c>
      <c r="T982" s="59">
        <v>3</v>
      </c>
      <c r="U982" s="59">
        <v>0</v>
      </c>
      <c r="V982" s="59">
        <v>90</v>
      </c>
      <c r="W982" s="59">
        <v>2</v>
      </c>
      <c r="X982" s="59">
        <v>1</v>
      </c>
      <c r="Y982" s="59">
        <v>7</v>
      </c>
      <c r="Z982" s="59">
        <f t="shared" si="294"/>
        <v>0</v>
      </c>
      <c r="AA982" s="59">
        <f>IF('Updated Dummy'!Y982=2,1,0)</f>
        <v>0</v>
      </c>
      <c r="AB982" s="59">
        <f t="shared" si="295"/>
        <v>0</v>
      </c>
      <c r="AC982" s="59">
        <f t="shared" si="296"/>
        <v>0</v>
      </c>
      <c r="AD982" s="59">
        <f t="shared" si="297"/>
        <v>0</v>
      </c>
      <c r="AE982" s="59">
        <f t="shared" si="298"/>
        <v>0</v>
      </c>
      <c r="AF982" s="59">
        <f t="shared" si="299"/>
        <v>1</v>
      </c>
      <c r="AG982" s="59">
        <f t="shared" si="300"/>
        <v>0</v>
      </c>
      <c r="AH982" s="59">
        <v>4</v>
      </c>
      <c r="AI982" s="59">
        <v>1</v>
      </c>
      <c r="AJ982" s="59">
        <f t="shared" si="301"/>
        <v>1</v>
      </c>
      <c r="AK982" s="59">
        <f t="shared" si="302"/>
        <v>0</v>
      </c>
      <c r="AL982" s="59">
        <v>2785</v>
      </c>
      <c r="AM982" s="59">
        <v>11882</v>
      </c>
      <c r="AN982" s="59">
        <v>7</v>
      </c>
      <c r="AO982" s="59">
        <v>0</v>
      </c>
      <c r="AP982" s="59">
        <v>14</v>
      </c>
      <c r="AQ982" s="59">
        <v>3</v>
      </c>
      <c r="AR982" s="59">
        <v>3</v>
      </c>
      <c r="AS982" s="59">
        <v>80</v>
      </c>
      <c r="AT982" s="59">
        <v>0</v>
      </c>
      <c r="AU982" s="59">
        <v>3</v>
      </c>
      <c r="AV982" s="59">
        <v>3</v>
      </c>
      <c r="AW982" s="59">
        <v>4</v>
      </c>
      <c r="AX982" s="59">
        <v>1</v>
      </c>
      <c r="AY982" s="59">
        <v>0</v>
      </c>
      <c r="AZ982" s="59">
        <v>0</v>
      </c>
      <c r="BA982" s="59">
        <v>0</v>
      </c>
      <c r="BB982" s="57">
        <f t="shared" si="303"/>
        <v>2785</v>
      </c>
    </row>
    <row r="983" spans="1:54" x14ac:dyDescent="0.25">
      <c r="A983" s="58">
        <v>35</v>
      </c>
      <c r="B983" s="59">
        <v>1</v>
      </c>
      <c r="C983" s="59">
        <v>2</v>
      </c>
      <c r="D983" s="59">
        <f t="shared" si="285"/>
        <v>0</v>
      </c>
      <c r="E983" s="59">
        <f t="shared" si="286"/>
        <v>1</v>
      </c>
      <c r="F983" s="59">
        <v>662</v>
      </c>
      <c r="G983" s="59">
        <v>1</v>
      </c>
      <c r="H983" s="59">
        <f t="shared" si="287"/>
        <v>1</v>
      </c>
      <c r="I983" s="59">
        <f t="shared" si="288"/>
        <v>0</v>
      </c>
      <c r="J983" s="59">
        <v>18</v>
      </c>
      <c r="K983" s="59">
        <v>4</v>
      </c>
      <c r="L983" s="59">
        <v>4</v>
      </c>
      <c r="M983" s="59">
        <f t="shared" si="289"/>
        <v>0</v>
      </c>
      <c r="N983" s="59">
        <f t="shared" si="290"/>
        <v>0</v>
      </c>
      <c r="O983" s="59">
        <f t="shared" si="291"/>
        <v>0</v>
      </c>
      <c r="P983" s="59">
        <f t="shared" si="292"/>
        <v>1</v>
      </c>
      <c r="Q983" s="59">
        <f t="shared" si="293"/>
        <v>0</v>
      </c>
      <c r="R983" s="59">
        <v>1</v>
      </c>
      <c r="S983" s="59">
        <v>1380</v>
      </c>
      <c r="T983" s="59">
        <v>4</v>
      </c>
      <c r="U983" s="59">
        <v>0</v>
      </c>
      <c r="V983" s="59">
        <v>67</v>
      </c>
      <c r="W983" s="59">
        <v>3</v>
      </c>
      <c r="X983" s="59">
        <v>2</v>
      </c>
      <c r="Y983" s="59">
        <v>1</v>
      </c>
      <c r="Z983" s="59">
        <f t="shared" si="294"/>
        <v>1</v>
      </c>
      <c r="AA983" s="59">
        <f>IF('Updated Dummy'!Y983=2,1,0)</f>
        <v>0</v>
      </c>
      <c r="AB983" s="59">
        <f t="shared" si="295"/>
        <v>0</v>
      </c>
      <c r="AC983" s="59">
        <f t="shared" si="296"/>
        <v>0</v>
      </c>
      <c r="AD983" s="59">
        <f t="shared" si="297"/>
        <v>0</v>
      </c>
      <c r="AE983" s="59">
        <f t="shared" si="298"/>
        <v>0</v>
      </c>
      <c r="AF983" s="59">
        <f t="shared" si="299"/>
        <v>0</v>
      </c>
      <c r="AG983" s="59">
        <f t="shared" si="300"/>
        <v>0</v>
      </c>
      <c r="AH983" s="59">
        <v>3</v>
      </c>
      <c r="AI983" s="59">
        <v>2</v>
      </c>
      <c r="AJ983" s="59">
        <f t="shared" si="301"/>
        <v>0</v>
      </c>
      <c r="AK983" s="59">
        <f t="shared" si="302"/>
        <v>1</v>
      </c>
      <c r="AL983" s="59">
        <v>4614</v>
      </c>
      <c r="AM983" s="59">
        <v>23288</v>
      </c>
      <c r="AN983" s="59">
        <v>0</v>
      </c>
      <c r="AO983" s="59">
        <v>1</v>
      </c>
      <c r="AP983" s="59">
        <v>18</v>
      </c>
      <c r="AQ983" s="59">
        <v>3</v>
      </c>
      <c r="AR983" s="59">
        <v>3</v>
      </c>
      <c r="AS983" s="59">
        <v>80</v>
      </c>
      <c r="AT983" s="59">
        <v>1</v>
      </c>
      <c r="AU983" s="59">
        <v>5</v>
      </c>
      <c r="AV983" s="59">
        <v>0</v>
      </c>
      <c r="AW983" s="59">
        <v>2</v>
      </c>
      <c r="AX983" s="59">
        <v>4</v>
      </c>
      <c r="AY983" s="59">
        <v>2</v>
      </c>
      <c r="AZ983" s="59">
        <v>3</v>
      </c>
      <c r="BA983" s="59">
        <v>2</v>
      </c>
      <c r="BB983" s="57">
        <f t="shared" si="303"/>
        <v>9228</v>
      </c>
    </row>
    <row r="984" spans="1:54" x14ac:dyDescent="0.25">
      <c r="A984" s="58">
        <v>38</v>
      </c>
      <c r="B984" s="59">
        <v>0</v>
      </c>
      <c r="C984" s="59">
        <v>2</v>
      </c>
      <c r="D984" s="59">
        <f t="shared" si="285"/>
        <v>0</v>
      </c>
      <c r="E984" s="59">
        <f t="shared" si="286"/>
        <v>1</v>
      </c>
      <c r="F984" s="59">
        <v>693</v>
      </c>
      <c r="G984" s="59">
        <v>2</v>
      </c>
      <c r="H984" s="59">
        <f t="shared" si="287"/>
        <v>0</v>
      </c>
      <c r="I984" s="59">
        <f t="shared" si="288"/>
        <v>1</v>
      </c>
      <c r="J984" s="59">
        <v>7</v>
      </c>
      <c r="K984" s="59">
        <v>3</v>
      </c>
      <c r="L984" s="59">
        <v>1</v>
      </c>
      <c r="M984" s="59">
        <f t="shared" si="289"/>
        <v>1</v>
      </c>
      <c r="N984" s="59">
        <f t="shared" si="290"/>
        <v>0</v>
      </c>
      <c r="O984" s="59">
        <f t="shared" si="291"/>
        <v>0</v>
      </c>
      <c r="P984" s="59">
        <f t="shared" si="292"/>
        <v>0</v>
      </c>
      <c r="Q984" s="59">
        <f t="shared" si="293"/>
        <v>0</v>
      </c>
      <c r="R984" s="59">
        <v>1</v>
      </c>
      <c r="S984" s="59">
        <v>1382</v>
      </c>
      <c r="T984" s="59">
        <v>4</v>
      </c>
      <c r="U984" s="59">
        <v>1</v>
      </c>
      <c r="V984" s="59">
        <v>57</v>
      </c>
      <c r="W984" s="59">
        <v>4</v>
      </c>
      <c r="X984" s="59">
        <v>1</v>
      </c>
      <c r="Y984" s="59">
        <v>2</v>
      </c>
      <c r="Z984" s="59">
        <f t="shared" si="294"/>
        <v>0</v>
      </c>
      <c r="AA984" s="59">
        <f>IF('Updated Dummy'!Y984=2,1,0)</f>
        <v>1</v>
      </c>
      <c r="AB984" s="59">
        <f t="shared" si="295"/>
        <v>0</v>
      </c>
      <c r="AC984" s="59">
        <f t="shared" si="296"/>
        <v>0</v>
      </c>
      <c r="AD984" s="59">
        <f t="shared" si="297"/>
        <v>0</v>
      </c>
      <c r="AE984" s="59">
        <f t="shared" si="298"/>
        <v>0</v>
      </c>
      <c r="AF984" s="59">
        <f t="shared" si="299"/>
        <v>0</v>
      </c>
      <c r="AG984" s="59">
        <f t="shared" si="300"/>
        <v>0</v>
      </c>
      <c r="AH984" s="59">
        <v>3</v>
      </c>
      <c r="AI984" s="59">
        <v>3</v>
      </c>
      <c r="AJ984" s="59">
        <f t="shared" si="301"/>
        <v>0</v>
      </c>
      <c r="AK984" s="59">
        <f t="shared" si="302"/>
        <v>0</v>
      </c>
      <c r="AL984" s="59">
        <v>2610</v>
      </c>
      <c r="AM984" s="59">
        <v>15748</v>
      </c>
      <c r="AN984" s="59">
        <v>1</v>
      </c>
      <c r="AO984" s="59">
        <v>0</v>
      </c>
      <c r="AP984" s="59">
        <v>11</v>
      </c>
      <c r="AQ984" s="59">
        <v>3</v>
      </c>
      <c r="AR984" s="59">
        <v>4</v>
      </c>
      <c r="AS984" s="59">
        <v>80</v>
      </c>
      <c r="AT984" s="59">
        <v>3</v>
      </c>
      <c r="AU984" s="59">
        <v>4</v>
      </c>
      <c r="AV984" s="59">
        <v>2</v>
      </c>
      <c r="AW984" s="59">
        <v>3</v>
      </c>
      <c r="AX984" s="59">
        <v>4</v>
      </c>
      <c r="AY984" s="59">
        <v>2</v>
      </c>
      <c r="AZ984" s="59">
        <v>0</v>
      </c>
      <c r="BA984" s="59">
        <v>3</v>
      </c>
      <c r="BB984" s="57">
        <f t="shared" si="303"/>
        <v>2610</v>
      </c>
    </row>
    <row r="985" spans="1:54" x14ac:dyDescent="0.25">
      <c r="A985" s="58">
        <v>34</v>
      </c>
      <c r="B985" s="59">
        <v>0</v>
      </c>
      <c r="C985" s="59">
        <v>1</v>
      </c>
      <c r="D985" s="59">
        <f t="shared" si="285"/>
        <v>1</v>
      </c>
      <c r="E985" s="59">
        <f t="shared" si="286"/>
        <v>0</v>
      </c>
      <c r="F985" s="59">
        <v>404</v>
      </c>
      <c r="G985" s="59">
        <v>2</v>
      </c>
      <c r="H985" s="59">
        <f t="shared" si="287"/>
        <v>0</v>
      </c>
      <c r="I985" s="59">
        <f t="shared" si="288"/>
        <v>1</v>
      </c>
      <c r="J985" s="59">
        <v>2</v>
      </c>
      <c r="K985" s="59">
        <v>4</v>
      </c>
      <c r="L985" s="59">
        <v>5</v>
      </c>
      <c r="M985" s="59">
        <f t="shared" si="289"/>
        <v>0</v>
      </c>
      <c r="N985" s="59">
        <f t="shared" si="290"/>
        <v>0</v>
      </c>
      <c r="O985" s="59">
        <f t="shared" si="291"/>
        <v>0</v>
      </c>
      <c r="P985" s="59">
        <f t="shared" si="292"/>
        <v>0</v>
      </c>
      <c r="Q985" s="59">
        <f t="shared" si="293"/>
        <v>1</v>
      </c>
      <c r="R985" s="59">
        <v>1</v>
      </c>
      <c r="S985" s="59">
        <v>1383</v>
      </c>
      <c r="T985" s="59">
        <v>3</v>
      </c>
      <c r="U985" s="59">
        <v>0</v>
      </c>
      <c r="V985" s="59">
        <v>98</v>
      </c>
      <c r="W985" s="59">
        <v>3</v>
      </c>
      <c r="X985" s="59">
        <v>2</v>
      </c>
      <c r="Y985" s="59">
        <v>5</v>
      </c>
      <c r="Z985" s="59">
        <f t="shared" si="294"/>
        <v>0</v>
      </c>
      <c r="AA985" s="59">
        <f>IF('Updated Dummy'!Y985=2,1,0)</f>
        <v>0</v>
      </c>
      <c r="AB985" s="59">
        <f t="shared" si="295"/>
        <v>0</v>
      </c>
      <c r="AC985" s="59">
        <f t="shared" si="296"/>
        <v>0</v>
      </c>
      <c r="AD985" s="59">
        <f t="shared" si="297"/>
        <v>1</v>
      </c>
      <c r="AE985" s="59">
        <f t="shared" si="298"/>
        <v>0</v>
      </c>
      <c r="AF985" s="59">
        <f t="shared" si="299"/>
        <v>0</v>
      </c>
      <c r="AG985" s="59">
        <f t="shared" si="300"/>
        <v>0</v>
      </c>
      <c r="AH985" s="59">
        <v>4</v>
      </c>
      <c r="AI985" s="59">
        <v>1</v>
      </c>
      <c r="AJ985" s="59">
        <f t="shared" si="301"/>
        <v>1</v>
      </c>
      <c r="AK985" s="59">
        <f t="shared" si="302"/>
        <v>0</v>
      </c>
      <c r="AL985" s="59">
        <v>6687</v>
      </c>
      <c r="AM985" s="59">
        <v>6163</v>
      </c>
      <c r="AN985" s="59">
        <v>1</v>
      </c>
      <c r="AO985" s="59">
        <v>0</v>
      </c>
      <c r="AP985" s="59">
        <v>11</v>
      </c>
      <c r="AQ985" s="59">
        <v>3</v>
      </c>
      <c r="AR985" s="59">
        <v>4</v>
      </c>
      <c r="AS985" s="59">
        <v>80</v>
      </c>
      <c r="AT985" s="59">
        <v>0</v>
      </c>
      <c r="AU985" s="59">
        <v>14</v>
      </c>
      <c r="AV985" s="59">
        <v>2</v>
      </c>
      <c r="AW985" s="59">
        <v>4</v>
      </c>
      <c r="AX985" s="59">
        <v>14</v>
      </c>
      <c r="AY985" s="59">
        <v>11</v>
      </c>
      <c r="AZ985" s="59">
        <v>4</v>
      </c>
      <c r="BA985" s="59">
        <v>11</v>
      </c>
      <c r="BB985" s="57">
        <f t="shared" si="303"/>
        <v>13374</v>
      </c>
    </row>
    <row r="986" spans="1:54" x14ac:dyDescent="0.25">
      <c r="A986" s="58">
        <v>28</v>
      </c>
      <c r="B986" s="59">
        <v>0</v>
      </c>
      <c r="C986" s="59">
        <v>1</v>
      </c>
      <c r="D986" s="59">
        <f t="shared" si="285"/>
        <v>1</v>
      </c>
      <c r="E986" s="59">
        <f t="shared" si="286"/>
        <v>0</v>
      </c>
      <c r="F986" s="59">
        <v>736</v>
      </c>
      <c r="G986" s="59">
        <v>1</v>
      </c>
      <c r="H986" s="59">
        <f t="shared" si="287"/>
        <v>1</v>
      </c>
      <c r="I986" s="59">
        <f t="shared" si="288"/>
        <v>0</v>
      </c>
      <c r="J986" s="59">
        <v>26</v>
      </c>
      <c r="K986" s="59">
        <v>3</v>
      </c>
      <c r="L986" s="59">
        <v>1</v>
      </c>
      <c r="M986" s="59">
        <f t="shared" si="289"/>
        <v>1</v>
      </c>
      <c r="N986" s="59">
        <f t="shared" si="290"/>
        <v>0</v>
      </c>
      <c r="O986" s="59">
        <f t="shared" si="291"/>
        <v>0</v>
      </c>
      <c r="P986" s="59">
        <f t="shared" si="292"/>
        <v>0</v>
      </c>
      <c r="Q986" s="59">
        <f t="shared" si="293"/>
        <v>0</v>
      </c>
      <c r="R986" s="59">
        <v>1</v>
      </c>
      <c r="S986" s="59">
        <v>1387</v>
      </c>
      <c r="T986" s="59">
        <v>3</v>
      </c>
      <c r="U986" s="59">
        <v>1</v>
      </c>
      <c r="V986" s="59">
        <v>48</v>
      </c>
      <c r="W986" s="59">
        <v>2</v>
      </c>
      <c r="X986" s="59">
        <v>2</v>
      </c>
      <c r="Y986" s="59">
        <v>1</v>
      </c>
      <c r="Z986" s="59">
        <f t="shared" si="294"/>
        <v>1</v>
      </c>
      <c r="AA986" s="59">
        <f>IF('Updated Dummy'!Y986=2,1,0)</f>
        <v>0</v>
      </c>
      <c r="AB986" s="59">
        <f t="shared" si="295"/>
        <v>0</v>
      </c>
      <c r="AC986" s="59">
        <f t="shared" si="296"/>
        <v>0</v>
      </c>
      <c r="AD986" s="59">
        <f t="shared" si="297"/>
        <v>0</v>
      </c>
      <c r="AE986" s="59">
        <f t="shared" si="298"/>
        <v>0</v>
      </c>
      <c r="AF986" s="59">
        <f t="shared" si="299"/>
        <v>0</v>
      </c>
      <c r="AG986" s="59">
        <f t="shared" si="300"/>
        <v>0</v>
      </c>
      <c r="AH986" s="59">
        <v>1</v>
      </c>
      <c r="AI986" s="59">
        <v>2</v>
      </c>
      <c r="AJ986" s="59">
        <f t="shared" si="301"/>
        <v>0</v>
      </c>
      <c r="AK986" s="59">
        <f t="shared" si="302"/>
        <v>1</v>
      </c>
      <c r="AL986" s="59">
        <v>4724</v>
      </c>
      <c r="AM986" s="59">
        <v>24232</v>
      </c>
      <c r="AN986" s="59">
        <v>1</v>
      </c>
      <c r="AO986" s="59">
        <v>0</v>
      </c>
      <c r="AP986" s="59">
        <v>11</v>
      </c>
      <c r="AQ986" s="59">
        <v>3</v>
      </c>
      <c r="AR986" s="59">
        <v>3</v>
      </c>
      <c r="AS986" s="59">
        <v>80</v>
      </c>
      <c r="AT986" s="59">
        <v>1</v>
      </c>
      <c r="AU986" s="59">
        <v>5</v>
      </c>
      <c r="AV986" s="59">
        <v>0</v>
      </c>
      <c r="AW986" s="59">
        <v>3</v>
      </c>
      <c r="AX986" s="59">
        <v>5</v>
      </c>
      <c r="AY986" s="59">
        <v>3</v>
      </c>
      <c r="AZ986" s="59">
        <v>0</v>
      </c>
      <c r="BA986" s="59">
        <v>4</v>
      </c>
      <c r="BB986" s="57">
        <f t="shared" si="303"/>
        <v>9448</v>
      </c>
    </row>
    <row r="987" spans="1:54" x14ac:dyDescent="0.25">
      <c r="A987" s="58">
        <v>31</v>
      </c>
      <c r="B987" s="59">
        <v>1</v>
      </c>
      <c r="C987" s="59">
        <v>1</v>
      </c>
      <c r="D987" s="59">
        <f t="shared" si="285"/>
        <v>1</v>
      </c>
      <c r="E987" s="59">
        <f t="shared" si="286"/>
        <v>0</v>
      </c>
      <c r="F987" s="59">
        <v>330</v>
      </c>
      <c r="G987" s="59">
        <v>2</v>
      </c>
      <c r="H987" s="59">
        <f t="shared" si="287"/>
        <v>0</v>
      </c>
      <c r="I987" s="59">
        <f t="shared" si="288"/>
        <v>1</v>
      </c>
      <c r="J987" s="59">
        <v>22</v>
      </c>
      <c r="K987" s="59">
        <v>4</v>
      </c>
      <c r="L987" s="59">
        <v>3</v>
      </c>
      <c r="M987" s="59">
        <f t="shared" si="289"/>
        <v>0</v>
      </c>
      <c r="N987" s="59">
        <f t="shared" si="290"/>
        <v>0</v>
      </c>
      <c r="O987" s="59">
        <f t="shared" si="291"/>
        <v>1</v>
      </c>
      <c r="P987" s="59">
        <f t="shared" si="292"/>
        <v>0</v>
      </c>
      <c r="Q987" s="59">
        <f t="shared" si="293"/>
        <v>0</v>
      </c>
      <c r="R987" s="59">
        <v>1</v>
      </c>
      <c r="S987" s="59">
        <v>1389</v>
      </c>
      <c r="T987" s="59">
        <v>4</v>
      </c>
      <c r="U987" s="59">
        <v>1</v>
      </c>
      <c r="V987" s="59">
        <v>98</v>
      </c>
      <c r="W987" s="59">
        <v>3</v>
      </c>
      <c r="X987" s="59">
        <v>2</v>
      </c>
      <c r="Y987" s="59">
        <v>4</v>
      </c>
      <c r="Z987" s="59">
        <f t="shared" si="294"/>
        <v>0</v>
      </c>
      <c r="AA987" s="59">
        <f>IF('Updated Dummy'!Y987=2,1,0)</f>
        <v>0</v>
      </c>
      <c r="AB987" s="59">
        <f t="shared" si="295"/>
        <v>0</v>
      </c>
      <c r="AC987" s="59">
        <f t="shared" si="296"/>
        <v>1</v>
      </c>
      <c r="AD987" s="59">
        <f t="shared" si="297"/>
        <v>0</v>
      </c>
      <c r="AE987" s="59">
        <f t="shared" si="298"/>
        <v>0</v>
      </c>
      <c r="AF987" s="59">
        <f t="shared" si="299"/>
        <v>0</v>
      </c>
      <c r="AG987" s="59">
        <f t="shared" si="300"/>
        <v>0</v>
      </c>
      <c r="AH987" s="59">
        <v>3</v>
      </c>
      <c r="AI987" s="59">
        <v>2</v>
      </c>
      <c r="AJ987" s="59">
        <f t="shared" si="301"/>
        <v>0</v>
      </c>
      <c r="AK987" s="59">
        <f t="shared" si="302"/>
        <v>1</v>
      </c>
      <c r="AL987" s="59">
        <v>6179</v>
      </c>
      <c r="AM987" s="59">
        <v>21057</v>
      </c>
      <c r="AN987" s="59">
        <v>1</v>
      </c>
      <c r="AO987" s="59">
        <v>1</v>
      </c>
      <c r="AP987" s="59">
        <v>15</v>
      </c>
      <c r="AQ987" s="59">
        <v>3</v>
      </c>
      <c r="AR987" s="59">
        <v>4</v>
      </c>
      <c r="AS987" s="59">
        <v>80</v>
      </c>
      <c r="AT987" s="59">
        <v>2</v>
      </c>
      <c r="AU987" s="59">
        <v>10</v>
      </c>
      <c r="AV987" s="59">
        <v>3</v>
      </c>
      <c r="AW987" s="59">
        <v>2</v>
      </c>
      <c r="AX987" s="59">
        <v>10</v>
      </c>
      <c r="AY987" s="59">
        <v>2</v>
      </c>
      <c r="AZ987" s="59">
        <v>6</v>
      </c>
      <c r="BA987" s="59">
        <v>7</v>
      </c>
      <c r="BB987" s="57">
        <f t="shared" si="303"/>
        <v>12358</v>
      </c>
    </row>
    <row r="988" spans="1:54" x14ac:dyDescent="0.25">
      <c r="A988" s="58">
        <v>39</v>
      </c>
      <c r="B988" s="59">
        <v>0</v>
      </c>
      <c r="C988" s="59">
        <v>1</v>
      </c>
      <c r="D988" s="59">
        <f t="shared" si="285"/>
        <v>1</v>
      </c>
      <c r="E988" s="59">
        <f t="shared" si="286"/>
        <v>0</v>
      </c>
      <c r="F988" s="59">
        <v>1498</v>
      </c>
      <c r="G988" s="59">
        <v>1</v>
      </c>
      <c r="H988" s="59">
        <f t="shared" si="287"/>
        <v>1</v>
      </c>
      <c r="I988" s="59">
        <f t="shared" si="288"/>
        <v>0</v>
      </c>
      <c r="J988" s="59">
        <v>21</v>
      </c>
      <c r="K988" s="59">
        <v>4</v>
      </c>
      <c r="L988" s="59">
        <v>1</v>
      </c>
      <c r="M988" s="59">
        <f t="shared" si="289"/>
        <v>1</v>
      </c>
      <c r="N988" s="59">
        <f t="shared" si="290"/>
        <v>0</v>
      </c>
      <c r="O988" s="59">
        <f t="shared" si="291"/>
        <v>0</v>
      </c>
      <c r="P988" s="59">
        <f t="shared" si="292"/>
        <v>0</v>
      </c>
      <c r="Q988" s="59">
        <f t="shared" si="293"/>
        <v>0</v>
      </c>
      <c r="R988" s="59">
        <v>1</v>
      </c>
      <c r="S988" s="59">
        <v>1390</v>
      </c>
      <c r="T988" s="59">
        <v>1</v>
      </c>
      <c r="U988" s="59">
        <v>1</v>
      </c>
      <c r="V988" s="59">
        <v>44</v>
      </c>
      <c r="W988" s="59">
        <v>2</v>
      </c>
      <c r="X988" s="59">
        <v>2</v>
      </c>
      <c r="Y988" s="59">
        <v>1</v>
      </c>
      <c r="Z988" s="59">
        <f t="shared" si="294"/>
        <v>1</v>
      </c>
      <c r="AA988" s="59">
        <f>IF('Updated Dummy'!Y988=2,1,0)</f>
        <v>0</v>
      </c>
      <c r="AB988" s="59">
        <f t="shared" si="295"/>
        <v>0</v>
      </c>
      <c r="AC988" s="59">
        <f t="shared" si="296"/>
        <v>0</v>
      </c>
      <c r="AD988" s="59">
        <f t="shared" si="297"/>
        <v>0</v>
      </c>
      <c r="AE988" s="59">
        <f t="shared" si="298"/>
        <v>0</v>
      </c>
      <c r="AF988" s="59">
        <f t="shared" si="299"/>
        <v>0</v>
      </c>
      <c r="AG988" s="59">
        <f t="shared" si="300"/>
        <v>0</v>
      </c>
      <c r="AH988" s="59">
        <v>4</v>
      </c>
      <c r="AI988" s="59">
        <v>2</v>
      </c>
      <c r="AJ988" s="59">
        <f t="shared" si="301"/>
        <v>0</v>
      </c>
      <c r="AK988" s="59">
        <f t="shared" si="302"/>
        <v>1</v>
      </c>
      <c r="AL988" s="59">
        <v>6120</v>
      </c>
      <c r="AM988" s="59">
        <v>3567</v>
      </c>
      <c r="AN988" s="59">
        <v>3</v>
      </c>
      <c r="AO988" s="59">
        <v>1</v>
      </c>
      <c r="AP988" s="59">
        <v>12</v>
      </c>
      <c r="AQ988" s="59">
        <v>3</v>
      </c>
      <c r="AR988" s="59">
        <v>4</v>
      </c>
      <c r="AS988" s="59">
        <v>80</v>
      </c>
      <c r="AT988" s="59">
        <v>2</v>
      </c>
      <c r="AU988" s="59">
        <v>8</v>
      </c>
      <c r="AV988" s="59">
        <v>2</v>
      </c>
      <c r="AW988" s="59">
        <v>4</v>
      </c>
      <c r="AX988" s="59">
        <v>5</v>
      </c>
      <c r="AY988" s="59">
        <v>4</v>
      </c>
      <c r="AZ988" s="59">
        <v>1</v>
      </c>
      <c r="BA988" s="59">
        <v>4</v>
      </c>
      <c r="BB988" s="57">
        <f t="shared" si="303"/>
        <v>12240</v>
      </c>
    </row>
    <row r="989" spans="1:54" x14ac:dyDescent="0.25">
      <c r="A989" s="58">
        <v>51</v>
      </c>
      <c r="B989" s="59">
        <v>0</v>
      </c>
      <c r="C989" s="59">
        <v>2</v>
      </c>
      <c r="D989" s="59">
        <f t="shared" si="285"/>
        <v>0</v>
      </c>
      <c r="E989" s="59">
        <f t="shared" si="286"/>
        <v>1</v>
      </c>
      <c r="F989" s="59">
        <v>541</v>
      </c>
      <c r="G989" s="59">
        <v>1</v>
      </c>
      <c r="H989" s="59">
        <f t="shared" si="287"/>
        <v>1</v>
      </c>
      <c r="I989" s="59">
        <f t="shared" si="288"/>
        <v>0</v>
      </c>
      <c r="J989" s="59">
        <v>2</v>
      </c>
      <c r="K989" s="59">
        <v>3</v>
      </c>
      <c r="L989" s="59">
        <v>4</v>
      </c>
      <c r="M989" s="59">
        <f t="shared" si="289"/>
        <v>0</v>
      </c>
      <c r="N989" s="59">
        <f t="shared" si="290"/>
        <v>0</v>
      </c>
      <c r="O989" s="59">
        <f t="shared" si="291"/>
        <v>0</v>
      </c>
      <c r="P989" s="59">
        <f t="shared" si="292"/>
        <v>1</v>
      </c>
      <c r="Q989" s="59">
        <f t="shared" si="293"/>
        <v>0</v>
      </c>
      <c r="R989" s="59">
        <v>1</v>
      </c>
      <c r="S989" s="59">
        <v>1391</v>
      </c>
      <c r="T989" s="59">
        <v>2</v>
      </c>
      <c r="U989" s="59">
        <v>1</v>
      </c>
      <c r="V989" s="59">
        <v>52</v>
      </c>
      <c r="W989" s="59">
        <v>3</v>
      </c>
      <c r="X989" s="59">
        <v>3</v>
      </c>
      <c r="Y989" s="59">
        <v>1</v>
      </c>
      <c r="Z989" s="59">
        <f t="shared" si="294"/>
        <v>1</v>
      </c>
      <c r="AA989" s="59">
        <f>IF('Updated Dummy'!Y989=2,1,0)</f>
        <v>0</v>
      </c>
      <c r="AB989" s="59">
        <f t="shared" si="295"/>
        <v>0</v>
      </c>
      <c r="AC989" s="59">
        <f t="shared" si="296"/>
        <v>0</v>
      </c>
      <c r="AD989" s="59">
        <f t="shared" si="297"/>
        <v>0</v>
      </c>
      <c r="AE989" s="59">
        <f t="shared" si="298"/>
        <v>0</v>
      </c>
      <c r="AF989" s="59">
        <f t="shared" si="299"/>
        <v>0</v>
      </c>
      <c r="AG989" s="59">
        <f t="shared" si="300"/>
        <v>0</v>
      </c>
      <c r="AH989" s="59">
        <v>2</v>
      </c>
      <c r="AI989" s="59">
        <v>2</v>
      </c>
      <c r="AJ989" s="59">
        <f t="shared" si="301"/>
        <v>0</v>
      </c>
      <c r="AK989" s="59">
        <f t="shared" si="302"/>
        <v>1</v>
      </c>
      <c r="AL989" s="59">
        <v>10596</v>
      </c>
      <c r="AM989" s="59">
        <v>15395</v>
      </c>
      <c r="AN989" s="59">
        <v>2</v>
      </c>
      <c r="AO989" s="59">
        <v>0</v>
      </c>
      <c r="AP989" s="59">
        <v>11</v>
      </c>
      <c r="AQ989" s="59">
        <v>3</v>
      </c>
      <c r="AR989" s="59">
        <v>2</v>
      </c>
      <c r="AS989" s="59">
        <v>80</v>
      </c>
      <c r="AT989" s="59">
        <v>0</v>
      </c>
      <c r="AU989" s="59">
        <v>14</v>
      </c>
      <c r="AV989" s="59">
        <v>5</v>
      </c>
      <c r="AW989" s="59">
        <v>3</v>
      </c>
      <c r="AX989" s="59">
        <v>4</v>
      </c>
      <c r="AY989" s="59">
        <v>2</v>
      </c>
      <c r="AZ989" s="59">
        <v>3</v>
      </c>
      <c r="BA989" s="59">
        <v>2</v>
      </c>
      <c r="BB989" s="57">
        <f t="shared" si="303"/>
        <v>31788</v>
      </c>
    </row>
    <row r="990" spans="1:54" x14ac:dyDescent="0.25">
      <c r="A990" s="58">
        <v>41</v>
      </c>
      <c r="B990" s="59">
        <v>0</v>
      </c>
      <c r="C990" s="59">
        <v>2</v>
      </c>
      <c r="D990" s="59">
        <f t="shared" si="285"/>
        <v>0</v>
      </c>
      <c r="E990" s="59">
        <f t="shared" si="286"/>
        <v>1</v>
      </c>
      <c r="F990" s="59">
        <v>1200</v>
      </c>
      <c r="G990" s="59">
        <v>2</v>
      </c>
      <c r="H990" s="59">
        <f t="shared" si="287"/>
        <v>0</v>
      </c>
      <c r="I990" s="59">
        <f t="shared" si="288"/>
        <v>1</v>
      </c>
      <c r="J990" s="59">
        <v>22</v>
      </c>
      <c r="K990" s="59">
        <v>3</v>
      </c>
      <c r="L990" s="59">
        <v>1</v>
      </c>
      <c r="M990" s="59">
        <f t="shared" si="289"/>
        <v>1</v>
      </c>
      <c r="N990" s="59">
        <f t="shared" si="290"/>
        <v>0</v>
      </c>
      <c r="O990" s="59">
        <f t="shared" si="291"/>
        <v>0</v>
      </c>
      <c r="P990" s="59">
        <f t="shared" si="292"/>
        <v>0</v>
      </c>
      <c r="Q990" s="59">
        <f t="shared" si="293"/>
        <v>0</v>
      </c>
      <c r="R990" s="59">
        <v>1</v>
      </c>
      <c r="S990" s="59">
        <v>1392</v>
      </c>
      <c r="T990" s="59">
        <v>4</v>
      </c>
      <c r="U990" s="59">
        <v>0</v>
      </c>
      <c r="V990" s="59">
        <v>75</v>
      </c>
      <c r="W990" s="59">
        <v>3</v>
      </c>
      <c r="X990" s="59">
        <v>2</v>
      </c>
      <c r="Y990" s="59">
        <v>2</v>
      </c>
      <c r="Z990" s="59">
        <f t="shared" si="294"/>
        <v>0</v>
      </c>
      <c r="AA990" s="59">
        <f>IF('Updated Dummy'!Y990=2,1,0)</f>
        <v>1</v>
      </c>
      <c r="AB990" s="59">
        <f t="shared" si="295"/>
        <v>0</v>
      </c>
      <c r="AC990" s="59">
        <f t="shared" si="296"/>
        <v>0</v>
      </c>
      <c r="AD990" s="59">
        <f t="shared" si="297"/>
        <v>0</v>
      </c>
      <c r="AE990" s="59">
        <f t="shared" si="298"/>
        <v>0</v>
      </c>
      <c r="AF990" s="59">
        <f t="shared" si="299"/>
        <v>0</v>
      </c>
      <c r="AG990" s="59">
        <f t="shared" si="300"/>
        <v>0</v>
      </c>
      <c r="AH990" s="59">
        <v>4</v>
      </c>
      <c r="AI990" s="59">
        <v>3</v>
      </c>
      <c r="AJ990" s="59">
        <f t="shared" si="301"/>
        <v>0</v>
      </c>
      <c r="AK990" s="59">
        <f t="shared" si="302"/>
        <v>0</v>
      </c>
      <c r="AL990" s="59">
        <v>5467</v>
      </c>
      <c r="AM990" s="59">
        <v>13953</v>
      </c>
      <c r="AN990" s="59">
        <v>3</v>
      </c>
      <c r="AO990" s="59">
        <v>1</v>
      </c>
      <c r="AP990" s="59">
        <v>14</v>
      </c>
      <c r="AQ990" s="59">
        <v>3</v>
      </c>
      <c r="AR990" s="59">
        <v>1</v>
      </c>
      <c r="AS990" s="59">
        <v>80</v>
      </c>
      <c r="AT990" s="59">
        <v>2</v>
      </c>
      <c r="AU990" s="59">
        <v>12</v>
      </c>
      <c r="AV990" s="59">
        <v>4</v>
      </c>
      <c r="AW990" s="59">
        <v>2</v>
      </c>
      <c r="AX990" s="59">
        <v>6</v>
      </c>
      <c r="AY990" s="59">
        <v>2</v>
      </c>
      <c r="AZ990" s="59">
        <v>3</v>
      </c>
      <c r="BA990" s="59">
        <v>3</v>
      </c>
      <c r="BB990" s="57">
        <f t="shared" si="303"/>
        <v>10934</v>
      </c>
    </row>
    <row r="991" spans="1:54" x14ac:dyDescent="0.25">
      <c r="A991" s="58">
        <v>37</v>
      </c>
      <c r="B991" s="59">
        <v>0</v>
      </c>
      <c r="C991" s="59">
        <v>1</v>
      </c>
      <c r="D991" s="59">
        <f t="shared" si="285"/>
        <v>1</v>
      </c>
      <c r="E991" s="59">
        <f t="shared" si="286"/>
        <v>0</v>
      </c>
      <c r="F991" s="59">
        <v>1439</v>
      </c>
      <c r="G991" s="59">
        <v>2</v>
      </c>
      <c r="H991" s="59">
        <f t="shared" si="287"/>
        <v>0</v>
      </c>
      <c r="I991" s="59">
        <f t="shared" si="288"/>
        <v>1</v>
      </c>
      <c r="J991" s="59">
        <v>4</v>
      </c>
      <c r="K991" s="59">
        <v>1</v>
      </c>
      <c r="L991" s="59">
        <v>1</v>
      </c>
      <c r="M991" s="59">
        <f t="shared" si="289"/>
        <v>1</v>
      </c>
      <c r="N991" s="59">
        <f t="shared" si="290"/>
        <v>0</v>
      </c>
      <c r="O991" s="59">
        <f t="shared" si="291"/>
        <v>0</v>
      </c>
      <c r="P991" s="59">
        <f t="shared" si="292"/>
        <v>0</v>
      </c>
      <c r="Q991" s="59">
        <f t="shared" si="293"/>
        <v>0</v>
      </c>
      <c r="R991" s="59">
        <v>1</v>
      </c>
      <c r="S991" s="59">
        <v>1394</v>
      </c>
      <c r="T991" s="59">
        <v>3</v>
      </c>
      <c r="U991" s="59">
        <v>1</v>
      </c>
      <c r="V991" s="59">
        <v>54</v>
      </c>
      <c r="W991" s="59">
        <v>3</v>
      </c>
      <c r="X991" s="59">
        <v>1</v>
      </c>
      <c r="Y991" s="59">
        <v>2</v>
      </c>
      <c r="Z991" s="59">
        <f t="shared" si="294"/>
        <v>0</v>
      </c>
      <c r="AA991" s="59">
        <f>IF('Updated Dummy'!Y991=2,1,0)</f>
        <v>1</v>
      </c>
      <c r="AB991" s="59">
        <f t="shared" si="295"/>
        <v>0</v>
      </c>
      <c r="AC991" s="59">
        <f t="shared" si="296"/>
        <v>0</v>
      </c>
      <c r="AD991" s="59">
        <f t="shared" si="297"/>
        <v>0</v>
      </c>
      <c r="AE991" s="59">
        <f t="shared" si="298"/>
        <v>0</v>
      </c>
      <c r="AF991" s="59">
        <f t="shared" si="299"/>
        <v>0</v>
      </c>
      <c r="AG991" s="59">
        <f t="shared" si="300"/>
        <v>0</v>
      </c>
      <c r="AH991" s="59">
        <v>3</v>
      </c>
      <c r="AI991" s="59">
        <v>2</v>
      </c>
      <c r="AJ991" s="59">
        <f t="shared" si="301"/>
        <v>0</v>
      </c>
      <c r="AK991" s="59">
        <f t="shared" si="302"/>
        <v>1</v>
      </c>
      <c r="AL991" s="59">
        <v>2996</v>
      </c>
      <c r="AM991" s="59">
        <v>5182</v>
      </c>
      <c r="AN991" s="59">
        <v>7</v>
      </c>
      <c r="AO991" s="59">
        <v>1</v>
      </c>
      <c r="AP991" s="59">
        <v>15</v>
      </c>
      <c r="AQ991" s="59">
        <v>3</v>
      </c>
      <c r="AR991" s="59">
        <v>4</v>
      </c>
      <c r="AS991" s="59">
        <v>80</v>
      </c>
      <c r="AT991" s="59">
        <v>0</v>
      </c>
      <c r="AU991" s="59">
        <v>8</v>
      </c>
      <c r="AV991" s="59">
        <v>2</v>
      </c>
      <c r="AW991" s="59">
        <v>3</v>
      </c>
      <c r="AX991" s="59">
        <v>6</v>
      </c>
      <c r="AY991" s="59">
        <v>4</v>
      </c>
      <c r="AZ991" s="59">
        <v>1</v>
      </c>
      <c r="BA991" s="59">
        <v>3</v>
      </c>
      <c r="BB991" s="57">
        <f t="shared" si="303"/>
        <v>2996</v>
      </c>
    </row>
    <row r="992" spans="1:54" x14ac:dyDescent="0.25">
      <c r="A992" s="58">
        <v>33</v>
      </c>
      <c r="B992" s="59">
        <v>0</v>
      </c>
      <c r="C992" s="59">
        <v>2</v>
      </c>
      <c r="D992" s="59">
        <f t="shared" si="285"/>
        <v>0</v>
      </c>
      <c r="E992" s="59">
        <f t="shared" si="286"/>
        <v>1</v>
      </c>
      <c r="F992" s="59">
        <v>1111</v>
      </c>
      <c r="G992" s="59">
        <v>1</v>
      </c>
      <c r="H992" s="59">
        <f t="shared" si="287"/>
        <v>1</v>
      </c>
      <c r="I992" s="59">
        <f t="shared" si="288"/>
        <v>0</v>
      </c>
      <c r="J992" s="59">
        <v>5</v>
      </c>
      <c r="K992" s="59">
        <v>1</v>
      </c>
      <c r="L992" s="59">
        <v>1</v>
      </c>
      <c r="M992" s="59">
        <f t="shared" si="289"/>
        <v>1</v>
      </c>
      <c r="N992" s="59">
        <f t="shared" si="290"/>
        <v>0</v>
      </c>
      <c r="O992" s="59">
        <f t="shared" si="291"/>
        <v>0</v>
      </c>
      <c r="P992" s="59">
        <f t="shared" si="292"/>
        <v>0</v>
      </c>
      <c r="Q992" s="59">
        <f t="shared" si="293"/>
        <v>0</v>
      </c>
      <c r="R992" s="59">
        <v>1</v>
      </c>
      <c r="S992" s="59">
        <v>1395</v>
      </c>
      <c r="T992" s="59">
        <v>2</v>
      </c>
      <c r="U992" s="59">
        <v>1</v>
      </c>
      <c r="V992" s="59">
        <v>61</v>
      </c>
      <c r="W992" s="59">
        <v>3</v>
      </c>
      <c r="X992" s="59">
        <v>2</v>
      </c>
      <c r="Y992" s="59">
        <v>1</v>
      </c>
      <c r="Z992" s="59">
        <f t="shared" si="294"/>
        <v>1</v>
      </c>
      <c r="AA992" s="59">
        <f>IF('Updated Dummy'!Y992=2,1,0)</f>
        <v>0</v>
      </c>
      <c r="AB992" s="59">
        <f t="shared" si="295"/>
        <v>0</v>
      </c>
      <c r="AC992" s="59">
        <f t="shared" si="296"/>
        <v>0</v>
      </c>
      <c r="AD992" s="59">
        <f t="shared" si="297"/>
        <v>0</v>
      </c>
      <c r="AE992" s="59">
        <f t="shared" si="298"/>
        <v>0</v>
      </c>
      <c r="AF992" s="59">
        <f t="shared" si="299"/>
        <v>0</v>
      </c>
      <c r="AG992" s="59">
        <f t="shared" si="300"/>
        <v>0</v>
      </c>
      <c r="AH992" s="59">
        <v>4</v>
      </c>
      <c r="AI992" s="59">
        <v>2</v>
      </c>
      <c r="AJ992" s="59">
        <f t="shared" si="301"/>
        <v>0</v>
      </c>
      <c r="AK992" s="59">
        <f t="shared" si="302"/>
        <v>1</v>
      </c>
      <c r="AL992" s="59">
        <v>9998</v>
      </c>
      <c r="AM992" s="59">
        <v>19293</v>
      </c>
      <c r="AN992" s="59">
        <v>6</v>
      </c>
      <c r="AO992" s="59">
        <v>0</v>
      </c>
      <c r="AP992" s="59">
        <v>13</v>
      </c>
      <c r="AQ992" s="59">
        <v>3</v>
      </c>
      <c r="AR992" s="59">
        <v>1</v>
      </c>
      <c r="AS992" s="59">
        <v>80</v>
      </c>
      <c r="AT992" s="59">
        <v>0</v>
      </c>
      <c r="AU992" s="59">
        <v>8</v>
      </c>
      <c r="AV992" s="59">
        <v>2</v>
      </c>
      <c r="AW992" s="59">
        <v>4</v>
      </c>
      <c r="AX992" s="59">
        <v>5</v>
      </c>
      <c r="AY992" s="59">
        <v>4</v>
      </c>
      <c r="AZ992" s="59">
        <v>1</v>
      </c>
      <c r="BA992" s="59">
        <v>2</v>
      </c>
      <c r="BB992" s="57">
        <f t="shared" si="303"/>
        <v>19996</v>
      </c>
    </row>
    <row r="993" spans="1:54" x14ac:dyDescent="0.25">
      <c r="A993" s="58">
        <v>32</v>
      </c>
      <c r="B993" s="59">
        <v>0</v>
      </c>
      <c r="C993" s="59">
        <v>1</v>
      </c>
      <c r="D993" s="59">
        <f t="shared" si="285"/>
        <v>1</v>
      </c>
      <c r="E993" s="59">
        <f t="shared" si="286"/>
        <v>0</v>
      </c>
      <c r="F993" s="59">
        <v>499</v>
      </c>
      <c r="G993" s="59">
        <v>1</v>
      </c>
      <c r="H993" s="59">
        <f t="shared" si="287"/>
        <v>1</v>
      </c>
      <c r="I993" s="59">
        <f t="shared" si="288"/>
        <v>0</v>
      </c>
      <c r="J993" s="59">
        <v>2</v>
      </c>
      <c r="K993" s="59">
        <v>1</v>
      </c>
      <c r="L993" s="59">
        <v>4</v>
      </c>
      <c r="M993" s="59">
        <f t="shared" si="289"/>
        <v>0</v>
      </c>
      <c r="N993" s="59">
        <f t="shared" si="290"/>
        <v>0</v>
      </c>
      <c r="O993" s="59">
        <f t="shared" si="291"/>
        <v>0</v>
      </c>
      <c r="P993" s="59">
        <f t="shared" si="292"/>
        <v>1</v>
      </c>
      <c r="Q993" s="59">
        <f t="shared" si="293"/>
        <v>0</v>
      </c>
      <c r="R993" s="59">
        <v>1</v>
      </c>
      <c r="S993" s="59">
        <v>1396</v>
      </c>
      <c r="T993" s="59">
        <v>3</v>
      </c>
      <c r="U993" s="59">
        <v>1</v>
      </c>
      <c r="V993" s="59">
        <v>36</v>
      </c>
      <c r="W993" s="59">
        <v>3</v>
      </c>
      <c r="X993" s="59">
        <v>2</v>
      </c>
      <c r="Y993" s="59">
        <v>1</v>
      </c>
      <c r="Z993" s="59">
        <f t="shared" si="294"/>
        <v>1</v>
      </c>
      <c r="AA993" s="59">
        <f>IF('Updated Dummy'!Y993=2,1,0)</f>
        <v>0</v>
      </c>
      <c r="AB993" s="59">
        <f t="shared" si="295"/>
        <v>0</v>
      </c>
      <c r="AC993" s="59">
        <f t="shared" si="296"/>
        <v>0</v>
      </c>
      <c r="AD993" s="59">
        <f t="shared" si="297"/>
        <v>0</v>
      </c>
      <c r="AE993" s="59">
        <f t="shared" si="298"/>
        <v>0</v>
      </c>
      <c r="AF993" s="59">
        <f t="shared" si="299"/>
        <v>0</v>
      </c>
      <c r="AG993" s="59">
        <f t="shared" si="300"/>
        <v>0</v>
      </c>
      <c r="AH993" s="59">
        <v>2</v>
      </c>
      <c r="AI993" s="59">
        <v>2</v>
      </c>
      <c r="AJ993" s="59">
        <f t="shared" si="301"/>
        <v>0</v>
      </c>
      <c r="AK993" s="59">
        <f t="shared" si="302"/>
        <v>1</v>
      </c>
      <c r="AL993" s="59">
        <v>4078</v>
      </c>
      <c r="AM993" s="59">
        <v>20497</v>
      </c>
      <c r="AN993" s="59">
        <v>0</v>
      </c>
      <c r="AO993" s="59">
        <v>1</v>
      </c>
      <c r="AP993" s="59">
        <v>13</v>
      </c>
      <c r="AQ993" s="59">
        <v>3</v>
      </c>
      <c r="AR993" s="59">
        <v>1</v>
      </c>
      <c r="AS993" s="59">
        <v>80</v>
      </c>
      <c r="AT993" s="59">
        <v>3</v>
      </c>
      <c r="AU993" s="59">
        <v>4</v>
      </c>
      <c r="AV993" s="59">
        <v>3</v>
      </c>
      <c r="AW993" s="59">
        <v>2</v>
      </c>
      <c r="AX993" s="59">
        <v>3</v>
      </c>
      <c r="AY993" s="59">
        <v>2</v>
      </c>
      <c r="AZ993" s="59">
        <v>1</v>
      </c>
      <c r="BA993" s="59">
        <v>2</v>
      </c>
      <c r="BB993" s="57">
        <f t="shared" si="303"/>
        <v>8156</v>
      </c>
    </row>
    <row r="994" spans="1:54" x14ac:dyDescent="0.25">
      <c r="A994" s="58">
        <v>39</v>
      </c>
      <c r="B994" s="59">
        <v>0</v>
      </c>
      <c r="C994" s="59">
        <v>3</v>
      </c>
      <c r="D994" s="59">
        <f t="shared" si="285"/>
        <v>0</v>
      </c>
      <c r="E994" s="59">
        <f t="shared" si="286"/>
        <v>0</v>
      </c>
      <c r="F994" s="59">
        <v>1485</v>
      </c>
      <c r="G994" s="59">
        <v>2</v>
      </c>
      <c r="H994" s="59">
        <f t="shared" si="287"/>
        <v>0</v>
      </c>
      <c r="I994" s="59">
        <f t="shared" si="288"/>
        <v>1</v>
      </c>
      <c r="J994" s="59">
        <v>25</v>
      </c>
      <c r="K994" s="59">
        <v>2</v>
      </c>
      <c r="L994" s="59">
        <v>1</v>
      </c>
      <c r="M994" s="59">
        <f t="shared" si="289"/>
        <v>1</v>
      </c>
      <c r="N994" s="59">
        <f t="shared" si="290"/>
        <v>0</v>
      </c>
      <c r="O994" s="59">
        <f t="shared" si="291"/>
        <v>0</v>
      </c>
      <c r="P994" s="59">
        <f t="shared" si="292"/>
        <v>0</v>
      </c>
      <c r="Q994" s="59">
        <f t="shared" si="293"/>
        <v>0</v>
      </c>
      <c r="R994" s="59">
        <v>1</v>
      </c>
      <c r="S994" s="59">
        <v>1397</v>
      </c>
      <c r="T994" s="59">
        <v>3</v>
      </c>
      <c r="U994" s="59">
        <v>1</v>
      </c>
      <c r="V994" s="59">
        <v>71</v>
      </c>
      <c r="W994" s="59">
        <v>3</v>
      </c>
      <c r="X994" s="59">
        <v>3</v>
      </c>
      <c r="Y994" s="59">
        <v>5</v>
      </c>
      <c r="Z994" s="59">
        <f t="shared" si="294"/>
        <v>0</v>
      </c>
      <c r="AA994" s="59">
        <f>IF('Updated Dummy'!Y994=2,1,0)</f>
        <v>0</v>
      </c>
      <c r="AB994" s="59">
        <f t="shared" si="295"/>
        <v>0</v>
      </c>
      <c r="AC994" s="59">
        <f t="shared" si="296"/>
        <v>0</v>
      </c>
      <c r="AD994" s="59">
        <f t="shared" si="297"/>
        <v>1</v>
      </c>
      <c r="AE994" s="59">
        <f t="shared" si="298"/>
        <v>0</v>
      </c>
      <c r="AF994" s="59">
        <f t="shared" si="299"/>
        <v>0</v>
      </c>
      <c r="AG994" s="59">
        <f t="shared" si="300"/>
        <v>0</v>
      </c>
      <c r="AH994" s="59">
        <v>3</v>
      </c>
      <c r="AI994" s="59">
        <v>2</v>
      </c>
      <c r="AJ994" s="59">
        <f t="shared" si="301"/>
        <v>0</v>
      </c>
      <c r="AK994" s="59">
        <f t="shared" si="302"/>
        <v>1</v>
      </c>
      <c r="AL994" s="59">
        <v>10920</v>
      </c>
      <c r="AM994" s="59">
        <v>3449</v>
      </c>
      <c r="AN994" s="59">
        <v>3</v>
      </c>
      <c r="AO994" s="59">
        <v>0</v>
      </c>
      <c r="AP994" s="59">
        <v>21</v>
      </c>
      <c r="AQ994" s="59">
        <v>4</v>
      </c>
      <c r="AR994" s="59">
        <v>2</v>
      </c>
      <c r="AS994" s="59">
        <v>80</v>
      </c>
      <c r="AT994" s="59">
        <v>1</v>
      </c>
      <c r="AU994" s="59">
        <v>13</v>
      </c>
      <c r="AV994" s="59">
        <v>2</v>
      </c>
      <c r="AW994" s="59">
        <v>3</v>
      </c>
      <c r="AX994" s="59">
        <v>6</v>
      </c>
      <c r="AY994" s="59">
        <v>4</v>
      </c>
      <c r="AZ994" s="59">
        <v>0</v>
      </c>
      <c r="BA994" s="59">
        <v>5</v>
      </c>
      <c r="BB994" s="57">
        <f t="shared" si="303"/>
        <v>32760</v>
      </c>
    </row>
    <row r="995" spans="1:54" x14ac:dyDescent="0.25">
      <c r="A995" s="58">
        <v>25</v>
      </c>
      <c r="B995" s="59">
        <v>0</v>
      </c>
      <c r="C995" s="59">
        <v>1</v>
      </c>
      <c r="D995" s="59">
        <f t="shared" si="285"/>
        <v>1</v>
      </c>
      <c r="E995" s="59">
        <f t="shared" si="286"/>
        <v>0</v>
      </c>
      <c r="F995" s="59">
        <v>1372</v>
      </c>
      <c r="G995" s="59">
        <v>1</v>
      </c>
      <c r="H995" s="59">
        <f t="shared" si="287"/>
        <v>1</v>
      </c>
      <c r="I995" s="59">
        <f t="shared" si="288"/>
        <v>0</v>
      </c>
      <c r="J995" s="59">
        <v>18</v>
      </c>
      <c r="K995" s="59">
        <v>1</v>
      </c>
      <c r="L995" s="59">
        <v>1</v>
      </c>
      <c r="M995" s="59">
        <f t="shared" si="289"/>
        <v>1</v>
      </c>
      <c r="N995" s="59">
        <f t="shared" si="290"/>
        <v>0</v>
      </c>
      <c r="O995" s="59">
        <f t="shared" si="291"/>
        <v>0</v>
      </c>
      <c r="P995" s="59">
        <f t="shared" si="292"/>
        <v>0</v>
      </c>
      <c r="Q995" s="59">
        <f t="shared" si="293"/>
        <v>0</v>
      </c>
      <c r="R995" s="59">
        <v>1</v>
      </c>
      <c r="S995" s="59">
        <v>1399</v>
      </c>
      <c r="T995" s="59">
        <v>1</v>
      </c>
      <c r="U995" s="59">
        <v>1</v>
      </c>
      <c r="V995" s="59">
        <v>93</v>
      </c>
      <c r="W995" s="59">
        <v>4</v>
      </c>
      <c r="X995" s="59">
        <v>2</v>
      </c>
      <c r="Y995" s="59">
        <v>1</v>
      </c>
      <c r="Z995" s="59">
        <f t="shared" si="294"/>
        <v>1</v>
      </c>
      <c r="AA995" s="59">
        <f>IF('Updated Dummy'!Y995=2,1,0)</f>
        <v>0</v>
      </c>
      <c r="AB995" s="59">
        <f t="shared" si="295"/>
        <v>0</v>
      </c>
      <c r="AC995" s="59">
        <f t="shared" si="296"/>
        <v>0</v>
      </c>
      <c r="AD995" s="59">
        <f t="shared" si="297"/>
        <v>0</v>
      </c>
      <c r="AE995" s="59">
        <f t="shared" si="298"/>
        <v>0</v>
      </c>
      <c r="AF995" s="59">
        <f t="shared" si="299"/>
        <v>0</v>
      </c>
      <c r="AG995" s="59">
        <f t="shared" si="300"/>
        <v>0</v>
      </c>
      <c r="AH995" s="59">
        <v>3</v>
      </c>
      <c r="AI995" s="59">
        <v>2</v>
      </c>
      <c r="AJ995" s="59">
        <f t="shared" si="301"/>
        <v>0</v>
      </c>
      <c r="AK995" s="59">
        <f t="shared" si="302"/>
        <v>1</v>
      </c>
      <c r="AL995" s="59">
        <v>6232</v>
      </c>
      <c r="AM995" s="59">
        <v>12477</v>
      </c>
      <c r="AN995" s="59">
        <v>2</v>
      </c>
      <c r="AO995" s="59">
        <v>0</v>
      </c>
      <c r="AP995" s="59">
        <v>11</v>
      </c>
      <c r="AQ995" s="59">
        <v>3</v>
      </c>
      <c r="AR995" s="59">
        <v>2</v>
      </c>
      <c r="AS995" s="59">
        <v>80</v>
      </c>
      <c r="AT995" s="59">
        <v>0</v>
      </c>
      <c r="AU995" s="59">
        <v>6</v>
      </c>
      <c r="AV995" s="59">
        <v>3</v>
      </c>
      <c r="AW995" s="59">
        <v>2</v>
      </c>
      <c r="AX995" s="59">
        <v>3</v>
      </c>
      <c r="AY995" s="59">
        <v>2</v>
      </c>
      <c r="AZ995" s="59">
        <v>1</v>
      </c>
      <c r="BA995" s="59">
        <v>2</v>
      </c>
      <c r="BB995" s="57">
        <f t="shared" si="303"/>
        <v>12464</v>
      </c>
    </row>
    <row r="996" spans="1:54" x14ac:dyDescent="0.25">
      <c r="A996" s="58">
        <v>52</v>
      </c>
      <c r="B996" s="59">
        <v>0</v>
      </c>
      <c r="C996" s="59">
        <v>2</v>
      </c>
      <c r="D996" s="59">
        <f t="shared" si="285"/>
        <v>0</v>
      </c>
      <c r="E996" s="59">
        <f t="shared" si="286"/>
        <v>1</v>
      </c>
      <c r="F996" s="59">
        <v>322</v>
      </c>
      <c r="G996" s="59">
        <v>2</v>
      </c>
      <c r="H996" s="59">
        <f t="shared" si="287"/>
        <v>0</v>
      </c>
      <c r="I996" s="59">
        <f t="shared" si="288"/>
        <v>1</v>
      </c>
      <c r="J996" s="59">
        <v>28</v>
      </c>
      <c r="K996" s="59">
        <v>2</v>
      </c>
      <c r="L996" s="59">
        <v>3</v>
      </c>
      <c r="M996" s="59">
        <f t="shared" si="289"/>
        <v>0</v>
      </c>
      <c r="N996" s="59">
        <f t="shared" si="290"/>
        <v>0</v>
      </c>
      <c r="O996" s="59">
        <f t="shared" si="291"/>
        <v>1</v>
      </c>
      <c r="P996" s="59">
        <f t="shared" si="292"/>
        <v>0</v>
      </c>
      <c r="Q996" s="59">
        <f t="shared" si="293"/>
        <v>0</v>
      </c>
      <c r="R996" s="59">
        <v>1</v>
      </c>
      <c r="S996" s="59">
        <v>1401</v>
      </c>
      <c r="T996" s="59">
        <v>4</v>
      </c>
      <c r="U996" s="59">
        <v>0</v>
      </c>
      <c r="V996" s="59">
        <v>59</v>
      </c>
      <c r="W996" s="59">
        <v>4</v>
      </c>
      <c r="X996" s="59">
        <v>4</v>
      </c>
      <c r="Y996" s="59">
        <v>4</v>
      </c>
      <c r="Z996" s="59">
        <f t="shared" si="294"/>
        <v>0</v>
      </c>
      <c r="AA996" s="59">
        <f>IF('Updated Dummy'!Y996=2,1,0)</f>
        <v>0</v>
      </c>
      <c r="AB996" s="59">
        <f t="shared" si="295"/>
        <v>0</v>
      </c>
      <c r="AC996" s="59">
        <f t="shared" si="296"/>
        <v>1</v>
      </c>
      <c r="AD996" s="59">
        <f t="shared" si="297"/>
        <v>0</v>
      </c>
      <c r="AE996" s="59">
        <f t="shared" si="298"/>
        <v>0</v>
      </c>
      <c r="AF996" s="59">
        <f t="shared" si="299"/>
        <v>0</v>
      </c>
      <c r="AG996" s="59">
        <f t="shared" si="300"/>
        <v>0</v>
      </c>
      <c r="AH996" s="59">
        <v>3</v>
      </c>
      <c r="AI996" s="59">
        <v>2</v>
      </c>
      <c r="AJ996" s="59">
        <f t="shared" si="301"/>
        <v>0</v>
      </c>
      <c r="AK996" s="59">
        <f t="shared" si="302"/>
        <v>1</v>
      </c>
      <c r="AL996" s="59">
        <v>13247</v>
      </c>
      <c r="AM996" s="59">
        <v>9731</v>
      </c>
      <c r="AN996" s="59">
        <v>2</v>
      </c>
      <c r="AO996" s="59">
        <v>1</v>
      </c>
      <c r="AP996" s="59">
        <v>11</v>
      </c>
      <c r="AQ996" s="59">
        <v>3</v>
      </c>
      <c r="AR996" s="59">
        <v>2</v>
      </c>
      <c r="AS996" s="59">
        <v>80</v>
      </c>
      <c r="AT996" s="59">
        <v>1</v>
      </c>
      <c r="AU996" s="59">
        <v>24</v>
      </c>
      <c r="AV996" s="59">
        <v>3</v>
      </c>
      <c r="AW996" s="59">
        <v>2</v>
      </c>
      <c r="AX996" s="59">
        <v>5</v>
      </c>
      <c r="AY996" s="59">
        <v>3</v>
      </c>
      <c r="AZ996" s="59">
        <v>0</v>
      </c>
      <c r="BA996" s="59">
        <v>2</v>
      </c>
      <c r="BB996" s="57">
        <f t="shared" si="303"/>
        <v>52988</v>
      </c>
    </row>
    <row r="997" spans="1:54" x14ac:dyDescent="0.25">
      <c r="A997" s="58">
        <v>43</v>
      </c>
      <c r="B997" s="59">
        <v>0</v>
      </c>
      <c r="C997" s="59">
        <v>1</v>
      </c>
      <c r="D997" s="59">
        <f t="shared" si="285"/>
        <v>1</v>
      </c>
      <c r="E997" s="59">
        <f t="shared" si="286"/>
        <v>0</v>
      </c>
      <c r="F997" s="59">
        <v>930</v>
      </c>
      <c r="G997" s="59">
        <v>2</v>
      </c>
      <c r="H997" s="59">
        <f t="shared" si="287"/>
        <v>0</v>
      </c>
      <c r="I997" s="59">
        <f t="shared" si="288"/>
        <v>1</v>
      </c>
      <c r="J997" s="59">
        <v>6</v>
      </c>
      <c r="K997" s="59">
        <v>3</v>
      </c>
      <c r="L997" s="59">
        <v>3</v>
      </c>
      <c r="M997" s="59">
        <f t="shared" si="289"/>
        <v>0</v>
      </c>
      <c r="N997" s="59">
        <f t="shared" si="290"/>
        <v>0</v>
      </c>
      <c r="O997" s="59">
        <f t="shared" si="291"/>
        <v>1</v>
      </c>
      <c r="P997" s="59">
        <f t="shared" si="292"/>
        <v>0</v>
      </c>
      <c r="Q997" s="59">
        <f t="shared" si="293"/>
        <v>0</v>
      </c>
      <c r="R997" s="59">
        <v>1</v>
      </c>
      <c r="S997" s="59">
        <v>1402</v>
      </c>
      <c r="T997" s="59">
        <v>1</v>
      </c>
      <c r="U997" s="59">
        <v>0</v>
      </c>
      <c r="V997" s="59">
        <v>73</v>
      </c>
      <c r="W997" s="59">
        <v>2</v>
      </c>
      <c r="X997" s="59">
        <v>2</v>
      </c>
      <c r="Y997" s="59">
        <v>2</v>
      </c>
      <c r="Z997" s="59">
        <f t="shared" si="294"/>
        <v>0</v>
      </c>
      <c r="AA997" s="59">
        <f>IF('Updated Dummy'!Y997=2,1,0)</f>
        <v>1</v>
      </c>
      <c r="AB997" s="59">
        <f t="shared" si="295"/>
        <v>0</v>
      </c>
      <c r="AC997" s="59">
        <f t="shared" si="296"/>
        <v>0</v>
      </c>
      <c r="AD997" s="59">
        <f t="shared" si="297"/>
        <v>0</v>
      </c>
      <c r="AE997" s="59">
        <f t="shared" si="298"/>
        <v>0</v>
      </c>
      <c r="AF997" s="59">
        <f t="shared" si="299"/>
        <v>0</v>
      </c>
      <c r="AG997" s="59">
        <f t="shared" si="300"/>
        <v>0</v>
      </c>
      <c r="AH997" s="59">
        <v>3</v>
      </c>
      <c r="AI997" s="59">
        <v>1</v>
      </c>
      <c r="AJ997" s="59">
        <f t="shared" si="301"/>
        <v>1</v>
      </c>
      <c r="AK997" s="59">
        <f t="shared" si="302"/>
        <v>0</v>
      </c>
      <c r="AL997" s="59">
        <v>4081</v>
      </c>
      <c r="AM997" s="59">
        <v>20003</v>
      </c>
      <c r="AN997" s="59">
        <v>1</v>
      </c>
      <c r="AO997" s="59">
        <v>1</v>
      </c>
      <c r="AP997" s="59">
        <v>14</v>
      </c>
      <c r="AQ997" s="59">
        <v>3</v>
      </c>
      <c r="AR997" s="59">
        <v>1</v>
      </c>
      <c r="AS997" s="59">
        <v>80</v>
      </c>
      <c r="AT997" s="59">
        <v>0</v>
      </c>
      <c r="AU997" s="59">
        <v>20</v>
      </c>
      <c r="AV997" s="59">
        <v>3</v>
      </c>
      <c r="AW997" s="59">
        <v>1</v>
      </c>
      <c r="AX997" s="59">
        <v>20</v>
      </c>
      <c r="AY997" s="59">
        <v>7</v>
      </c>
      <c r="AZ997" s="59">
        <v>1</v>
      </c>
      <c r="BA997" s="59">
        <v>8</v>
      </c>
      <c r="BB997" s="57">
        <f t="shared" si="303"/>
        <v>8162</v>
      </c>
    </row>
    <row r="998" spans="1:54" x14ac:dyDescent="0.25">
      <c r="A998" s="58">
        <v>27</v>
      </c>
      <c r="B998" s="59">
        <v>0</v>
      </c>
      <c r="C998" s="59">
        <v>1</v>
      </c>
      <c r="D998" s="59">
        <f t="shared" si="285"/>
        <v>1</v>
      </c>
      <c r="E998" s="59">
        <f t="shared" si="286"/>
        <v>0</v>
      </c>
      <c r="F998" s="59">
        <v>205</v>
      </c>
      <c r="G998" s="59">
        <v>1</v>
      </c>
      <c r="H998" s="59">
        <f t="shared" si="287"/>
        <v>1</v>
      </c>
      <c r="I998" s="59">
        <f t="shared" si="288"/>
        <v>0</v>
      </c>
      <c r="J998" s="59">
        <v>10</v>
      </c>
      <c r="K998" s="59">
        <v>3</v>
      </c>
      <c r="L998" s="59">
        <v>4</v>
      </c>
      <c r="M998" s="59">
        <f t="shared" si="289"/>
        <v>0</v>
      </c>
      <c r="N998" s="59">
        <f t="shared" si="290"/>
        <v>0</v>
      </c>
      <c r="O998" s="59">
        <f t="shared" si="291"/>
        <v>0</v>
      </c>
      <c r="P998" s="59">
        <f t="shared" si="292"/>
        <v>1</v>
      </c>
      <c r="Q998" s="59">
        <f t="shared" si="293"/>
        <v>0</v>
      </c>
      <c r="R998" s="59">
        <v>1</v>
      </c>
      <c r="S998" s="59">
        <v>1403</v>
      </c>
      <c r="T998" s="59">
        <v>4</v>
      </c>
      <c r="U998" s="59">
        <v>0</v>
      </c>
      <c r="V998" s="59">
        <v>98</v>
      </c>
      <c r="W998" s="59">
        <v>2</v>
      </c>
      <c r="X998" s="59">
        <v>2</v>
      </c>
      <c r="Y998" s="59">
        <v>1</v>
      </c>
      <c r="Z998" s="59">
        <f t="shared" si="294"/>
        <v>1</v>
      </c>
      <c r="AA998" s="59">
        <f>IF('Updated Dummy'!Y998=2,1,0)</f>
        <v>0</v>
      </c>
      <c r="AB998" s="59">
        <f t="shared" si="295"/>
        <v>0</v>
      </c>
      <c r="AC998" s="59">
        <f t="shared" si="296"/>
        <v>0</v>
      </c>
      <c r="AD998" s="59">
        <f t="shared" si="297"/>
        <v>0</v>
      </c>
      <c r="AE998" s="59">
        <f t="shared" si="298"/>
        <v>0</v>
      </c>
      <c r="AF998" s="59">
        <f t="shared" si="299"/>
        <v>0</v>
      </c>
      <c r="AG998" s="59">
        <f t="shared" si="300"/>
        <v>0</v>
      </c>
      <c r="AH998" s="59">
        <v>4</v>
      </c>
      <c r="AI998" s="59">
        <v>2</v>
      </c>
      <c r="AJ998" s="59">
        <f t="shared" si="301"/>
        <v>0</v>
      </c>
      <c r="AK998" s="59">
        <f t="shared" si="302"/>
        <v>1</v>
      </c>
      <c r="AL998" s="59">
        <v>5769</v>
      </c>
      <c r="AM998" s="59">
        <v>7100</v>
      </c>
      <c r="AN998" s="59">
        <v>1</v>
      </c>
      <c r="AO998" s="59">
        <v>1</v>
      </c>
      <c r="AP998" s="59">
        <v>11</v>
      </c>
      <c r="AQ998" s="59">
        <v>3</v>
      </c>
      <c r="AR998" s="59">
        <v>4</v>
      </c>
      <c r="AS998" s="59">
        <v>80</v>
      </c>
      <c r="AT998" s="59">
        <v>0</v>
      </c>
      <c r="AU998" s="59">
        <v>6</v>
      </c>
      <c r="AV998" s="59">
        <v>3</v>
      </c>
      <c r="AW998" s="59">
        <v>3</v>
      </c>
      <c r="AX998" s="59">
        <v>6</v>
      </c>
      <c r="AY998" s="59">
        <v>2</v>
      </c>
      <c r="AZ998" s="59">
        <v>4</v>
      </c>
      <c r="BA998" s="59">
        <v>4</v>
      </c>
      <c r="BB998" s="57">
        <f t="shared" si="303"/>
        <v>11538</v>
      </c>
    </row>
    <row r="999" spans="1:54" x14ac:dyDescent="0.25">
      <c r="A999" s="58">
        <v>27</v>
      </c>
      <c r="B999" s="59">
        <v>1</v>
      </c>
      <c r="C999" s="59">
        <v>1</v>
      </c>
      <c r="D999" s="59">
        <f t="shared" si="285"/>
        <v>1</v>
      </c>
      <c r="E999" s="59">
        <f t="shared" si="286"/>
        <v>0</v>
      </c>
      <c r="F999" s="59">
        <v>135</v>
      </c>
      <c r="G999" s="59">
        <v>2</v>
      </c>
      <c r="H999" s="59">
        <f t="shared" si="287"/>
        <v>0</v>
      </c>
      <c r="I999" s="59">
        <f t="shared" si="288"/>
        <v>1</v>
      </c>
      <c r="J999" s="59">
        <v>17</v>
      </c>
      <c r="K999" s="59">
        <v>4</v>
      </c>
      <c r="L999" s="59">
        <v>1</v>
      </c>
      <c r="M999" s="59">
        <f t="shared" si="289"/>
        <v>1</v>
      </c>
      <c r="N999" s="59">
        <f t="shared" si="290"/>
        <v>0</v>
      </c>
      <c r="O999" s="59">
        <f t="shared" si="291"/>
        <v>0</v>
      </c>
      <c r="P999" s="59">
        <f t="shared" si="292"/>
        <v>0</v>
      </c>
      <c r="Q999" s="59">
        <f t="shared" si="293"/>
        <v>0</v>
      </c>
      <c r="R999" s="59">
        <v>1</v>
      </c>
      <c r="S999" s="59">
        <v>1405</v>
      </c>
      <c r="T999" s="59">
        <v>4</v>
      </c>
      <c r="U999" s="59">
        <v>0</v>
      </c>
      <c r="V999" s="59">
        <v>51</v>
      </c>
      <c r="W999" s="59">
        <v>3</v>
      </c>
      <c r="X999" s="59">
        <v>1</v>
      </c>
      <c r="Y999" s="59">
        <v>2</v>
      </c>
      <c r="Z999" s="59">
        <f t="shared" si="294"/>
        <v>0</v>
      </c>
      <c r="AA999" s="59">
        <f>IF('Updated Dummy'!Y999=2,1,0)</f>
        <v>1</v>
      </c>
      <c r="AB999" s="59">
        <f t="shared" si="295"/>
        <v>0</v>
      </c>
      <c r="AC999" s="59">
        <f t="shared" si="296"/>
        <v>0</v>
      </c>
      <c r="AD999" s="59">
        <f t="shared" si="297"/>
        <v>0</v>
      </c>
      <c r="AE999" s="59">
        <f t="shared" si="298"/>
        <v>0</v>
      </c>
      <c r="AF999" s="59">
        <f t="shared" si="299"/>
        <v>0</v>
      </c>
      <c r="AG999" s="59">
        <f t="shared" si="300"/>
        <v>0</v>
      </c>
      <c r="AH999" s="59">
        <v>3</v>
      </c>
      <c r="AI999" s="59">
        <v>1</v>
      </c>
      <c r="AJ999" s="59">
        <f t="shared" si="301"/>
        <v>1</v>
      </c>
      <c r="AK999" s="59">
        <f t="shared" si="302"/>
        <v>0</v>
      </c>
      <c r="AL999" s="59">
        <v>2394</v>
      </c>
      <c r="AM999" s="59">
        <v>25681</v>
      </c>
      <c r="AN999" s="59">
        <v>1</v>
      </c>
      <c r="AO999" s="59">
        <v>1</v>
      </c>
      <c r="AP999" s="59">
        <v>13</v>
      </c>
      <c r="AQ999" s="59">
        <v>3</v>
      </c>
      <c r="AR999" s="59">
        <v>4</v>
      </c>
      <c r="AS999" s="59">
        <v>80</v>
      </c>
      <c r="AT999" s="59">
        <v>0</v>
      </c>
      <c r="AU999" s="59">
        <v>8</v>
      </c>
      <c r="AV999" s="59">
        <v>2</v>
      </c>
      <c r="AW999" s="59">
        <v>3</v>
      </c>
      <c r="AX999" s="59">
        <v>8</v>
      </c>
      <c r="AY999" s="59">
        <v>2</v>
      </c>
      <c r="AZ999" s="59">
        <v>7</v>
      </c>
      <c r="BA999" s="59">
        <v>7</v>
      </c>
      <c r="BB999" s="57">
        <f t="shared" si="303"/>
        <v>2394</v>
      </c>
    </row>
    <row r="1000" spans="1:54" x14ac:dyDescent="0.25">
      <c r="A1000" s="58">
        <v>26</v>
      </c>
      <c r="B1000" s="59">
        <v>0</v>
      </c>
      <c r="C1000" s="59">
        <v>1</v>
      </c>
      <c r="D1000" s="59">
        <f t="shared" si="285"/>
        <v>1</v>
      </c>
      <c r="E1000" s="59">
        <f t="shared" si="286"/>
        <v>0</v>
      </c>
      <c r="F1000" s="59">
        <v>683</v>
      </c>
      <c r="G1000" s="59">
        <v>2</v>
      </c>
      <c r="H1000" s="59">
        <f t="shared" si="287"/>
        <v>0</v>
      </c>
      <c r="I1000" s="59">
        <f t="shared" si="288"/>
        <v>1</v>
      </c>
      <c r="J1000" s="59">
        <v>2</v>
      </c>
      <c r="K1000" s="59">
        <v>1</v>
      </c>
      <c r="L1000" s="59">
        <v>3</v>
      </c>
      <c r="M1000" s="59">
        <f t="shared" si="289"/>
        <v>0</v>
      </c>
      <c r="N1000" s="59">
        <f t="shared" si="290"/>
        <v>0</v>
      </c>
      <c r="O1000" s="59">
        <f t="shared" si="291"/>
        <v>1</v>
      </c>
      <c r="P1000" s="59">
        <f t="shared" si="292"/>
        <v>0</v>
      </c>
      <c r="Q1000" s="59">
        <f t="shared" si="293"/>
        <v>0</v>
      </c>
      <c r="R1000" s="59">
        <v>1</v>
      </c>
      <c r="S1000" s="59">
        <v>1407</v>
      </c>
      <c r="T1000" s="59">
        <v>1</v>
      </c>
      <c r="U1000" s="59">
        <v>1</v>
      </c>
      <c r="V1000" s="59">
        <v>36</v>
      </c>
      <c r="W1000" s="59">
        <v>2</v>
      </c>
      <c r="X1000" s="59">
        <v>1</v>
      </c>
      <c r="Y1000" s="59">
        <v>2</v>
      </c>
      <c r="Z1000" s="59">
        <f t="shared" si="294"/>
        <v>0</v>
      </c>
      <c r="AA1000" s="59">
        <f>IF('Updated Dummy'!Y1000=2,1,0)</f>
        <v>1</v>
      </c>
      <c r="AB1000" s="59">
        <f t="shared" si="295"/>
        <v>0</v>
      </c>
      <c r="AC1000" s="59">
        <f t="shared" si="296"/>
        <v>0</v>
      </c>
      <c r="AD1000" s="59">
        <f t="shared" si="297"/>
        <v>0</v>
      </c>
      <c r="AE1000" s="59">
        <f t="shared" si="298"/>
        <v>0</v>
      </c>
      <c r="AF1000" s="59">
        <f t="shared" si="299"/>
        <v>0</v>
      </c>
      <c r="AG1000" s="59">
        <f t="shared" si="300"/>
        <v>0</v>
      </c>
      <c r="AH1000" s="59">
        <v>4</v>
      </c>
      <c r="AI1000" s="59">
        <v>1</v>
      </c>
      <c r="AJ1000" s="59">
        <f t="shared" si="301"/>
        <v>1</v>
      </c>
      <c r="AK1000" s="59">
        <f t="shared" si="302"/>
        <v>0</v>
      </c>
      <c r="AL1000" s="59">
        <v>3904</v>
      </c>
      <c r="AM1000" s="59">
        <v>4050</v>
      </c>
      <c r="AN1000" s="59">
        <v>0</v>
      </c>
      <c r="AO1000" s="59">
        <v>0</v>
      </c>
      <c r="AP1000" s="59">
        <v>12</v>
      </c>
      <c r="AQ1000" s="59">
        <v>3</v>
      </c>
      <c r="AR1000" s="59">
        <v>4</v>
      </c>
      <c r="AS1000" s="59">
        <v>80</v>
      </c>
      <c r="AT1000" s="59">
        <v>0</v>
      </c>
      <c r="AU1000" s="59">
        <v>5</v>
      </c>
      <c r="AV1000" s="59">
        <v>2</v>
      </c>
      <c r="AW1000" s="59">
        <v>3</v>
      </c>
      <c r="AX1000" s="59">
        <v>4</v>
      </c>
      <c r="AY1000" s="59">
        <v>3</v>
      </c>
      <c r="AZ1000" s="59">
        <v>1</v>
      </c>
      <c r="BA1000" s="59">
        <v>1</v>
      </c>
      <c r="BB1000" s="57">
        <f t="shared" si="303"/>
        <v>3904</v>
      </c>
    </row>
    <row r="1001" spans="1:54" x14ac:dyDescent="0.25">
      <c r="A1001" s="58">
        <v>42</v>
      </c>
      <c r="B1001" s="59">
        <v>0</v>
      </c>
      <c r="C1001" s="59">
        <v>1</v>
      </c>
      <c r="D1001" s="59">
        <f t="shared" si="285"/>
        <v>1</v>
      </c>
      <c r="E1001" s="59">
        <f t="shared" si="286"/>
        <v>0</v>
      </c>
      <c r="F1001" s="59">
        <v>1147</v>
      </c>
      <c r="G1001" s="59">
        <v>3</v>
      </c>
      <c r="H1001" s="59">
        <f t="shared" si="287"/>
        <v>0</v>
      </c>
      <c r="I1001" s="59">
        <f t="shared" si="288"/>
        <v>0</v>
      </c>
      <c r="J1001" s="59">
        <v>10</v>
      </c>
      <c r="K1001" s="59">
        <v>3</v>
      </c>
      <c r="L1001" s="59">
        <v>2</v>
      </c>
      <c r="M1001" s="59">
        <f t="shared" si="289"/>
        <v>0</v>
      </c>
      <c r="N1001" s="59">
        <f t="shared" si="290"/>
        <v>1</v>
      </c>
      <c r="O1001" s="59">
        <f t="shared" si="291"/>
        <v>0</v>
      </c>
      <c r="P1001" s="59">
        <f t="shared" si="292"/>
        <v>0</v>
      </c>
      <c r="Q1001" s="59">
        <f t="shared" si="293"/>
        <v>0</v>
      </c>
      <c r="R1001" s="59">
        <v>1</v>
      </c>
      <c r="S1001" s="59">
        <v>1408</v>
      </c>
      <c r="T1001" s="59">
        <v>3</v>
      </c>
      <c r="U1001" s="59">
        <v>0</v>
      </c>
      <c r="V1001" s="59">
        <v>31</v>
      </c>
      <c r="W1001" s="59">
        <v>3</v>
      </c>
      <c r="X1001" s="59">
        <v>4</v>
      </c>
      <c r="Y1001" s="59">
        <v>6</v>
      </c>
      <c r="Z1001" s="59">
        <f t="shared" si="294"/>
        <v>0</v>
      </c>
      <c r="AA1001" s="59">
        <f>IF('Updated Dummy'!Y1001=2,1,0)</f>
        <v>0</v>
      </c>
      <c r="AB1001" s="59">
        <f t="shared" si="295"/>
        <v>0</v>
      </c>
      <c r="AC1001" s="59">
        <f t="shared" si="296"/>
        <v>0</v>
      </c>
      <c r="AD1001" s="59">
        <f t="shared" si="297"/>
        <v>0</v>
      </c>
      <c r="AE1001" s="59">
        <f t="shared" si="298"/>
        <v>1</v>
      </c>
      <c r="AF1001" s="59">
        <f t="shared" si="299"/>
        <v>0</v>
      </c>
      <c r="AG1001" s="59">
        <f t="shared" si="300"/>
        <v>0</v>
      </c>
      <c r="AH1001" s="59">
        <v>1</v>
      </c>
      <c r="AI1001" s="59">
        <v>2</v>
      </c>
      <c r="AJ1001" s="59">
        <f t="shared" si="301"/>
        <v>0</v>
      </c>
      <c r="AK1001" s="59">
        <f t="shared" si="302"/>
        <v>1</v>
      </c>
      <c r="AL1001" s="59">
        <v>16799</v>
      </c>
      <c r="AM1001" s="59">
        <v>16616</v>
      </c>
      <c r="AN1001" s="59">
        <v>0</v>
      </c>
      <c r="AO1001" s="59">
        <v>0</v>
      </c>
      <c r="AP1001" s="59">
        <v>14</v>
      </c>
      <c r="AQ1001" s="59">
        <v>3</v>
      </c>
      <c r="AR1001" s="59">
        <v>3</v>
      </c>
      <c r="AS1001" s="59">
        <v>80</v>
      </c>
      <c r="AT1001" s="59">
        <v>1</v>
      </c>
      <c r="AU1001" s="59">
        <v>21</v>
      </c>
      <c r="AV1001" s="59">
        <v>5</v>
      </c>
      <c r="AW1001" s="59">
        <v>3</v>
      </c>
      <c r="AX1001" s="59">
        <v>20</v>
      </c>
      <c r="AY1001" s="59">
        <v>7</v>
      </c>
      <c r="AZ1001" s="59">
        <v>0</v>
      </c>
      <c r="BA1001" s="59">
        <v>9</v>
      </c>
      <c r="BB1001" s="57">
        <f t="shared" si="303"/>
        <v>67196</v>
      </c>
    </row>
    <row r="1002" spans="1:54" x14ac:dyDescent="0.25">
      <c r="A1002" s="58">
        <v>52</v>
      </c>
      <c r="B1002" s="59">
        <v>0</v>
      </c>
      <c r="C1002" s="59">
        <v>1</v>
      </c>
      <c r="D1002" s="59">
        <f t="shared" si="285"/>
        <v>1</v>
      </c>
      <c r="E1002" s="59">
        <f t="shared" si="286"/>
        <v>0</v>
      </c>
      <c r="F1002" s="59">
        <v>258</v>
      </c>
      <c r="G1002" s="59">
        <v>2</v>
      </c>
      <c r="H1002" s="59">
        <f t="shared" si="287"/>
        <v>0</v>
      </c>
      <c r="I1002" s="59">
        <f t="shared" si="288"/>
        <v>1</v>
      </c>
      <c r="J1002" s="59">
        <v>8</v>
      </c>
      <c r="K1002" s="59">
        <v>4</v>
      </c>
      <c r="L1002" s="59">
        <v>6</v>
      </c>
      <c r="M1002" s="59">
        <f t="shared" si="289"/>
        <v>0</v>
      </c>
      <c r="N1002" s="59">
        <f t="shared" si="290"/>
        <v>0</v>
      </c>
      <c r="O1002" s="59">
        <f t="shared" si="291"/>
        <v>0</v>
      </c>
      <c r="P1002" s="59">
        <f t="shared" si="292"/>
        <v>0</v>
      </c>
      <c r="Q1002" s="59">
        <f t="shared" si="293"/>
        <v>0</v>
      </c>
      <c r="R1002" s="59">
        <v>1</v>
      </c>
      <c r="S1002" s="59">
        <v>1409</v>
      </c>
      <c r="T1002" s="59">
        <v>3</v>
      </c>
      <c r="U1002" s="59">
        <v>0</v>
      </c>
      <c r="V1002" s="59">
        <v>54</v>
      </c>
      <c r="W1002" s="59">
        <v>3</v>
      </c>
      <c r="X1002" s="59">
        <v>1</v>
      </c>
      <c r="Y1002" s="59">
        <v>3</v>
      </c>
      <c r="Z1002" s="59">
        <f t="shared" si="294"/>
        <v>0</v>
      </c>
      <c r="AA1002" s="59">
        <f>IF('Updated Dummy'!Y1002=2,1,0)</f>
        <v>0</v>
      </c>
      <c r="AB1002" s="59">
        <f t="shared" si="295"/>
        <v>1</v>
      </c>
      <c r="AC1002" s="59">
        <f t="shared" si="296"/>
        <v>0</v>
      </c>
      <c r="AD1002" s="59">
        <f t="shared" si="297"/>
        <v>0</v>
      </c>
      <c r="AE1002" s="59">
        <f t="shared" si="298"/>
        <v>0</v>
      </c>
      <c r="AF1002" s="59">
        <f t="shared" si="299"/>
        <v>0</v>
      </c>
      <c r="AG1002" s="59">
        <f t="shared" si="300"/>
        <v>0</v>
      </c>
      <c r="AH1002" s="59">
        <v>1</v>
      </c>
      <c r="AI1002" s="59">
        <v>2</v>
      </c>
      <c r="AJ1002" s="59">
        <f t="shared" si="301"/>
        <v>0</v>
      </c>
      <c r="AK1002" s="59">
        <f t="shared" si="302"/>
        <v>1</v>
      </c>
      <c r="AL1002" s="59">
        <v>2950</v>
      </c>
      <c r="AM1002" s="59">
        <v>17363</v>
      </c>
      <c r="AN1002" s="59">
        <v>9</v>
      </c>
      <c r="AO1002" s="59">
        <v>0</v>
      </c>
      <c r="AP1002" s="59">
        <v>13</v>
      </c>
      <c r="AQ1002" s="59">
        <v>3</v>
      </c>
      <c r="AR1002" s="59">
        <v>3</v>
      </c>
      <c r="AS1002" s="59">
        <v>80</v>
      </c>
      <c r="AT1002" s="59">
        <v>0</v>
      </c>
      <c r="AU1002" s="59">
        <v>12</v>
      </c>
      <c r="AV1002" s="59">
        <v>2</v>
      </c>
      <c r="AW1002" s="59">
        <v>1</v>
      </c>
      <c r="AX1002" s="59">
        <v>5</v>
      </c>
      <c r="AY1002" s="59">
        <v>4</v>
      </c>
      <c r="AZ1002" s="59">
        <v>0</v>
      </c>
      <c r="BA1002" s="59">
        <v>4</v>
      </c>
      <c r="BB1002" s="57">
        <f t="shared" si="303"/>
        <v>2950</v>
      </c>
    </row>
    <row r="1003" spans="1:54" x14ac:dyDescent="0.25">
      <c r="A1003" s="58">
        <v>37</v>
      </c>
      <c r="B1003" s="59">
        <v>0</v>
      </c>
      <c r="C1003" s="59">
        <v>1</v>
      </c>
      <c r="D1003" s="59">
        <f t="shared" si="285"/>
        <v>1</v>
      </c>
      <c r="E1003" s="59">
        <f t="shared" si="286"/>
        <v>0</v>
      </c>
      <c r="F1003" s="59">
        <v>1462</v>
      </c>
      <c r="G1003" s="59">
        <v>2</v>
      </c>
      <c r="H1003" s="59">
        <f t="shared" si="287"/>
        <v>0</v>
      </c>
      <c r="I1003" s="59">
        <f t="shared" si="288"/>
        <v>1</v>
      </c>
      <c r="J1003" s="59">
        <v>11</v>
      </c>
      <c r="K1003" s="59">
        <v>3</v>
      </c>
      <c r="L1003" s="59">
        <v>3</v>
      </c>
      <c r="M1003" s="59">
        <f t="shared" si="289"/>
        <v>0</v>
      </c>
      <c r="N1003" s="59">
        <f t="shared" si="290"/>
        <v>0</v>
      </c>
      <c r="O1003" s="59">
        <f t="shared" si="291"/>
        <v>1</v>
      </c>
      <c r="P1003" s="59">
        <f t="shared" si="292"/>
        <v>0</v>
      </c>
      <c r="Q1003" s="59">
        <f t="shared" si="293"/>
        <v>0</v>
      </c>
      <c r="R1003" s="59">
        <v>1</v>
      </c>
      <c r="S1003" s="59">
        <v>1411</v>
      </c>
      <c r="T1003" s="59">
        <v>1</v>
      </c>
      <c r="U1003" s="59">
        <v>0</v>
      </c>
      <c r="V1003" s="59">
        <v>94</v>
      </c>
      <c r="W1003" s="59">
        <v>3</v>
      </c>
      <c r="X1003" s="59">
        <v>1</v>
      </c>
      <c r="Y1003" s="59">
        <v>3</v>
      </c>
      <c r="Z1003" s="59">
        <f t="shared" si="294"/>
        <v>0</v>
      </c>
      <c r="AA1003" s="59">
        <f>IF('Updated Dummy'!Y1003=2,1,0)</f>
        <v>0</v>
      </c>
      <c r="AB1003" s="59">
        <f t="shared" si="295"/>
        <v>1</v>
      </c>
      <c r="AC1003" s="59">
        <f t="shared" si="296"/>
        <v>0</v>
      </c>
      <c r="AD1003" s="59">
        <f t="shared" si="297"/>
        <v>0</v>
      </c>
      <c r="AE1003" s="59">
        <f t="shared" si="298"/>
        <v>0</v>
      </c>
      <c r="AF1003" s="59">
        <f t="shared" si="299"/>
        <v>0</v>
      </c>
      <c r="AG1003" s="59">
        <f t="shared" si="300"/>
        <v>0</v>
      </c>
      <c r="AH1003" s="59">
        <v>3</v>
      </c>
      <c r="AI1003" s="59">
        <v>1</v>
      </c>
      <c r="AJ1003" s="59">
        <f t="shared" si="301"/>
        <v>1</v>
      </c>
      <c r="AK1003" s="59">
        <f t="shared" si="302"/>
        <v>0</v>
      </c>
      <c r="AL1003" s="59">
        <v>3629</v>
      </c>
      <c r="AM1003" s="59">
        <v>19106</v>
      </c>
      <c r="AN1003" s="59">
        <v>4</v>
      </c>
      <c r="AO1003" s="59">
        <v>0</v>
      </c>
      <c r="AP1003" s="59">
        <v>18</v>
      </c>
      <c r="AQ1003" s="59">
        <v>3</v>
      </c>
      <c r="AR1003" s="59">
        <v>1</v>
      </c>
      <c r="AS1003" s="59">
        <v>80</v>
      </c>
      <c r="AT1003" s="59">
        <v>0</v>
      </c>
      <c r="AU1003" s="59">
        <v>8</v>
      </c>
      <c r="AV1003" s="59">
        <v>6</v>
      </c>
      <c r="AW1003" s="59">
        <v>3</v>
      </c>
      <c r="AX1003" s="59">
        <v>3</v>
      </c>
      <c r="AY1003" s="59">
        <v>2</v>
      </c>
      <c r="AZ1003" s="59">
        <v>0</v>
      </c>
      <c r="BA1003" s="59">
        <v>2</v>
      </c>
      <c r="BB1003" s="57">
        <f t="shared" si="303"/>
        <v>3629</v>
      </c>
    </row>
    <row r="1004" spans="1:54" x14ac:dyDescent="0.25">
      <c r="A1004" s="58">
        <v>35</v>
      </c>
      <c r="B1004" s="59">
        <v>0</v>
      </c>
      <c r="C1004" s="59">
        <v>2</v>
      </c>
      <c r="D1004" s="59">
        <f t="shared" si="285"/>
        <v>0</v>
      </c>
      <c r="E1004" s="59">
        <f t="shared" si="286"/>
        <v>1</v>
      </c>
      <c r="F1004" s="59">
        <v>200</v>
      </c>
      <c r="G1004" s="59">
        <v>2</v>
      </c>
      <c r="H1004" s="59">
        <f t="shared" si="287"/>
        <v>0</v>
      </c>
      <c r="I1004" s="59">
        <f t="shared" si="288"/>
        <v>1</v>
      </c>
      <c r="J1004" s="59">
        <v>18</v>
      </c>
      <c r="K1004" s="59">
        <v>2</v>
      </c>
      <c r="L1004" s="59">
        <v>1</v>
      </c>
      <c r="M1004" s="59">
        <f t="shared" si="289"/>
        <v>1</v>
      </c>
      <c r="N1004" s="59">
        <f t="shared" si="290"/>
        <v>0</v>
      </c>
      <c r="O1004" s="59">
        <f t="shared" si="291"/>
        <v>0</v>
      </c>
      <c r="P1004" s="59">
        <f t="shared" si="292"/>
        <v>0</v>
      </c>
      <c r="Q1004" s="59">
        <f t="shared" si="293"/>
        <v>0</v>
      </c>
      <c r="R1004" s="59">
        <v>1</v>
      </c>
      <c r="S1004" s="59">
        <v>1412</v>
      </c>
      <c r="T1004" s="59">
        <v>3</v>
      </c>
      <c r="U1004" s="59">
        <v>1</v>
      </c>
      <c r="V1004" s="59">
        <v>60</v>
      </c>
      <c r="W1004" s="59">
        <v>3</v>
      </c>
      <c r="X1004" s="59">
        <v>3</v>
      </c>
      <c r="Y1004" s="59">
        <v>4</v>
      </c>
      <c r="Z1004" s="59">
        <f t="shared" si="294"/>
        <v>0</v>
      </c>
      <c r="AA1004" s="59">
        <f>IF('Updated Dummy'!Y1004=2,1,0)</f>
        <v>0</v>
      </c>
      <c r="AB1004" s="59">
        <f t="shared" si="295"/>
        <v>0</v>
      </c>
      <c r="AC1004" s="59">
        <f t="shared" si="296"/>
        <v>1</v>
      </c>
      <c r="AD1004" s="59">
        <f t="shared" si="297"/>
        <v>0</v>
      </c>
      <c r="AE1004" s="59">
        <f t="shared" si="298"/>
        <v>0</v>
      </c>
      <c r="AF1004" s="59">
        <f t="shared" si="299"/>
        <v>0</v>
      </c>
      <c r="AG1004" s="59">
        <f t="shared" si="300"/>
        <v>0</v>
      </c>
      <c r="AH1004" s="59">
        <v>4</v>
      </c>
      <c r="AI1004" s="59">
        <v>1</v>
      </c>
      <c r="AJ1004" s="59">
        <f t="shared" si="301"/>
        <v>1</v>
      </c>
      <c r="AK1004" s="59">
        <f t="shared" si="302"/>
        <v>0</v>
      </c>
      <c r="AL1004" s="59">
        <v>9362</v>
      </c>
      <c r="AM1004" s="59">
        <v>19944</v>
      </c>
      <c r="AN1004" s="59">
        <v>2</v>
      </c>
      <c r="AO1004" s="59">
        <v>0</v>
      </c>
      <c r="AP1004" s="59">
        <v>11</v>
      </c>
      <c r="AQ1004" s="59">
        <v>3</v>
      </c>
      <c r="AR1004" s="59">
        <v>3</v>
      </c>
      <c r="AS1004" s="59">
        <v>80</v>
      </c>
      <c r="AT1004" s="59">
        <v>0</v>
      </c>
      <c r="AU1004" s="59">
        <v>10</v>
      </c>
      <c r="AV1004" s="59">
        <v>2</v>
      </c>
      <c r="AW1004" s="59">
        <v>3</v>
      </c>
      <c r="AX1004" s="59">
        <v>2</v>
      </c>
      <c r="AY1004" s="59">
        <v>2</v>
      </c>
      <c r="AZ1004" s="59">
        <v>2</v>
      </c>
      <c r="BA1004" s="59">
        <v>2</v>
      </c>
      <c r="BB1004" s="57">
        <f t="shared" si="303"/>
        <v>28086</v>
      </c>
    </row>
    <row r="1005" spans="1:54" x14ac:dyDescent="0.25">
      <c r="A1005" s="58">
        <v>25</v>
      </c>
      <c r="B1005" s="59">
        <v>0</v>
      </c>
      <c r="C1005" s="59">
        <v>1</v>
      </c>
      <c r="D1005" s="59">
        <f t="shared" si="285"/>
        <v>1</v>
      </c>
      <c r="E1005" s="59">
        <f t="shared" si="286"/>
        <v>0</v>
      </c>
      <c r="F1005" s="59">
        <v>949</v>
      </c>
      <c r="G1005" s="59">
        <v>2</v>
      </c>
      <c r="H1005" s="59">
        <f t="shared" si="287"/>
        <v>0</v>
      </c>
      <c r="I1005" s="59">
        <f t="shared" si="288"/>
        <v>1</v>
      </c>
      <c r="J1005" s="59">
        <v>1</v>
      </c>
      <c r="K1005" s="59">
        <v>3</v>
      </c>
      <c r="L1005" s="59">
        <v>5</v>
      </c>
      <c r="M1005" s="59">
        <f t="shared" si="289"/>
        <v>0</v>
      </c>
      <c r="N1005" s="59">
        <f t="shared" si="290"/>
        <v>0</v>
      </c>
      <c r="O1005" s="59">
        <f t="shared" si="291"/>
        <v>0</v>
      </c>
      <c r="P1005" s="59">
        <f t="shared" si="292"/>
        <v>0</v>
      </c>
      <c r="Q1005" s="59">
        <f t="shared" si="293"/>
        <v>1</v>
      </c>
      <c r="R1005" s="59">
        <v>1</v>
      </c>
      <c r="S1005" s="59">
        <v>1415</v>
      </c>
      <c r="T1005" s="59">
        <v>1</v>
      </c>
      <c r="U1005" s="59">
        <v>1</v>
      </c>
      <c r="V1005" s="59">
        <v>81</v>
      </c>
      <c r="W1005" s="59">
        <v>3</v>
      </c>
      <c r="X1005" s="59">
        <v>1</v>
      </c>
      <c r="Y1005" s="59">
        <v>3</v>
      </c>
      <c r="Z1005" s="59">
        <f t="shared" si="294"/>
        <v>0</v>
      </c>
      <c r="AA1005" s="59">
        <f>IF('Updated Dummy'!Y1005=2,1,0)</f>
        <v>0</v>
      </c>
      <c r="AB1005" s="59">
        <f t="shared" si="295"/>
        <v>1</v>
      </c>
      <c r="AC1005" s="59">
        <f t="shared" si="296"/>
        <v>0</v>
      </c>
      <c r="AD1005" s="59">
        <f t="shared" si="297"/>
        <v>0</v>
      </c>
      <c r="AE1005" s="59">
        <f t="shared" si="298"/>
        <v>0</v>
      </c>
      <c r="AF1005" s="59">
        <f t="shared" si="299"/>
        <v>0</v>
      </c>
      <c r="AG1005" s="59">
        <f t="shared" si="300"/>
        <v>0</v>
      </c>
      <c r="AH1005" s="59">
        <v>4</v>
      </c>
      <c r="AI1005" s="59">
        <v>2</v>
      </c>
      <c r="AJ1005" s="59">
        <f t="shared" si="301"/>
        <v>0</v>
      </c>
      <c r="AK1005" s="59">
        <f t="shared" si="302"/>
        <v>1</v>
      </c>
      <c r="AL1005" s="59">
        <v>3229</v>
      </c>
      <c r="AM1005" s="59">
        <v>4910</v>
      </c>
      <c r="AN1005" s="59">
        <v>4</v>
      </c>
      <c r="AO1005" s="59">
        <v>0</v>
      </c>
      <c r="AP1005" s="59">
        <v>11</v>
      </c>
      <c r="AQ1005" s="59">
        <v>3</v>
      </c>
      <c r="AR1005" s="59">
        <v>2</v>
      </c>
      <c r="AS1005" s="59">
        <v>80</v>
      </c>
      <c r="AT1005" s="59">
        <v>1</v>
      </c>
      <c r="AU1005" s="59">
        <v>7</v>
      </c>
      <c r="AV1005" s="59">
        <v>2</v>
      </c>
      <c r="AW1005" s="59">
        <v>2</v>
      </c>
      <c r="AX1005" s="59">
        <v>3</v>
      </c>
      <c r="AY1005" s="59">
        <v>2</v>
      </c>
      <c r="AZ1005" s="59">
        <v>0</v>
      </c>
      <c r="BA1005" s="59">
        <v>2</v>
      </c>
      <c r="BB1005" s="57">
        <f t="shared" si="303"/>
        <v>3229</v>
      </c>
    </row>
    <row r="1006" spans="1:54" x14ac:dyDescent="0.25">
      <c r="A1006" s="58">
        <v>26</v>
      </c>
      <c r="B1006" s="59">
        <v>0</v>
      </c>
      <c r="C1006" s="59">
        <v>1</v>
      </c>
      <c r="D1006" s="59">
        <f t="shared" si="285"/>
        <v>1</v>
      </c>
      <c r="E1006" s="59">
        <f t="shared" si="286"/>
        <v>0</v>
      </c>
      <c r="F1006" s="59">
        <v>652</v>
      </c>
      <c r="G1006" s="59">
        <v>2</v>
      </c>
      <c r="H1006" s="59">
        <f t="shared" si="287"/>
        <v>0</v>
      </c>
      <c r="I1006" s="59">
        <f t="shared" si="288"/>
        <v>1</v>
      </c>
      <c r="J1006" s="59">
        <v>7</v>
      </c>
      <c r="K1006" s="59">
        <v>3</v>
      </c>
      <c r="L1006" s="59">
        <v>6</v>
      </c>
      <c r="M1006" s="59">
        <f t="shared" si="289"/>
        <v>0</v>
      </c>
      <c r="N1006" s="59">
        <f t="shared" si="290"/>
        <v>0</v>
      </c>
      <c r="O1006" s="59">
        <f t="shared" si="291"/>
        <v>0</v>
      </c>
      <c r="P1006" s="59">
        <f t="shared" si="292"/>
        <v>0</v>
      </c>
      <c r="Q1006" s="59">
        <f t="shared" si="293"/>
        <v>0</v>
      </c>
      <c r="R1006" s="59">
        <v>1</v>
      </c>
      <c r="S1006" s="59">
        <v>1417</v>
      </c>
      <c r="T1006" s="59">
        <v>3</v>
      </c>
      <c r="U1006" s="59">
        <v>1</v>
      </c>
      <c r="V1006" s="59">
        <v>100</v>
      </c>
      <c r="W1006" s="59">
        <v>4</v>
      </c>
      <c r="X1006" s="59">
        <v>1</v>
      </c>
      <c r="Y1006" s="59">
        <v>3</v>
      </c>
      <c r="Z1006" s="59">
        <f t="shared" si="294"/>
        <v>0</v>
      </c>
      <c r="AA1006" s="59">
        <f>IF('Updated Dummy'!Y1006=2,1,0)</f>
        <v>0</v>
      </c>
      <c r="AB1006" s="59">
        <f t="shared" si="295"/>
        <v>1</v>
      </c>
      <c r="AC1006" s="59">
        <f t="shared" si="296"/>
        <v>0</v>
      </c>
      <c r="AD1006" s="59">
        <f t="shared" si="297"/>
        <v>0</v>
      </c>
      <c r="AE1006" s="59">
        <f t="shared" si="298"/>
        <v>0</v>
      </c>
      <c r="AF1006" s="59">
        <f t="shared" si="299"/>
        <v>0</v>
      </c>
      <c r="AG1006" s="59">
        <f t="shared" si="300"/>
        <v>0</v>
      </c>
      <c r="AH1006" s="59">
        <v>1</v>
      </c>
      <c r="AI1006" s="59">
        <v>1</v>
      </c>
      <c r="AJ1006" s="59">
        <f t="shared" si="301"/>
        <v>1</v>
      </c>
      <c r="AK1006" s="59">
        <f t="shared" si="302"/>
        <v>0</v>
      </c>
      <c r="AL1006" s="59">
        <v>3578</v>
      </c>
      <c r="AM1006" s="59">
        <v>23577</v>
      </c>
      <c r="AN1006" s="59">
        <v>0</v>
      </c>
      <c r="AO1006" s="59">
        <v>0</v>
      </c>
      <c r="AP1006" s="59">
        <v>12</v>
      </c>
      <c r="AQ1006" s="59">
        <v>3</v>
      </c>
      <c r="AR1006" s="59">
        <v>4</v>
      </c>
      <c r="AS1006" s="59">
        <v>80</v>
      </c>
      <c r="AT1006" s="59">
        <v>0</v>
      </c>
      <c r="AU1006" s="59">
        <v>8</v>
      </c>
      <c r="AV1006" s="59">
        <v>2</v>
      </c>
      <c r="AW1006" s="59">
        <v>3</v>
      </c>
      <c r="AX1006" s="59">
        <v>7</v>
      </c>
      <c r="AY1006" s="59">
        <v>7</v>
      </c>
      <c r="AZ1006" s="59">
        <v>0</v>
      </c>
      <c r="BA1006" s="59">
        <v>7</v>
      </c>
      <c r="BB1006" s="57">
        <f t="shared" si="303"/>
        <v>3578</v>
      </c>
    </row>
    <row r="1007" spans="1:54" x14ac:dyDescent="0.25">
      <c r="A1007" s="58">
        <v>29</v>
      </c>
      <c r="B1007" s="59">
        <v>0</v>
      </c>
      <c r="C1007" s="59">
        <v>1</v>
      </c>
      <c r="D1007" s="59">
        <f t="shared" si="285"/>
        <v>1</v>
      </c>
      <c r="E1007" s="59">
        <f t="shared" si="286"/>
        <v>0</v>
      </c>
      <c r="F1007" s="59">
        <v>332</v>
      </c>
      <c r="G1007" s="59">
        <v>3</v>
      </c>
      <c r="H1007" s="59">
        <f t="shared" si="287"/>
        <v>0</v>
      </c>
      <c r="I1007" s="59">
        <f t="shared" si="288"/>
        <v>0</v>
      </c>
      <c r="J1007" s="59">
        <v>17</v>
      </c>
      <c r="K1007" s="59">
        <v>3</v>
      </c>
      <c r="L1007" s="59">
        <v>6</v>
      </c>
      <c r="M1007" s="59">
        <f t="shared" si="289"/>
        <v>0</v>
      </c>
      <c r="N1007" s="59">
        <f t="shared" si="290"/>
        <v>0</v>
      </c>
      <c r="O1007" s="59">
        <f t="shared" si="291"/>
        <v>0</v>
      </c>
      <c r="P1007" s="59">
        <f t="shared" si="292"/>
        <v>0</v>
      </c>
      <c r="Q1007" s="59">
        <f t="shared" si="293"/>
        <v>0</v>
      </c>
      <c r="R1007" s="59">
        <v>1</v>
      </c>
      <c r="S1007" s="59">
        <v>1419</v>
      </c>
      <c r="T1007" s="59">
        <v>2</v>
      </c>
      <c r="U1007" s="59">
        <v>1</v>
      </c>
      <c r="V1007" s="59">
        <v>51</v>
      </c>
      <c r="W1007" s="59">
        <v>2</v>
      </c>
      <c r="X1007" s="59">
        <v>3</v>
      </c>
      <c r="Y1007" s="59">
        <v>9</v>
      </c>
      <c r="Z1007" s="59">
        <f t="shared" si="294"/>
        <v>0</v>
      </c>
      <c r="AA1007" s="59">
        <f>IF('Updated Dummy'!Y1007=2,1,0)</f>
        <v>0</v>
      </c>
      <c r="AB1007" s="59">
        <f t="shared" si="295"/>
        <v>0</v>
      </c>
      <c r="AC1007" s="59">
        <f t="shared" si="296"/>
        <v>0</v>
      </c>
      <c r="AD1007" s="59">
        <f t="shared" si="297"/>
        <v>0</v>
      </c>
      <c r="AE1007" s="59">
        <f t="shared" si="298"/>
        <v>0</v>
      </c>
      <c r="AF1007" s="59">
        <f t="shared" si="299"/>
        <v>0</v>
      </c>
      <c r="AG1007" s="59">
        <f t="shared" si="300"/>
        <v>0</v>
      </c>
      <c r="AH1007" s="59">
        <v>1</v>
      </c>
      <c r="AI1007" s="59">
        <v>1</v>
      </c>
      <c r="AJ1007" s="59">
        <f t="shared" si="301"/>
        <v>1</v>
      </c>
      <c r="AK1007" s="59">
        <f t="shared" si="302"/>
        <v>0</v>
      </c>
      <c r="AL1007" s="59">
        <v>7988</v>
      </c>
      <c r="AM1007" s="59">
        <v>9769</v>
      </c>
      <c r="AN1007" s="59">
        <v>1</v>
      </c>
      <c r="AO1007" s="59">
        <v>0</v>
      </c>
      <c r="AP1007" s="59">
        <v>13</v>
      </c>
      <c r="AQ1007" s="59">
        <v>3</v>
      </c>
      <c r="AR1007" s="59">
        <v>1</v>
      </c>
      <c r="AS1007" s="59">
        <v>80</v>
      </c>
      <c r="AT1007" s="59">
        <v>0</v>
      </c>
      <c r="AU1007" s="59">
        <v>10</v>
      </c>
      <c r="AV1007" s="59">
        <v>3</v>
      </c>
      <c r="AW1007" s="59">
        <v>2</v>
      </c>
      <c r="AX1007" s="59">
        <v>10</v>
      </c>
      <c r="AY1007" s="59">
        <v>9</v>
      </c>
      <c r="AZ1007" s="59">
        <v>0</v>
      </c>
      <c r="BA1007" s="59">
        <v>9</v>
      </c>
      <c r="BB1007" s="57">
        <f t="shared" si="303"/>
        <v>23964</v>
      </c>
    </row>
    <row r="1008" spans="1:54" x14ac:dyDescent="0.25">
      <c r="A1008" s="58">
        <v>49</v>
      </c>
      <c r="B1008" s="59">
        <v>1</v>
      </c>
      <c r="C1008" s="59">
        <v>2</v>
      </c>
      <c r="D1008" s="59">
        <f t="shared" si="285"/>
        <v>0</v>
      </c>
      <c r="E1008" s="59">
        <f t="shared" si="286"/>
        <v>1</v>
      </c>
      <c r="F1008" s="59">
        <v>1475</v>
      </c>
      <c r="G1008" s="59">
        <v>2</v>
      </c>
      <c r="H1008" s="59">
        <f t="shared" si="287"/>
        <v>0</v>
      </c>
      <c r="I1008" s="59">
        <f t="shared" si="288"/>
        <v>1</v>
      </c>
      <c r="J1008" s="59">
        <v>28</v>
      </c>
      <c r="K1008" s="59">
        <v>2</v>
      </c>
      <c r="L1008" s="59">
        <v>1</v>
      </c>
      <c r="M1008" s="59">
        <f t="shared" si="289"/>
        <v>1</v>
      </c>
      <c r="N1008" s="59">
        <f t="shared" si="290"/>
        <v>0</v>
      </c>
      <c r="O1008" s="59">
        <f t="shared" si="291"/>
        <v>0</v>
      </c>
      <c r="P1008" s="59">
        <f t="shared" si="292"/>
        <v>0</v>
      </c>
      <c r="Q1008" s="59">
        <f t="shared" si="293"/>
        <v>0</v>
      </c>
      <c r="R1008" s="59">
        <v>1</v>
      </c>
      <c r="S1008" s="59">
        <v>1420</v>
      </c>
      <c r="T1008" s="59">
        <v>1</v>
      </c>
      <c r="U1008" s="59">
        <v>1</v>
      </c>
      <c r="V1008" s="59">
        <v>97</v>
      </c>
      <c r="W1008" s="59">
        <v>2</v>
      </c>
      <c r="X1008" s="59">
        <v>2</v>
      </c>
      <c r="Y1008" s="59">
        <v>3</v>
      </c>
      <c r="Z1008" s="59">
        <f t="shared" si="294"/>
        <v>0</v>
      </c>
      <c r="AA1008" s="59">
        <f>IF('Updated Dummy'!Y1008=2,1,0)</f>
        <v>0</v>
      </c>
      <c r="AB1008" s="59">
        <f t="shared" si="295"/>
        <v>1</v>
      </c>
      <c r="AC1008" s="59">
        <f t="shared" si="296"/>
        <v>0</v>
      </c>
      <c r="AD1008" s="59">
        <f t="shared" si="297"/>
        <v>0</v>
      </c>
      <c r="AE1008" s="59">
        <f t="shared" si="298"/>
        <v>0</v>
      </c>
      <c r="AF1008" s="59">
        <f t="shared" si="299"/>
        <v>0</v>
      </c>
      <c r="AG1008" s="59">
        <f t="shared" si="300"/>
        <v>0</v>
      </c>
      <c r="AH1008" s="59">
        <v>1</v>
      </c>
      <c r="AI1008" s="59">
        <v>1</v>
      </c>
      <c r="AJ1008" s="59">
        <f t="shared" si="301"/>
        <v>1</v>
      </c>
      <c r="AK1008" s="59">
        <f t="shared" si="302"/>
        <v>0</v>
      </c>
      <c r="AL1008" s="59">
        <v>4284</v>
      </c>
      <c r="AM1008" s="59">
        <v>22710</v>
      </c>
      <c r="AN1008" s="59">
        <v>3</v>
      </c>
      <c r="AO1008" s="59">
        <v>0</v>
      </c>
      <c r="AP1008" s="59">
        <v>20</v>
      </c>
      <c r="AQ1008" s="59">
        <v>4</v>
      </c>
      <c r="AR1008" s="59">
        <v>1</v>
      </c>
      <c r="AS1008" s="59">
        <v>80</v>
      </c>
      <c r="AT1008" s="59">
        <v>0</v>
      </c>
      <c r="AU1008" s="59">
        <v>20</v>
      </c>
      <c r="AV1008" s="59">
        <v>2</v>
      </c>
      <c r="AW1008" s="59">
        <v>3</v>
      </c>
      <c r="AX1008" s="59">
        <v>4</v>
      </c>
      <c r="AY1008" s="59">
        <v>3</v>
      </c>
      <c r="AZ1008" s="59">
        <v>1</v>
      </c>
      <c r="BA1008" s="59">
        <v>3</v>
      </c>
      <c r="BB1008" s="57">
        <f t="shared" si="303"/>
        <v>8568</v>
      </c>
    </row>
    <row r="1009" spans="1:54" x14ac:dyDescent="0.25">
      <c r="A1009" s="58">
        <v>29</v>
      </c>
      <c r="B1009" s="59">
        <v>1</v>
      </c>
      <c r="C1009" s="59">
        <v>2</v>
      </c>
      <c r="D1009" s="59">
        <f t="shared" si="285"/>
        <v>0</v>
      </c>
      <c r="E1009" s="59">
        <f t="shared" si="286"/>
        <v>1</v>
      </c>
      <c r="F1009" s="59">
        <v>337</v>
      </c>
      <c r="G1009" s="59">
        <v>2</v>
      </c>
      <c r="H1009" s="59">
        <f t="shared" si="287"/>
        <v>0</v>
      </c>
      <c r="I1009" s="59">
        <f t="shared" si="288"/>
        <v>1</v>
      </c>
      <c r="J1009" s="59">
        <v>14</v>
      </c>
      <c r="K1009" s="59">
        <v>1</v>
      </c>
      <c r="L1009" s="59">
        <v>6</v>
      </c>
      <c r="M1009" s="59">
        <f t="shared" si="289"/>
        <v>0</v>
      </c>
      <c r="N1009" s="59">
        <f t="shared" si="290"/>
        <v>0</v>
      </c>
      <c r="O1009" s="59">
        <f t="shared" si="291"/>
        <v>0</v>
      </c>
      <c r="P1009" s="59">
        <f t="shared" si="292"/>
        <v>0</v>
      </c>
      <c r="Q1009" s="59">
        <f t="shared" si="293"/>
        <v>0</v>
      </c>
      <c r="R1009" s="59">
        <v>1</v>
      </c>
      <c r="S1009" s="59">
        <v>1421</v>
      </c>
      <c r="T1009" s="59">
        <v>3</v>
      </c>
      <c r="U1009" s="59">
        <v>0</v>
      </c>
      <c r="V1009" s="59">
        <v>84</v>
      </c>
      <c r="W1009" s="59">
        <v>3</v>
      </c>
      <c r="X1009" s="59">
        <v>3</v>
      </c>
      <c r="Y1009" s="59">
        <v>5</v>
      </c>
      <c r="Z1009" s="59">
        <f t="shared" si="294"/>
        <v>0</v>
      </c>
      <c r="AA1009" s="59">
        <f>IF('Updated Dummy'!Y1009=2,1,0)</f>
        <v>0</v>
      </c>
      <c r="AB1009" s="59">
        <f t="shared" si="295"/>
        <v>0</v>
      </c>
      <c r="AC1009" s="59">
        <f t="shared" si="296"/>
        <v>0</v>
      </c>
      <c r="AD1009" s="59">
        <f t="shared" si="297"/>
        <v>1</v>
      </c>
      <c r="AE1009" s="59">
        <f t="shared" si="298"/>
        <v>0</v>
      </c>
      <c r="AF1009" s="59">
        <f t="shared" si="299"/>
        <v>0</v>
      </c>
      <c r="AG1009" s="59">
        <f t="shared" si="300"/>
        <v>0</v>
      </c>
      <c r="AH1009" s="59">
        <v>4</v>
      </c>
      <c r="AI1009" s="59">
        <v>1</v>
      </c>
      <c r="AJ1009" s="59">
        <f t="shared" si="301"/>
        <v>1</v>
      </c>
      <c r="AK1009" s="59">
        <f t="shared" si="302"/>
        <v>0</v>
      </c>
      <c r="AL1009" s="59">
        <v>7553</v>
      </c>
      <c r="AM1009" s="59">
        <v>22930</v>
      </c>
      <c r="AN1009" s="59">
        <v>0</v>
      </c>
      <c r="AO1009" s="59">
        <v>1</v>
      </c>
      <c r="AP1009" s="59">
        <v>12</v>
      </c>
      <c r="AQ1009" s="59">
        <v>3</v>
      </c>
      <c r="AR1009" s="59">
        <v>1</v>
      </c>
      <c r="AS1009" s="59">
        <v>80</v>
      </c>
      <c r="AT1009" s="59">
        <v>0</v>
      </c>
      <c r="AU1009" s="59">
        <v>9</v>
      </c>
      <c r="AV1009" s="59">
        <v>1</v>
      </c>
      <c r="AW1009" s="59">
        <v>3</v>
      </c>
      <c r="AX1009" s="59">
        <v>8</v>
      </c>
      <c r="AY1009" s="59">
        <v>7</v>
      </c>
      <c r="AZ1009" s="59">
        <v>7</v>
      </c>
      <c r="BA1009" s="59">
        <v>7</v>
      </c>
      <c r="BB1009" s="57">
        <f t="shared" si="303"/>
        <v>22659</v>
      </c>
    </row>
    <row r="1010" spans="1:54" x14ac:dyDescent="0.25">
      <c r="A1010" s="58">
        <v>54</v>
      </c>
      <c r="B1010" s="59">
        <v>0</v>
      </c>
      <c r="C1010" s="59">
        <v>1</v>
      </c>
      <c r="D1010" s="59">
        <f t="shared" si="285"/>
        <v>1</v>
      </c>
      <c r="E1010" s="59">
        <f t="shared" si="286"/>
        <v>0</v>
      </c>
      <c r="F1010" s="59">
        <v>971</v>
      </c>
      <c r="G1010" s="59">
        <v>2</v>
      </c>
      <c r="H1010" s="59">
        <f t="shared" si="287"/>
        <v>0</v>
      </c>
      <c r="I1010" s="59">
        <f t="shared" si="288"/>
        <v>1</v>
      </c>
      <c r="J1010" s="59">
        <v>1</v>
      </c>
      <c r="K1010" s="59">
        <v>3</v>
      </c>
      <c r="L1010" s="59">
        <v>3</v>
      </c>
      <c r="M1010" s="59">
        <f t="shared" si="289"/>
        <v>0</v>
      </c>
      <c r="N1010" s="59">
        <f t="shared" si="290"/>
        <v>0</v>
      </c>
      <c r="O1010" s="59">
        <f t="shared" si="291"/>
        <v>1</v>
      </c>
      <c r="P1010" s="59">
        <f t="shared" si="292"/>
        <v>0</v>
      </c>
      <c r="Q1010" s="59">
        <f t="shared" si="293"/>
        <v>0</v>
      </c>
      <c r="R1010" s="59">
        <v>1</v>
      </c>
      <c r="S1010" s="59">
        <v>1422</v>
      </c>
      <c r="T1010" s="59">
        <v>4</v>
      </c>
      <c r="U1010" s="59">
        <v>0</v>
      </c>
      <c r="V1010" s="59">
        <v>54</v>
      </c>
      <c r="W1010" s="59">
        <v>3</v>
      </c>
      <c r="X1010" s="59">
        <v>4</v>
      </c>
      <c r="Y1010" s="59">
        <v>8</v>
      </c>
      <c r="Z1010" s="59">
        <f t="shared" si="294"/>
        <v>0</v>
      </c>
      <c r="AA1010" s="59">
        <f>IF('Updated Dummy'!Y1010=2,1,0)</f>
        <v>0</v>
      </c>
      <c r="AB1010" s="59">
        <f t="shared" si="295"/>
        <v>0</v>
      </c>
      <c r="AC1010" s="59">
        <f t="shared" si="296"/>
        <v>0</v>
      </c>
      <c r="AD1010" s="59">
        <f t="shared" si="297"/>
        <v>0</v>
      </c>
      <c r="AE1010" s="59">
        <f t="shared" si="298"/>
        <v>0</v>
      </c>
      <c r="AF1010" s="59">
        <f t="shared" si="299"/>
        <v>0</v>
      </c>
      <c r="AG1010" s="59">
        <f t="shared" si="300"/>
        <v>1</v>
      </c>
      <c r="AH1010" s="59">
        <v>4</v>
      </c>
      <c r="AI1010" s="59">
        <v>1</v>
      </c>
      <c r="AJ1010" s="59">
        <f t="shared" si="301"/>
        <v>1</v>
      </c>
      <c r="AK1010" s="59">
        <f t="shared" si="302"/>
        <v>0</v>
      </c>
      <c r="AL1010" s="59">
        <v>17328</v>
      </c>
      <c r="AM1010" s="59">
        <v>5652</v>
      </c>
      <c r="AN1010" s="59">
        <v>6</v>
      </c>
      <c r="AO1010" s="59">
        <v>0</v>
      </c>
      <c r="AP1010" s="59">
        <v>19</v>
      </c>
      <c r="AQ1010" s="59">
        <v>3</v>
      </c>
      <c r="AR1010" s="59">
        <v>4</v>
      </c>
      <c r="AS1010" s="59">
        <v>80</v>
      </c>
      <c r="AT1010" s="59">
        <v>0</v>
      </c>
      <c r="AU1010" s="59">
        <v>29</v>
      </c>
      <c r="AV1010" s="59">
        <v>3</v>
      </c>
      <c r="AW1010" s="59">
        <v>2</v>
      </c>
      <c r="AX1010" s="59">
        <v>20</v>
      </c>
      <c r="AY1010" s="59">
        <v>7</v>
      </c>
      <c r="AZ1010" s="59">
        <v>12</v>
      </c>
      <c r="BA1010" s="59">
        <v>7</v>
      </c>
      <c r="BB1010" s="57">
        <f t="shared" si="303"/>
        <v>69312</v>
      </c>
    </row>
    <row r="1011" spans="1:54" x14ac:dyDescent="0.25">
      <c r="A1011" s="58">
        <v>58</v>
      </c>
      <c r="B1011" s="59">
        <v>0</v>
      </c>
      <c r="C1011" s="59">
        <v>1</v>
      </c>
      <c r="D1011" s="59">
        <f t="shared" si="285"/>
        <v>1</v>
      </c>
      <c r="E1011" s="59">
        <f t="shared" si="286"/>
        <v>0</v>
      </c>
      <c r="F1011" s="59">
        <v>1055</v>
      </c>
      <c r="G1011" s="59">
        <v>2</v>
      </c>
      <c r="H1011" s="59">
        <f t="shared" si="287"/>
        <v>0</v>
      </c>
      <c r="I1011" s="59">
        <f t="shared" si="288"/>
        <v>1</v>
      </c>
      <c r="J1011" s="59">
        <v>1</v>
      </c>
      <c r="K1011" s="59">
        <v>3</v>
      </c>
      <c r="L1011" s="59">
        <v>3</v>
      </c>
      <c r="M1011" s="59">
        <f t="shared" si="289"/>
        <v>0</v>
      </c>
      <c r="N1011" s="59">
        <f t="shared" si="290"/>
        <v>0</v>
      </c>
      <c r="O1011" s="59">
        <f t="shared" si="291"/>
        <v>1</v>
      </c>
      <c r="P1011" s="59">
        <f t="shared" si="292"/>
        <v>0</v>
      </c>
      <c r="Q1011" s="59">
        <f t="shared" si="293"/>
        <v>0</v>
      </c>
      <c r="R1011" s="59">
        <v>1</v>
      </c>
      <c r="S1011" s="59">
        <v>1423</v>
      </c>
      <c r="T1011" s="59">
        <v>4</v>
      </c>
      <c r="U1011" s="59">
        <v>0</v>
      </c>
      <c r="V1011" s="59">
        <v>76</v>
      </c>
      <c r="W1011" s="59">
        <v>3</v>
      </c>
      <c r="X1011" s="59">
        <v>5</v>
      </c>
      <c r="Y1011" s="59">
        <v>8</v>
      </c>
      <c r="Z1011" s="59">
        <f t="shared" si="294"/>
        <v>0</v>
      </c>
      <c r="AA1011" s="59">
        <f>IF('Updated Dummy'!Y1011=2,1,0)</f>
        <v>0</v>
      </c>
      <c r="AB1011" s="59">
        <f t="shared" si="295"/>
        <v>0</v>
      </c>
      <c r="AC1011" s="59">
        <f t="shared" si="296"/>
        <v>0</v>
      </c>
      <c r="AD1011" s="59">
        <f t="shared" si="297"/>
        <v>0</v>
      </c>
      <c r="AE1011" s="59">
        <f t="shared" si="298"/>
        <v>0</v>
      </c>
      <c r="AF1011" s="59">
        <f t="shared" si="299"/>
        <v>0</v>
      </c>
      <c r="AG1011" s="59">
        <f t="shared" si="300"/>
        <v>1</v>
      </c>
      <c r="AH1011" s="59">
        <v>1</v>
      </c>
      <c r="AI1011" s="59">
        <v>2</v>
      </c>
      <c r="AJ1011" s="59">
        <f t="shared" si="301"/>
        <v>0</v>
      </c>
      <c r="AK1011" s="59">
        <f t="shared" si="302"/>
        <v>1</v>
      </c>
      <c r="AL1011" s="59">
        <v>19701</v>
      </c>
      <c r="AM1011" s="59">
        <v>22456</v>
      </c>
      <c r="AN1011" s="59">
        <v>3</v>
      </c>
      <c r="AO1011" s="59">
        <v>1</v>
      </c>
      <c r="AP1011" s="59">
        <v>21</v>
      </c>
      <c r="AQ1011" s="59">
        <v>4</v>
      </c>
      <c r="AR1011" s="59">
        <v>3</v>
      </c>
      <c r="AS1011" s="59">
        <v>80</v>
      </c>
      <c r="AT1011" s="59">
        <v>1</v>
      </c>
      <c r="AU1011" s="59">
        <v>32</v>
      </c>
      <c r="AV1011" s="59">
        <v>3</v>
      </c>
      <c r="AW1011" s="59">
        <v>3</v>
      </c>
      <c r="AX1011" s="59">
        <v>9</v>
      </c>
      <c r="AY1011" s="59">
        <v>8</v>
      </c>
      <c r="AZ1011" s="59">
        <v>1</v>
      </c>
      <c r="BA1011" s="59">
        <v>5</v>
      </c>
      <c r="BB1011" s="57">
        <f t="shared" si="303"/>
        <v>98505</v>
      </c>
    </row>
    <row r="1012" spans="1:54" x14ac:dyDescent="0.25">
      <c r="A1012" s="58">
        <v>55</v>
      </c>
      <c r="B1012" s="59">
        <v>0</v>
      </c>
      <c r="C1012" s="59">
        <v>1</v>
      </c>
      <c r="D1012" s="59">
        <f t="shared" si="285"/>
        <v>1</v>
      </c>
      <c r="E1012" s="59">
        <f t="shared" si="286"/>
        <v>0</v>
      </c>
      <c r="F1012" s="59">
        <v>1136</v>
      </c>
      <c r="G1012" s="59">
        <v>2</v>
      </c>
      <c r="H1012" s="59">
        <f t="shared" si="287"/>
        <v>0</v>
      </c>
      <c r="I1012" s="59">
        <f t="shared" si="288"/>
        <v>1</v>
      </c>
      <c r="J1012" s="59">
        <v>1</v>
      </c>
      <c r="K1012" s="59">
        <v>4</v>
      </c>
      <c r="L1012" s="59">
        <v>3</v>
      </c>
      <c r="M1012" s="59">
        <f t="shared" si="289"/>
        <v>0</v>
      </c>
      <c r="N1012" s="59">
        <f t="shared" si="290"/>
        <v>0</v>
      </c>
      <c r="O1012" s="59">
        <f t="shared" si="291"/>
        <v>1</v>
      </c>
      <c r="P1012" s="59">
        <f t="shared" si="292"/>
        <v>0</v>
      </c>
      <c r="Q1012" s="59">
        <f t="shared" si="293"/>
        <v>0</v>
      </c>
      <c r="R1012" s="59">
        <v>1</v>
      </c>
      <c r="S1012" s="59">
        <v>1424</v>
      </c>
      <c r="T1012" s="59">
        <v>2</v>
      </c>
      <c r="U1012" s="59">
        <v>1</v>
      </c>
      <c r="V1012" s="59">
        <v>81</v>
      </c>
      <c r="W1012" s="59">
        <v>4</v>
      </c>
      <c r="X1012" s="59">
        <v>4</v>
      </c>
      <c r="Y1012" s="59">
        <v>8</v>
      </c>
      <c r="Z1012" s="59">
        <f t="shared" si="294"/>
        <v>0</v>
      </c>
      <c r="AA1012" s="59">
        <f>IF('Updated Dummy'!Y1012=2,1,0)</f>
        <v>0</v>
      </c>
      <c r="AB1012" s="59">
        <f t="shared" si="295"/>
        <v>0</v>
      </c>
      <c r="AC1012" s="59">
        <f t="shared" si="296"/>
        <v>0</v>
      </c>
      <c r="AD1012" s="59">
        <f t="shared" si="297"/>
        <v>0</v>
      </c>
      <c r="AE1012" s="59">
        <f t="shared" si="298"/>
        <v>0</v>
      </c>
      <c r="AF1012" s="59">
        <f t="shared" si="299"/>
        <v>0</v>
      </c>
      <c r="AG1012" s="59">
        <f t="shared" si="300"/>
        <v>1</v>
      </c>
      <c r="AH1012" s="59">
        <v>4</v>
      </c>
      <c r="AI1012" s="59">
        <v>3</v>
      </c>
      <c r="AJ1012" s="59">
        <f t="shared" si="301"/>
        <v>0</v>
      </c>
      <c r="AK1012" s="59">
        <f t="shared" si="302"/>
        <v>0</v>
      </c>
      <c r="AL1012" s="59">
        <v>14732</v>
      </c>
      <c r="AM1012" s="59">
        <v>12414</v>
      </c>
      <c r="AN1012" s="59">
        <v>2</v>
      </c>
      <c r="AO1012" s="59">
        <v>0</v>
      </c>
      <c r="AP1012" s="59">
        <v>13</v>
      </c>
      <c r="AQ1012" s="59">
        <v>3</v>
      </c>
      <c r="AR1012" s="59">
        <v>4</v>
      </c>
      <c r="AS1012" s="59">
        <v>80</v>
      </c>
      <c r="AT1012" s="59">
        <v>2</v>
      </c>
      <c r="AU1012" s="59">
        <v>31</v>
      </c>
      <c r="AV1012" s="59">
        <v>4</v>
      </c>
      <c r="AW1012" s="59">
        <v>4</v>
      </c>
      <c r="AX1012" s="59">
        <v>7</v>
      </c>
      <c r="AY1012" s="59">
        <v>7</v>
      </c>
      <c r="AZ1012" s="59">
        <v>0</v>
      </c>
      <c r="BA1012" s="59">
        <v>0</v>
      </c>
      <c r="BB1012" s="57">
        <f t="shared" si="303"/>
        <v>58928</v>
      </c>
    </row>
    <row r="1013" spans="1:54" x14ac:dyDescent="0.25">
      <c r="A1013" s="58">
        <v>36</v>
      </c>
      <c r="B1013" s="59">
        <v>0</v>
      </c>
      <c r="C1013" s="59">
        <v>1</v>
      </c>
      <c r="D1013" s="59">
        <f t="shared" si="285"/>
        <v>1</v>
      </c>
      <c r="E1013" s="59">
        <f t="shared" si="286"/>
        <v>0</v>
      </c>
      <c r="F1013" s="59">
        <v>1174</v>
      </c>
      <c r="G1013" s="59">
        <v>1</v>
      </c>
      <c r="H1013" s="59">
        <f t="shared" si="287"/>
        <v>1</v>
      </c>
      <c r="I1013" s="59">
        <f t="shared" si="288"/>
        <v>0</v>
      </c>
      <c r="J1013" s="59">
        <v>3</v>
      </c>
      <c r="K1013" s="59">
        <v>4</v>
      </c>
      <c r="L1013" s="59">
        <v>4</v>
      </c>
      <c r="M1013" s="59">
        <f t="shared" si="289"/>
        <v>0</v>
      </c>
      <c r="N1013" s="59">
        <f t="shared" si="290"/>
        <v>0</v>
      </c>
      <c r="O1013" s="59">
        <f t="shared" si="291"/>
        <v>0</v>
      </c>
      <c r="P1013" s="59">
        <f t="shared" si="292"/>
        <v>1</v>
      </c>
      <c r="Q1013" s="59">
        <f t="shared" si="293"/>
        <v>0</v>
      </c>
      <c r="R1013" s="59">
        <v>1</v>
      </c>
      <c r="S1013" s="59">
        <v>1425</v>
      </c>
      <c r="T1013" s="59">
        <v>1</v>
      </c>
      <c r="U1013" s="59">
        <v>0</v>
      </c>
      <c r="V1013" s="59">
        <v>99</v>
      </c>
      <c r="W1013" s="59">
        <v>3</v>
      </c>
      <c r="X1013" s="59">
        <v>2</v>
      </c>
      <c r="Y1013" s="59">
        <v>1</v>
      </c>
      <c r="Z1013" s="59">
        <f t="shared" si="294"/>
        <v>1</v>
      </c>
      <c r="AA1013" s="59">
        <f>IF('Updated Dummy'!Y1013=2,1,0)</f>
        <v>0</v>
      </c>
      <c r="AB1013" s="59">
        <f t="shared" si="295"/>
        <v>0</v>
      </c>
      <c r="AC1013" s="59">
        <f t="shared" si="296"/>
        <v>0</v>
      </c>
      <c r="AD1013" s="59">
        <f t="shared" si="297"/>
        <v>0</v>
      </c>
      <c r="AE1013" s="59">
        <f t="shared" si="298"/>
        <v>0</v>
      </c>
      <c r="AF1013" s="59">
        <f t="shared" si="299"/>
        <v>0</v>
      </c>
      <c r="AG1013" s="59">
        <f t="shared" si="300"/>
        <v>0</v>
      </c>
      <c r="AH1013" s="59">
        <v>2</v>
      </c>
      <c r="AI1013" s="59">
        <v>1</v>
      </c>
      <c r="AJ1013" s="59">
        <f t="shared" si="301"/>
        <v>1</v>
      </c>
      <c r="AK1013" s="59">
        <f t="shared" si="302"/>
        <v>0</v>
      </c>
      <c r="AL1013" s="59">
        <v>9278</v>
      </c>
      <c r="AM1013" s="59">
        <v>20763</v>
      </c>
      <c r="AN1013" s="59">
        <v>3</v>
      </c>
      <c r="AO1013" s="59">
        <v>1</v>
      </c>
      <c r="AP1013" s="59">
        <v>16</v>
      </c>
      <c r="AQ1013" s="59">
        <v>3</v>
      </c>
      <c r="AR1013" s="59">
        <v>4</v>
      </c>
      <c r="AS1013" s="59">
        <v>80</v>
      </c>
      <c r="AT1013" s="59">
        <v>0</v>
      </c>
      <c r="AU1013" s="59">
        <v>15</v>
      </c>
      <c r="AV1013" s="59">
        <v>3</v>
      </c>
      <c r="AW1013" s="59">
        <v>3</v>
      </c>
      <c r="AX1013" s="59">
        <v>5</v>
      </c>
      <c r="AY1013" s="59">
        <v>4</v>
      </c>
      <c r="AZ1013" s="59">
        <v>0</v>
      </c>
      <c r="BA1013" s="59">
        <v>1</v>
      </c>
      <c r="BB1013" s="57">
        <f t="shared" si="303"/>
        <v>18556</v>
      </c>
    </row>
    <row r="1014" spans="1:54" x14ac:dyDescent="0.25">
      <c r="A1014" s="58">
        <v>31</v>
      </c>
      <c r="B1014" s="59">
        <v>1</v>
      </c>
      <c r="C1014" s="59">
        <v>2</v>
      </c>
      <c r="D1014" s="59">
        <f t="shared" si="285"/>
        <v>0</v>
      </c>
      <c r="E1014" s="59">
        <f t="shared" si="286"/>
        <v>1</v>
      </c>
      <c r="F1014" s="59">
        <v>667</v>
      </c>
      <c r="G1014" s="59">
        <v>1</v>
      </c>
      <c r="H1014" s="59">
        <f t="shared" si="287"/>
        <v>1</v>
      </c>
      <c r="I1014" s="59">
        <f t="shared" si="288"/>
        <v>0</v>
      </c>
      <c r="J1014" s="59">
        <v>1</v>
      </c>
      <c r="K1014" s="59">
        <v>4</v>
      </c>
      <c r="L1014" s="59">
        <v>1</v>
      </c>
      <c r="M1014" s="59">
        <f t="shared" si="289"/>
        <v>1</v>
      </c>
      <c r="N1014" s="59">
        <f t="shared" si="290"/>
        <v>0</v>
      </c>
      <c r="O1014" s="59">
        <f t="shared" si="291"/>
        <v>0</v>
      </c>
      <c r="P1014" s="59">
        <f t="shared" si="292"/>
        <v>0</v>
      </c>
      <c r="Q1014" s="59">
        <f t="shared" si="293"/>
        <v>0</v>
      </c>
      <c r="R1014" s="59">
        <v>1</v>
      </c>
      <c r="S1014" s="59">
        <v>1427</v>
      </c>
      <c r="T1014" s="59">
        <v>2</v>
      </c>
      <c r="U1014" s="59">
        <v>0</v>
      </c>
      <c r="V1014" s="59">
        <v>50</v>
      </c>
      <c r="W1014" s="59">
        <v>1</v>
      </c>
      <c r="X1014" s="59">
        <v>1</v>
      </c>
      <c r="Y1014" s="59">
        <v>7</v>
      </c>
      <c r="Z1014" s="59">
        <f t="shared" si="294"/>
        <v>0</v>
      </c>
      <c r="AA1014" s="59">
        <f>IF('Updated Dummy'!Y1014=2,1,0)</f>
        <v>0</v>
      </c>
      <c r="AB1014" s="59">
        <f t="shared" si="295"/>
        <v>0</v>
      </c>
      <c r="AC1014" s="59">
        <f t="shared" si="296"/>
        <v>0</v>
      </c>
      <c r="AD1014" s="59">
        <f t="shared" si="297"/>
        <v>0</v>
      </c>
      <c r="AE1014" s="59">
        <f t="shared" si="298"/>
        <v>0</v>
      </c>
      <c r="AF1014" s="59">
        <f t="shared" si="299"/>
        <v>1</v>
      </c>
      <c r="AG1014" s="59">
        <f t="shared" si="300"/>
        <v>0</v>
      </c>
      <c r="AH1014" s="59">
        <v>3</v>
      </c>
      <c r="AI1014" s="59">
        <v>1</v>
      </c>
      <c r="AJ1014" s="59">
        <f t="shared" si="301"/>
        <v>1</v>
      </c>
      <c r="AK1014" s="59">
        <f t="shared" si="302"/>
        <v>0</v>
      </c>
      <c r="AL1014" s="59">
        <v>1359</v>
      </c>
      <c r="AM1014" s="59">
        <v>16154</v>
      </c>
      <c r="AN1014" s="59">
        <v>1</v>
      </c>
      <c r="AO1014" s="59">
        <v>0</v>
      </c>
      <c r="AP1014" s="59">
        <v>12</v>
      </c>
      <c r="AQ1014" s="59">
        <v>3</v>
      </c>
      <c r="AR1014" s="59">
        <v>2</v>
      </c>
      <c r="AS1014" s="59">
        <v>80</v>
      </c>
      <c r="AT1014" s="59">
        <v>0</v>
      </c>
      <c r="AU1014" s="59">
        <v>1</v>
      </c>
      <c r="AV1014" s="59">
        <v>3</v>
      </c>
      <c r="AW1014" s="59">
        <v>3</v>
      </c>
      <c r="AX1014" s="59">
        <v>1</v>
      </c>
      <c r="AY1014" s="59">
        <v>0</v>
      </c>
      <c r="AZ1014" s="59">
        <v>0</v>
      </c>
      <c r="BA1014" s="59">
        <v>0</v>
      </c>
      <c r="BB1014" s="57">
        <f t="shared" si="303"/>
        <v>1359</v>
      </c>
    </row>
    <row r="1015" spans="1:54" x14ac:dyDescent="0.25">
      <c r="A1015" s="58">
        <v>30</v>
      </c>
      <c r="B1015" s="59">
        <v>0</v>
      </c>
      <c r="C1015" s="59">
        <v>1</v>
      </c>
      <c r="D1015" s="59">
        <f t="shared" si="285"/>
        <v>1</v>
      </c>
      <c r="E1015" s="59">
        <f t="shared" si="286"/>
        <v>0</v>
      </c>
      <c r="F1015" s="59">
        <v>855</v>
      </c>
      <c r="G1015" s="59">
        <v>1</v>
      </c>
      <c r="H1015" s="59">
        <f t="shared" si="287"/>
        <v>1</v>
      </c>
      <c r="I1015" s="59">
        <f t="shared" si="288"/>
        <v>0</v>
      </c>
      <c r="J1015" s="59">
        <v>7</v>
      </c>
      <c r="K1015" s="59">
        <v>4</v>
      </c>
      <c r="L1015" s="59">
        <v>4</v>
      </c>
      <c r="M1015" s="59">
        <f t="shared" si="289"/>
        <v>0</v>
      </c>
      <c r="N1015" s="59">
        <f t="shared" si="290"/>
        <v>0</v>
      </c>
      <c r="O1015" s="59">
        <f t="shared" si="291"/>
        <v>0</v>
      </c>
      <c r="P1015" s="59">
        <f t="shared" si="292"/>
        <v>1</v>
      </c>
      <c r="Q1015" s="59">
        <f t="shared" si="293"/>
        <v>0</v>
      </c>
      <c r="R1015" s="59">
        <v>1</v>
      </c>
      <c r="S1015" s="59">
        <v>1428</v>
      </c>
      <c r="T1015" s="59">
        <v>4</v>
      </c>
      <c r="U1015" s="59">
        <v>0</v>
      </c>
      <c r="V1015" s="59">
        <v>73</v>
      </c>
      <c r="W1015" s="59">
        <v>3</v>
      </c>
      <c r="X1015" s="59">
        <v>2</v>
      </c>
      <c r="Y1015" s="59">
        <v>1</v>
      </c>
      <c r="Z1015" s="59">
        <f t="shared" si="294"/>
        <v>1</v>
      </c>
      <c r="AA1015" s="59">
        <f>IF('Updated Dummy'!Y1015=2,1,0)</f>
        <v>0</v>
      </c>
      <c r="AB1015" s="59">
        <f t="shared" si="295"/>
        <v>0</v>
      </c>
      <c r="AC1015" s="59">
        <f t="shared" si="296"/>
        <v>0</v>
      </c>
      <c r="AD1015" s="59">
        <f t="shared" si="297"/>
        <v>0</v>
      </c>
      <c r="AE1015" s="59">
        <f t="shared" si="298"/>
        <v>0</v>
      </c>
      <c r="AF1015" s="59">
        <f t="shared" si="299"/>
        <v>0</v>
      </c>
      <c r="AG1015" s="59">
        <f t="shared" si="300"/>
        <v>0</v>
      </c>
      <c r="AH1015" s="59">
        <v>1</v>
      </c>
      <c r="AI1015" s="59">
        <v>3</v>
      </c>
      <c r="AJ1015" s="59">
        <f t="shared" si="301"/>
        <v>0</v>
      </c>
      <c r="AK1015" s="59">
        <f t="shared" si="302"/>
        <v>0</v>
      </c>
      <c r="AL1015" s="59">
        <v>4779</v>
      </c>
      <c r="AM1015" s="59">
        <v>12761</v>
      </c>
      <c r="AN1015" s="59">
        <v>7</v>
      </c>
      <c r="AO1015" s="59">
        <v>0</v>
      </c>
      <c r="AP1015" s="59">
        <v>14</v>
      </c>
      <c r="AQ1015" s="59">
        <v>3</v>
      </c>
      <c r="AR1015" s="59">
        <v>2</v>
      </c>
      <c r="AS1015" s="59">
        <v>80</v>
      </c>
      <c r="AT1015" s="59">
        <v>2</v>
      </c>
      <c r="AU1015" s="59">
        <v>8</v>
      </c>
      <c r="AV1015" s="59">
        <v>3</v>
      </c>
      <c r="AW1015" s="59">
        <v>3</v>
      </c>
      <c r="AX1015" s="59">
        <v>3</v>
      </c>
      <c r="AY1015" s="59">
        <v>2</v>
      </c>
      <c r="AZ1015" s="59">
        <v>0</v>
      </c>
      <c r="BA1015" s="59">
        <v>2</v>
      </c>
      <c r="BB1015" s="57">
        <f t="shared" si="303"/>
        <v>9558</v>
      </c>
    </row>
    <row r="1016" spans="1:54" x14ac:dyDescent="0.25">
      <c r="A1016" s="58">
        <v>31</v>
      </c>
      <c r="B1016" s="59">
        <v>0</v>
      </c>
      <c r="C1016" s="59">
        <v>1</v>
      </c>
      <c r="D1016" s="59">
        <f t="shared" si="285"/>
        <v>1</v>
      </c>
      <c r="E1016" s="59">
        <f t="shared" si="286"/>
        <v>0</v>
      </c>
      <c r="F1016" s="59">
        <v>182</v>
      </c>
      <c r="G1016" s="59">
        <v>2</v>
      </c>
      <c r="H1016" s="59">
        <f t="shared" si="287"/>
        <v>0</v>
      </c>
      <c r="I1016" s="59">
        <f t="shared" si="288"/>
        <v>1</v>
      </c>
      <c r="J1016" s="59">
        <v>8</v>
      </c>
      <c r="K1016" s="59">
        <v>5</v>
      </c>
      <c r="L1016" s="59">
        <v>1</v>
      </c>
      <c r="M1016" s="59">
        <f t="shared" si="289"/>
        <v>1</v>
      </c>
      <c r="N1016" s="59">
        <f t="shared" si="290"/>
        <v>0</v>
      </c>
      <c r="O1016" s="59">
        <f t="shared" si="291"/>
        <v>0</v>
      </c>
      <c r="P1016" s="59">
        <f t="shared" si="292"/>
        <v>0</v>
      </c>
      <c r="Q1016" s="59">
        <f t="shared" si="293"/>
        <v>0</v>
      </c>
      <c r="R1016" s="59">
        <v>1</v>
      </c>
      <c r="S1016" s="59">
        <v>1430</v>
      </c>
      <c r="T1016" s="59">
        <v>1</v>
      </c>
      <c r="U1016" s="59">
        <v>0</v>
      </c>
      <c r="V1016" s="59">
        <v>93</v>
      </c>
      <c r="W1016" s="59">
        <v>3</v>
      </c>
      <c r="X1016" s="59">
        <v>4</v>
      </c>
      <c r="Y1016" s="59">
        <v>8</v>
      </c>
      <c r="Z1016" s="59">
        <f t="shared" si="294"/>
        <v>0</v>
      </c>
      <c r="AA1016" s="59">
        <f>IF('Updated Dummy'!Y1016=2,1,0)</f>
        <v>0</v>
      </c>
      <c r="AB1016" s="59">
        <f t="shared" si="295"/>
        <v>0</v>
      </c>
      <c r="AC1016" s="59">
        <f t="shared" si="296"/>
        <v>0</v>
      </c>
      <c r="AD1016" s="59">
        <f t="shared" si="297"/>
        <v>0</v>
      </c>
      <c r="AE1016" s="59">
        <f t="shared" si="298"/>
        <v>0</v>
      </c>
      <c r="AF1016" s="59">
        <f t="shared" si="299"/>
        <v>0</v>
      </c>
      <c r="AG1016" s="59">
        <f t="shared" si="300"/>
        <v>1</v>
      </c>
      <c r="AH1016" s="59">
        <v>2</v>
      </c>
      <c r="AI1016" s="59">
        <v>1</v>
      </c>
      <c r="AJ1016" s="59">
        <f t="shared" si="301"/>
        <v>1</v>
      </c>
      <c r="AK1016" s="59">
        <f t="shared" si="302"/>
        <v>0</v>
      </c>
      <c r="AL1016" s="59">
        <v>16422</v>
      </c>
      <c r="AM1016" s="59">
        <v>8847</v>
      </c>
      <c r="AN1016" s="59">
        <v>3</v>
      </c>
      <c r="AO1016" s="59">
        <v>0</v>
      </c>
      <c r="AP1016" s="59">
        <v>11</v>
      </c>
      <c r="AQ1016" s="59">
        <v>3</v>
      </c>
      <c r="AR1016" s="59">
        <v>3</v>
      </c>
      <c r="AS1016" s="59">
        <v>80</v>
      </c>
      <c r="AT1016" s="59">
        <v>0</v>
      </c>
      <c r="AU1016" s="59">
        <v>9</v>
      </c>
      <c r="AV1016" s="59">
        <v>3</v>
      </c>
      <c r="AW1016" s="59">
        <v>4</v>
      </c>
      <c r="AX1016" s="59">
        <v>3</v>
      </c>
      <c r="AY1016" s="59">
        <v>2</v>
      </c>
      <c r="AZ1016" s="59">
        <v>1</v>
      </c>
      <c r="BA1016" s="59">
        <v>0</v>
      </c>
      <c r="BB1016" s="57">
        <f t="shared" si="303"/>
        <v>65688</v>
      </c>
    </row>
    <row r="1017" spans="1:54" x14ac:dyDescent="0.25">
      <c r="A1017" s="58">
        <v>34</v>
      </c>
      <c r="B1017" s="59">
        <v>0</v>
      </c>
      <c r="C1017" s="59">
        <v>2</v>
      </c>
      <c r="D1017" s="59">
        <f t="shared" si="285"/>
        <v>0</v>
      </c>
      <c r="E1017" s="59">
        <f t="shared" si="286"/>
        <v>1</v>
      </c>
      <c r="F1017" s="59">
        <v>560</v>
      </c>
      <c r="G1017" s="59">
        <v>2</v>
      </c>
      <c r="H1017" s="59">
        <f t="shared" si="287"/>
        <v>0</v>
      </c>
      <c r="I1017" s="59">
        <f t="shared" si="288"/>
        <v>1</v>
      </c>
      <c r="J1017" s="59">
        <v>1</v>
      </c>
      <c r="K1017" s="59">
        <v>4</v>
      </c>
      <c r="L1017" s="59">
        <v>6</v>
      </c>
      <c r="M1017" s="59">
        <f t="shared" si="289"/>
        <v>0</v>
      </c>
      <c r="N1017" s="59">
        <f t="shared" si="290"/>
        <v>0</v>
      </c>
      <c r="O1017" s="59">
        <f t="shared" si="291"/>
        <v>0</v>
      </c>
      <c r="P1017" s="59">
        <f t="shared" si="292"/>
        <v>0</v>
      </c>
      <c r="Q1017" s="59">
        <f t="shared" si="293"/>
        <v>0</v>
      </c>
      <c r="R1017" s="59">
        <v>1</v>
      </c>
      <c r="S1017" s="59">
        <v>1431</v>
      </c>
      <c r="T1017" s="59">
        <v>4</v>
      </c>
      <c r="U1017" s="59">
        <v>1</v>
      </c>
      <c r="V1017" s="59">
        <v>91</v>
      </c>
      <c r="W1017" s="59">
        <v>3</v>
      </c>
      <c r="X1017" s="59">
        <v>1</v>
      </c>
      <c r="Y1017" s="59">
        <v>2</v>
      </c>
      <c r="Z1017" s="59">
        <f t="shared" si="294"/>
        <v>0</v>
      </c>
      <c r="AA1017" s="59">
        <f>IF('Updated Dummy'!Y1017=2,1,0)</f>
        <v>1</v>
      </c>
      <c r="AB1017" s="59">
        <f t="shared" si="295"/>
        <v>0</v>
      </c>
      <c r="AC1017" s="59">
        <f t="shared" si="296"/>
        <v>0</v>
      </c>
      <c r="AD1017" s="59">
        <f t="shared" si="297"/>
        <v>0</v>
      </c>
      <c r="AE1017" s="59">
        <f t="shared" si="298"/>
        <v>0</v>
      </c>
      <c r="AF1017" s="59">
        <f t="shared" si="299"/>
        <v>0</v>
      </c>
      <c r="AG1017" s="59">
        <f t="shared" si="300"/>
        <v>0</v>
      </c>
      <c r="AH1017" s="59">
        <v>1</v>
      </c>
      <c r="AI1017" s="59">
        <v>3</v>
      </c>
      <c r="AJ1017" s="59">
        <f t="shared" si="301"/>
        <v>0</v>
      </c>
      <c r="AK1017" s="59">
        <f t="shared" si="302"/>
        <v>0</v>
      </c>
      <c r="AL1017" s="59">
        <v>2996</v>
      </c>
      <c r="AM1017" s="59">
        <v>20284</v>
      </c>
      <c r="AN1017" s="59">
        <v>5</v>
      </c>
      <c r="AO1017" s="59">
        <v>0</v>
      </c>
      <c r="AP1017" s="59">
        <v>14</v>
      </c>
      <c r="AQ1017" s="59">
        <v>3</v>
      </c>
      <c r="AR1017" s="59">
        <v>3</v>
      </c>
      <c r="AS1017" s="59">
        <v>80</v>
      </c>
      <c r="AT1017" s="59">
        <v>2</v>
      </c>
      <c r="AU1017" s="59">
        <v>10</v>
      </c>
      <c r="AV1017" s="59">
        <v>2</v>
      </c>
      <c r="AW1017" s="59">
        <v>3</v>
      </c>
      <c r="AX1017" s="59">
        <v>4</v>
      </c>
      <c r="AY1017" s="59">
        <v>3</v>
      </c>
      <c r="AZ1017" s="59">
        <v>1</v>
      </c>
      <c r="BA1017" s="59">
        <v>3</v>
      </c>
      <c r="BB1017" s="57">
        <f t="shared" si="303"/>
        <v>2996</v>
      </c>
    </row>
    <row r="1018" spans="1:54" x14ac:dyDescent="0.25">
      <c r="A1018" s="58">
        <v>31</v>
      </c>
      <c r="B1018" s="59">
        <v>1</v>
      </c>
      <c r="C1018" s="59">
        <v>1</v>
      </c>
      <c r="D1018" s="59">
        <f t="shared" si="285"/>
        <v>1</v>
      </c>
      <c r="E1018" s="59">
        <f t="shared" si="286"/>
        <v>0</v>
      </c>
      <c r="F1018" s="59">
        <v>202</v>
      </c>
      <c r="G1018" s="59">
        <v>2</v>
      </c>
      <c r="H1018" s="59">
        <f t="shared" si="287"/>
        <v>0</v>
      </c>
      <c r="I1018" s="59">
        <f t="shared" si="288"/>
        <v>1</v>
      </c>
      <c r="J1018" s="59">
        <v>8</v>
      </c>
      <c r="K1018" s="59">
        <v>3</v>
      </c>
      <c r="L1018" s="59">
        <v>1</v>
      </c>
      <c r="M1018" s="59">
        <f t="shared" si="289"/>
        <v>1</v>
      </c>
      <c r="N1018" s="59">
        <f t="shared" si="290"/>
        <v>0</v>
      </c>
      <c r="O1018" s="59">
        <f t="shared" si="291"/>
        <v>0</v>
      </c>
      <c r="P1018" s="59">
        <f t="shared" si="292"/>
        <v>0</v>
      </c>
      <c r="Q1018" s="59">
        <f t="shared" si="293"/>
        <v>0</v>
      </c>
      <c r="R1018" s="59">
        <v>1</v>
      </c>
      <c r="S1018" s="59">
        <v>1433</v>
      </c>
      <c r="T1018" s="59">
        <v>1</v>
      </c>
      <c r="U1018" s="59">
        <v>0</v>
      </c>
      <c r="V1018" s="59">
        <v>34</v>
      </c>
      <c r="W1018" s="59">
        <v>2</v>
      </c>
      <c r="X1018" s="59">
        <v>1</v>
      </c>
      <c r="Y1018" s="59">
        <v>2</v>
      </c>
      <c r="Z1018" s="59">
        <f t="shared" si="294"/>
        <v>0</v>
      </c>
      <c r="AA1018" s="59">
        <f>IF('Updated Dummy'!Y1018=2,1,0)</f>
        <v>1</v>
      </c>
      <c r="AB1018" s="59">
        <f t="shared" si="295"/>
        <v>0</v>
      </c>
      <c r="AC1018" s="59">
        <f t="shared" si="296"/>
        <v>0</v>
      </c>
      <c r="AD1018" s="59">
        <f t="shared" si="297"/>
        <v>0</v>
      </c>
      <c r="AE1018" s="59">
        <f t="shared" si="298"/>
        <v>0</v>
      </c>
      <c r="AF1018" s="59">
        <f t="shared" si="299"/>
        <v>0</v>
      </c>
      <c r="AG1018" s="59">
        <f t="shared" si="300"/>
        <v>0</v>
      </c>
      <c r="AH1018" s="59">
        <v>2</v>
      </c>
      <c r="AI1018" s="59">
        <v>1</v>
      </c>
      <c r="AJ1018" s="59">
        <f t="shared" si="301"/>
        <v>1</v>
      </c>
      <c r="AK1018" s="59">
        <f t="shared" si="302"/>
        <v>0</v>
      </c>
      <c r="AL1018" s="59">
        <v>1261</v>
      </c>
      <c r="AM1018" s="59">
        <v>22262</v>
      </c>
      <c r="AN1018" s="59">
        <v>1</v>
      </c>
      <c r="AO1018" s="59">
        <v>0</v>
      </c>
      <c r="AP1018" s="59">
        <v>12</v>
      </c>
      <c r="AQ1018" s="59">
        <v>3</v>
      </c>
      <c r="AR1018" s="59">
        <v>3</v>
      </c>
      <c r="AS1018" s="59">
        <v>80</v>
      </c>
      <c r="AT1018" s="59">
        <v>0</v>
      </c>
      <c r="AU1018" s="59">
        <v>1</v>
      </c>
      <c r="AV1018" s="59">
        <v>3</v>
      </c>
      <c r="AW1018" s="59">
        <v>4</v>
      </c>
      <c r="AX1018" s="59">
        <v>1</v>
      </c>
      <c r="AY1018" s="59">
        <v>0</v>
      </c>
      <c r="AZ1018" s="59">
        <v>0</v>
      </c>
      <c r="BA1018" s="59">
        <v>0</v>
      </c>
      <c r="BB1018" s="57">
        <f t="shared" si="303"/>
        <v>1261</v>
      </c>
    </row>
    <row r="1019" spans="1:54" x14ac:dyDescent="0.25">
      <c r="A1019" s="58">
        <v>27</v>
      </c>
      <c r="B1019" s="59">
        <v>0</v>
      </c>
      <c r="C1019" s="59">
        <v>1</v>
      </c>
      <c r="D1019" s="59">
        <f t="shared" si="285"/>
        <v>1</v>
      </c>
      <c r="E1019" s="59">
        <f t="shared" si="286"/>
        <v>0</v>
      </c>
      <c r="F1019" s="59">
        <v>1377</v>
      </c>
      <c r="G1019" s="59">
        <v>2</v>
      </c>
      <c r="H1019" s="59">
        <f t="shared" si="287"/>
        <v>0</v>
      </c>
      <c r="I1019" s="59">
        <f t="shared" si="288"/>
        <v>1</v>
      </c>
      <c r="J1019" s="59">
        <v>11</v>
      </c>
      <c r="K1019" s="59">
        <v>1</v>
      </c>
      <c r="L1019" s="59">
        <v>1</v>
      </c>
      <c r="M1019" s="59">
        <f t="shared" si="289"/>
        <v>1</v>
      </c>
      <c r="N1019" s="59">
        <f t="shared" si="290"/>
        <v>0</v>
      </c>
      <c r="O1019" s="59">
        <f t="shared" si="291"/>
        <v>0</v>
      </c>
      <c r="P1019" s="59">
        <f t="shared" si="292"/>
        <v>0</v>
      </c>
      <c r="Q1019" s="59">
        <f t="shared" si="293"/>
        <v>0</v>
      </c>
      <c r="R1019" s="59">
        <v>1</v>
      </c>
      <c r="S1019" s="59">
        <v>1434</v>
      </c>
      <c r="T1019" s="59">
        <v>2</v>
      </c>
      <c r="U1019" s="59">
        <v>1</v>
      </c>
      <c r="V1019" s="59">
        <v>91</v>
      </c>
      <c r="W1019" s="59">
        <v>3</v>
      </c>
      <c r="X1019" s="59">
        <v>1</v>
      </c>
      <c r="Y1019" s="59">
        <v>3</v>
      </c>
      <c r="Z1019" s="59">
        <f t="shared" si="294"/>
        <v>0</v>
      </c>
      <c r="AA1019" s="59">
        <f>IF('Updated Dummy'!Y1019=2,1,0)</f>
        <v>0</v>
      </c>
      <c r="AB1019" s="59">
        <f t="shared" si="295"/>
        <v>1</v>
      </c>
      <c r="AC1019" s="59">
        <f t="shared" si="296"/>
        <v>0</v>
      </c>
      <c r="AD1019" s="59">
        <f t="shared" si="297"/>
        <v>0</v>
      </c>
      <c r="AE1019" s="59">
        <f t="shared" si="298"/>
        <v>0</v>
      </c>
      <c r="AF1019" s="59">
        <f t="shared" si="299"/>
        <v>0</v>
      </c>
      <c r="AG1019" s="59">
        <f t="shared" si="300"/>
        <v>0</v>
      </c>
      <c r="AH1019" s="59">
        <v>1</v>
      </c>
      <c r="AI1019" s="59">
        <v>2</v>
      </c>
      <c r="AJ1019" s="59">
        <f t="shared" si="301"/>
        <v>0</v>
      </c>
      <c r="AK1019" s="59">
        <f t="shared" si="302"/>
        <v>1</v>
      </c>
      <c r="AL1019" s="59">
        <v>2099</v>
      </c>
      <c r="AM1019" s="59">
        <v>7679</v>
      </c>
      <c r="AN1019" s="59">
        <v>0</v>
      </c>
      <c r="AO1019" s="59">
        <v>0</v>
      </c>
      <c r="AP1019" s="59">
        <v>14</v>
      </c>
      <c r="AQ1019" s="59">
        <v>3</v>
      </c>
      <c r="AR1019" s="59">
        <v>2</v>
      </c>
      <c r="AS1019" s="59">
        <v>80</v>
      </c>
      <c r="AT1019" s="59">
        <v>0</v>
      </c>
      <c r="AU1019" s="59">
        <v>6</v>
      </c>
      <c r="AV1019" s="59">
        <v>3</v>
      </c>
      <c r="AW1019" s="59">
        <v>4</v>
      </c>
      <c r="AX1019" s="59">
        <v>5</v>
      </c>
      <c r="AY1019" s="59">
        <v>0</v>
      </c>
      <c r="AZ1019" s="59">
        <v>1</v>
      </c>
      <c r="BA1019" s="59">
        <v>4</v>
      </c>
      <c r="BB1019" s="57">
        <f t="shared" si="303"/>
        <v>2099</v>
      </c>
    </row>
    <row r="1020" spans="1:54" x14ac:dyDescent="0.25">
      <c r="A1020" s="58">
        <v>36</v>
      </c>
      <c r="B1020" s="59">
        <v>0</v>
      </c>
      <c r="C1020" s="59">
        <v>1</v>
      </c>
      <c r="D1020" s="59">
        <f t="shared" si="285"/>
        <v>1</v>
      </c>
      <c r="E1020" s="59">
        <f t="shared" si="286"/>
        <v>0</v>
      </c>
      <c r="F1020" s="59">
        <v>172</v>
      </c>
      <c r="G1020" s="59">
        <v>2</v>
      </c>
      <c r="H1020" s="59">
        <f t="shared" si="287"/>
        <v>0</v>
      </c>
      <c r="I1020" s="59">
        <f t="shared" si="288"/>
        <v>1</v>
      </c>
      <c r="J1020" s="59">
        <v>4</v>
      </c>
      <c r="K1020" s="59">
        <v>4</v>
      </c>
      <c r="L1020" s="59">
        <v>1</v>
      </c>
      <c r="M1020" s="59">
        <f t="shared" si="289"/>
        <v>1</v>
      </c>
      <c r="N1020" s="59">
        <f t="shared" si="290"/>
        <v>0</v>
      </c>
      <c r="O1020" s="59">
        <f t="shared" si="291"/>
        <v>0</v>
      </c>
      <c r="P1020" s="59">
        <f t="shared" si="292"/>
        <v>0</v>
      </c>
      <c r="Q1020" s="59">
        <f t="shared" si="293"/>
        <v>0</v>
      </c>
      <c r="R1020" s="59">
        <v>1</v>
      </c>
      <c r="S1020" s="59">
        <v>1435</v>
      </c>
      <c r="T1020" s="59">
        <v>1</v>
      </c>
      <c r="U1020" s="59">
        <v>1</v>
      </c>
      <c r="V1020" s="59">
        <v>37</v>
      </c>
      <c r="W1020" s="59">
        <v>2</v>
      </c>
      <c r="X1020" s="59">
        <v>2</v>
      </c>
      <c r="Y1020" s="59">
        <v>3</v>
      </c>
      <c r="Z1020" s="59">
        <f t="shared" si="294"/>
        <v>0</v>
      </c>
      <c r="AA1020" s="59">
        <f>IF('Updated Dummy'!Y1020=2,1,0)</f>
        <v>0</v>
      </c>
      <c r="AB1020" s="59">
        <f t="shared" si="295"/>
        <v>1</v>
      </c>
      <c r="AC1020" s="59">
        <f t="shared" si="296"/>
        <v>0</v>
      </c>
      <c r="AD1020" s="59">
        <f t="shared" si="297"/>
        <v>0</v>
      </c>
      <c r="AE1020" s="59">
        <f t="shared" si="298"/>
        <v>0</v>
      </c>
      <c r="AF1020" s="59">
        <f t="shared" si="299"/>
        <v>0</v>
      </c>
      <c r="AG1020" s="59">
        <f t="shared" si="300"/>
        <v>0</v>
      </c>
      <c r="AH1020" s="59">
        <v>4</v>
      </c>
      <c r="AI1020" s="59">
        <v>1</v>
      </c>
      <c r="AJ1020" s="59">
        <f t="shared" si="301"/>
        <v>1</v>
      </c>
      <c r="AK1020" s="59">
        <f t="shared" si="302"/>
        <v>0</v>
      </c>
      <c r="AL1020" s="59">
        <v>5810</v>
      </c>
      <c r="AM1020" s="59">
        <v>22604</v>
      </c>
      <c r="AN1020" s="59">
        <v>1</v>
      </c>
      <c r="AO1020" s="59">
        <v>0</v>
      </c>
      <c r="AP1020" s="59">
        <v>16</v>
      </c>
      <c r="AQ1020" s="59">
        <v>3</v>
      </c>
      <c r="AR1020" s="59">
        <v>3</v>
      </c>
      <c r="AS1020" s="59">
        <v>80</v>
      </c>
      <c r="AT1020" s="59">
        <v>0</v>
      </c>
      <c r="AU1020" s="59">
        <v>10</v>
      </c>
      <c r="AV1020" s="59">
        <v>2</v>
      </c>
      <c r="AW1020" s="59">
        <v>2</v>
      </c>
      <c r="AX1020" s="59">
        <v>10</v>
      </c>
      <c r="AY1020" s="59">
        <v>4</v>
      </c>
      <c r="AZ1020" s="59">
        <v>1</v>
      </c>
      <c r="BA1020" s="59">
        <v>8</v>
      </c>
      <c r="BB1020" s="57">
        <f t="shared" si="303"/>
        <v>11620</v>
      </c>
    </row>
    <row r="1021" spans="1:54" x14ac:dyDescent="0.25">
      <c r="A1021" s="58">
        <v>36</v>
      </c>
      <c r="B1021" s="59">
        <v>0</v>
      </c>
      <c r="C1021" s="59">
        <v>1</v>
      </c>
      <c r="D1021" s="59">
        <f t="shared" si="285"/>
        <v>1</v>
      </c>
      <c r="E1021" s="59">
        <f t="shared" si="286"/>
        <v>0</v>
      </c>
      <c r="F1021" s="59">
        <v>329</v>
      </c>
      <c r="G1021" s="59">
        <v>1</v>
      </c>
      <c r="H1021" s="59">
        <f t="shared" si="287"/>
        <v>1</v>
      </c>
      <c r="I1021" s="59">
        <f t="shared" si="288"/>
        <v>0</v>
      </c>
      <c r="J1021" s="59">
        <v>16</v>
      </c>
      <c r="K1021" s="59">
        <v>4</v>
      </c>
      <c r="L1021" s="59">
        <v>4</v>
      </c>
      <c r="M1021" s="59">
        <f t="shared" si="289"/>
        <v>0</v>
      </c>
      <c r="N1021" s="59">
        <f t="shared" si="290"/>
        <v>0</v>
      </c>
      <c r="O1021" s="59">
        <f t="shared" si="291"/>
        <v>0</v>
      </c>
      <c r="P1021" s="59">
        <f t="shared" si="292"/>
        <v>1</v>
      </c>
      <c r="Q1021" s="59">
        <f t="shared" si="293"/>
        <v>0</v>
      </c>
      <c r="R1021" s="59">
        <v>1</v>
      </c>
      <c r="S1021" s="59">
        <v>1436</v>
      </c>
      <c r="T1021" s="59">
        <v>3</v>
      </c>
      <c r="U1021" s="59">
        <v>0</v>
      </c>
      <c r="V1021" s="59">
        <v>98</v>
      </c>
      <c r="W1021" s="59">
        <v>2</v>
      </c>
      <c r="X1021" s="59">
        <v>2</v>
      </c>
      <c r="Y1021" s="59">
        <v>1</v>
      </c>
      <c r="Z1021" s="59">
        <f t="shared" si="294"/>
        <v>1</v>
      </c>
      <c r="AA1021" s="59">
        <f>IF('Updated Dummy'!Y1021=2,1,0)</f>
        <v>0</v>
      </c>
      <c r="AB1021" s="59">
        <f t="shared" si="295"/>
        <v>0</v>
      </c>
      <c r="AC1021" s="59">
        <f t="shared" si="296"/>
        <v>0</v>
      </c>
      <c r="AD1021" s="59">
        <f t="shared" si="297"/>
        <v>0</v>
      </c>
      <c r="AE1021" s="59">
        <f t="shared" si="298"/>
        <v>0</v>
      </c>
      <c r="AF1021" s="59">
        <f t="shared" si="299"/>
        <v>0</v>
      </c>
      <c r="AG1021" s="59">
        <f t="shared" si="300"/>
        <v>0</v>
      </c>
      <c r="AH1021" s="59">
        <v>1</v>
      </c>
      <c r="AI1021" s="59">
        <v>2</v>
      </c>
      <c r="AJ1021" s="59">
        <f t="shared" si="301"/>
        <v>0</v>
      </c>
      <c r="AK1021" s="59">
        <f t="shared" si="302"/>
        <v>1</v>
      </c>
      <c r="AL1021" s="59">
        <v>5647</v>
      </c>
      <c r="AM1021" s="59">
        <v>13494</v>
      </c>
      <c r="AN1021" s="59">
        <v>4</v>
      </c>
      <c r="AO1021" s="59">
        <v>0</v>
      </c>
      <c r="AP1021" s="59">
        <v>13</v>
      </c>
      <c r="AQ1021" s="59">
        <v>3</v>
      </c>
      <c r="AR1021" s="59">
        <v>1</v>
      </c>
      <c r="AS1021" s="59">
        <v>80</v>
      </c>
      <c r="AT1021" s="59">
        <v>2</v>
      </c>
      <c r="AU1021" s="59">
        <v>11</v>
      </c>
      <c r="AV1021" s="59">
        <v>3</v>
      </c>
      <c r="AW1021" s="59">
        <v>2</v>
      </c>
      <c r="AX1021" s="59">
        <v>3</v>
      </c>
      <c r="AY1021" s="59">
        <v>2</v>
      </c>
      <c r="AZ1021" s="59">
        <v>0</v>
      </c>
      <c r="BA1021" s="59">
        <v>2</v>
      </c>
      <c r="BB1021" s="57">
        <f t="shared" si="303"/>
        <v>11294</v>
      </c>
    </row>
    <row r="1022" spans="1:54" x14ac:dyDescent="0.25">
      <c r="A1022" s="58">
        <v>47</v>
      </c>
      <c r="B1022" s="59">
        <v>0</v>
      </c>
      <c r="C1022" s="59">
        <v>1</v>
      </c>
      <c r="D1022" s="59">
        <f t="shared" si="285"/>
        <v>1</v>
      </c>
      <c r="E1022" s="59">
        <f t="shared" si="286"/>
        <v>0</v>
      </c>
      <c r="F1022" s="59">
        <v>465</v>
      </c>
      <c r="G1022" s="59">
        <v>2</v>
      </c>
      <c r="H1022" s="59">
        <f t="shared" si="287"/>
        <v>0</v>
      </c>
      <c r="I1022" s="59">
        <f t="shared" si="288"/>
        <v>1</v>
      </c>
      <c r="J1022" s="59">
        <v>1</v>
      </c>
      <c r="K1022" s="59">
        <v>3</v>
      </c>
      <c r="L1022" s="59">
        <v>5</v>
      </c>
      <c r="M1022" s="59">
        <f t="shared" si="289"/>
        <v>0</v>
      </c>
      <c r="N1022" s="59">
        <f t="shared" si="290"/>
        <v>0</v>
      </c>
      <c r="O1022" s="59">
        <f t="shared" si="291"/>
        <v>0</v>
      </c>
      <c r="P1022" s="59">
        <f t="shared" si="292"/>
        <v>0</v>
      </c>
      <c r="Q1022" s="59">
        <f t="shared" si="293"/>
        <v>1</v>
      </c>
      <c r="R1022" s="59">
        <v>1</v>
      </c>
      <c r="S1022" s="59">
        <v>1438</v>
      </c>
      <c r="T1022" s="59">
        <v>1</v>
      </c>
      <c r="U1022" s="59">
        <v>1</v>
      </c>
      <c r="V1022" s="59">
        <v>74</v>
      </c>
      <c r="W1022" s="59">
        <v>3</v>
      </c>
      <c r="X1022" s="59">
        <v>1</v>
      </c>
      <c r="Y1022" s="59">
        <v>2</v>
      </c>
      <c r="Z1022" s="59">
        <f t="shared" si="294"/>
        <v>0</v>
      </c>
      <c r="AA1022" s="59">
        <f>IF('Updated Dummy'!Y1022=2,1,0)</f>
        <v>1</v>
      </c>
      <c r="AB1022" s="59">
        <f t="shared" si="295"/>
        <v>0</v>
      </c>
      <c r="AC1022" s="59">
        <f t="shared" si="296"/>
        <v>0</v>
      </c>
      <c r="AD1022" s="59">
        <f t="shared" si="297"/>
        <v>0</v>
      </c>
      <c r="AE1022" s="59">
        <f t="shared" si="298"/>
        <v>0</v>
      </c>
      <c r="AF1022" s="59">
        <f t="shared" si="299"/>
        <v>0</v>
      </c>
      <c r="AG1022" s="59">
        <f t="shared" si="300"/>
        <v>0</v>
      </c>
      <c r="AH1022" s="59">
        <v>4</v>
      </c>
      <c r="AI1022" s="59">
        <v>2</v>
      </c>
      <c r="AJ1022" s="59">
        <f t="shared" si="301"/>
        <v>0</v>
      </c>
      <c r="AK1022" s="59">
        <f t="shared" si="302"/>
        <v>1</v>
      </c>
      <c r="AL1022" s="59">
        <v>3420</v>
      </c>
      <c r="AM1022" s="59">
        <v>10205</v>
      </c>
      <c r="AN1022" s="59">
        <v>7</v>
      </c>
      <c r="AO1022" s="59">
        <v>0</v>
      </c>
      <c r="AP1022" s="59">
        <v>12</v>
      </c>
      <c r="AQ1022" s="59">
        <v>3</v>
      </c>
      <c r="AR1022" s="59">
        <v>3</v>
      </c>
      <c r="AS1022" s="59">
        <v>80</v>
      </c>
      <c r="AT1022" s="59">
        <v>1</v>
      </c>
      <c r="AU1022" s="59">
        <v>17</v>
      </c>
      <c r="AV1022" s="59">
        <v>2</v>
      </c>
      <c r="AW1022" s="59">
        <v>2</v>
      </c>
      <c r="AX1022" s="59">
        <v>6</v>
      </c>
      <c r="AY1022" s="59">
        <v>5</v>
      </c>
      <c r="AZ1022" s="59">
        <v>1</v>
      </c>
      <c r="BA1022" s="59">
        <v>2</v>
      </c>
      <c r="BB1022" s="57">
        <f t="shared" si="303"/>
        <v>3420</v>
      </c>
    </row>
    <row r="1023" spans="1:54" x14ac:dyDescent="0.25">
      <c r="A1023" s="58">
        <v>25</v>
      </c>
      <c r="B1023" s="59">
        <v>1</v>
      </c>
      <c r="C1023" s="59">
        <v>1</v>
      </c>
      <c r="D1023" s="59">
        <f t="shared" si="285"/>
        <v>1</v>
      </c>
      <c r="E1023" s="59">
        <f t="shared" si="286"/>
        <v>0</v>
      </c>
      <c r="F1023" s="59">
        <v>383</v>
      </c>
      <c r="G1023" s="59">
        <v>1</v>
      </c>
      <c r="H1023" s="59">
        <f t="shared" si="287"/>
        <v>1</v>
      </c>
      <c r="I1023" s="59">
        <f t="shared" si="288"/>
        <v>0</v>
      </c>
      <c r="J1023" s="59">
        <v>9</v>
      </c>
      <c r="K1023" s="59">
        <v>2</v>
      </c>
      <c r="L1023" s="59">
        <v>1</v>
      </c>
      <c r="M1023" s="59">
        <f t="shared" si="289"/>
        <v>1</v>
      </c>
      <c r="N1023" s="59">
        <f t="shared" si="290"/>
        <v>0</v>
      </c>
      <c r="O1023" s="59">
        <f t="shared" si="291"/>
        <v>0</v>
      </c>
      <c r="P1023" s="59">
        <f t="shared" si="292"/>
        <v>0</v>
      </c>
      <c r="Q1023" s="59">
        <f t="shared" si="293"/>
        <v>0</v>
      </c>
      <c r="R1023" s="59">
        <v>1</v>
      </c>
      <c r="S1023" s="59">
        <v>1439</v>
      </c>
      <c r="T1023" s="59">
        <v>1</v>
      </c>
      <c r="U1023" s="59">
        <v>1</v>
      </c>
      <c r="V1023" s="59">
        <v>68</v>
      </c>
      <c r="W1023" s="59">
        <v>2</v>
      </c>
      <c r="X1023" s="59">
        <v>1</v>
      </c>
      <c r="Y1023" s="59">
        <v>7</v>
      </c>
      <c r="Z1023" s="59">
        <f t="shared" si="294"/>
        <v>0</v>
      </c>
      <c r="AA1023" s="59">
        <f>IF('Updated Dummy'!Y1023=2,1,0)</f>
        <v>0</v>
      </c>
      <c r="AB1023" s="59">
        <f t="shared" si="295"/>
        <v>0</v>
      </c>
      <c r="AC1023" s="59">
        <f t="shared" si="296"/>
        <v>0</v>
      </c>
      <c r="AD1023" s="59">
        <f t="shared" si="297"/>
        <v>0</v>
      </c>
      <c r="AE1023" s="59">
        <f t="shared" si="298"/>
        <v>0</v>
      </c>
      <c r="AF1023" s="59">
        <f t="shared" si="299"/>
        <v>1</v>
      </c>
      <c r="AG1023" s="59">
        <f t="shared" si="300"/>
        <v>0</v>
      </c>
      <c r="AH1023" s="59">
        <v>1</v>
      </c>
      <c r="AI1023" s="59">
        <v>2</v>
      </c>
      <c r="AJ1023" s="59">
        <f t="shared" si="301"/>
        <v>0</v>
      </c>
      <c r="AK1023" s="59">
        <f t="shared" si="302"/>
        <v>1</v>
      </c>
      <c r="AL1023" s="59">
        <v>4400</v>
      </c>
      <c r="AM1023" s="59">
        <v>15182</v>
      </c>
      <c r="AN1023" s="59">
        <v>3</v>
      </c>
      <c r="AO1023" s="59">
        <v>0</v>
      </c>
      <c r="AP1023" s="59">
        <v>12</v>
      </c>
      <c r="AQ1023" s="59">
        <v>3</v>
      </c>
      <c r="AR1023" s="59">
        <v>1</v>
      </c>
      <c r="AS1023" s="59">
        <v>80</v>
      </c>
      <c r="AT1023" s="59">
        <v>0</v>
      </c>
      <c r="AU1023" s="59">
        <v>6</v>
      </c>
      <c r="AV1023" s="59">
        <v>2</v>
      </c>
      <c r="AW1023" s="59">
        <v>3</v>
      </c>
      <c r="AX1023" s="59">
        <v>3</v>
      </c>
      <c r="AY1023" s="59">
        <v>2</v>
      </c>
      <c r="AZ1023" s="59">
        <v>2</v>
      </c>
      <c r="BA1023" s="59">
        <v>2</v>
      </c>
      <c r="BB1023" s="57">
        <f t="shared" si="303"/>
        <v>4400</v>
      </c>
    </row>
    <row r="1024" spans="1:54" x14ac:dyDescent="0.25">
      <c r="A1024" s="58">
        <v>37</v>
      </c>
      <c r="B1024" s="59">
        <v>0</v>
      </c>
      <c r="C1024" s="59">
        <v>3</v>
      </c>
      <c r="D1024" s="59">
        <f t="shared" si="285"/>
        <v>0</v>
      </c>
      <c r="E1024" s="59">
        <f t="shared" si="286"/>
        <v>0</v>
      </c>
      <c r="F1024" s="59">
        <v>1413</v>
      </c>
      <c r="G1024" s="59">
        <v>2</v>
      </c>
      <c r="H1024" s="59">
        <f t="shared" si="287"/>
        <v>0</v>
      </c>
      <c r="I1024" s="59">
        <f t="shared" si="288"/>
        <v>1</v>
      </c>
      <c r="J1024" s="59">
        <v>5</v>
      </c>
      <c r="K1024" s="59">
        <v>2</v>
      </c>
      <c r="L1024" s="59">
        <v>5</v>
      </c>
      <c r="M1024" s="59">
        <f t="shared" si="289"/>
        <v>0</v>
      </c>
      <c r="N1024" s="59">
        <f t="shared" si="290"/>
        <v>0</v>
      </c>
      <c r="O1024" s="59">
        <f t="shared" si="291"/>
        <v>0</v>
      </c>
      <c r="P1024" s="59">
        <f t="shared" si="292"/>
        <v>0</v>
      </c>
      <c r="Q1024" s="59">
        <f t="shared" si="293"/>
        <v>1</v>
      </c>
      <c r="R1024" s="59">
        <v>1</v>
      </c>
      <c r="S1024" s="59">
        <v>1440</v>
      </c>
      <c r="T1024" s="59">
        <v>3</v>
      </c>
      <c r="U1024" s="59">
        <v>1</v>
      </c>
      <c r="V1024" s="59">
        <v>84</v>
      </c>
      <c r="W1024" s="59">
        <v>4</v>
      </c>
      <c r="X1024" s="59">
        <v>1</v>
      </c>
      <c r="Y1024" s="59">
        <v>3</v>
      </c>
      <c r="Z1024" s="59">
        <f t="shared" si="294"/>
        <v>0</v>
      </c>
      <c r="AA1024" s="59">
        <f>IF('Updated Dummy'!Y1024=2,1,0)</f>
        <v>0</v>
      </c>
      <c r="AB1024" s="59">
        <f t="shared" si="295"/>
        <v>1</v>
      </c>
      <c r="AC1024" s="59">
        <f t="shared" si="296"/>
        <v>0</v>
      </c>
      <c r="AD1024" s="59">
        <f t="shared" si="297"/>
        <v>0</v>
      </c>
      <c r="AE1024" s="59">
        <f t="shared" si="298"/>
        <v>0</v>
      </c>
      <c r="AF1024" s="59">
        <f t="shared" si="299"/>
        <v>0</v>
      </c>
      <c r="AG1024" s="59">
        <f t="shared" si="300"/>
        <v>0</v>
      </c>
      <c r="AH1024" s="59">
        <v>3</v>
      </c>
      <c r="AI1024" s="59">
        <v>1</v>
      </c>
      <c r="AJ1024" s="59">
        <f t="shared" si="301"/>
        <v>1</v>
      </c>
      <c r="AK1024" s="59">
        <f t="shared" si="302"/>
        <v>0</v>
      </c>
      <c r="AL1024" s="59">
        <v>3500</v>
      </c>
      <c r="AM1024" s="59">
        <v>25470</v>
      </c>
      <c r="AN1024" s="59">
        <v>0</v>
      </c>
      <c r="AO1024" s="59">
        <v>0</v>
      </c>
      <c r="AP1024" s="59">
        <v>14</v>
      </c>
      <c r="AQ1024" s="59">
        <v>3</v>
      </c>
      <c r="AR1024" s="59">
        <v>1</v>
      </c>
      <c r="AS1024" s="59">
        <v>80</v>
      </c>
      <c r="AT1024" s="59">
        <v>0</v>
      </c>
      <c r="AU1024" s="59">
        <v>7</v>
      </c>
      <c r="AV1024" s="59">
        <v>2</v>
      </c>
      <c r="AW1024" s="59">
        <v>1</v>
      </c>
      <c r="AX1024" s="59">
        <v>6</v>
      </c>
      <c r="AY1024" s="59">
        <v>5</v>
      </c>
      <c r="AZ1024" s="59">
        <v>1</v>
      </c>
      <c r="BA1024" s="59">
        <v>3</v>
      </c>
      <c r="BB1024" s="57">
        <f t="shared" si="303"/>
        <v>3500</v>
      </c>
    </row>
    <row r="1025" spans="1:54" x14ac:dyDescent="0.25">
      <c r="A1025" s="58">
        <v>56</v>
      </c>
      <c r="B1025" s="59">
        <v>0</v>
      </c>
      <c r="C1025" s="59">
        <v>1</v>
      </c>
      <c r="D1025" s="59">
        <f t="shared" si="285"/>
        <v>1</v>
      </c>
      <c r="E1025" s="59">
        <f t="shared" si="286"/>
        <v>0</v>
      </c>
      <c r="F1025" s="59">
        <v>1255</v>
      </c>
      <c r="G1025" s="59">
        <v>2</v>
      </c>
      <c r="H1025" s="59">
        <f t="shared" si="287"/>
        <v>0</v>
      </c>
      <c r="I1025" s="59">
        <f t="shared" si="288"/>
        <v>1</v>
      </c>
      <c r="J1025" s="59">
        <v>1</v>
      </c>
      <c r="K1025" s="59">
        <v>2</v>
      </c>
      <c r="L1025" s="59">
        <v>1</v>
      </c>
      <c r="M1025" s="59">
        <f t="shared" si="289"/>
        <v>1</v>
      </c>
      <c r="N1025" s="59">
        <f t="shared" si="290"/>
        <v>0</v>
      </c>
      <c r="O1025" s="59">
        <f t="shared" si="291"/>
        <v>0</v>
      </c>
      <c r="P1025" s="59">
        <f t="shared" si="292"/>
        <v>0</v>
      </c>
      <c r="Q1025" s="59">
        <f t="shared" si="293"/>
        <v>0</v>
      </c>
      <c r="R1025" s="59">
        <v>1</v>
      </c>
      <c r="S1025" s="59">
        <v>1441</v>
      </c>
      <c r="T1025" s="59">
        <v>1</v>
      </c>
      <c r="U1025" s="59">
        <v>0</v>
      </c>
      <c r="V1025" s="59">
        <v>90</v>
      </c>
      <c r="W1025" s="59">
        <v>3</v>
      </c>
      <c r="X1025" s="59">
        <v>1</v>
      </c>
      <c r="Y1025" s="59">
        <v>2</v>
      </c>
      <c r="Z1025" s="59">
        <f t="shared" si="294"/>
        <v>0</v>
      </c>
      <c r="AA1025" s="59">
        <f>IF('Updated Dummy'!Y1025=2,1,0)</f>
        <v>1</v>
      </c>
      <c r="AB1025" s="59">
        <f t="shared" si="295"/>
        <v>0</v>
      </c>
      <c r="AC1025" s="59">
        <f t="shared" si="296"/>
        <v>0</v>
      </c>
      <c r="AD1025" s="59">
        <f t="shared" si="297"/>
        <v>0</v>
      </c>
      <c r="AE1025" s="59">
        <f t="shared" si="298"/>
        <v>0</v>
      </c>
      <c r="AF1025" s="59">
        <f t="shared" si="299"/>
        <v>0</v>
      </c>
      <c r="AG1025" s="59">
        <f t="shared" si="300"/>
        <v>0</v>
      </c>
      <c r="AH1025" s="59">
        <v>1</v>
      </c>
      <c r="AI1025" s="59">
        <v>2</v>
      </c>
      <c r="AJ1025" s="59">
        <f t="shared" si="301"/>
        <v>0</v>
      </c>
      <c r="AK1025" s="59">
        <f t="shared" si="302"/>
        <v>1</v>
      </c>
      <c r="AL1025" s="59">
        <v>2066</v>
      </c>
      <c r="AM1025" s="59">
        <v>10494</v>
      </c>
      <c r="AN1025" s="59">
        <v>2</v>
      </c>
      <c r="AO1025" s="59">
        <v>0</v>
      </c>
      <c r="AP1025" s="59">
        <v>22</v>
      </c>
      <c r="AQ1025" s="59">
        <v>4</v>
      </c>
      <c r="AR1025" s="59">
        <v>4</v>
      </c>
      <c r="AS1025" s="59">
        <v>80</v>
      </c>
      <c r="AT1025" s="59">
        <v>1</v>
      </c>
      <c r="AU1025" s="59">
        <v>5</v>
      </c>
      <c r="AV1025" s="59">
        <v>3</v>
      </c>
      <c r="AW1025" s="59">
        <v>4</v>
      </c>
      <c r="AX1025" s="59">
        <v>3</v>
      </c>
      <c r="AY1025" s="59">
        <v>2</v>
      </c>
      <c r="AZ1025" s="59">
        <v>1</v>
      </c>
      <c r="BA1025" s="59">
        <v>0</v>
      </c>
      <c r="BB1025" s="57">
        <f t="shared" si="303"/>
        <v>2066</v>
      </c>
    </row>
    <row r="1026" spans="1:54" x14ac:dyDescent="0.25">
      <c r="A1026" s="58">
        <v>47</v>
      </c>
      <c r="B1026" s="59">
        <v>0</v>
      </c>
      <c r="C1026" s="59">
        <v>1</v>
      </c>
      <c r="D1026" s="59">
        <f t="shared" si="285"/>
        <v>1</v>
      </c>
      <c r="E1026" s="59">
        <f t="shared" si="286"/>
        <v>0</v>
      </c>
      <c r="F1026" s="59">
        <v>359</v>
      </c>
      <c r="G1026" s="59">
        <v>2</v>
      </c>
      <c r="H1026" s="59">
        <f t="shared" si="287"/>
        <v>0</v>
      </c>
      <c r="I1026" s="59">
        <f t="shared" si="288"/>
        <v>1</v>
      </c>
      <c r="J1026" s="59">
        <v>2</v>
      </c>
      <c r="K1026" s="59">
        <v>4</v>
      </c>
      <c r="L1026" s="59">
        <v>3</v>
      </c>
      <c r="M1026" s="59">
        <f t="shared" si="289"/>
        <v>0</v>
      </c>
      <c r="N1026" s="59">
        <f t="shared" si="290"/>
        <v>0</v>
      </c>
      <c r="O1026" s="59">
        <f t="shared" si="291"/>
        <v>1</v>
      </c>
      <c r="P1026" s="59">
        <f t="shared" si="292"/>
        <v>0</v>
      </c>
      <c r="Q1026" s="59">
        <f t="shared" si="293"/>
        <v>0</v>
      </c>
      <c r="R1026" s="59">
        <v>1</v>
      </c>
      <c r="S1026" s="59">
        <v>1443</v>
      </c>
      <c r="T1026" s="59">
        <v>1</v>
      </c>
      <c r="U1026" s="59">
        <v>0</v>
      </c>
      <c r="V1026" s="59">
        <v>82</v>
      </c>
      <c r="W1026" s="59">
        <v>3</v>
      </c>
      <c r="X1026" s="59">
        <v>4</v>
      </c>
      <c r="Y1026" s="59">
        <v>8</v>
      </c>
      <c r="Z1026" s="59">
        <f t="shared" si="294"/>
        <v>0</v>
      </c>
      <c r="AA1026" s="59">
        <f>IF('Updated Dummy'!Y1026=2,1,0)</f>
        <v>0</v>
      </c>
      <c r="AB1026" s="59">
        <f t="shared" si="295"/>
        <v>0</v>
      </c>
      <c r="AC1026" s="59">
        <f t="shared" si="296"/>
        <v>0</v>
      </c>
      <c r="AD1026" s="59">
        <f t="shared" si="297"/>
        <v>0</v>
      </c>
      <c r="AE1026" s="59">
        <f t="shared" si="298"/>
        <v>0</v>
      </c>
      <c r="AF1026" s="59">
        <f t="shared" si="299"/>
        <v>0</v>
      </c>
      <c r="AG1026" s="59">
        <f t="shared" si="300"/>
        <v>1</v>
      </c>
      <c r="AH1026" s="59">
        <v>3</v>
      </c>
      <c r="AI1026" s="59">
        <v>2</v>
      </c>
      <c r="AJ1026" s="59">
        <f t="shared" si="301"/>
        <v>0</v>
      </c>
      <c r="AK1026" s="59">
        <f t="shared" si="302"/>
        <v>1</v>
      </c>
      <c r="AL1026" s="59">
        <v>17169</v>
      </c>
      <c r="AM1026" s="59">
        <v>26703</v>
      </c>
      <c r="AN1026" s="59">
        <v>3</v>
      </c>
      <c r="AO1026" s="59">
        <v>0</v>
      </c>
      <c r="AP1026" s="59">
        <v>19</v>
      </c>
      <c r="AQ1026" s="59">
        <v>3</v>
      </c>
      <c r="AR1026" s="59">
        <v>2</v>
      </c>
      <c r="AS1026" s="59">
        <v>80</v>
      </c>
      <c r="AT1026" s="59">
        <v>2</v>
      </c>
      <c r="AU1026" s="59">
        <v>26</v>
      </c>
      <c r="AV1026" s="59">
        <v>2</v>
      </c>
      <c r="AW1026" s="59">
        <v>4</v>
      </c>
      <c r="AX1026" s="59">
        <v>20</v>
      </c>
      <c r="AY1026" s="59">
        <v>17</v>
      </c>
      <c r="AZ1026" s="59">
        <v>5</v>
      </c>
      <c r="BA1026" s="59">
        <v>6</v>
      </c>
      <c r="BB1026" s="57">
        <f t="shared" si="303"/>
        <v>68676</v>
      </c>
    </row>
    <row r="1027" spans="1:54" x14ac:dyDescent="0.25">
      <c r="A1027" s="58">
        <v>24</v>
      </c>
      <c r="B1027" s="59">
        <v>0</v>
      </c>
      <c r="C1027" s="59">
        <v>1</v>
      </c>
      <c r="D1027" s="59">
        <f t="shared" ref="D1027:D1090" si="304">IF(C1027=1,1,0)</f>
        <v>1</v>
      </c>
      <c r="E1027" s="59">
        <f t="shared" ref="E1027:E1090" si="305">IF(C1027=2,1,0)</f>
        <v>0</v>
      </c>
      <c r="F1027" s="59">
        <v>1476</v>
      </c>
      <c r="G1027" s="59">
        <v>1</v>
      </c>
      <c r="H1027" s="59">
        <f t="shared" ref="H1027:H1090" si="306">IF(G1027=1,1,0)</f>
        <v>1</v>
      </c>
      <c r="I1027" s="59">
        <f t="shared" ref="I1027:I1090" si="307">IF(G1027=2,1,0)</f>
        <v>0</v>
      </c>
      <c r="J1027" s="59">
        <v>4</v>
      </c>
      <c r="K1027" s="59">
        <v>1</v>
      </c>
      <c r="L1027" s="59">
        <v>3</v>
      </c>
      <c r="M1027" s="59">
        <f t="shared" ref="M1027:M1090" si="308">IF(L1027=1,1,0)</f>
        <v>0</v>
      </c>
      <c r="N1027" s="59">
        <f t="shared" ref="N1027:N1090" si="309">IF(L1027=2,1,0)</f>
        <v>0</v>
      </c>
      <c r="O1027" s="59">
        <f t="shared" ref="O1027:O1090" si="310">IF(L1027=3,1,0)</f>
        <v>1</v>
      </c>
      <c r="P1027" s="59">
        <f t="shared" ref="P1027:P1090" si="311">IF(L1027=4,1,0)</f>
        <v>0</v>
      </c>
      <c r="Q1027" s="59">
        <f t="shared" ref="Q1027:Q1090" si="312">IF(L1027=5,1,0)</f>
        <v>0</v>
      </c>
      <c r="R1027" s="59">
        <v>1</v>
      </c>
      <c r="S1027" s="59">
        <v>1445</v>
      </c>
      <c r="T1027" s="59">
        <v>4</v>
      </c>
      <c r="U1027" s="59">
        <v>0</v>
      </c>
      <c r="V1027" s="59">
        <v>42</v>
      </c>
      <c r="W1027" s="59">
        <v>3</v>
      </c>
      <c r="X1027" s="59">
        <v>2</v>
      </c>
      <c r="Y1027" s="59">
        <v>1</v>
      </c>
      <c r="Z1027" s="59">
        <f t="shared" ref="Z1027:Z1090" si="313">IF(Y1027=1,1,0)</f>
        <v>1</v>
      </c>
      <c r="AA1027" s="59">
        <f>IF('Updated Dummy'!Y1027=2,1,0)</f>
        <v>0</v>
      </c>
      <c r="AB1027" s="59">
        <f t="shared" ref="AB1027:AB1090" si="314">IF(Y1027=3,1,0)</f>
        <v>0</v>
      </c>
      <c r="AC1027" s="59">
        <f t="shared" ref="AC1027:AC1090" si="315">IF(Y1027=4,1,0)</f>
        <v>0</v>
      </c>
      <c r="AD1027" s="59">
        <f t="shared" ref="AD1027:AD1090" si="316">IF(Y1027=5,1,0)</f>
        <v>0</v>
      </c>
      <c r="AE1027" s="59">
        <f t="shared" ref="AE1027:AE1090" si="317">IF(Y1027=6,1,0)</f>
        <v>0</v>
      </c>
      <c r="AF1027" s="59">
        <f t="shared" ref="AF1027:AF1090" si="318">IF(Y1027=7,1,0)</f>
        <v>0</v>
      </c>
      <c r="AG1027" s="59">
        <f t="shared" ref="AG1027:AG1090" si="319">IF(Y1027=8,1,0)</f>
        <v>0</v>
      </c>
      <c r="AH1027" s="59">
        <v>3</v>
      </c>
      <c r="AI1027" s="59">
        <v>2</v>
      </c>
      <c r="AJ1027" s="59">
        <f t="shared" ref="AJ1027:AJ1090" si="320">IF(AI1027=1,1,0)</f>
        <v>0</v>
      </c>
      <c r="AK1027" s="59">
        <f t="shared" ref="AK1027:AK1090" si="321">IF(AI1027=2,1,0)</f>
        <v>1</v>
      </c>
      <c r="AL1027" s="59">
        <v>4162</v>
      </c>
      <c r="AM1027" s="59">
        <v>15211</v>
      </c>
      <c r="AN1027" s="59">
        <v>1</v>
      </c>
      <c r="AO1027" s="59">
        <v>1</v>
      </c>
      <c r="AP1027" s="59">
        <v>12</v>
      </c>
      <c r="AQ1027" s="59">
        <v>3</v>
      </c>
      <c r="AR1027" s="59">
        <v>3</v>
      </c>
      <c r="AS1027" s="59">
        <v>80</v>
      </c>
      <c r="AT1027" s="59">
        <v>2</v>
      </c>
      <c r="AU1027" s="59">
        <v>5</v>
      </c>
      <c r="AV1027" s="59">
        <v>3</v>
      </c>
      <c r="AW1027" s="59">
        <v>3</v>
      </c>
      <c r="AX1027" s="59">
        <v>5</v>
      </c>
      <c r="AY1027" s="59">
        <v>4</v>
      </c>
      <c r="AZ1027" s="59">
        <v>0</v>
      </c>
      <c r="BA1027" s="59">
        <v>3</v>
      </c>
      <c r="BB1027" s="57">
        <f t="shared" ref="BB1027:BB1090" si="322">X1027*AL1027</f>
        <v>8324</v>
      </c>
    </row>
    <row r="1028" spans="1:54" x14ac:dyDescent="0.25">
      <c r="A1028" s="58">
        <v>32</v>
      </c>
      <c r="B1028" s="59">
        <v>0</v>
      </c>
      <c r="C1028" s="59">
        <v>1</v>
      </c>
      <c r="D1028" s="59">
        <f t="shared" si="304"/>
        <v>1</v>
      </c>
      <c r="E1028" s="59">
        <f t="shared" si="305"/>
        <v>0</v>
      </c>
      <c r="F1028" s="59">
        <v>601</v>
      </c>
      <c r="G1028" s="59">
        <v>1</v>
      </c>
      <c r="H1028" s="59">
        <f t="shared" si="306"/>
        <v>1</v>
      </c>
      <c r="I1028" s="59">
        <f t="shared" si="307"/>
        <v>0</v>
      </c>
      <c r="J1028" s="59">
        <v>7</v>
      </c>
      <c r="K1028" s="59">
        <v>5</v>
      </c>
      <c r="L1028" s="59">
        <v>4</v>
      </c>
      <c r="M1028" s="59">
        <f t="shared" si="308"/>
        <v>0</v>
      </c>
      <c r="N1028" s="59">
        <f t="shared" si="309"/>
        <v>0</v>
      </c>
      <c r="O1028" s="59">
        <f t="shared" si="310"/>
        <v>0</v>
      </c>
      <c r="P1028" s="59">
        <f t="shared" si="311"/>
        <v>1</v>
      </c>
      <c r="Q1028" s="59">
        <f t="shared" si="312"/>
        <v>0</v>
      </c>
      <c r="R1028" s="59">
        <v>1</v>
      </c>
      <c r="S1028" s="59">
        <v>1446</v>
      </c>
      <c r="T1028" s="59">
        <v>4</v>
      </c>
      <c r="U1028" s="59">
        <v>1</v>
      </c>
      <c r="V1028" s="59">
        <v>97</v>
      </c>
      <c r="W1028" s="59">
        <v>3</v>
      </c>
      <c r="X1028" s="59">
        <v>2</v>
      </c>
      <c r="Y1028" s="59">
        <v>1</v>
      </c>
      <c r="Z1028" s="59">
        <f t="shared" si="313"/>
        <v>1</v>
      </c>
      <c r="AA1028" s="59">
        <f>IF('Updated Dummy'!Y1028=2,1,0)</f>
        <v>0</v>
      </c>
      <c r="AB1028" s="59">
        <f t="shared" si="314"/>
        <v>0</v>
      </c>
      <c r="AC1028" s="59">
        <f t="shared" si="315"/>
        <v>0</v>
      </c>
      <c r="AD1028" s="59">
        <f t="shared" si="316"/>
        <v>0</v>
      </c>
      <c r="AE1028" s="59">
        <f t="shared" si="317"/>
        <v>0</v>
      </c>
      <c r="AF1028" s="59">
        <f t="shared" si="318"/>
        <v>0</v>
      </c>
      <c r="AG1028" s="59">
        <f t="shared" si="319"/>
        <v>0</v>
      </c>
      <c r="AH1028" s="59">
        <v>4</v>
      </c>
      <c r="AI1028" s="59">
        <v>2</v>
      </c>
      <c r="AJ1028" s="59">
        <f t="shared" si="320"/>
        <v>0</v>
      </c>
      <c r="AK1028" s="59">
        <f t="shared" si="321"/>
        <v>1</v>
      </c>
      <c r="AL1028" s="59">
        <v>9204</v>
      </c>
      <c r="AM1028" s="59">
        <v>23343</v>
      </c>
      <c r="AN1028" s="59">
        <v>4</v>
      </c>
      <c r="AO1028" s="59">
        <v>0</v>
      </c>
      <c r="AP1028" s="59">
        <v>12</v>
      </c>
      <c r="AQ1028" s="59">
        <v>3</v>
      </c>
      <c r="AR1028" s="59">
        <v>3</v>
      </c>
      <c r="AS1028" s="59">
        <v>80</v>
      </c>
      <c r="AT1028" s="59">
        <v>1</v>
      </c>
      <c r="AU1028" s="59">
        <v>7</v>
      </c>
      <c r="AV1028" s="59">
        <v>3</v>
      </c>
      <c r="AW1028" s="59">
        <v>2</v>
      </c>
      <c r="AX1028" s="59">
        <v>4</v>
      </c>
      <c r="AY1028" s="59">
        <v>3</v>
      </c>
      <c r="AZ1028" s="59">
        <v>0</v>
      </c>
      <c r="BA1028" s="59">
        <v>3</v>
      </c>
      <c r="BB1028" s="57">
        <f t="shared" si="322"/>
        <v>18408</v>
      </c>
    </row>
    <row r="1029" spans="1:54" x14ac:dyDescent="0.25">
      <c r="A1029" s="58">
        <v>34</v>
      </c>
      <c r="B1029" s="59">
        <v>0</v>
      </c>
      <c r="C1029" s="59">
        <v>1</v>
      </c>
      <c r="D1029" s="59">
        <f t="shared" si="304"/>
        <v>1</v>
      </c>
      <c r="E1029" s="59">
        <f t="shared" si="305"/>
        <v>0</v>
      </c>
      <c r="F1029" s="59">
        <v>401</v>
      </c>
      <c r="G1029" s="59">
        <v>2</v>
      </c>
      <c r="H1029" s="59">
        <f t="shared" si="306"/>
        <v>0</v>
      </c>
      <c r="I1029" s="59">
        <f t="shared" si="307"/>
        <v>1</v>
      </c>
      <c r="J1029" s="59">
        <v>1</v>
      </c>
      <c r="K1029" s="59">
        <v>3</v>
      </c>
      <c r="L1029" s="59">
        <v>1</v>
      </c>
      <c r="M1029" s="59">
        <f t="shared" si="308"/>
        <v>1</v>
      </c>
      <c r="N1029" s="59">
        <f t="shared" si="309"/>
        <v>0</v>
      </c>
      <c r="O1029" s="59">
        <f t="shared" si="310"/>
        <v>0</v>
      </c>
      <c r="P1029" s="59">
        <f t="shared" si="311"/>
        <v>0</v>
      </c>
      <c r="Q1029" s="59">
        <f t="shared" si="312"/>
        <v>0</v>
      </c>
      <c r="R1029" s="59">
        <v>1</v>
      </c>
      <c r="S1029" s="59">
        <v>1447</v>
      </c>
      <c r="T1029" s="59">
        <v>4</v>
      </c>
      <c r="U1029" s="59">
        <v>0</v>
      </c>
      <c r="V1029" s="59">
        <v>86</v>
      </c>
      <c r="W1029" s="59">
        <v>2</v>
      </c>
      <c r="X1029" s="59">
        <v>1</v>
      </c>
      <c r="Y1029" s="59">
        <v>3</v>
      </c>
      <c r="Z1029" s="59">
        <f t="shared" si="313"/>
        <v>0</v>
      </c>
      <c r="AA1029" s="59">
        <f>IF('Updated Dummy'!Y1029=2,1,0)</f>
        <v>0</v>
      </c>
      <c r="AB1029" s="59">
        <f t="shared" si="314"/>
        <v>1</v>
      </c>
      <c r="AC1029" s="59">
        <f t="shared" si="315"/>
        <v>0</v>
      </c>
      <c r="AD1029" s="59">
        <f t="shared" si="316"/>
        <v>0</v>
      </c>
      <c r="AE1029" s="59">
        <f t="shared" si="317"/>
        <v>0</v>
      </c>
      <c r="AF1029" s="59">
        <f t="shared" si="318"/>
        <v>0</v>
      </c>
      <c r="AG1029" s="59">
        <f t="shared" si="319"/>
        <v>0</v>
      </c>
      <c r="AH1029" s="59">
        <v>2</v>
      </c>
      <c r="AI1029" s="59">
        <v>2</v>
      </c>
      <c r="AJ1029" s="59">
        <f t="shared" si="320"/>
        <v>0</v>
      </c>
      <c r="AK1029" s="59">
        <f t="shared" si="321"/>
        <v>1</v>
      </c>
      <c r="AL1029" s="59">
        <v>3294</v>
      </c>
      <c r="AM1029" s="59">
        <v>3708</v>
      </c>
      <c r="AN1029" s="59">
        <v>5</v>
      </c>
      <c r="AO1029" s="59">
        <v>0</v>
      </c>
      <c r="AP1029" s="59">
        <v>17</v>
      </c>
      <c r="AQ1029" s="59">
        <v>3</v>
      </c>
      <c r="AR1029" s="59">
        <v>1</v>
      </c>
      <c r="AS1029" s="59">
        <v>80</v>
      </c>
      <c r="AT1029" s="59">
        <v>1</v>
      </c>
      <c r="AU1029" s="59">
        <v>7</v>
      </c>
      <c r="AV1029" s="59">
        <v>2</v>
      </c>
      <c r="AW1029" s="59">
        <v>2</v>
      </c>
      <c r="AX1029" s="59">
        <v>5</v>
      </c>
      <c r="AY1029" s="59">
        <v>4</v>
      </c>
      <c r="AZ1029" s="59">
        <v>0</v>
      </c>
      <c r="BA1029" s="59">
        <v>2</v>
      </c>
      <c r="BB1029" s="57">
        <f t="shared" si="322"/>
        <v>3294</v>
      </c>
    </row>
    <row r="1030" spans="1:54" x14ac:dyDescent="0.25">
      <c r="A1030" s="58">
        <v>41</v>
      </c>
      <c r="B1030" s="59">
        <v>0</v>
      </c>
      <c r="C1030" s="59">
        <v>1</v>
      </c>
      <c r="D1030" s="59">
        <f t="shared" si="304"/>
        <v>1</v>
      </c>
      <c r="E1030" s="59">
        <f t="shared" si="305"/>
        <v>0</v>
      </c>
      <c r="F1030" s="59">
        <v>1283</v>
      </c>
      <c r="G1030" s="59">
        <v>2</v>
      </c>
      <c r="H1030" s="59">
        <f t="shared" si="306"/>
        <v>0</v>
      </c>
      <c r="I1030" s="59">
        <f t="shared" si="307"/>
        <v>1</v>
      </c>
      <c r="J1030" s="59">
        <v>5</v>
      </c>
      <c r="K1030" s="59">
        <v>5</v>
      </c>
      <c r="L1030" s="59">
        <v>3</v>
      </c>
      <c r="M1030" s="59">
        <f t="shared" si="308"/>
        <v>0</v>
      </c>
      <c r="N1030" s="59">
        <f t="shared" si="309"/>
        <v>0</v>
      </c>
      <c r="O1030" s="59">
        <f t="shared" si="310"/>
        <v>1</v>
      </c>
      <c r="P1030" s="59">
        <f t="shared" si="311"/>
        <v>0</v>
      </c>
      <c r="Q1030" s="59">
        <f t="shared" si="312"/>
        <v>0</v>
      </c>
      <c r="R1030" s="59">
        <v>1</v>
      </c>
      <c r="S1030" s="59">
        <v>1448</v>
      </c>
      <c r="T1030" s="59">
        <v>2</v>
      </c>
      <c r="U1030" s="59">
        <v>1</v>
      </c>
      <c r="V1030" s="59">
        <v>90</v>
      </c>
      <c r="W1030" s="59">
        <v>4</v>
      </c>
      <c r="X1030" s="59">
        <v>1</v>
      </c>
      <c r="Y1030" s="59">
        <v>2</v>
      </c>
      <c r="Z1030" s="59">
        <f t="shared" si="313"/>
        <v>0</v>
      </c>
      <c r="AA1030" s="59">
        <f>IF('Updated Dummy'!Y1030=2,1,0)</f>
        <v>1</v>
      </c>
      <c r="AB1030" s="59">
        <f t="shared" si="314"/>
        <v>0</v>
      </c>
      <c r="AC1030" s="59">
        <f t="shared" si="315"/>
        <v>0</v>
      </c>
      <c r="AD1030" s="59">
        <f t="shared" si="316"/>
        <v>0</v>
      </c>
      <c r="AE1030" s="59">
        <f t="shared" si="317"/>
        <v>0</v>
      </c>
      <c r="AF1030" s="59">
        <f t="shared" si="318"/>
        <v>0</v>
      </c>
      <c r="AG1030" s="59">
        <f t="shared" si="319"/>
        <v>0</v>
      </c>
      <c r="AH1030" s="59">
        <v>3</v>
      </c>
      <c r="AI1030" s="59">
        <v>2</v>
      </c>
      <c r="AJ1030" s="59">
        <f t="shared" si="320"/>
        <v>0</v>
      </c>
      <c r="AK1030" s="59">
        <f t="shared" si="321"/>
        <v>1</v>
      </c>
      <c r="AL1030" s="59">
        <v>2127</v>
      </c>
      <c r="AM1030" s="59">
        <v>5561</v>
      </c>
      <c r="AN1030" s="59">
        <v>2</v>
      </c>
      <c r="AO1030" s="59">
        <v>1</v>
      </c>
      <c r="AP1030" s="59">
        <v>12</v>
      </c>
      <c r="AQ1030" s="59">
        <v>3</v>
      </c>
      <c r="AR1030" s="59">
        <v>1</v>
      </c>
      <c r="AS1030" s="59">
        <v>80</v>
      </c>
      <c r="AT1030" s="59">
        <v>0</v>
      </c>
      <c r="AU1030" s="59">
        <v>7</v>
      </c>
      <c r="AV1030" s="59">
        <v>5</v>
      </c>
      <c r="AW1030" s="59">
        <v>2</v>
      </c>
      <c r="AX1030" s="59">
        <v>4</v>
      </c>
      <c r="AY1030" s="59">
        <v>2</v>
      </c>
      <c r="AZ1030" s="59">
        <v>0</v>
      </c>
      <c r="BA1030" s="59">
        <v>3</v>
      </c>
      <c r="BB1030" s="57">
        <f t="shared" si="322"/>
        <v>2127</v>
      </c>
    </row>
    <row r="1031" spans="1:54" x14ac:dyDescent="0.25">
      <c r="A1031" s="58">
        <v>40</v>
      </c>
      <c r="B1031" s="59">
        <v>0</v>
      </c>
      <c r="C1031" s="59">
        <v>3</v>
      </c>
      <c r="D1031" s="59">
        <f t="shared" si="304"/>
        <v>0</v>
      </c>
      <c r="E1031" s="59">
        <f t="shared" si="305"/>
        <v>0</v>
      </c>
      <c r="F1031" s="59">
        <v>663</v>
      </c>
      <c r="G1031" s="59">
        <v>2</v>
      </c>
      <c r="H1031" s="59">
        <f t="shared" si="306"/>
        <v>0</v>
      </c>
      <c r="I1031" s="59">
        <f t="shared" si="307"/>
        <v>1</v>
      </c>
      <c r="J1031" s="59">
        <v>9</v>
      </c>
      <c r="K1031" s="59">
        <v>4</v>
      </c>
      <c r="L1031" s="59">
        <v>6</v>
      </c>
      <c r="M1031" s="59">
        <f t="shared" si="308"/>
        <v>0</v>
      </c>
      <c r="N1031" s="59">
        <f t="shared" si="309"/>
        <v>0</v>
      </c>
      <c r="O1031" s="59">
        <f t="shared" si="310"/>
        <v>0</v>
      </c>
      <c r="P1031" s="59">
        <f t="shared" si="311"/>
        <v>0</v>
      </c>
      <c r="Q1031" s="59">
        <f t="shared" si="312"/>
        <v>0</v>
      </c>
      <c r="R1031" s="59">
        <v>1</v>
      </c>
      <c r="S1031" s="59">
        <v>1449</v>
      </c>
      <c r="T1031" s="59">
        <v>3</v>
      </c>
      <c r="U1031" s="59">
        <v>1</v>
      </c>
      <c r="V1031" s="59">
        <v>81</v>
      </c>
      <c r="W1031" s="59">
        <v>3</v>
      </c>
      <c r="X1031" s="59">
        <v>2</v>
      </c>
      <c r="Y1031" s="59">
        <v>3</v>
      </c>
      <c r="Z1031" s="59">
        <f t="shared" si="313"/>
        <v>0</v>
      </c>
      <c r="AA1031" s="59">
        <f>IF('Updated Dummy'!Y1031=2,1,0)</f>
        <v>0</v>
      </c>
      <c r="AB1031" s="59">
        <f t="shared" si="314"/>
        <v>1</v>
      </c>
      <c r="AC1031" s="59">
        <f t="shared" si="315"/>
        <v>0</v>
      </c>
      <c r="AD1031" s="59">
        <f t="shared" si="316"/>
        <v>0</v>
      </c>
      <c r="AE1031" s="59">
        <f t="shared" si="317"/>
        <v>0</v>
      </c>
      <c r="AF1031" s="59">
        <f t="shared" si="318"/>
        <v>0</v>
      </c>
      <c r="AG1031" s="59">
        <f t="shared" si="319"/>
        <v>0</v>
      </c>
      <c r="AH1031" s="59">
        <v>3</v>
      </c>
      <c r="AI1031" s="59">
        <v>3</v>
      </c>
      <c r="AJ1031" s="59">
        <f t="shared" si="320"/>
        <v>0</v>
      </c>
      <c r="AK1031" s="59">
        <f t="shared" si="321"/>
        <v>0</v>
      </c>
      <c r="AL1031" s="59">
        <v>3975</v>
      </c>
      <c r="AM1031" s="59">
        <v>23099</v>
      </c>
      <c r="AN1031" s="59">
        <v>3</v>
      </c>
      <c r="AO1031" s="59">
        <v>0</v>
      </c>
      <c r="AP1031" s="59">
        <v>11</v>
      </c>
      <c r="AQ1031" s="59">
        <v>3</v>
      </c>
      <c r="AR1031" s="59">
        <v>3</v>
      </c>
      <c r="AS1031" s="59">
        <v>80</v>
      </c>
      <c r="AT1031" s="59">
        <v>2</v>
      </c>
      <c r="AU1031" s="59">
        <v>11</v>
      </c>
      <c r="AV1031" s="59">
        <v>2</v>
      </c>
      <c r="AW1031" s="59">
        <v>4</v>
      </c>
      <c r="AX1031" s="59">
        <v>8</v>
      </c>
      <c r="AY1031" s="59">
        <v>7</v>
      </c>
      <c r="AZ1031" s="59">
        <v>0</v>
      </c>
      <c r="BA1031" s="59">
        <v>7</v>
      </c>
      <c r="BB1031" s="57">
        <f t="shared" si="322"/>
        <v>7950</v>
      </c>
    </row>
    <row r="1032" spans="1:54" x14ac:dyDescent="0.25">
      <c r="A1032" s="58">
        <v>31</v>
      </c>
      <c r="B1032" s="59">
        <v>0</v>
      </c>
      <c r="C1032" s="59">
        <v>1</v>
      </c>
      <c r="D1032" s="59">
        <f t="shared" si="304"/>
        <v>1</v>
      </c>
      <c r="E1032" s="59">
        <f t="shared" si="305"/>
        <v>0</v>
      </c>
      <c r="F1032" s="59">
        <v>326</v>
      </c>
      <c r="G1032" s="59">
        <v>1</v>
      </c>
      <c r="H1032" s="59">
        <f t="shared" si="306"/>
        <v>1</v>
      </c>
      <c r="I1032" s="59">
        <f t="shared" si="307"/>
        <v>0</v>
      </c>
      <c r="J1032" s="59">
        <v>8</v>
      </c>
      <c r="K1032" s="59">
        <v>2</v>
      </c>
      <c r="L1032" s="59">
        <v>1</v>
      </c>
      <c r="M1032" s="59">
        <f t="shared" si="308"/>
        <v>1</v>
      </c>
      <c r="N1032" s="59">
        <f t="shared" si="309"/>
        <v>0</v>
      </c>
      <c r="O1032" s="59">
        <f t="shared" si="310"/>
        <v>0</v>
      </c>
      <c r="P1032" s="59">
        <f t="shared" si="311"/>
        <v>0</v>
      </c>
      <c r="Q1032" s="59">
        <f t="shared" si="312"/>
        <v>0</v>
      </c>
      <c r="R1032" s="59">
        <v>1</v>
      </c>
      <c r="S1032" s="59">
        <v>1453</v>
      </c>
      <c r="T1032" s="59">
        <v>1</v>
      </c>
      <c r="U1032" s="59">
        <v>1</v>
      </c>
      <c r="V1032" s="59">
        <v>31</v>
      </c>
      <c r="W1032" s="59">
        <v>3</v>
      </c>
      <c r="X1032" s="59">
        <v>3</v>
      </c>
      <c r="Y1032" s="59">
        <v>1</v>
      </c>
      <c r="Z1032" s="59">
        <f t="shared" si="313"/>
        <v>1</v>
      </c>
      <c r="AA1032" s="59">
        <f>IF('Updated Dummy'!Y1032=2,1,0)</f>
        <v>0</v>
      </c>
      <c r="AB1032" s="59">
        <f t="shared" si="314"/>
        <v>0</v>
      </c>
      <c r="AC1032" s="59">
        <f t="shared" si="315"/>
        <v>0</v>
      </c>
      <c r="AD1032" s="59">
        <f t="shared" si="316"/>
        <v>0</v>
      </c>
      <c r="AE1032" s="59">
        <f t="shared" si="317"/>
        <v>0</v>
      </c>
      <c r="AF1032" s="59">
        <f t="shared" si="318"/>
        <v>0</v>
      </c>
      <c r="AG1032" s="59">
        <f t="shared" si="319"/>
        <v>0</v>
      </c>
      <c r="AH1032" s="59">
        <v>4</v>
      </c>
      <c r="AI1032" s="59">
        <v>3</v>
      </c>
      <c r="AJ1032" s="59">
        <f t="shared" si="320"/>
        <v>0</v>
      </c>
      <c r="AK1032" s="59">
        <f t="shared" si="321"/>
        <v>0</v>
      </c>
      <c r="AL1032" s="59">
        <v>10793</v>
      </c>
      <c r="AM1032" s="59">
        <v>8386</v>
      </c>
      <c r="AN1032" s="59">
        <v>1</v>
      </c>
      <c r="AO1032" s="59">
        <v>0</v>
      </c>
      <c r="AP1032" s="59">
        <v>18</v>
      </c>
      <c r="AQ1032" s="59">
        <v>3</v>
      </c>
      <c r="AR1032" s="59">
        <v>1</v>
      </c>
      <c r="AS1032" s="59">
        <v>80</v>
      </c>
      <c r="AT1032" s="59">
        <v>1</v>
      </c>
      <c r="AU1032" s="59">
        <v>13</v>
      </c>
      <c r="AV1032" s="59">
        <v>5</v>
      </c>
      <c r="AW1032" s="59">
        <v>3</v>
      </c>
      <c r="AX1032" s="59">
        <v>13</v>
      </c>
      <c r="AY1032" s="59">
        <v>7</v>
      </c>
      <c r="AZ1032" s="59">
        <v>9</v>
      </c>
      <c r="BA1032" s="59">
        <v>9</v>
      </c>
      <c r="BB1032" s="57">
        <f t="shared" si="322"/>
        <v>32379</v>
      </c>
    </row>
    <row r="1033" spans="1:54" x14ac:dyDescent="0.25">
      <c r="A1033" s="58">
        <v>46</v>
      </c>
      <c r="B1033" s="59">
        <v>1</v>
      </c>
      <c r="C1033" s="59">
        <v>1</v>
      </c>
      <c r="D1033" s="59">
        <f t="shared" si="304"/>
        <v>1</v>
      </c>
      <c r="E1033" s="59">
        <f t="shared" si="305"/>
        <v>0</v>
      </c>
      <c r="F1033" s="59">
        <v>377</v>
      </c>
      <c r="G1033" s="59">
        <v>1</v>
      </c>
      <c r="H1033" s="59">
        <f t="shared" si="306"/>
        <v>1</v>
      </c>
      <c r="I1033" s="59">
        <f t="shared" si="307"/>
        <v>0</v>
      </c>
      <c r="J1033" s="59">
        <v>9</v>
      </c>
      <c r="K1033" s="59">
        <v>3</v>
      </c>
      <c r="L1033" s="59">
        <v>4</v>
      </c>
      <c r="M1033" s="59">
        <f t="shared" si="308"/>
        <v>0</v>
      </c>
      <c r="N1033" s="59">
        <f t="shared" si="309"/>
        <v>0</v>
      </c>
      <c r="O1033" s="59">
        <f t="shared" si="310"/>
        <v>0</v>
      </c>
      <c r="P1033" s="59">
        <f t="shared" si="311"/>
        <v>1</v>
      </c>
      <c r="Q1033" s="59">
        <f t="shared" si="312"/>
        <v>0</v>
      </c>
      <c r="R1033" s="59">
        <v>1</v>
      </c>
      <c r="S1033" s="59">
        <v>1457</v>
      </c>
      <c r="T1033" s="59">
        <v>1</v>
      </c>
      <c r="U1033" s="59">
        <v>1</v>
      </c>
      <c r="V1033" s="59">
        <v>52</v>
      </c>
      <c r="W1033" s="59">
        <v>3</v>
      </c>
      <c r="X1033" s="59">
        <v>3</v>
      </c>
      <c r="Y1033" s="59">
        <v>1</v>
      </c>
      <c r="Z1033" s="59">
        <f t="shared" si="313"/>
        <v>1</v>
      </c>
      <c r="AA1033" s="59">
        <f>IF('Updated Dummy'!Y1033=2,1,0)</f>
        <v>0</v>
      </c>
      <c r="AB1033" s="59">
        <f t="shared" si="314"/>
        <v>0</v>
      </c>
      <c r="AC1033" s="59">
        <f t="shared" si="315"/>
        <v>0</v>
      </c>
      <c r="AD1033" s="59">
        <f t="shared" si="316"/>
        <v>0</v>
      </c>
      <c r="AE1033" s="59">
        <f t="shared" si="317"/>
        <v>0</v>
      </c>
      <c r="AF1033" s="59">
        <f t="shared" si="318"/>
        <v>0</v>
      </c>
      <c r="AG1033" s="59">
        <f t="shared" si="319"/>
        <v>0</v>
      </c>
      <c r="AH1033" s="59">
        <v>4</v>
      </c>
      <c r="AI1033" s="59">
        <v>3</v>
      </c>
      <c r="AJ1033" s="59">
        <f t="shared" si="320"/>
        <v>0</v>
      </c>
      <c r="AK1033" s="59">
        <f t="shared" si="321"/>
        <v>0</v>
      </c>
      <c r="AL1033" s="59">
        <v>10096</v>
      </c>
      <c r="AM1033" s="59">
        <v>15986</v>
      </c>
      <c r="AN1033" s="59">
        <v>4</v>
      </c>
      <c r="AO1033" s="59">
        <v>0</v>
      </c>
      <c r="AP1033" s="59">
        <v>11</v>
      </c>
      <c r="AQ1033" s="59">
        <v>3</v>
      </c>
      <c r="AR1033" s="59">
        <v>1</v>
      </c>
      <c r="AS1033" s="59">
        <v>80</v>
      </c>
      <c r="AT1033" s="59">
        <v>1</v>
      </c>
      <c r="AU1033" s="59">
        <v>28</v>
      </c>
      <c r="AV1033" s="59">
        <v>1</v>
      </c>
      <c r="AW1033" s="59">
        <v>4</v>
      </c>
      <c r="AX1033" s="59">
        <v>7</v>
      </c>
      <c r="AY1033" s="59">
        <v>7</v>
      </c>
      <c r="AZ1033" s="59">
        <v>4</v>
      </c>
      <c r="BA1033" s="59">
        <v>3</v>
      </c>
      <c r="BB1033" s="57">
        <f t="shared" si="322"/>
        <v>30288</v>
      </c>
    </row>
    <row r="1034" spans="1:54" x14ac:dyDescent="0.25">
      <c r="A1034" s="58">
        <v>39</v>
      </c>
      <c r="B1034" s="59">
        <v>1</v>
      </c>
      <c r="C1034" s="59">
        <v>3</v>
      </c>
      <c r="D1034" s="59">
        <f t="shared" si="304"/>
        <v>0</v>
      </c>
      <c r="E1034" s="59">
        <f t="shared" si="305"/>
        <v>0</v>
      </c>
      <c r="F1034" s="59">
        <v>592</v>
      </c>
      <c r="G1034" s="59">
        <v>2</v>
      </c>
      <c r="H1034" s="59">
        <f t="shared" si="306"/>
        <v>0</v>
      </c>
      <c r="I1034" s="59">
        <f t="shared" si="307"/>
        <v>1</v>
      </c>
      <c r="J1034" s="59">
        <v>2</v>
      </c>
      <c r="K1034" s="59">
        <v>3</v>
      </c>
      <c r="L1034" s="59">
        <v>1</v>
      </c>
      <c r="M1034" s="59">
        <f t="shared" si="308"/>
        <v>1</v>
      </c>
      <c r="N1034" s="59">
        <f t="shared" si="309"/>
        <v>0</v>
      </c>
      <c r="O1034" s="59">
        <f t="shared" si="310"/>
        <v>0</v>
      </c>
      <c r="P1034" s="59">
        <f t="shared" si="311"/>
        <v>0</v>
      </c>
      <c r="Q1034" s="59">
        <f t="shared" si="312"/>
        <v>0</v>
      </c>
      <c r="R1034" s="59">
        <v>1</v>
      </c>
      <c r="S1034" s="59">
        <v>1458</v>
      </c>
      <c r="T1034" s="59">
        <v>1</v>
      </c>
      <c r="U1034" s="59">
        <v>0</v>
      </c>
      <c r="V1034" s="59">
        <v>54</v>
      </c>
      <c r="W1034" s="59">
        <v>2</v>
      </c>
      <c r="X1034" s="59">
        <v>1</v>
      </c>
      <c r="Y1034" s="59">
        <v>3</v>
      </c>
      <c r="Z1034" s="59">
        <f t="shared" si="313"/>
        <v>0</v>
      </c>
      <c r="AA1034" s="59">
        <f>IF('Updated Dummy'!Y1034=2,1,0)</f>
        <v>0</v>
      </c>
      <c r="AB1034" s="59">
        <f t="shared" si="314"/>
        <v>1</v>
      </c>
      <c r="AC1034" s="59">
        <f t="shared" si="315"/>
        <v>0</v>
      </c>
      <c r="AD1034" s="59">
        <f t="shared" si="316"/>
        <v>0</v>
      </c>
      <c r="AE1034" s="59">
        <f t="shared" si="317"/>
        <v>0</v>
      </c>
      <c r="AF1034" s="59">
        <f t="shared" si="318"/>
        <v>0</v>
      </c>
      <c r="AG1034" s="59">
        <f t="shared" si="319"/>
        <v>0</v>
      </c>
      <c r="AH1034" s="59">
        <v>1</v>
      </c>
      <c r="AI1034" s="59">
        <v>1</v>
      </c>
      <c r="AJ1034" s="59">
        <f t="shared" si="320"/>
        <v>1</v>
      </c>
      <c r="AK1034" s="59">
        <f t="shared" si="321"/>
        <v>0</v>
      </c>
      <c r="AL1034" s="59">
        <v>3646</v>
      </c>
      <c r="AM1034" s="59">
        <v>17181</v>
      </c>
      <c r="AN1034" s="59">
        <v>2</v>
      </c>
      <c r="AO1034" s="59">
        <v>1</v>
      </c>
      <c r="AP1034" s="59">
        <v>23</v>
      </c>
      <c r="AQ1034" s="59">
        <v>4</v>
      </c>
      <c r="AR1034" s="59">
        <v>2</v>
      </c>
      <c r="AS1034" s="59">
        <v>80</v>
      </c>
      <c r="AT1034" s="59">
        <v>0</v>
      </c>
      <c r="AU1034" s="59">
        <v>11</v>
      </c>
      <c r="AV1034" s="59">
        <v>2</v>
      </c>
      <c r="AW1034" s="59">
        <v>4</v>
      </c>
      <c r="AX1034" s="59">
        <v>1</v>
      </c>
      <c r="AY1034" s="59">
        <v>0</v>
      </c>
      <c r="AZ1034" s="59">
        <v>0</v>
      </c>
      <c r="BA1034" s="59">
        <v>0</v>
      </c>
      <c r="BB1034" s="57">
        <f t="shared" si="322"/>
        <v>3646</v>
      </c>
    </row>
    <row r="1035" spans="1:54" x14ac:dyDescent="0.25">
      <c r="A1035" s="58">
        <v>31</v>
      </c>
      <c r="B1035" s="59">
        <v>1</v>
      </c>
      <c r="C1035" s="59">
        <v>2</v>
      </c>
      <c r="D1035" s="59">
        <f t="shared" si="304"/>
        <v>0</v>
      </c>
      <c r="E1035" s="59">
        <f t="shared" si="305"/>
        <v>1</v>
      </c>
      <c r="F1035" s="59">
        <v>1445</v>
      </c>
      <c r="G1035" s="59">
        <v>2</v>
      </c>
      <c r="H1035" s="59">
        <f t="shared" si="306"/>
        <v>0</v>
      </c>
      <c r="I1035" s="59">
        <f t="shared" si="307"/>
        <v>1</v>
      </c>
      <c r="J1035" s="59">
        <v>1</v>
      </c>
      <c r="K1035" s="59">
        <v>5</v>
      </c>
      <c r="L1035" s="59">
        <v>1</v>
      </c>
      <c r="M1035" s="59">
        <f t="shared" si="308"/>
        <v>1</v>
      </c>
      <c r="N1035" s="59">
        <f t="shared" si="309"/>
        <v>0</v>
      </c>
      <c r="O1035" s="59">
        <f t="shared" si="310"/>
        <v>0</v>
      </c>
      <c r="P1035" s="59">
        <f t="shared" si="311"/>
        <v>0</v>
      </c>
      <c r="Q1035" s="59">
        <f t="shared" si="312"/>
        <v>0</v>
      </c>
      <c r="R1035" s="59">
        <v>1</v>
      </c>
      <c r="S1035" s="59">
        <v>1459</v>
      </c>
      <c r="T1035" s="59">
        <v>3</v>
      </c>
      <c r="U1035" s="59">
        <v>0</v>
      </c>
      <c r="V1035" s="59">
        <v>100</v>
      </c>
      <c r="W1035" s="59">
        <v>4</v>
      </c>
      <c r="X1035" s="59">
        <v>3</v>
      </c>
      <c r="Y1035" s="59">
        <v>4</v>
      </c>
      <c r="Z1035" s="59">
        <f t="shared" si="313"/>
        <v>0</v>
      </c>
      <c r="AA1035" s="59">
        <f>IF('Updated Dummy'!Y1035=2,1,0)</f>
        <v>0</v>
      </c>
      <c r="AB1035" s="59">
        <f t="shared" si="314"/>
        <v>0</v>
      </c>
      <c r="AC1035" s="59">
        <f t="shared" si="315"/>
        <v>1</v>
      </c>
      <c r="AD1035" s="59">
        <f t="shared" si="316"/>
        <v>0</v>
      </c>
      <c r="AE1035" s="59">
        <f t="shared" si="317"/>
        <v>0</v>
      </c>
      <c r="AF1035" s="59">
        <f t="shared" si="318"/>
        <v>0</v>
      </c>
      <c r="AG1035" s="59">
        <f t="shared" si="319"/>
        <v>0</v>
      </c>
      <c r="AH1035" s="59">
        <v>2</v>
      </c>
      <c r="AI1035" s="59">
        <v>1</v>
      </c>
      <c r="AJ1035" s="59">
        <f t="shared" si="320"/>
        <v>1</v>
      </c>
      <c r="AK1035" s="59">
        <f t="shared" si="321"/>
        <v>0</v>
      </c>
      <c r="AL1035" s="59">
        <v>7446</v>
      </c>
      <c r="AM1035" s="59">
        <v>8931</v>
      </c>
      <c r="AN1035" s="59">
        <v>1</v>
      </c>
      <c r="AO1035" s="59">
        <v>0</v>
      </c>
      <c r="AP1035" s="59">
        <v>11</v>
      </c>
      <c r="AQ1035" s="59">
        <v>3</v>
      </c>
      <c r="AR1035" s="59">
        <v>1</v>
      </c>
      <c r="AS1035" s="59">
        <v>80</v>
      </c>
      <c r="AT1035" s="59">
        <v>0</v>
      </c>
      <c r="AU1035" s="59">
        <v>10</v>
      </c>
      <c r="AV1035" s="59">
        <v>2</v>
      </c>
      <c r="AW1035" s="59">
        <v>3</v>
      </c>
      <c r="AX1035" s="59">
        <v>10</v>
      </c>
      <c r="AY1035" s="59">
        <v>8</v>
      </c>
      <c r="AZ1035" s="59">
        <v>4</v>
      </c>
      <c r="BA1035" s="59">
        <v>7</v>
      </c>
      <c r="BB1035" s="57">
        <f t="shared" si="322"/>
        <v>22338</v>
      </c>
    </row>
    <row r="1036" spans="1:54" x14ac:dyDescent="0.25">
      <c r="A1036" s="58">
        <v>45</v>
      </c>
      <c r="B1036" s="59">
        <v>0</v>
      </c>
      <c r="C1036" s="59">
        <v>1</v>
      </c>
      <c r="D1036" s="59">
        <f t="shared" si="304"/>
        <v>1</v>
      </c>
      <c r="E1036" s="59">
        <f t="shared" si="305"/>
        <v>0</v>
      </c>
      <c r="F1036" s="59">
        <v>1038</v>
      </c>
      <c r="G1036" s="59">
        <v>2</v>
      </c>
      <c r="H1036" s="59">
        <f t="shared" si="306"/>
        <v>0</v>
      </c>
      <c r="I1036" s="59">
        <f t="shared" si="307"/>
        <v>1</v>
      </c>
      <c r="J1036" s="59">
        <v>20</v>
      </c>
      <c r="K1036" s="59">
        <v>3</v>
      </c>
      <c r="L1036" s="59">
        <v>3</v>
      </c>
      <c r="M1036" s="59">
        <f t="shared" si="308"/>
        <v>0</v>
      </c>
      <c r="N1036" s="59">
        <f t="shared" si="309"/>
        <v>0</v>
      </c>
      <c r="O1036" s="59">
        <f t="shared" si="310"/>
        <v>1</v>
      </c>
      <c r="P1036" s="59">
        <f t="shared" si="311"/>
        <v>0</v>
      </c>
      <c r="Q1036" s="59">
        <f t="shared" si="312"/>
        <v>0</v>
      </c>
      <c r="R1036" s="59">
        <v>1</v>
      </c>
      <c r="S1036" s="59">
        <v>1460</v>
      </c>
      <c r="T1036" s="59">
        <v>2</v>
      </c>
      <c r="U1036" s="59">
        <v>1</v>
      </c>
      <c r="V1036" s="59">
        <v>95</v>
      </c>
      <c r="W1036" s="59">
        <v>1</v>
      </c>
      <c r="X1036" s="59">
        <v>3</v>
      </c>
      <c r="Y1036" s="59">
        <v>5</v>
      </c>
      <c r="Z1036" s="59">
        <f t="shared" si="313"/>
        <v>0</v>
      </c>
      <c r="AA1036" s="59">
        <f>IF('Updated Dummy'!Y1036=2,1,0)</f>
        <v>0</v>
      </c>
      <c r="AB1036" s="59">
        <f t="shared" si="314"/>
        <v>0</v>
      </c>
      <c r="AC1036" s="59">
        <f t="shared" si="315"/>
        <v>0</v>
      </c>
      <c r="AD1036" s="59">
        <f t="shared" si="316"/>
        <v>1</v>
      </c>
      <c r="AE1036" s="59">
        <f t="shared" si="317"/>
        <v>0</v>
      </c>
      <c r="AF1036" s="59">
        <f t="shared" si="318"/>
        <v>0</v>
      </c>
      <c r="AG1036" s="59">
        <f t="shared" si="319"/>
        <v>0</v>
      </c>
      <c r="AH1036" s="59">
        <v>1</v>
      </c>
      <c r="AI1036" s="59">
        <v>3</v>
      </c>
      <c r="AJ1036" s="59">
        <f t="shared" si="320"/>
        <v>0</v>
      </c>
      <c r="AK1036" s="59">
        <f t="shared" si="321"/>
        <v>0</v>
      </c>
      <c r="AL1036" s="59">
        <v>10851</v>
      </c>
      <c r="AM1036" s="59">
        <v>19863</v>
      </c>
      <c r="AN1036" s="59">
        <v>2</v>
      </c>
      <c r="AO1036" s="59">
        <v>1</v>
      </c>
      <c r="AP1036" s="59">
        <v>18</v>
      </c>
      <c r="AQ1036" s="59">
        <v>3</v>
      </c>
      <c r="AR1036" s="59">
        <v>2</v>
      </c>
      <c r="AS1036" s="59">
        <v>80</v>
      </c>
      <c r="AT1036" s="59">
        <v>1</v>
      </c>
      <c r="AU1036" s="59">
        <v>24</v>
      </c>
      <c r="AV1036" s="59">
        <v>2</v>
      </c>
      <c r="AW1036" s="59">
        <v>3</v>
      </c>
      <c r="AX1036" s="59">
        <v>7</v>
      </c>
      <c r="AY1036" s="59">
        <v>7</v>
      </c>
      <c r="AZ1036" s="59">
        <v>0</v>
      </c>
      <c r="BA1036" s="59">
        <v>7</v>
      </c>
      <c r="BB1036" s="57">
        <f t="shared" si="322"/>
        <v>32553</v>
      </c>
    </row>
    <row r="1037" spans="1:54" x14ac:dyDescent="0.25">
      <c r="A1037" s="58">
        <v>31</v>
      </c>
      <c r="B1037" s="59">
        <v>0</v>
      </c>
      <c r="C1037" s="59">
        <v>1</v>
      </c>
      <c r="D1037" s="59">
        <f t="shared" si="304"/>
        <v>1</v>
      </c>
      <c r="E1037" s="59">
        <f t="shared" si="305"/>
        <v>0</v>
      </c>
      <c r="F1037" s="59">
        <v>1398</v>
      </c>
      <c r="G1037" s="59">
        <v>3</v>
      </c>
      <c r="H1037" s="59">
        <f t="shared" si="306"/>
        <v>0</v>
      </c>
      <c r="I1037" s="59">
        <f t="shared" si="307"/>
        <v>0</v>
      </c>
      <c r="J1037" s="59">
        <v>8</v>
      </c>
      <c r="K1037" s="59">
        <v>2</v>
      </c>
      <c r="L1037" s="59">
        <v>3</v>
      </c>
      <c r="M1037" s="59">
        <f t="shared" si="308"/>
        <v>0</v>
      </c>
      <c r="N1037" s="59">
        <f t="shared" si="309"/>
        <v>0</v>
      </c>
      <c r="O1037" s="59">
        <f t="shared" si="310"/>
        <v>1</v>
      </c>
      <c r="P1037" s="59">
        <f t="shared" si="311"/>
        <v>0</v>
      </c>
      <c r="Q1037" s="59">
        <f t="shared" si="312"/>
        <v>0</v>
      </c>
      <c r="R1037" s="59">
        <v>1</v>
      </c>
      <c r="S1037" s="59">
        <v>1461</v>
      </c>
      <c r="T1037" s="59">
        <v>4</v>
      </c>
      <c r="U1037" s="59">
        <v>0</v>
      </c>
      <c r="V1037" s="59">
        <v>96</v>
      </c>
      <c r="W1037" s="59">
        <v>4</v>
      </c>
      <c r="X1037" s="59">
        <v>1</v>
      </c>
      <c r="Y1037" s="59">
        <v>9</v>
      </c>
      <c r="Z1037" s="59">
        <f t="shared" si="313"/>
        <v>0</v>
      </c>
      <c r="AA1037" s="59">
        <f>IF('Updated Dummy'!Y1037=2,1,0)</f>
        <v>0</v>
      </c>
      <c r="AB1037" s="59">
        <f t="shared" si="314"/>
        <v>0</v>
      </c>
      <c r="AC1037" s="59">
        <f t="shared" si="315"/>
        <v>0</v>
      </c>
      <c r="AD1037" s="59">
        <f t="shared" si="316"/>
        <v>0</v>
      </c>
      <c r="AE1037" s="59">
        <f t="shared" si="317"/>
        <v>0</v>
      </c>
      <c r="AF1037" s="59">
        <f t="shared" si="318"/>
        <v>0</v>
      </c>
      <c r="AG1037" s="59">
        <f t="shared" si="319"/>
        <v>0</v>
      </c>
      <c r="AH1037" s="59">
        <v>2</v>
      </c>
      <c r="AI1037" s="59">
        <v>1</v>
      </c>
      <c r="AJ1037" s="59">
        <f t="shared" si="320"/>
        <v>1</v>
      </c>
      <c r="AK1037" s="59">
        <f t="shared" si="321"/>
        <v>0</v>
      </c>
      <c r="AL1037" s="59">
        <v>2109</v>
      </c>
      <c r="AM1037" s="59">
        <v>24609</v>
      </c>
      <c r="AN1037" s="59">
        <v>9</v>
      </c>
      <c r="AO1037" s="59">
        <v>0</v>
      </c>
      <c r="AP1037" s="59">
        <v>18</v>
      </c>
      <c r="AQ1037" s="59">
        <v>3</v>
      </c>
      <c r="AR1037" s="59">
        <v>4</v>
      </c>
      <c r="AS1037" s="59">
        <v>80</v>
      </c>
      <c r="AT1037" s="59">
        <v>0</v>
      </c>
      <c r="AU1037" s="59">
        <v>8</v>
      </c>
      <c r="AV1037" s="59">
        <v>3</v>
      </c>
      <c r="AW1037" s="59">
        <v>3</v>
      </c>
      <c r="AX1037" s="59">
        <v>3</v>
      </c>
      <c r="AY1037" s="59">
        <v>2</v>
      </c>
      <c r="AZ1037" s="59">
        <v>0</v>
      </c>
      <c r="BA1037" s="59">
        <v>2</v>
      </c>
      <c r="BB1037" s="57">
        <f t="shared" si="322"/>
        <v>2109</v>
      </c>
    </row>
    <row r="1038" spans="1:54" x14ac:dyDescent="0.25">
      <c r="A1038" s="58">
        <v>31</v>
      </c>
      <c r="B1038" s="59">
        <v>1</v>
      </c>
      <c r="C1038" s="59">
        <v>2</v>
      </c>
      <c r="D1038" s="59">
        <f t="shared" si="304"/>
        <v>0</v>
      </c>
      <c r="E1038" s="59">
        <f t="shared" si="305"/>
        <v>1</v>
      </c>
      <c r="F1038" s="59">
        <v>523</v>
      </c>
      <c r="G1038" s="59">
        <v>2</v>
      </c>
      <c r="H1038" s="59">
        <f t="shared" si="306"/>
        <v>0</v>
      </c>
      <c r="I1038" s="59">
        <f t="shared" si="307"/>
        <v>1</v>
      </c>
      <c r="J1038" s="59">
        <v>2</v>
      </c>
      <c r="K1038" s="59">
        <v>3</v>
      </c>
      <c r="L1038" s="59">
        <v>1</v>
      </c>
      <c r="M1038" s="59">
        <f t="shared" si="308"/>
        <v>1</v>
      </c>
      <c r="N1038" s="59">
        <f t="shared" si="309"/>
        <v>0</v>
      </c>
      <c r="O1038" s="59">
        <f t="shared" si="310"/>
        <v>0</v>
      </c>
      <c r="P1038" s="59">
        <f t="shared" si="311"/>
        <v>0</v>
      </c>
      <c r="Q1038" s="59">
        <f t="shared" si="312"/>
        <v>0</v>
      </c>
      <c r="R1038" s="59">
        <v>1</v>
      </c>
      <c r="S1038" s="59">
        <v>1464</v>
      </c>
      <c r="T1038" s="59">
        <v>2</v>
      </c>
      <c r="U1038" s="59">
        <v>1</v>
      </c>
      <c r="V1038" s="59">
        <v>94</v>
      </c>
      <c r="W1038" s="59">
        <v>3</v>
      </c>
      <c r="X1038" s="59">
        <v>1</v>
      </c>
      <c r="Y1038" s="59">
        <v>3</v>
      </c>
      <c r="Z1038" s="59">
        <f t="shared" si="313"/>
        <v>0</v>
      </c>
      <c r="AA1038" s="59">
        <f>IF('Updated Dummy'!Y1038=2,1,0)</f>
        <v>0</v>
      </c>
      <c r="AB1038" s="59">
        <f t="shared" si="314"/>
        <v>1</v>
      </c>
      <c r="AC1038" s="59">
        <f t="shared" si="315"/>
        <v>0</v>
      </c>
      <c r="AD1038" s="59">
        <f t="shared" si="316"/>
        <v>0</v>
      </c>
      <c r="AE1038" s="59">
        <f t="shared" si="317"/>
        <v>0</v>
      </c>
      <c r="AF1038" s="59">
        <f t="shared" si="318"/>
        <v>0</v>
      </c>
      <c r="AG1038" s="59">
        <f t="shared" si="319"/>
        <v>0</v>
      </c>
      <c r="AH1038" s="59">
        <v>4</v>
      </c>
      <c r="AI1038" s="59">
        <v>2</v>
      </c>
      <c r="AJ1038" s="59">
        <f t="shared" si="320"/>
        <v>0</v>
      </c>
      <c r="AK1038" s="59">
        <f t="shared" si="321"/>
        <v>1</v>
      </c>
      <c r="AL1038" s="59">
        <v>3722</v>
      </c>
      <c r="AM1038" s="59">
        <v>21081</v>
      </c>
      <c r="AN1038" s="59">
        <v>6</v>
      </c>
      <c r="AO1038" s="59">
        <v>1</v>
      </c>
      <c r="AP1038" s="59">
        <v>13</v>
      </c>
      <c r="AQ1038" s="59">
        <v>3</v>
      </c>
      <c r="AR1038" s="59">
        <v>3</v>
      </c>
      <c r="AS1038" s="59">
        <v>80</v>
      </c>
      <c r="AT1038" s="59">
        <v>1</v>
      </c>
      <c r="AU1038" s="59">
        <v>7</v>
      </c>
      <c r="AV1038" s="59">
        <v>2</v>
      </c>
      <c r="AW1038" s="59">
        <v>1</v>
      </c>
      <c r="AX1038" s="59">
        <v>2</v>
      </c>
      <c r="AY1038" s="59">
        <v>2</v>
      </c>
      <c r="AZ1038" s="59">
        <v>2</v>
      </c>
      <c r="BA1038" s="59">
        <v>2</v>
      </c>
      <c r="BB1038" s="57">
        <f t="shared" si="322"/>
        <v>3722</v>
      </c>
    </row>
    <row r="1039" spans="1:54" x14ac:dyDescent="0.25">
      <c r="A1039" s="58">
        <v>45</v>
      </c>
      <c r="B1039" s="59">
        <v>0</v>
      </c>
      <c r="C1039" s="59">
        <v>1</v>
      </c>
      <c r="D1039" s="59">
        <f t="shared" si="304"/>
        <v>1</v>
      </c>
      <c r="E1039" s="59">
        <f t="shared" si="305"/>
        <v>0</v>
      </c>
      <c r="F1039" s="59">
        <v>1448</v>
      </c>
      <c r="G1039" s="59">
        <v>2</v>
      </c>
      <c r="H1039" s="59">
        <f t="shared" si="306"/>
        <v>0</v>
      </c>
      <c r="I1039" s="59">
        <f t="shared" si="307"/>
        <v>1</v>
      </c>
      <c r="J1039" s="59">
        <v>29</v>
      </c>
      <c r="K1039" s="59">
        <v>3</v>
      </c>
      <c r="L1039" s="59">
        <v>5</v>
      </c>
      <c r="M1039" s="59">
        <f t="shared" si="308"/>
        <v>0</v>
      </c>
      <c r="N1039" s="59">
        <f t="shared" si="309"/>
        <v>0</v>
      </c>
      <c r="O1039" s="59">
        <f t="shared" si="310"/>
        <v>0</v>
      </c>
      <c r="P1039" s="59">
        <f t="shared" si="311"/>
        <v>0</v>
      </c>
      <c r="Q1039" s="59">
        <f t="shared" si="312"/>
        <v>1</v>
      </c>
      <c r="R1039" s="59">
        <v>1</v>
      </c>
      <c r="S1039" s="59">
        <v>1465</v>
      </c>
      <c r="T1039" s="59">
        <v>2</v>
      </c>
      <c r="U1039" s="59">
        <v>1</v>
      </c>
      <c r="V1039" s="59">
        <v>55</v>
      </c>
      <c r="W1039" s="59">
        <v>3</v>
      </c>
      <c r="X1039" s="59">
        <v>3</v>
      </c>
      <c r="Y1039" s="59">
        <v>4</v>
      </c>
      <c r="Z1039" s="59">
        <f t="shared" si="313"/>
        <v>0</v>
      </c>
      <c r="AA1039" s="59">
        <f>IF('Updated Dummy'!Y1039=2,1,0)</f>
        <v>0</v>
      </c>
      <c r="AB1039" s="59">
        <f t="shared" si="314"/>
        <v>0</v>
      </c>
      <c r="AC1039" s="59">
        <f t="shared" si="315"/>
        <v>1</v>
      </c>
      <c r="AD1039" s="59">
        <f t="shared" si="316"/>
        <v>0</v>
      </c>
      <c r="AE1039" s="59">
        <f t="shared" si="317"/>
        <v>0</v>
      </c>
      <c r="AF1039" s="59">
        <f t="shared" si="318"/>
        <v>0</v>
      </c>
      <c r="AG1039" s="59">
        <f t="shared" si="319"/>
        <v>0</v>
      </c>
      <c r="AH1039" s="59">
        <v>4</v>
      </c>
      <c r="AI1039" s="59">
        <v>2</v>
      </c>
      <c r="AJ1039" s="59">
        <f t="shared" si="320"/>
        <v>0</v>
      </c>
      <c r="AK1039" s="59">
        <f t="shared" si="321"/>
        <v>1</v>
      </c>
      <c r="AL1039" s="59">
        <v>9380</v>
      </c>
      <c r="AM1039" s="59">
        <v>14720</v>
      </c>
      <c r="AN1039" s="59">
        <v>4</v>
      </c>
      <c r="AO1039" s="59">
        <v>1</v>
      </c>
      <c r="AP1039" s="59">
        <v>18</v>
      </c>
      <c r="AQ1039" s="59">
        <v>3</v>
      </c>
      <c r="AR1039" s="59">
        <v>4</v>
      </c>
      <c r="AS1039" s="59">
        <v>80</v>
      </c>
      <c r="AT1039" s="59">
        <v>2</v>
      </c>
      <c r="AU1039" s="59">
        <v>10</v>
      </c>
      <c r="AV1039" s="59">
        <v>4</v>
      </c>
      <c r="AW1039" s="59">
        <v>4</v>
      </c>
      <c r="AX1039" s="59">
        <v>3</v>
      </c>
      <c r="AY1039" s="59">
        <v>1</v>
      </c>
      <c r="AZ1039" s="59">
        <v>1</v>
      </c>
      <c r="BA1039" s="59">
        <v>2</v>
      </c>
      <c r="BB1039" s="57">
        <f t="shared" si="322"/>
        <v>28140</v>
      </c>
    </row>
    <row r="1040" spans="1:54" x14ac:dyDescent="0.25">
      <c r="A1040" s="58">
        <v>48</v>
      </c>
      <c r="B1040" s="59">
        <v>0</v>
      </c>
      <c r="C1040" s="59">
        <v>1</v>
      </c>
      <c r="D1040" s="59">
        <f t="shared" si="304"/>
        <v>1</v>
      </c>
      <c r="E1040" s="59">
        <f t="shared" si="305"/>
        <v>0</v>
      </c>
      <c r="F1040" s="59">
        <v>1221</v>
      </c>
      <c r="G1040" s="59">
        <v>1</v>
      </c>
      <c r="H1040" s="59">
        <f t="shared" si="306"/>
        <v>1</v>
      </c>
      <c r="I1040" s="59">
        <f t="shared" si="307"/>
        <v>0</v>
      </c>
      <c r="J1040" s="59">
        <v>7</v>
      </c>
      <c r="K1040" s="59">
        <v>3</v>
      </c>
      <c r="L1040" s="59">
        <v>4</v>
      </c>
      <c r="M1040" s="59">
        <f t="shared" si="308"/>
        <v>0</v>
      </c>
      <c r="N1040" s="59">
        <f t="shared" si="309"/>
        <v>0</v>
      </c>
      <c r="O1040" s="59">
        <f t="shared" si="310"/>
        <v>0</v>
      </c>
      <c r="P1040" s="59">
        <f t="shared" si="311"/>
        <v>1</v>
      </c>
      <c r="Q1040" s="59">
        <f t="shared" si="312"/>
        <v>0</v>
      </c>
      <c r="R1040" s="59">
        <v>1</v>
      </c>
      <c r="S1040" s="59">
        <v>1466</v>
      </c>
      <c r="T1040" s="59">
        <v>3</v>
      </c>
      <c r="U1040" s="59">
        <v>1</v>
      </c>
      <c r="V1040" s="59">
        <v>96</v>
      </c>
      <c r="W1040" s="59">
        <v>3</v>
      </c>
      <c r="X1040" s="59">
        <v>2</v>
      </c>
      <c r="Y1040" s="59">
        <v>1</v>
      </c>
      <c r="Z1040" s="59">
        <f t="shared" si="313"/>
        <v>1</v>
      </c>
      <c r="AA1040" s="59">
        <f>IF('Updated Dummy'!Y1040=2,1,0)</f>
        <v>0</v>
      </c>
      <c r="AB1040" s="59">
        <f t="shared" si="314"/>
        <v>0</v>
      </c>
      <c r="AC1040" s="59">
        <f t="shared" si="315"/>
        <v>0</v>
      </c>
      <c r="AD1040" s="59">
        <f t="shared" si="316"/>
        <v>0</v>
      </c>
      <c r="AE1040" s="59">
        <f t="shared" si="317"/>
        <v>0</v>
      </c>
      <c r="AF1040" s="59">
        <f t="shared" si="318"/>
        <v>0</v>
      </c>
      <c r="AG1040" s="59">
        <f t="shared" si="319"/>
        <v>0</v>
      </c>
      <c r="AH1040" s="59">
        <v>1</v>
      </c>
      <c r="AI1040" s="59">
        <v>3</v>
      </c>
      <c r="AJ1040" s="59">
        <f t="shared" si="320"/>
        <v>0</v>
      </c>
      <c r="AK1040" s="59">
        <f t="shared" si="321"/>
        <v>0</v>
      </c>
      <c r="AL1040" s="59">
        <v>5486</v>
      </c>
      <c r="AM1040" s="59">
        <v>24795</v>
      </c>
      <c r="AN1040" s="59">
        <v>4</v>
      </c>
      <c r="AO1040" s="59">
        <v>0</v>
      </c>
      <c r="AP1040" s="59">
        <v>11</v>
      </c>
      <c r="AQ1040" s="59">
        <v>3</v>
      </c>
      <c r="AR1040" s="59">
        <v>1</v>
      </c>
      <c r="AS1040" s="59">
        <v>80</v>
      </c>
      <c r="AT1040" s="59">
        <v>3</v>
      </c>
      <c r="AU1040" s="59">
        <v>15</v>
      </c>
      <c r="AV1040" s="59">
        <v>3</v>
      </c>
      <c r="AW1040" s="59">
        <v>3</v>
      </c>
      <c r="AX1040" s="59">
        <v>2</v>
      </c>
      <c r="AY1040" s="59">
        <v>2</v>
      </c>
      <c r="AZ1040" s="59">
        <v>2</v>
      </c>
      <c r="BA1040" s="59">
        <v>2</v>
      </c>
      <c r="BB1040" s="57">
        <f t="shared" si="322"/>
        <v>10972</v>
      </c>
    </row>
    <row r="1041" spans="1:54" x14ac:dyDescent="0.25">
      <c r="A1041" s="58">
        <v>34</v>
      </c>
      <c r="B1041" s="59">
        <v>1</v>
      </c>
      <c r="C1041" s="59">
        <v>1</v>
      </c>
      <c r="D1041" s="59">
        <f t="shared" si="304"/>
        <v>1</v>
      </c>
      <c r="E1041" s="59">
        <f t="shared" si="305"/>
        <v>0</v>
      </c>
      <c r="F1041" s="59">
        <v>1107</v>
      </c>
      <c r="G1041" s="59">
        <v>3</v>
      </c>
      <c r="H1041" s="59">
        <f t="shared" si="306"/>
        <v>0</v>
      </c>
      <c r="I1041" s="59">
        <f t="shared" si="307"/>
        <v>0</v>
      </c>
      <c r="J1041" s="59">
        <v>9</v>
      </c>
      <c r="K1041" s="59">
        <v>4</v>
      </c>
      <c r="L1041" s="59">
        <v>5</v>
      </c>
      <c r="M1041" s="59">
        <f t="shared" si="308"/>
        <v>0</v>
      </c>
      <c r="N1041" s="59">
        <f t="shared" si="309"/>
        <v>0</v>
      </c>
      <c r="O1041" s="59">
        <f t="shared" si="310"/>
        <v>0</v>
      </c>
      <c r="P1041" s="59">
        <f t="shared" si="311"/>
        <v>0</v>
      </c>
      <c r="Q1041" s="59">
        <f t="shared" si="312"/>
        <v>1</v>
      </c>
      <c r="R1041" s="59">
        <v>1</v>
      </c>
      <c r="S1041" s="59">
        <v>1467</v>
      </c>
      <c r="T1041" s="59">
        <v>1</v>
      </c>
      <c r="U1041" s="59">
        <v>0</v>
      </c>
      <c r="V1041" s="59">
        <v>52</v>
      </c>
      <c r="W1041" s="59">
        <v>3</v>
      </c>
      <c r="X1041" s="59">
        <v>1</v>
      </c>
      <c r="Y1041" s="59">
        <v>9</v>
      </c>
      <c r="Z1041" s="59">
        <f t="shared" si="313"/>
        <v>0</v>
      </c>
      <c r="AA1041" s="59">
        <f>IF('Updated Dummy'!Y1041=2,1,0)</f>
        <v>0</v>
      </c>
      <c r="AB1041" s="59">
        <f t="shared" si="314"/>
        <v>0</v>
      </c>
      <c r="AC1041" s="59">
        <f t="shared" si="315"/>
        <v>0</v>
      </c>
      <c r="AD1041" s="59">
        <f t="shared" si="316"/>
        <v>0</v>
      </c>
      <c r="AE1041" s="59">
        <f t="shared" si="317"/>
        <v>0</v>
      </c>
      <c r="AF1041" s="59">
        <f t="shared" si="318"/>
        <v>0</v>
      </c>
      <c r="AG1041" s="59">
        <f t="shared" si="319"/>
        <v>0</v>
      </c>
      <c r="AH1041" s="59">
        <v>3</v>
      </c>
      <c r="AI1041" s="59">
        <v>2</v>
      </c>
      <c r="AJ1041" s="59">
        <f t="shared" si="320"/>
        <v>0</v>
      </c>
      <c r="AK1041" s="59">
        <f t="shared" si="321"/>
        <v>1</v>
      </c>
      <c r="AL1041" s="59">
        <v>2742</v>
      </c>
      <c r="AM1041" s="59">
        <v>3072</v>
      </c>
      <c r="AN1041" s="59">
        <v>1</v>
      </c>
      <c r="AO1041" s="59">
        <v>0</v>
      </c>
      <c r="AP1041" s="59">
        <v>15</v>
      </c>
      <c r="AQ1041" s="59">
        <v>3</v>
      </c>
      <c r="AR1041" s="59">
        <v>4</v>
      </c>
      <c r="AS1041" s="59">
        <v>80</v>
      </c>
      <c r="AT1041" s="59">
        <v>0</v>
      </c>
      <c r="AU1041" s="59">
        <v>2</v>
      </c>
      <c r="AV1041" s="59">
        <v>0</v>
      </c>
      <c r="AW1041" s="59">
        <v>3</v>
      </c>
      <c r="AX1041" s="59">
        <v>2</v>
      </c>
      <c r="AY1041" s="59">
        <v>2</v>
      </c>
      <c r="AZ1041" s="59">
        <v>2</v>
      </c>
      <c r="BA1041" s="59">
        <v>2</v>
      </c>
      <c r="BB1041" s="57">
        <f t="shared" si="322"/>
        <v>2742</v>
      </c>
    </row>
    <row r="1042" spans="1:54" x14ac:dyDescent="0.25">
      <c r="A1042" s="58">
        <v>40</v>
      </c>
      <c r="B1042" s="59">
        <v>0</v>
      </c>
      <c r="C1042" s="59">
        <v>3</v>
      </c>
      <c r="D1042" s="59">
        <f t="shared" si="304"/>
        <v>0</v>
      </c>
      <c r="E1042" s="59">
        <f t="shared" si="305"/>
        <v>0</v>
      </c>
      <c r="F1042" s="59">
        <v>218</v>
      </c>
      <c r="G1042" s="59">
        <v>2</v>
      </c>
      <c r="H1042" s="59">
        <f t="shared" si="306"/>
        <v>0</v>
      </c>
      <c r="I1042" s="59">
        <f t="shared" si="307"/>
        <v>1</v>
      </c>
      <c r="J1042" s="59">
        <v>8</v>
      </c>
      <c r="K1042" s="59">
        <v>1</v>
      </c>
      <c r="L1042" s="59">
        <v>3</v>
      </c>
      <c r="M1042" s="59">
        <f t="shared" si="308"/>
        <v>0</v>
      </c>
      <c r="N1042" s="59">
        <f t="shared" si="309"/>
        <v>0</v>
      </c>
      <c r="O1042" s="59">
        <f t="shared" si="310"/>
        <v>1</v>
      </c>
      <c r="P1042" s="59">
        <f t="shared" si="311"/>
        <v>0</v>
      </c>
      <c r="Q1042" s="59">
        <f t="shared" si="312"/>
        <v>0</v>
      </c>
      <c r="R1042" s="59">
        <v>1</v>
      </c>
      <c r="S1042" s="59">
        <v>1468</v>
      </c>
      <c r="T1042" s="59">
        <v>4</v>
      </c>
      <c r="U1042" s="59">
        <v>1</v>
      </c>
      <c r="V1042" s="59">
        <v>55</v>
      </c>
      <c r="W1042" s="59">
        <v>2</v>
      </c>
      <c r="X1042" s="59">
        <v>3</v>
      </c>
      <c r="Y1042" s="59">
        <v>8</v>
      </c>
      <c r="Z1042" s="59">
        <f t="shared" si="313"/>
        <v>0</v>
      </c>
      <c r="AA1042" s="59">
        <f>IF('Updated Dummy'!Y1042=2,1,0)</f>
        <v>0</v>
      </c>
      <c r="AB1042" s="59">
        <f t="shared" si="314"/>
        <v>0</v>
      </c>
      <c r="AC1042" s="59">
        <f t="shared" si="315"/>
        <v>0</v>
      </c>
      <c r="AD1042" s="59">
        <f t="shared" si="316"/>
        <v>0</v>
      </c>
      <c r="AE1042" s="59">
        <f t="shared" si="317"/>
        <v>0</v>
      </c>
      <c r="AF1042" s="59">
        <f t="shared" si="318"/>
        <v>0</v>
      </c>
      <c r="AG1042" s="59">
        <f t="shared" si="319"/>
        <v>1</v>
      </c>
      <c r="AH1042" s="59">
        <v>2</v>
      </c>
      <c r="AI1042" s="59">
        <v>3</v>
      </c>
      <c r="AJ1042" s="59">
        <f t="shared" si="320"/>
        <v>0</v>
      </c>
      <c r="AK1042" s="59">
        <f t="shared" si="321"/>
        <v>0</v>
      </c>
      <c r="AL1042" s="59">
        <v>13757</v>
      </c>
      <c r="AM1042" s="59">
        <v>25178</v>
      </c>
      <c r="AN1042" s="59">
        <v>2</v>
      </c>
      <c r="AO1042" s="59">
        <v>0</v>
      </c>
      <c r="AP1042" s="59">
        <v>11</v>
      </c>
      <c r="AQ1042" s="59">
        <v>3</v>
      </c>
      <c r="AR1042" s="59">
        <v>3</v>
      </c>
      <c r="AS1042" s="59">
        <v>80</v>
      </c>
      <c r="AT1042" s="59">
        <v>1</v>
      </c>
      <c r="AU1042" s="59">
        <v>16</v>
      </c>
      <c r="AV1042" s="59">
        <v>5</v>
      </c>
      <c r="AW1042" s="59">
        <v>3</v>
      </c>
      <c r="AX1042" s="59">
        <v>9</v>
      </c>
      <c r="AY1042" s="59">
        <v>8</v>
      </c>
      <c r="AZ1042" s="59">
        <v>4</v>
      </c>
      <c r="BA1042" s="59">
        <v>8</v>
      </c>
      <c r="BB1042" s="57">
        <f t="shared" si="322"/>
        <v>41271</v>
      </c>
    </row>
    <row r="1043" spans="1:54" x14ac:dyDescent="0.25">
      <c r="A1043" s="58">
        <v>28</v>
      </c>
      <c r="B1043" s="59">
        <v>0</v>
      </c>
      <c r="C1043" s="59">
        <v>1</v>
      </c>
      <c r="D1043" s="59">
        <f t="shared" si="304"/>
        <v>1</v>
      </c>
      <c r="E1043" s="59">
        <f t="shared" si="305"/>
        <v>0</v>
      </c>
      <c r="F1043" s="59">
        <v>866</v>
      </c>
      <c r="G1043" s="59">
        <v>1</v>
      </c>
      <c r="H1043" s="59">
        <f t="shared" si="306"/>
        <v>1</v>
      </c>
      <c r="I1043" s="59">
        <f t="shared" si="307"/>
        <v>0</v>
      </c>
      <c r="J1043" s="59">
        <v>5</v>
      </c>
      <c r="K1043" s="59">
        <v>3</v>
      </c>
      <c r="L1043" s="59">
        <v>3</v>
      </c>
      <c r="M1043" s="59">
        <f t="shared" si="308"/>
        <v>0</v>
      </c>
      <c r="N1043" s="59">
        <f t="shared" si="309"/>
        <v>0</v>
      </c>
      <c r="O1043" s="59">
        <f t="shared" si="310"/>
        <v>1</v>
      </c>
      <c r="P1043" s="59">
        <f t="shared" si="311"/>
        <v>0</v>
      </c>
      <c r="Q1043" s="59">
        <f t="shared" si="312"/>
        <v>0</v>
      </c>
      <c r="R1043" s="59">
        <v>1</v>
      </c>
      <c r="S1043" s="59">
        <v>1469</v>
      </c>
      <c r="T1043" s="59">
        <v>4</v>
      </c>
      <c r="U1043" s="59">
        <v>1</v>
      </c>
      <c r="V1043" s="59">
        <v>84</v>
      </c>
      <c r="W1043" s="59">
        <v>3</v>
      </c>
      <c r="X1043" s="59">
        <v>2</v>
      </c>
      <c r="Y1043" s="59">
        <v>1</v>
      </c>
      <c r="Z1043" s="59">
        <f t="shared" si="313"/>
        <v>1</v>
      </c>
      <c r="AA1043" s="59">
        <f>IF('Updated Dummy'!Y1043=2,1,0)</f>
        <v>0</v>
      </c>
      <c r="AB1043" s="59">
        <f t="shared" si="314"/>
        <v>0</v>
      </c>
      <c r="AC1043" s="59">
        <f t="shared" si="315"/>
        <v>0</v>
      </c>
      <c r="AD1043" s="59">
        <f t="shared" si="316"/>
        <v>0</v>
      </c>
      <c r="AE1043" s="59">
        <f t="shared" si="317"/>
        <v>0</v>
      </c>
      <c r="AF1043" s="59">
        <f t="shared" si="318"/>
        <v>0</v>
      </c>
      <c r="AG1043" s="59">
        <f t="shared" si="319"/>
        <v>0</v>
      </c>
      <c r="AH1043" s="59">
        <v>1</v>
      </c>
      <c r="AI1043" s="59">
        <v>1</v>
      </c>
      <c r="AJ1043" s="59">
        <f t="shared" si="320"/>
        <v>1</v>
      </c>
      <c r="AK1043" s="59">
        <f t="shared" si="321"/>
        <v>0</v>
      </c>
      <c r="AL1043" s="59">
        <v>8463</v>
      </c>
      <c r="AM1043" s="59">
        <v>23490</v>
      </c>
      <c r="AN1043" s="59">
        <v>0</v>
      </c>
      <c r="AO1043" s="59">
        <v>0</v>
      </c>
      <c r="AP1043" s="59">
        <v>18</v>
      </c>
      <c r="AQ1043" s="59">
        <v>3</v>
      </c>
      <c r="AR1043" s="59">
        <v>4</v>
      </c>
      <c r="AS1043" s="59">
        <v>80</v>
      </c>
      <c r="AT1043" s="59">
        <v>0</v>
      </c>
      <c r="AU1043" s="59">
        <v>6</v>
      </c>
      <c r="AV1043" s="59">
        <v>4</v>
      </c>
      <c r="AW1043" s="59">
        <v>3</v>
      </c>
      <c r="AX1043" s="59">
        <v>5</v>
      </c>
      <c r="AY1043" s="59">
        <v>4</v>
      </c>
      <c r="AZ1043" s="59">
        <v>1</v>
      </c>
      <c r="BA1043" s="59">
        <v>3</v>
      </c>
      <c r="BB1043" s="57">
        <f t="shared" si="322"/>
        <v>16926</v>
      </c>
    </row>
    <row r="1044" spans="1:54" x14ac:dyDescent="0.25">
      <c r="A1044" s="58">
        <v>44</v>
      </c>
      <c r="B1044" s="59">
        <v>0</v>
      </c>
      <c r="C1044" s="59">
        <v>3</v>
      </c>
      <c r="D1044" s="59">
        <f t="shared" si="304"/>
        <v>0</v>
      </c>
      <c r="E1044" s="59">
        <f t="shared" si="305"/>
        <v>0</v>
      </c>
      <c r="F1044" s="59">
        <v>981</v>
      </c>
      <c r="G1044" s="59">
        <v>2</v>
      </c>
      <c r="H1044" s="59">
        <f t="shared" si="306"/>
        <v>0</v>
      </c>
      <c r="I1044" s="59">
        <f t="shared" si="307"/>
        <v>1</v>
      </c>
      <c r="J1044" s="59">
        <v>5</v>
      </c>
      <c r="K1044" s="59">
        <v>3</v>
      </c>
      <c r="L1044" s="59">
        <v>1</v>
      </c>
      <c r="M1044" s="59">
        <f t="shared" si="308"/>
        <v>1</v>
      </c>
      <c r="N1044" s="59">
        <f t="shared" si="309"/>
        <v>0</v>
      </c>
      <c r="O1044" s="59">
        <f t="shared" si="310"/>
        <v>0</v>
      </c>
      <c r="P1044" s="59">
        <f t="shared" si="311"/>
        <v>0</v>
      </c>
      <c r="Q1044" s="59">
        <f t="shared" si="312"/>
        <v>0</v>
      </c>
      <c r="R1044" s="59">
        <v>1</v>
      </c>
      <c r="S1044" s="59">
        <v>1471</v>
      </c>
      <c r="T1044" s="59">
        <v>3</v>
      </c>
      <c r="U1044" s="59">
        <v>1</v>
      </c>
      <c r="V1044" s="59">
        <v>90</v>
      </c>
      <c r="W1044" s="59">
        <v>2</v>
      </c>
      <c r="X1044" s="59">
        <v>1</v>
      </c>
      <c r="Y1044" s="59">
        <v>3</v>
      </c>
      <c r="Z1044" s="59">
        <f t="shared" si="313"/>
        <v>0</v>
      </c>
      <c r="AA1044" s="59">
        <f>IF('Updated Dummy'!Y1044=2,1,0)</f>
        <v>0</v>
      </c>
      <c r="AB1044" s="59">
        <f t="shared" si="314"/>
        <v>1</v>
      </c>
      <c r="AC1044" s="59">
        <f t="shared" si="315"/>
        <v>0</v>
      </c>
      <c r="AD1044" s="59">
        <f t="shared" si="316"/>
        <v>0</v>
      </c>
      <c r="AE1044" s="59">
        <f t="shared" si="317"/>
        <v>0</v>
      </c>
      <c r="AF1044" s="59">
        <f t="shared" si="318"/>
        <v>0</v>
      </c>
      <c r="AG1044" s="59">
        <f t="shared" si="319"/>
        <v>0</v>
      </c>
      <c r="AH1044" s="59">
        <v>3</v>
      </c>
      <c r="AI1044" s="59">
        <v>1</v>
      </c>
      <c r="AJ1044" s="59">
        <f t="shared" si="320"/>
        <v>1</v>
      </c>
      <c r="AK1044" s="59">
        <f t="shared" si="321"/>
        <v>0</v>
      </c>
      <c r="AL1044" s="59">
        <v>3162</v>
      </c>
      <c r="AM1044" s="59">
        <v>7973</v>
      </c>
      <c r="AN1044" s="59">
        <v>3</v>
      </c>
      <c r="AO1044" s="59">
        <v>0</v>
      </c>
      <c r="AP1044" s="59">
        <v>14</v>
      </c>
      <c r="AQ1044" s="59">
        <v>3</v>
      </c>
      <c r="AR1044" s="59">
        <v>4</v>
      </c>
      <c r="AS1044" s="59">
        <v>80</v>
      </c>
      <c r="AT1044" s="59">
        <v>0</v>
      </c>
      <c r="AU1044" s="59">
        <v>7</v>
      </c>
      <c r="AV1044" s="59">
        <v>5</v>
      </c>
      <c r="AW1044" s="59">
        <v>3</v>
      </c>
      <c r="AX1044" s="59">
        <v>5</v>
      </c>
      <c r="AY1044" s="59">
        <v>2</v>
      </c>
      <c r="AZ1044" s="59">
        <v>0</v>
      </c>
      <c r="BA1044" s="59">
        <v>3</v>
      </c>
      <c r="BB1044" s="57">
        <f t="shared" si="322"/>
        <v>3162</v>
      </c>
    </row>
    <row r="1045" spans="1:54" x14ac:dyDescent="0.25">
      <c r="A1045" s="58">
        <v>53</v>
      </c>
      <c r="B1045" s="59">
        <v>0</v>
      </c>
      <c r="C1045" s="59">
        <v>1</v>
      </c>
      <c r="D1045" s="59">
        <f t="shared" si="304"/>
        <v>1</v>
      </c>
      <c r="E1045" s="59">
        <f t="shared" si="305"/>
        <v>0</v>
      </c>
      <c r="F1045" s="59">
        <v>447</v>
      </c>
      <c r="G1045" s="59">
        <v>2</v>
      </c>
      <c r="H1045" s="59">
        <f t="shared" si="306"/>
        <v>0</v>
      </c>
      <c r="I1045" s="59">
        <f t="shared" si="307"/>
        <v>1</v>
      </c>
      <c r="J1045" s="59">
        <v>2</v>
      </c>
      <c r="K1045" s="59">
        <v>3</v>
      </c>
      <c r="L1045" s="59">
        <v>3</v>
      </c>
      <c r="M1045" s="59">
        <f t="shared" si="308"/>
        <v>0</v>
      </c>
      <c r="N1045" s="59">
        <f t="shared" si="309"/>
        <v>0</v>
      </c>
      <c r="O1045" s="59">
        <f t="shared" si="310"/>
        <v>1</v>
      </c>
      <c r="P1045" s="59">
        <f t="shared" si="311"/>
        <v>0</v>
      </c>
      <c r="Q1045" s="59">
        <f t="shared" si="312"/>
        <v>0</v>
      </c>
      <c r="R1045" s="59">
        <v>1</v>
      </c>
      <c r="S1045" s="59">
        <v>1472</v>
      </c>
      <c r="T1045" s="59">
        <v>4</v>
      </c>
      <c r="U1045" s="59">
        <v>1</v>
      </c>
      <c r="V1045" s="59">
        <v>39</v>
      </c>
      <c r="W1045" s="59">
        <v>4</v>
      </c>
      <c r="X1045" s="59">
        <v>4</v>
      </c>
      <c r="Y1045" s="59">
        <v>8</v>
      </c>
      <c r="Z1045" s="59">
        <f t="shared" si="313"/>
        <v>0</v>
      </c>
      <c r="AA1045" s="59">
        <f>IF('Updated Dummy'!Y1045=2,1,0)</f>
        <v>0</v>
      </c>
      <c r="AB1045" s="59">
        <f t="shared" si="314"/>
        <v>0</v>
      </c>
      <c r="AC1045" s="59">
        <f t="shared" si="315"/>
        <v>0</v>
      </c>
      <c r="AD1045" s="59">
        <f t="shared" si="316"/>
        <v>0</v>
      </c>
      <c r="AE1045" s="59">
        <f t="shared" si="317"/>
        <v>0</v>
      </c>
      <c r="AF1045" s="59">
        <f t="shared" si="318"/>
        <v>0</v>
      </c>
      <c r="AG1045" s="59">
        <f t="shared" si="319"/>
        <v>1</v>
      </c>
      <c r="AH1045" s="59">
        <v>2</v>
      </c>
      <c r="AI1045" s="59">
        <v>1</v>
      </c>
      <c r="AJ1045" s="59">
        <f t="shared" si="320"/>
        <v>1</v>
      </c>
      <c r="AK1045" s="59">
        <f t="shared" si="321"/>
        <v>0</v>
      </c>
      <c r="AL1045" s="59">
        <v>16598</v>
      </c>
      <c r="AM1045" s="59">
        <v>19764</v>
      </c>
      <c r="AN1045" s="59">
        <v>4</v>
      </c>
      <c r="AO1045" s="59">
        <v>0</v>
      </c>
      <c r="AP1045" s="59">
        <v>12</v>
      </c>
      <c r="AQ1045" s="59">
        <v>3</v>
      </c>
      <c r="AR1045" s="59">
        <v>2</v>
      </c>
      <c r="AS1045" s="59">
        <v>80</v>
      </c>
      <c r="AT1045" s="59">
        <v>0</v>
      </c>
      <c r="AU1045" s="59">
        <v>35</v>
      </c>
      <c r="AV1045" s="59">
        <v>2</v>
      </c>
      <c r="AW1045" s="59">
        <v>2</v>
      </c>
      <c r="AX1045" s="59">
        <v>9</v>
      </c>
      <c r="AY1045" s="59">
        <v>8</v>
      </c>
      <c r="AZ1045" s="59">
        <v>8</v>
      </c>
      <c r="BA1045" s="59">
        <v>8</v>
      </c>
      <c r="BB1045" s="57">
        <f t="shared" si="322"/>
        <v>66392</v>
      </c>
    </row>
    <row r="1046" spans="1:54" x14ac:dyDescent="0.25">
      <c r="A1046" s="58">
        <v>49</v>
      </c>
      <c r="B1046" s="59">
        <v>0</v>
      </c>
      <c r="C1046" s="59">
        <v>1</v>
      </c>
      <c r="D1046" s="59">
        <f t="shared" si="304"/>
        <v>1</v>
      </c>
      <c r="E1046" s="59">
        <f t="shared" si="305"/>
        <v>0</v>
      </c>
      <c r="F1046" s="59">
        <v>1495</v>
      </c>
      <c r="G1046" s="59">
        <v>2</v>
      </c>
      <c r="H1046" s="59">
        <f t="shared" si="306"/>
        <v>0</v>
      </c>
      <c r="I1046" s="59">
        <f t="shared" si="307"/>
        <v>1</v>
      </c>
      <c r="J1046" s="59">
        <v>5</v>
      </c>
      <c r="K1046" s="59">
        <v>4</v>
      </c>
      <c r="L1046" s="59">
        <v>5</v>
      </c>
      <c r="M1046" s="59">
        <f t="shared" si="308"/>
        <v>0</v>
      </c>
      <c r="N1046" s="59">
        <f t="shared" si="309"/>
        <v>0</v>
      </c>
      <c r="O1046" s="59">
        <f t="shared" si="310"/>
        <v>0</v>
      </c>
      <c r="P1046" s="59">
        <f t="shared" si="311"/>
        <v>0</v>
      </c>
      <c r="Q1046" s="59">
        <f t="shared" si="312"/>
        <v>1</v>
      </c>
      <c r="R1046" s="59">
        <v>1</v>
      </c>
      <c r="S1046" s="59">
        <v>1473</v>
      </c>
      <c r="T1046" s="59">
        <v>1</v>
      </c>
      <c r="U1046" s="59">
        <v>1</v>
      </c>
      <c r="V1046" s="59">
        <v>96</v>
      </c>
      <c r="W1046" s="59">
        <v>3</v>
      </c>
      <c r="X1046" s="59">
        <v>2</v>
      </c>
      <c r="Y1046" s="59">
        <v>5</v>
      </c>
      <c r="Z1046" s="59">
        <f t="shared" si="313"/>
        <v>0</v>
      </c>
      <c r="AA1046" s="59">
        <f>IF('Updated Dummy'!Y1046=2,1,0)</f>
        <v>0</v>
      </c>
      <c r="AB1046" s="59">
        <f t="shared" si="314"/>
        <v>0</v>
      </c>
      <c r="AC1046" s="59">
        <f t="shared" si="315"/>
        <v>0</v>
      </c>
      <c r="AD1046" s="59">
        <f t="shared" si="316"/>
        <v>1</v>
      </c>
      <c r="AE1046" s="59">
        <f t="shared" si="317"/>
        <v>0</v>
      </c>
      <c r="AF1046" s="59">
        <f t="shared" si="318"/>
        <v>0</v>
      </c>
      <c r="AG1046" s="59">
        <f t="shared" si="319"/>
        <v>0</v>
      </c>
      <c r="AH1046" s="59">
        <v>3</v>
      </c>
      <c r="AI1046" s="59">
        <v>2</v>
      </c>
      <c r="AJ1046" s="59">
        <f t="shared" si="320"/>
        <v>0</v>
      </c>
      <c r="AK1046" s="59">
        <f t="shared" si="321"/>
        <v>1</v>
      </c>
      <c r="AL1046" s="59">
        <v>6651</v>
      </c>
      <c r="AM1046" s="59">
        <v>21534</v>
      </c>
      <c r="AN1046" s="59">
        <v>2</v>
      </c>
      <c r="AO1046" s="59">
        <v>0</v>
      </c>
      <c r="AP1046" s="59">
        <v>14</v>
      </c>
      <c r="AQ1046" s="59">
        <v>3</v>
      </c>
      <c r="AR1046" s="59">
        <v>2</v>
      </c>
      <c r="AS1046" s="59">
        <v>80</v>
      </c>
      <c r="AT1046" s="59">
        <v>1</v>
      </c>
      <c r="AU1046" s="59">
        <v>20</v>
      </c>
      <c r="AV1046" s="59">
        <v>0</v>
      </c>
      <c r="AW1046" s="59">
        <v>2</v>
      </c>
      <c r="AX1046" s="59">
        <v>3</v>
      </c>
      <c r="AY1046" s="59">
        <v>2</v>
      </c>
      <c r="AZ1046" s="59">
        <v>1</v>
      </c>
      <c r="BA1046" s="59">
        <v>2</v>
      </c>
      <c r="BB1046" s="57">
        <f t="shared" si="322"/>
        <v>13302</v>
      </c>
    </row>
    <row r="1047" spans="1:54" x14ac:dyDescent="0.25">
      <c r="A1047" s="58">
        <v>40</v>
      </c>
      <c r="B1047" s="59">
        <v>0</v>
      </c>
      <c r="C1047" s="59">
        <v>1</v>
      </c>
      <c r="D1047" s="59">
        <f t="shared" si="304"/>
        <v>1</v>
      </c>
      <c r="E1047" s="59">
        <f t="shared" si="305"/>
        <v>0</v>
      </c>
      <c r="F1047" s="59">
        <v>896</v>
      </c>
      <c r="G1047" s="59">
        <v>2</v>
      </c>
      <c r="H1047" s="59">
        <f t="shared" si="306"/>
        <v>0</v>
      </c>
      <c r="I1047" s="59">
        <f t="shared" si="307"/>
        <v>1</v>
      </c>
      <c r="J1047" s="59">
        <v>2</v>
      </c>
      <c r="K1047" s="59">
        <v>3</v>
      </c>
      <c r="L1047" s="59">
        <v>3</v>
      </c>
      <c r="M1047" s="59">
        <f t="shared" si="308"/>
        <v>0</v>
      </c>
      <c r="N1047" s="59">
        <f t="shared" si="309"/>
        <v>0</v>
      </c>
      <c r="O1047" s="59">
        <f t="shared" si="310"/>
        <v>1</v>
      </c>
      <c r="P1047" s="59">
        <f t="shared" si="311"/>
        <v>0</v>
      </c>
      <c r="Q1047" s="59">
        <f t="shared" si="312"/>
        <v>0</v>
      </c>
      <c r="R1047" s="59">
        <v>1</v>
      </c>
      <c r="S1047" s="59">
        <v>1474</v>
      </c>
      <c r="T1047" s="59">
        <v>3</v>
      </c>
      <c r="U1047" s="59">
        <v>1</v>
      </c>
      <c r="V1047" s="59">
        <v>68</v>
      </c>
      <c r="W1047" s="59">
        <v>3</v>
      </c>
      <c r="X1047" s="59">
        <v>1</v>
      </c>
      <c r="Y1047" s="59">
        <v>2</v>
      </c>
      <c r="Z1047" s="59">
        <f t="shared" si="313"/>
        <v>0</v>
      </c>
      <c r="AA1047" s="59">
        <f>IF('Updated Dummy'!Y1047=2,1,0)</f>
        <v>1</v>
      </c>
      <c r="AB1047" s="59">
        <f t="shared" si="314"/>
        <v>0</v>
      </c>
      <c r="AC1047" s="59">
        <f t="shared" si="315"/>
        <v>0</v>
      </c>
      <c r="AD1047" s="59">
        <f t="shared" si="316"/>
        <v>0</v>
      </c>
      <c r="AE1047" s="59">
        <f t="shared" si="317"/>
        <v>0</v>
      </c>
      <c r="AF1047" s="59">
        <f t="shared" si="318"/>
        <v>0</v>
      </c>
      <c r="AG1047" s="59">
        <f t="shared" si="319"/>
        <v>0</v>
      </c>
      <c r="AH1047" s="59">
        <v>3</v>
      </c>
      <c r="AI1047" s="59">
        <v>3</v>
      </c>
      <c r="AJ1047" s="59">
        <f t="shared" si="320"/>
        <v>0</v>
      </c>
      <c r="AK1047" s="59">
        <f t="shared" si="321"/>
        <v>0</v>
      </c>
      <c r="AL1047" s="59">
        <v>2345</v>
      </c>
      <c r="AM1047" s="59">
        <v>8045</v>
      </c>
      <c r="AN1047" s="59">
        <v>2</v>
      </c>
      <c r="AO1047" s="59">
        <v>0</v>
      </c>
      <c r="AP1047" s="59">
        <v>14</v>
      </c>
      <c r="AQ1047" s="59">
        <v>3</v>
      </c>
      <c r="AR1047" s="59">
        <v>3</v>
      </c>
      <c r="AS1047" s="59">
        <v>80</v>
      </c>
      <c r="AT1047" s="59">
        <v>1</v>
      </c>
      <c r="AU1047" s="59">
        <v>8</v>
      </c>
      <c r="AV1047" s="59">
        <v>3</v>
      </c>
      <c r="AW1047" s="59">
        <v>4</v>
      </c>
      <c r="AX1047" s="59">
        <v>3</v>
      </c>
      <c r="AY1047" s="59">
        <v>1</v>
      </c>
      <c r="AZ1047" s="59">
        <v>1</v>
      </c>
      <c r="BA1047" s="59">
        <v>2</v>
      </c>
      <c r="BB1047" s="57">
        <f t="shared" si="322"/>
        <v>2345</v>
      </c>
    </row>
    <row r="1048" spans="1:54" x14ac:dyDescent="0.25">
      <c r="A1048" s="58">
        <v>44</v>
      </c>
      <c r="B1048" s="59">
        <v>0</v>
      </c>
      <c r="C1048" s="59">
        <v>1</v>
      </c>
      <c r="D1048" s="59">
        <f t="shared" si="304"/>
        <v>1</v>
      </c>
      <c r="E1048" s="59">
        <f t="shared" si="305"/>
        <v>0</v>
      </c>
      <c r="F1048" s="59">
        <v>1467</v>
      </c>
      <c r="G1048" s="59">
        <v>2</v>
      </c>
      <c r="H1048" s="59">
        <f t="shared" si="306"/>
        <v>0</v>
      </c>
      <c r="I1048" s="59">
        <f t="shared" si="307"/>
        <v>1</v>
      </c>
      <c r="J1048" s="59">
        <v>20</v>
      </c>
      <c r="K1048" s="59">
        <v>3</v>
      </c>
      <c r="L1048" s="59">
        <v>1</v>
      </c>
      <c r="M1048" s="59">
        <f t="shared" si="308"/>
        <v>1</v>
      </c>
      <c r="N1048" s="59">
        <f t="shared" si="309"/>
        <v>0</v>
      </c>
      <c r="O1048" s="59">
        <f t="shared" si="310"/>
        <v>0</v>
      </c>
      <c r="P1048" s="59">
        <f t="shared" si="311"/>
        <v>0</v>
      </c>
      <c r="Q1048" s="59">
        <f t="shared" si="312"/>
        <v>0</v>
      </c>
      <c r="R1048" s="59">
        <v>1</v>
      </c>
      <c r="S1048" s="59">
        <v>1475</v>
      </c>
      <c r="T1048" s="59">
        <v>4</v>
      </c>
      <c r="U1048" s="59">
        <v>1</v>
      </c>
      <c r="V1048" s="59">
        <v>49</v>
      </c>
      <c r="W1048" s="59">
        <v>3</v>
      </c>
      <c r="X1048" s="59">
        <v>1</v>
      </c>
      <c r="Y1048" s="59">
        <v>2</v>
      </c>
      <c r="Z1048" s="59">
        <f t="shared" si="313"/>
        <v>0</v>
      </c>
      <c r="AA1048" s="59">
        <f>IF('Updated Dummy'!Y1048=2,1,0)</f>
        <v>1</v>
      </c>
      <c r="AB1048" s="59">
        <f t="shared" si="314"/>
        <v>0</v>
      </c>
      <c r="AC1048" s="59">
        <f t="shared" si="315"/>
        <v>0</v>
      </c>
      <c r="AD1048" s="59">
        <f t="shared" si="316"/>
        <v>0</v>
      </c>
      <c r="AE1048" s="59">
        <f t="shared" si="317"/>
        <v>0</v>
      </c>
      <c r="AF1048" s="59">
        <f t="shared" si="318"/>
        <v>0</v>
      </c>
      <c r="AG1048" s="59">
        <f t="shared" si="319"/>
        <v>0</v>
      </c>
      <c r="AH1048" s="59">
        <v>2</v>
      </c>
      <c r="AI1048" s="59">
        <v>1</v>
      </c>
      <c r="AJ1048" s="59">
        <f t="shared" si="320"/>
        <v>1</v>
      </c>
      <c r="AK1048" s="59">
        <f t="shared" si="321"/>
        <v>0</v>
      </c>
      <c r="AL1048" s="59">
        <v>3420</v>
      </c>
      <c r="AM1048" s="59">
        <v>21158</v>
      </c>
      <c r="AN1048" s="59">
        <v>1</v>
      </c>
      <c r="AO1048" s="59">
        <v>0</v>
      </c>
      <c r="AP1048" s="59">
        <v>13</v>
      </c>
      <c r="AQ1048" s="59">
        <v>3</v>
      </c>
      <c r="AR1048" s="59">
        <v>3</v>
      </c>
      <c r="AS1048" s="59">
        <v>80</v>
      </c>
      <c r="AT1048" s="59">
        <v>0</v>
      </c>
      <c r="AU1048" s="59">
        <v>6</v>
      </c>
      <c r="AV1048" s="59">
        <v>3</v>
      </c>
      <c r="AW1048" s="59">
        <v>2</v>
      </c>
      <c r="AX1048" s="59">
        <v>5</v>
      </c>
      <c r="AY1048" s="59">
        <v>2</v>
      </c>
      <c r="AZ1048" s="59">
        <v>1</v>
      </c>
      <c r="BA1048" s="59">
        <v>3</v>
      </c>
      <c r="BB1048" s="57">
        <f t="shared" si="322"/>
        <v>3420</v>
      </c>
    </row>
    <row r="1049" spans="1:54" x14ac:dyDescent="0.25">
      <c r="A1049" s="58">
        <v>33</v>
      </c>
      <c r="B1049" s="59">
        <v>0</v>
      </c>
      <c r="C1049" s="59">
        <v>2</v>
      </c>
      <c r="D1049" s="59">
        <f t="shared" si="304"/>
        <v>0</v>
      </c>
      <c r="E1049" s="59">
        <f t="shared" si="305"/>
        <v>1</v>
      </c>
      <c r="F1049" s="59">
        <v>430</v>
      </c>
      <c r="G1049" s="59">
        <v>1</v>
      </c>
      <c r="H1049" s="59">
        <f t="shared" si="306"/>
        <v>1</v>
      </c>
      <c r="I1049" s="59">
        <f t="shared" si="307"/>
        <v>0</v>
      </c>
      <c r="J1049" s="59">
        <v>7</v>
      </c>
      <c r="K1049" s="59">
        <v>3</v>
      </c>
      <c r="L1049" s="59">
        <v>3</v>
      </c>
      <c r="M1049" s="59">
        <f t="shared" si="308"/>
        <v>0</v>
      </c>
      <c r="N1049" s="59">
        <f t="shared" si="309"/>
        <v>0</v>
      </c>
      <c r="O1049" s="59">
        <f t="shared" si="310"/>
        <v>1</v>
      </c>
      <c r="P1049" s="59">
        <f t="shared" si="311"/>
        <v>0</v>
      </c>
      <c r="Q1049" s="59">
        <f t="shared" si="312"/>
        <v>0</v>
      </c>
      <c r="R1049" s="59">
        <v>1</v>
      </c>
      <c r="S1049" s="59">
        <v>1477</v>
      </c>
      <c r="T1049" s="59">
        <v>4</v>
      </c>
      <c r="U1049" s="59">
        <v>1</v>
      </c>
      <c r="V1049" s="59">
        <v>54</v>
      </c>
      <c r="W1049" s="59">
        <v>3</v>
      </c>
      <c r="X1049" s="59">
        <v>2</v>
      </c>
      <c r="Y1049" s="59">
        <v>1</v>
      </c>
      <c r="Z1049" s="59">
        <f t="shared" si="313"/>
        <v>1</v>
      </c>
      <c r="AA1049" s="59">
        <f>IF('Updated Dummy'!Y1049=2,1,0)</f>
        <v>0</v>
      </c>
      <c r="AB1049" s="59">
        <f t="shared" si="314"/>
        <v>0</v>
      </c>
      <c r="AC1049" s="59">
        <f t="shared" si="315"/>
        <v>0</v>
      </c>
      <c r="AD1049" s="59">
        <f t="shared" si="316"/>
        <v>0</v>
      </c>
      <c r="AE1049" s="59">
        <f t="shared" si="317"/>
        <v>0</v>
      </c>
      <c r="AF1049" s="59">
        <f t="shared" si="318"/>
        <v>0</v>
      </c>
      <c r="AG1049" s="59">
        <f t="shared" si="319"/>
        <v>0</v>
      </c>
      <c r="AH1049" s="59">
        <v>1</v>
      </c>
      <c r="AI1049" s="59">
        <v>2</v>
      </c>
      <c r="AJ1049" s="59">
        <f t="shared" si="320"/>
        <v>0</v>
      </c>
      <c r="AK1049" s="59">
        <f t="shared" si="321"/>
        <v>1</v>
      </c>
      <c r="AL1049" s="59">
        <v>4373</v>
      </c>
      <c r="AM1049" s="59">
        <v>17456</v>
      </c>
      <c r="AN1049" s="59">
        <v>0</v>
      </c>
      <c r="AO1049" s="59">
        <v>0</v>
      </c>
      <c r="AP1049" s="59">
        <v>14</v>
      </c>
      <c r="AQ1049" s="59">
        <v>3</v>
      </c>
      <c r="AR1049" s="59">
        <v>1</v>
      </c>
      <c r="AS1049" s="59">
        <v>80</v>
      </c>
      <c r="AT1049" s="59">
        <v>2</v>
      </c>
      <c r="AU1049" s="59">
        <v>5</v>
      </c>
      <c r="AV1049" s="59">
        <v>2</v>
      </c>
      <c r="AW1049" s="59">
        <v>3</v>
      </c>
      <c r="AX1049" s="59">
        <v>4</v>
      </c>
      <c r="AY1049" s="59">
        <v>3</v>
      </c>
      <c r="AZ1049" s="59">
        <v>0</v>
      </c>
      <c r="BA1049" s="59">
        <v>3</v>
      </c>
      <c r="BB1049" s="57">
        <f t="shared" si="322"/>
        <v>8746</v>
      </c>
    </row>
    <row r="1050" spans="1:54" x14ac:dyDescent="0.25">
      <c r="A1050" s="58">
        <v>34</v>
      </c>
      <c r="B1050" s="59">
        <v>0</v>
      </c>
      <c r="C1050" s="59">
        <v>1</v>
      </c>
      <c r="D1050" s="59">
        <f t="shared" si="304"/>
        <v>1</v>
      </c>
      <c r="E1050" s="59">
        <f t="shared" si="305"/>
        <v>0</v>
      </c>
      <c r="F1050" s="59">
        <v>1326</v>
      </c>
      <c r="G1050" s="59">
        <v>1</v>
      </c>
      <c r="H1050" s="59">
        <f t="shared" si="306"/>
        <v>1</v>
      </c>
      <c r="I1050" s="59">
        <f t="shared" si="307"/>
        <v>0</v>
      </c>
      <c r="J1050" s="59">
        <v>3</v>
      </c>
      <c r="K1050" s="59">
        <v>3</v>
      </c>
      <c r="L1050" s="59">
        <v>6</v>
      </c>
      <c r="M1050" s="59">
        <f t="shared" si="308"/>
        <v>0</v>
      </c>
      <c r="N1050" s="59">
        <f t="shared" si="309"/>
        <v>0</v>
      </c>
      <c r="O1050" s="59">
        <f t="shared" si="310"/>
        <v>0</v>
      </c>
      <c r="P1050" s="59">
        <f t="shared" si="311"/>
        <v>0</v>
      </c>
      <c r="Q1050" s="59">
        <f t="shared" si="312"/>
        <v>0</v>
      </c>
      <c r="R1050" s="59">
        <v>1</v>
      </c>
      <c r="S1050" s="59">
        <v>1478</v>
      </c>
      <c r="T1050" s="59">
        <v>4</v>
      </c>
      <c r="U1050" s="59">
        <v>1</v>
      </c>
      <c r="V1050" s="59">
        <v>81</v>
      </c>
      <c r="W1050" s="59">
        <v>1</v>
      </c>
      <c r="X1050" s="59">
        <v>2</v>
      </c>
      <c r="Y1050" s="59">
        <v>1</v>
      </c>
      <c r="Z1050" s="59">
        <f t="shared" si="313"/>
        <v>1</v>
      </c>
      <c r="AA1050" s="59">
        <f>IF('Updated Dummy'!Y1050=2,1,0)</f>
        <v>0</v>
      </c>
      <c r="AB1050" s="59">
        <f t="shared" si="314"/>
        <v>0</v>
      </c>
      <c r="AC1050" s="59">
        <f t="shared" si="315"/>
        <v>0</v>
      </c>
      <c r="AD1050" s="59">
        <f t="shared" si="316"/>
        <v>0</v>
      </c>
      <c r="AE1050" s="59">
        <f t="shared" si="317"/>
        <v>0</v>
      </c>
      <c r="AF1050" s="59">
        <f t="shared" si="318"/>
        <v>0</v>
      </c>
      <c r="AG1050" s="59">
        <f t="shared" si="319"/>
        <v>0</v>
      </c>
      <c r="AH1050" s="59">
        <v>1</v>
      </c>
      <c r="AI1050" s="59">
        <v>1</v>
      </c>
      <c r="AJ1050" s="59">
        <f t="shared" si="320"/>
        <v>1</v>
      </c>
      <c r="AK1050" s="59">
        <f t="shared" si="321"/>
        <v>0</v>
      </c>
      <c r="AL1050" s="59">
        <v>4759</v>
      </c>
      <c r="AM1050" s="59">
        <v>15891</v>
      </c>
      <c r="AN1050" s="59">
        <v>3</v>
      </c>
      <c r="AO1050" s="59">
        <v>0</v>
      </c>
      <c r="AP1050" s="59">
        <v>18</v>
      </c>
      <c r="AQ1050" s="59">
        <v>3</v>
      </c>
      <c r="AR1050" s="59">
        <v>4</v>
      </c>
      <c r="AS1050" s="59">
        <v>80</v>
      </c>
      <c r="AT1050" s="59">
        <v>0</v>
      </c>
      <c r="AU1050" s="59">
        <v>15</v>
      </c>
      <c r="AV1050" s="59">
        <v>2</v>
      </c>
      <c r="AW1050" s="59">
        <v>3</v>
      </c>
      <c r="AX1050" s="59">
        <v>13</v>
      </c>
      <c r="AY1050" s="59">
        <v>9</v>
      </c>
      <c r="AZ1050" s="59">
        <v>3</v>
      </c>
      <c r="BA1050" s="59">
        <v>12</v>
      </c>
      <c r="BB1050" s="57">
        <f t="shared" si="322"/>
        <v>9518</v>
      </c>
    </row>
    <row r="1051" spans="1:54" x14ac:dyDescent="0.25">
      <c r="A1051" s="58">
        <v>30</v>
      </c>
      <c r="B1051" s="59">
        <v>0</v>
      </c>
      <c r="C1051" s="59">
        <v>1</v>
      </c>
      <c r="D1051" s="59">
        <f t="shared" si="304"/>
        <v>1</v>
      </c>
      <c r="E1051" s="59">
        <f t="shared" si="305"/>
        <v>0</v>
      </c>
      <c r="F1051" s="59">
        <v>1358</v>
      </c>
      <c r="G1051" s="59">
        <v>1</v>
      </c>
      <c r="H1051" s="59">
        <f t="shared" si="306"/>
        <v>1</v>
      </c>
      <c r="I1051" s="59">
        <f t="shared" si="307"/>
        <v>0</v>
      </c>
      <c r="J1051" s="59">
        <v>16</v>
      </c>
      <c r="K1051" s="59">
        <v>1</v>
      </c>
      <c r="L1051" s="59">
        <v>1</v>
      </c>
      <c r="M1051" s="59">
        <f t="shared" si="308"/>
        <v>1</v>
      </c>
      <c r="N1051" s="59">
        <f t="shared" si="309"/>
        <v>0</v>
      </c>
      <c r="O1051" s="59">
        <f t="shared" si="310"/>
        <v>0</v>
      </c>
      <c r="P1051" s="59">
        <f t="shared" si="311"/>
        <v>0</v>
      </c>
      <c r="Q1051" s="59">
        <f t="shared" si="312"/>
        <v>0</v>
      </c>
      <c r="R1051" s="59">
        <v>1</v>
      </c>
      <c r="S1051" s="59">
        <v>1479</v>
      </c>
      <c r="T1051" s="59">
        <v>4</v>
      </c>
      <c r="U1051" s="59">
        <v>1</v>
      </c>
      <c r="V1051" s="59">
        <v>96</v>
      </c>
      <c r="W1051" s="59">
        <v>3</v>
      </c>
      <c r="X1051" s="59">
        <v>2</v>
      </c>
      <c r="Y1051" s="59">
        <v>1</v>
      </c>
      <c r="Z1051" s="59">
        <f t="shared" si="313"/>
        <v>1</v>
      </c>
      <c r="AA1051" s="59">
        <f>IF('Updated Dummy'!Y1051=2,1,0)</f>
        <v>0</v>
      </c>
      <c r="AB1051" s="59">
        <f t="shared" si="314"/>
        <v>0</v>
      </c>
      <c r="AC1051" s="59">
        <f t="shared" si="315"/>
        <v>0</v>
      </c>
      <c r="AD1051" s="59">
        <f t="shared" si="316"/>
        <v>0</v>
      </c>
      <c r="AE1051" s="59">
        <f t="shared" si="317"/>
        <v>0</v>
      </c>
      <c r="AF1051" s="59">
        <f t="shared" si="318"/>
        <v>0</v>
      </c>
      <c r="AG1051" s="59">
        <f t="shared" si="319"/>
        <v>0</v>
      </c>
      <c r="AH1051" s="59">
        <v>3</v>
      </c>
      <c r="AI1051" s="59">
        <v>2</v>
      </c>
      <c r="AJ1051" s="59">
        <f t="shared" si="320"/>
        <v>0</v>
      </c>
      <c r="AK1051" s="59">
        <f t="shared" si="321"/>
        <v>1</v>
      </c>
      <c r="AL1051" s="59">
        <v>5301</v>
      </c>
      <c r="AM1051" s="59">
        <v>2939</v>
      </c>
      <c r="AN1051" s="59">
        <v>8</v>
      </c>
      <c r="AO1051" s="59">
        <v>0</v>
      </c>
      <c r="AP1051" s="59">
        <v>15</v>
      </c>
      <c r="AQ1051" s="59">
        <v>3</v>
      </c>
      <c r="AR1051" s="59">
        <v>3</v>
      </c>
      <c r="AS1051" s="59">
        <v>80</v>
      </c>
      <c r="AT1051" s="59">
        <v>2</v>
      </c>
      <c r="AU1051" s="59">
        <v>4</v>
      </c>
      <c r="AV1051" s="59">
        <v>2</v>
      </c>
      <c r="AW1051" s="59">
        <v>2</v>
      </c>
      <c r="AX1051" s="59">
        <v>2</v>
      </c>
      <c r="AY1051" s="59">
        <v>1</v>
      </c>
      <c r="AZ1051" s="59">
        <v>2</v>
      </c>
      <c r="BA1051" s="59">
        <v>2</v>
      </c>
      <c r="BB1051" s="57">
        <f t="shared" si="322"/>
        <v>10602</v>
      </c>
    </row>
    <row r="1052" spans="1:54" x14ac:dyDescent="0.25">
      <c r="A1052" s="58">
        <v>42</v>
      </c>
      <c r="B1052" s="59">
        <v>0</v>
      </c>
      <c r="C1052" s="59">
        <v>2</v>
      </c>
      <c r="D1052" s="59">
        <f t="shared" si="304"/>
        <v>0</v>
      </c>
      <c r="E1052" s="59">
        <f t="shared" si="305"/>
        <v>1</v>
      </c>
      <c r="F1052" s="59">
        <v>748</v>
      </c>
      <c r="G1052" s="59">
        <v>2</v>
      </c>
      <c r="H1052" s="59">
        <f t="shared" si="306"/>
        <v>0</v>
      </c>
      <c r="I1052" s="59">
        <f t="shared" si="307"/>
        <v>1</v>
      </c>
      <c r="J1052" s="59">
        <v>9</v>
      </c>
      <c r="K1052" s="59">
        <v>2</v>
      </c>
      <c r="L1052" s="59">
        <v>3</v>
      </c>
      <c r="M1052" s="59">
        <f t="shared" si="308"/>
        <v>0</v>
      </c>
      <c r="N1052" s="59">
        <f t="shared" si="309"/>
        <v>0</v>
      </c>
      <c r="O1052" s="59">
        <f t="shared" si="310"/>
        <v>1</v>
      </c>
      <c r="P1052" s="59">
        <f t="shared" si="311"/>
        <v>0</v>
      </c>
      <c r="Q1052" s="59">
        <f t="shared" si="312"/>
        <v>0</v>
      </c>
      <c r="R1052" s="59">
        <v>1</v>
      </c>
      <c r="S1052" s="59">
        <v>1480</v>
      </c>
      <c r="T1052" s="59">
        <v>1</v>
      </c>
      <c r="U1052" s="59">
        <v>0</v>
      </c>
      <c r="V1052" s="59">
        <v>74</v>
      </c>
      <c r="W1052" s="59">
        <v>3</v>
      </c>
      <c r="X1052" s="59">
        <v>1</v>
      </c>
      <c r="Y1052" s="59">
        <v>3</v>
      </c>
      <c r="Z1052" s="59">
        <f t="shared" si="313"/>
        <v>0</v>
      </c>
      <c r="AA1052" s="59">
        <f>IF('Updated Dummy'!Y1052=2,1,0)</f>
        <v>0</v>
      </c>
      <c r="AB1052" s="59">
        <f t="shared" si="314"/>
        <v>1</v>
      </c>
      <c r="AC1052" s="59">
        <f t="shared" si="315"/>
        <v>0</v>
      </c>
      <c r="AD1052" s="59">
        <f t="shared" si="316"/>
        <v>0</v>
      </c>
      <c r="AE1052" s="59">
        <f t="shared" si="317"/>
        <v>0</v>
      </c>
      <c r="AF1052" s="59">
        <f t="shared" si="318"/>
        <v>0</v>
      </c>
      <c r="AG1052" s="59">
        <f t="shared" si="319"/>
        <v>0</v>
      </c>
      <c r="AH1052" s="59">
        <v>4</v>
      </c>
      <c r="AI1052" s="59">
        <v>1</v>
      </c>
      <c r="AJ1052" s="59">
        <f t="shared" si="320"/>
        <v>1</v>
      </c>
      <c r="AK1052" s="59">
        <f t="shared" si="321"/>
        <v>0</v>
      </c>
      <c r="AL1052" s="59">
        <v>3673</v>
      </c>
      <c r="AM1052" s="59">
        <v>16458</v>
      </c>
      <c r="AN1052" s="59">
        <v>1</v>
      </c>
      <c r="AO1052" s="59">
        <v>0</v>
      </c>
      <c r="AP1052" s="59">
        <v>13</v>
      </c>
      <c r="AQ1052" s="59">
        <v>3</v>
      </c>
      <c r="AR1052" s="59">
        <v>3</v>
      </c>
      <c r="AS1052" s="59">
        <v>80</v>
      </c>
      <c r="AT1052" s="59">
        <v>0</v>
      </c>
      <c r="AU1052" s="59">
        <v>12</v>
      </c>
      <c r="AV1052" s="59">
        <v>3</v>
      </c>
      <c r="AW1052" s="59">
        <v>3</v>
      </c>
      <c r="AX1052" s="59">
        <v>12</v>
      </c>
      <c r="AY1052" s="59">
        <v>9</v>
      </c>
      <c r="AZ1052" s="59">
        <v>5</v>
      </c>
      <c r="BA1052" s="59">
        <v>8</v>
      </c>
      <c r="BB1052" s="57">
        <f t="shared" si="322"/>
        <v>3673</v>
      </c>
    </row>
    <row r="1053" spans="1:54" x14ac:dyDescent="0.25">
      <c r="A1053" s="58">
        <v>44</v>
      </c>
      <c r="B1053" s="59">
        <v>0</v>
      </c>
      <c r="C1053" s="59">
        <v>2</v>
      </c>
      <c r="D1053" s="59">
        <f t="shared" si="304"/>
        <v>0</v>
      </c>
      <c r="E1053" s="59">
        <f t="shared" si="305"/>
        <v>1</v>
      </c>
      <c r="F1053" s="59">
        <v>383</v>
      </c>
      <c r="G1053" s="59">
        <v>1</v>
      </c>
      <c r="H1053" s="59">
        <f t="shared" si="306"/>
        <v>1</v>
      </c>
      <c r="I1053" s="59">
        <f t="shared" si="307"/>
        <v>0</v>
      </c>
      <c r="J1053" s="59">
        <v>1</v>
      </c>
      <c r="K1053" s="59">
        <v>5</v>
      </c>
      <c r="L1053" s="59">
        <v>4</v>
      </c>
      <c r="M1053" s="59">
        <f t="shared" si="308"/>
        <v>0</v>
      </c>
      <c r="N1053" s="59">
        <f t="shared" si="309"/>
        <v>0</v>
      </c>
      <c r="O1053" s="59">
        <f t="shared" si="310"/>
        <v>0</v>
      </c>
      <c r="P1053" s="59">
        <f t="shared" si="311"/>
        <v>1</v>
      </c>
      <c r="Q1053" s="59">
        <f t="shared" si="312"/>
        <v>0</v>
      </c>
      <c r="R1053" s="59">
        <v>1</v>
      </c>
      <c r="S1053" s="59">
        <v>1481</v>
      </c>
      <c r="T1053" s="59">
        <v>1</v>
      </c>
      <c r="U1053" s="59">
        <v>0</v>
      </c>
      <c r="V1053" s="59">
        <v>79</v>
      </c>
      <c r="W1053" s="59">
        <v>3</v>
      </c>
      <c r="X1053" s="59">
        <v>2</v>
      </c>
      <c r="Y1053" s="59">
        <v>1</v>
      </c>
      <c r="Z1053" s="59">
        <f t="shared" si="313"/>
        <v>1</v>
      </c>
      <c r="AA1053" s="59">
        <f>IF('Updated Dummy'!Y1053=2,1,0)</f>
        <v>0</v>
      </c>
      <c r="AB1053" s="59">
        <f t="shared" si="314"/>
        <v>0</v>
      </c>
      <c r="AC1053" s="59">
        <f t="shared" si="315"/>
        <v>0</v>
      </c>
      <c r="AD1053" s="59">
        <f t="shared" si="316"/>
        <v>0</v>
      </c>
      <c r="AE1053" s="59">
        <f t="shared" si="317"/>
        <v>0</v>
      </c>
      <c r="AF1053" s="59">
        <f t="shared" si="318"/>
        <v>0</v>
      </c>
      <c r="AG1053" s="59">
        <f t="shared" si="319"/>
        <v>0</v>
      </c>
      <c r="AH1053" s="59">
        <v>3</v>
      </c>
      <c r="AI1053" s="59">
        <v>2</v>
      </c>
      <c r="AJ1053" s="59">
        <f t="shared" si="320"/>
        <v>0</v>
      </c>
      <c r="AK1053" s="59">
        <f t="shared" si="321"/>
        <v>1</v>
      </c>
      <c r="AL1053" s="59">
        <v>4768</v>
      </c>
      <c r="AM1053" s="59">
        <v>9282</v>
      </c>
      <c r="AN1053" s="59">
        <v>7</v>
      </c>
      <c r="AO1053" s="59">
        <v>0</v>
      </c>
      <c r="AP1053" s="59">
        <v>12</v>
      </c>
      <c r="AQ1053" s="59">
        <v>3</v>
      </c>
      <c r="AR1053" s="59">
        <v>3</v>
      </c>
      <c r="AS1053" s="59">
        <v>80</v>
      </c>
      <c r="AT1053" s="59">
        <v>1</v>
      </c>
      <c r="AU1053" s="59">
        <v>11</v>
      </c>
      <c r="AV1053" s="59">
        <v>4</v>
      </c>
      <c r="AW1053" s="59">
        <v>2</v>
      </c>
      <c r="AX1053" s="59">
        <v>1</v>
      </c>
      <c r="AY1053" s="59">
        <v>0</v>
      </c>
      <c r="AZ1053" s="59">
        <v>0</v>
      </c>
      <c r="BA1053" s="59">
        <v>0</v>
      </c>
      <c r="BB1053" s="57">
        <f t="shared" si="322"/>
        <v>9536</v>
      </c>
    </row>
    <row r="1054" spans="1:54" x14ac:dyDescent="0.25">
      <c r="A1054" s="58">
        <v>30</v>
      </c>
      <c r="B1054" s="59">
        <v>0</v>
      </c>
      <c r="C1054" s="59">
        <v>3</v>
      </c>
      <c r="D1054" s="59">
        <f t="shared" si="304"/>
        <v>0</v>
      </c>
      <c r="E1054" s="59">
        <f t="shared" si="305"/>
        <v>0</v>
      </c>
      <c r="F1054" s="59">
        <v>990</v>
      </c>
      <c r="G1054" s="59">
        <v>2</v>
      </c>
      <c r="H1054" s="59">
        <f t="shared" si="306"/>
        <v>0</v>
      </c>
      <c r="I1054" s="59">
        <f t="shared" si="307"/>
        <v>1</v>
      </c>
      <c r="J1054" s="59">
        <v>7</v>
      </c>
      <c r="K1054" s="59">
        <v>3</v>
      </c>
      <c r="L1054" s="59">
        <v>5</v>
      </c>
      <c r="M1054" s="59">
        <f t="shared" si="308"/>
        <v>0</v>
      </c>
      <c r="N1054" s="59">
        <f t="shared" si="309"/>
        <v>0</v>
      </c>
      <c r="O1054" s="59">
        <f t="shared" si="310"/>
        <v>0</v>
      </c>
      <c r="P1054" s="59">
        <f t="shared" si="311"/>
        <v>0</v>
      </c>
      <c r="Q1054" s="59">
        <f t="shared" si="312"/>
        <v>1</v>
      </c>
      <c r="R1054" s="59">
        <v>1</v>
      </c>
      <c r="S1054" s="59">
        <v>1482</v>
      </c>
      <c r="T1054" s="59">
        <v>3</v>
      </c>
      <c r="U1054" s="59">
        <v>1</v>
      </c>
      <c r="V1054" s="59">
        <v>64</v>
      </c>
      <c r="W1054" s="59">
        <v>3</v>
      </c>
      <c r="X1054" s="59">
        <v>1</v>
      </c>
      <c r="Y1054" s="59">
        <v>2</v>
      </c>
      <c r="Z1054" s="59">
        <f t="shared" si="313"/>
        <v>0</v>
      </c>
      <c r="AA1054" s="59">
        <f>IF('Updated Dummy'!Y1054=2,1,0)</f>
        <v>1</v>
      </c>
      <c r="AB1054" s="59">
        <f t="shared" si="314"/>
        <v>0</v>
      </c>
      <c r="AC1054" s="59">
        <f t="shared" si="315"/>
        <v>0</v>
      </c>
      <c r="AD1054" s="59">
        <f t="shared" si="316"/>
        <v>0</v>
      </c>
      <c r="AE1054" s="59">
        <f t="shared" si="317"/>
        <v>0</v>
      </c>
      <c r="AF1054" s="59">
        <f t="shared" si="318"/>
        <v>0</v>
      </c>
      <c r="AG1054" s="59">
        <f t="shared" si="319"/>
        <v>0</v>
      </c>
      <c r="AH1054" s="59">
        <v>3</v>
      </c>
      <c r="AI1054" s="59">
        <v>3</v>
      </c>
      <c r="AJ1054" s="59">
        <f t="shared" si="320"/>
        <v>0</v>
      </c>
      <c r="AK1054" s="59">
        <f t="shared" si="321"/>
        <v>0</v>
      </c>
      <c r="AL1054" s="59">
        <v>1274</v>
      </c>
      <c r="AM1054" s="59">
        <v>7152</v>
      </c>
      <c r="AN1054" s="59">
        <v>1</v>
      </c>
      <c r="AO1054" s="59">
        <v>0</v>
      </c>
      <c r="AP1054" s="59">
        <v>13</v>
      </c>
      <c r="AQ1054" s="59">
        <v>3</v>
      </c>
      <c r="AR1054" s="59">
        <v>2</v>
      </c>
      <c r="AS1054" s="59">
        <v>80</v>
      </c>
      <c r="AT1054" s="59">
        <v>2</v>
      </c>
      <c r="AU1054" s="59">
        <v>1</v>
      </c>
      <c r="AV1054" s="59">
        <v>2</v>
      </c>
      <c r="AW1054" s="59">
        <v>2</v>
      </c>
      <c r="AX1054" s="59">
        <v>1</v>
      </c>
      <c r="AY1054" s="59">
        <v>0</v>
      </c>
      <c r="AZ1054" s="59">
        <v>0</v>
      </c>
      <c r="BA1054" s="59">
        <v>0</v>
      </c>
      <c r="BB1054" s="57">
        <f t="shared" si="322"/>
        <v>1274</v>
      </c>
    </row>
    <row r="1055" spans="1:54" x14ac:dyDescent="0.25">
      <c r="A1055" s="58">
        <v>57</v>
      </c>
      <c r="B1055" s="59">
        <v>0</v>
      </c>
      <c r="C1055" s="59">
        <v>1</v>
      </c>
      <c r="D1055" s="59">
        <f t="shared" si="304"/>
        <v>1</v>
      </c>
      <c r="E1055" s="59">
        <f t="shared" si="305"/>
        <v>0</v>
      </c>
      <c r="F1055" s="59">
        <v>405</v>
      </c>
      <c r="G1055" s="59">
        <v>2</v>
      </c>
      <c r="H1055" s="59">
        <f t="shared" si="306"/>
        <v>0</v>
      </c>
      <c r="I1055" s="59">
        <f t="shared" si="307"/>
        <v>1</v>
      </c>
      <c r="J1055" s="59">
        <v>1</v>
      </c>
      <c r="K1055" s="59">
        <v>2</v>
      </c>
      <c r="L1055" s="59">
        <v>1</v>
      </c>
      <c r="M1055" s="59">
        <f t="shared" si="308"/>
        <v>1</v>
      </c>
      <c r="N1055" s="59">
        <f t="shared" si="309"/>
        <v>0</v>
      </c>
      <c r="O1055" s="59">
        <f t="shared" si="310"/>
        <v>0</v>
      </c>
      <c r="P1055" s="59">
        <f t="shared" si="311"/>
        <v>0</v>
      </c>
      <c r="Q1055" s="59">
        <f t="shared" si="312"/>
        <v>0</v>
      </c>
      <c r="R1055" s="59">
        <v>1</v>
      </c>
      <c r="S1055" s="59">
        <v>1483</v>
      </c>
      <c r="T1055" s="59">
        <v>2</v>
      </c>
      <c r="U1055" s="59">
        <v>1</v>
      </c>
      <c r="V1055" s="59">
        <v>93</v>
      </c>
      <c r="W1055" s="59">
        <v>4</v>
      </c>
      <c r="X1055" s="59">
        <v>2</v>
      </c>
      <c r="Y1055" s="59">
        <v>2</v>
      </c>
      <c r="Z1055" s="59">
        <f t="shared" si="313"/>
        <v>0</v>
      </c>
      <c r="AA1055" s="59">
        <f>IF('Updated Dummy'!Y1055=2,1,0)</f>
        <v>1</v>
      </c>
      <c r="AB1055" s="59">
        <f t="shared" si="314"/>
        <v>0</v>
      </c>
      <c r="AC1055" s="59">
        <f t="shared" si="315"/>
        <v>0</v>
      </c>
      <c r="AD1055" s="59">
        <f t="shared" si="316"/>
        <v>0</v>
      </c>
      <c r="AE1055" s="59">
        <f t="shared" si="317"/>
        <v>0</v>
      </c>
      <c r="AF1055" s="59">
        <f t="shared" si="318"/>
        <v>0</v>
      </c>
      <c r="AG1055" s="59">
        <f t="shared" si="319"/>
        <v>0</v>
      </c>
      <c r="AH1055" s="59">
        <v>3</v>
      </c>
      <c r="AI1055" s="59">
        <v>2</v>
      </c>
      <c r="AJ1055" s="59">
        <f t="shared" si="320"/>
        <v>0</v>
      </c>
      <c r="AK1055" s="59">
        <f t="shared" si="321"/>
        <v>1</v>
      </c>
      <c r="AL1055" s="59">
        <v>4900</v>
      </c>
      <c r="AM1055" s="59">
        <v>2721</v>
      </c>
      <c r="AN1055" s="59">
        <v>0</v>
      </c>
      <c r="AO1055" s="59">
        <v>0</v>
      </c>
      <c r="AP1055" s="59">
        <v>24</v>
      </c>
      <c r="AQ1055" s="59">
        <v>4</v>
      </c>
      <c r="AR1055" s="59">
        <v>1</v>
      </c>
      <c r="AS1055" s="59">
        <v>80</v>
      </c>
      <c r="AT1055" s="59">
        <v>1</v>
      </c>
      <c r="AU1055" s="59">
        <v>13</v>
      </c>
      <c r="AV1055" s="59">
        <v>2</v>
      </c>
      <c r="AW1055" s="59">
        <v>2</v>
      </c>
      <c r="AX1055" s="59">
        <v>12</v>
      </c>
      <c r="AY1055" s="59">
        <v>9</v>
      </c>
      <c r="AZ1055" s="59">
        <v>2</v>
      </c>
      <c r="BA1055" s="59">
        <v>8</v>
      </c>
      <c r="BB1055" s="57">
        <f t="shared" si="322"/>
        <v>9800</v>
      </c>
    </row>
    <row r="1056" spans="1:54" x14ac:dyDescent="0.25">
      <c r="A1056" s="58">
        <v>49</v>
      </c>
      <c r="B1056" s="59">
        <v>0</v>
      </c>
      <c r="C1056" s="59">
        <v>1</v>
      </c>
      <c r="D1056" s="59">
        <f t="shared" si="304"/>
        <v>1</v>
      </c>
      <c r="E1056" s="59">
        <f t="shared" si="305"/>
        <v>0</v>
      </c>
      <c r="F1056" s="59">
        <v>1490</v>
      </c>
      <c r="G1056" s="59">
        <v>2</v>
      </c>
      <c r="H1056" s="59">
        <f t="shared" si="306"/>
        <v>0</v>
      </c>
      <c r="I1056" s="59">
        <f t="shared" si="307"/>
        <v>1</v>
      </c>
      <c r="J1056" s="59">
        <v>7</v>
      </c>
      <c r="K1056" s="59">
        <v>4</v>
      </c>
      <c r="L1056" s="59">
        <v>1</v>
      </c>
      <c r="M1056" s="59">
        <f t="shared" si="308"/>
        <v>1</v>
      </c>
      <c r="N1056" s="59">
        <f t="shared" si="309"/>
        <v>0</v>
      </c>
      <c r="O1056" s="59">
        <f t="shared" si="310"/>
        <v>0</v>
      </c>
      <c r="P1056" s="59">
        <f t="shared" si="311"/>
        <v>0</v>
      </c>
      <c r="Q1056" s="59">
        <f t="shared" si="312"/>
        <v>0</v>
      </c>
      <c r="R1056" s="59">
        <v>1</v>
      </c>
      <c r="S1056" s="59">
        <v>1484</v>
      </c>
      <c r="T1056" s="59">
        <v>3</v>
      </c>
      <c r="U1056" s="59">
        <v>1</v>
      </c>
      <c r="V1056" s="59">
        <v>35</v>
      </c>
      <c r="W1056" s="59">
        <v>3</v>
      </c>
      <c r="X1056" s="59">
        <v>3</v>
      </c>
      <c r="Y1056" s="59">
        <v>5</v>
      </c>
      <c r="Z1056" s="59">
        <f t="shared" si="313"/>
        <v>0</v>
      </c>
      <c r="AA1056" s="59">
        <f>IF('Updated Dummy'!Y1056=2,1,0)</f>
        <v>0</v>
      </c>
      <c r="AB1056" s="59">
        <f t="shared" si="314"/>
        <v>0</v>
      </c>
      <c r="AC1056" s="59">
        <f t="shared" si="315"/>
        <v>0</v>
      </c>
      <c r="AD1056" s="59">
        <f t="shared" si="316"/>
        <v>1</v>
      </c>
      <c r="AE1056" s="59">
        <f t="shared" si="317"/>
        <v>0</v>
      </c>
      <c r="AF1056" s="59">
        <f t="shared" si="318"/>
        <v>0</v>
      </c>
      <c r="AG1056" s="59">
        <f t="shared" si="319"/>
        <v>0</v>
      </c>
      <c r="AH1056" s="59">
        <v>2</v>
      </c>
      <c r="AI1056" s="59">
        <v>3</v>
      </c>
      <c r="AJ1056" s="59">
        <f t="shared" si="320"/>
        <v>0</v>
      </c>
      <c r="AK1056" s="59">
        <f t="shared" si="321"/>
        <v>0</v>
      </c>
      <c r="AL1056" s="59">
        <v>10466</v>
      </c>
      <c r="AM1056" s="59">
        <v>20948</v>
      </c>
      <c r="AN1056" s="59">
        <v>3</v>
      </c>
      <c r="AO1056" s="59">
        <v>0</v>
      </c>
      <c r="AP1056" s="59">
        <v>14</v>
      </c>
      <c r="AQ1056" s="59">
        <v>3</v>
      </c>
      <c r="AR1056" s="59">
        <v>2</v>
      </c>
      <c r="AS1056" s="59">
        <v>80</v>
      </c>
      <c r="AT1056" s="59">
        <v>2</v>
      </c>
      <c r="AU1056" s="59">
        <v>29</v>
      </c>
      <c r="AV1056" s="59">
        <v>3</v>
      </c>
      <c r="AW1056" s="59">
        <v>3</v>
      </c>
      <c r="AX1056" s="59">
        <v>8</v>
      </c>
      <c r="AY1056" s="59">
        <v>7</v>
      </c>
      <c r="AZ1056" s="59">
        <v>0</v>
      </c>
      <c r="BA1056" s="59">
        <v>7</v>
      </c>
      <c r="BB1056" s="57">
        <f t="shared" si="322"/>
        <v>31398</v>
      </c>
    </row>
    <row r="1057" spans="1:54" x14ac:dyDescent="0.25">
      <c r="A1057" s="58">
        <v>34</v>
      </c>
      <c r="B1057" s="59">
        <v>0</v>
      </c>
      <c r="C1057" s="59">
        <v>2</v>
      </c>
      <c r="D1057" s="59">
        <f t="shared" si="304"/>
        <v>0</v>
      </c>
      <c r="E1057" s="59">
        <f t="shared" si="305"/>
        <v>1</v>
      </c>
      <c r="F1057" s="59">
        <v>829</v>
      </c>
      <c r="G1057" s="59">
        <v>2</v>
      </c>
      <c r="H1057" s="59">
        <f t="shared" si="306"/>
        <v>0</v>
      </c>
      <c r="I1057" s="59">
        <f t="shared" si="307"/>
        <v>1</v>
      </c>
      <c r="J1057" s="59">
        <v>15</v>
      </c>
      <c r="K1057" s="59">
        <v>3</v>
      </c>
      <c r="L1057" s="59">
        <v>3</v>
      </c>
      <c r="M1057" s="59">
        <f t="shared" si="308"/>
        <v>0</v>
      </c>
      <c r="N1057" s="59">
        <f t="shared" si="309"/>
        <v>0</v>
      </c>
      <c r="O1057" s="59">
        <f t="shared" si="310"/>
        <v>1</v>
      </c>
      <c r="P1057" s="59">
        <f t="shared" si="311"/>
        <v>0</v>
      </c>
      <c r="Q1057" s="59">
        <f t="shared" si="312"/>
        <v>0</v>
      </c>
      <c r="R1057" s="59">
        <v>1</v>
      </c>
      <c r="S1057" s="59">
        <v>1485</v>
      </c>
      <c r="T1057" s="59">
        <v>2</v>
      </c>
      <c r="U1057" s="59">
        <v>1</v>
      </c>
      <c r="V1057" s="59">
        <v>71</v>
      </c>
      <c r="W1057" s="59">
        <v>3</v>
      </c>
      <c r="X1057" s="59">
        <v>4</v>
      </c>
      <c r="Y1057" s="59">
        <v>8</v>
      </c>
      <c r="Z1057" s="59">
        <f t="shared" si="313"/>
        <v>0</v>
      </c>
      <c r="AA1057" s="59">
        <f>IF('Updated Dummy'!Y1057=2,1,0)</f>
        <v>0</v>
      </c>
      <c r="AB1057" s="59">
        <f t="shared" si="314"/>
        <v>0</v>
      </c>
      <c r="AC1057" s="59">
        <f t="shared" si="315"/>
        <v>0</v>
      </c>
      <c r="AD1057" s="59">
        <f t="shared" si="316"/>
        <v>0</v>
      </c>
      <c r="AE1057" s="59">
        <f t="shared" si="317"/>
        <v>0</v>
      </c>
      <c r="AF1057" s="59">
        <f t="shared" si="318"/>
        <v>0</v>
      </c>
      <c r="AG1057" s="59">
        <f t="shared" si="319"/>
        <v>1</v>
      </c>
      <c r="AH1057" s="59">
        <v>1</v>
      </c>
      <c r="AI1057" s="59">
        <v>3</v>
      </c>
      <c r="AJ1057" s="59">
        <f t="shared" si="320"/>
        <v>0</v>
      </c>
      <c r="AK1057" s="59">
        <f t="shared" si="321"/>
        <v>0</v>
      </c>
      <c r="AL1057" s="59">
        <v>17007</v>
      </c>
      <c r="AM1057" s="59">
        <v>11929</v>
      </c>
      <c r="AN1057" s="59">
        <v>7</v>
      </c>
      <c r="AO1057" s="59">
        <v>0</v>
      </c>
      <c r="AP1057" s="59">
        <v>14</v>
      </c>
      <c r="AQ1057" s="59">
        <v>3</v>
      </c>
      <c r="AR1057" s="59">
        <v>4</v>
      </c>
      <c r="AS1057" s="59">
        <v>80</v>
      </c>
      <c r="AT1057" s="59">
        <v>2</v>
      </c>
      <c r="AU1057" s="59">
        <v>16</v>
      </c>
      <c r="AV1057" s="59">
        <v>3</v>
      </c>
      <c r="AW1057" s="59">
        <v>2</v>
      </c>
      <c r="AX1057" s="59">
        <v>14</v>
      </c>
      <c r="AY1057" s="59">
        <v>8</v>
      </c>
      <c r="AZ1057" s="59">
        <v>6</v>
      </c>
      <c r="BA1057" s="59">
        <v>9</v>
      </c>
      <c r="BB1057" s="57">
        <f t="shared" si="322"/>
        <v>68028</v>
      </c>
    </row>
    <row r="1058" spans="1:54" x14ac:dyDescent="0.25">
      <c r="A1058" s="58">
        <v>28</v>
      </c>
      <c r="B1058" s="59">
        <v>1</v>
      </c>
      <c r="C1058" s="59">
        <v>2</v>
      </c>
      <c r="D1058" s="59">
        <f t="shared" si="304"/>
        <v>0</v>
      </c>
      <c r="E1058" s="59">
        <f t="shared" si="305"/>
        <v>1</v>
      </c>
      <c r="F1058" s="59">
        <v>1496</v>
      </c>
      <c r="G1058" s="59">
        <v>1</v>
      </c>
      <c r="H1058" s="59">
        <f t="shared" si="306"/>
        <v>1</v>
      </c>
      <c r="I1058" s="59">
        <f t="shared" si="307"/>
        <v>0</v>
      </c>
      <c r="J1058" s="59">
        <v>1</v>
      </c>
      <c r="K1058" s="59">
        <v>3</v>
      </c>
      <c r="L1058" s="59">
        <v>5</v>
      </c>
      <c r="M1058" s="59">
        <f t="shared" si="308"/>
        <v>0</v>
      </c>
      <c r="N1058" s="59">
        <f t="shared" si="309"/>
        <v>0</v>
      </c>
      <c r="O1058" s="59">
        <f t="shared" si="310"/>
        <v>0</v>
      </c>
      <c r="P1058" s="59">
        <f t="shared" si="311"/>
        <v>0</v>
      </c>
      <c r="Q1058" s="59">
        <f t="shared" si="312"/>
        <v>1</v>
      </c>
      <c r="R1058" s="59">
        <v>1</v>
      </c>
      <c r="S1058" s="59">
        <v>1486</v>
      </c>
      <c r="T1058" s="59">
        <v>1</v>
      </c>
      <c r="U1058" s="59">
        <v>1</v>
      </c>
      <c r="V1058" s="59">
        <v>92</v>
      </c>
      <c r="W1058" s="59">
        <v>3</v>
      </c>
      <c r="X1058" s="59">
        <v>1</v>
      </c>
      <c r="Y1058" s="59">
        <v>7</v>
      </c>
      <c r="Z1058" s="59">
        <f t="shared" si="313"/>
        <v>0</v>
      </c>
      <c r="AA1058" s="59">
        <f>IF('Updated Dummy'!Y1058=2,1,0)</f>
        <v>0</v>
      </c>
      <c r="AB1058" s="59">
        <f t="shared" si="314"/>
        <v>0</v>
      </c>
      <c r="AC1058" s="59">
        <f t="shared" si="315"/>
        <v>0</v>
      </c>
      <c r="AD1058" s="59">
        <f t="shared" si="316"/>
        <v>0</v>
      </c>
      <c r="AE1058" s="59">
        <f t="shared" si="317"/>
        <v>0</v>
      </c>
      <c r="AF1058" s="59">
        <f t="shared" si="318"/>
        <v>1</v>
      </c>
      <c r="AG1058" s="59">
        <f t="shared" si="319"/>
        <v>0</v>
      </c>
      <c r="AH1058" s="59">
        <v>3</v>
      </c>
      <c r="AI1058" s="59">
        <v>2</v>
      </c>
      <c r="AJ1058" s="59">
        <f t="shared" si="320"/>
        <v>0</v>
      </c>
      <c r="AK1058" s="59">
        <f t="shared" si="321"/>
        <v>1</v>
      </c>
      <c r="AL1058" s="59">
        <v>2909</v>
      </c>
      <c r="AM1058" s="59">
        <v>15747</v>
      </c>
      <c r="AN1058" s="59">
        <v>3</v>
      </c>
      <c r="AO1058" s="59">
        <v>0</v>
      </c>
      <c r="AP1058" s="59">
        <v>15</v>
      </c>
      <c r="AQ1058" s="59">
        <v>3</v>
      </c>
      <c r="AR1058" s="59">
        <v>4</v>
      </c>
      <c r="AS1058" s="59">
        <v>80</v>
      </c>
      <c r="AT1058" s="59">
        <v>1</v>
      </c>
      <c r="AU1058" s="59">
        <v>5</v>
      </c>
      <c r="AV1058" s="59">
        <v>3</v>
      </c>
      <c r="AW1058" s="59">
        <v>4</v>
      </c>
      <c r="AX1058" s="59">
        <v>3</v>
      </c>
      <c r="AY1058" s="59">
        <v>2</v>
      </c>
      <c r="AZ1058" s="59">
        <v>1</v>
      </c>
      <c r="BA1058" s="59">
        <v>2</v>
      </c>
      <c r="BB1058" s="57">
        <f t="shared" si="322"/>
        <v>2909</v>
      </c>
    </row>
    <row r="1059" spans="1:54" x14ac:dyDescent="0.25">
      <c r="A1059" s="58">
        <v>29</v>
      </c>
      <c r="B1059" s="59">
        <v>1</v>
      </c>
      <c r="C1059" s="59">
        <v>2</v>
      </c>
      <c r="D1059" s="59">
        <f t="shared" si="304"/>
        <v>0</v>
      </c>
      <c r="E1059" s="59">
        <f t="shared" si="305"/>
        <v>1</v>
      </c>
      <c r="F1059" s="59">
        <v>115</v>
      </c>
      <c r="G1059" s="59">
        <v>1</v>
      </c>
      <c r="H1059" s="59">
        <f t="shared" si="306"/>
        <v>1</v>
      </c>
      <c r="I1059" s="59">
        <f t="shared" si="307"/>
        <v>0</v>
      </c>
      <c r="J1059" s="59">
        <v>13</v>
      </c>
      <c r="K1059" s="59">
        <v>3</v>
      </c>
      <c r="L1059" s="59">
        <v>5</v>
      </c>
      <c r="M1059" s="59">
        <f t="shared" si="308"/>
        <v>0</v>
      </c>
      <c r="N1059" s="59">
        <f t="shared" si="309"/>
        <v>0</v>
      </c>
      <c r="O1059" s="59">
        <f t="shared" si="310"/>
        <v>0</v>
      </c>
      <c r="P1059" s="59">
        <f t="shared" si="311"/>
        <v>0</v>
      </c>
      <c r="Q1059" s="59">
        <f t="shared" si="312"/>
        <v>1</v>
      </c>
      <c r="R1059" s="59">
        <v>1</v>
      </c>
      <c r="S1059" s="59">
        <v>1487</v>
      </c>
      <c r="T1059" s="59">
        <v>1</v>
      </c>
      <c r="U1059" s="59">
        <v>0</v>
      </c>
      <c r="V1059" s="59">
        <v>51</v>
      </c>
      <c r="W1059" s="59">
        <v>3</v>
      </c>
      <c r="X1059" s="59">
        <v>2</v>
      </c>
      <c r="Y1059" s="59">
        <v>1</v>
      </c>
      <c r="Z1059" s="59">
        <f t="shared" si="313"/>
        <v>1</v>
      </c>
      <c r="AA1059" s="59">
        <f>IF('Updated Dummy'!Y1059=2,1,0)</f>
        <v>0</v>
      </c>
      <c r="AB1059" s="59">
        <f t="shared" si="314"/>
        <v>0</v>
      </c>
      <c r="AC1059" s="59">
        <f t="shared" si="315"/>
        <v>0</v>
      </c>
      <c r="AD1059" s="59">
        <f t="shared" si="316"/>
        <v>0</v>
      </c>
      <c r="AE1059" s="59">
        <f t="shared" si="317"/>
        <v>0</v>
      </c>
      <c r="AF1059" s="59">
        <f t="shared" si="318"/>
        <v>0</v>
      </c>
      <c r="AG1059" s="59">
        <f t="shared" si="319"/>
        <v>0</v>
      </c>
      <c r="AH1059" s="59">
        <v>2</v>
      </c>
      <c r="AI1059" s="59">
        <v>1</v>
      </c>
      <c r="AJ1059" s="59">
        <f t="shared" si="320"/>
        <v>1</v>
      </c>
      <c r="AK1059" s="59">
        <f t="shared" si="321"/>
        <v>0</v>
      </c>
      <c r="AL1059" s="59">
        <v>5765</v>
      </c>
      <c r="AM1059" s="59">
        <v>17485</v>
      </c>
      <c r="AN1059" s="59">
        <v>5</v>
      </c>
      <c r="AO1059" s="59">
        <v>0</v>
      </c>
      <c r="AP1059" s="59">
        <v>11</v>
      </c>
      <c r="AQ1059" s="59">
        <v>3</v>
      </c>
      <c r="AR1059" s="59">
        <v>1</v>
      </c>
      <c r="AS1059" s="59">
        <v>80</v>
      </c>
      <c r="AT1059" s="59">
        <v>0</v>
      </c>
      <c r="AU1059" s="59">
        <v>7</v>
      </c>
      <c r="AV1059" s="59">
        <v>4</v>
      </c>
      <c r="AW1059" s="59">
        <v>1</v>
      </c>
      <c r="AX1059" s="59">
        <v>5</v>
      </c>
      <c r="AY1059" s="59">
        <v>3</v>
      </c>
      <c r="AZ1059" s="59">
        <v>0</v>
      </c>
      <c r="BA1059" s="59">
        <v>0</v>
      </c>
      <c r="BB1059" s="57">
        <f t="shared" si="322"/>
        <v>11530</v>
      </c>
    </row>
    <row r="1060" spans="1:54" x14ac:dyDescent="0.25">
      <c r="A1060" s="58">
        <v>34</v>
      </c>
      <c r="B1060" s="59">
        <v>1</v>
      </c>
      <c r="C1060" s="59">
        <v>1</v>
      </c>
      <c r="D1060" s="59">
        <f t="shared" si="304"/>
        <v>1</v>
      </c>
      <c r="E1060" s="59">
        <f t="shared" si="305"/>
        <v>0</v>
      </c>
      <c r="F1060" s="59">
        <v>790</v>
      </c>
      <c r="G1060" s="59">
        <v>1</v>
      </c>
      <c r="H1060" s="59">
        <f t="shared" si="306"/>
        <v>1</v>
      </c>
      <c r="I1060" s="59">
        <f t="shared" si="307"/>
        <v>0</v>
      </c>
      <c r="J1060" s="59">
        <v>24</v>
      </c>
      <c r="K1060" s="59">
        <v>4</v>
      </c>
      <c r="L1060" s="59">
        <v>3</v>
      </c>
      <c r="M1060" s="59">
        <f t="shared" si="308"/>
        <v>0</v>
      </c>
      <c r="N1060" s="59">
        <f t="shared" si="309"/>
        <v>0</v>
      </c>
      <c r="O1060" s="59">
        <f t="shared" si="310"/>
        <v>1</v>
      </c>
      <c r="P1060" s="59">
        <f t="shared" si="311"/>
        <v>0</v>
      </c>
      <c r="Q1060" s="59">
        <f t="shared" si="312"/>
        <v>0</v>
      </c>
      <c r="R1060" s="59">
        <v>1</v>
      </c>
      <c r="S1060" s="59">
        <v>1489</v>
      </c>
      <c r="T1060" s="59">
        <v>1</v>
      </c>
      <c r="U1060" s="59">
        <v>0</v>
      </c>
      <c r="V1060" s="59">
        <v>40</v>
      </c>
      <c r="W1060" s="59">
        <v>2</v>
      </c>
      <c r="X1060" s="59">
        <v>2</v>
      </c>
      <c r="Y1060" s="59">
        <v>1</v>
      </c>
      <c r="Z1060" s="59">
        <f t="shared" si="313"/>
        <v>1</v>
      </c>
      <c r="AA1060" s="59">
        <f>IF('Updated Dummy'!Y1060=2,1,0)</f>
        <v>0</v>
      </c>
      <c r="AB1060" s="59">
        <f t="shared" si="314"/>
        <v>0</v>
      </c>
      <c r="AC1060" s="59">
        <f t="shared" si="315"/>
        <v>0</v>
      </c>
      <c r="AD1060" s="59">
        <f t="shared" si="316"/>
        <v>0</v>
      </c>
      <c r="AE1060" s="59">
        <f t="shared" si="317"/>
        <v>0</v>
      </c>
      <c r="AF1060" s="59">
        <f t="shared" si="318"/>
        <v>0</v>
      </c>
      <c r="AG1060" s="59">
        <f t="shared" si="319"/>
        <v>0</v>
      </c>
      <c r="AH1060" s="59">
        <v>2</v>
      </c>
      <c r="AI1060" s="59">
        <v>1</v>
      </c>
      <c r="AJ1060" s="59">
        <f t="shared" si="320"/>
        <v>1</v>
      </c>
      <c r="AK1060" s="59">
        <f t="shared" si="321"/>
        <v>0</v>
      </c>
      <c r="AL1060" s="59">
        <v>4599</v>
      </c>
      <c r="AM1060" s="59">
        <v>7815</v>
      </c>
      <c r="AN1060" s="59">
        <v>0</v>
      </c>
      <c r="AO1060" s="59">
        <v>1</v>
      </c>
      <c r="AP1060" s="59">
        <v>23</v>
      </c>
      <c r="AQ1060" s="59">
        <v>4</v>
      </c>
      <c r="AR1060" s="59">
        <v>3</v>
      </c>
      <c r="AS1060" s="59">
        <v>80</v>
      </c>
      <c r="AT1060" s="59">
        <v>0</v>
      </c>
      <c r="AU1060" s="59">
        <v>16</v>
      </c>
      <c r="AV1060" s="59">
        <v>2</v>
      </c>
      <c r="AW1060" s="59">
        <v>4</v>
      </c>
      <c r="AX1060" s="59">
        <v>15</v>
      </c>
      <c r="AY1060" s="59">
        <v>9</v>
      </c>
      <c r="AZ1060" s="59">
        <v>10</v>
      </c>
      <c r="BA1060" s="59">
        <v>10</v>
      </c>
      <c r="BB1060" s="57">
        <f t="shared" si="322"/>
        <v>9198</v>
      </c>
    </row>
    <row r="1061" spans="1:54" x14ac:dyDescent="0.25">
      <c r="A1061" s="58">
        <v>35</v>
      </c>
      <c r="B1061" s="59">
        <v>0</v>
      </c>
      <c r="C1061" s="59">
        <v>1</v>
      </c>
      <c r="D1061" s="59">
        <f t="shared" si="304"/>
        <v>1</v>
      </c>
      <c r="E1061" s="59">
        <f t="shared" si="305"/>
        <v>0</v>
      </c>
      <c r="F1061" s="59">
        <v>660</v>
      </c>
      <c r="G1061" s="59">
        <v>1</v>
      </c>
      <c r="H1061" s="59">
        <f t="shared" si="306"/>
        <v>1</v>
      </c>
      <c r="I1061" s="59">
        <f t="shared" si="307"/>
        <v>0</v>
      </c>
      <c r="J1061" s="59">
        <v>7</v>
      </c>
      <c r="K1061" s="59">
        <v>1</v>
      </c>
      <c r="L1061" s="59">
        <v>1</v>
      </c>
      <c r="M1061" s="59">
        <f t="shared" si="308"/>
        <v>1</v>
      </c>
      <c r="N1061" s="59">
        <f t="shared" si="309"/>
        <v>0</v>
      </c>
      <c r="O1061" s="59">
        <f t="shared" si="310"/>
        <v>0</v>
      </c>
      <c r="P1061" s="59">
        <f t="shared" si="311"/>
        <v>0</v>
      </c>
      <c r="Q1061" s="59">
        <f t="shared" si="312"/>
        <v>0</v>
      </c>
      <c r="R1061" s="59">
        <v>1</v>
      </c>
      <c r="S1061" s="59">
        <v>1492</v>
      </c>
      <c r="T1061" s="59">
        <v>4</v>
      </c>
      <c r="U1061" s="59">
        <v>1</v>
      </c>
      <c r="V1061" s="59">
        <v>76</v>
      </c>
      <c r="W1061" s="59">
        <v>3</v>
      </c>
      <c r="X1061" s="59">
        <v>1</v>
      </c>
      <c r="Y1061" s="59">
        <v>7</v>
      </c>
      <c r="Z1061" s="59">
        <f t="shared" si="313"/>
        <v>0</v>
      </c>
      <c r="AA1061" s="59">
        <f>IF('Updated Dummy'!Y1061=2,1,0)</f>
        <v>0</v>
      </c>
      <c r="AB1061" s="59">
        <f t="shared" si="314"/>
        <v>0</v>
      </c>
      <c r="AC1061" s="59">
        <f t="shared" si="315"/>
        <v>0</v>
      </c>
      <c r="AD1061" s="59">
        <f t="shared" si="316"/>
        <v>0</v>
      </c>
      <c r="AE1061" s="59">
        <f t="shared" si="317"/>
        <v>0</v>
      </c>
      <c r="AF1061" s="59">
        <f t="shared" si="318"/>
        <v>1</v>
      </c>
      <c r="AG1061" s="59">
        <f t="shared" si="319"/>
        <v>0</v>
      </c>
      <c r="AH1061" s="59">
        <v>3</v>
      </c>
      <c r="AI1061" s="59">
        <v>2</v>
      </c>
      <c r="AJ1061" s="59">
        <f t="shared" si="320"/>
        <v>0</v>
      </c>
      <c r="AK1061" s="59">
        <f t="shared" si="321"/>
        <v>1</v>
      </c>
      <c r="AL1061" s="59">
        <v>2404</v>
      </c>
      <c r="AM1061" s="59">
        <v>16192</v>
      </c>
      <c r="AN1061" s="59">
        <v>1</v>
      </c>
      <c r="AO1061" s="59">
        <v>0</v>
      </c>
      <c r="AP1061" s="59">
        <v>13</v>
      </c>
      <c r="AQ1061" s="59">
        <v>3</v>
      </c>
      <c r="AR1061" s="59">
        <v>1</v>
      </c>
      <c r="AS1061" s="59">
        <v>80</v>
      </c>
      <c r="AT1061" s="59">
        <v>1</v>
      </c>
      <c r="AU1061" s="59">
        <v>1</v>
      </c>
      <c r="AV1061" s="59">
        <v>3</v>
      </c>
      <c r="AW1061" s="59">
        <v>3</v>
      </c>
      <c r="AX1061" s="59">
        <v>1</v>
      </c>
      <c r="AY1061" s="59">
        <v>0</v>
      </c>
      <c r="AZ1061" s="59">
        <v>0</v>
      </c>
      <c r="BA1061" s="59">
        <v>0</v>
      </c>
      <c r="BB1061" s="57">
        <f t="shared" si="322"/>
        <v>2404</v>
      </c>
    </row>
    <row r="1062" spans="1:54" x14ac:dyDescent="0.25">
      <c r="A1062" s="58">
        <v>24</v>
      </c>
      <c r="B1062" s="59">
        <v>1</v>
      </c>
      <c r="C1062" s="59">
        <v>2</v>
      </c>
      <c r="D1062" s="59">
        <f t="shared" si="304"/>
        <v>0</v>
      </c>
      <c r="E1062" s="59">
        <f t="shared" si="305"/>
        <v>1</v>
      </c>
      <c r="F1062" s="59">
        <v>381</v>
      </c>
      <c r="G1062" s="59">
        <v>2</v>
      </c>
      <c r="H1062" s="59">
        <f t="shared" si="306"/>
        <v>0</v>
      </c>
      <c r="I1062" s="59">
        <f t="shared" si="307"/>
        <v>1</v>
      </c>
      <c r="J1062" s="59">
        <v>9</v>
      </c>
      <c r="K1062" s="59">
        <v>3</v>
      </c>
      <c r="L1062" s="59">
        <v>3</v>
      </c>
      <c r="M1062" s="59">
        <f t="shared" si="308"/>
        <v>0</v>
      </c>
      <c r="N1062" s="59">
        <f t="shared" si="309"/>
        <v>0</v>
      </c>
      <c r="O1062" s="59">
        <f t="shared" si="310"/>
        <v>1</v>
      </c>
      <c r="P1062" s="59">
        <f t="shared" si="311"/>
        <v>0</v>
      </c>
      <c r="Q1062" s="59">
        <f t="shared" si="312"/>
        <v>0</v>
      </c>
      <c r="R1062" s="59">
        <v>1</v>
      </c>
      <c r="S1062" s="59">
        <v>1494</v>
      </c>
      <c r="T1062" s="59">
        <v>2</v>
      </c>
      <c r="U1062" s="59">
        <v>1</v>
      </c>
      <c r="V1062" s="59">
        <v>89</v>
      </c>
      <c r="W1062" s="59">
        <v>3</v>
      </c>
      <c r="X1062" s="59">
        <v>1</v>
      </c>
      <c r="Y1062" s="59">
        <v>3</v>
      </c>
      <c r="Z1062" s="59">
        <f t="shared" si="313"/>
        <v>0</v>
      </c>
      <c r="AA1062" s="59">
        <f>IF('Updated Dummy'!Y1062=2,1,0)</f>
        <v>0</v>
      </c>
      <c r="AB1062" s="59">
        <f t="shared" si="314"/>
        <v>1</v>
      </c>
      <c r="AC1062" s="59">
        <f t="shared" si="315"/>
        <v>0</v>
      </c>
      <c r="AD1062" s="59">
        <f t="shared" si="316"/>
        <v>0</v>
      </c>
      <c r="AE1062" s="59">
        <f t="shared" si="317"/>
        <v>0</v>
      </c>
      <c r="AF1062" s="59">
        <f t="shared" si="318"/>
        <v>0</v>
      </c>
      <c r="AG1062" s="59">
        <f t="shared" si="319"/>
        <v>0</v>
      </c>
      <c r="AH1062" s="59">
        <v>1</v>
      </c>
      <c r="AI1062" s="59">
        <v>1</v>
      </c>
      <c r="AJ1062" s="59">
        <f t="shared" si="320"/>
        <v>1</v>
      </c>
      <c r="AK1062" s="59">
        <f t="shared" si="321"/>
        <v>0</v>
      </c>
      <c r="AL1062" s="59">
        <v>3172</v>
      </c>
      <c r="AM1062" s="59">
        <v>16998</v>
      </c>
      <c r="AN1062" s="59">
        <v>2</v>
      </c>
      <c r="AO1062" s="59">
        <v>1</v>
      </c>
      <c r="AP1062" s="59">
        <v>11</v>
      </c>
      <c r="AQ1062" s="59">
        <v>3</v>
      </c>
      <c r="AR1062" s="59">
        <v>3</v>
      </c>
      <c r="AS1062" s="59">
        <v>80</v>
      </c>
      <c r="AT1062" s="59">
        <v>0</v>
      </c>
      <c r="AU1062" s="59">
        <v>4</v>
      </c>
      <c r="AV1062" s="59">
        <v>2</v>
      </c>
      <c r="AW1062" s="59">
        <v>2</v>
      </c>
      <c r="AX1062" s="59">
        <v>0</v>
      </c>
      <c r="AY1062" s="59">
        <v>0</v>
      </c>
      <c r="AZ1062" s="59">
        <v>0</v>
      </c>
      <c r="BA1062" s="59">
        <v>0</v>
      </c>
      <c r="BB1062" s="57">
        <f t="shared" si="322"/>
        <v>3172</v>
      </c>
    </row>
    <row r="1063" spans="1:54" x14ac:dyDescent="0.25">
      <c r="A1063" s="58">
        <v>24</v>
      </c>
      <c r="B1063" s="59">
        <v>0</v>
      </c>
      <c r="C1063" s="59">
        <v>3</v>
      </c>
      <c r="D1063" s="59">
        <f t="shared" si="304"/>
        <v>0</v>
      </c>
      <c r="E1063" s="59">
        <f t="shared" si="305"/>
        <v>0</v>
      </c>
      <c r="F1063" s="59">
        <v>830</v>
      </c>
      <c r="G1063" s="59">
        <v>1</v>
      </c>
      <c r="H1063" s="59">
        <f t="shared" si="306"/>
        <v>1</v>
      </c>
      <c r="I1063" s="59">
        <f t="shared" si="307"/>
        <v>0</v>
      </c>
      <c r="J1063" s="59">
        <v>13</v>
      </c>
      <c r="K1063" s="59">
        <v>2</v>
      </c>
      <c r="L1063" s="59">
        <v>1</v>
      </c>
      <c r="M1063" s="59">
        <f t="shared" si="308"/>
        <v>1</v>
      </c>
      <c r="N1063" s="59">
        <f t="shared" si="309"/>
        <v>0</v>
      </c>
      <c r="O1063" s="59">
        <f t="shared" si="310"/>
        <v>0</v>
      </c>
      <c r="P1063" s="59">
        <f t="shared" si="311"/>
        <v>0</v>
      </c>
      <c r="Q1063" s="59">
        <f t="shared" si="312"/>
        <v>0</v>
      </c>
      <c r="R1063" s="59">
        <v>1</v>
      </c>
      <c r="S1063" s="59">
        <v>1495</v>
      </c>
      <c r="T1063" s="59">
        <v>4</v>
      </c>
      <c r="U1063" s="59">
        <v>0</v>
      </c>
      <c r="V1063" s="59">
        <v>78</v>
      </c>
      <c r="W1063" s="59">
        <v>3</v>
      </c>
      <c r="X1063" s="59">
        <v>1</v>
      </c>
      <c r="Y1063" s="59">
        <v>7</v>
      </c>
      <c r="Z1063" s="59">
        <f t="shared" si="313"/>
        <v>0</v>
      </c>
      <c r="AA1063" s="59">
        <f>IF('Updated Dummy'!Y1063=2,1,0)</f>
        <v>0</v>
      </c>
      <c r="AB1063" s="59">
        <f t="shared" si="314"/>
        <v>0</v>
      </c>
      <c r="AC1063" s="59">
        <f t="shared" si="315"/>
        <v>0</v>
      </c>
      <c r="AD1063" s="59">
        <f t="shared" si="316"/>
        <v>0</v>
      </c>
      <c r="AE1063" s="59">
        <f t="shared" si="317"/>
        <v>0</v>
      </c>
      <c r="AF1063" s="59">
        <f t="shared" si="318"/>
        <v>1</v>
      </c>
      <c r="AG1063" s="59">
        <f t="shared" si="319"/>
        <v>0</v>
      </c>
      <c r="AH1063" s="59">
        <v>2</v>
      </c>
      <c r="AI1063" s="59">
        <v>2</v>
      </c>
      <c r="AJ1063" s="59">
        <f t="shared" si="320"/>
        <v>0</v>
      </c>
      <c r="AK1063" s="59">
        <f t="shared" si="321"/>
        <v>1</v>
      </c>
      <c r="AL1063" s="59">
        <v>2033</v>
      </c>
      <c r="AM1063" s="59">
        <v>7103</v>
      </c>
      <c r="AN1063" s="59">
        <v>1</v>
      </c>
      <c r="AO1063" s="59">
        <v>0</v>
      </c>
      <c r="AP1063" s="59">
        <v>13</v>
      </c>
      <c r="AQ1063" s="59">
        <v>3</v>
      </c>
      <c r="AR1063" s="59">
        <v>3</v>
      </c>
      <c r="AS1063" s="59">
        <v>80</v>
      </c>
      <c r="AT1063" s="59">
        <v>1</v>
      </c>
      <c r="AU1063" s="59">
        <v>1</v>
      </c>
      <c r="AV1063" s="59">
        <v>2</v>
      </c>
      <c r="AW1063" s="59">
        <v>3</v>
      </c>
      <c r="AX1063" s="59">
        <v>1</v>
      </c>
      <c r="AY1063" s="59">
        <v>0</v>
      </c>
      <c r="AZ1063" s="59">
        <v>0</v>
      </c>
      <c r="BA1063" s="59">
        <v>0</v>
      </c>
      <c r="BB1063" s="57">
        <f t="shared" si="322"/>
        <v>2033</v>
      </c>
    </row>
    <row r="1064" spans="1:54" x14ac:dyDescent="0.25">
      <c r="A1064" s="58">
        <v>44</v>
      </c>
      <c r="B1064" s="59">
        <v>0</v>
      </c>
      <c r="C1064" s="59">
        <v>2</v>
      </c>
      <c r="D1064" s="59">
        <f t="shared" si="304"/>
        <v>0</v>
      </c>
      <c r="E1064" s="59">
        <f t="shared" si="305"/>
        <v>1</v>
      </c>
      <c r="F1064" s="59">
        <v>1193</v>
      </c>
      <c r="G1064" s="59">
        <v>2</v>
      </c>
      <c r="H1064" s="59">
        <f t="shared" si="306"/>
        <v>0</v>
      </c>
      <c r="I1064" s="59">
        <f t="shared" si="307"/>
        <v>1</v>
      </c>
      <c r="J1064" s="59">
        <v>2</v>
      </c>
      <c r="K1064" s="59">
        <v>1</v>
      </c>
      <c r="L1064" s="59">
        <v>3</v>
      </c>
      <c r="M1064" s="59">
        <f t="shared" si="308"/>
        <v>0</v>
      </c>
      <c r="N1064" s="59">
        <f t="shared" si="309"/>
        <v>0</v>
      </c>
      <c r="O1064" s="59">
        <f t="shared" si="310"/>
        <v>1</v>
      </c>
      <c r="P1064" s="59">
        <f t="shared" si="311"/>
        <v>0</v>
      </c>
      <c r="Q1064" s="59">
        <f t="shared" si="312"/>
        <v>0</v>
      </c>
      <c r="R1064" s="59">
        <v>1</v>
      </c>
      <c r="S1064" s="59">
        <v>1496</v>
      </c>
      <c r="T1064" s="59">
        <v>2</v>
      </c>
      <c r="U1064" s="59">
        <v>1</v>
      </c>
      <c r="V1064" s="59">
        <v>86</v>
      </c>
      <c r="W1064" s="59">
        <v>3</v>
      </c>
      <c r="X1064" s="59">
        <v>3</v>
      </c>
      <c r="Y1064" s="59">
        <v>4</v>
      </c>
      <c r="Z1064" s="59">
        <f t="shared" si="313"/>
        <v>0</v>
      </c>
      <c r="AA1064" s="59">
        <f>IF('Updated Dummy'!Y1064=2,1,0)</f>
        <v>0</v>
      </c>
      <c r="AB1064" s="59">
        <f t="shared" si="314"/>
        <v>0</v>
      </c>
      <c r="AC1064" s="59">
        <f t="shared" si="315"/>
        <v>1</v>
      </c>
      <c r="AD1064" s="59">
        <f t="shared" si="316"/>
        <v>0</v>
      </c>
      <c r="AE1064" s="59">
        <f t="shared" si="317"/>
        <v>0</v>
      </c>
      <c r="AF1064" s="59">
        <f t="shared" si="318"/>
        <v>0</v>
      </c>
      <c r="AG1064" s="59">
        <f t="shared" si="319"/>
        <v>0</v>
      </c>
      <c r="AH1064" s="59">
        <v>3</v>
      </c>
      <c r="AI1064" s="59">
        <v>1</v>
      </c>
      <c r="AJ1064" s="59">
        <f t="shared" si="320"/>
        <v>1</v>
      </c>
      <c r="AK1064" s="59">
        <f t="shared" si="321"/>
        <v>0</v>
      </c>
      <c r="AL1064" s="59">
        <v>10209</v>
      </c>
      <c r="AM1064" s="59">
        <v>19719</v>
      </c>
      <c r="AN1064" s="59">
        <v>5</v>
      </c>
      <c r="AO1064" s="59">
        <v>1</v>
      </c>
      <c r="AP1064" s="59">
        <v>18</v>
      </c>
      <c r="AQ1064" s="59">
        <v>3</v>
      </c>
      <c r="AR1064" s="59">
        <v>2</v>
      </c>
      <c r="AS1064" s="59">
        <v>80</v>
      </c>
      <c r="AT1064" s="59">
        <v>0</v>
      </c>
      <c r="AU1064" s="59">
        <v>16</v>
      </c>
      <c r="AV1064" s="59">
        <v>2</v>
      </c>
      <c r="AW1064" s="59">
        <v>2</v>
      </c>
      <c r="AX1064" s="59">
        <v>2</v>
      </c>
      <c r="AY1064" s="59">
        <v>2</v>
      </c>
      <c r="AZ1064" s="59">
        <v>2</v>
      </c>
      <c r="BA1064" s="59">
        <v>2</v>
      </c>
      <c r="BB1064" s="57">
        <f t="shared" si="322"/>
        <v>30627</v>
      </c>
    </row>
    <row r="1065" spans="1:54" x14ac:dyDescent="0.25">
      <c r="A1065" s="58">
        <v>29</v>
      </c>
      <c r="B1065" s="59">
        <v>0</v>
      </c>
      <c r="C1065" s="59">
        <v>1</v>
      </c>
      <c r="D1065" s="59">
        <f t="shared" si="304"/>
        <v>1</v>
      </c>
      <c r="E1065" s="59">
        <f t="shared" si="305"/>
        <v>0</v>
      </c>
      <c r="F1065" s="59">
        <v>1246</v>
      </c>
      <c r="G1065" s="59">
        <v>1</v>
      </c>
      <c r="H1065" s="59">
        <f t="shared" si="306"/>
        <v>1</v>
      </c>
      <c r="I1065" s="59">
        <f t="shared" si="307"/>
        <v>0</v>
      </c>
      <c r="J1065" s="59">
        <v>19</v>
      </c>
      <c r="K1065" s="59">
        <v>3</v>
      </c>
      <c r="L1065" s="59">
        <v>1</v>
      </c>
      <c r="M1065" s="59">
        <f t="shared" si="308"/>
        <v>1</v>
      </c>
      <c r="N1065" s="59">
        <f t="shared" si="309"/>
        <v>0</v>
      </c>
      <c r="O1065" s="59">
        <f t="shared" si="310"/>
        <v>0</v>
      </c>
      <c r="P1065" s="59">
        <f t="shared" si="311"/>
        <v>0</v>
      </c>
      <c r="Q1065" s="59">
        <f t="shared" si="312"/>
        <v>0</v>
      </c>
      <c r="R1065" s="59">
        <v>1</v>
      </c>
      <c r="S1065" s="59">
        <v>1497</v>
      </c>
      <c r="T1065" s="59">
        <v>3</v>
      </c>
      <c r="U1065" s="59">
        <v>1</v>
      </c>
      <c r="V1065" s="59">
        <v>77</v>
      </c>
      <c r="W1065" s="59">
        <v>2</v>
      </c>
      <c r="X1065" s="59">
        <v>2</v>
      </c>
      <c r="Y1065" s="59">
        <v>1</v>
      </c>
      <c r="Z1065" s="59">
        <f t="shared" si="313"/>
        <v>1</v>
      </c>
      <c r="AA1065" s="59">
        <f>IF('Updated Dummy'!Y1065=2,1,0)</f>
        <v>0</v>
      </c>
      <c r="AB1065" s="59">
        <f t="shared" si="314"/>
        <v>0</v>
      </c>
      <c r="AC1065" s="59">
        <f t="shared" si="315"/>
        <v>0</v>
      </c>
      <c r="AD1065" s="59">
        <f t="shared" si="316"/>
        <v>0</v>
      </c>
      <c r="AE1065" s="59">
        <f t="shared" si="317"/>
        <v>0</v>
      </c>
      <c r="AF1065" s="59">
        <f t="shared" si="318"/>
        <v>0</v>
      </c>
      <c r="AG1065" s="59">
        <f t="shared" si="319"/>
        <v>0</v>
      </c>
      <c r="AH1065" s="59">
        <v>3</v>
      </c>
      <c r="AI1065" s="59">
        <v>3</v>
      </c>
      <c r="AJ1065" s="59">
        <f t="shared" si="320"/>
        <v>0</v>
      </c>
      <c r="AK1065" s="59">
        <f t="shared" si="321"/>
        <v>0</v>
      </c>
      <c r="AL1065" s="59">
        <v>8620</v>
      </c>
      <c r="AM1065" s="59">
        <v>23757</v>
      </c>
      <c r="AN1065" s="59">
        <v>1</v>
      </c>
      <c r="AO1065" s="59">
        <v>0</v>
      </c>
      <c r="AP1065" s="59">
        <v>14</v>
      </c>
      <c r="AQ1065" s="59">
        <v>3</v>
      </c>
      <c r="AR1065" s="59">
        <v>3</v>
      </c>
      <c r="AS1065" s="59">
        <v>80</v>
      </c>
      <c r="AT1065" s="59">
        <v>2</v>
      </c>
      <c r="AU1065" s="59">
        <v>10</v>
      </c>
      <c r="AV1065" s="59">
        <v>3</v>
      </c>
      <c r="AW1065" s="59">
        <v>3</v>
      </c>
      <c r="AX1065" s="59">
        <v>10</v>
      </c>
      <c r="AY1065" s="59">
        <v>7</v>
      </c>
      <c r="AZ1065" s="59">
        <v>0</v>
      </c>
      <c r="BA1065" s="59">
        <v>4</v>
      </c>
      <c r="BB1065" s="57">
        <f t="shared" si="322"/>
        <v>17240</v>
      </c>
    </row>
    <row r="1066" spans="1:54" x14ac:dyDescent="0.25">
      <c r="A1066" s="58">
        <v>30</v>
      </c>
      <c r="B1066" s="59">
        <v>0</v>
      </c>
      <c r="C1066" s="59">
        <v>1</v>
      </c>
      <c r="D1066" s="59">
        <f t="shared" si="304"/>
        <v>1</v>
      </c>
      <c r="E1066" s="59">
        <f t="shared" si="305"/>
        <v>0</v>
      </c>
      <c r="F1066" s="59">
        <v>330</v>
      </c>
      <c r="G1066" s="59">
        <v>3</v>
      </c>
      <c r="H1066" s="59">
        <f t="shared" si="306"/>
        <v>0</v>
      </c>
      <c r="I1066" s="59">
        <f t="shared" si="307"/>
        <v>0</v>
      </c>
      <c r="J1066" s="59">
        <v>1</v>
      </c>
      <c r="K1066" s="59">
        <v>3</v>
      </c>
      <c r="L1066" s="59">
        <v>1</v>
      </c>
      <c r="M1066" s="59">
        <f t="shared" si="308"/>
        <v>1</v>
      </c>
      <c r="N1066" s="59">
        <f t="shared" si="309"/>
        <v>0</v>
      </c>
      <c r="O1066" s="59">
        <f t="shared" si="310"/>
        <v>0</v>
      </c>
      <c r="P1066" s="59">
        <f t="shared" si="311"/>
        <v>0</v>
      </c>
      <c r="Q1066" s="59">
        <f t="shared" si="312"/>
        <v>0</v>
      </c>
      <c r="R1066" s="59">
        <v>1</v>
      </c>
      <c r="S1066" s="59">
        <v>1499</v>
      </c>
      <c r="T1066" s="59">
        <v>3</v>
      </c>
      <c r="U1066" s="59">
        <v>1</v>
      </c>
      <c r="V1066" s="59">
        <v>46</v>
      </c>
      <c r="W1066" s="59">
        <v>3</v>
      </c>
      <c r="X1066" s="59">
        <v>1</v>
      </c>
      <c r="Y1066" s="59">
        <v>9</v>
      </c>
      <c r="Z1066" s="59">
        <f t="shared" si="313"/>
        <v>0</v>
      </c>
      <c r="AA1066" s="59">
        <f>IF('Updated Dummy'!Y1066=2,1,0)</f>
        <v>0</v>
      </c>
      <c r="AB1066" s="59">
        <f t="shared" si="314"/>
        <v>0</v>
      </c>
      <c r="AC1066" s="59">
        <f t="shared" si="315"/>
        <v>0</v>
      </c>
      <c r="AD1066" s="59">
        <f t="shared" si="316"/>
        <v>0</v>
      </c>
      <c r="AE1066" s="59">
        <f t="shared" si="317"/>
        <v>0</v>
      </c>
      <c r="AF1066" s="59">
        <f t="shared" si="318"/>
        <v>0</v>
      </c>
      <c r="AG1066" s="59">
        <f t="shared" si="319"/>
        <v>0</v>
      </c>
      <c r="AH1066" s="59">
        <v>3</v>
      </c>
      <c r="AI1066" s="59">
        <v>3</v>
      </c>
      <c r="AJ1066" s="59">
        <f t="shared" si="320"/>
        <v>0</v>
      </c>
      <c r="AK1066" s="59">
        <f t="shared" si="321"/>
        <v>0</v>
      </c>
      <c r="AL1066" s="59">
        <v>2064</v>
      </c>
      <c r="AM1066" s="59">
        <v>15428</v>
      </c>
      <c r="AN1066" s="59">
        <v>0</v>
      </c>
      <c r="AO1066" s="59">
        <v>0</v>
      </c>
      <c r="AP1066" s="59">
        <v>21</v>
      </c>
      <c r="AQ1066" s="59">
        <v>4</v>
      </c>
      <c r="AR1066" s="59">
        <v>1</v>
      </c>
      <c r="AS1066" s="59">
        <v>80</v>
      </c>
      <c r="AT1066" s="59">
        <v>1</v>
      </c>
      <c r="AU1066" s="59">
        <v>6</v>
      </c>
      <c r="AV1066" s="59">
        <v>3</v>
      </c>
      <c r="AW1066" s="59">
        <v>4</v>
      </c>
      <c r="AX1066" s="59">
        <v>5</v>
      </c>
      <c r="AY1066" s="59">
        <v>3</v>
      </c>
      <c r="AZ1066" s="59">
        <v>1</v>
      </c>
      <c r="BA1066" s="59">
        <v>3</v>
      </c>
      <c r="BB1066" s="57">
        <f t="shared" si="322"/>
        <v>2064</v>
      </c>
    </row>
    <row r="1067" spans="1:54" x14ac:dyDescent="0.25">
      <c r="A1067" s="58">
        <v>55</v>
      </c>
      <c r="B1067" s="59">
        <v>0</v>
      </c>
      <c r="C1067" s="59">
        <v>1</v>
      </c>
      <c r="D1067" s="59">
        <f t="shared" si="304"/>
        <v>1</v>
      </c>
      <c r="E1067" s="59">
        <f t="shared" si="305"/>
        <v>0</v>
      </c>
      <c r="F1067" s="59">
        <v>1229</v>
      </c>
      <c r="G1067" s="59">
        <v>2</v>
      </c>
      <c r="H1067" s="59">
        <f t="shared" si="306"/>
        <v>0</v>
      </c>
      <c r="I1067" s="59">
        <f t="shared" si="307"/>
        <v>1</v>
      </c>
      <c r="J1067" s="59">
        <v>4</v>
      </c>
      <c r="K1067" s="59">
        <v>4</v>
      </c>
      <c r="L1067" s="59">
        <v>1</v>
      </c>
      <c r="M1067" s="59">
        <f t="shared" si="308"/>
        <v>1</v>
      </c>
      <c r="N1067" s="59">
        <f t="shared" si="309"/>
        <v>0</v>
      </c>
      <c r="O1067" s="59">
        <f t="shared" si="310"/>
        <v>0</v>
      </c>
      <c r="P1067" s="59">
        <f t="shared" si="311"/>
        <v>0</v>
      </c>
      <c r="Q1067" s="59">
        <f t="shared" si="312"/>
        <v>0</v>
      </c>
      <c r="R1067" s="59">
        <v>1</v>
      </c>
      <c r="S1067" s="59">
        <v>1501</v>
      </c>
      <c r="T1067" s="59">
        <v>4</v>
      </c>
      <c r="U1067" s="59">
        <v>1</v>
      </c>
      <c r="V1067" s="59">
        <v>30</v>
      </c>
      <c r="W1067" s="59">
        <v>3</v>
      </c>
      <c r="X1067" s="59">
        <v>2</v>
      </c>
      <c r="Y1067" s="59">
        <v>5</v>
      </c>
      <c r="Z1067" s="59">
        <f t="shared" si="313"/>
        <v>0</v>
      </c>
      <c r="AA1067" s="59">
        <f>IF('Updated Dummy'!Y1067=2,1,0)</f>
        <v>0</v>
      </c>
      <c r="AB1067" s="59">
        <f t="shared" si="314"/>
        <v>0</v>
      </c>
      <c r="AC1067" s="59">
        <f t="shared" si="315"/>
        <v>0</v>
      </c>
      <c r="AD1067" s="59">
        <f t="shared" si="316"/>
        <v>1</v>
      </c>
      <c r="AE1067" s="59">
        <f t="shared" si="317"/>
        <v>0</v>
      </c>
      <c r="AF1067" s="59">
        <f t="shared" si="318"/>
        <v>0</v>
      </c>
      <c r="AG1067" s="59">
        <f t="shared" si="319"/>
        <v>0</v>
      </c>
      <c r="AH1067" s="59">
        <v>3</v>
      </c>
      <c r="AI1067" s="59">
        <v>2</v>
      </c>
      <c r="AJ1067" s="59">
        <f t="shared" si="320"/>
        <v>0</v>
      </c>
      <c r="AK1067" s="59">
        <f t="shared" si="321"/>
        <v>1</v>
      </c>
      <c r="AL1067" s="59">
        <v>4035</v>
      </c>
      <c r="AM1067" s="59">
        <v>16143</v>
      </c>
      <c r="AN1067" s="59">
        <v>0</v>
      </c>
      <c r="AO1067" s="59">
        <v>1</v>
      </c>
      <c r="AP1067" s="59">
        <v>16</v>
      </c>
      <c r="AQ1067" s="59">
        <v>3</v>
      </c>
      <c r="AR1067" s="59">
        <v>2</v>
      </c>
      <c r="AS1067" s="59">
        <v>80</v>
      </c>
      <c r="AT1067" s="59">
        <v>0</v>
      </c>
      <c r="AU1067" s="59">
        <v>4</v>
      </c>
      <c r="AV1067" s="59">
        <v>2</v>
      </c>
      <c r="AW1067" s="59">
        <v>3</v>
      </c>
      <c r="AX1067" s="59">
        <v>3</v>
      </c>
      <c r="AY1067" s="59">
        <v>2</v>
      </c>
      <c r="AZ1067" s="59">
        <v>1</v>
      </c>
      <c r="BA1067" s="59">
        <v>2</v>
      </c>
      <c r="BB1067" s="57">
        <f t="shared" si="322"/>
        <v>8070</v>
      </c>
    </row>
    <row r="1068" spans="1:54" x14ac:dyDescent="0.25">
      <c r="A1068" s="58">
        <v>33</v>
      </c>
      <c r="B1068" s="59">
        <v>0</v>
      </c>
      <c r="C1068" s="59">
        <v>1</v>
      </c>
      <c r="D1068" s="59">
        <f t="shared" si="304"/>
        <v>1</v>
      </c>
      <c r="E1068" s="59">
        <f t="shared" si="305"/>
        <v>0</v>
      </c>
      <c r="F1068" s="59">
        <v>1099</v>
      </c>
      <c r="G1068" s="59">
        <v>2</v>
      </c>
      <c r="H1068" s="59">
        <f t="shared" si="306"/>
        <v>0</v>
      </c>
      <c r="I1068" s="59">
        <f t="shared" si="307"/>
        <v>1</v>
      </c>
      <c r="J1068" s="59">
        <v>4</v>
      </c>
      <c r="K1068" s="59">
        <v>4</v>
      </c>
      <c r="L1068" s="59">
        <v>3</v>
      </c>
      <c r="M1068" s="59">
        <f t="shared" si="308"/>
        <v>0</v>
      </c>
      <c r="N1068" s="59">
        <f t="shared" si="309"/>
        <v>0</v>
      </c>
      <c r="O1068" s="59">
        <f t="shared" si="310"/>
        <v>1</v>
      </c>
      <c r="P1068" s="59">
        <f t="shared" si="311"/>
        <v>0</v>
      </c>
      <c r="Q1068" s="59">
        <f t="shared" si="312"/>
        <v>0</v>
      </c>
      <c r="R1068" s="59">
        <v>1</v>
      </c>
      <c r="S1068" s="59">
        <v>1502</v>
      </c>
      <c r="T1068" s="59">
        <v>1</v>
      </c>
      <c r="U1068" s="59">
        <v>0</v>
      </c>
      <c r="V1068" s="59">
        <v>82</v>
      </c>
      <c r="W1068" s="59">
        <v>2</v>
      </c>
      <c r="X1068" s="59">
        <v>1</v>
      </c>
      <c r="Y1068" s="59">
        <v>3</v>
      </c>
      <c r="Z1068" s="59">
        <f t="shared" si="313"/>
        <v>0</v>
      </c>
      <c r="AA1068" s="59">
        <f>IF('Updated Dummy'!Y1068=2,1,0)</f>
        <v>0</v>
      </c>
      <c r="AB1068" s="59">
        <f t="shared" si="314"/>
        <v>1</v>
      </c>
      <c r="AC1068" s="59">
        <f t="shared" si="315"/>
        <v>0</v>
      </c>
      <c r="AD1068" s="59">
        <f t="shared" si="316"/>
        <v>0</v>
      </c>
      <c r="AE1068" s="59">
        <f t="shared" si="317"/>
        <v>0</v>
      </c>
      <c r="AF1068" s="59">
        <f t="shared" si="318"/>
        <v>0</v>
      </c>
      <c r="AG1068" s="59">
        <f t="shared" si="319"/>
        <v>0</v>
      </c>
      <c r="AH1068" s="59">
        <v>2</v>
      </c>
      <c r="AI1068" s="59">
        <v>2</v>
      </c>
      <c r="AJ1068" s="59">
        <f t="shared" si="320"/>
        <v>0</v>
      </c>
      <c r="AK1068" s="59">
        <f t="shared" si="321"/>
        <v>1</v>
      </c>
      <c r="AL1068" s="59">
        <v>3838</v>
      </c>
      <c r="AM1068" s="59">
        <v>8192</v>
      </c>
      <c r="AN1068" s="59">
        <v>8</v>
      </c>
      <c r="AO1068" s="59">
        <v>0</v>
      </c>
      <c r="AP1068" s="59">
        <v>11</v>
      </c>
      <c r="AQ1068" s="59">
        <v>3</v>
      </c>
      <c r="AR1068" s="59">
        <v>4</v>
      </c>
      <c r="AS1068" s="59">
        <v>80</v>
      </c>
      <c r="AT1068" s="59">
        <v>0</v>
      </c>
      <c r="AU1068" s="59">
        <v>8</v>
      </c>
      <c r="AV1068" s="59">
        <v>5</v>
      </c>
      <c r="AW1068" s="59">
        <v>3</v>
      </c>
      <c r="AX1068" s="59">
        <v>5</v>
      </c>
      <c r="AY1068" s="59">
        <v>4</v>
      </c>
      <c r="AZ1068" s="59">
        <v>0</v>
      </c>
      <c r="BA1068" s="59">
        <v>2</v>
      </c>
      <c r="BB1068" s="57">
        <f t="shared" si="322"/>
        <v>3838</v>
      </c>
    </row>
    <row r="1069" spans="1:54" x14ac:dyDescent="0.25">
      <c r="A1069" s="58">
        <v>47</v>
      </c>
      <c r="B1069" s="59">
        <v>0</v>
      </c>
      <c r="C1069" s="59">
        <v>1</v>
      </c>
      <c r="D1069" s="59">
        <f t="shared" si="304"/>
        <v>1</v>
      </c>
      <c r="E1069" s="59">
        <f t="shared" si="305"/>
        <v>0</v>
      </c>
      <c r="F1069" s="59">
        <v>571</v>
      </c>
      <c r="G1069" s="59">
        <v>1</v>
      </c>
      <c r="H1069" s="59">
        <f t="shared" si="306"/>
        <v>1</v>
      </c>
      <c r="I1069" s="59">
        <f t="shared" si="307"/>
        <v>0</v>
      </c>
      <c r="J1069" s="59">
        <v>14</v>
      </c>
      <c r="K1069" s="59">
        <v>3</v>
      </c>
      <c r="L1069" s="59">
        <v>3</v>
      </c>
      <c r="M1069" s="59">
        <f t="shared" si="308"/>
        <v>0</v>
      </c>
      <c r="N1069" s="59">
        <f t="shared" si="309"/>
        <v>0</v>
      </c>
      <c r="O1069" s="59">
        <f t="shared" si="310"/>
        <v>1</v>
      </c>
      <c r="P1069" s="59">
        <f t="shared" si="311"/>
        <v>0</v>
      </c>
      <c r="Q1069" s="59">
        <f t="shared" si="312"/>
        <v>0</v>
      </c>
      <c r="R1069" s="59">
        <v>1</v>
      </c>
      <c r="S1069" s="59">
        <v>1503</v>
      </c>
      <c r="T1069" s="59">
        <v>3</v>
      </c>
      <c r="U1069" s="59">
        <v>0</v>
      </c>
      <c r="V1069" s="59">
        <v>78</v>
      </c>
      <c r="W1069" s="59">
        <v>3</v>
      </c>
      <c r="X1069" s="59">
        <v>2</v>
      </c>
      <c r="Y1069" s="59">
        <v>1</v>
      </c>
      <c r="Z1069" s="59">
        <f t="shared" si="313"/>
        <v>1</v>
      </c>
      <c r="AA1069" s="59">
        <f>IF('Updated Dummy'!Y1069=2,1,0)</f>
        <v>0</v>
      </c>
      <c r="AB1069" s="59">
        <f t="shared" si="314"/>
        <v>0</v>
      </c>
      <c r="AC1069" s="59">
        <f t="shared" si="315"/>
        <v>0</v>
      </c>
      <c r="AD1069" s="59">
        <f t="shared" si="316"/>
        <v>0</v>
      </c>
      <c r="AE1069" s="59">
        <f t="shared" si="317"/>
        <v>0</v>
      </c>
      <c r="AF1069" s="59">
        <f t="shared" si="318"/>
        <v>0</v>
      </c>
      <c r="AG1069" s="59">
        <f t="shared" si="319"/>
        <v>0</v>
      </c>
      <c r="AH1069" s="59">
        <v>3</v>
      </c>
      <c r="AI1069" s="59">
        <v>2</v>
      </c>
      <c r="AJ1069" s="59">
        <f t="shared" si="320"/>
        <v>0</v>
      </c>
      <c r="AK1069" s="59">
        <f t="shared" si="321"/>
        <v>1</v>
      </c>
      <c r="AL1069" s="59">
        <v>4591</v>
      </c>
      <c r="AM1069" s="59">
        <v>24200</v>
      </c>
      <c r="AN1069" s="59">
        <v>3</v>
      </c>
      <c r="AO1069" s="59">
        <v>1</v>
      </c>
      <c r="AP1069" s="59">
        <v>17</v>
      </c>
      <c r="AQ1069" s="59">
        <v>3</v>
      </c>
      <c r="AR1069" s="59">
        <v>3</v>
      </c>
      <c r="AS1069" s="59">
        <v>80</v>
      </c>
      <c r="AT1069" s="59">
        <v>1</v>
      </c>
      <c r="AU1069" s="59">
        <v>11</v>
      </c>
      <c r="AV1069" s="59">
        <v>4</v>
      </c>
      <c r="AW1069" s="59">
        <v>2</v>
      </c>
      <c r="AX1069" s="59">
        <v>5</v>
      </c>
      <c r="AY1069" s="59">
        <v>4</v>
      </c>
      <c r="AZ1069" s="59">
        <v>1</v>
      </c>
      <c r="BA1069" s="59">
        <v>2</v>
      </c>
      <c r="BB1069" s="57">
        <f t="shared" si="322"/>
        <v>9182</v>
      </c>
    </row>
    <row r="1070" spans="1:54" x14ac:dyDescent="0.25">
      <c r="A1070" s="58">
        <v>28</v>
      </c>
      <c r="B1070" s="59">
        <v>1</v>
      </c>
      <c r="C1070" s="59">
        <v>2</v>
      </c>
      <c r="D1070" s="59">
        <f t="shared" si="304"/>
        <v>0</v>
      </c>
      <c r="E1070" s="59">
        <f t="shared" si="305"/>
        <v>1</v>
      </c>
      <c r="F1070" s="59">
        <v>289</v>
      </c>
      <c r="G1070" s="59">
        <v>2</v>
      </c>
      <c r="H1070" s="59">
        <f t="shared" si="306"/>
        <v>0</v>
      </c>
      <c r="I1070" s="59">
        <f t="shared" si="307"/>
        <v>1</v>
      </c>
      <c r="J1070" s="59">
        <v>2</v>
      </c>
      <c r="K1070" s="59">
        <v>2</v>
      </c>
      <c r="L1070" s="59">
        <v>3</v>
      </c>
      <c r="M1070" s="59">
        <f t="shared" si="308"/>
        <v>0</v>
      </c>
      <c r="N1070" s="59">
        <f t="shared" si="309"/>
        <v>0</v>
      </c>
      <c r="O1070" s="59">
        <f t="shared" si="310"/>
        <v>1</v>
      </c>
      <c r="P1070" s="59">
        <f t="shared" si="311"/>
        <v>0</v>
      </c>
      <c r="Q1070" s="59">
        <f t="shared" si="312"/>
        <v>0</v>
      </c>
      <c r="R1070" s="59">
        <v>1</v>
      </c>
      <c r="S1070" s="59">
        <v>1504</v>
      </c>
      <c r="T1070" s="59">
        <v>3</v>
      </c>
      <c r="U1070" s="59">
        <v>1</v>
      </c>
      <c r="V1070" s="59">
        <v>38</v>
      </c>
      <c r="W1070" s="59">
        <v>2</v>
      </c>
      <c r="X1070" s="59">
        <v>1</v>
      </c>
      <c r="Y1070" s="59">
        <v>3</v>
      </c>
      <c r="Z1070" s="59">
        <f t="shared" si="313"/>
        <v>0</v>
      </c>
      <c r="AA1070" s="59">
        <f>IF('Updated Dummy'!Y1070=2,1,0)</f>
        <v>0</v>
      </c>
      <c r="AB1070" s="59">
        <f t="shared" si="314"/>
        <v>1</v>
      </c>
      <c r="AC1070" s="59">
        <f t="shared" si="315"/>
        <v>0</v>
      </c>
      <c r="AD1070" s="59">
        <f t="shared" si="316"/>
        <v>0</v>
      </c>
      <c r="AE1070" s="59">
        <f t="shared" si="317"/>
        <v>0</v>
      </c>
      <c r="AF1070" s="59">
        <f t="shared" si="318"/>
        <v>0</v>
      </c>
      <c r="AG1070" s="59">
        <f t="shared" si="319"/>
        <v>0</v>
      </c>
      <c r="AH1070" s="59">
        <v>1</v>
      </c>
      <c r="AI1070" s="59">
        <v>1</v>
      </c>
      <c r="AJ1070" s="59">
        <f t="shared" si="320"/>
        <v>1</v>
      </c>
      <c r="AK1070" s="59">
        <f t="shared" si="321"/>
        <v>0</v>
      </c>
      <c r="AL1070" s="59">
        <v>2561</v>
      </c>
      <c r="AM1070" s="59">
        <v>5355</v>
      </c>
      <c r="AN1070" s="59">
        <v>7</v>
      </c>
      <c r="AO1070" s="59">
        <v>0</v>
      </c>
      <c r="AP1070" s="59">
        <v>11</v>
      </c>
      <c r="AQ1070" s="59">
        <v>3</v>
      </c>
      <c r="AR1070" s="59">
        <v>3</v>
      </c>
      <c r="AS1070" s="59">
        <v>80</v>
      </c>
      <c r="AT1070" s="59">
        <v>0</v>
      </c>
      <c r="AU1070" s="59">
        <v>8</v>
      </c>
      <c r="AV1070" s="59">
        <v>2</v>
      </c>
      <c r="AW1070" s="59">
        <v>2</v>
      </c>
      <c r="AX1070" s="59">
        <v>0</v>
      </c>
      <c r="AY1070" s="59">
        <v>0</v>
      </c>
      <c r="AZ1070" s="59">
        <v>0</v>
      </c>
      <c r="BA1070" s="59">
        <v>0</v>
      </c>
      <c r="BB1070" s="57">
        <f t="shared" si="322"/>
        <v>2561</v>
      </c>
    </row>
    <row r="1071" spans="1:54" x14ac:dyDescent="0.25">
      <c r="A1071" s="58">
        <v>28</v>
      </c>
      <c r="B1071" s="59">
        <v>0</v>
      </c>
      <c r="C1071" s="59">
        <v>1</v>
      </c>
      <c r="D1071" s="59">
        <f t="shared" si="304"/>
        <v>1</v>
      </c>
      <c r="E1071" s="59">
        <f t="shared" si="305"/>
        <v>0</v>
      </c>
      <c r="F1071" s="59">
        <v>1423</v>
      </c>
      <c r="G1071" s="59">
        <v>2</v>
      </c>
      <c r="H1071" s="59">
        <f t="shared" si="306"/>
        <v>0</v>
      </c>
      <c r="I1071" s="59">
        <f t="shared" si="307"/>
        <v>1</v>
      </c>
      <c r="J1071" s="59">
        <v>1</v>
      </c>
      <c r="K1071" s="59">
        <v>3</v>
      </c>
      <c r="L1071" s="59">
        <v>1</v>
      </c>
      <c r="M1071" s="59">
        <f t="shared" si="308"/>
        <v>1</v>
      </c>
      <c r="N1071" s="59">
        <f t="shared" si="309"/>
        <v>0</v>
      </c>
      <c r="O1071" s="59">
        <f t="shared" si="310"/>
        <v>0</v>
      </c>
      <c r="P1071" s="59">
        <f t="shared" si="311"/>
        <v>0</v>
      </c>
      <c r="Q1071" s="59">
        <f t="shared" si="312"/>
        <v>0</v>
      </c>
      <c r="R1071" s="59">
        <v>1</v>
      </c>
      <c r="S1071" s="59">
        <v>1506</v>
      </c>
      <c r="T1071" s="59">
        <v>1</v>
      </c>
      <c r="U1071" s="59">
        <v>1</v>
      </c>
      <c r="V1071" s="59">
        <v>72</v>
      </c>
      <c r="W1071" s="59">
        <v>2</v>
      </c>
      <c r="X1071" s="59">
        <v>1</v>
      </c>
      <c r="Y1071" s="59">
        <v>2</v>
      </c>
      <c r="Z1071" s="59">
        <f t="shared" si="313"/>
        <v>0</v>
      </c>
      <c r="AA1071" s="59">
        <f>IF('Updated Dummy'!Y1071=2,1,0)</f>
        <v>1</v>
      </c>
      <c r="AB1071" s="59">
        <f t="shared" si="314"/>
        <v>0</v>
      </c>
      <c r="AC1071" s="59">
        <f t="shared" si="315"/>
        <v>0</v>
      </c>
      <c r="AD1071" s="59">
        <f t="shared" si="316"/>
        <v>0</v>
      </c>
      <c r="AE1071" s="59">
        <f t="shared" si="317"/>
        <v>0</v>
      </c>
      <c r="AF1071" s="59">
        <f t="shared" si="318"/>
        <v>0</v>
      </c>
      <c r="AG1071" s="59">
        <f t="shared" si="319"/>
        <v>0</v>
      </c>
      <c r="AH1071" s="59">
        <v>3</v>
      </c>
      <c r="AI1071" s="59">
        <v>3</v>
      </c>
      <c r="AJ1071" s="59">
        <f t="shared" si="320"/>
        <v>0</v>
      </c>
      <c r="AK1071" s="59">
        <f t="shared" si="321"/>
        <v>0</v>
      </c>
      <c r="AL1071" s="59">
        <v>1563</v>
      </c>
      <c r="AM1071" s="59">
        <v>12530</v>
      </c>
      <c r="AN1071" s="59">
        <v>1</v>
      </c>
      <c r="AO1071" s="59">
        <v>0</v>
      </c>
      <c r="AP1071" s="59">
        <v>14</v>
      </c>
      <c r="AQ1071" s="59">
        <v>3</v>
      </c>
      <c r="AR1071" s="59">
        <v>4</v>
      </c>
      <c r="AS1071" s="59">
        <v>80</v>
      </c>
      <c r="AT1071" s="59">
        <v>1</v>
      </c>
      <c r="AU1071" s="59">
        <v>1</v>
      </c>
      <c r="AV1071" s="59">
        <v>2</v>
      </c>
      <c r="AW1071" s="59">
        <v>1</v>
      </c>
      <c r="AX1071" s="59">
        <v>1</v>
      </c>
      <c r="AY1071" s="59">
        <v>0</v>
      </c>
      <c r="AZ1071" s="59">
        <v>0</v>
      </c>
      <c r="BA1071" s="59">
        <v>0</v>
      </c>
      <c r="BB1071" s="57">
        <f t="shared" si="322"/>
        <v>1563</v>
      </c>
    </row>
    <row r="1072" spans="1:54" x14ac:dyDescent="0.25">
      <c r="A1072" s="58">
        <v>28</v>
      </c>
      <c r="B1072" s="59">
        <v>0</v>
      </c>
      <c r="C1072" s="59">
        <v>2</v>
      </c>
      <c r="D1072" s="59">
        <f t="shared" si="304"/>
        <v>0</v>
      </c>
      <c r="E1072" s="59">
        <f t="shared" si="305"/>
        <v>1</v>
      </c>
      <c r="F1072" s="59">
        <v>467</v>
      </c>
      <c r="G1072" s="59">
        <v>1</v>
      </c>
      <c r="H1072" s="59">
        <f t="shared" si="306"/>
        <v>1</v>
      </c>
      <c r="I1072" s="59">
        <f t="shared" si="307"/>
        <v>0</v>
      </c>
      <c r="J1072" s="59">
        <v>7</v>
      </c>
      <c r="K1072" s="59">
        <v>3</v>
      </c>
      <c r="L1072" s="59">
        <v>1</v>
      </c>
      <c r="M1072" s="59">
        <f t="shared" si="308"/>
        <v>1</v>
      </c>
      <c r="N1072" s="59">
        <f t="shared" si="309"/>
        <v>0</v>
      </c>
      <c r="O1072" s="59">
        <f t="shared" si="310"/>
        <v>0</v>
      </c>
      <c r="P1072" s="59">
        <f t="shared" si="311"/>
        <v>0</v>
      </c>
      <c r="Q1072" s="59">
        <f t="shared" si="312"/>
        <v>0</v>
      </c>
      <c r="R1072" s="59">
        <v>1</v>
      </c>
      <c r="S1072" s="59">
        <v>1507</v>
      </c>
      <c r="T1072" s="59">
        <v>3</v>
      </c>
      <c r="U1072" s="59">
        <v>1</v>
      </c>
      <c r="V1072" s="59">
        <v>55</v>
      </c>
      <c r="W1072" s="59">
        <v>3</v>
      </c>
      <c r="X1072" s="59">
        <v>2</v>
      </c>
      <c r="Y1072" s="59">
        <v>1</v>
      </c>
      <c r="Z1072" s="59">
        <f t="shared" si="313"/>
        <v>1</v>
      </c>
      <c r="AA1072" s="59">
        <f>IF('Updated Dummy'!Y1072=2,1,0)</f>
        <v>0</v>
      </c>
      <c r="AB1072" s="59">
        <f t="shared" si="314"/>
        <v>0</v>
      </c>
      <c r="AC1072" s="59">
        <f t="shared" si="315"/>
        <v>0</v>
      </c>
      <c r="AD1072" s="59">
        <f t="shared" si="316"/>
        <v>0</v>
      </c>
      <c r="AE1072" s="59">
        <f t="shared" si="317"/>
        <v>0</v>
      </c>
      <c r="AF1072" s="59">
        <f t="shared" si="318"/>
        <v>0</v>
      </c>
      <c r="AG1072" s="59">
        <f t="shared" si="319"/>
        <v>0</v>
      </c>
      <c r="AH1072" s="59">
        <v>1</v>
      </c>
      <c r="AI1072" s="59">
        <v>1</v>
      </c>
      <c r="AJ1072" s="59">
        <f t="shared" si="320"/>
        <v>1</v>
      </c>
      <c r="AK1072" s="59">
        <f t="shared" si="321"/>
        <v>0</v>
      </c>
      <c r="AL1072" s="59">
        <v>4898</v>
      </c>
      <c r="AM1072" s="59">
        <v>11827</v>
      </c>
      <c r="AN1072" s="59">
        <v>0</v>
      </c>
      <c r="AO1072" s="59">
        <v>0</v>
      </c>
      <c r="AP1072" s="59">
        <v>14</v>
      </c>
      <c r="AQ1072" s="59">
        <v>3</v>
      </c>
      <c r="AR1072" s="59">
        <v>4</v>
      </c>
      <c r="AS1072" s="59">
        <v>80</v>
      </c>
      <c r="AT1072" s="59">
        <v>0</v>
      </c>
      <c r="AU1072" s="59">
        <v>5</v>
      </c>
      <c r="AV1072" s="59">
        <v>5</v>
      </c>
      <c r="AW1072" s="59">
        <v>3</v>
      </c>
      <c r="AX1072" s="59">
        <v>4</v>
      </c>
      <c r="AY1072" s="59">
        <v>2</v>
      </c>
      <c r="AZ1072" s="59">
        <v>1</v>
      </c>
      <c r="BA1072" s="59">
        <v>3</v>
      </c>
      <c r="BB1072" s="57">
        <f t="shared" si="322"/>
        <v>9796</v>
      </c>
    </row>
    <row r="1073" spans="1:54" x14ac:dyDescent="0.25">
      <c r="A1073" s="58">
        <v>49</v>
      </c>
      <c r="B1073" s="59">
        <v>0</v>
      </c>
      <c r="C1073" s="59">
        <v>1</v>
      </c>
      <c r="D1073" s="59">
        <f t="shared" si="304"/>
        <v>1</v>
      </c>
      <c r="E1073" s="59">
        <f t="shared" si="305"/>
        <v>0</v>
      </c>
      <c r="F1073" s="59">
        <v>271</v>
      </c>
      <c r="G1073" s="59">
        <v>2</v>
      </c>
      <c r="H1073" s="59">
        <f t="shared" si="306"/>
        <v>0</v>
      </c>
      <c r="I1073" s="59">
        <f t="shared" si="307"/>
        <v>1</v>
      </c>
      <c r="J1073" s="59">
        <v>3</v>
      </c>
      <c r="K1073" s="59">
        <v>2</v>
      </c>
      <c r="L1073" s="59">
        <v>3</v>
      </c>
      <c r="M1073" s="59">
        <f t="shared" si="308"/>
        <v>0</v>
      </c>
      <c r="N1073" s="59">
        <f t="shared" si="309"/>
        <v>0</v>
      </c>
      <c r="O1073" s="59">
        <f t="shared" si="310"/>
        <v>1</v>
      </c>
      <c r="P1073" s="59">
        <f t="shared" si="311"/>
        <v>0</v>
      </c>
      <c r="Q1073" s="59">
        <f t="shared" si="312"/>
        <v>0</v>
      </c>
      <c r="R1073" s="59">
        <v>1</v>
      </c>
      <c r="S1073" s="59">
        <v>1509</v>
      </c>
      <c r="T1073" s="59">
        <v>3</v>
      </c>
      <c r="U1073" s="59">
        <v>0</v>
      </c>
      <c r="V1073" s="59">
        <v>43</v>
      </c>
      <c r="W1073" s="59">
        <v>2</v>
      </c>
      <c r="X1073" s="59">
        <v>2</v>
      </c>
      <c r="Y1073" s="59">
        <v>3</v>
      </c>
      <c r="Z1073" s="59">
        <f t="shared" si="313"/>
        <v>0</v>
      </c>
      <c r="AA1073" s="59">
        <f>IF('Updated Dummy'!Y1073=2,1,0)</f>
        <v>0</v>
      </c>
      <c r="AB1073" s="59">
        <f t="shared" si="314"/>
        <v>1</v>
      </c>
      <c r="AC1073" s="59">
        <f t="shared" si="315"/>
        <v>0</v>
      </c>
      <c r="AD1073" s="59">
        <f t="shared" si="316"/>
        <v>0</v>
      </c>
      <c r="AE1073" s="59">
        <f t="shared" si="317"/>
        <v>0</v>
      </c>
      <c r="AF1073" s="59">
        <f t="shared" si="318"/>
        <v>0</v>
      </c>
      <c r="AG1073" s="59">
        <f t="shared" si="319"/>
        <v>0</v>
      </c>
      <c r="AH1073" s="59">
        <v>1</v>
      </c>
      <c r="AI1073" s="59">
        <v>2</v>
      </c>
      <c r="AJ1073" s="59">
        <f t="shared" si="320"/>
        <v>0</v>
      </c>
      <c r="AK1073" s="59">
        <f t="shared" si="321"/>
        <v>1</v>
      </c>
      <c r="AL1073" s="59">
        <v>4789</v>
      </c>
      <c r="AM1073" s="59">
        <v>23070</v>
      </c>
      <c r="AN1073" s="59">
        <v>4</v>
      </c>
      <c r="AO1073" s="59">
        <v>0</v>
      </c>
      <c r="AP1073" s="59">
        <v>25</v>
      </c>
      <c r="AQ1073" s="59">
        <v>4</v>
      </c>
      <c r="AR1073" s="59">
        <v>1</v>
      </c>
      <c r="AS1073" s="59">
        <v>80</v>
      </c>
      <c r="AT1073" s="59">
        <v>1</v>
      </c>
      <c r="AU1073" s="59">
        <v>10</v>
      </c>
      <c r="AV1073" s="59">
        <v>3</v>
      </c>
      <c r="AW1073" s="59">
        <v>3</v>
      </c>
      <c r="AX1073" s="59">
        <v>3</v>
      </c>
      <c r="AY1073" s="59">
        <v>2</v>
      </c>
      <c r="AZ1073" s="59">
        <v>1</v>
      </c>
      <c r="BA1073" s="59">
        <v>2</v>
      </c>
      <c r="BB1073" s="57">
        <f t="shared" si="322"/>
        <v>9578</v>
      </c>
    </row>
    <row r="1074" spans="1:54" x14ac:dyDescent="0.25">
      <c r="A1074" s="58">
        <v>29</v>
      </c>
      <c r="B1074" s="59">
        <v>0</v>
      </c>
      <c r="C1074" s="59">
        <v>2</v>
      </c>
      <c r="D1074" s="59">
        <f t="shared" si="304"/>
        <v>0</v>
      </c>
      <c r="E1074" s="59">
        <f t="shared" si="305"/>
        <v>1</v>
      </c>
      <c r="F1074" s="59">
        <v>410</v>
      </c>
      <c r="G1074" s="59">
        <v>2</v>
      </c>
      <c r="H1074" s="59">
        <f t="shared" si="306"/>
        <v>0</v>
      </c>
      <c r="I1074" s="59">
        <f t="shared" si="307"/>
        <v>1</v>
      </c>
      <c r="J1074" s="59">
        <v>2</v>
      </c>
      <c r="K1074" s="59">
        <v>1</v>
      </c>
      <c r="L1074" s="59">
        <v>1</v>
      </c>
      <c r="M1074" s="59">
        <f t="shared" si="308"/>
        <v>1</v>
      </c>
      <c r="N1074" s="59">
        <f t="shared" si="309"/>
        <v>0</v>
      </c>
      <c r="O1074" s="59">
        <f t="shared" si="310"/>
        <v>0</v>
      </c>
      <c r="P1074" s="59">
        <f t="shared" si="311"/>
        <v>0</v>
      </c>
      <c r="Q1074" s="59">
        <f t="shared" si="312"/>
        <v>0</v>
      </c>
      <c r="R1074" s="59">
        <v>1</v>
      </c>
      <c r="S1074" s="59">
        <v>1513</v>
      </c>
      <c r="T1074" s="59">
        <v>4</v>
      </c>
      <c r="U1074" s="59">
        <v>0</v>
      </c>
      <c r="V1074" s="59">
        <v>97</v>
      </c>
      <c r="W1074" s="59">
        <v>3</v>
      </c>
      <c r="X1074" s="59">
        <v>1</v>
      </c>
      <c r="Y1074" s="59">
        <v>3</v>
      </c>
      <c r="Z1074" s="59">
        <f t="shared" si="313"/>
        <v>0</v>
      </c>
      <c r="AA1074" s="59">
        <f>IF('Updated Dummy'!Y1074=2,1,0)</f>
        <v>0</v>
      </c>
      <c r="AB1074" s="59">
        <f t="shared" si="314"/>
        <v>1</v>
      </c>
      <c r="AC1074" s="59">
        <f t="shared" si="315"/>
        <v>0</v>
      </c>
      <c r="AD1074" s="59">
        <f t="shared" si="316"/>
        <v>0</v>
      </c>
      <c r="AE1074" s="59">
        <f t="shared" si="317"/>
        <v>0</v>
      </c>
      <c r="AF1074" s="59">
        <f t="shared" si="318"/>
        <v>0</v>
      </c>
      <c r="AG1074" s="59">
        <f t="shared" si="319"/>
        <v>0</v>
      </c>
      <c r="AH1074" s="59">
        <v>2</v>
      </c>
      <c r="AI1074" s="59">
        <v>2</v>
      </c>
      <c r="AJ1074" s="59">
        <f t="shared" si="320"/>
        <v>0</v>
      </c>
      <c r="AK1074" s="59">
        <f t="shared" si="321"/>
        <v>1</v>
      </c>
      <c r="AL1074" s="59">
        <v>3180</v>
      </c>
      <c r="AM1074" s="59">
        <v>4668</v>
      </c>
      <c r="AN1074" s="59">
        <v>0</v>
      </c>
      <c r="AO1074" s="59">
        <v>0</v>
      </c>
      <c r="AP1074" s="59">
        <v>13</v>
      </c>
      <c r="AQ1074" s="59">
        <v>3</v>
      </c>
      <c r="AR1074" s="59">
        <v>3</v>
      </c>
      <c r="AS1074" s="59">
        <v>80</v>
      </c>
      <c r="AT1074" s="59">
        <v>3</v>
      </c>
      <c r="AU1074" s="59">
        <v>4</v>
      </c>
      <c r="AV1074" s="59">
        <v>3</v>
      </c>
      <c r="AW1074" s="59">
        <v>3</v>
      </c>
      <c r="AX1074" s="59">
        <v>3</v>
      </c>
      <c r="AY1074" s="59">
        <v>2</v>
      </c>
      <c r="AZ1074" s="59">
        <v>0</v>
      </c>
      <c r="BA1074" s="59">
        <v>2</v>
      </c>
      <c r="BB1074" s="57">
        <f t="shared" si="322"/>
        <v>3180</v>
      </c>
    </row>
    <row r="1075" spans="1:54" x14ac:dyDescent="0.25">
      <c r="A1075" s="58">
        <v>28</v>
      </c>
      <c r="B1075" s="59">
        <v>0</v>
      </c>
      <c r="C1075" s="59">
        <v>1</v>
      </c>
      <c r="D1075" s="59">
        <f t="shared" si="304"/>
        <v>1</v>
      </c>
      <c r="E1075" s="59">
        <f t="shared" si="305"/>
        <v>0</v>
      </c>
      <c r="F1075" s="59">
        <v>1083</v>
      </c>
      <c r="G1075" s="59">
        <v>2</v>
      </c>
      <c r="H1075" s="59">
        <f t="shared" si="306"/>
        <v>0</v>
      </c>
      <c r="I1075" s="59">
        <f t="shared" si="307"/>
        <v>1</v>
      </c>
      <c r="J1075" s="59">
        <v>29</v>
      </c>
      <c r="K1075" s="59">
        <v>1</v>
      </c>
      <c r="L1075" s="59">
        <v>1</v>
      </c>
      <c r="M1075" s="59">
        <f t="shared" si="308"/>
        <v>1</v>
      </c>
      <c r="N1075" s="59">
        <f t="shared" si="309"/>
        <v>0</v>
      </c>
      <c r="O1075" s="59">
        <f t="shared" si="310"/>
        <v>0</v>
      </c>
      <c r="P1075" s="59">
        <f t="shared" si="311"/>
        <v>0</v>
      </c>
      <c r="Q1075" s="59">
        <f t="shared" si="312"/>
        <v>0</v>
      </c>
      <c r="R1075" s="59">
        <v>1</v>
      </c>
      <c r="S1075" s="59">
        <v>1514</v>
      </c>
      <c r="T1075" s="59">
        <v>3</v>
      </c>
      <c r="U1075" s="59">
        <v>1</v>
      </c>
      <c r="V1075" s="59">
        <v>96</v>
      </c>
      <c r="W1075" s="59">
        <v>1</v>
      </c>
      <c r="X1075" s="59">
        <v>2</v>
      </c>
      <c r="Y1075" s="59">
        <v>4</v>
      </c>
      <c r="Z1075" s="59">
        <f t="shared" si="313"/>
        <v>0</v>
      </c>
      <c r="AA1075" s="59">
        <f>IF('Updated Dummy'!Y1075=2,1,0)</f>
        <v>0</v>
      </c>
      <c r="AB1075" s="59">
        <f t="shared" si="314"/>
        <v>0</v>
      </c>
      <c r="AC1075" s="59">
        <f t="shared" si="315"/>
        <v>1</v>
      </c>
      <c r="AD1075" s="59">
        <f t="shared" si="316"/>
        <v>0</v>
      </c>
      <c r="AE1075" s="59">
        <f t="shared" si="317"/>
        <v>0</v>
      </c>
      <c r="AF1075" s="59">
        <f t="shared" si="318"/>
        <v>0</v>
      </c>
      <c r="AG1075" s="59">
        <f t="shared" si="319"/>
        <v>0</v>
      </c>
      <c r="AH1075" s="59">
        <v>2</v>
      </c>
      <c r="AI1075" s="59">
        <v>2</v>
      </c>
      <c r="AJ1075" s="59">
        <f t="shared" si="320"/>
        <v>0</v>
      </c>
      <c r="AK1075" s="59">
        <f t="shared" si="321"/>
        <v>1</v>
      </c>
      <c r="AL1075" s="59">
        <v>6549</v>
      </c>
      <c r="AM1075" s="59">
        <v>3173</v>
      </c>
      <c r="AN1075" s="59">
        <v>1</v>
      </c>
      <c r="AO1075" s="59">
        <v>0</v>
      </c>
      <c r="AP1075" s="59">
        <v>14</v>
      </c>
      <c r="AQ1075" s="59">
        <v>3</v>
      </c>
      <c r="AR1075" s="59">
        <v>2</v>
      </c>
      <c r="AS1075" s="59">
        <v>80</v>
      </c>
      <c r="AT1075" s="59">
        <v>2</v>
      </c>
      <c r="AU1075" s="59">
        <v>8</v>
      </c>
      <c r="AV1075" s="59">
        <v>2</v>
      </c>
      <c r="AW1075" s="59">
        <v>2</v>
      </c>
      <c r="AX1075" s="59">
        <v>8</v>
      </c>
      <c r="AY1075" s="59">
        <v>6</v>
      </c>
      <c r="AZ1075" s="59">
        <v>1</v>
      </c>
      <c r="BA1075" s="59">
        <v>7</v>
      </c>
      <c r="BB1075" s="57">
        <f t="shared" si="322"/>
        <v>13098</v>
      </c>
    </row>
    <row r="1076" spans="1:54" x14ac:dyDescent="0.25">
      <c r="A1076" s="58">
        <v>33</v>
      </c>
      <c r="B1076" s="59">
        <v>0</v>
      </c>
      <c r="C1076" s="59">
        <v>1</v>
      </c>
      <c r="D1076" s="59">
        <f t="shared" si="304"/>
        <v>1</v>
      </c>
      <c r="E1076" s="59">
        <f t="shared" si="305"/>
        <v>0</v>
      </c>
      <c r="F1076" s="59">
        <v>516</v>
      </c>
      <c r="G1076" s="59">
        <v>2</v>
      </c>
      <c r="H1076" s="59">
        <f t="shared" si="306"/>
        <v>0</v>
      </c>
      <c r="I1076" s="59">
        <f t="shared" si="307"/>
        <v>1</v>
      </c>
      <c r="J1076" s="59">
        <v>8</v>
      </c>
      <c r="K1076" s="59">
        <v>5</v>
      </c>
      <c r="L1076" s="59">
        <v>1</v>
      </c>
      <c r="M1076" s="59">
        <f t="shared" si="308"/>
        <v>1</v>
      </c>
      <c r="N1076" s="59">
        <f t="shared" si="309"/>
        <v>0</v>
      </c>
      <c r="O1076" s="59">
        <f t="shared" si="310"/>
        <v>0</v>
      </c>
      <c r="P1076" s="59">
        <f t="shared" si="311"/>
        <v>0</v>
      </c>
      <c r="Q1076" s="59">
        <f t="shared" si="312"/>
        <v>0</v>
      </c>
      <c r="R1076" s="59">
        <v>1</v>
      </c>
      <c r="S1076" s="59">
        <v>1515</v>
      </c>
      <c r="T1076" s="59">
        <v>4</v>
      </c>
      <c r="U1076" s="59">
        <v>1</v>
      </c>
      <c r="V1076" s="59">
        <v>69</v>
      </c>
      <c r="W1076" s="59">
        <v>3</v>
      </c>
      <c r="X1076" s="59">
        <v>2</v>
      </c>
      <c r="Y1076" s="59">
        <v>5</v>
      </c>
      <c r="Z1076" s="59">
        <f t="shared" si="313"/>
        <v>0</v>
      </c>
      <c r="AA1076" s="59">
        <f>IF('Updated Dummy'!Y1076=2,1,0)</f>
        <v>0</v>
      </c>
      <c r="AB1076" s="59">
        <f t="shared" si="314"/>
        <v>0</v>
      </c>
      <c r="AC1076" s="59">
        <f t="shared" si="315"/>
        <v>0</v>
      </c>
      <c r="AD1076" s="59">
        <f t="shared" si="316"/>
        <v>1</v>
      </c>
      <c r="AE1076" s="59">
        <f t="shared" si="317"/>
        <v>0</v>
      </c>
      <c r="AF1076" s="59">
        <f t="shared" si="318"/>
        <v>0</v>
      </c>
      <c r="AG1076" s="59">
        <f t="shared" si="319"/>
        <v>0</v>
      </c>
      <c r="AH1076" s="59">
        <v>3</v>
      </c>
      <c r="AI1076" s="59">
        <v>1</v>
      </c>
      <c r="AJ1076" s="59">
        <f t="shared" si="320"/>
        <v>1</v>
      </c>
      <c r="AK1076" s="59">
        <f t="shared" si="321"/>
        <v>0</v>
      </c>
      <c r="AL1076" s="59">
        <v>6388</v>
      </c>
      <c r="AM1076" s="59">
        <v>22049</v>
      </c>
      <c r="AN1076" s="59">
        <v>2</v>
      </c>
      <c r="AO1076" s="59">
        <v>1</v>
      </c>
      <c r="AP1076" s="59">
        <v>17</v>
      </c>
      <c r="AQ1076" s="59">
        <v>3</v>
      </c>
      <c r="AR1076" s="59">
        <v>1</v>
      </c>
      <c r="AS1076" s="59">
        <v>80</v>
      </c>
      <c r="AT1076" s="59">
        <v>0</v>
      </c>
      <c r="AU1076" s="59">
        <v>14</v>
      </c>
      <c r="AV1076" s="59">
        <v>6</v>
      </c>
      <c r="AW1076" s="59">
        <v>3</v>
      </c>
      <c r="AX1076" s="59">
        <v>0</v>
      </c>
      <c r="AY1076" s="59">
        <v>0</v>
      </c>
      <c r="AZ1076" s="59">
        <v>0</v>
      </c>
      <c r="BA1076" s="59">
        <v>0</v>
      </c>
      <c r="BB1076" s="57">
        <f t="shared" si="322"/>
        <v>12776</v>
      </c>
    </row>
    <row r="1077" spans="1:54" x14ac:dyDescent="0.25">
      <c r="A1077" s="58">
        <v>32</v>
      </c>
      <c r="B1077" s="59">
        <v>0</v>
      </c>
      <c r="C1077" s="59">
        <v>1</v>
      </c>
      <c r="D1077" s="59">
        <f t="shared" si="304"/>
        <v>1</v>
      </c>
      <c r="E1077" s="59">
        <f t="shared" si="305"/>
        <v>0</v>
      </c>
      <c r="F1077" s="59">
        <v>495</v>
      </c>
      <c r="G1077" s="59">
        <v>2</v>
      </c>
      <c r="H1077" s="59">
        <f t="shared" si="306"/>
        <v>0</v>
      </c>
      <c r="I1077" s="59">
        <f t="shared" si="307"/>
        <v>1</v>
      </c>
      <c r="J1077" s="59">
        <v>10</v>
      </c>
      <c r="K1077" s="59">
        <v>3</v>
      </c>
      <c r="L1077" s="59">
        <v>3</v>
      </c>
      <c r="M1077" s="59">
        <f t="shared" si="308"/>
        <v>0</v>
      </c>
      <c r="N1077" s="59">
        <f t="shared" si="309"/>
        <v>0</v>
      </c>
      <c r="O1077" s="59">
        <f t="shared" si="310"/>
        <v>1</v>
      </c>
      <c r="P1077" s="59">
        <f t="shared" si="311"/>
        <v>0</v>
      </c>
      <c r="Q1077" s="59">
        <f t="shared" si="312"/>
        <v>0</v>
      </c>
      <c r="R1077" s="59">
        <v>1</v>
      </c>
      <c r="S1077" s="59">
        <v>1516</v>
      </c>
      <c r="T1077" s="59">
        <v>3</v>
      </c>
      <c r="U1077" s="59">
        <v>1</v>
      </c>
      <c r="V1077" s="59">
        <v>64</v>
      </c>
      <c r="W1077" s="59">
        <v>3</v>
      </c>
      <c r="X1077" s="59">
        <v>3</v>
      </c>
      <c r="Y1077" s="59">
        <v>6</v>
      </c>
      <c r="Z1077" s="59">
        <f t="shared" si="313"/>
        <v>0</v>
      </c>
      <c r="AA1077" s="59">
        <f>IF('Updated Dummy'!Y1077=2,1,0)</f>
        <v>0</v>
      </c>
      <c r="AB1077" s="59">
        <f t="shared" si="314"/>
        <v>0</v>
      </c>
      <c r="AC1077" s="59">
        <f t="shared" si="315"/>
        <v>0</v>
      </c>
      <c r="AD1077" s="59">
        <f t="shared" si="316"/>
        <v>0</v>
      </c>
      <c r="AE1077" s="59">
        <f t="shared" si="317"/>
        <v>1</v>
      </c>
      <c r="AF1077" s="59">
        <f t="shared" si="318"/>
        <v>0</v>
      </c>
      <c r="AG1077" s="59">
        <f t="shared" si="319"/>
        <v>0</v>
      </c>
      <c r="AH1077" s="59">
        <v>4</v>
      </c>
      <c r="AI1077" s="59">
        <v>1</v>
      </c>
      <c r="AJ1077" s="59">
        <f t="shared" si="320"/>
        <v>1</v>
      </c>
      <c r="AK1077" s="59">
        <f t="shared" si="321"/>
        <v>0</v>
      </c>
      <c r="AL1077" s="59">
        <v>11244</v>
      </c>
      <c r="AM1077" s="59">
        <v>21072</v>
      </c>
      <c r="AN1077" s="59">
        <v>2</v>
      </c>
      <c r="AO1077" s="59">
        <v>0</v>
      </c>
      <c r="AP1077" s="59">
        <v>25</v>
      </c>
      <c r="AQ1077" s="59">
        <v>4</v>
      </c>
      <c r="AR1077" s="59">
        <v>2</v>
      </c>
      <c r="AS1077" s="59">
        <v>80</v>
      </c>
      <c r="AT1077" s="59">
        <v>0</v>
      </c>
      <c r="AU1077" s="59">
        <v>10</v>
      </c>
      <c r="AV1077" s="59">
        <v>5</v>
      </c>
      <c r="AW1077" s="59">
        <v>4</v>
      </c>
      <c r="AX1077" s="59">
        <v>5</v>
      </c>
      <c r="AY1077" s="59">
        <v>2</v>
      </c>
      <c r="AZ1077" s="59">
        <v>0</v>
      </c>
      <c r="BA1077" s="59">
        <v>0</v>
      </c>
      <c r="BB1077" s="57">
        <f t="shared" si="322"/>
        <v>33732</v>
      </c>
    </row>
    <row r="1078" spans="1:54" x14ac:dyDescent="0.25">
      <c r="A1078" s="58">
        <v>54</v>
      </c>
      <c r="B1078" s="59">
        <v>0</v>
      </c>
      <c r="C1078" s="59">
        <v>2</v>
      </c>
      <c r="D1078" s="59">
        <f t="shared" si="304"/>
        <v>0</v>
      </c>
      <c r="E1078" s="59">
        <f t="shared" si="305"/>
        <v>1</v>
      </c>
      <c r="F1078" s="59">
        <v>1050</v>
      </c>
      <c r="G1078" s="59">
        <v>2</v>
      </c>
      <c r="H1078" s="59">
        <f t="shared" si="306"/>
        <v>0</v>
      </c>
      <c r="I1078" s="59">
        <f t="shared" si="307"/>
        <v>1</v>
      </c>
      <c r="J1078" s="59">
        <v>11</v>
      </c>
      <c r="K1078" s="59">
        <v>4</v>
      </c>
      <c r="L1078" s="59">
        <v>3</v>
      </c>
      <c r="M1078" s="59">
        <f t="shared" si="308"/>
        <v>0</v>
      </c>
      <c r="N1078" s="59">
        <f t="shared" si="309"/>
        <v>0</v>
      </c>
      <c r="O1078" s="59">
        <f t="shared" si="310"/>
        <v>1</v>
      </c>
      <c r="P1078" s="59">
        <f t="shared" si="311"/>
        <v>0</v>
      </c>
      <c r="Q1078" s="59">
        <f t="shared" si="312"/>
        <v>0</v>
      </c>
      <c r="R1078" s="59">
        <v>1</v>
      </c>
      <c r="S1078" s="59">
        <v>1520</v>
      </c>
      <c r="T1078" s="59">
        <v>2</v>
      </c>
      <c r="U1078" s="59">
        <v>0</v>
      </c>
      <c r="V1078" s="59">
        <v>87</v>
      </c>
      <c r="W1078" s="59">
        <v>3</v>
      </c>
      <c r="X1078" s="59">
        <v>4</v>
      </c>
      <c r="Y1078" s="59">
        <v>6</v>
      </c>
      <c r="Z1078" s="59">
        <f t="shared" si="313"/>
        <v>0</v>
      </c>
      <c r="AA1078" s="59">
        <f>IF('Updated Dummy'!Y1078=2,1,0)</f>
        <v>0</v>
      </c>
      <c r="AB1078" s="59">
        <f t="shared" si="314"/>
        <v>0</v>
      </c>
      <c r="AC1078" s="59">
        <f t="shared" si="315"/>
        <v>0</v>
      </c>
      <c r="AD1078" s="59">
        <f t="shared" si="316"/>
        <v>0</v>
      </c>
      <c r="AE1078" s="59">
        <f t="shared" si="317"/>
        <v>1</v>
      </c>
      <c r="AF1078" s="59">
        <f t="shared" si="318"/>
        <v>0</v>
      </c>
      <c r="AG1078" s="59">
        <f t="shared" si="319"/>
        <v>0</v>
      </c>
      <c r="AH1078" s="59">
        <v>4</v>
      </c>
      <c r="AI1078" s="59">
        <v>3</v>
      </c>
      <c r="AJ1078" s="59">
        <f t="shared" si="320"/>
        <v>0</v>
      </c>
      <c r="AK1078" s="59">
        <f t="shared" si="321"/>
        <v>0</v>
      </c>
      <c r="AL1078" s="59">
        <v>16032</v>
      </c>
      <c r="AM1078" s="59">
        <v>24456</v>
      </c>
      <c r="AN1078" s="59">
        <v>3</v>
      </c>
      <c r="AO1078" s="59">
        <v>0</v>
      </c>
      <c r="AP1078" s="59">
        <v>20</v>
      </c>
      <c r="AQ1078" s="59">
        <v>4</v>
      </c>
      <c r="AR1078" s="59">
        <v>1</v>
      </c>
      <c r="AS1078" s="59">
        <v>80</v>
      </c>
      <c r="AT1078" s="59">
        <v>1</v>
      </c>
      <c r="AU1078" s="59">
        <v>26</v>
      </c>
      <c r="AV1078" s="59">
        <v>2</v>
      </c>
      <c r="AW1078" s="59">
        <v>3</v>
      </c>
      <c r="AX1078" s="59">
        <v>14</v>
      </c>
      <c r="AY1078" s="59">
        <v>9</v>
      </c>
      <c r="AZ1078" s="59">
        <v>1</v>
      </c>
      <c r="BA1078" s="59">
        <v>12</v>
      </c>
      <c r="BB1078" s="57">
        <f t="shared" si="322"/>
        <v>64128</v>
      </c>
    </row>
    <row r="1079" spans="1:54" x14ac:dyDescent="0.25">
      <c r="A1079" s="58">
        <v>29</v>
      </c>
      <c r="B1079" s="59">
        <v>1</v>
      </c>
      <c r="C1079" s="59">
        <v>1</v>
      </c>
      <c r="D1079" s="59">
        <f t="shared" si="304"/>
        <v>1</v>
      </c>
      <c r="E1079" s="59">
        <f t="shared" si="305"/>
        <v>0</v>
      </c>
      <c r="F1079" s="59">
        <v>224</v>
      </c>
      <c r="G1079" s="59">
        <v>2</v>
      </c>
      <c r="H1079" s="59">
        <f t="shared" si="306"/>
        <v>0</v>
      </c>
      <c r="I1079" s="59">
        <f t="shared" si="307"/>
        <v>1</v>
      </c>
      <c r="J1079" s="59">
        <v>1</v>
      </c>
      <c r="K1079" s="59">
        <v>4</v>
      </c>
      <c r="L1079" s="59">
        <v>5</v>
      </c>
      <c r="M1079" s="59">
        <f t="shared" si="308"/>
        <v>0</v>
      </c>
      <c r="N1079" s="59">
        <f t="shared" si="309"/>
        <v>0</v>
      </c>
      <c r="O1079" s="59">
        <f t="shared" si="310"/>
        <v>0</v>
      </c>
      <c r="P1079" s="59">
        <f t="shared" si="311"/>
        <v>0</v>
      </c>
      <c r="Q1079" s="59">
        <f t="shared" si="312"/>
        <v>1</v>
      </c>
      <c r="R1079" s="59">
        <v>1</v>
      </c>
      <c r="S1079" s="59">
        <v>1522</v>
      </c>
      <c r="T1079" s="59">
        <v>1</v>
      </c>
      <c r="U1079" s="59">
        <v>1</v>
      </c>
      <c r="V1079" s="59">
        <v>100</v>
      </c>
      <c r="W1079" s="59">
        <v>2</v>
      </c>
      <c r="X1079" s="59">
        <v>1</v>
      </c>
      <c r="Y1079" s="59">
        <v>2</v>
      </c>
      <c r="Z1079" s="59">
        <f t="shared" si="313"/>
        <v>0</v>
      </c>
      <c r="AA1079" s="59">
        <f>IF('Updated Dummy'!Y1079=2,1,0)</f>
        <v>1</v>
      </c>
      <c r="AB1079" s="59">
        <f t="shared" si="314"/>
        <v>0</v>
      </c>
      <c r="AC1079" s="59">
        <f t="shared" si="315"/>
        <v>0</v>
      </c>
      <c r="AD1079" s="59">
        <f t="shared" si="316"/>
        <v>0</v>
      </c>
      <c r="AE1079" s="59">
        <f t="shared" si="317"/>
        <v>0</v>
      </c>
      <c r="AF1079" s="59">
        <f t="shared" si="318"/>
        <v>0</v>
      </c>
      <c r="AG1079" s="59">
        <f t="shared" si="319"/>
        <v>0</v>
      </c>
      <c r="AH1079" s="59">
        <v>1</v>
      </c>
      <c r="AI1079" s="59">
        <v>1</v>
      </c>
      <c r="AJ1079" s="59">
        <f t="shared" si="320"/>
        <v>1</v>
      </c>
      <c r="AK1079" s="59">
        <f t="shared" si="321"/>
        <v>0</v>
      </c>
      <c r="AL1079" s="59">
        <v>2362</v>
      </c>
      <c r="AM1079" s="59">
        <v>7568</v>
      </c>
      <c r="AN1079" s="59">
        <v>6</v>
      </c>
      <c r="AO1079" s="59">
        <v>0</v>
      </c>
      <c r="AP1079" s="59">
        <v>13</v>
      </c>
      <c r="AQ1079" s="59">
        <v>3</v>
      </c>
      <c r="AR1079" s="59">
        <v>3</v>
      </c>
      <c r="AS1079" s="59">
        <v>80</v>
      </c>
      <c r="AT1079" s="59">
        <v>0</v>
      </c>
      <c r="AU1079" s="59">
        <v>11</v>
      </c>
      <c r="AV1079" s="59">
        <v>2</v>
      </c>
      <c r="AW1079" s="59">
        <v>1</v>
      </c>
      <c r="AX1079" s="59">
        <v>9</v>
      </c>
      <c r="AY1079" s="59">
        <v>7</v>
      </c>
      <c r="AZ1079" s="59">
        <v>0</v>
      </c>
      <c r="BA1079" s="59">
        <v>7</v>
      </c>
      <c r="BB1079" s="57">
        <f t="shared" si="322"/>
        <v>2362</v>
      </c>
    </row>
    <row r="1080" spans="1:54" x14ac:dyDescent="0.25">
      <c r="A1080" s="58">
        <v>44</v>
      </c>
      <c r="B1080" s="59">
        <v>0</v>
      </c>
      <c r="C1080" s="59">
        <v>1</v>
      </c>
      <c r="D1080" s="59">
        <f t="shared" si="304"/>
        <v>1</v>
      </c>
      <c r="E1080" s="59">
        <f t="shared" si="305"/>
        <v>0</v>
      </c>
      <c r="F1080" s="59">
        <v>136</v>
      </c>
      <c r="G1080" s="59">
        <v>2</v>
      </c>
      <c r="H1080" s="59">
        <f t="shared" si="306"/>
        <v>0</v>
      </c>
      <c r="I1080" s="59">
        <f t="shared" si="307"/>
        <v>1</v>
      </c>
      <c r="J1080" s="59">
        <v>28</v>
      </c>
      <c r="K1080" s="59">
        <v>3</v>
      </c>
      <c r="L1080" s="59">
        <v>1</v>
      </c>
      <c r="M1080" s="59">
        <f t="shared" si="308"/>
        <v>1</v>
      </c>
      <c r="N1080" s="59">
        <f t="shared" si="309"/>
        <v>0</v>
      </c>
      <c r="O1080" s="59">
        <f t="shared" si="310"/>
        <v>0</v>
      </c>
      <c r="P1080" s="59">
        <f t="shared" si="311"/>
        <v>0</v>
      </c>
      <c r="Q1080" s="59">
        <f t="shared" si="312"/>
        <v>0</v>
      </c>
      <c r="R1080" s="59">
        <v>1</v>
      </c>
      <c r="S1080" s="59">
        <v>1523</v>
      </c>
      <c r="T1080" s="59">
        <v>4</v>
      </c>
      <c r="U1080" s="59">
        <v>1</v>
      </c>
      <c r="V1080" s="59">
        <v>32</v>
      </c>
      <c r="W1080" s="59">
        <v>3</v>
      </c>
      <c r="X1080" s="59">
        <v>4</v>
      </c>
      <c r="Y1080" s="59">
        <v>8</v>
      </c>
      <c r="Z1080" s="59">
        <f t="shared" si="313"/>
        <v>0</v>
      </c>
      <c r="AA1080" s="59">
        <f>IF('Updated Dummy'!Y1080=2,1,0)</f>
        <v>0</v>
      </c>
      <c r="AB1080" s="59">
        <f t="shared" si="314"/>
        <v>0</v>
      </c>
      <c r="AC1080" s="59">
        <f t="shared" si="315"/>
        <v>0</v>
      </c>
      <c r="AD1080" s="59">
        <f t="shared" si="316"/>
        <v>0</v>
      </c>
      <c r="AE1080" s="59">
        <f t="shared" si="317"/>
        <v>0</v>
      </c>
      <c r="AF1080" s="59">
        <f t="shared" si="318"/>
        <v>0</v>
      </c>
      <c r="AG1080" s="59">
        <f t="shared" si="319"/>
        <v>1</v>
      </c>
      <c r="AH1080" s="59">
        <v>1</v>
      </c>
      <c r="AI1080" s="59">
        <v>2</v>
      </c>
      <c r="AJ1080" s="59">
        <f t="shared" si="320"/>
        <v>0</v>
      </c>
      <c r="AK1080" s="59">
        <f t="shared" si="321"/>
        <v>1</v>
      </c>
      <c r="AL1080" s="59">
        <v>16328</v>
      </c>
      <c r="AM1080" s="59">
        <v>22074</v>
      </c>
      <c r="AN1080" s="59">
        <v>3</v>
      </c>
      <c r="AO1080" s="59">
        <v>0</v>
      </c>
      <c r="AP1080" s="59">
        <v>13</v>
      </c>
      <c r="AQ1080" s="59">
        <v>3</v>
      </c>
      <c r="AR1080" s="59">
        <v>3</v>
      </c>
      <c r="AS1080" s="59">
        <v>80</v>
      </c>
      <c r="AT1080" s="59">
        <v>1</v>
      </c>
      <c r="AU1080" s="59">
        <v>24</v>
      </c>
      <c r="AV1080" s="59">
        <v>1</v>
      </c>
      <c r="AW1080" s="59">
        <v>4</v>
      </c>
      <c r="AX1080" s="59">
        <v>20</v>
      </c>
      <c r="AY1080" s="59">
        <v>6</v>
      </c>
      <c r="AZ1080" s="59">
        <v>14</v>
      </c>
      <c r="BA1080" s="59">
        <v>17</v>
      </c>
      <c r="BB1080" s="57">
        <f t="shared" si="322"/>
        <v>65312</v>
      </c>
    </row>
    <row r="1081" spans="1:54" x14ac:dyDescent="0.25">
      <c r="A1081" s="58">
        <v>39</v>
      </c>
      <c r="B1081" s="59">
        <v>0</v>
      </c>
      <c r="C1081" s="59">
        <v>1</v>
      </c>
      <c r="D1081" s="59">
        <f t="shared" si="304"/>
        <v>1</v>
      </c>
      <c r="E1081" s="59">
        <f t="shared" si="305"/>
        <v>0</v>
      </c>
      <c r="F1081" s="59">
        <v>1089</v>
      </c>
      <c r="G1081" s="59">
        <v>2</v>
      </c>
      <c r="H1081" s="59">
        <f t="shared" si="306"/>
        <v>0</v>
      </c>
      <c r="I1081" s="59">
        <f t="shared" si="307"/>
        <v>1</v>
      </c>
      <c r="J1081" s="59">
        <v>6</v>
      </c>
      <c r="K1081" s="59">
        <v>3</v>
      </c>
      <c r="L1081" s="59">
        <v>1</v>
      </c>
      <c r="M1081" s="59">
        <f t="shared" si="308"/>
        <v>1</v>
      </c>
      <c r="N1081" s="59">
        <f t="shared" si="309"/>
        <v>0</v>
      </c>
      <c r="O1081" s="59">
        <f t="shared" si="310"/>
        <v>0</v>
      </c>
      <c r="P1081" s="59">
        <f t="shared" si="311"/>
        <v>0</v>
      </c>
      <c r="Q1081" s="59">
        <f t="shared" si="312"/>
        <v>0</v>
      </c>
      <c r="R1081" s="59">
        <v>1</v>
      </c>
      <c r="S1081" s="59">
        <v>1525</v>
      </c>
      <c r="T1081" s="59">
        <v>2</v>
      </c>
      <c r="U1081" s="59">
        <v>0</v>
      </c>
      <c r="V1081" s="59">
        <v>32</v>
      </c>
      <c r="W1081" s="59">
        <v>3</v>
      </c>
      <c r="X1081" s="59">
        <v>3</v>
      </c>
      <c r="Y1081" s="59">
        <v>4</v>
      </c>
      <c r="Z1081" s="59">
        <f t="shared" si="313"/>
        <v>0</v>
      </c>
      <c r="AA1081" s="59">
        <f>IF('Updated Dummy'!Y1081=2,1,0)</f>
        <v>0</v>
      </c>
      <c r="AB1081" s="59">
        <f t="shared" si="314"/>
        <v>0</v>
      </c>
      <c r="AC1081" s="59">
        <f t="shared" si="315"/>
        <v>1</v>
      </c>
      <c r="AD1081" s="59">
        <f t="shared" si="316"/>
        <v>0</v>
      </c>
      <c r="AE1081" s="59">
        <f t="shared" si="317"/>
        <v>0</v>
      </c>
      <c r="AF1081" s="59">
        <f t="shared" si="318"/>
        <v>0</v>
      </c>
      <c r="AG1081" s="59">
        <f t="shared" si="319"/>
        <v>0</v>
      </c>
      <c r="AH1081" s="59">
        <v>2</v>
      </c>
      <c r="AI1081" s="59">
        <v>1</v>
      </c>
      <c r="AJ1081" s="59">
        <f t="shared" si="320"/>
        <v>1</v>
      </c>
      <c r="AK1081" s="59">
        <f t="shared" si="321"/>
        <v>0</v>
      </c>
      <c r="AL1081" s="59">
        <v>8376</v>
      </c>
      <c r="AM1081" s="59">
        <v>9150</v>
      </c>
      <c r="AN1081" s="59">
        <v>4</v>
      </c>
      <c r="AO1081" s="59">
        <v>0</v>
      </c>
      <c r="AP1081" s="59">
        <v>18</v>
      </c>
      <c r="AQ1081" s="59">
        <v>3</v>
      </c>
      <c r="AR1081" s="59">
        <v>4</v>
      </c>
      <c r="AS1081" s="59">
        <v>80</v>
      </c>
      <c r="AT1081" s="59">
        <v>0</v>
      </c>
      <c r="AU1081" s="59">
        <v>9</v>
      </c>
      <c r="AV1081" s="59">
        <v>3</v>
      </c>
      <c r="AW1081" s="59">
        <v>3</v>
      </c>
      <c r="AX1081" s="59">
        <v>2</v>
      </c>
      <c r="AY1081" s="59">
        <v>0</v>
      </c>
      <c r="AZ1081" s="59">
        <v>2</v>
      </c>
      <c r="BA1081" s="59">
        <v>2</v>
      </c>
      <c r="BB1081" s="57">
        <f t="shared" si="322"/>
        <v>25128</v>
      </c>
    </row>
    <row r="1082" spans="1:54" x14ac:dyDescent="0.25">
      <c r="A1082" s="58">
        <v>46</v>
      </c>
      <c r="B1082" s="59">
        <v>0</v>
      </c>
      <c r="C1082" s="59">
        <v>1</v>
      </c>
      <c r="D1082" s="59">
        <f t="shared" si="304"/>
        <v>1</v>
      </c>
      <c r="E1082" s="59">
        <f t="shared" si="305"/>
        <v>0</v>
      </c>
      <c r="F1082" s="59">
        <v>228</v>
      </c>
      <c r="G1082" s="59">
        <v>1</v>
      </c>
      <c r="H1082" s="59">
        <f t="shared" si="306"/>
        <v>1</v>
      </c>
      <c r="I1082" s="59">
        <f t="shared" si="307"/>
        <v>0</v>
      </c>
      <c r="J1082" s="59">
        <v>3</v>
      </c>
      <c r="K1082" s="59">
        <v>3</v>
      </c>
      <c r="L1082" s="59">
        <v>1</v>
      </c>
      <c r="M1082" s="59">
        <f t="shared" si="308"/>
        <v>1</v>
      </c>
      <c r="N1082" s="59">
        <f t="shared" si="309"/>
        <v>0</v>
      </c>
      <c r="O1082" s="59">
        <f t="shared" si="310"/>
        <v>0</v>
      </c>
      <c r="P1082" s="59">
        <f t="shared" si="311"/>
        <v>0</v>
      </c>
      <c r="Q1082" s="59">
        <f t="shared" si="312"/>
        <v>0</v>
      </c>
      <c r="R1082" s="59">
        <v>1</v>
      </c>
      <c r="S1082" s="59">
        <v>1527</v>
      </c>
      <c r="T1082" s="59">
        <v>3</v>
      </c>
      <c r="U1082" s="59">
        <v>0</v>
      </c>
      <c r="V1082" s="59">
        <v>51</v>
      </c>
      <c r="W1082" s="59">
        <v>3</v>
      </c>
      <c r="X1082" s="59">
        <v>4</v>
      </c>
      <c r="Y1082" s="59">
        <v>6</v>
      </c>
      <c r="Z1082" s="59">
        <f t="shared" si="313"/>
        <v>0</v>
      </c>
      <c r="AA1082" s="59">
        <f>IF('Updated Dummy'!Y1082=2,1,0)</f>
        <v>0</v>
      </c>
      <c r="AB1082" s="59">
        <f t="shared" si="314"/>
        <v>0</v>
      </c>
      <c r="AC1082" s="59">
        <f t="shared" si="315"/>
        <v>0</v>
      </c>
      <c r="AD1082" s="59">
        <f t="shared" si="316"/>
        <v>0</v>
      </c>
      <c r="AE1082" s="59">
        <f t="shared" si="317"/>
        <v>1</v>
      </c>
      <c r="AF1082" s="59">
        <f t="shared" si="318"/>
        <v>0</v>
      </c>
      <c r="AG1082" s="59">
        <f t="shared" si="319"/>
        <v>0</v>
      </c>
      <c r="AH1082" s="59">
        <v>2</v>
      </c>
      <c r="AI1082" s="59">
        <v>2</v>
      </c>
      <c r="AJ1082" s="59">
        <f t="shared" si="320"/>
        <v>0</v>
      </c>
      <c r="AK1082" s="59">
        <f t="shared" si="321"/>
        <v>1</v>
      </c>
      <c r="AL1082" s="59">
        <v>16606</v>
      </c>
      <c r="AM1082" s="59">
        <v>11380</v>
      </c>
      <c r="AN1082" s="59">
        <v>8</v>
      </c>
      <c r="AO1082" s="59">
        <v>0</v>
      </c>
      <c r="AP1082" s="59">
        <v>12</v>
      </c>
      <c r="AQ1082" s="59">
        <v>3</v>
      </c>
      <c r="AR1082" s="59">
        <v>4</v>
      </c>
      <c r="AS1082" s="59">
        <v>80</v>
      </c>
      <c r="AT1082" s="59">
        <v>1</v>
      </c>
      <c r="AU1082" s="59">
        <v>23</v>
      </c>
      <c r="AV1082" s="59">
        <v>2</v>
      </c>
      <c r="AW1082" s="59">
        <v>4</v>
      </c>
      <c r="AX1082" s="59">
        <v>13</v>
      </c>
      <c r="AY1082" s="59">
        <v>12</v>
      </c>
      <c r="AZ1082" s="59">
        <v>5</v>
      </c>
      <c r="BA1082" s="59">
        <v>1</v>
      </c>
      <c r="BB1082" s="57">
        <f t="shared" si="322"/>
        <v>66424</v>
      </c>
    </row>
    <row r="1083" spans="1:54" x14ac:dyDescent="0.25">
      <c r="A1083" s="58">
        <v>35</v>
      </c>
      <c r="B1083" s="59">
        <v>0</v>
      </c>
      <c r="C1083" s="59">
        <v>1</v>
      </c>
      <c r="D1083" s="59">
        <f t="shared" si="304"/>
        <v>1</v>
      </c>
      <c r="E1083" s="59">
        <f t="shared" si="305"/>
        <v>0</v>
      </c>
      <c r="F1083" s="59">
        <v>1029</v>
      </c>
      <c r="G1083" s="59">
        <v>2</v>
      </c>
      <c r="H1083" s="59">
        <f t="shared" si="306"/>
        <v>0</v>
      </c>
      <c r="I1083" s="59">
        <f t="shared" si="307"/>
        <v>1</v>
      </c>
      <c r="J1083" s="59">
        <v>16</v>
      </c>
      <c r="K1083" s="59">
        <v>3</v>
      </c>
      <c r="L1083" s="59">
        <v>1</v>
      </c>
      <c r="M1083" s="59">
        <f t="shared" si="308"/>
        <v>1</v>
      </c>
      <c r="N1083" s="59">
        <f t="shared" si="309"/>
        <v>0</v>
      </c>
      <c r="O1083" s="59">
        <f t="shared" si="310"/>
        <v>0</v>
      </c>
      <c r="P1083" s="59">
        <f t="shared" si="311"/>
        <v>0</v>
      </c>
      <c r="Q1083" s="59">
        <f t="shared" si="312"/>
        <v>0</v>
      </c>
      <c r="R1083" s="59">
        <v>1</v>
      </c>
      <c r="S1083" s="59">
        <v>1529</v>
      </c>
      <c r="T1083" s="59">
        <v>4</v>
      </c>
      <c r="U1083" s="59">
        <v>0</v>
      </c>
      <c r="V1083" s="59">
        <v>91</v>
      </c>
      <c r="W1083" s="59">
        <v>2</v>
      </c>
      <c r="X1083" s="59">
        <v>3</v>
      </c>
      <c r="Y1083" s="59">
        <v>5</v>
      </c>
      <c r="Z1083" s="59">
        <f t="shared" si="313"/>
        <v>0</v>
      </c>
      <c r="AA1083" s="59">
        <f>IF('Updated Dummy'!Y1083=2,1,0)</f>
        <v>0</v>
      </c>
      <c r="AB1083" s="59">
        <f t="shared" si="314"/>
        <v>0</v>
      </c>
      <c r="AC1083" s="59">
        <f t="shared" si="315"/>
        <v>0</v>
      </c>
      <c r="AD1083" s="59">
        <f t="shared" si="316"/>
        <v>1</v>
      </c>
      <c r="AE1083" s="59">
        <f t="shared" si="317"/>
        <v>0</v>
      </c>
      <c r="AF1083" s="59">
        <f t="shared" si="318"/>
        <v>0</v>
      </c>
      <c r="AG1083" s="59">
        <f t="shared" si="319"/>
        <v>0</v>
      </c>
      <c r="AH1083" s="59">
        <v>2</v>
      </c>
      <c r="AI1083" s="59">
        <v>1</v>
      </c>
      <c r="AJ1083" s="59">
        <f t="shared" si="320"/>
        <v>1</v>
      </c>
      <c r="AK1083" s="59">
        <f t="shared" si="321"/>
        <v>0</v>
      </c>
      <c r="AL1083" s="59">
        <v>8606</v>
      </c>
      <c r="AM1083" s="59">
        <v>21195</v>
      </c>
      <c r="AN1083" s="59">
        <v>1</v>
      </c>
      <c r="AO1083" s="59">
        <v>0</v>
      </c>
      <c r="AP1083" s="59">
        <v>19</v>
      </c>
      <c r="AQ1083" s="59">
        <v>3</v>
      </c>
      <c r="AR1083" s="59">
        <v>4</v>
      </c>
      <c r="AS1083" s="59">
        <v>80</v>
      </c>
      <c r="AT1083" s="59">
        <v>0</v>
      </c>
      <c r="AU1083" s="59">
        <v>11</v>
      </c>
      <c r="AV1083" s="59">
        <v>3</v>
      </c>
      <c r="AW1083" s="59">
        <v>1</v>
      </c>
      <c r="AX1083" s="59">
        <v>11</v>
      </c>
      <c r="AY1083" s="59">
        <v>8</v>
      </c>
      <c r="AZ1083" s="59">
        <v>3</v>
      </c>
      <c r="BA1083" s="59">
        <v>3</v>
      </c>
      <c r="BB1083" s="57">
        <f t="shared" si="322"/>
        <v>25818</v>
      </c>
    </row>
    <row r="1084" spans="1:54" x14ac:dyDescent="0.25">
      <c r="A1084" s="58">
        <v>23</v>
      </c>
      <c r="B1084" s="59">
        <v>0</v>
      </c>
      <c r="C1084" s="59">
        <v>1</v>
      </c>
      <c r="D1084" s="59">
        <f t="shared" si="304"/>
        <v>1</v>
      </c>
      <c r="E1084" s="59">
        <f t="shared" si="305"/>
        <v>0</v>
      </c>
      <c r="F1084" s="59">
        <v>507</v>
      </c>
      <c r="G1084" s="59">
        <v>2</v>
      </c>
      <c r="H1084" s="59">
        <f t="shared" si="306"/>
        <v>0</v>
      </c>
      <c r="I1084" s="59">
        <f t="shared" si="307"/>
        <v>1</v>
      </c>
      <c r="J1084" s="59">
        <v>20</v>
      </c>
      <c r="K1084" s="59">
        <v>1</v>
      </c>
      <c r="L1084" s="59">
        <v>1</v>
      </c>
      <c r="M1084" s="59">
        <f t="shared" si="308"/>
        <v>1</v>
      </c>
      <c r="N1084" s="59">
        <f t="shared" si="309"/>
        <v>0</v>
      </c>
      <c r="O1084" s="59">
        <f t="shared" si="310"/>
        <v>0</v>
      </c>
      <c r="P1084" s="59">
        <f t="shared" si="311"/>
        <v>0</v>
      </c>
      <c r="Q1084" s="59">
        <f t="shared" si="312"/>
        <v>0</v>
      </c>
      <c r="R1084" s="59">
        <v>1</v>
      </c>
      <c r="S1084" s="59">
        <v>1533</v>
      </c>
      <c r="T1084" s="59">
        <v>1</v>
      </c>
      <c r="U1084" s="59">
        <v>1</v>
      </c>
      <c r="V1084" s="59">
        <v>97</v>
      </c>
      <c r="W1084" s="59">
        <v>3</v>
      </c>
      <c r="X1084" s="59">
        <v>2</v>
      </c>
      <c r="Y1084" s="59">
        <v>3</v>
      </c>
      <c r="Z1084" s="59">
        <f t="shared" si="313"/>
        <v>0</v>
      </c>
      <c r="AA1084" s="59">
        <f>IF('Updated Dummy'!Y1084=2,1,0)</f>
        <v>0</v>
      </c>
      <c r="AB1084" s="59">
        <f t="shared" si="314"/>
        <v>1</v>
      </c>
      <c r="AC1084" s="59">
        <f t="shared" si="315"/>
        <v>0</v>
      </c>
      <c r="AD1084" s="59">
        <f t="shared" si="316"/>
        <v>0</v>
      </c>
      <c r="AE1084" s="59">
        <f t="shared" si="317"/>
        <v>0</v>
      </c>
      <c r="AF1084" s="59">
        <f t="shared" si="318"/>
        <v>0</v>
      </c>
      <c r="AG1084" s="59">
        <f t="shared" si="319"/>
        <v>0</v>
      </c>
      <c r="AH1084" s="59">
        <v>3</v>
      </c>
      <c r="AI1084" s="59">
        <v>1</v>
      </c>
      <c r="AJ1084" s="59">
        <f t="shared" si="320"/>
        <v>1</v>
      </c>
      <c r="AK1084" s="59">
        <f t="shared" si="321"/>
        <v>0</v>
      </c>
      <c r="AL1084" s="59">
        <v>2272</v>
      </c>
      <c r="AM1084" s="59">
        <v>24812</v>
      </c>
      <c r="AN1084" s="59">
        <v>0</v>
      </c>
      <c r="AO1084" s="59">
        <v>0</v>
      </c>
      <c r="AP1084" s="59">
        <v>14</v>
      </c>
      <c r="AQ1084" s="59">
        <v>3</v>
      </c>
      <c r="AR1084" s="59">
        <v>2</v>
      </c>
      <c r="AS1084" s="59">
        <v>80</v>
      </c>
      <c r="AT1084" s="59">
        <v>0</v>
      </c>
      <c r="AU1084" s="59">
        <v>5</v>
      </c>
      <c r="AV1084" s="59">
        <v>2</v>
      </c>
      <c r="AW1084" s="59">
        <v>3</v>
      </c>
      <c r="AX1084" s="59">
        <v>4</v>
      </c>
      <c r="AY1084" s="59">
        <v>3</v>
      </c>
      <c r="AZ1084" s="59">
        <v>1</v>
      </c>
      <c r="BA1084" s="59">
        <v>2</v>
      </c>
      <c r="BB1084" s="57">
        <f t="shared" si="322"/>
        <v>4544</v>
      </c>
    </row>
    <row r="1085" spans="1:54" x14ac:dyDescent="0.25">
      <c r="A1085" s="58">
        <v>40</v>
      </c>
      <c r="B1085" s="59">
        <v>1</v>
      </c>
      <c r="C1085" s="59">
        <v>1</v>
      </c>
      <c r="D1085" s="59">
        <f t="shared" si="304"/>
        <v>1</v>
      </c>
      <c r="E1085" s="59">
        <f t="shared" si="305"/>
        <v>0</v>
      </c>
      <c r="F1085" s="59">
        <v>676</v>
      </c>
      <c r="G1085" s="59">
        <v>2</v>
      </c>
      <c r="H1085" s="59">
        <f t="shared" si="306"/>
        <v>0</v>
      </c>
      <c r="I1085" s="59">
        <f t="shared" si="307"/>
        <v>1</v>
      </c>
      <c r="J1085" s="59">
        <v>9</v>
      </c>
      <c r="K1085" s="59">
        <v>4</v>
      </c>
      <c r="L1085" s="59">
        <v>1</v>
      </c>
      <c r="M1085" s="59">
        <f t="shared" si="308"/>
        <v>1</v>
      </c>
      <c r="N1085" s="59">
        <f t="shared" si="309"/>
        <v>0</v>
      </c>
      <c r="O1085" s="59">
        <f t="shared" si="310"/>
        <v>0</v>
      </c>
      <c r="P1085" s="59">
        <f t="shared" si="311"/>
        <v>0</v>
      </c>
      <c r="Q1085" s="59">
        <f t="shared" si="312"/>
        <v>0</v>
      </c>
      <c r="R1085" s="59">
        <v>1</v>
      </c>
      <c r="S1085" s="59">
        <v>1534</v>
      </c>
      <c r="T1085" s="59">
        <v>4</v>
      </c>
      <c r="U1085" s="59">
        <v>1</v>
      </c>
      <c r="V1085" s="59">
        <v>86</v>
      </c>
      <c r="W1085" s="59">
        <v>3</v>
      </c>
      <c r="X1085" s="59">
        <v>1</v>
      </c>
      <c r="Y1085" s="59">
        <v>3</v>
      </c>
      <c r="Z1085" s="59">
        <f t="shared" si="313"/>
        <v>0</v>
      </c>
      <c r="AA1085" s="59">
        <f>IF('Updated Dummy'!Y1085=2,1,0)</f>
        <v>0</v>
      </c>
      <c r="AB1085" s="59">
        <f t="shared" si="314"/>
        <v>1</v>
      </c>
      <c r="AC1085" s="59">
        <f t="shared" si="315"/>
        <v>0</v>
      </c>
      <c r="AD1085" s="59">
        <f t="shared" si="316"/>
        <v>0</v>
      </c>
      <c r="AE1085" s="59">
        <f t="shared" si="317"/>
        <v>0</v>
      </c>
      <c r="AF1085" s="59">
        <f t="shared" si="318"/>
        <v>0</v>
      </c>
      <c r="AG1085" s="59">
        <f t="shared" si="319"/>
        <v>0</v>
      </c>
      <c r="AH1085" s="59">
        <v>1</v>
      </c>
      <c r="AI1085" s="59">
        <v>1</v>
      </c>
      <c r="AJ1085" s="59">
        <f t="shared" si="320"/>
        <v>1</v>
      </c>
      <c r="AK1085" s="59">
        <f t="shared" si="321"/>
        <v>0</v>
      </c>
      <c r="AL1085" s="59">
        <v>2018</v>
      </c>
      <c r="AM1085" s="59">
        <v>21831</v>
      </c>
      <c r="AN1085" s="59">
        <v>3</v>
      </c>
      <c r="AO1085" s="59">
        <v>0</v>
      </c>
      <c r="AP1085" s="59">
        <v>14</v>
      </c>
      <c r="AQ1085" s="59">
        <v>3</v>
      </c>
      <c r="AR1085" s="59">
        <v>2</v>
      </c>
      <c r="AS1085" s="59">
        <v>80</v>
      </c>
      <c r="AT1085" s="59">
        <v>0</v>
      </c>
      <c r="AU1085" s="59">
        <v>15</v>
      </c>
      <c r="AV1085" s="59">
        <v>3</v>
      </c>
      <c r="AW1085" s="59">
        <v>1</v>
      </c>
      <c r="AX1085" s="59">
        <v>5</v>
      </c>
      <c r="AY1085" s="59">
        <v>4</v>
      </c>
      <c r="AZ1085" s="59">
        <v>1</v>
      </c>
      <c r="BA1085" s="59">
        <v>0</v>
      </c>
      <c r="BB1085" s="57">
        <f t="shared" si="322"/>
        <v>2018</v>
      </c>
    </row>
    <row r="1086" spans="1:54" x14ac:dyDescent="0.25">
      <c r="A1086" s="58">
        <v>34</v>
      </c>
      <c r="B1086" s="59">
        <v>0</v>
      </c>
      <c r="C1086" s="59">
        <v>1</v>
      </c>
      <c r="D1086" s="59">
        <f t="shared" si="304"/>
        <v>1</v>
      </c>
      <c r="E1086" s="59">
        <f t="shared" si="305"/>
        <v>0</v>
      </c>
      <c r="F1086" s="59">
        <v>971</v>
      </c>
      <c r="G1086" s="59">
        <v>1</v>
      </c>
      <c r="H1086" s="59">
        <f t="shared" si="306"/>
        <v>1</v>
      </c>
      <c r="I1086" s="59">
        <f t="shared" si="307"/>
        <v>0</v>
      </c>
      <c r="J1086" s="59">
        <v>1</v>
      </c>
      <c r="K1086" s="59">
        <v>3</v>
      </c>
      <c r="L1086" s="59">
        <v>5</v>
      </c>
      <c r="M1086" s="59">
        <f t="shared" si="308"/>
        <v>0</v>
      </c>
      <c r="N1086" s="59">
        <f t="shared" si="309"/>
        <v>0</v>
      </c>
      <c r="O1086" s="59">
        <f t="shared" si="310"/>
        <v>0</v>
      </c>
      <c r="P1086" s="59">
        <f t="shared" si="311"/>
        <v>0</v>
      </c>
      <c r="Q1086" s="59">
        <f t="shared" si="312"/>
        <v>1</v>
      </c>
      <c r="R1086" s="59">
        <v>1</v>
      </c>
      <c r="S1086" s="59">
        <v>1535</v>
      </c>
      <c r="T1086" s="59">
        <v>4</v>
      </c>
      <c r="U1086" s="59">
        <v>1</v>
      </c>
      <c r="V1086" s="59">
        <v>64</v>
      </c>
      <c r="W1086" s="59">
        <v>2</v>
      </c>
      <c r="X1086" s="59">
        <v>3</v>
      </c>
      <c r="Y1086" s="59">
        <v>1</v>
      </c>
      <c r="Z1086" s="59">
        <f t="shared" si="313"/>
        <v>1</v>
      </c>
      <c r="AA1086" s="59">
        <f>IF('Updated Dummy'!Y1086=2,1,0)</f>
        <v>0</v>
      </c>
      <c r="AB1086" s="59">
        <f t="shared" si="314"/>
        <v>0</v>
      </c>
      <c r="AC1086" s="59">
        <f t="shared" si="315"/>
        <v>0</v>
      </c>
      <c r="AD1086" s="59">
        <f t="shared" si="316"/>
        <v>0</v>
      </c>
      <c r="AE1086" s="59">
        <f t="shared" si="317"/>
        <v>0</v>
      </c>
      <c r="AF1086" s="59">
        <f t="shared" si="318"/>
        <v>0</v>
      </c>
      <c r="AG1086" s="59">
        <f t="shared" si="319"/>
        <v>0</v>
      </c>
      <c r="AH1086" s="59">
        <v>3</v>
      </c>
      <c r="AI1086" s="59">
        <v>2</v>
      </c>
      <c r="AJ1086" s="59">
        <f t="shared" si="320"/>
        <v>0</v>
      </c>
      <c r="AK1086" s="59">
        <f t="shared" si="321"/>
        <v>1</v>
      </c>
      <c r="AL1086" s="59">
        <v>7083</v>
      </c>
      <c r="AM1086" s="59">
        <v>12288</v>
      </c>
      <c r="AN1086" s="59">
        <v>1</v>
      </c>
      <c r="AO1086" s="59">
        <v>1</v>
      </c>
      <c r="AP1086" s="59">
        <v>14</v>
      </c>
      <c r="AQ1086" s="59">
        <v>3</v>
      </c>
      <c r="AR1086" s="59">
        <v>4</v>
      </c>
      <c r="AS1086" s="59">
        <v>80</v>
      </c>
      <c r="AT1086" s="59">
        <v>0</v>
      </c>
      <c r="AU1086" s="59">
        <v>10</v>
      </c>
      <c r="AV1086" s="59">
        <v>3</v>
      </c>
      <c r="AW1086" s="59">
        <v>3</v>
      </c>
      <c r="AX1086" s="59">
        <v>10</v>
      </c>
      <c r="AY1086" s="59">
        <v>9</v>
      </c>
      <c r="AZ1086" s="59">
        <v>8</v>
      </c>
      <c r="BA1086" s="59">
        <v>6</v>
      </c>
      <c r="BB1086" s="57">
        <f t="shared" si="322"/>
        <v>21249</v>
      </c>
    </row>
    <row r="1087" spans="1:54" x14ac:dyDescent="0.25">
      <c r="A1087" s="58">
        <v>31</v>
      </c>
      <c r="B1087" s="59">
        <v>1</v>
      </c>
      <c r="C1087" s="59">
        <v>2</v>
      </c>
      <c r="D1087" s="59">
        <f t="shared" si="304"/>
        <v>0</v>
      </c>
      <c r="E1087" s="59">
        <f t="shared" si="305"/>
        <v>1</v>
      </c>
      <c r="F1087" s="59">
        <v>561</v>
      </c>
      <c r="G1087" s="59">
        <v>2</v>
      </c>
      <c r="H1087" s="59">
        <f t="shared" si="306"/>
        <v>0</v>
      </c>
      <c r="I1087" s="59">
        <f t="shared" si="307"/>
        <v>1</v>
      </c>
      <c r="J1087" s="59">
        <v>3</v>
      </c>
      <c r="K1087" s="59">
        <v>3</v>
      </c>
      <c r="L1087" s="59">
        <v>1</v>
      </c>
      <c r="M1087" s="59">
        <f t="shared" si="308"/>
        <v>1</v>
      </c>
      <c r="N1087" s="59">
        <f t="shared" si="309"/>
        <v>0</v>
      </c>
      <c r="O1087" s="59">
        <f t="shared" si="310"/>
        <v>0</v>
      </c>
      <c r="P1087" s="59">
        <f t="shared" si="311"/>
        <v>0</v>
      </c>
      <c r="Q1087" s="59">
        <f t="shared" si="312"/>
        <v>0</v>
      </c>
      <c r="R1087" s="59">
        <v>1</v>
      </c>
      <c r="S1087" s="59">
        <v>1537</v>
      </c>
      <c r="T1087" s="59">
        <v>4</v>
      </c>
      <c r="U1087" s="59">
        <v>0</v>
      </c>
      <c r="V1087" s="59">
        <v>33</v>
      </c>
      <c r="W1087" s="59">
        <v>3</v>
      </c>
      <c r="X1087" s="59">
        <v>1</v>
      </c>
      <c r="Y1087" s="59">
        <v>2</v>
      </c>
      <c r="Z1087" s="59">
        <f t="shared" si="313"/>
        <v>0</v>
      </c>
      <c r="AA1087" s="59">
        <f>IF('Updated Dummy'!Y1087=2,1,0)</f>
        <v>1</v>
      </c>
      <c r="AB1087" s="59">
        <f t="shared" si="314"/>
        <v>0</v>
      </c>
      <c r="AC1087" s="59">
        <f t="shared" si="315"/>
        <v>0</v>
      </c>
      <c r="AD1087" s="59">
        <f t="shared" si="316"/>
        <v>0</v>
      </c>
      <c r="AE1087" s="59">
        <f t="shared" si="317"/>
        <v>0</v>
      </c>
      <c r="AF1087" s="59">
        <f t="shared" si="318"/>
        <v>0</v>
      </c>
      <c r="AG1087" s="59">
        <f t="shared" si="319"/>
        <v>0</v>
      </c>
      <c r="AH1087" s="59">
        <v>3</v>
      </c>
      <c r="AI1087" s="59">
        <v>1</v>
      </c>
      <c r="AJ1087" s="59">
        <f t="shared" si="320"/>
        <v>1</v>
      </c>
      <c r="AK1087" s="59">
        <f t="shared" si="321"/>
        <v>0</v>
      </c>
      <c r="AL1087" s="59">
        <v>4084</v>
      </c>
      <c r="AM1087" s="59">
        <v>4156</v>
      </c>
      <c r="AN1087" s="59">
        <v>1</v>
      </c>
      <c r="AO1087" s="59">
        <v>0</v>
      </c>
      <c r="AP1087" s="59">
        <v>12</v>
      </c>
      <c r="AQ1087" s="59">
        <v>3</v>
      </c>
      <c r="AR1087" s="59">
        <v>1</v>
      </c>
      <c r="AS1087" s="59">
        <v>80</v>
      </c>
      <c r="AT1087" s="59">
        <v>0</v>
      </c>
      <c r="AU1087" s="59">
        <v>7</v>
      </c>
      <c r="AV1087" s="59">
        <v>2</v>
      </c>
      <c r="AW1087" s="59">
        <v>1</v>
      </c>
      <c r="AX1087" s="59">
        <v>7</v>
      </c>
      <c r="AY1087" s="59">
        <v>2</v>
      </c>
      <c r="AZ1087" s="59">
        <v>7</v>
      </c>
      <c r="BA1087" s="59">
        <v>7</v>
      </c>
      <c r="BB1087" s="57">
        <f t="shared" si="322"/>
        <v>4084</v>
      </c>
    </row>
    <row r="1088" spans="1:54" x14ac:dyDescent="0.25">
      <c r="A1088" s="58">
        <v>50</v>
      </c>
      <c r="B1088" s="59">
        <v>0</v>
      </c>
      <c r="C1088" s="59">
        <v>2</v>
      </c>
      <c r="D1088" s="59">
        <f t="shared" si="304"/>
        <v>0</v>
      </c>
      <c r="E1088" s="59">
        <f t="shared" si="305"/>
        <v>1</v>
      </c>
      <c r="F1088" s="59">
        <v>333</v>
      </c>
      <c r="G1088" s="59">
        <v>2</v>
      </c>
      <c r="H1088" s="59">
        <f t="shared" si="306"/>
        <v>0</v>
      </c>
      <c r="I1088" s="59">
        <f t="shared" si="307"/>
        <v>1</v>
      </c>
      <c r="J1088" s="59">
        <v>22</v>
      </c>
      <c r="K1088" s="59">
        <v>5</v>
      </c>
      <c r="L1088" s="59">
        <v>3</v>
      </c>
      <c r="M1088" s="59">
        <f t="shared" si="308"/>
        <v>0</v>
      </c>
      <c r="N1088" s="59">
        <f t="shared" si="309"/>
        <v>0</v>
      </c>
      <c r="O1088" s="59">
        <f t="shared" si="310"/>
        <v>1</v>
      </c>
      <c r="P1088" s="59">
        <f t="shared" si="311"/>
        <v>0</v>
      </c>
      <c r="Q1088" s="59">
        <f t="shared" si="312"/>
        <v>0</v>
      </c>
      <c r="R1088" s="59">
        <v>1</v>
      </c>
      <c r="S1088" s="59">
        <v>1539</v>
      </c>
      <c r="T1088" s="59">
        <v>3</v>
      </c>
      <c r="U1088" s="59">
        <v>1</v>
      </c>
      <c r="V1088" s="59">
        <v>88</v>
      </c>
      <c r="W1088" s="59">
        <v>1</v>
      </c>
      <c r="X1088" s="59">
        <v>4</v>
      </c>
      <c r="Y1088" s="59">
        <v>8</v>
      </c>
      <c r="Z1088" s="59">
        <f t="shared" si="313"/>
        <v>0</v>
      </c>
      <c r="AA1088" s="59">
        <f>IF('Updated Dummy'!Y1088=2,1,0)</f>
        <v>0</v>
      </c>
      <c r="AB1088" s="59">
        <f t="shared" si="314"/>
        <v>0</v>
      </c>
      <c r="AC1088" s="59">
        <f t="shared" si="315"/>
        <v>0</v>
      </c>
      <c r="AD1088" s="59">
        <f t="shared" si="316"/>
        <v>0</v>
      </c>
      <c r="AE1088" s="59">
        <f t="shared" si="317"/>
        <v>0</v>
      </c>
      <c r="AF1088" s="59">
        <f t="shared" si="318"/>
        <v>0</v>
      </c>
      <c r="AG1088" s="59">
        <f t="shared" si="319"/>
        <v>1</v>
      </c>
      <c r="AH1088" s="59">
        <v>4</v>
      </c>
      <c r="AI1088" s="59">
        <v>1</v>
      </c>
      <c r="AJ1088" s="59">
        <f t="shared" si="320"/>
        <v>1</v>
      </c>
      <c r="AK1088" s="59">
        <f t="shared" si="321"/>
        <v>0</v>
      </c>
      <c r="AL1088" s="59">
        <v>14411</v>
      </c>
      <c r="AM1088" s="59">
        <v>24450</v>
      </c>
      <c r="AN1088" s="59">
        <v>1</v>
      </c>
      <c r="AO1088" s="59">
        <v>1</v>
      </c>
      <c r="AP1088" s="59">
        <v>13</v>
      </c>
      <c r="AQ1088" s="59">
        <v>3</v>
      </c>
      <c r="AR1088" s="59">
        <v>4</v>
      </c>
      <c r="AS1088" s="59">
        <v>80</v>
      </c>
      <c r="AT1088" s="59">
        <v>0</v>
      </c>
      <c r="AU1088" s="59">
        <v>32</v>
      </c>
      <c r="AV1088" s="59">
        <v>2</v>
      </c>
      <c r="AW1088" s="59">
        <v>3</v>
      </c>
      <c r="AX1088" s="59">
        <v>32</v>
      </c>
      <c r="AY1088" s="59">
        <v>6</v>
      </c>
      <c r="AZ1088" s="59">
        <v>13</v>
      </c>
      <c r="BA1088" s="59">
        <v>9</v>
      </c>
      <c r="BB1088" s="57">
        <f t="shared" si="322"/>
        <v>57644</v>
      </c>
    </row>
    <row r="1089" spans="1:54" x14ac:dyDescent="0.25">
      <c r="A1089" s="58">
        <v>34</v>
      </c>
      <c r="B1089" s="59">
        <v>0</v>
      </c>
      <c r="C1089" s="59">
        <v>1</v>
      </c>
      <c r="D1089" s="59">
        <f t="shared" si="304"/>
        <v>1</v>
      </c>
      <c r="E1089" s="59">
        <f t="shared" si="305"/>
        <v>0</v>
      </c>
      <c r="F1089" s="59">
        <v>1440</v>
      </c>
      <c r="G1089" s="59">
        <v>1</v>
      </c>
      <c r="H1089" s="59">
        <f t="shared" si="306"/>
        <v>1</v>
      </c>
      <c r="I1089" s="59">
        <f t="shared" si="307"/>
        <v>0</v>
      </c>
      <c r="J1089" s="59">
        <v>7</v>
      </c>
      <c r="K1089" s="59">
        <v>2</v>
      </c>
      <c r="L1089" s="59">
        <v>5</v>
      </c>
      <c r="M1089" s="59">
        <f t="shared" si="308"/>
        <v>0</v>
      </c>
      <c r="N1089" s="59">
        <f t="shared" si="309"/>
        <v>0</v>
      </c>
      <c r="O1089" s="59">
        <f t="shared" si="310"/>
        <v>0</v>
      </c>
      <c r="P1089" s="59">
        <f t="shared" si="311"/>
        <v>0</v>
      </c>
      <c r="Q1089" s="59">
        <f t="shared" si="312"/>
        <v>1</v>
      </c>
      <c r="R1089" s="59">
        <v>1</v>
      </c>
      <c r="S1089" s="59">
        <v>1541</v>
      </c>
      <c r="T1089" s="59">
        <v>2</v>
      </c>
      <c r="U1089" s="59">
        <v>1</v>
      </c>
      <c r="V1089" s="59">
        <v>55</v>
      </c>
      <c r="W1089" s="59">
        <v>3</v>
      </c>
      <c r="X1089" s="59">
        <v>1</v>
      </c>
      <c r="Y1089" s="59">
        <v>7</v>
      </c>
      <c r="Z1089" s="59">
        <f t="shared" si="313"/>
        <v>0</v>
      </c>
      <c r="AA1089" s="59">
        <f>IF('Updated Dummy'!Y1089=2,1,0)</f>
        <v>0</v>
      </c>
      <c r="AB1089" s="59">
        <f t="shared" si="314"/>
        <v>0</v>
      </c>
      <c r="AC1089" s="59">
        <f t="shared" si="315"/>
        <v>0</v>
      </c>
      <c r="AD1089" s="59">
        <f t="shared" si="316"/>
        <v>0</v>
      </c>
      <c r="AE1089" s="59">
        <f t="shared" si="317"/>
        <v>0</v>
      </c>
      <c r="AF1089" s="59">
        <f t="shared" si="318"/>
        <v>1</v>
      </c>
      <c r="AG1089" s="59">
        <f t="shared" si="319"/>
        <v>0</v>
      </c>
      <c r="AH1089" s="59">
        <v>3</v>
      </c>
      <c r="AI1089" s="59">
        <v>2</v>
      </c>
      <c r="AJ1089" s="59">
        <f t="shared" si="320"/>
        <v>0</v>
      </c>
      <c r="AK1089" s="59">
        <f t="shared" si="321"/>
        <v>1</v>
      </c>
      <c r="AL1089" s="59">
        <v>2308</v>
      </c>
      <c r="AM1089" s="59">
        <v>4944</v>
      </c>
      <c r="AN1089" s="59">
        <v>0</v>
      </c>
      <c r="AO1089" s="59">
        <v>1</v>
      </c>
      <c r="AP1089" s="59">
        <v>25</v>
      </c>
      <c r="AQ1089" s="59">
        <v>4</v>
      </c>
      <c r="AR1089" s="59">
        <v>2</v>
      </c>
      <c r="AS1089" s="59">
        <v>80</v>
      </c>
      <c r="AT1089" s="59">
        <v>1</v>
      </c>
      <c r="AU1089" s="59">
        <v>12</v>
      </c>
      <c r="AV1089" s="59">
        <v>4</v>
      </c>
      <c r="AW1089" s="59">
        <v>3</v>
      </c>
      <c r="AX1089" s="59">
        <v>11</v>
      </c>
      <c r="AY1089" s="59">
        <v>10</v>
      </c>
      <c r="AZ1089" s="59">
        <v>5</v>
      </c>
      <c r="BA1089" s="59">
        <v>7</v>
      </c>
      <c r="BB1089" s="57">
        <f t="shared" si="322"/>
        <v>2308</v>
      </c>
    </row>
    <row r="1090" spans="1:54" x14ac:dyDescent="0.25">
      <c r="A1090" s="58">
        <v>42</v>
      </c>
      <c r="B1090" s="59">
        <v>0</v>
      </c>
      <c r="C1090" s="59">
        <v>1</v>
      </c>
      <c r="D1090" s="59">
        <f t="shared" si="304"/>
        <v>1</v>
      </c>
      <c r="E1090" s="59">
        <f t="shared" si="305"/>
        <v>0</v>
      </c>
      <c r="F1090" s="59">
        <v>1210</v>
      </c>
      <c r="G1090" s="59">
        <v>2</v>
      </c>
      <c r="H1090" s="59">
        <f t="shared" si="306"/>
        <v>0</v>
      </c>
      <c r="I1090" s="59">
        <f t="shared" si="307"/>
        <v>1</v>
      </c>
      <c r="J1090" s="59">
        <v>2</v>
      </c>
      <c r="K1090" s="59">
        <v>3</v>
      </c>
      <c r="L1090" s="59">
        <v>3</v>
      </c>
      <c r="M1090" s="59">
        <f t="shared" si="308"/>
        <v>0</v>
      </c>
      <c r="N1090" s="59">
        <f t="shared" si="309"/>
        <v>0</v>
      </c>
      <c r="O1090" s="59">
        <f t="shared" si="310"/>
        <v>1</v>
      </c>
      <c r="P1090" s="59">
        <f t="shared" si="311"/>
        <v>0</v>
      </c>
      <c r="Q1090" s="59">
        <f t="shared" si="312"/>
        <v>0</v>
      </c>
      <c r="R1090" s="59">
        <v>1</v>
      </c>
      <c r="S1090" s="59">
        <v>1542</v>
      </c>
      <c r="T1090" s="59">
        <v>3</v>
      </c>
      <c r="U1090" s="59">
        <v>1</v>
      </c>
      <c r="V1090" s="59">
        <v>68</v>
      </c>
      <c r="W1090" s="59">
        <v>2</v>
      </c>
      <c r="X1090" s="59">
        <v>1</v>
      </c>
      <c r="Y1090" s="59">
        <v>3</v>
      </c>
      <c r="Z1090" s="59">
        <f t="shared" si="313"/>
        <v>0</v>
      </c>
      <c r="AA1090" s="59">
        <f>IF('Updated Dummy'!Y1090=2,1,0)</f>
        <v>0</v>
      </c>
      <c r="AB1090" s="59">
        <f t="shared" si="314"/>
        <v>1</v>
      </c>
      <c r="AC1090" s="59">
        <f t="shared" si="315"/>
        <v>0</v>
      </c>
      <c r="AD1090" s="59">
        <f t="shared" si="316"/>
        <v>0</v>
      </c>
      <c r="AE1090" s="59">
        <f t="shared" si="317"/>
        <v>0</v>
      </c>
      <c r="AF1090" s="59">
        <f t="shared" si="318"/>
        <v>0</v>
      </c>
      <c r="AG1090" s="59">
        <f t="shared" si="319"/>
        <v>0</v>
      </c>
      <c r="AH1090" s="59">
        <v>2</v>
      </c>
      <c r="AI1090" s="59">
        <v>2</v>
      </c>
      <c r="AJ1090" s="59">
        <f t="shared" si="320"/>
        <v>0</v>
      </c>
      <c r="AK1090" s="59">
        <f t="shared" si="321"/>
        <v>1</v>
      </c>
      <c r="AL1090" s="59">
        <v>4841</v>
      </c>
      <c r="AM1090" s="59">
        <v>24052</v>
      </c>
      <c r="AN1090" s="59">
        <v>4</v>
      </c>
      <c r="AO1090" s="59">
        <v>0</v>
      </c>
      <c r="AP1090" s="59">
        <v>14</v>
      </c>
      <c r="AQ1090" s="59">
        <v>3</v>
      </c>
      <c r="AR1090" s="59">
        <v>2</v>
      </c>
      <c r="AS1090" s="59">
        <v>80</v>
      </c>
      <c r="AT1090" s="59">
        <v>1</v>
      </c>
      <c r="AU1090" s="59">
        <v>4</v>
      </c>
      <c r="AV1090" s="59">
        <v>3</v>
      </c>
      <c r="AW1090" s="59">
        <v>3</v>
      </c>
      <c r="AX1090" s="59">
        <v>1</v>
      </c>
      <c r="AY1090" s="59">
        <v>0</v>
      </c>
      <c r="AZ1090" s="59">
        <v>0</v>
      </c>
      <c r="BA1090" s="59">
        <v>0</v>
      </c>
      <c r="BB1090" s="57">
        <f t="shared" si="322"/>
        <v>4841</v>
      </c>
    </row>
    <row r="1091" spans="1:54" x14ac:dyDescent="0.25">
      <c r="A1091" s="58">
        <v>37</v>
      </c>
      <c r="B1091" s="59">
        <v>0</v>
      </c>
      <c r="C1091" s="59">
        <v>1</v>
      </c>
      <c r="D1091" s="59">
        <f t="shared" ref="D1091:D1154" si="323">IF(C1091=1,1,0)</f>
        <v>1</v>
      </c>
      <c r="E1091" s="59">
        <f t="shared" ref="E1091:E1154" si="324">IF(C1091=2,1,0)</f>
        <v>0</v>
      </c>
      <c r="F1091" s="59">
        <v>674</v>
      </c>
      <c r="G1091" s="59">
        <v>2</v>
      </c>
      <c r="H1091" s="59">
        <f t="shared" ref="H1091:H1154" si="325">IF(G1091=1,1,0)</f>
        <v>0</v>
      </c>
      <c r="I1091" s="59">
        <f t="shared" ref="I1091:I1154" si="326">IF(G1091=2,1,0)</f>
        <v>1</v>
      </c>
      <c r="J1091" s="59">
        <v>13</v>
      </c>
      <c r="K1091" s="59">
        <v>3</v>
      </c>
      <c r="L1091" s="59">
        <v>3</v>
      </c>
      <c r="M1091" s="59">
        <f t="shared" ref="M1091:M1154" si="327">IF(L1091=1,1,0)</f>
        <v>0</v>
      </c>
      <c r="N1091" s="59">
        <f t="shared" ref="N1091:N1154" si="328">IF(L1091=2,1,0)</f>
        <v>0</v>
      </c>
      <c r="O1091" s="59">
        <f t="shared" ref="O1091:O1154" si="329">IF(L1091=3,1,0)</f>
        <v>1</v>
      </c>
      <c r="P1091" s="59">
        <f t="shared" ref="P1091:P1154" si="330">IF(L1091=4,1,0)</f>
        <v>0</v>
      </c>
      <c r="Q1091" s="59">
        <f t="shared" ref="Q1091:Q1154" si="331">IF(L1091=5,1,0)</f>
        <v>0</v>
      </c>
      <c r="R1091" s="59">
        <v>1</v>
      </c>
      <c r="S1091" s="59">
        <v>1543</v>
      </c>
      <c r="T1091" s="59">
        <v>1</v>
      </c>
      <c r="U1091" s="59">
        <v>1</v>
      </c>
      <c r="V1091" s="59">
        <v>47</v>
      </c>
      <c r="W1091" s="59">
        <v>3</v>
      </c>
      <c r="X1091" s="59">
        <v>2</v>
      </c>
      <c r="Y1091" s="59">
        <v>2</v>
      </c>
      <c r="Z1091" s="59">
        <f t="shared" ref="Z1091:Z1154" si="332">IF(Y1091=1,1,0)</f>
        <v>0</v>
      </c>
      <c r="AA1091" s="59">
        <f>IF('Updated Dummy'!Y1091=2,1,0)</f>
        <v>1</v>
      </c>
      <c r="AB1091" s="59">
        <f t="shared" ref="AB1091:AB1154" si="333">IF(Y1091=3,1,0)</f>
        <v>0</v>
      </c>
      <c r="AC1091" s="59">
        <f t="shared" ref="AC1091:AC1154" si="334">IF(Y1091=4,1,0)</f>
        <v>0</v>
      </c>
      <c r="AD1091" s="59">
        <f t="shared" ref="AD1091:AD1154" si="335">IF(Y1091=5,1,0)</f>
        <v>0</v>
      </c>
      <c r="AE1091" s="59">
        <f t="shared" ref="AE1091:AE1154" si="336">IF(Y1091=6,1,0)</f>
        <v>0</v>
      </c>
      <c r="AF1091" s="59">
        <f t="shared" ref="AF1091:AF1154" si="337">IF(Y1091=7,1,0)</f>
        <v>0</v>
      </c>
      <c r="AG1091" s="59">
        <f t="shared" ref="AG1091:AG1154" si="338">IF(Y1091=8,1,0)</f>
        <v>0</v>
      </c>
      <c r="AH1091" s="59">
        <v>4</v>
      </c>
      <c r="AI1091" s="59">
        <v>2</v>
      </c>
      <c r="AJ1091" s="59">
        <f t="shared" ref="AJ1091:AJ1154" si="339">IF(AI1091=1,1,0)</f>
        <v>0</v>
      </c>
      <c r="AK1091" s="59">
        <f t="shared" ref="AK1091:AK1154" si="340">IF(AI1091=2,1,0)</f>
        <v>1</v>
      </c>
      <c r="AL1091" s="59">
        <v>4285</v>
      </c>
      <c r="AM1091" s="59">
        <v>3031</v>
      </c>
      <c r="AN1091" s="59">
        <v>1</v>
      </c>
      <c r="AO1091" s="59">
        <v>0</v>
      </c>
      <c r="AP1091" s="59">
        <v>17</v>
      </c>
      <c r="AQ1091" s="59">
        <v>3</v>
      </c>
      <c r="AR1091" s="59">
        <v>1</v>
      </c>
      <c r="AS1091" s="59">
        <v>80</v>
      </c>
      <c r="AT1091" s="59">
        <v>0</v>
      </c>
      <c r="AU1091" s="59">
        <v>10</v>
      </c>
      <c r="AV1091" s="59">
        <v>2</v>
      </c>
      <c r="AW1091" s="59">
        <v>3</v>
      </c>
      <c r="AX1091" s="59">
        <v>10</v>
      </c>
      <c r="AY1091" s="59">
        <v>8</v>
      </c>
      <c r="AZ1091" s="59">
        <v>3</v>
      </c>
      <c r="BA1091" s="59">
        <v>7</v>
      </c>
      <c r="BB1091" s="57">
        <f t="shared" ref="BB1091:BB1154" si="341">X1091*AL1091</f>
        <v>8570</v>
      </c>
    </row>
    <row r="1092" spans="1:54" x14ac:dyDescent="0.25">
      <c r="A1092" s="58">
        <v>29</v>
      </c>
      <c r="B1092" s="59">
        <v>0</v>
      </c>
      <c r="C1092" s="59">
        <v>1</v>
      </c>
      <c r="D1092" s="59">
        <f t="shared" si="323"/>
        <v>1</v>
      </c>
      <c r="E1092" s="59">
        <f t="shared" si="324"/>
        <v>0</v>
      </c>
      <c r="F1092" s="59">
        <v>441</v>
      </c>
      <c r="G1092" s="59">
        <v>2</v>
      </c>
      <c r="H1092" s="59">
        <f t="shared" si="325"/>
        <v>0</v>
      </c>
      <c r="I1092" s="59">
        <f t="shared" si="326"/>
        <v>1</v>
      </c>
      <c r="J1092" s="59">
        <v>8</v>
      </c>
      <c r="K1092" s="59">
        <v>1</v>
      </c>
      <c r="L1092" s="59">
        <v>6</v>
      </c>
      <c r="M1092" s="59">
        <f t="shared" si="327"/>
        <v>0</v>
      </c>
      <c r="N1092" s="59">
        <f t="shared" si="328"/>
        <v>0</v>
      </c>
      <c r="O1092" s="59">
        <f t="shared" si="329"/>
        <v>0</v>
      </c>
      <c r="P1092" s="59">
        <f t="shared" si="330"/>
        <v>0</v>
      </c>
      <c r="Q1092" s="59">
        <f t="shared" si="331"/>
        <v>0</v>
      </c>
      <c r="R1092" s="59">
        <v>1</v>
      </c>
      <c r="S1092" s="59">
        <v>1544</v>
      </c>
      <c r="T1092" s="59">
        <v>3</v>
      </c>
      <c r="U1092" s="59">
        <v>0</v>
      </c>
      <c r="V1092" s="59">
        <v>39</v>
      </c>
      <c r="W1092" s="59">
        <v>1</v>
      </c>
      <c r="X1092" s="59">
        <v>2</v>
      </c>
      <c r="Y1092" s="59">
        <v>5</v>
      </c>
      <c r="Z1092" s="59">
        <f t="shared" si="332"/>
        <v>0</v>
      </c>
      <c r="AA1092" s="59">
        <f>IF('Updated Dummy'!Y1092=2,1,0)</f>
        <v>0</v>
      </c>
      <c r="AB1092" s="59">
        <f t="shared" si="333"/>
        <v>0</v>
      </c>
      <c r="AC1092" s="59">
        <f t="shared" si="334"/>
        <v>0</v>
      </c>
      <c r="AD1092" s="59">
        <f t="shared" si="335"/>
        <v>1</v>
      </c>
      <c r="AE1092" s="59">
        <f t="shared" si="336"/>
        <v>0</v>
      </c>
      <c r="AF1092" s="59">
        <f t="shared" si="337"/>
        <v>0</v>
      </c>
      <c r="AG1092" s="59">
        <f t="shared" si="338"/>
        <v>0</v>
      </c>
      <c r="AH1092" s="59">
        <v>1</v>
      </c>
      <c r="AI1092" s="59">
        <v>2</v>
      </c>
      <c r="AJ1092" s="59">
        <f t="shared" si="339"/>
        <v>0</v>
      </c>
      <c r="AK1092" s="59">
        <f t="shared" si="340"/>
        <v>1</v>
      </c>
      <c r="AL1092" s="59">
        <v>9715</v>
      </c>
      <c r="AM1092" s="59">
        <v>7288</v>
      </c>
      <c r="AN1092" s="59">
        <v>3</v>
      </c>
      <c r="AO1092" s="59">
        <v>0</v>
      </c>
      <c r="AP1092" s="59">
        <v>13</v>
      </c>
      <c r="AQ1092" s="59">
        <v>3</v>
      </c>
      <c r="AR1092" s="59">
        <v>3</v>
      </c>
      <c r="AS1092" s="59">
        <v>80</v>
      </c>
      <c r="AT1092" s="59">
        <v>1</v>
      </c>
      <c r="AU1092" s="59">
        <v>9</v>
      </c>
      <c r="AV1092" s="59">
        <v>3</v>
      </c>
      <c r="AW1092" s="59">
        <v>3</v>
      </c>
      <c r="AX1092" s="59">
        <v>7</v>
      </c>
      <c r="AY1092" s="59">
        <v>7</v>
      </c>
      <c r="AZ1092" s="59">
        <v>0</v>
      </c>
      <c r="BA1092" s="59">
        <v>7</v>
      </c>
      <c r="BB1092" s="57">
        <f t="shared" si="341"/>
        <v>19430</v>
      </c>
    </row>
    <row r="1093" spans="1:54" x14ac:dyDescent="0.25">
      <c r="A1093" s="58">
        <v>33</v>
      </c>
      <c r="B1093" s="59">
        <v>0</v>
      </c>
      <c r="C1093" s="59">
        <v>1</v>
      </c>
      <c r="D1093" s="59">
        <f t="shared" si="323"/>
        <v>1</v>
      </c>
      <c r="E1093" s="59">
        <f t="shared" si="324"/>
        <v>0</v>
      </c>
      <c r="F1093" s="59">
        <v>575</v>
      </c>
      <c r="G1093" s="59">
        <v>2</v>
      </c>
      <c r="H1093" s="59">
        <f t="shared" si="325"/>
        <v>0</v>
      </c>
      <c r="I1093" s="59">
        <f t="shared" si="326"/>
        <v>1</v>
      </c>
      <c r="J1093" s="59">
        <v>25</v>
      </c>
      <c r="K1093" s="59">
        <v>3</v>
      </c>
      <c r="L1093" s="59">
        <v>1</v>
      </c>
      <c r="M1093" s="59">
        <f t="shared" si="327"/>
        <v>1</v>
      </c>
      <c r="N1093" s="59">
        <f t="shared" si="328"/>
        <v>0</v>
      </c>
      <c r="O1093" s="59">
        <f t="shared" si="329"/>
        <v>0</v>
      </c>
      <c r="P1093" s="59">
        <f t="shared" si="330"/>
        <v>0</v>
      </c>
      <c r="Q1093" s="59">
        <f t="shared" si="331"/>
        <v>0</v>
      </c>
      <c r="R1093" s="59">
        <v>1</v>
      </c>
      <c r="S1093" s="59">
        <v>1545</v>
      </c>
      <c r="T1093" s="59">
        <v>4</v>
      </c>
      <c r="U1093" s="59">
        <v>1</v>
      </c>
      <c r="V1093" s="59">
        <v>44</v>
      </c>
      <c r="W1093" s="59">
        <v>2</v>
      </c>
      <c r="X1093" s="59">
        <v>2</v>
      </c>
      <c r="Y1093" s="59">
        <v>4</v>
      </c>
      <c r="Z1093" s="59">
        <f t="shared" si="332"/>
        <v>0</v>
      </c>
      <c r="AA1093" s="59">
        <f>IF('Updated Dummy'!Y1093=2,1,0)</f>
        <v>0</v>
      </c>
      <c r="AB1093" s="59">
        <f t="shared" si="333"/>
        <v>0</v>
      </c>
      <c r="AC1093" s="59">
        <f t="shared" si="334"/>
        <v>1</v>
      </c>
      <c r="AD1093" s="59">
        <f t="shared" si="335"/>
        <v>0</v>
      </c>
      <c r="AE1093" s="59">
        <f t="shared" si="336"/>
        <v>0</v>
      </c>
      <c r="AF1093" s="59">
        <f t="shared" si="337"/>
        <v>0</v>
      </c>
      <c r="AG1093" s="59">
        <f t="shared" si="338"/>
        <v>0</v>
      </c>
      <c r="AH1093" s="59">
        <v>2</v>
      </c>
      <c r="AI1093" s="59">
        <v>1</v>
      </c>
      <c r="AJ1093" s="59">
        <f t="shared" si="339"/>
        <v>1</v>
      </c>
      <c r="AK1093" s="59">
        <f t="shared" si="340"/>
        <v>0</v>
      </c>
      <c r="AL1093" s="59">
        <v>4320</v>
      </c>
      <c r="AM1093" s="59">
        <v>24152</v>
      </c>
      <c r="AN1093" s="59">
        <v>1</v>
      </c>
      <c r="AO1093" s="59">
        <v>0</v>
      </c>
      <c r="AP1093" s="59">
        <v>13</v>
      </c>
      <c r="AQ1093" s="59">
        <v>3</v>
      </c>
      <c r="AR1093" s="59">
        <v>4</v>
      </c>
      <c r="AS1093" s="59">
        <v>80</v>
      </c>
      <c r="AT1093" s="59">
        <v>0</v>
      </c>
      <c r="AU1093" s="59">
        <v>5</v>
      </c>
      <c r="AV1093" s="59">
        <v>2</v>
      </c>
      <c r="AW1093" s="59">
        <v>3</v>
      </c>
      <c r="AX1093" s="59">
        <v>5</v>
      </c>
      <c r="AY1093" s="59">
        <v>3</v>
      </c>
      <c r="AZ1093" s="59">
        <v>0</v>
      </c>
      <c r="BA1093" s="59">
        <v>2</v>
      </c>
      <c r="BB1093" s="57">
        <f t="shared" si="341"/>
        <v>8640</v>
      </c>
    </row>
    <row r="1094" spans="1:54" x14ac:dyDescent="0.25">
      <c r="A1094" s="58">
        <v>45</v>
      </c>
      <c r="B1094" s="59">
        <v>0</v>
      </c>
      <c r="C1094" s="59">
        <v>1</v>
      </c>
      <c r="D1094" s="59">
        <f t="shared" si="323"/>
        <v>1</v>
      </c>
      <c r="E1094" s="59">
        <f t="shared" si="324"/>
        <v>0</v>
      </c>
      <c r="F1094" s="59">
        <v>950</v>
      </c>
      <c r="G1094" s="59">
        <v>2</v>
      </c>
      <c r="H1094" s="59">
        <f t="shared" si="325"/>
        <v>0</v>
      </c>
      <c r="I1094" s="59">
        <f t="shared" si="326"/>
        <v>1</v>
      </c>
      <c r="J1094" s="59">
        <v>28</v>
      </c>
      <c r="K1094" s="59">
        <v>3</v>
      </c>
      <c r="L1094" s="59">
        <v>5</v>
      </c>
      <c r="M1094" s="59">
        <f t="shared" si="327"/>
        <v>0</v>
      </c>
      <c r="N1094" s="59">
        <f t="shared" si="328"/>
        <v>0</v>
      </c>
      <c r="O1094" s="59">
        <f t="shared" si="329"/>
        <v>0</v>
      </c>
      <c r="P1094" s="59">
        <f t="shared" si="330"/>
        <v>0</v>
      </c>
      <c r="Q1094" s="59">
        <f t="shared" si="331"/>
        <v>1</v>
      </c>
      <c r="R1094" s="59">
        <v>1</v>
      </c>
      <c r="S1094" s="59">
        <v>1546</v>
      </c>
      <c r="T1094" s="59">
        <v>4</v>
      </c>
      <c r="U1094" s="59">
        <v>1</v>
      </c>
      <c r="V1094" s="59">
        <v>97</v>
      </c>
      <c r="W1094" s="59">
        <v>3</v>
      </c>
      <c r="X1094" s="59">
        <v>1</v>
      </c>
      <c r="Y1094" s="59">
        <v>2</v>
      </c>
      <c r="Z1094" s="59">
        <f t="shared" si="332"/>
        <v>0</v>
      </c>
      <c r="AA1094" s="59">
        <f>IF('Updated Dummy'!Y1094=2,1,0)</f>
        <v>1</v>
      </c>
      <c r="AB1094" s="59">
        <f t="shared" si="333"/>
        <v>0</v>
      </c>
      <c r="AC1094" s="59">
        <f t="shared" si="334"/>
        <v>0</v>
      </c>
      <c r="AD1094" s="59">
        <f t="shared" si="335"/>
        <v>0</v>
      </c>
      <c r="AE1094" s="59">
        <f t="shared" si="336"/>
        <v>0</v>
      </c>
      <c r="AF1094" s="59">
        <f t="shared" si="337"/>
        <v>0</v>
      </c>
      <c r="AG1094" s="59">
        <f t="shared" si="338"/>
        <v>0</v>
      </c>
      <c r="AH1094" s="59">
        <v>4</v>
      </c>
      <c r="AI1094" s="59">
        <v>2</v>
      </c>
      <c r="AJ1094" s="59">
        <f t="shared" si="339"/>
        <v>0</v>
      </c>
      <c r="AK1094" s="59">
        <f t="shared" si="340"/>
        <v>1</v>
      </c>
      <c r="AL1094" s="59">
        <v>2132</v>
      </c>
      <c r="AM1094" s="59">
        <v>4585</v>
      </c>
      <c r="AN1094" s="59">
        <v>4</v>
      </c>
      <c r="AO1094" s="59">
        <v>0</v>
      </c>
      <c r="AP1094" s="59">
        <v>20</v>
      </c>
      <c r="AQ1094" s="59">
        <v>4</v>
      </c>
      <c r="AR1094" s="59">
        <v>4</v>
      </c>
      <c r="AS1094" s="59">
        <v>80</v>
      </c>
      <c r="AT1094" s="59">
        <v>1</v>
      </c>
      <c r="AU1094" s="59">
        <v>8</v>
      </c>
      <c r="AV1094" s="59">
        <v>3</v>
      </c>
      <c r="AW1094" s="59">
        <v>3</v>
      </c>
      <c r="AX1094" s="59">
        <v>5</v>
      </c>
      <c r="AY1094" s="59">
        <v>4</v>
      </c>
      <c r="AZ1094" s="59">
        <v>0</v>
      </c>
      <c r="BA1094" s="59">
        <v>3</v>
      </c>
      <c r="BB1094" s="57">
        <f t="shared" si="341"/>
        <v>2132</v>
      </c>
    </row>
    <row r="1095" spans="1:54" x14ac:dyDescent="0.25">
      <c r="A1095" s="58">
        <v>42</v>
      </c>
      <c r="B1095" s="59">
        <v>0</v>
      </c>
      <c r="C1095" s="59">
        <v>2</v>
      </c>
      <c r="D1095" s="59">
        <f t="shared" si="323"/>
        <v>0</v>
      </c>
      <c r="E1095" s="59">
        <f t="shared" si="324"/>
        <v>1</v>
      </c>
      <c r="F1095" s="59">
        <v>288</v>
      </c>
      <c r="G1095" s="59">
        <v>2</v>
      </c>
      <c r="H1095" s="59">
        <f t="shared" si="325"/>
        <v>0</v>
      </c>
      <c r="I1095" s="59">
        <f t="shared" si="326"/>
        <v>1</v>
      </c>
      <c r="J1095" s="59">
        <v>2</v>
      </c>
      <c r="K1095" s="59">
        <v>3</v>
      </c>
      <c r="L1095" s="59">
        <v>1</v>
      </c>
      <c r="M1095" s="59">
        <f t="shared" si="327"/>
        <v>1</v>
      </c>
      <c r="N1095" s="59">
        <f t="shared" si="328"/>
        <v>0</v>
      </c>
      <c r="O1095" s="59">
        <f t="shared" si="329"/>
        <v>0</v>
      </c>
      <c r="P1095" s="59">
        <f t="shared" si="330"/>
        <v>0</v>
      </c>
      <c r="Q1095" s="59">
        <f t="shared" si="331"/>
        <v>0</v>
      </c>
      <c r="R1095" s="59">
        <v>1</v>
      </c>
      <c r="S1095" s="59">
        <v>1547</v>
      </c>
      <c r="T1095" s="59">
        <v>4</v>
      </c>
      <c r="U1095" s="59">
        <v>1</v>
      </c>
      <c r="V1095" s="59">
        <v>40</v>
      </c>
      <c r="W1095" s="59">
        <v>3</v>
      </c>
      <c r="X1095" s="59">
        <v>3</v>
      </c>
      <c r="Y1095" s="59">
        <v>5</v>
      </c>
      <c r="Z1095" s="59">
        <f t="shared" si="332"/>
        <v>0</v>
      </c>
      <c r="AA1095" s="59">
        <f>IF('Updated Dummy'!Y1095=2,1,0)</f>
        <v>0</v>
      </c>
      <c r="AB1095" s="59">
        <f t="shared" si="333"/>
        <v>0</v>
      </c>
      <c r="AC1095" s="59">
        <f t="shared" si="334"/>
        <v>0</v>
      </c>
      <c r="AD1095" s="59">
        <f t="shared" si="335"/>
        <v>1</v>
      </c>
      <c r="AE1095" s="59">
        <f t="shared" si="336"/>
        <v>0</v>
      </c>
      <c r="AF1095" s="59">
        <f t="shared" si="337"/>
        <v>0</v>
      </c>
      <c r="AG1095" s="59">
        <f t="shared" si="338"/>
        <v>0</v>
      </c>
      <c r="AH1095" s="59">
        <v>4</v>
      </c>
      <c r="AI1095" s="59">
        <v>2</v>
      </c>
      <c r="AJ1095" s="59">
        <f t="shared" si="339"/>
        <v>0</v>
      </c>
      <c r="AK1095" s="59">
        <f t="shared" si="340"/>
        <v>1</v>
      </c>
      <c r="AL1095" s="59">
        <v>10124</v>
      </c>
      <c r="AM1095" s="59">
        <v>18611</v>
      </c>
      <c r="AN1095" s="59">
        <v>2</v>
      </c>
      <c r="AO1095" s="59">
        <v>1</v>
      </c>
      <c r="AP1095" s="59">
        <v>14</v>
      </c>
      <c r="AQ1095" s="59">
        <v>3</v>
      </c>
      <c r="AR1095" s="59">
        <v>3</v>
      </c>
      <c r="AS1095" s="59">
        <v>80</v>
      </c>
      <c r="AT1095" s="59">
        <v>1</v>
      </c>
      <c r="AU1095" s="59">
        <v>24</v>
      </c>
      <c r="AV1095" s="59">
        <v>3</v>
      </c>
      <c r="AW1095" s="59">
        <v>1</v>
      </c>
      <c r="AX1095" s="59">
        <v>20</v>
      </c>
      <c r="AY1095" s="59">
        <v>8</v>
      </c>
      <c r="AZ1095" s="59">
        <v>13</v>
      </c>
      <c r="BA1095" s="59">
        <v>9</v>
      </c>
      <c r="BB1095" s="57">
        <f t="shared" si="341"/>
        <v>30372</v>
      </c>
    </row>
    <row r="1096" spans="1:54" x14ac:dyDescent="0.25">
      <c r="A1096" s="58">
        <v>40</v>
      </c>
      <c r="B1096" s="59">
        <v>0</v>
      </c>
      <c r="C1096" s="59">
        <v>1</v>
      </c>
      <c r="D1096" s="59">
        <f t="shared" si="323"/>
        <v>1</v>
      </c>
      <c r="E1096" s="59">
        <f t="shared" si="324"/>
        <v>0</v>
      </c>
      <c r="F1096" s="59">
        <v>1342</v>
      </c>
      <c r="G1096" s="59">
        <v>1</v>
      </c>
      <c r="H1096" s="59">
        <f t="shared" si="325"/>
        <v>1</v>
      </c>
      <c r="I1096" s="59">
        <f t="shared" si="326"/>
        <v>0</v>
      </c>
      <c r="J1096" s="59">
        <v>9</v>
      </c>
      <c r="K1096" s="59">
        <v>2</v>
      </c>
      <c r="L1096" s="59">
        <v>3</v>
      </c>
      <c r="M1096" s="59">
        <f t="shared" si="327"/>
        <v>0</v>
      </c>
      <c r="N1096" s="59">
        <f t="shared" si="328"/>
        <v>0</v>
      </c>
      <c r="O1096" s="59">
        <f t="shared" si="329"/>
        <v>1</v>
      </c>
      <c r="P1096" s="59">
        <f t="shared" si="330"/>
        <v>0</v>
      </c>
      <c r="Q1096" s="59">
        <f t="shared" si="331"/>
        <v>0</v>
      </c>
      <c r="R1096" s="59">
        <v>1</v>
      </c>
      <c r="S1096" s="59">
        <v>1548</v>
      </c>
      <c r="T1096" s="59">
        <v>1</v>
      </c>
      <c r="U1096" s="59">
        <v>1</v>
      </c>
      <c r="V1096" s="59">
        <v>47</v>
      </c>
      <c r="W1096" s="59">
        <v>3</v>
      </c>
      <c r="X1096" s="59">
        <v>2</v>
      </c>
      <c r="Y1096" s="59">
        <v>1</v>
      </c>
      <c r="Z1096" s="59">
        <f t="shared" si="332"/>
        <v>1</v>
      </c>
      <c r="AA1096" s="59">
        <f>IF('Updated Dummy'!Y1096=2,1,0)</f>
        <v>0</v>
      </c>
      <c r="AB1096" s="59">
        <f t="shared" si="333"/>
        <v>0</v>
      </c>
      <c r="AC1096" s="59">
        <f t="shared" si="334"/>
        <v>0</v>
      </c>
      <c r="AD1096" s="59">
        <f t="shared" si="335"/>
        <v>0</v>
      </c>
      <c r="AE1096" s="59">
        <f t="shared" si="336"/>
        <v>0</v>
      </c>
      <c r="AF1096" s="59">
        <f t="shared" si="337"/>
        <v>0</v>
      </c>
      <c r="AG1096" s="59">
        <f t="shared" si="338"/>
        <v>0</v>
      </c>
      <c r="AH1096" s="59">
        <v>1</v>
      </c>
      <c r="AI1096" s="59">
        <v>2</v>
      </c>
      <c r="AJ1096" s="59">
        <f t="shared" si="339"/>
        <v>0</v>
      </c>
      <c r="AK1096" s="59">
        <f t="shared" si="340"/>
        <v>1</v>
      </c>
      <c r="AL1096" s="59">
        <v>5473</v>
      </c>
      <c r="AM1096" s="59">
        <v>19345</v>
      </c>
      <c r="AN1096" s="59">
        <v>0</v>
      </c>
      <c r="AO1096" s="59">
        <v>0</v>
      </c>
      <c r="AP1096" s="59">
        <v>12</v>
      </c>
      <c r="AQ1096" s="59">
        <v>3</v>
      </c>
      <c r="AR1096" s="59">
        <v>4</v>
      </c>
      <c r="AS1096" s="59">
        <v>80</v>
      </c>
      <c r="AT1096" s="59">
        <v>0</v>
      </c>
      <c r="AU1096" s="59">
        <v>9</v>
      </c>
      <c r="AV1096" s="59">
        <v>5</v>
      </c>
      <c r="AW1096" s="59">
        <v>4</v>
      </c>
      <c r="AX1096" s="59">
        <v>8</v>
      </c>
      <c r="AY1096" s="59">
        <v>4</v>
      </c>
      <c r="AZ1096" s="59">
        <v>7</v>
      </c>
      <c r="BA1096" s="59">
        <v>1</v>
      </c>
      <c r="BB1096" s="57">
        <f t="shared" si="341"/>
        <v>10946</v>
      </c>
    </row>
    <row r="1097" spans="1:54" x14ac:dyDescent="0.25">
      <c r="A1097" s="58">
        <v>33</v>
      </c>
      <c r="B1097" s="59">
        <v>0</v>
      </c>
      <c r="C1097" s="59">
        <v>1</v>
      </c>
      <c r="D1097" s="59">
        <f t="shared" si="323"/>
        <v>1</v>
      </c>
      <c r="E1097" s="59">
        <f t="shared" si="324"/>
        <v>0</v>
      </c>
      <c r="F1097" s="59">
        <v>589</v>
      </c>
      <c r="G1097" s="59">
        <v>2</v>
      </c>
      <c r="H1097" s="59">
        <f t="shared" si="325"/>
        <v>0</v>
      </c>
      <c r="I1097" s="59">
        <f t="shared" si="326"/>
        <v>1</v>
      </c>
      <c r="J1097" s="59">
        <v>28</v>
      </c>
      <c r="K1097" s="59">
        <v>4</v>
      </c>
      <c r="L1097" s="59">
        <v>1</v>
      </c>
      <c r="M1097" s="59">
        <f t="shared" si="327"/>
        <v>1</v>
      </c>
      <c r="N1097" s="59">
        <f t="shared" si="328"/>
        <v>0</v>
      </c>
      <c r="O1097" s="59">
        <f t="shared" si="329"/>
        <v>0</v>
      </c>
      <c r="P1097" s="59">
        <f t="shared" si="330"/>
        <v>0</v>
      </c>
      <c r="Q1097" s="59">
        <f t="shared" si="331"/>
        <v>0</v>
      </c>
      <c r="R1097" s="59">
        <v>1</v>
      </c>
      <c r="S1097" s="59">
        <v>1549</v>
      </c>
      <c r="T1097" s="59">
        <v>2</v>
      </c>
      <c r="U1097" s="59">
        <v>1</v>
      </c>
      <c r="V1097" s="59">
        <v>79</v>
      </c>
      <c r="W1097" s="59">
        <v>3</v>
      </c>
      <c r="X1097" s="59">
        <v>2</v>
      </c>
      <c r="Y1097" s="59">
        <v>3</v>
      </c>
      <c r="Z1097" s="59">
        <f t="shared" si="332"/>
        <v>0</v>
      </c>
      <c r="AA1097" s="59">
        <f>IF('Updated Dummy'!Y1097=2,1,0)</f>
        <v>0</v>
      </c>
      <c r="AB1097" s="59">
        <f t="shared" si="333"/>
        <v>1</v>
      </c>
      <c r="AC1097" s="59">
        <f t="shared" si="334"/>
        <v>0</v>
      </c>
      <c r="AD1097" s="59">
        <f t="shared" si="335"/>
        <v>0</v>
      </c>
      <c r="AE1097" s="59">
        <f t="shared" si="336"/>
        <v>0</v>
      </c>
      <c r="AF1097" s="59">
        <f t="shared" si="337"/>
        <v>0</v>
      </c>
      <c r="AG1097" s="59">
        <f t="shared" si="338"/>
        <v>0</v>
      </c>
      <c r="AH1097" s="59">
        <v>3</v>
      </c>
      <c r="AI1097" s="59">
        <v>2</v>
      </c>
      <c r="AJ1097" s="59">
        <f t="shared" si="339"/>
        <v>0</v>
      </c>
      <c r="AK1097" s="59">
        <f t="shared" si="340"/>
        <v>1</v>
      </c>
      <c r="AL1097" s="59">
        <v>5207</v>
      </c>
      <c r="AM1097" s="59">
        <v>22949</v>
      </c>
      <c r="AN1097" s="59">
        <v>1</v>
      </c>
      <c r="AO1097" s="59">
        <v>1</v>
      </c>
      <c r="AP1097" s="59">
        <v>12</v>
      </c>
      <c r="AQ1097" s="59">
        <v>3</v>
      </c>
      <c r="AR1097" s="59">
        <v>2</v>
      </c>
      <c r="AS1097" s="59">
        <v>80</v>
      </c>
      <c r="AT1097" s="59">
        <v>1</v>
      </c>
      <c r="AU1097" s="59">
        <v>15</v>
      </c>
      <c r="AV1097" s="59">
        <v>3</v>
      </c>
      <c r="AW1097" s="59">
        <v>3</v>
      </c>
      <c r="AX1097" s="59">
        <v>15</v>
      </c>
      <c r="AY1097" s="59">
        <v>14</v>
      </c>
      <c r="AZ1097" s="59">
        <v>5</v>
      </c>
      <c r="BA1097" s="59">
        <v>7</v>
      </c>
      <c r="BB1097" s="57">
        <f t="shared" si="341"/>
        <v>10414</v>
      </c>
    </row>
    <row r="1098" spans="1:54" x14ac:dyDescent="0.25">
      <c r="A1098" s="58">
        <v>40</v>
      </c>
      <c r="B1098" s="59">
        <v>0</v>
      </c>
      <c r="C1098" s="59">
        <v>1</v>
      </c>
      <c r="D1098" s="59">
        <f t="shared" si="323"/>
        <v>1</v>
      </c>
      <c r="E1098" s="59">
        <f t="shared" si="324"/>
        <v>0</v>
      </c>
      <c r="F1098" s="59">
        <v>898</v>
      </c>
      <c r="G1098" s="59">
        <v>3</v>
      </c>
      <c r="H1098" s="59">
        <f t="shared" si="325"/>
        <v>0</v>
      </c>
      <c r="I1098" s="59">
        <f t="shared" si="326"/>
        <v>0</v>
      </c>
      <c r="J1098" s="59">
        <v>6</v>
      </c>
      <c r="K1098" s="59">
        <v>2</v>
      </c>
      <c r="L1098" s="59">
        <v>3</v>
      </c>
      <c r="M1098" s="59">
        <f t="shared" si="327"/>
        <v>0</v>
      </c>
      <c r="N1098" s="59">
        <f t="shared" si="328"/>
        <v>0</v>
      </c>
      <c r="O1098" s="59">
        <f t="shared" si="329"/>
        <v>1</v>
      </c>
      <c r="P1098" s="59">
        <f t="shared" si="330"/>
        <v>0</v>
      </c>
      <c r="Q1098" s="59">
        <f t="shared" si="331"/>
        <v>0</v>
      </c>
      <c r="R1098" s="59">
        <v>1</v>
      </c>
      <c r="S1098" s="59">
        <v>1550</v>
      </c>
      <c r="T1098" s="59">
        <v>3</v>
      </c>
      <c r="U1098" s="59">
        <v>1</v>
      </c>
      <c r="V1098" s="59">
        <v>38</v>
      </c>
      <c r="W1098" s="59">
        <v>3</v>
      </c>
      <c r="X1098" s="59">
        <v>4</v>
      </c>
      <c r="Y1098" s="59">
        <v>6</v>
      </c>
      <c r="Z1098" s="59">
        <f t="shared" si="332"/>
        <v>0</v>
      </c>
      <c r="AA1098" s="59">
        <f>IF('Updated Dummy'!Y1098=2,1,0)</f>
        <v>0</v>
      </c>
      <c r="AB1098" s="59">
        <f t="shared" si="333"/>
        <v>0</v>
      </c>
      <c r="AC1098" s="59">
        <f t="shared" si="334"/>
        <v>0</v>
      </c>
      <c r="AD1098" s="59">
        <f t="shared" si="335"/>
        <v>0</v>
      </c>
      <c r="AE1098" s="59">
        <f t="shared" si="336"/>
        <v>1</v>
      </c>
      <c r="AF1098" s="59">
        <f t="shared" si="337"/>
        <v>0</v>
      </c>
      <c r="AG1098" s="59">
        <f t="shared" si="338"/>
        <v>0</v>
      </c>
      <c r="AH1098" s="59">
        <v>4</v>
      </c>
      <c r="AI1098" s="59">
        <v>1</v>
      </c>
      <c r="AJ1098" s="59">
        <f t="shared" si="339"/>
        <v>1</v>
      </c>
      <c r="AK1098" s="59">
        <f t="shared" si="340"/>
        <v>0</v>
      </c>
      <c r="AL1098" s="59">
        <v>16437</v>
      </c>
      <c r="AM1098" s="59">
        <v>17381</v>
      </c>
      <c r="AN1098" s="59">
        <v>1</v>
      </c>
      <c r="AO1098" s="59">
        <v>1</v>
      </c>
      <c r="AP1098" s="59">
        <v>21</v>
      </c>
      <c r="AQ1098" s="59">
        <v>4</v>
      </c>
      <c r="AR1098" s="59">
        <v>4</v>
      </c>
      <c r="AS1098" s="59">
        <v>80</v>
      </c>
      <c r="AT1098" s="59">
        <v>0</v>
      </c>
      <c r="AU1098" s="59">
        <v>21</v>
      </c>
      <c r="AV1098" s="59">
        <v>2</v>
      </c>
      <c r="AW1098" s="59">
        <v>3</v>
      </c>
      <c r="AX1098" s="59">
        <v>21</v>
      </c>
      <c r="AY1098" s="59">
        <v>7</v>
      </c>
      <c r="AZ1098" s="59">
        <v>7</v>
      </c>
      <c r="BA1098" s="59">
        <v>7</v>
      </c>
      <c r="BB1098" s="57">
        <f t="shared" si="341"/>
        <v>65748</v>
      </c>
    </row>
    <row r="1099" spans="1:54" x14ac:dyDescent="0.25">
      <c r="A1099" s="58">
        <v>24</v>
      </c>
      <c r="B1099" s="59">
        <v>0</v>
      </c>
      <c r="C1099" s="59">
        <v>1</v>
      </c>
      <c r="D1099" s="59">
        <f t="shared" si="323"/>
        <v>1</v>
      </c>
      <c r="E1099" s="59">
        <f t="shared" si="324"/>
        <v>0</v>
      </c>
      <c r="F1099" s="59">
        <v>350</v>
      </c>
      <c r="G1099" s="59">
        <v>2</v>
      </c>
      <c r="H1099" s="59">
        <f t="shared" si="325"/>
        <v>0</v>
      </c>
      <c r="I1099" s="59">
        <f t="shared" si="326"/>
        <v>1</v>
      </c>
      <c r="J1099" s="59">
        <v>21</v>
      </c>
      <c r="K1099" s="59">
        <v>2</v>
      </c>
      <c r="L1099" s="59">
        <v>5</v>
      </c>
      <c r="M1099" s="59">
        <f t="shared" si="327"/>
        <v>0</v>
      </c>
      <c r="N1099" s="59">
        <f t="shared" si="328"/>
        <v>0</v>
      </c>
      <c r="O1099" s="59">
        <f t="shared" si="329"/>
        <v>0</v>
      </c>
      <c r="P1099" s="59">
        <f t="shared" si="330"/>
        <v>0</v>
      </c>
      <c r="Q1099" s="59">
        <f t="shared" si="331"/>
        <v>1</v>
      </c>
      <c r="R1099" s="59">
        <v>1</v>
      </c>
      <c r="S1099" s="59">
        <v>1551</v>
      </c>
      <c r="T1099" s="59">
        <v>3</v>
      </c>
      <c r="U1099" s="59">
        <v>1</v>
      </c>
      <c r="V1099" s="59">
        <v>57</v>
      </c>
      <c r="W1099" s="59">
        <v>2</v>
      </c>
      <c r="X1099" s="59">
        <v>1</v>
      </c>
      <c r="Y1099" s="59">
        <v>3</v>
      </c>
      <c r="Z1099" s="59">
        <f t="shared" si="332"/>
        <v>0</v>
      </c>
      <c r="AA1099" s="59">
        <f>IF('Updated Dummy'!Y1099=2,1,0)</f>
        <v>0</v>
      </c>
      <c r="AB1099" s="59">
        <f t="shared" si="333"/>
        <v>1</v>
      </c>
      <c r="AC1099" s="59">
        <f t="shared" si="334"/>
        <v>0</v>
      </c>
      <c r="AD1099" s="59">
        <f t="shared" si="335"/>
        <v>0</v>
      </c>
      <c r="AE1099" s="59">
        <f t="shared" si="336"/>
        <v>0</v>
      </c>
      <c r="AF1099" s="59">
        <f t="shared" si="337"/>
        <v>0</v>
      </c>
      <c r="AG1099" s="59">
        <f t="shared" si="338"/>
        <v>0</v>
      </c>
      <c r="AH1099" s="59">
        <v>1</v>
      </c>
      <c r="AI1099" s="59">
        <v>3</v>
      </c>
      <c r="AJ1099" s="59">
        <f t="shared" si="339"/>
        <v>0</v>
      </c>
      <c r="AK1099" s="59">
        <f t="shared" si="340"/>
        <v>0</v>
      </c>
      <c r="AL1099" s="59">
        <v>2296</v>
      </c>
      <c r="AM1099" s="59">
        <v>10036</v>
      </c>
      <c r="AN1099" s="59">
        <v>0</v>
      </c>
      <c r="AO1099" s="59">
        <v>0</v>
      </c>
      <c r="AP1099" s="59">
        <v>14</v>
      </c>
      <c r="AQ1099" s="59">
        <v>3</v>
      </c>
      <c r="AR1099" s="59">
        <v>2</v>
      </c>
      <c r="AS1099" s="59">
        <v>80</v>
      </c>
      <c r="AT1099" s="59">
        <v>3</v>
      </c>
      <c r="AU1099" s="59">
        <v>2</v>
      </c>
      <c r="AV1099" s="59">
        <v>3</v>
      </c>
      <c r="AW1099" s="59">
        <v>3</v>
      </c>
      <c r="AX1099" s="59">
        <v>1</v>
      </c>
      <c r="AY1099" s="59">
        <v>1</v>
      </c>
      <c r="AZ1099" s="59">
        <v>0</v>
      </c>
      <c r="BA1099" s="59">
        <v>0</v>
      </c>
      <c r="BB1099" s="57">
        <f t="shared" si="341"/>
        <v>2296</v>
      </c>
    </row>
    <row r="1100" spans="1:54" x14ac:dyDescent="0.25">
      <c r="A1100" s="58">
        <v>40</v>
      </c>
      <c r="B1100" s="59">
        <v>0</v>
      </c>
      <c r="C1100" s="59">
        <v>3</v>
      </c>
      <c r="D1100" s="59">
        <f t="shared" si="323"/>
        <v>0</v>
      </c>
      <c r="E1100" s="59">
        <f t="shared" si="324"/>
        <v>0</v>
      </c>
      <c r="F1100" s="59">
        <v>1142</v>
      </c>
      <c r="G1100" s="59">
        <v>2</v>
      </c>
      <c r="H1100" s="59">
        <f t="shared" si="325"/>
        <v>0</v>
      </c>
      <c r="I1100" s="59">
        <f t="shared" si="326"/>
        <v>1</v>
      </c>
      <c r="J1100" s="59">
        <v>8</v>
      </c>
      <c r="K1100" s="59">
        <v>2</v>
      </c>
      <c r="L1100" s="59">
        <v>1</v>
      </c>
      <c r="M1100" s="59">
        <f t="shared" si="327"/>
        <v>1</v>
      </c>
      <c r="N1100" s="59">
        <f t="shared" si="328"/>
        <v>0</v>
      </c>
      <c r="O1100" s="59">
        <f t="shared" si="329"/>
        <v>0</v>
      </c>
      <c r="P1100" s="59">
        <f t="shared" si="330"/>
        <v>0</v>
      </c>
      <c r="Q1100" s="59">
        <f t="shared" si="331"/>
        <v>0</v>
      </c>
      <c r="R1100" s="59">
        <v>1</v>
      </c>
      <c r="S1100" s="59">
        <v>1552</v>
      </c>
      <c r="T1100" s="59">
        <v>4</v>
      </c>
      <c r="U1100" s="59">
        <v>1</v>
      </c>
      <c r="V1100" s="59">
        <v>72</v>
      </c>
      <c r="W1100" s="59">
        <v>3</v>
      </c>
      <c r="X1100" s="59">
        <v>2</v>
      </c>
      <c r="Y1100" s="59">
        <v>5</v>
      </c>
      <c r="Z1100" s="59">
        <f t="shared" si="332"/>
        <v>0</v>
      </c>
      <c r="AA1100" s="59">
        <f>IF('Updated Dummy'!Y1100=2,1,0)</f>
        <v>0</v>
      </c>
      <c r="AB1100" s="59">
        <f t="shared" si="333"/>
        <v>0</v>
      </c>
      <c r="AC1100" s="59">
        <f t="shared" si="334"/>
        <v>0</v>
      </c>
      <c r="AD1100" s="59">
        <f t="shared" si="335"/>
        <v>1</v>
      </c>
      <c r="AE1100" s="59">
        <f t="shared" si="336"/>
        <v>0</v>
      </c>
      <c r="AF1100" s="59">
        <f t="shared" si="337"/>
        <v>0</v>
      </c>
      <c r="AG1100" s="59">
        <f t="shared" si="338"/>
        <v>0</v>
      </c>
      <c r="AH1100" s="59">
        <v>4</v>
      </c>
      <c r="AI1100" s="59">
        <v>3</v>
      </c>
      <c r="AJ1100" s="59">
        <f t="shared" si="339"/>
        <v>0</v>
      </c>
      <c r="AK1100" s="59">
        <f t="shared" si="340"/>
        <v>0</v>
      </c>
      <c r="AL1100" s="59">
        <v>4069</v>
      </c>
      <c r="AM1100" s="59">
        <v>8841</v>
      </c>
      <c r="AN1100" s="59">
        <v>3</v>
      </c>
      <c r="AO1100" s="59">
        <v>1</v>
      </c>
      <c r="AP1100" s="59">
        <v>18</v>
      </c>
      <c r="AQ1100" s="59">
        <v>3</v>
      </c>
      <c r="AR1100" s="59">
        <v>3</v>
      </c>
      <c r="AS1100" s="59">
        <v>80</v>
      </c>
      <c r="AT1100" s="59">
        <v>0</v>
      </c>
      <c r="AU1100" s="59">
        <v>8</v>
      </c>
      <c r="AV1100" s="59">
        <v>2</v>
      </c>
      <c r="AW1100" s="59">
        <v>3</v>
      </c>
      <c r="AX1100" s="59">
        <v>2</v>
      </c>
      <c r="AY1100" s="59">
        <v>2</v>
      </c>
      <c r="AZ1100" s="59">
        <v>2</v>
      </c>
      <c r="BA1100" s="59">
        <v>2</v>
      </c>
      <c r="BB1100" s="57">
        <f t="shared" si="341"/>
        <v>8138</v>
      </c>
    </row>
    <row r="1101" spans="1:54" x14ac:dyDescent="0.25">
      <c r="A1101" s="58">
        <v>45</v>
      </c>
      <c r="B1101" s="59">
        <v>0</v>
      </c>
      <c r="C1101" s="59">
        <v>1</v>
      </c>
      <c r="D1101" s="59">
        <f t="shared" si="323"/>
        <v>1</v>
      </c>
      <c r="E1101" s="59">
        <f t="shared" si="324"/>
        <v>0</v>
      </c>
      <c r="F1101" s="59">
        <v>538</v>
      </c>
      <c r="G1101" s="59">
        <v>2</v>
      </c>
      <c r="H1101" s="59">
        <f t="shared" si="325"/>
        <v>0</v>
      </c>
      <c r="I1101" s="59">
        <f t="shared" si="326"/>
        <v>1</v>
      </c>
      <c r="J1101" s="59">
        <v>1</v>
      </c>
      <c r="K1101" s="59">
        <v>4</v>
      </c>
      <c r="L1101" s="59">
        <v>5</v>
      </c>
      <c r="M1101" s="59">
        <f t="shared" si="327"/>
        <v>0</v>
      </c>
      <c r="N1101" s="59">
        <f t="shared" si="328"/>
        <v>0</v>
      </c>
      <c r="O1101" s="59">
        <f t="shared" si="329"/>
        <v>0</v>
      </c>
      <c r="P1101" s="59">
        <f t="shared" si="330"/>
        <v>0</v>
      </c>
      <c r="Q1101" s="59">
        <f t="shared" si="331"/>
        <v>1</v>
      </c>
      <c r="R1101" s="59">
        <v>1</v>
      </c>
      <c r="S1101" s="59">
        <v>1553</v>
      </c>
      <c r="T1101" s="59">
        <v>1</v>
      </c>
      <c r="U1101" s="59">
        <v>1</v>
      </c>
      <c r="V1101" s="59">
        <v>66</v>
      </c>
      <c r="W1101" s="59">
        <v>3</v>
      </c>
      <c r="X1101" s="59">
        <v>3</v>
      </c>
      <c r="Y1101" s="59">
        <v>5</v>
      </c>
      <c r="Z1101" s="59">
        <f t="shared" si="332"/>
        <v>0</v>
      </c>
      <c r="AA1101" s="59">
        <f>IF('Updated Dummy'!Y1101=2,1,0)</f>
        <v>0</v>
      </c>
      <c r="AB1101" s="59">
        <f t="shared" si="333"/>
        <v>0</v>
      </c>
      <c r="AC1101" s="59">
        <f t="shared" si="334"/>
        <v>0</v>
      </c>
      <c r="AD1101" s="59">
        <f t="shared" si="335"/>
        <v>1</v>
      </c>
      <c r="AE1101" s="59">
        <f t="shared" si="336"/>
        <v>0</v>
      </c>
      <c r="AF1101" s="59">
        <f t="shared" si="337"/>
        <v>0</v>
      </c>
      <c r="AG1101" s="59">
        <f t="shared" si="338"/>
        <v>0</v>
      </c>
      <c r="AH1101" s="59">
        <v>2</v>
      </c>
      <c r="AI1101" s="59">
        <v>3</v>
      </c>
      <c r="AJ1101" s="59">
        <f t="shared" si="339"/>
        <v>0</v>
      </c>
      <c r="AK1101" s="59">
        <f t="shared" si="340"/>
        <v>0</v>
      </c>
      <c r="AL1101" s="59">
        <v>7441</v>
      </c>
      <c r="AM1101" s="59">
        <v>20933</v>
      </c>
      <c r="AN1101" s="59">
        <v>1</v>
      </c>
      <c r="AO1101" s="59">
        <v>0</v>
      </c>
      <c r="AP1101" s="59">
        <v>12</v>
      </c>
      <c r="AQ1101" s="59">
        <v>3</v>
      </c>
      <c r="AR1101" s="59">
        <v>1</v>
      </c>
      <c r="AS1101" s="59">
        <v>80</v>
      </c>
      <c r="AT1101" s="59">
        <v>3</v>
      </c>
      <c r="AU1101" s="59">
        <v>10</v>
      </c>
      <c r="AV1101" s="59">
        <v>4</v>
      </c>
      <c r="AW1101" s="59">
        <v>3</v>
      </c>
      <c r="AX1101" s="59">
        <v>10</v>
      </c>
      <c r="AY1101" s="59">
        <v>8</v>
      </c>
      <c r="AZ1101" s="59">
        <v>7</v>
      </c>
      <c r="BA1101" s="59">
        <v>7</v>
      </c>
      <c r="BB1101" s="57">
        <f t="shared" si="341"/>
        <v>22323</v>
      </c>
    </row>
    <row r="1102" spans="1:54" x14ac:dyDescent="0.25">
      <c r="A1102" s="58">
        <v>35</v>
      </c>
      <c r="B1102" s="59">
        <v>0</v>
      </c>
      <c r="C1102" s="59">
        <v>1</v>
      </c>
      <c r="D1102" s="59">
        <f t="shared" si="323"/>
        <v>1</v>
      </c>
      <c r="E1102" s="59">
        <f t="shared" si="324"/>
        <v>0</v>
      </c>
      <c r="F1102" s="59">
        <v>1402</v>
      </c>
      <c r="G1102" s="59">
        <v>1</v>
      </c>
      <c r="H1102" s="59">
        <f t="shared" si="325"/>
        <v>1</v>
      </c>
      <c r="I1102" s="59">
        <f t="shared" si="326"/>
        <v>0</v>
      </c>
      <c r="J1102" s="59">
        <v>28</v>
      </c>
      <c r="K1102" s="59">
        <v>4</v>
      </c>
      <c r="L1102" s="59">
        <v>1</v>
      </c>
      <c r="M1102" s="59">
        <f t="shared" si="327"/>
        <v>1</v>
      </c>
      <c r="N1102" s="59">
        <f t="shared" si="328"/>
        <v>0</v>
      </c>
      <c r="O1102" s="59">
        <f t="shared" si="329"/>
        <v>0</v>
      </c>
      <c r="P1102" s="59">
        <f t="shared" si="330"/>
        <v>0</v>
      </c>
      <c r="Q1102" s="59">
        <f t="shared" si="331"/>
        <v>0</v>
      </c>
      <c r="R1102" s="59">
        <v>1</v>
      </c>
      <c r="S1102" s="59">
        <v>1554</v>
      </c>
      <c r="T1102" s="59">
        <v>2</v>
      </c>
      <c r="U1102" s="59">
        <v>0</v>
      </c>
      <c r="V1102" s="59">
        <v>98</v>
      </c>
      <c r="W1102" s="59">
        <v>2</v>
      </c>
      <c r="X1102" s="59">
        <v>1</v>
      </c>
      <c r="Y1102" s="59">
        <v>7</v>
      </c>
      <c r="Z1102" s="59">
        <f t="shared" si="332"/>
        <v>0</v>
      </c>
      <c r="AA1102" s="59">
        <f>IF('Updated Dummy'!Y1102=2,1,0)</f>
        <v>0</v>
      </c>
      <c r="AB1102" s="59">
        <f t="shared" si="333"/>
        <v>0</v>
      </c>
      <c r="AC1102" s="59">
        <f t="shared" si="334"/>
        <v>0</v>
      </c>
      <c r="AD1102" s="59">
        <f t="shared" si="335"/>
        <v>0</v>
      </c>
      <c r="AE1102" s="59">
        <f t="shared" si="336"/>
        <v>0</v>
      </c>
      <c r="AF1102" s="59">
        <f t="shared" si="337"/>
        <v>1</v>
      </c>
      <c r="AG1102" s="59">
        <f t="shared" si="338"/>
        <v>0</v>
      </c>
      <c r="AH1102" s="59">
        <v>3</v>
      </c>
      <c r="AI1102" s="59">
        <v>2</v>
      </c>
      <c r="AJ1102" s="59">
        <f t="shared" si="339"/>
        <v>0</v>
      </c>
      <c r="AK1102" s="59">
        <f t="shared" si="340"/>
        <v>1</v>
      </c>
      <c r="AL1102" s="59">
        <v>2430</v>
      </c>
      <c r="AM1102" s="59">
        <v>26204</v>
      </c>
      <c r="AN1102" s="59">
        <v>0</v>
      </c>
      <c r="AO1102" s="59">
        <v>0</v>
      </c>
      <c r="AP1102" s="59">
        <v>23</v>
      </c>
      <c r="AQ1102" s="59">
        <v>4</v>
      </c>
      <c r="AR1102" s="59">
        <v>1</v>
      </c>
      <c r="AS1102" s="59">
        <v>80</v>
      </c>
      <c r="AT1102" s="59">
        <v>2</v>
      </c>
      <c r="AU1102" s="59">
        <v>6</v>
      </c>
      <c r="AV1102" s="59">
        <v>5</v>
      </c>
      <c r="AW1102" s="59">
        <v>3</v>
      </c>
      <c r="AX1102" s="59">
        <v>5</v>
      </c>
      <c r="AY1102" s="59">
        <v>3</v>
      </c>
      <c r="AZ1102" s="59">
        <v>4</v>
      </c>
      <c r="BA1102" s="59">
        <v>2</v>
      </c>
      <c r="BB1102" s="57">
        <f t="shared" si="341"/>
        <v>2430</v>
      </c>
    </row>
    <row r="1103" spans="1:54" x14ac:dyDescent="0.25">
      <c r="A1103" s="58">
        <v>32</v>
      </c>
      <c r="B1103" s="59">
        <v>0</v>
      </c>
      <c r="C1103" s="59">
        <v>1</v>
      </c>
      <c r="D1103" s="59">
        <f t="shared" si="323"/>
        <v>1</v>
      </c>
      <c r="E1103" s="59">
        <f t="shared" si="324"/>
        <v>0</v>
      </c>
      <c r="F1103" s="59">
        <v>824</v>
      </c>
      <c r="G1103" s="59">
        <v>2</v>
      </c>
      <c r="H1103" s="59">
        <f t="shared" si="325"/>
        <v>0</v>
      </c>
      <c r="I1103" s="59">
        <f t="shared" si="326"/>
        <v>1</v>
      </c>
      <c r="J1103" s="59">
        <v>5</v>
      </c>
      <c r="K1103" s="59">
        <v>2</v>
      </c>
      <c r="L1103" s="59">
        <v>1</v>
      </c>
      <c r="M1103" s="59">
        <f t="shared" si="327"/>
        <v>1</v>
      </c>
      <c r="N1103" s="59">
        <f t="shared" si="328"/>
        <v>0</v>
      </c>
      <c r="O1103" s="59">
        <f t="shared" si="329"/>
        <v>0</v>
      </c>
      <c r="P1103" s="59">
        <f t="shared" si="330"/>
        <v>0</v>
      </c>
      <c r="Q1103" s="59">
        <f t="shared" si="331"/>
        <v>0</v>
      </c>
      <c r="R1103" s="59">
        <v>1</v>
      </c>
      <c r="S1103" s="59">
        <v>1555</v>
      </c>
      <c r="T1103" s="59">
        <v>4</v>
      </c>
      <c r="U1103" s="59">
        <v>0</v>
      </c>
      <c r="V1103" s="59">
        <v>67</v>
      </c>
      <c r="W1103" s="59">
        <v>2</v>
      </c>
      <c r="X1103" s="59">
        <v>2</v>
      </c>
      <c r="Y1103" s="59">
        <v>2</v>
      </c>
      <c r="Z1103" s="59">
        <f t="shared" si="332"/>
        <v>0</v>
      </c>
      <c r="AA1103" s="59">
        <f>IF('Updated Dummy'!Y1103=2,1,0)</f>
        <v>1</v>
      </c>
      <c r="AB1103" s="59">
        <f t="shared" si="333"/>
        <v>0</v>
      </c>
      <c r="AC1103" s="59">
        <f t="shared" si="334"/>
        <v>0</v>
      </c>
      <c r="AD1103" s="59">
        <f t="shared" si="335"/>
        <v>0</v>
      </c>
      <c r="AE1103" s="59">
        <f t="shared" si="336"/>
        <v>0</v>
      </c>
      <c r="AF1103" s="59">
        <f t="shared" si="337"/>
        <v>0</v>
      </c>
      <c r="AG1103" s="59">
        <f t="shared" si="338"/>
        <v>0</v>
      </c>
      <c r="AH1103" s="59">
        <v>2</v>
      </c>
      <c r="AI1103" s="59">
        <v>2</v>
      </c>
      <c r="AJ1103" s="59">
        <f t="shared" si="339"/>
        <v>0</v>
      </c>
      <c r="AK1103" s="59">
        <f t="shared" si="340"/>
        <v>1</v>
      </c>
      <c r="AL1103" s="59">
        <v>5878</v>
      </c>
      <c r="AM1103" s="59">
        <v>15624</v>
      </c>
      <c r="AN1103" s="59">
        <v>3</v>
      </c>
      <c r="AO1103" s="59">
        <v>0</v>
      </c>
      <c r="AP1103" s="59">
        <v>12</v>
      </c>
      <c r="AQ1103" s="59">
        <v>3</v>
      </c>
      <c r="AR1103" s="59">
        <v>1</v>
      </c>
      <c r="AS1103" s="59">
        <v>80</v>
      </c>
      <c r="AT1103" s="59">
        <v>1</v>
      </c>
      <c r="AU1103" s="59">
        <v>12</v>
      </c>
      <c r="AV1103" s="59">
        <v>2</v>
      </c>
      <c r="AW1103" s="59">
        <v>3</v>
      </c>
      <c r="AX1103" s="59">
        <v>7</v>
      </c>
      <c r="AY1103" s="59">
        <v>1</v>
      </c>
      <c r="AZ1103" s="59">
        <v>2</v>
      </c>
      <c r="BA1103" s="59">
        <v>5</v>
      </c>
      <c r="BB1103" s="57">
        <f t="shared" si="341"/>
        <v>11756</v>
      </c>
    </row>
    <row r="1104" spans="1:54" x14ac:dyDescent="0.25">
      <c r="A1104" s="58">
        <v>36</v>
      </c>
      <c r="B1104" s="59">
        <v>0</v>
      </c>
      <c r="C1104" s="59">
        <v>1</v>
      </c>
      <c r="D1104" s="59">
        <f t="shared" si="323"/>
        <v>1</v>
      </c>
      <c r="E1104" s="59">
        <f t="shared" si="324"/>
        <v>0</v>
      </c>
      <c r="F1104" s="59">
        <v>1157</v>
      </c>
      <c r="G1104" s="59">
        <v>1</v>
      </c>
      <c r="H1104" s="59">
        <f t="shared" si="325"/>
        <v>1</v>
      </c>
      <c r="I1104" s="59">
        <f t="shared" si="326"/>
        <v>0</v>
      </c>
      <c r="J1104" s="59">
        <v>2</v>
      </c>
      <c r="K1104" s="59">
        <v>4</v>
      </c>
      <c r="L1104" s="59">
        <v>1</v>
      </c>
      <c r="M1104" s="59">
        <f t="shared" si="327"/>
        <v>1</v>
      </c>
      <c r="N1104" s="59">
        <f t="shared" si="328"/>
        <v>0</v>
      </c>
      <c r="O1104" s="59">
        <f t="shared" si="329"/>
        <v>0</v>
      </c>
      <c r="P1104" s="59">
        <f t="shared" si="330"/>
        <v>0</v>
      </c>
      <c r="Q1104" s="59">
        <f t="shared" si="331"/>
        <v>0</v>
      </c>
      <c r="R1104" s="59">
        <v>1</v>
      </c>
      <c r="S1104" s="59">
        <v>1556</v>
      </c>
      <c r="T1104" s="59">
        <v>3</v>
      </c>
      <c r="U1104" s="59">
        <v>1</v>
      </c>
      <c r="V1104" s="59">
        <v>70</v>
      </c>
      <c r="W1104" s="59">
        <v>3</v>
      </c>
      <c r="X1104" s="59">
        <v>1</v>
      </c>
      <c r="Y1104" s="59">
        <v>7</v>
      </c>
      <c r="Z1104" s="59">
        <f t="shared" si="332"/>
        <v>0</v>
      </c>
      <c r="AA1104" s="59">
        <f>IF('Updated Dummy'!Y1104=2,1,0)</f>
        <v>0</v>
      </c>
      <c r="AB1104" s="59">
        <f t="shared" si="333"/>
        <v>0</v>
      </c>
      <c r="AC1104" s="59">
        <f t="shared" si="334"/>
        <v>0</v>
      </c>
      <c r="AD1104" s="59">
        <f t="shared" si="335"/>
        <v>0</v>
      </c>
      <c r="AE1104" s="59">
        <f t="shared" si="336"/>
        <v>0</v>
      </c>
      <c r="AF1104" s="59">
        <f t="shared" si="337"/>
        <v>1</v>
      </c>
      <c r="AG1104" s="59">
        <f t="shared" si="338"/>
        <v>0</v>
      </c>
      <c r="AH1104" s="59">
        <v>4</v>
      </c>
      <c r="AI1104" s="59">
        <v>1</v>
      </c>
      <c r="AJ1104" s="59">
        <f t="shared" si="339"/>
        <v>1</v>
      </c>
      <c r="AK1104" s="59">
        <f t="shared" si="340"/>
        <v>0</v>
      </c>
      <c r="AL1104" s="59">
        <v>2644</v>
      </c>
      <c r="AM1104" s="59">
        <v>17001</v>
      </c>
      <c r="AN1104" s="59">
        <v>3</v>
      </c>
      <c r="AO1104" s="59">
        <v>1</v>
      </c>
      <c r="AP1104" s="59">
        <v>21</v>
      </c>
      <c r="AQ1104" s="59">
        <v>4</v>
      </c>
      <c r="AR1104" s="59">
        <v>4</v>
      </c>
      <c r="AS1104" s="59">
        <v>80</v>
      </c>
      <c r="AT1104" s="59">
        <v>0</v>
      </c>
      <c r="AU1104" s="59">
        <v>7</v>
      </c>
      <c r="AV1104" s="59">
        <v>3</v>
      </c>
      <c r="AW1104" s="59">
        <v>2</v>
      </c>
      <c r="AX1104" s="59">
        <v>3</v>
      </c>
      <c r="AY1104" s="59">
        <v>2</v>
      </c>
      <c r="AZ1104" s="59">
        <v>1</v>
      </c>
      <c r="BA1104" s="59">
        <v>2</v>
      </c>
      <c r="BB1104" s="57">
        <f t="shared" si="341"/>
        <v>2644</v>
      </c>
    </row>
    <row r="1105" spans="1:54" x14ac:dyDescent="0.25">
      <c r="A1105" s="58">
        <v>48</v>
      </c>
      <c r="B1105" s="59">
        <v>0</v>
      </c>
      <c r="C1105" s="59">
        <v>1</v>
      </c>
      <c r="D1105" s="59">
        <f t="shared" si="323"/>
        <v>1</v>
      </c>
      <c r="E1105" s="59">
        <f t="shared" si="324"/>
        <v>0</v>
      </c>
      <c r="F1105" s="59">
        <v>492</v>
      </c>
      <c r="G1105" s="59">
        <v>1</v>
      </c>
      <c r="H1105" s="59">
        <f t="shared" si="325"/>
        <v>1</v>
      </c>
      <c r="I1105" s="59">
        <f t="shared" si="326"/>
        <v>0</v>
      </c>
      <c r="J1105" s="59">
        <v>16</v>
      </c>
      <c r="K1105" s="59">
        <v>4</v>
      </c>
      <c r="L1105" s="59">
        <v>1</v>
      </c>
      <c r="M1105" s="59">
        <f t="shared" si="327"/>
        <v>1</v>
      </c>
      <c r="N1105" s="59">
        <f t="shared" si="328"/>
        <v>0</v>
      </c>
      <c r="O1105" s="59">
        <f t="shared" si="329"/>
        <v>0</v>
      </c>
      <c r="P1105" s="59">
        <f t="shared" si="330"/>
        <v>0</v>
      </c>
      <c r="Q1105" s="59">
        <f t="shared" si="331"/>
        <v>0</v>
      </c>
      <c r="R1105" s="59">
        <v>1</v>
      </c>
      <c r="S1105" s="59">
        <v>1557</v>
      </c>
      <c r="T1105" s="59">
        <v>3</v>
      </c>
      <c r="U1105" s="59">
        <v>0</v>
      </c>
      <c r="V1105" s="59">
        <v>96</v>
      </c>
      <c r="W1105" s="59">
        <v>3</v>
      </c>
      <c r="X1105" s="59">
        <v>2</v>
      </c>
      <c r="Y1105" s="59">
        <v>1</v>
      </c>
      <c r="Z1105" s="59">
        <f t="shared" si="332"/>
        <v>1</v>
      </c>
      <c r="AA1105" s="59">
        <f>IF('Updated Dummy'!Y1105=2,1,0)</f>
        <v>0</v>
      </c>
      <c r="AB1105" s="59">
        <f t="shared" si="333"/>
        <v>0</v>
      </c>
      <c r="AC1105" s="59">
        <f t="shared" si="334"/>
        <v>0</v>
      </c>
      <c r="AD1105" s="59">
        <f t="shared" si="335"/>
        <v>0</v>
      </c>
      <c r="AE1105" s="59">
        <f t="shared" si="336"/>
        <v>0</v>
      </c>
      <c r="AF1105" s="59">
        <f t="shared" si="337"/>
        <v>0</v>
      </c>
      <c r="AG1105" s="59">
        <f t="shared" si="338"/>
        <v>0</v>
      </c>
      <c r="AH1105" s="59">
        <v>3</v>
      </c>
      <c r="AI1105" s="59">
        <v>3</v>
      </c>
      <c r="AJ1105" s="59">
        <f t="shared" si="339"/>
        <v>0</v>
      </c>
      <c r="AK1105" s="59">
        <f t="shared" si="340"/>
        <v>0</v>
      </c>
      <c r="AL1105" s="59">
        <v>6439</v>
      </c>
      <c r="AM1105" s="59">
        <v>13693</v>
      </c>
      <c r="AN1105" s="59">
        <v>8</v>
      </c>
      <c r="AO1105" s="59">
        <v>0</v>
      </c>
      <c r="AP1105" s="59">
        <v>14</v>
      </c>
      <c r="AQ1105" s="59">
        <v>3</v>
      </c>
      <c r="AR1105" s="59">
        <v>3</v>
      </c>
      <c r="AS1105" s="59">
        <v>80</v>
      </c>
      <c r="AT1105" s="59">
        <v>1</v>
      </c>
      <c r="AU1105" s="59">
        <v>18</v>
      </c>
      <c r="AV1105" s="59">
        <v>2</v>
      </c>
      <c r="AW1105" s="59">
        <v>3</v>
      </c>
      <c r="AX1105" s="59">
        <v>8</v>
      </c>
      <c r="AY1105" s="59">
        <v>7</v>
      </c>
      <c r="AZ1105" s="59">
        <v>7</v>
      </c>
      <c r="BA1105" s="59">
        <v>7</v>
      </c>
      <c r="BB1105" s="57">
        <f t="shared" si="341"/>
        <v>12878</v>
      </c>
    </row>
    <row r="1106" spans="1:54" x14ac:dyDescent="0.25">
      <c r="A1106" s="58">
        <v>29</v>
      </c>
      <c r="B1106" s="59">
        <v>0</v>
      </c>
      <c r="C1106" s="59">
        <v>1</v>
      </c>
      <c r="D1106" s="59">
        <f t="shared" si="323"/>
        <v>1</v>
      </c>
      <c r="E1106" s="59">
        <f t="shared" si="324"/>
        <v>0</v>
      </c>
      <c r="F1106" s="59">
        <v>598</v>
      </c>
      <c r="G1106" s="59">
        <v>2</v>
      </c>
      <c r="H1106" s="59">
        <f t="shared" si="325"/>
        <v>0</v>
      </c>
      <c r="I1106" s="59">
        <f t="shared" si="326"/>
        <v>1</v>
      </c>
      <c r="J1106" s="59">
        <v>9</v>
      </c>
      <c r="K1106" s="59">
        <v>3</v>
      </c>
      <c r="L1106" s="59">
        <v>1</v>
      </c>
      <c r="M1106" s="59">
        <f t="shared" si="327"/>
        <v>1</v>
      </c>
      <c r="N1106" s="59">
        <f t="shared" si="328"/>
        <v>0</v>
      </c>
      <c r="O1106" s="59">
        <f t="shared" si="329"/>
        <v>0</v>
      </c>
      <c r="P1106" s="59">
        <f t="shared" si="330"/>
        <v>0</v>
      </c>
      <c r="Q1106" s="59">
        <f t="shared" si="331"/>
        <v>0</v>
      </c>
      <c r="R1106" s="59">
        <v>1</v>
      </c>
      <c r="S1106" s="59">
        <v>1558</v>
      </c>
      <c r="T1106" s="59">
        <v>3</v>
      </c>
      <c r="U1106" s="59">
        <v>1</v>
      </c>
      <c r="V1106" s="59">
        <v>91</v>
      </c>
      <c r="W1106" s="59">
        <v>4</v>
      </c>
      <c r="X1106" s="59">
        <v>1</v>
      </c>
      <c r="Y1106" s="59">
        <v>2</v>
      </c>
      <c r="Z1106" s="59">
        <f t="shared" si="332"/>
        <v>0</v>
      </c>
      <c r="AA1106" s="59">
        <f>IF('Updated Dummy'!Y1106=2,1,0)</f>
        <v>1</v>
      </c>
      <c r="AB1106" s="59">
        <f t="shared" si="333"/>
        <v>0</v>
      </c>
      <c r="AC1106" s="59">
        <f t="shared" si="334"/>
        <v>0</v>
      </c>
      <c r="AD1106" s="59">
        <f t="shared" si="335"/>
        <v>0</v>
      </c>
      <c r="AE1106" s="59">
        <f t="shared" si="336"/>
        <v>0</v>
      </c>
      <c r="AF1106" s="59">
        <f t="shared" si="337"/>
        <v>0</v>
      </c>
      <c r="AG1106" s="59">
        <f t="shared" si="338"/>
        <v>0</v>
      </c>
      <c r="AH1106" s="59">
        <v>3</v>
      </c>
      <c r="AI1106" s="59">
        <v>2</v>
      </c>
      <c r="AJ1106" s="59">
        <f t="shared" si="339"/>
        <v>0</v>
      </c>
      <c r="AK1106" s="59">
        <f t="shared" si="340"/>
        <v>1</v>
      </c>
      <c r="AL1106" s="59">
        <v>2451</v>
      </c>
      <c r="AM1106" s="59">
        <v>22376</v>
      </c>
      <c r="AN1106" s="59">
        <v>6</v>
      </c>
      <c r="AO1106" s="59">
        <v>0</v>
      </c>
      <c r="AP1106" s="59">
        <v>18</v>
      </c>
      <c r="AQ1106" s="59">
        <v>3</v>
      </c>
      <c r="AR1106" s="59">
        <v>1</v>
      </c>
      <c r="AS1106" s="59">
        <v>80</v>
      </c>
      <c r="AT1106" s="59">
        <v>2</v>
      </c>
      <c r="AU1106" s="59">
        <v>5</v>
      </c>
      <c r="AV1106" s="59">
        <v>2</v>
      </c>
      <c r="AW1106" s="59">
        <v>2</v>
      </c>
      <c r="AX1106" s="59">
        <v>1</v>
      </c>
      <c r="AY1106" s="59">
        <v>0</v>
      </c>
      <c r="AZ1106" s="59">
        <v>0</v>
      </c>
      <c r="BA1106" s="59">
        <v>0</v>
      </c>
      <c r="BB1106" s="57">
        <f t="shared" si="341"/>
        <v>2451</v>
      </c>
    </row>
    <row r="1107" spans="1:54" x14ac:dyDescent="0.25">
      <c r="A1107" s="58">
        <v>33</v>
      </c>
      <c r="B1107" s="59">
        <v>0</v>
      </c>
      <c r="C1107" s="59">
        <v>1</v>
      </c>
      <c r="D1107" s="59">
        <f t="shared" si="323"/>
        <v>1</v>
      </c>
      <c r="E1107" s="59">
        <f t="shared" si="324"/>
        <v>0</v>
      </c>
      <c r="F1107" s="59">
        <v>1242</v>
      </c>
      <c r="G1107" s="59">
        <v>1</v>
      </c>
      <c r="H1107" s="59">
        <f t="shared" si="325"/>
        <v>1</v>
      </c>
      <c r="I1107" s="59">
        <f t="shared" si="326"/>
        <v>0</v>
      </c>
      <c r="J1107" s="59">
        <v>8</v>
      </c>
      <c r="K1107" s="59">
        <v>4</v>
      </c>
      <c r="L1107" s="59">
        <v>1</v>
      </c>
      <c r="M1107" s="59">
        <f t="shared" si="327"/>
        <v>1</v>
      </c>
      <c r="N1107" s="59">
        <f t="shared" si="328"/>
        <v>0</v>
      </c>
      <c r="O1107" s="59">
        <f t="shared" si="329"/>
        <v>0</v>
      </c>
      <c r="P1107" s="59">
        <f t="shared" si="330"/>
        <v>0</v>
      </c>
      <c r="Q1107" s="59">
        <f t="shared" si="331"/>
        <v>0</v>
      </c>
      <c r="R1107" s="59">
        <v>1</v>
      </c>
      <c r="S1107" s="59">
        <v>1560</v>
      </c>
      <c r="T1107" s="59">
        <v>1</v>
      </c>
      <c r="U1107" s="59">
        <v>1</v>
      </c>
      <c r="V1107" s="59">
        <v>46</v>
      </c>
      <c r="W1107" s="59">
        <v>3</v>
      </c>
      <c r="X1107" s="59">
        <v>2</v>
      </c>
      <c r="Y1107" s="59">
        <v>1</v>
      </c>
      <c r="Z1107" s="59">
        <f t="shared" si="332"/>
        <v>1</v>
      </c>
      <c r="AA1107" s="59">
        <f>IF('Updated Dummy'!Y1107=2,1,0)</f>
        <v>0</v>
      </c>
      <c r="AB1107" s="59">
        <f t="shared" si="333"/>
        <v>0</v>
      </c>
      <c r="AC1107" s="59">
        <f t="shared" si="334"/>
        <v>0</v>
      </c>
      <c r="AD1107" s="59">
        <f t="shared" si="335"/>
        <v>0</v>
      </c>
      <c r="AE1107" s="59">
        <f t="shared" si="336"/>
        <v>0</v>
      </c>
      <c r="AF1107" s="59">
        <f t="shared" si="337"/>
        <v>0</v>
      </c>
      <c r="AG1107" s="59">
        <f t="shared" si="338"/>
        <v>0</v>
      </c>
      <c r="AH1107" s="59">
        <v>1</v>
      </c>
      <c r="AI1107" s="59">
        <v>2</v>
      </c>
      <c r="AJ1107" s="59">
        <f t="shared" si="339"/>
        <v>0</v>
      </c>
      <c r="AK1107" s="59">
        <f t="shared" si="340"/>
        <v>1</v>
      </c>
      <c r="AL1107" s="59">
        <v>6392</v>
      </c>
      <c r="AM1107" s="59">
        <v>10589</v>
      </c>
      <c r="AN1107" s="59">
        <v>2</v>
      </c>
      <c r="AO1107" s="59">
        <v>0</v>
      </c>
      <c r="AP1107" s="59">
        <v>13</v>
      </c>
      <c r="AQ1107" s="59">
        <v>3</v>
      </c>
      <c r="AR1107" s="59">
        <v>4</v>
      </c>
      <c r="AS1107" s="59">
        <v>80</v>
      </c>
      <c r="AT1107" s="59">
        <v>1</v>
      </c>
      <c r="AU1107" s="59">
        <v>8</v>
      </c>
      <c r="AV1107" s="59">
        <v>6</v>
      </c>
      <c r="AW1107" s="59">
        <v>1</v>
      </c>
      <c r="AX1107" s="59">
        <v>2</v>
      </c>
      <c r="AY1107" s="59">
        <v>2</v>
      </c>
      <c r="AZ1107" s="59">
        <v>2</v>
      </c>
      <c r="BA1107" s="59">
        <v>2</v>
      </c>
      <c r="BB1107" s="57">
        <f t="shared" si="341"/>
        <v>12784</v>
      </c>
    </row>
    <row r="1108" spans="1:54" x14ac:dyDescent="0.25">
      <c r="A1108" s="58">
        <v>30</v>
      </c>
      <c r="B1108" s="59">
        <v>1</v>
      </c>
      <c r="C1108" s="59">
        <v>1</v>
      </c>
      <c r="D1108" s="59">
        <f t="shared" si="323"/>
        <v>1</v>
      </c>
      <c r="E1108" s="59">
        <f t="shared" si="324"/>
        <v>0</v>
      </c>
      <c r="F1108" s="59">
        <v>740</v>
      </c>
      <c r="G1108" s="59">
        <v>1</v>
      </c>
      <c r="H1108" s="59">
        <f t="shared" si="325"/>
        <v>1</v>
      </c>
      <c r="I1108" s="59">
        <f t="shared" si="326"/>
        <v>0</v>
      </c>
      <c r="J1108" s="59">
        <v>1</v>
      </c>
      <c r="K1108" s="59">
        <v>3</v>
      </c>
      <c r="L1108" s="59">
        <v>1</v>
      </c>
      <c r="M1108" s="59">
        <f t="shared" si="327"/>
        <v>1</v>
      </c>
      <c r="N1108" s="59">
        <f t="shared" si="328"/>
        <v>0</v>
      </c>
      <c r="O1108" s="59">
        <f t="shared" si="329"/>
        <v>0</v>
      </c>
      <c r="P1108" s="59">
        <f t="shared" si="330"/>
        <v>0</v>
      </c>
      <c r="Q1108" s="59">
        <f t="shared" si="331"/>
        <v>0</v>
      </c>
      <c r="R1108" s="59">
        <v>1</v>
      </c>
      <c r="S1108" s="59">
        <v>1562</v>
      </c>
      <c r="T1108" s="59">
        <v>2</v>
      </c>
      <c r="U1108" s="59">
        <v>1</v>
      </c>
      <c r="V1108" s="59">
        <v>64</v>
      </c>
      <c r="W1108" s="59">
        <v>2</v>
      </c>
      <c r="X1108" s="59">
        <v>2</v>
      </c>
      <c r="Y1108" s="59">
        <v>1</v>
      </c>
      <c r="Z1108" s="59">
        <f t="shared" si="332"/>
        <v>1</v>
      </c>
      <c r="AA1108" s="59">
        <f>IF('Updated Dummy'!Y1108=2,1,0)</f>
        <v>0</v>
      </c>
      <c r="AB1108" s="59">
        <f t="shared" si="333"/>
        <v>0</v>
      </c>
      <c r="AC1108" s="59">
        <f t="shared" si="334"/>
        <v>0</v>
      </c>
      <c r="AD1108" s="59">
        <f t="shared" si="335"/>
        <v>0</v>
      </c>
      <c r="AE1108" s="59">
        <f t="shared" si="336"/>
        <v>0</v>
      </c>
      <c r="AF1108" s="59">
        <f t="shared" si="337"/>
        <v>0</v>
      </c>
      <c r="AG1108" s="59">
        <f t="shared" si="338"/>
        <v>0</v>
      </c>
      <c r="AH1108" s="59">
        <v>1</v>
      </c>
      <c r="AI1108" s="59">
        <v>2</v>
      </c>
      <c r="AJ1108" s="59">
        <f t="shared" si="339"/>
        <v>0</v>
      </c>
      <c r="AK1108" s="59">
        <f t="shared" si="340"/>
        <v>1</v>
      </c>
      <c r="AL1108" s="59">
        <v>9714</v>
      </c>
      <c r="AM1108" s="59">
        <v>5323</v>
      </c>
      <c r="AN1108" s="59">
        <v>1</v>
      </c>
      <c r="AO1108" s="59">
        <v>0</v>
      </c>
      <c r="AP1108" s="59">
        <v>11</v>
      </c>
      <c r="AQ1108" s="59">
        <v>3</v>
      </c>
      <c r="AR1108" s="59">
        <v>4</v>
      </c>
      <c r="AS1108" s="59">
        <v>80</v>
      </c>
      <c r="AT1108" s="59">
        <v>1</v>
      </c>
      <c r="AU1108" s="59">
        <v>10</v>
      </c>
      <c r="AV1108" s="59">
        <v>4</v>
      </c>
      <c r="AW1108" s="59">
        <v>3</v>
      </c>
      <c r="AX1108" s="59">
        <v>10</v>
      </c>
      <c r="AY1108" s="59">
        <v>8</v>
      </c>
      <c r="AZ1108" s="59">
        <v>6</v>
      </c>
      <c r="BA1108" s="59">
        <v>7</v>
      </c>
      <c r="BB1108" s="57">
        <f t="shared" si="341"/>
        <v>19428</v>
      </c>
    </row>
    <row r="1109" spans="1:54" x14ac:dyDescent="0.25">
      <c r="A1109" s="58">
        <v>38</v>
      </c>
      <c r="B1109" s="59">
        <v>0</v>
      </c>
      <c r="C1109" s="59">
        <v>2</v>
      </c>
      <c r="D1109" s="59">
        <f t="shared" si="323"/>
        <v>0</v>
      </c>
      <c r="E1109" s="59">
        <f t="shared" si="324"/>
        <v>1</v>
      </c>
      <c r="F1109" s="59">
        <v>888</v>
      </c>
      <c r="G1109" s="59">
        <v>3</v>
      </c>
      <c r="H1109" s="59">
        <f t="shared" si="325"/>
        <v>0</v>
      </c>
      <c r="I1109" s="59">
        <f t="shared" si="326"/>
        <v>0</v>
      </c>
      <c r="J1109" s="59">
        <v>10</v>
      </c>
      <c r="K1109" s="59">
        <v>4</v>
      </c>
      <c r="L1109" s="59">
        <v>2</v>
      </c>
      <c r="M1109" s="59">
        <f t="shared" si="327"/>
        <v>0</v>
      </c>
      <c r="N1109" s="59">
        <f t="shared" si="328"/>
        <v>1</v>
      </c>
      <c r="O1109" s="59">
        <f t="shared" si="329"/>
        <v>0</v>
      </c>
      <c r="P1109" s="59">
        <f t="shared" si="330"/>
        <v>0</v>
      </c>
      <c r="Q1109" s="59">
        <f t="shared" si="331"/>
        <v>0</v>
      </c>
      <c r="R1109" s="59">
        <v>1</v>
      </c>
      <c r="S1109" s="59">
        <v>1563</v>
      </c>
      <c r="T1109" s="59">
        <v>3</v>
      </c>
      <c r="U1109" s="59">
        <v>1</v>
      </c>
      <c r="V1109" s="59">
        <v>71</v>
      </c>
      <c r="W1109" s="59">
        <v>3</v>
      </c>
      <c r="X1109" s="59">
        <v>2</v>
      </c>
      <c r="Y1109" s="59">
        <v>9</v>
      </c>
      <c r="Z1109" s="59">
        <f t="shared" si="332"/>
        <v>0</v>
      </c>
      <c r="AA1109" s="59">
        <f>IF('Updated Dummy'!Y1109=2,1,0)</f>
        <v>0</v>
      </c>
      <c r="AB1109" s="59">
        <f t="shared" si="333"/>
        <v>0</v>
      </c>
      <c r="AC1109" s="59">
        <f t="shared" si="334"/>
        <v>0</v>
      </c>
      <c r="AD1109" s="59">
        <f t="shared" si="335"/>
        <v>0</v>
      </c>
      <c r="AE1109" s="59">
        <f t="shared" si="336"/>
        <v>0</v>
      </c>
      <c r="AF1109" s="59">
        <f t="shared" si="337"/>
        <v>0</v>
      </c>
      <c r="AG1109" s="59">
        <f t="shared" si="338"/>
        <v>0</v>
      </c>
      <c r="AH1109" s="59">
        <v>3</v>
      </c>
      <c r="AI1109" s="59">
        <v>2</v>
      </c>
      <c r="AJ1109" s="59">
        <f t="shared" si="339"/>
        <v>0</v>
      </c>
      <c r="AK1109" s="59">
        <f t="shared" si="340"/>
        <v>1</v>
      </c>
      <c r="AL1109" s="59">
        <v>6077</v>
      </c>
      <c r="AM1109" s="59">
        <v>14814</v>
      </c>
      <c r="AN1109" s="59">
        <v>3</v>
      </c>
      <c r="AO1109" s="59">
        <v>0</v>
      </c>
      <c r="AP1109" s="59">
        <v>11</v>
      </c>
      <c r="AQ1109" s="59">
        <v>3</v>
      </c>
      <c r="AR1109" s="59">
        <v>3</v>
      </c>
      <c r="AS1109" s="59">
        <v>80</v>
      </c>
      <c r="AT1109" s="59">
        <v>0</v>
      </c>
      <c r="AU1109" s="59">
        <v>10</v>
      </c>
      <c r="AV1109" s="59">
        <v>2</v>
      </c>
      <c r="AW1109" s="59">
        <v>3</v>
      </c>
      <c r="AX1109" s="59">
        <v>6</v>
      </c>
      <c r="AY1109" s="59">
        <v>3</v>
      </c>
      <c r="AZ1109" s="59">
        <v>1</v>
      </c>
      <c r="BA1109" s="59">
        <v>2</v>
      </c>
      <c r="BB1109" s="57">
        <f t="shared" si="341"/>
        <v>12154</v>
      </c>
    </row>
    <row r="1110" spans="1:54" x14ac:dyDescent="0.25">
      <c r="A1110" s="58">
        <v>35</v>
      </c>
      <c r="B1110" s="59">
        <v>0</v>
      </c>
      <c r="C1110" s="59">
        <v>1</v>
      </c>
      <c r="D1110" s="59">
        <f t="shared" si="323"/>
        <v>1</v>
      </c>
      <c r="E1110" s="59">
        <f t="shared" si="324"/>
        <v>0</v>
      </c>
      <c r="F1110" s="59">
        <v>992</v>
      </c>
      <c r="G1110" s="59">
        <v>2</v>
      </c>
      <c r="H1110" s="59">
        <f t="shared" si="325"/>
        <v>0</v>
      </c>
      <c r="I1110" s="59">
        <f t="shared" si="326"/>
        <v>1</v>
      </c>
      <c r="J1110" s="59">
        <v>1</v>
      </c>
      <c r="K1110" s="59">
        <v>3</v>
      </c>
      <c r="L1110" s="59">
        <v>3</v>
      </c>
      <c r="M1110" s="59">
        <f t="shared" si="327"/>
        <v>0</v>
      </c>
      <c r="N1110" s="59">
        <f t="shared" si="328"/>
        <v>0</v>
      </c>
      <c r="O1110" s="59">
        <f t="shared" si="329"/>
        <v>1</v>
      </c>
      <c r="P1110" s="59">
        <f t="shared" si="330"/>
        <v>0</v>
      </c>
      <c r="Q1110" s="59">
        <f t="shared" si="331"/>
        <v>0</v>
      </c>
      <c r="R1110" s="59">
        <v>1</v>
      </c>
      <c r="S1110" s="59">
        <v>1564</v>
      </c>
      <c r="T1110" s="59">
        <v>4</v>
      </c>
      <c r="U1110" s="59">
        <v>1</v>
      </c>
      <c r="V1110" s="59">
        <v>68</v>
      </c>
      <c r="W1110" s="59">
        <v>2</v>
      </c>
      <c r="X1110" s="59">
        <v>1</v>
      </c>
      <c r="Y1110" s="59">
        <v>3</v>
      </c>
      <c r="Z1110" s="59">
        <f t="shared" si="332"/>
        <v>0</v>
      </c>
      <c r="AA1110" s="59">
        <f>IF('Updated Dummy'!Y1110=2,1,0)</f>
        <v>0</v>
      </c>
      <c r="AB1110" s="59">
        <f t="shared" si="333"/>
        <v>1</v>
      </c>
      <c r="AC1110" s="59">
        <f t="shared" si="334"/>
        <v>0</v>
      </c>
      <c r="AD1110" s="59">
        <f t="shared" si="335"/>
        <v>0</v>
      </c>
      <c r="AE1110" s="59">
        <f t="shared" si="336"/>
        <v>0</v>
      </c>
      <c r="AF1110" s="59">
        <f t="shared" si="337"/>
        <v>0</v>
      </c>
      <c r="AG1110" s="59">
        <f t="shared" si="338"/>
        <v>0</v>
      </c>
      <c r="AH1110" s="59">
        <v>1</v>
      </c>
      <c r="AI1110" s="59">
        <v>1</v>
      </c>
      <c r="AJ1110" s="59">
        <f t="shared" si="339"/>
        <v>1</v>
      </c>
      <c r="AK1110" s="59">
        <f t="shared" si="340"/>
        <v>0</v>
      </c>
      <c r="AL1110" s="59">
        <v>2450</v>
      </c>
      <c r="AM1110" s="59">
        <v>21731</v>
      </c>
      <c r="AN1110" s="59">
        <v>1</v>
      </c>
      <c r="AO1110" s="59">
        <v>0</v>
      </c>
      <c r="AP1110" s="59">
        <v>19</v>
      </c>
      <c r="AQ1110" s="59">
        <v>3</v>
      </c>
      <c r="AR1110" s="59">
        <v>2</v>
      </c>
      <c r="AS1110" s="59">
        <v>80</v>
      </c>
      <c r="AT1110" s="59">
        <v>0</v>
      </c>
      <c r="AU1110" s="59">
        <v>3</v>
      </c>
      <c r="AV1110" s="59">
        <v>3</v>
      </c>
      <c r="AW1110" s="59">
        <v>3</v>
      </c>
      <c r="AX1110" s="59">
        <v>3</v>
      </c>
      <c r="AY1110" s="59">
        <v>0</v>
      </c>
      <c r="AZ1110" s="59">
        <v>1</v>
      </c>
      <c r="BA1110" s="59">
        <v>2</v>
      </c>
      <c r="BB1110" s="57">
        <f t="shared" si="341"/>
        <v>2450</v>
      </c>
    </row>
    <row r="1111" spans="1:54" x14ac:dyDescent="0.25">
      <c r="A1111" s="58">
        <v>30</v>
      </c>
      <c r="B1111" s="59">
        <v>0</v>
      </c>
      <c r="C1111" s="59">
        <v>1</v>
      </c>
      <c r="D1111" s="59">
        <f t="shared" si="323"/>
        <v>1</v>
      </c>
      <c r="E1111" s="59">
        <f t="shared" si="324"/>
        <v>0</v>
      </c>
      <c r="F1111" s="59">
        <v>1288</v>
      </c>
      <c r="G1111" s="59">
        <v>1</v>
      </c>
      <c r="H1111" s="59">
        <f t="shared" si="325"/>
        <v>1</v>
      </c>
      <c r="I1111" s="59">
        <f t="shared" si="326"/>
        <v>0</v>
      </c>
      <c r="J1111" s="59">
        <v>29</v>
      </c>
      <c r="K1111" s="59">
        <v>4</v>
      </c>
      <c r="L1111" s="59">
        <v>5</v>
      </c>
      <c r="M1111" s="59">
        <f t="shared" si="327"/>
        <v>0</v>
      </c>
      <c r="N1111" s="59">
        <f t="shared" si="328"/>
        <v>0</v>
      </c>
      <c r="O1111" s="59">
        <f t="shared" si="329"/>
        <v>0</v>
      </c>
      <c r="P1111" s="59">
        <f t="shared" si="330"/>
        <v>0</v>
      </c>
      <c r="Q1111" s="59">
        <f t="shared" si="331"/>
        <v>1</v>
      </c>
      <c r="R1111" s="59">
        <v>1</v>
      </c>
      <c r="S1111" s="59">
        <v>1568</v>
      </c>
      <c r="T1111" s="59">
        <v>3</v>
      </c>
      <c r="U1111" s="59">
        <v>1</v>
      </c>
      <c r="V1111" s="59">
        <v>33</v>
      </c>
      <c r="W1111" s="59">
        <v>3</v>
      </c>
      <c r="X1111" s="59">
        <v>3</v>
      </c>
      <c r="Y1111" s="59">
        <v>1</v>
      </c>
      <c r="Z1111" s="59">
        <f t="shared" si="332"/>
        <v>1</v>
      </c>
      <c r="AA1111" s="59">
        <f>IF('Updated Dummy'!Y1111=2,1,0)</f>
        <v>0</v>
      </c>
      <c r="AB1111" s="59">
        <f t="shared" si="333"/>
        <v>0</v>
      </c>
      <c r="AC1111" s="59">
        <f t="shared" si="334"/>
        <v>0</v>
      </c>
      <c r="AD1111" s="59">
        <f t="shared" si="335"/>
        <v>0</v>
      </c>
      <c r="AE1111" s="59">
        <f t="shared" si="336"/>
        <v>0</v>
      </c>
      <c r="AF1111" s="59">
        <f t="shared" si="337"/>
        <v>0</v>
      </c>
      <c r="AG1111" s="59">
        <f t="shared" si="338"/>
        <v>0</v>
      </c>
      <c r="AH1111" s="59">
        <v>2</v>
      </c>
      <c r="AI1111" s="59">
        <v>2</v>
      </c>
      <c r="AJ1111" s="59">
        <f t="shared" si="339"/>
        <v>0</v>
      </c>
      <c r="AK1111" s="59">
        <f t="shared" si="340"/>
        <v>1</v>
      </c>
      <c r="AL1111" s="59">
        <v>9250</v>
      </c>
      <c r="AM1111" s="59">
        <v>17799</v>
      </c>
      <c r="AN1111" s="59">
        <v>3</v>
      </c>
      <c r="AO1111" s="59">
        <v>0</v>
      </c>
      <c r="AP1111" s="59">
        <v>12</v>
      </c>
      <c r="AQ1111" s="59">
        <v>3</v>
      </c>
      <c r="AR1111" s="59">
        <v>2</v>
      </c>
      <c r="AS1111" s="59">
        <v>80</v>
      </c>
      <c r="AT1111" s="59">
        <v>1</v>
      </c>
      <c r="AU1111" s="59">
        <v>9</v>
      </c>
      <c r="AV1111" s="59">
        <v>3</v>
      </c>
      <c r="AW1111" s="59">
        <v>3</v>
      </c>
      <c r="AX1111" s="59">
        <v>4</v>
      </c>
      <c r="AY1111" s="59">
        <v>2</v>
      </c>
      <c r="AZ1111" s="59">
        <v>1</v>
      </c>
      <c r="BA1111" s="59">
        <v>3</v>
      </c>
      <c r="BB1111" s="57">
        <f t="shared" si="341"/>
        <v>27750</v>
      </c>
    </row>
    <row r="1112" spans="1:54" x14ac:dyDescent="0.25">
      <c r="A1112" s="58">
        <v>35</v>
      </c>
      <c r="B1112" s="59">
        <v>1</v>
      </c>
      <c r="C1112" s="59">
        <v>1</v>
      </c>
      <c r="D1112" s="59">
        <f t="shared" si="323"/>
        <v>1</v>
      </c>
      <c r="E1112" s="59">
        <f t="shared" si="324"/>
        <v>0</v>
      </c>
      <c r="F1112" s="59">
        <v>104</v>
      </c>
      <c r="G1112" s="59">
        <v>2</v>
      </c>
      <c r="H1112" s="59">
        <f t="shared" si="325"/>
        <v>0</v>
      </c>
      <c r="I1112" s="59">
        <f t="shared" si="326"/>
        <v>1</v>
      </c>
      <c r="J1112" s="59">
        <v>2</v>
      </c>
      <c r="K1112" s="59">
        <v>3</v>
      </c>
      <c r="L1112" s="59">
        <v>1</v>
      </c>
      <c r="M1112" s="59">
        <f t="shared" si="327"/>
        <v>1</v>
      </c>
      <c r="N1112" s="59">
        <f t="shared" si="328"/>
        <v>0</v>
      </c>
      <c r="O1112" s="59">
        <f t="shared" si="329"/>
        <v>0</v>
      </c>
      <c r="P1112" s="59">
        <f t="shared" si="330"/>
        <v>0</v>
      </c>
      <c r="Q1112" s="59">
        <f t="shared" si="331"/>
        <v>0</v>
      </c>
      <c r="R1112" s="59">
        <v>1</v>
      </c>
      <c r="S1112" s="59">
        <v>1569</v>
      </c>
      <c r="T1112" s="59">
        <v>1</v>
      </c>
      <c r="U1112" s="59">
        <v>0</v>
      </c>
      <c r="V1112" s="59">
        <v>69</v>
      </c>
      <c r="W1112" s="59">
        <v>3</v>
      </c>
      <c r="X1112" s="59">
        <v>1</v>
      </c>
      <c r="Y1112" s="59">
        <v>3</v>
      </c>
      <c r="Z1112" s="59">
        <f t="shared" si="332"/>
        <v>0</v>
      </c>
      <c r="AA1112" s="59">
        <f>IF('Updated Dummy'!Y1112=2,1,0)</f>
        <v>0</v>
      </c>
      <c r="AB1112" s="59">
        <f t="shared" si="333"/>
        <v>1</v>
      </c>
      <c r="AC1112" s="59">
        <f t="shared" si="334"/>
        <v>0</v>
      </c>
      <c r="AD1112" s="59">
        <f t="shared" si="335"/>
        <v>0</v>
      </c>
      <c r="AE1112" s="59">
        <f t="shared" si="336"/>
        <v>0</v>
      </c>
      <c r="AF1112" s="59">
        <f t="shared" si="337"/>
        <v>0</v>
      </c>
      <c r="AG1112" s="59">
        <f t="shared" si="338"/>
        <v>0</v>
      </c>
      <c r="AH1112" s="59">
        <v>1</v>
      </c>
      <c r="AI1112" s="59">
        <v>3</v>
      </c>
      <c r="AJ1112" s="59">
        <f t="shared" si="339"/>
        <v>0</v>
      </c>
      <c r="AK1112" s="59">
        <f t="shared" si="340"/>
        <v>0</v>
      </c>
      <c r="AL1112" s="59">
        <v>2074</v>
      </c>
      <c r="AM1112" s="59">
        <v>26619</v>
      </c>
      <c r="AN1112" s="59">
        <v>1</v>
      </c>
      <c r="AO1112" s="59">
        <v>1</v>
      </c>
      <c r="AP1112" s="59">
        <v>12</v>
      </c>
      <c r="AQ1112" s="59">
        <v>3</v>
      </c>
      <c r="AR1112" s="59">
        <v>4</v>
      </c>
      <c r="AS1112" s="59">
        <v>80</v>
      </c>
      <c r="AT1112" s="59">
        <v>1</v>
      </c>
      <c r="AU1112" s="59">
        <v>1</v>
      </c>
      <c r="AV1112" s="59">
        <v>2</v>
      </c>
      <c r="AW1112" s="59">
        <v>3</v>
      </c>
      <c r="AX1112" s="59">
        <v>1</v>
      </c>
      <c r="AY1112" s="59">
        <v>0</v>
      </c>
      <c r="AZ1112" s="59">
        <v>0</v>
      </c>
      <c r="BA1112" s="59">
        <v>0</v>
      </c>
      <c r="BB1112" s="57">
        <f t="shared" si="341"/>
        <v>2074</v>
      </c>
    </row>
    <row r="1113" spans="1:54" x14ac:dyDescent="0.25">
      <c r="A1113" s="58">
        <v>53</v>
      </c>
      <c r="B1113" s="59">
        <v>1</v>
      </c>
      <c r="C1113" s="59">
        <v>1</v>
      </c>
      <c r="D1113" s="59">
        <f t="shared" si="323"/>
        <v>1</v>
      </c>
      <c r="E1113" s="59">
        <f t="shared" si="324"/>
        <v>0</v>
      </c>
      <c r="F1113" s="59">
        <v>607</v>
      </c>
      <c r="G1113" s="59">
        <v>2</v>
      </c>
      <c r="H1113" s="59">
        <f t="shared" si="325"/>
        <v>0</v>
      </c>
      <c r="I1113" s="59">
        <f t="shared" si="326"/>
        <v>1</v>
      </c>
      <c r="J1113" s="59">
        <v>2</v>
      </c>
      <c r="K1113" s="59">
        <v>5</v>
      </c>
      <c r="L1113" s="59">
        <v>5</v>
      </c>
      <c r="M1113" s="59">
        <f t="shared" si="327"/>
        <v>0</v>
      </c>
      <c r="N1113" s="59">
        <f t="shared" si="328"/>
        <v>0</v>
      </c>
      <c r="O1113" s="59">
        <f t="shared" si="329"/>
        <v>0</v>
      </c>
      <c r="P1113" s="59">
        <f t="shared" si="330"/>
        <v>0</v>
      </c>
      <c r="Q1113" s="59">
        <f t="shared" si="331"/>
        <v>1</v>
      </c>
      <c r="R1113" s="59">
        <v>1</v>
      </c>
      <c r="S1113" s="59">
        <v>1572</v>
      </c>
      <c r="T1113" s="59">
        <v>3</v>
      </c>
      <c r="U1113" s="59">
        <v>0</v>
      </c>
      <c r="V1113" s="59">
        <v>78</v>
      </c>
      <c r="W1113" s="59">
        <v>2</v>
      </c>
      <c r="X1113" s="59">
        <v>3</v>
      </c>
      <c r="Y1113" s="59">
        <v>4</v>
      </c>
      <c r="Z1113" s="59">
        <f t="shared" si="332"/>
        <v>0</v>
      </c>
      <c r="AA1113" s="59">
        <f>IF('Updated Dummy'!Y1113=2,1,0)</f>
        <v>0</v>
      </c>
      <c r="AB1113" s="59">
        <f t="shared" si="333"/>
        <v>0</v>
      </c>
      <c r="AC1113" s="59">
        <f t="shared" si="334"/>
        <v>1</v>
      </c>
      <c r="AD1113" s="59">
        <f t="shared" si="335"/>
        <v>0</v>
      </c>
      <c r="AE1113" s="59">
        <f t="shared" si="336"/>
        <v>0</v>
      </c>
      <c r="AF1113" s="59">
        <f t="shared" si="337"/>
        <v>0</v>
      </c>
      <c r="AG1113" s="59">
        <f t="shared" si="338"/>
        <v>0</v>
      </c>
      <c r="AH1113" s="59">
        <v>4</v>
      </c>
      <c r="AI1113" s="59">
        <v>2</v>
      </c>
      <c r="AJ1113" s="59">
        <f t="shared" si="339"/>
        <v>0</v>
      </c>
      <c r="AK1113" s="59">
        <f t="shared" si="340"/>
        <v>1</v>
      </c>
      <c r="AL1113" s="59">
        <v>10169</v>
      </c>
      <c r="AM1113" s="59">
        <v>14618</v>
      </c>
      <c r="AN1113" s="59">
        <v>0</v>
      </c>
      <c r="AO1113" s="59">
        <v>0</v>
      </c>
      <c r="AP1113" s="59">
        <v>16</v>
      </c>
      <c r="AQ1113" s="59">
        <v>3</v>
      </c>
      <c r="AR1113" s="59">
        <v>2</v>
      </c>
      <c r="AS1113" s="59">
        <v>80</v>
      </c>
      <c r="AT1113" s="59">
        <v>1</v>
      </c>
      <c r="AU1113" s="59">
        <v>34</v>
      </c>
      <c r="AV1113" s="59">
        <v>4</v>
      </c>
      <c r="AW1113" s="59">
        <v>3</v>
      </c>
      <c r="AX1113" s="59">
        <v>33</v>
      </c>
      <c r="AY1113" s="59">
        <v>7</v>
      </c>
      <c r="AZ1113" s="59">
        <v>1</v>
      </c>
      <c r="BA1113" s="59">
        <v>9</v>
      </c>
      <c r="BB1113" s="57">
        <f t="shared" si="341"/>
        <v>30507</v>
      </c>
    </row>
    <row r="1114" spans="1:54" x14ac:dyDescent="0.25">
      <c r="A1114" s="58">
        <v>38</v>
      </c>
      <c r="B1114" s="59">
        <v>1</v>
      </c>
      <c r="C1114" s="59">
        <v>1</v>
      </c>
      <c r="D1114" s="59">
        <f t="shared" si="323"/>
        <v>1</v>
      </c>
      <c r="E1114" s="59">
        <f t="shared" si="324"/>
        <v>0</v>
      </c>
      <c r="F1114" s="59">
        <v>903</v>
      </c>
      <c r="G1114" s="59">
        <v>2</v>
      </c>
      <c r="H1114" s="59">
        <f t="shared" si="325"/>
        <v>0</v>
      </c>
      <c r="I1114" s="59">
        <f t="shared" si="326"/>
        <v>1</v>
      </c>
      <c r="J1114" s="59">
        <v>2</v>
      </c>
      <c r="K1114" s="59">
        <v>3</v>
      </c>
      <c r="L1114" s="59">
        <v>3</v>
      </c>
      <c r="M1114" s="59">
        <f t="shared" si="327"/>
        <v>0</v>
      </c>
      <c r="N1114" s="59">
        <f t="shared" si="328"/>
        <v>0</v>
      </c>
      <c r="O1114" s="59">
        <f t="shared" si="329"/>
        <v>1</v>
      </c>
      <c r="P1114" s="59">
        <f t="shared" si="330"/>
        <v>0</v>
      </c>
      <c r="Q1114" s="59">
        <f t="shared" si="331"/>
        <v>0</v>
      </c>
      <c r="R1114" s="59">
        <v>1</v>
      </c>
      <c r="S1114" s="59">
        <v>1573</v>
      </c>
      <c r="T1114" s="59">
        <v>3</v>
      </c>
      <c r="U1114" s="59">
        <v>1</v>
      </c>
      <c r="V1114" s="59">
        <v>81</v>
      </c>
      <c r="W1114" s="59">
        <v>3</v>
      </c>
      <c r="X1114" s="59">
        <v>2</v>
      </c>
      <c r="Y1114" s="59">
        <v>4</v>
      </c>
      <c r="Z1114" s="59">
        <f t="shared" si="332"/>
        <v>0</v>
      </c>
      <c r="AA1114" s="59">
        <f>IF('Updated Dummy'!Y1114=2,1,0)</f>
        <v>0</v>
      </c>
      <c r="AB1114" s="59">
        <f t="shared" si="333"/>
        <v>0</v>
      </c>
      <c r="AC1114" s="59">
        <f t="shared" si="334"/>
        <v>1</v>
      </c>
      <c r="AD1114" s="59">
        <f t="shared" si="335"/>
        <v>0</v>
      </c>
      <c r="AE1114" s="59">
        <f t="shared" si="336"/>
        <v>0</v>
      </c>
      <c r="AF1114" s="59">
        <f t="shared" si="337"/>
        <v>0</v>
      </c>
      <c r="AG1114" s="59">
        <f t="shared" si="338"/>
        <v>0</v>
      </c>
      <c r="AH1114" s="59">
        <v>2</v>
      </c>
      <c r="AI1114" s="59">
        <v>2</v>
      </c>
      <c r="AJ1114" s="59">
        <f t="shared" si="339"/>
        <v>0</v>
      </c>
      <c r="AK1114" s="59">
        <f t="shared" si="340"/>
        <v>1</v>
      </c>
      <c r="AL1114" s="59">
        <v>4855</v>
      </c>
      <c r="AM1114" s="59">
        <v>7653</v>
      </c>
      <c r="AN1114" s="59">
        <v>4</v>
      </c>
      <c r="AO1114" s="59">
        <v>0</v>
      </c>
      <c r="AP1114" s="59">
        <v>11</v>
      </c>
      <c r="AQ1114" s="59">
        <v>3</v>
      </c>
      <c r="AR1114" s="59">
        <v>1</v>
      </c>
      <c r="AS1114" s="59">
        <v>80</v>
      </c>
      <c r="AT1114" s="59">
        <v>2</v>
      </c>
      <c r="AU1114" s="59">
        <v>7</v>
      </c>
      <c r="AV1114" s="59">
        <v>2</v>
      </c>
      <c r="AW1114" s="59">
        <v>3</v>
      </c>
      <c r="AX1114" s="59">
        <v>5</v>
      </c>
      <c r="AY1114" s="59">
        <v>2</v>
      </c>
      <c r="AZ1114" s="59">
        <v>1</v>
      </c>
      <c r="BA1114" s="59">
        <v>4</v>
      </c>
      <c r="BB1114" s="57">
        <f t="shared" si="341"/>
        <v>9710</v>
      </c>
    </row>
    <row r="1115" spans="1:54" x14ac:dyDescent="0.25">
      <c r="A1115" s="58">
        <v>32</v>
      </c>
      <c r="B1115" s="59">
        <v>0</v>
      </c>
      <c r="C1115" s="59">
        <v>3</v>
      </c>
      <c r="D1115" s="59">
        <f t="shared" si="323"/>
        <v>0</v>
      </c>
      <c r="E1115" s="59">
        <f t="shared" si="324"/>
        <v>0</v>
      </c>
      <c r="F1115" s="59">
        <v>1200</v>
      </c>
      <c r="G1115" s="59">
        <v>2</v>
      </c>
      <c r="H1115" s="59">
        <f t="shared" si="325"/>
        <v>0</v>
      </c>
      <c r="I1115" s="59">
        <f t="shared" si="326"/>
        <v>1</v>
      </c>
      <c r="J1115" s="59">
        <v>1</v>
      </c>
      <c r="K1115" s="59">
        <v>4</v>
      </c>
      <c r="L1115" s="59">
        <v>5</v>
      </c>
      <c r="M1115" s="59">
        <f t="shared" si="327"/>
        <v>0</v>
      </c>
      <c r="N1115" s="59">
        <f t="shared" si="328"/>
        <v>0</v>
      </c>
      <c r="O1115" s="59">
        <f t="shared" si="329"/>
        <v>0</v>
      </c>
      <c r="P1115" s="59">
        <f t="shared" si="330"/>
        <v>0</v>
      </c>
      <c r="Q1115" s="59">
        <f t="shared" si="331"/>
        <v>1</v>
      </c>
      <c r="R1115" s="59">
        <v>1</v>
      </c>
      <c r="S1115" s="59">
        <v>1574</v>
      </c>
      <c r="T1115" s="59">
        <v>4</v>
      </c>
      <c r="U1115" s="59">
        <v>1</v>
      </c>
      <c r="V1115" s="59">
        <v>62</v>
      </c>
      <c r="W1115" s="59">
        <v>3</v>
      </c>
      <c r="X1115" s="59">
        <v>2</v>
      </c>
      <c r="Y1115" s="59">
        <v>2</v>
      </c>
      <c r="Z1115" s="59">
        <f t="shared" si="332"/>
        <v>0</v>
      </c>
      <c r="AA1115" s="59">
        <f>IF('Updated Dummy'!Y1115=2,1,0)</f>
        <v>1</v>
      </c>
      <c r="AB1115" s="59">
        <f t="shared" si="333"/>
        <v>0</v>
      </c>
      <c r="AC1115" s="59">
        <f t="shared" si="334"/>
        <v>0</v>
      </c>
      <c r="AD1115" s="59">
        <f t="shared" si="335"/>
        <v>0</v>
      </c>
      <c r="AE1115" s="59">
        <f t="shared" si="336"/>
        <v>0</v>
      </c>
      <c r="AF1115" s="59">
        <f t="shared" si="337"/>
        <v>0</v>
      </c>
      <c r="AG1115" s="59">
        <f t="shared" si="338"/>
        <v>0</v>
      </c>
      <c r="AH1115" s="59">
        <v>1</v>
      </c>
      <c r="AI1115" s="59">
        <v>2</v>
      </c>
      <c r="AJ1115" s="59">
        <f t="shared" si="339"/>
        <v>0</v>
      </c>
      <c r="AK1115" s="59">
        <f t="shared" si="340"/>
        <v>1</v>
      </c>
      <c r="AL1115" s="59">
        <v>4087</v>
      </c>
      <c r="AM1115" s="59">
        <v>25174</v>
      </c>
      <c r="AN1115" s="59">
        <v>4</v>
      </c>
      <c r="AO1115" s="59">
        <v>0</v>
      </c>
      <c r="AP1115" s="59">
        <v>14</v>
      </c>
      <c r="AQ1115" s="59">
        <v>3</v>
      </c>
      <c r="AR1115" s="59">
        <v>2</v>
      </c>
      <c r="AS1115" s="59">
        <v>80</v>
      </c>
      <c r="AT1115" s="59">
        <v>1</v>
      </c>
      <c r="AU1115" s="59">
        <v>9</v>
      </c>
      <c r="AV1115" s="59">
        <v>3</v>
      </c>
      <c r="AW1115" s="59">
        <v>2</v>
      </c>
      <c r="AX1115" s="59">
        <v>6</v>
      </c>
      <c r="AY1115" s="59">
        <v>5</v>
      </c>
      <c r="AZ1115" s="59">
        <v>1</v>
      </c>
      <c r="BA1115" s="59">
        <v>2</v>
      </c>
      <c r="BB1115" s="57">
        <f t="shared" si="341"/>
        <v>8174</v>
      </c>
    </row>
    <row r="1116" spans="1:54" x14ac:dyDescent="0.25">
      <c r="A1116" s="58">
        <v>48</v>
      </c>
      <c r="B1116" s="59">
        <v>0</v>
      </c>
      <c r="C1116" s="59">
        <v>1</v>
      </c>
      <c r="D1116" s="59">
        <f t="shared" si="323"/>
        <v>1</v>
      </c>
      <c r="E1116" s="59">
        <f t="shared" si="324"/>
        <v>0</v>
      </c>
      <c r="F1116" s="59">
        <v>1108</v>
      </c>
      <c r="G1116" s="59">
        <v>2</v>
      </c>
      <c r="H1116" s="59">
        <f t="shared" si="325"/>
        <v>0</v>
      </c>
      <c r="I1116" s="59">
        <f t="shared" si="326"/>
        <v>1</v>
      </c>
      <c r="J1116" s="59">
        <v>15</v>
      </c>
      <c r="K1116" s="59">
        <v>4</v>
      </c>
      <c r="L1116" s="59">
        <v>6</v>
      </c>
      <c r="M1116" s="59">
        <f t="shared" si="327"/>
        <v>0</v>
      </c>
      <c r="N1116" s="59">
        <f t="shared" si="328"/>
        <v>0</v>
      </c>
      <c r="O1116" s="59">
        <f t="shared" si="329"/>
        <v>0</v>
      </c>
      <c r="P1116" s="59">
        <f t="shared" si="330"/>
        <v>0</v>
      </c>
      <c r="Q1116" s="59">
        <f t="shared" si="331"/>
        <v>0</v>
      </c>
      <c r="R1116" s="59">
        <v>1</v>
      </c>
      <c r="S1116" s="59">
        <v>1576</v>
      </c>
      <c r="T1116" s="59">
        <v>3</v>
      </c>
      <c r="U1116" s="59">
        <v>0</v>
      </c>
      <c r="V1116" s="59">
        <v>65</v>
      </c>
      <c r="W1116" s="59">
        <v>3</v>
      </c>
      <c r="X1116" s="59">
        <v>1</v>
      </c>
      <c r="Y1116" s="59">
        <v>2</v>
      </c>
      <c r="Z1116" s="59">
        <f t="shared" si="332"/>
        <v>0</v>
      </c>
      <c r="AA1116" s="59">
        <f>IF('Updated Dummy'!Y1116=2,1,0)</f>
        <v>1</v>
      </c>
      <c r="AB1116" s="59">
        <f t="shared" si="333"/>
        <v>0</v>
      </c>
      <c r="AC1116" s="59">
        <f t="shared" si="334"/>
        <v>0</v>
      </c>
      <c r="AD1116" s="59">
        <f t="shared" si="335"/>
        <v>0</v>
      </c>
      <c r="AE1116" s="59">
        <f t="shared" si="336"/>
        <v>0</v>
      </c>
      <c r="AF1116" s="59">
        <f t="shared" si="337"/>
        <v>0</v>
      </c>
      <c r="AG1116" s="59">
        <f t="shared" si="338"/>
        <v>0</v>
      </c>
      <c r="AH1116" s="59">
        <v>1</v>
      </c>
      <c r="AI1116" s="59">
        <v>2</v>
      </c>
      <c r="AJ1116" s="59">
        <f t="shared" si="339"/>
        <v>0</v>
      </c>
      <c r="AK1116" s="59">
        <f t="shared" si="340"/>
        <v>1</v>
      </c>
      <c r="AL1116" s="59">
        <v>2367</v>
      </c>
      <c r="AM1116" s="59">
        <v>16530</v>
      </c>
      <c r="AN1116" s="59">
        <v>8</v>
      </c>
      <c r="AO1116" s="59">
        <v>0</v>
      </c>
      <c r="AP1116" s="59">
        <v>12</v>
      </c>
      <c r="AQ1116" s="59">
        <v>3</v>
      </c>
      <c r="AR1116" s="59">
        <v>4</v>
      </c>
      <c r="AS1116" s="59">
        <v>80</v>
      </c>
      <c r="AT1116" s="59">
        <v>1</v>
      </c>
      <c r="AU1116" s="59">
        <v>10</v>
      </c>
      <c r="AV1116" s="59">
        <v>3</v>
      </c>
      <c r="AW1116" s="59">
        <v>2</v>
      </c>
      <c r="AX1116" s="59">
        <v>8</v>
      </c>
      <c r="AY1116" s="59">
        <v>2</v>
      </c>
      <c r="AZ1116" s="59">
        <v>7</v>
      </c>
      <c r="BA1116" s="59">
        <v>6</v>
      </c>
      <c r="BB1116" s="57">
        <f t="shared" si="341"/>
        <v>2367</v>
      </c>
    </row>
    <row r="1117" spans="1:54" x14ac:dyDescent="0.25">
      <c r="A1117" s="58">
        <v>34</v>
      </c>
      <c r="B1117" s="59">
        <v>0</v>
      </c>
      <c r="C1117" s="59">
        <v>1</v>
      </c>
      <c r="D1117" s="59">
        <f t="shared" si="323"/>
        <v>1</v>
      </c>
      <c r="E1117" s="59">
        <f t="shared" si="324"/>
        <v>0</v>
      </c>
      <c r="F1117" s="59">
        <v>479</v>
      </c>
      <c r="G1117" s="59">
        <v>2</v>
      </c>
      <c r="H1117" s="59">
        <f t="shared" si="325"/>
        <v>0</v>
      </c>
      <c r="I1117" s="59">
        <f t="shared" si="326"/>
        <v>1</v>
      </c>
      <c r="J1117" s="59">
        <v>7</v>
      </c>
      <c r="K1117" s="59">
        <v>4</v>
      </c>
      <c r="L1117" s="59">
        <v>3</v>
      </c>
      <c r="M1117" s="59">
        <f t="shared" si="327"/>
        <v>0</v>
      </c>
      <c r="N1117" s="59">
        <f t="shared" si="328"/>
        <v>0</v>
      </c>
      <c r="O1117" s="59">
        <f t="shared" si="329"/>
        <v>1</v>
      </c>
      <c r="P1117" s="59">
        <f t="shared" si="330"/>
        <v>0</v>
      </c>
      <c r="Q1117" s="59">
        <f t="shared" si="331"/>
        <v>0</v>
      </c>
      <c r="R1117" s="59">
        <v>1</v>
      </c>
      <c r="S1117" s="59">
        <v>1577</v>
      </c>
      <c r="T1117" s="59">
        <v>1</v>
      </c>
      <c r="U1117" s="59">
        <v>1</v>
      </c>
      <c r="V1117" s="59">
        <v>35</v>
      </c>
      <c r="W1117" s="59">
        <v>3</v>
      </c>
      <c r="X1117" s="59">
        <v>1</v>
      </c>
      <c r="Y1117" s="59">
        <v>2</v>
      </c>
      <c r="Z1117" s="59">
        <f t="shared" si="332"/>
        <v>0</v>
      </c>
      <c r="AA1117" s="59">
        <f>IF('Updated Dummy'!Y1117=2,1,0)</f>
        <v>1</v>
      </c>
      <c r="AB1117" s="59">
        <f t="shared" si="333"/>
        <v>0</v>
      </c>
      <c r="AC1117" s="59">
        <f t="shared" si="334"/>
        <v>0</v>
      </c>
      <c r="AD1117" s="59">
        <f t="shared" si="335"/>
        <v>0</v>
      </c>
      <c r="AE1117" s="59">
        <f t="shared" si="336"/>
        <v>0</v>
      </c>
      <c r="AF1117" s="59">
        <f t="shared" si="337"/>
        <v>0</v>
      </c>
      <c r="AG1117" s="59">
        <f t="shared" si="338"/>
        <v>0</v>
      </c>
      <c r="AH1117" s="59">
        <v>4</v>
      </c>
      <c r="AI1117" s="59">
        <v>1</v>
      </c>
      <c r="AJ1117" s="59">
        <f t="shared" si="339"/>
        <v>1</v>
      </c>
      <c r="AK1117" s="59">
        <f t="shared" si="340"/>
        <v>0</v>
      </c>
      <c r="AL1117" s="59">
        <v>2972</v>
      </c>
      <c r="AM1117" s="59">
        <v>22061</v>
      </c>
      <c r="AN1117" s="59">
        <v>1</v>
      </c>
      <c r="AO1117" s="59">
        <v>0</v>
      </c>
      <c r="AP1117" s="59">
        <v>13</v>
      </c>
      <c r="AQ1117" s="59">
        <v>3</v>
      </c>
      <c r="AR1117" s="59">
        <v>3</v>
      </c>
      <c r="AS1117" s="59">
        <v>80</v>
      </c>
      <c r="AT1117" s="59">
        <v>0</v>
      </c>
      <c r="AU1117" s="59">
        <v>1</v>
      </c>
      <c r="AV1117" s="59">
        <v>4</v>
      </c>
      <c r="AW1117" s="59">
        <v>1</v>
      </c>
      <c r="AX1117" s="59">
        <v>1</v>
      </c>
      <c r="AY1117" s="59">
        <v>0</v>
      </c>
      <c r="AZ1117" s="59">
        <v>0</v>
      </c>
      <c r="BA1117" s="59">
        <v>0</v>
      </c>
      <c r="BB1117" s="57">
        <f t="shared" si="341"/>
        <v>2972</v>
      </c>
    </row>
    <row r="1118" spans="1:54" x14ac:dyDescent="0.25">
      <c r="A1118" s="58">
        <v>55</v>
      </c>
      <c r="B1118" s="59">
        <v>0</v>
      </c>
      <c r="C1118" s="59">
        <v>1</v>
      </c>
      <c r="D1118" s="59">
        <f t="shared" si="323"/>
        <v>1</v>
      </c>
      <c r="E1118" s="59">
        <f t="shared" si="324"/>
        <v>0</v>
      </c>
      <c r="F1118" s="59">
        <v>685</v>
      </c>
      <c r="G1118" s="59">
        <v>1</v>
      </c>
      <c r="H1118" s="59">
        <f t="shared" si="325"/>
        <v>1</v>
      </c>
      <c r="I1118" s="59">
        <f t="shared" si="326"/>
        <v>0</v>
      </c>
      <c r="J1118" s="59">
        <v>26</v>
      </c>
      <c r="K1118" s="59">
        <v>5</v>
      </c>
      <c r="L1118" s="59">
        <v>4</v>
      </c>
      <c r="M1118" s="59">
        <f t="shared" si="327"/>
        <v>0</v>
      </c>
      <c r="N1118" s="59">
        <f t="shared" si="328"/>
        <v>0</v>
      </c>
      <c r="O1118" s="59">
        <f t="shared" si="329"/>
        <v>0</v>
      </c>
      <c r="P1118" s="59">
        <f t="shared" si="330"/>
        <v>1</v>
      </c>
      <c r="Q1118" s="59">
        <f t="shared" si="331"/>
        <v>0</v>
      </c>
      <c r="R1118" s="59">
        <v>1</v>
      </c>
      <c r="S1118" s="59">
        <v>1578</v>
      </c>
      <c r="T1118" s="59">
        <v>3</v>
      </c>
      <c r="U1118" s="59">
        <v>1</v>
      </c>
      <c r="V1118" s="59">
        <v>60</v>
      </c>
      <c r="W1118" s="59">
        <v>2</v>
      </c>
      <c r="X1118" s="59">
        <v>5</v>
      </c>
      <c r="Y1118" s="59">
        <v>6</v>
      </c>
      <c r="Z1118" s="59">
        <f t="shared" si="332"/>
        <v>0</v>
      </c>
      <c r="AA1118" s="59">
        <f>IF('Updated Dummy'!Y1118=2,1,0)</f>
        <v>0</v>
      </c>
      <c r="AB1118" s="59">
        <f t="shared" si="333"/>
        <v>0</v>
      </c>
      <c r="AC1118" s="59">
        <f t="shared" si="334"/>
        <v>0</v>
      </c>
      <c r="AD1118" s="59">
        <f t="shared" si="335"/>
        <v>0</v>
      </c>
      <c r="AE1118" s="59">
        <f t="shared" si="336"/>
        <v>1</v>
      </c>
      <c r="AF1118" s="59">
        <f t="shared" si="337"/>
        <v>0</v>
      </c>
      <c r="AG1118" s="59">
        <f t="shared" si="338"/>
        <v>0</v>
      </c>
      <c r="AH1118" s="59">
        <v>4</v>
      </c>
      <c r="AI1118" s="59">
        <v>2</v>
      </c>
      <c r="AJ1118" s="59">
        <f t="shared" si="339"/>
        <v>0</v>
      </c>
      <c r="AK1118" s="59">
        <f t="shared" si="340"/>
        <v>1</v>
      </c>
      <c r="AL1118" s="59">
        <v>19586</v>
      </c>
      <c r="AM1118" s="59">
        <v>23037</v>
      </c>
      <c r="AN1118" s="59">
        <v>1</v>
      </c>
      <c r="AO1118" s="59">
        <v>0</v>
      </c>
      <c r="AP1118" s="59">
        <v>21</v>
      </c>
      <c r="AQ1118" s="59">
        <v>4</v>
      </c>
      <c r="AR1118" s="59">
        <v>3</v>
      </c>
      <c r="AS1118" s="59">
        <v>80</v>
      </c>
      <c r="AT1118" s="59">
        <v>1</v>
      </c>
      <c r="AU1118" s="59">
        <v>36</v>
      </c>
      <c r="AV1118" s="59">
        <v>3</v>
      </c>
      <c r="AW1118" s="59">
        <v>3</v>
      </c>
      <c r="AX1118" s="59">
        <v>36</v>
      </c>
      <c r="AY1118" s="59">
        <v>6</v>
      </c>
      <c r="AZ1118" s="59">
        <v>2</v>
      </c>
      <c r="BA1118" s="59">
        <v>13</v>
      </c>
      <c r="BB1118" s="57">
        <f t="shared" si="341"/>
        <v>97930</v>
      </c>
    </row>
    <row r="1119" spans="1:54" x14ac:dyDescent="0.25">
      <c r="A1119" s="58">
        <v>34</v>
      </c>
      <c r="B1119" s="59">
        <v>0</v>
      </c>
      <c r="C1119" s="59">
        <v>1</v>
      </c>
      <c r="D1119" s="59">
        <f t="shared" si="323"/>
        <v>1</v>
      </c>
      <c r="E1119" s="59">
        <f t="shared" si="324"/>
        <v>0</v>
      </c>
      <c r="F1119" s="59">
        <v>1351</v>
      </c>
      <c r="G1119" s="59">
        <v>2</v>
      </c>
      <c r="H1119" s="59">
        <f t="shared" si="325"/>
        <v>0</v>
      </c>
      <c r="I1119" s="59">
        <f t="shared" si="326"/>
        <v>1</v>
      </c>
      <c r="J1119" s="59">
        <v>1</v>
      </c>
      <c r="K1119" s="59">
        <v>4</v>
      </c>
      <c r="L1119" s="59">
        <v>1</v>
      </c>
      <c r="M1119" s="59">
        <f t="shared" si="327"/>
        <v>1</v>
      </c>
      <c r="N1119" s="59">
        <f t="shared" si="328"/>
        <v>0</v>
      </c>
      <c r="O1119" s="59">
        <f t="shared" si="329"/>
        <v>0</v>
      </c>
      <c r="P1119" s="59">
        <f t="shared" si="330"/>
        <v>0</v>
      </c>
      <c r="Q1119" s="59">
        <f t="shared" si="331"/>
        <v>0</v>
      </c>
      <c r="R1119" s="59">
        <v>1</v>
      </c>
      <c r="S1119" s="59">
        <v>1580</v>
      </c>
      <c r="T1119" s="59">
        <v>2</v>
      </c>
      <c r="U1119" s="59">
        <v>1</v>
      </c>
      <c r="V1119" s="59">
        <v>45</v>
      </c>
      <c r="W1119" s="59">
        <v>3</v>
      </c>
      <c r="X1119" s="59">
        <v>2</v>
      </c>
      <c r="Y1119" s="59">
        <v>2</v>
      </c>
      <c r="Z1119" s="59">
        <f t="shared" si="332"/>
        <v>0</v>
      </c>
      <c r="AA1119" s="59">
        <f>IF('Updated Dummy'!Y1119=2,1,0)</f>
        <v>1</v>
      </c>
      <c r="AB1119" s="59">
        <f t="shared" si="333"/>
        <v>0</v>
      </c>
      <c r="AC1119" s="59">
        <f t="shared" si="334"/>
        <v>0</v>
      </c>
      <c r="AD1119" s="59">
        <f t="shared" si="335"/>
        <v>0</v>
      </c>
      <c r="AE1119" s="59">
        <f t="shared" si="336"/>
        <v>0</v>
      </c>
      <c r="AF1119" s="59">
        <f t="shared" si="337"/>
        <v>0</v>
      </c>
      <c r="AG1119" s="59">
        <f t="shared" si="338"/>
        <v>0</v>
      </c>
      <c r="AH1119" s="59">
        <v>4</v>
      </c>
      <c r="AI1119" s="59">
        <v>2</v>
      </c>
      <c r="AJ1119" s="59">
        <f t="shared" si="339"/>
        <v>0</v>
      </c>
      <c r="AK1119" s="59">
        <f t="shared" si="340"/>
        <v>1</v>
      </c>
      <c r="AL1119" s="59">
        <v>5484</v>
      </c>
      <c r="AM1119" s="59">
        <v>13008</v>
      </c>
      <c r="AN1119" s="59">
        <v>9</v>
      </c>
      <c r="AO1119" s="59">
        <v>0</v>
      </c>
      <c r="AP1119" s="59">
        <v>17</v>
      </c>
      <c r="AQ1119" s="59">
        <v>3</v>
      </c>
      <c r="AR1119" s="59">
        <v>2</v>
      </c>
      <c r="AS1119" s="59">
        <v>80</v>
      </c>
      <c r="AT1119" s="59">
        <v>1</v>
      </c>
      <c r="AU1119" s="59">
        <v>9</v>
      </c>
      <c r="AV1119" s="59">
        <v>3</v>
      </c>
      <c r="AW1119" s="59">
        <v>2</v>
      </c>
      <c r="AX1119" s="59">
        <v>2</v>
      </c>
      <c r="AY1119" s="59">
        <v>2</v>
      </c>
      <c r="AZ1119" s="59">
        <v>2</v>
      </c>
      <c r="BA1119" s="59">
        <v>1</v>
      </c>
      <c r="BB1119" s="57">
        <f t="shared" si="341"/>
        <v>10968</v>
      </c>
    </row>
    <row r="1120" spans="1:54" x14ac:dyDescent="0.25">
      <c r="A1120" s="58">
        <v>26</v>
      </c>
      <c r="B1120" s="59">
        <v>0</v>
      </c>
      <c r="C1120" s="59">
        <v>1</v>
      </c>
      <c r="D1120" s="59">
        <f t="shared" si="323"/>
        <v>1</v>
      </c>
      <c r="E1120" s="59">
        <f t="shared" si="324"/>
        <v>0</v>
      </c>
      <c r="F1120" s="59">
        <v>474</v>
      </c>
      <c r="G1120" s="59">
        <v>2</v>
      </c>
      <c r="H1120" s="59">
        <f t="shared" si="325"/>
        <v>0</v>
      </c>
      <c r="I1120" s="59">
        <f t="shared" si="326"/>
        <v>1</v>
      </c>
      <c r="J1120" s="59">
        <v>3</v>
      </c>
      <c r="K1120" s="59">
        <v>3</v>
      </c>
      <c r="L1120" s="59">
        <v>1</v>
      </c>
      <c r="M1120" s="59">
        <f t="shared" si="327"/>
        <v>1</v>
      </c>
      <c r="N1120" s="59">
        <f t="shared" si="328"/>
        <v>0</v>
      </c>
      <c r="O1120" s="59">
        <f t="shared" si="329"/>
        <v>0</v>
      </c>
      <c r="P1120" s="59">
        <f t="shared" si="330"/>
        <v>0</v>
      </c>
      <c r="Q1120" s="59">
        <f t="shared" si="331"/>
        <v>0</v>
      </c>
      <c r="R1120" s="59">
        <v>1</v>
      </c>
      <c r="S1120" s="59">
        <v>1581</v>
      </c>
      <c r="T1120" s="59">
        <v>1</v>
      </c>
      <c r="U1120" s="59">
        <v>0</v>
      </c>
      <c r="V1120" s="59">
        <v>89</v>
      </c>
      <c r="W1120" s="59">
        <v>3</v>
      </c>
      <c r="X1120" s="59">
        <v>1</v>
      </c>
      <c r="Y1120" s="59">
        <v>2</v>
      </c>
      <c r="Z1120" s="59">
        <f t="shared" si="332"/>
        <v>0</v>
      </c>
      <c r="AA1120" s="59">
        <f>IF('Updated Dummy'!Y1120=2,1,0)</f>
        <v>1</v>
      </c>
      <c r="AB1120" s="59">
        <f t="shared" si="333"/>
        <v>0</v>
      </c>
      <c r="AC1120" s="59">
        <f t="shared" si="334"/>
        <v>0</v>
      </c>
      <c r="AD1120" s="59">
        <f t="shared" si="335"/>
        <v>0</v>
      </c>
      <c r="AE1120" s="59">
        <f t="shared" si="336"/>
        <v>0</v>
      </c>
      <c r="AF1120" s="59">
        <f t="shared" si="337"/>
        <v>0</v>
      </c>
      <c r="AG1120" s="59">
        <f t="shared" si="338"/>
        <v>0</v>
      </c>
      <c r="AH1120" s="59">
        <v>4</v>
      </c>
      <c r="AI1120" s="59">
        <v>2</v>
      </c>
      <c r="AJ1120" s="59">
        <f t="shared" si="339"/>
        <v>0</v>
      </c>
      <c r="AK1120" s="59">
        <f t="shared" si="340"/>
        <v>1</v>
      </c>
      <c r="AL1120" s="59">
        <v>2061</v>
      </c>
      <c r="AM1120" s="59">
        <v>11133</v>
      </c>
      <c r="AN1120" s="59">
        <v>1</v>
      </c>
      <c r="AO1120" s="59">
        <v>0</v>
      </c>
      <c r="AP1120" s="59">
        <v>21</v>
      </c>
      <c r="AQ1120" s="59">
        <v>4</v>
      </c>
      <c r="AR1120" s="59">
        <v>1</v>
      </c>
      <c r="AS1120" s="59">
        <v>80</v>
      </c>
      <c r="AT1120" s="59">
        <v>0</v>
      </c>
      <c r="AU1120" s="59">
        <v>1</v>
      </c>
      <c r="AV1120" s="59">
        <v>5</v>
      </c>
      <c r="AW1120" s="59">
        <v>3</v>
      </c>
      <c r="AX1120" s="59">
        <v>1</v>
      </c>
      <c r="AY1120" s="59">
        <v>0</v>
      </c>
      <c r="AZ1120" s="59">
        <v>0</v>
      </c>
      <c r="BA1120" s="59">
        <v>0</v>
      </c>
      <c r="BB1120" s="57">
        <f t="shared" si="341"/>
        <v>2061</v>
      </c>
    </row>
    <row r="1121" spans="1:54" x14ac:dyDescent="0.25">
      <c r="A1121" s="58">
        <v>38</v>
      </c>
      <c r="B1121" s="59">
        <v>0</v>
      </c>
      <c r="C1121" s="59">
        <v>1</v>
      </c>
      <c r="D1121" s="59">
        <f t="shared" si="323"/>
        <v>1</v>
      </c>
      <c r="E1121" s="59">
        <f t="shared" si="324"/>
        <v>0</v>
      </c>
      <c r="F1121" s="59">
        <v>1245</v>
      </c>
      <c r="G1121" s="59">
        <v>1</v>
      </c>
      <c r="H1121" s="59">
        <f t="shared" si="325"/>
        <v>1</v>
      </c>
      <c r="I1121" s="59">
        <f t="shared" si="326"/>
        <v>0</v>
      </c>
      <c r="J1121" s="59">
        <v>14</v>
      </c>
      <c r="K1121" s="59">
        <v>3</v>
      </c>
      <c r="L1121" s="59">
        <v>1</v>
      </c>
      <c r="M1121" s="59">
        <f t="shared" si="327"/>
        <v>1</v>
      </c>
      <c r="N1121" s="59">
        <f t="shared" si="328"/>
        <v>0</v>
      </c>
      <c r="O1121" s="59">
        <f t="shared" si="329"/>
        <v>0</v>
      </c>
      <c r="P1121" s="59">
        <f t="shared" si="330"/>
        <v>0</v>
      </c>
      <c r="Q1121" s="59">
        <f t="shared" si="331"/>
        <v>0</v>
      </c>
      <c r="R1121" s="59">
        <v>1</v>
      </c>
      <c r="S1121" s="59">
        <v>1582</v>
      </c>
      <c r="T1121" s="59">
        <v>3</v>
      </c>
      <c r="U1121" s="59">
        <v>1</v>
      </c>
      <c r="V1121" s="59">
        <v>80</v>
      </c>
      <c r="W1121" s="59">
        <v>3</v>
      </c>
      <c r="X1121" s="59">
        <v>2</v>
      </c>
      <c r="Y1121" s="59">
        <v>1</v>
      </c>
      <c r="Z1121" s="59">
        <f t="shared" si="332"/>
        <v>1</v>
      </c>
      <c r="AA1121" s="59">
        <f>IF('Updated Dummy'!Y1121=2,1,0)</f>
        <v>0</v>
      </c>
      <c r="AB1121" s="59">
        <f t="shared" si="333"/>
        <v>0</v>
      </c>
      <c r="AC1121" s="59">
        <f t="shared" si="334"/>
        <v>0</v>
      </c>
      <c r="AD1121" s="59">
        <f t="shared" si="335"/>
        <v>0</v>
      </c>
      <c r="AE1121" s="59">
        <f t="shared" si="336"/>
        <v>0</v>
      </c>
      <c r="AF1121" s="59">
        <f t="shared" si="337"/>
        <v>0</v>
      </c>
      <c r="AG1121" s="59">
        <f t="shared" si="338"/>
        <v>0</v>
      </c>
      <c r="AH1121" s="59">
        <v>2</v>
      </c>
      <c r="AI1121" s="59">
        <v>2</v>
      </c>
      <c r="AJ1121" s="59">
        <f t="shared" si="339"/>
        <v>0</v>
      </c>
      <c r="AK1121" s="59">
        <f t="shared" si="340"/>
        <v>1</v>
      </c>
      <c r="AL1121" s="59">
        <v>9924</v>
      </c>
      <c r="AM1121" s="59">
        <v>12355</v>
      </c>
      <c r="AN1121" s="59">
        <v>0</v>
      </c>
      <c r="AO1121" s="59">
        <v>0</v>
      </c>
      <c r="AP1121" s="59">
        <v>11</v>
      </c>
      <c r="AQ1121" s="59">
        <v>3</v>
      </c>
      <c r="AR1121" s="59">
        <v>4</v>
      </c>
      <c r="AS1121" s="59">
        <v>80</v>
      </c>
      <c r="AT1121" s="59">
        <v>1</v>
      </c>
      <c r="AU1121" s="59">
        <v>10</v>
      </c>
      <c r="AV1121" s="59">
        <v>3</v>
      </c>
      <c r="AW1121" s="59">
        <v>3</v>
      </c>
      <c r="AX1121" s="59">
        <v>9</v>
      </c>
      <c r="AY1121" s="59">
        <v>8</v>
      </c>
      <c r="AZ1121" s="59">
        <v>7</v>
      </c>
      <c r="BA1121" s="59">
        <v>7</v>
      </c>
      <c r="BB1121" s="57">
        <f t="shared" si="341"/>
        <v>19848</v>
      </c>
    </row>
    <row r="1122" spans="1:54" x14ac:dyDescent="0.25">
      <c r="A1122" s="58">
        <v>38</v>
      </c>
      <c r="B1122" s="59">
        <v>0</v>
      </c>
      <c r="C1122" s="59">
        <v>1</v>
      </c>
      <c r="D1122" s="59">
        <f t="shared" si="323"/>
        <v>1</v>
      </c>
      <c r="E1122" s="59">
        <f t="shared" si="324"/>
        <v>0</v>
      </c>
      <c r="F1122" s="59">
        <v>437</v>
      </c>
      <c r="G1122" s="59">
        <v>1</v>
      </c>
      <c r="H1122" s="59">
        <f t="shared" si="325"/>
        <v>1</v>
      </c>
      <c r="I1122" s="59">
        <f t="shared" si="326"/>
        <v>0</v>
      </c>
      <c r="J1122" s="59">
        <v>16</v>
      </c>
      <c r="K1122" s="59">
        <v>3</v>
      </c>
      <c r="L1122" s="59">
        <v>1</v>
      </c>
      <c r="M1122" s="59">
        <f t="shared" si="327"/>
        <v>1</v>
      </c>
      <c r="N1122" s="59">
        <f t="shared" si="328"/>
        <v>0</v>
      </c>
      <c r="O1122" s="59">
        <f t="shared" si="329"/>
        <v>0</v>
      </c>
      <c r="P1122" s="59">
        <f t="shared" si="330"/>
        <v>0</v>
      </c>
      <c r="Q1122" s="59">
        <f t="shared" si="331"/>
        <v>0</v>
      </c>
      <c r="R1122" s="59">
        <v>1</v>
      </c>
      <c r="S1122" s="59">
        <v>1583</v>
      </c>
      <c r="T1122" s="59">
        <v>2</v>
      </c>
      <c r="U1122" s="59">
        <v>0</v>
      </c>
      <c r="V1122" s="59">
        <v>90</v>
      </c>
      <c r="W1122" s="59">
        <v>3</v>
      </c>
      <c r="X1122" s="59">
        <v>2</v>
      </c>
      <c r="Y1122" s="59">
        <v>1</v>
      </c>
      <c r="Z1122" s="59">
        <f t="shared" si="332"/>
        <v>1</v>
      </c>
      <c r="AA1122" s="59">
        <f>IF('Updated Dummy'!Y1122=2,1,0)</f>
        <v>0</v>
      </c>
      <c r="AB1122" s="59">
        <f t="shared" si="333"/>
        <v>0</v>
      </c>
      <c r="AC1122" s="59">
        <f t="shared" si="334"/>
        <v>0</v>
      </c>
      <c r="AD1122" s="59">
        <f t="shared" si="335"/>
        <v>0</v>
      </c>
      <c r="AE1122" s="59">
        <f t="shared" si="336"/>
        <v>0</v>
      </c>
      <c r="AF1122" s="59">
        <f t="shared" si="337"/>
        <v>0</v>
      </c>
      <c r="AG1122" s="59">
        <f t="shared" si="338"/>
        <v>0</v>
      </c>
      <c r="AH1122" s="59">
        <v>2</v>
      </c>
      <c r="AI1122" s="59">
        <v>1</v>
      </c>
      <c r="AJ1122" s="59">
        <f t="shared" si="339"/>
        <v>1</v>
      </c>
      <c r="AK1122" s="59">
        <f t="shared" si="340"/>
        <v>0</v>
      </c>
      <c r="AL1122" s="59">
        <v>4198</v>
      </c>
      <c r="AM1122" s="59">
        <v>16379</v>
      </c>
      <c r="AN1122" s="59">
        <v>2</v>
      </c>
      <c r="AO1122" s="59">
        <v>0</v>
      </c>
      <c r="AP1122" s="59">
        <v>12</v>
      </c>
      <c r="AQ1122" s="59">
        <v>3</v>
      </c>
      <c r="AR1122" s="59">
        <v>2</v>
      </c>
      <c r="AS1122" s="59">
        <v>80</v>
      </c>
      <c r="AT1122" s="59">
        <v>0</v>
      </c>
      <c r="AU1122" s="59">
        <v>8</v>
      </c>
      <c r="AV1122" s="59">
        <v>5</v>
      </c>
      <c r="AW1122" s="59">
        <v>4</v>
      </c>
      <c r="AX1122" s="59">
        <v>3</v>
      </c>
      <c r="AY1122" s="59">
        <v>2</v>
      </c>
      <c r="AZ1122" s="59">
        <v>1</v>
      </c>
      <c r="BA1122" s="59">
        <v>2</v>
      </c>
      <c r="BB1122" s="57">
        <f t="shared" si="341"/>
        <v>8396</v>
      </c>
    </row>
    <row r="1123" spans="1:54" x14ac:dyDescent="0.25">
      <c r="A1123" s="58">
        <v>36</v>
      </c>
      <c r="B1123" s="59">
        <v>0</v>
      </c>
      <c r="C1123" s="59">
        <v>1</v>
      </c>
      <c r="D1123" s="59">
        <f t="shared" si="323"/>
        <v>1</v>
      </c>
      <c r="E1123" s="59">
        <f t="shared" si="324"/>
        <v>0</v>
      </c>
      <c r="F1123" s="59">
        <v>884</v>
      </c>
      <c r="G1123" s="59">
        <v>1</v>
      </c>
      <c r="H1123" s="59">
        <f t="shared" si="325"/>
        <v>1</v>
      </c>
      <c r="I1123" s="59">
        <f t="shared" si="326"/>
        <v>0</v>
      </c>
      <c r="J1123" s="59">
        <v>1</v>
      </c>
      <c r="K1123" s="59">
        <v>4</v>
      </c>
      <c r="L1123" s="59">
        <v>1</v>
      </c>
      <c r="M1123" s="59">
        <f t="shared" si="327"/>
        <v>1</v>
      </c>
      <c r="N1123" s="59">
        <f t="shared" si="328"/>
        <v>0</v>
      </c>
      <c r="O1123" s="59">
        <f t="shared" si="329"/>
        <v>0</v>
      </c>
      <c r="P1123" s="59">
        <f t="shared" si="330"/>
        <v>0</v>
      </c>
      <c r="Q1123" s="59">
        <f t="shared" si="331"/>
        <v>0</v>
      </c>
      <c r="R1123" s="59">
        <v>1</v>
      </c>
      <c r="S1123" s="59">
        <v>1585</v>
      </c>
      <c r="T1123" s="59">
        <v>2</v>
      </c>
      <c r="U1123" s="59">
        <v>0</v>
      </c>
      <c r="V1123" s="59">
        <v>73</v>
      </c>
      <c r="W1123" s="59">
        <v>3</v>
      </c>
      <c r="X1123" s="59">
        <v>2</v>
      </c>
      <c r="Y1123" s="59">
        <v>1</v>
      </c>
      <c r="Z1123" s="59">
        <f t="shared" si="332"/>
        <v>1</v>
      </c>
      <c r="AA1123" s="59">
        <f>IF('Updated Dummy'!Y1123=2,1,0)</f>
        <v>0</v>
      </c>
      <c r="AB1123" s="59">
        <f t="shared" si="333"/>
        <v>0</v>
      </c>
      <c r="AC1123" s="59">
        <f t="shared" si="334"/>
        <v>0</v>
      </c>
      <c r="AD1123" s="59">
        <f t="shared" si="335"/>
        <v>0</v>
      </c>
      <c r="AE1123" s="59">
        <f t="shared" si="336"/>
        <v>0</v>
      </c>
      <c r="AF1123" s="59">
        <f t="shared" si="337"/>
        <v>0</v>
      </c>
      <c r="AG1123" s="59">
        <f t="shared" si="338"/>
        <v>0</v>
      </c>
      <c r="AH1123" s="59">
        <v>3</v>
      </c>
      <c r="AI1123" s="59">
        <v>1</v>
      </c>
      <c r="AJ1123" s="59">
        <f t="shared" si="339"/>
        <v>1</v>
      </c>
      <c r="AK1123" s="59">
        <f t="shared" si="340"/>
        <v>0</v>
      </c>
      <c r="AL1123" s="59">
        <v>6815</v>
      </c>
      <c r="AM1123" s="59">
        <v>21447</v>
      </c>
      <c r="AN1123" s="59">
        <v>6</v>
      </c>
      <c r="AO1123" s="59">
        <v>0</v>
      </c>
      <c r="AP1123" s="59">
        <v>13</v>
      </c>
      <c r="AQ1123" s="59">
        <v>3</v>
      </c>
      <c r="AR1123" s="59">
        <v>1</v>
      </c>
      <c r="AS1123" s="59">
        <v>80</v>
      </c>
      <c r="AT1123" s="59">
        <v>0</v>
      </c>
      <c r="AU1123" s="59">
        <v>15</v>
      </c>
      <c r="AV1123" s="59">
        <v>5</v>
      </c>
      <c r="AW1123" s="59">
        <v>3</v>
      </c>
      <c r="AX1123" s="59">
        <v>1</v>
      </c>
      <c r="AY1123" s="59">
        <v>0</v>
      </c>
      <c r="AZ1123" s="59">
        <v>0</v>
      </c>
      <c r="BA1123" s="59">
        <v>0</v>
      </c>
      <c r="BB1123" s="57">
        <f t="shared" si="341"/>
        <v>13630</v>
      </c>
    </row>
    <row r="1124" spans="1:54" x14ac:dyDescent="0.25">
      <c r="A1124" s="58">
        <v>29</v>
      </c>
      <c r="B1124" s="59">
        <v>0</v>
      </c>
      <c r="C1124" s="59">
        <v>1</v>
      </c>
      <c r="D1124" s="59">
        <f t="shared" si="323"/>
        <v>1</v>
      </c>
      <c r="E1124" s="59">
        <f t="shared" si="324"/>
        <v>0</v>
      </c>
      <c r="F1124" s="59">
        <v>1370</v>
      </c>
      <c r="G1124" s="59">
        <v>2</v>
      </c>
      <c r="H1124" s="59">
        <f t="shared" si="325"/>
        <v>0</v>
      </c>
      <c r="I1124" s="59">
        <f t="shared" si="326"/>
        <v>1</v>
      </c>
      <c r="J1124" s="59">
        <v>3</v>
      </c>
      <c r="K1124" s="59">
        <v>1</v>
      </c>
      <c r="L1124" s="59">
        <v>3</v>
      </c>
      <c r="M1124" s="59">
        <f t="shared" si="327"/>
        <v>0</v>
      </c>
      <c r="N1124" s="59">
        <f t="shared" si="328"/>
        <v>0</v>
      </c>
      <c r="O1124" s="59">
        <f t="shared" si="329"/>
        <v>1</v>
      </c>
      <c r="P1124" s="59">
        <f t="shared" si="330"/>
        <v>0</v>
      </c>
      <c r="Q1124" s="59">
        <f t="shared" si="331"/>
        <v>0</v>
      </c>
      <c r="R1124" s="59">
        <v>1</v>
      </c>
      <c r="S1124" s="59">
        <v>1586</v>
      </c>
      <c r="T1124" s="59">
        <v>2</v>
      </c>
      <c r="U1124" s="59">
        <v>1</v>
      </c>
      <c r="V1124" s="59">
        <v>87</v>
      </c>
      <c r="W1124" s="59">
        <v>3</v>
      </c>
      <c r="X1124" s="59">
        <v>1</v>
      </c>
      <c r="Y1124" s="59">
        <v>3</v>
      </c>
      <c r="Z1124" s="59">
        <f t="shared" si="332"/>
        <v>0</v>
      </c>
      <c r="AA1124" s="59">
        <f>IF('Updated Dummy'!Y1124=2,1,0)</f>
        <v>0</v>
      </c>
      <c r="AB1124" s="59">
        <f t="shared" si="333"/>
        <v>1</v>
      </c>
      <c r="AC1124" s="59">
        <f t="shared" si="334"/>
        <v>0</v>
      </c>
      <c r="AD1124" s="59">
        <f t="shared" si="335"/>
        <v>0</v>
      </c>
      <c r="AE1124" s="59">
        <f t="shared" si="336"/>
        <v>0</v>
      </c>
      <c r="AF1124" s="59">
        <f t="shared" si="337"/>
        <v>0</v>
      </c>
      <c r="AG1124" s="59">
        <f t="shared" si="338"/>
        <v>0</v>
      </c>
      <c r="AH1124" s="59">
        <v>1</v>
      </c>
      <c r="AI1124" s="59">
        <v>1</v>
      </c>
      <c r="AJ1124" s="59">
        <f t="shared" si="339"/>
        <v>1</v>
      </c>
      <c r="AK1124" s="59">
        <f t="shared" si="340"/>
        <v>0</v>
      </c>
      <c r="AL1124" s="59">
        <v>4723</v>
      </c>
      <c r="AM1124" s="59">
        <v>16213</v>
      </c>
      <c r="AN1124" s="59">
        <v>1</v>
      </c>
      <c r="AO1124" s="59">
        <v>1</v>
      </c>
      <c r="AP1124" s="59">
        <v>18</v>
      </c>
      <c r="AQ1124" s="59">
        <v>3</v>
      </c>
      <c r="AR1124" s="59">
        <v>4</v>
      </c>
      <c r="AS1124" s="59">
        <v>80</v>
      </c>
      <c r="AT1124" s="59">
        <v>0</v>
      </c>
      <c r="AU1124" s="59">
        <v>10</v>
      </c>
      <c r="AV1124" s="59">
        <v>3</v>
      </c>
      <c r="AW1124" s="59">
        <v>3</v>
      </c>
      <c r="AX1124" s="59">
        <v>10</v>
      </c>
      <c r="AY1124" s="59">
        <v>9</v>
      </c>
      <c r="AZ1124" s="59">
        <v>1</v>
      </c>
      <c r="BA1124" s="59">
        <v>5</v>
      </c>
      <c r="BB1124" s="57">
        <f t="shared" si="341"/>
        <v>4723</v>
      </c>
    </row>
    <row r="1125" spans="1:54" x14ac:dyDescent="0.25">
      <c r="A1125" s="58">
        <v>35</v>
      </c>
      <c r="B1125" s="59">
        <v>0</v>
      </c>
      <c r="C1125" s="59">
        <v>1</v>
      </c>
      <c r="D1125" s="59">
        <f t="shared" si="323"/>
        <v>1</v>
      </c>
      <c r="E1125" s="59">
        <f t="shared" si="324"/>
        <v>0</v>
      </c>
      <c r="F1125" s="59">
        <v>670</v>
      </c>
      <c r="G1125" s="59">
        <v>2</v>
      </c>
      <c r="H1125" s="59">
        <f t="shared" si="325"/>
        <v>0</v>
      </c>
      <c r="I1125" s="59">
        <f t="shared" si="326"/>
        <v>1</v>
      </c>
      <c r="J1125" s="59">
        <v>10</v>
      </c>
      <c r="K1125" s="59">
        <v>4</v>
      </c>
      <c r="L1125" s="59">
        <v>3</v>
      </c>
      <c r="M1125" s="59">
        <f t="shared" si="327"/>
        <v>0</v>
      </c>
      <c r="N1125" s="59">
        <f t="shared" si="328"/>
        <v>0</v>
      </c>
      <c r="O1125" s="59">
        <f t="shared" si="329"/>
        <v>1</v>
      </c>
      <c r="P1125" s="59">
        <f t="shared" si="330"/>
        <v>0</v>
      </c>
      <c r="Q1125" s="59">
        <f t="shared" si="331"/>
        <v>0</v>
      </c>
      <c r="R1125" s="59">
        <v>1</v>
      </c>
      <c r="S1125" s="59">
        <v>1587</v>
      </c>
      <c r="T1125" s="59">
        <v>1</v>
      </c>
      <c r="U1125" s="59">
        <v>0</v>
      </c>
      <c r="V1125" s="59">
        <v>51</v>
      </c>
      <c r="W1125" s="59">
        <v>3</v>
      </c>
      <c r="X1125" s="59">
        <v>2</v>
      </c>
      <c r="Y1125" s="59">
        <v>5</v>
      </c>
      <c r="Z1125" s="59">
        <f t="shared" si="332"/>
        <v>0</v>
      </c>
      <c r="AA1125" s="59">
        <f>IF('Updated Dummy'!Y1125=2,1,0)</f>
        <v>0</v>
      </c>
      <c r="AB1125" s="59">
        <f t="shared" si="333"/>
        <v>0</v>
      </c>
      <c r="AC1125" s="59">
        <f t="shared" si="334"/>
        <v>0</v>
      </c>
      <c r="AD1125" s="59">
        <f t="shared" si="335"/>
        <v>1</v>
      </c>
      <c r="AE1125" s="59">
        <f t="shared" si="336"/>
        <v>0</v>
      </c>
      <c r="AF1125" s="59">
        <f t="shared" si="337"/>
        <v>0</v>
      </c>
      <c r="AG1125" s="59">
        <f t="shared" si="338"/>
        <v>0</v>
      </c>
      <c r="AH1125" s="59">
        <v>3</v>
      </c>
      <c r="AI1125" s="59">
        <v>1</v>
      </c>
      <c r="AJ1125" s="59">
        <f t="shared" si="339"/>
        <v>1</v>
      </c>
      <c r="AK1125" s="59">
        <f t="shared" si="340"/>
        <v>0</v>
      </c>
      <c r="AL1125" s="59">
        <v>6142</v>
      </c>
      <c r="AM1125" s="59">
        <v>4223</v>
      </c>
      <c r="AN1125" s="59">
        <v>3</v>
      </c>
      <c r="AO1125" s="59">
        <v>1</v>
      </c>
      <c r="AP1125" s="59">
        <v>16</v>
      </c>
      <c r="AQ1125" s="59">
        <v>3</v>
      </c>
      <c r="AR1125" s="59">
        <v>3</v>
      </c>
      <c r="AS1125" s="59">
        <v>80</v>
      </c>
      <c r="AT1125" s="59">
        <v>0</v>
      </c>
      <c r="AU1125" s="59">
        <v>10</v>
      </c>
      <c r="AV1125" s="59">
        <v>4</v>
      </c>
      <c r="AW1125" s="59">
        <v>3</v>
      </c>
      <c r="AX1125" s="59">
        <v>5</v>
      </c>
      <c r="AY1125" s="59">
        <v>2</v>
      </c>
      <c r="AZ1125" s="59">
        <v>0</v>
      </c>
      <c r="BA1125" s="59">
        <v>4</v>
      </c>
      <c r="BB1125" s="57">
        <f t="shared" si="341"/>
        <v>12284</v>
      </c>
    </row>
    <row r="1126" spans="1:54" x14ac:dyDescent="0.25">
      <c r="A1126" s="58">
        <v>39</v>
      </c>
      <c r="B1126" s="59">
        <v>0</v>
      </c>
      <c r="C1126" s="59">
        <v>1</v>
      </c>
      <c r="D1126" s="59">
        <f t="shared" si="323"/>
        <v>1</v>
      </c>
      <c r="E1126" s="59">
        <f t="shared" si="324"/>
        <v>0</v>
      </c>
      <c r="F1126" s="59">
        <v>1462</v>
      </c>
      <c r="G1126" s="59">
        <v>1</v>
      </c>
      <c r="H1126" s="59">
        <f t="shared" si="325"/>
        <v>1</v>
      </c>
      <c r="I1126" s="59">
        <f t="shared" si="326"/>
        <v>0</v>
      </c>
      <c r="J1126" s="59">
        <v>6</v>
      </c>
      <c r="K1126" s="59">
        <v>3</v>
      </c>
      <c r="L1126" s="59">
        <v>3</v>
      </c>
      <c r="M1126" s="59">
        <f t="shared" si="327"/>
        <v>0</v>
      </c>
      <c r="N1126" s="59">
        <f t="shared" si="328"/>
        <v>0</v>
      </c>
      <c r="O1126" s="59">
        <f t="shared" si="329"/>
        <v>1</v>
      </c>
      <c r="P1126" s="59">
        <f t="shared" si="330"/>
        <v>0</v>
      </c>
      <c r="Q1126" s="59">
        <f t="shared" si="331"/>
        <v>0</v>
      </c>
      <c r="R1126" s="59">
        <v>1</v>
      </c>
      <c r="S1126" s="59">
        <v>1588</v>
      </c>
      <c r="T1126" s="59">
        <v>4</v>
      </c>
      <c r="U1126" s="59">
        <v>1</v>
      </c>
      <c r="V1126" s="59">
        <v>38</v>
      </c>
      <c r="W1126" s="59">
        <v>4</v>
      </c>
      <c r="X1126" s="59">
        <v>3</v>
      </c>
      <c r="Y1126" s="59">
        <v>1</v>
      </c>
      <c r="Z1126" s="59">
        <f t="shared" si="332"/>
        <v>1</v>
      </c>
      <c r="AA1126" s="59">
        <f>IF('Updated Dummy'!Y1126=2,1,0)</f>
        <v>0</v>
      </c>
      <c r="AB1126" s="59">
        <f t="shared" si="333"/>
        <v>0</v>
      </c>
      <c r="AC1126" s="59">
        <f t="shared" si="334"/>
        <v>0</v>
      </c>
      <c r="AD1126" s="59">
        <f t="shared" si="335"/>
        <v>0</v>
      </c>
      <c r="AE1126" s="59">
        <f t="shared" si="336"/>
        <v>0</v>
      </c>
      <c r="AF1126" s="59">
        <f t="shared" si="337"/>
        <v>0</v>
      </c>
      <c r="AG1126" s="59">
        <f t="shared" si="338"/>
        <v>0</v>
      </c>
      <c r="AH1126" s="59">
        <v>3</v>
      </c>
      <c r="AI1126" s="59">
        <v>2</v>
      </c>
      <c r="AJ1126" s="59">
        <f t="shared" si="339"/>
        <v>0</v>
      </c>
      <c r="AK1126" s="59">
        <f t="shared" si="340"/>
        <v>1</v>
      </c>
      <c r="AL1126" s="59">
        <v>8237</v>
      </c>
      <c r="AM1126" s="59">
        <v>4658</v>
      </c>
      <c r="AN1126" s="59">
        <v>2</v>
      </c>
      <c r="AO1126" s="59">
        <v>0</v>
      </c>
      <c r="AP1126" s="59">
        <v>11</v>
      </c>
      <c r="AQ1126" s="59">
        <v>3</v>
      </c>
      <c r="AR1126" s="59">
        <v>1</v>
      </c>
      <c r="AS1126" s="59">
        <v>80</v>
      </c>
      <c r="AT1126" s="59">
        <v>1</v>
      </c>
      <c r="AU1126" s="59">
        <v>11</v>
      </c>
      <c r="AV1126" s="59">
        <v>3</v>
      </c>
      <c r="AW1126" s="59">
        <v>3</v>
      </c>
      <c r="AX1126" s="59">
        <v>7</v>
      </c>
      <c r="AY1126" s="59">
        <v>6</v>
      </c>
      <c r="AZ1126" s="59">
        <v>7</v>
      </c>
      <c r="BA1126" s="59">
        <v>6</v>
      </c>
      <c r="BB1126" s="57">
        <f t="shared" si="341"/>
        <v>24711</v>
      </c>
    </row>
    <row r="1127" spans="1:54" x14ac:dyDescent="0.25">
      <c r="A1127" s="58">
        <v>29</v>
      </c>
      <c r="B1127" s="59">
        <v>0</v>
      </c>
      <c r="C1127" s="59">
        <v>2</v>
      </c>
      <c r="D1127" s="59">
        <f t="shared" si="323"/>
        <v>0</v>
      </c>
      <c r="E1127" s="59">
        <f t="shared" si="324"/>
        <v>1</v>
      </c>
      <c r="F1127" s="59">
        <v>995</v>
      </c>
      <c r="G1127" s="59">
        <v>2</v>
      </c>
      <c r="H1127" s="59">
        <f t="shared" si="325"/>
        <v>0</v>
      </c>
      <c r="I1127" s="59">
        <f t="shared" si="326"/>
        <v>1</v>
      </c>
      <c r="J1127" s="59">
        <v>2</v>
      </c>
      <c r="K1127" s="59">
        <v>1</v>
      </c>
      <c r="L1127" s="59">
        <v>1</v>
      </c>
      <c r="M1127" s="59">
        <f t="shared" si="327"/>
        <v>1</v>
      </c>
      <c r="N1127" s="59">
        <f t="shared" si="328"/>
        <v>0</v>
      </c>
      <c r="O1127" s="59">
        <f t="shared" si="329"/>
        <v>0</v>
      </c>
      <c r="P1127" s="59">
        <f t="shared" si="330"/>
        <v>0</v>
      </c>
      <c r="Q1127" s="59">
        <f t="shared" si="331"/>
        <v>0</v>
      </c>
      <c r="R1127" s="59">
        <v>1</v>
      </c>
      <c r="S1127" s="59">
        <v>1590</v>
      </c>
      <c r="T1127" s="59">
        <v>1</v>
      </c>
      <c r="U1127" s="59">
        <v>1</v>
      </c>
      <c r="V1127" s="59">
        <v>87</v>
      </c>
      <c r="W1127" s="59">
        <v>3</v>
      </c>
      <c r="X1127" s="59">
        <v>2</v>
      </c>
      <c r="Y1127" s="59">
        <v>5</v>
      </c>
      <c r="Z1127" s="59">
        <f t="shared" si="332"/>
        <v>0</v>
      </c>
      <c r="AA1127" s="59">
        <f>IF('Updated Dummy'!Y1127=2,1,0)</f>
        <v>0</v>
      </c>
      <c r="AB1127" s="59">
        <f t="shared" si="333"/>
        <v>0</v>
      </c>
      <c r="AC1127" s="59">
        <f t="shared" si="334"/>
        <v>0</v>
      </c>
      <c r="AD1127" s="59">
        <f t="shared" si="335"/>
        <v>1</v>
      </c>
      <c r="AE1127" s="59">
        <f t="shared" si="336"/>
        <v>0</v>
      </c>
      <c r="AF1127" s="59">
        <f t="shared" si="337"/>
        <v>0</v>
      </c>
      <c r="AG1127" s="59">
        <f t="shared" si="338"/>
        <v>0</v>
      </c>
      <c r="AH1127" s="59">
        <v>4</v>
      </c>
      <c r="AI1127" s="59">
        <v>3</v>
      </c>
      <c r="AJ1127" s="59">
        <f t="shared" si="339"/>
        <v>0</v>
      </c>
      <c r="AK1127" s="59">
        <f t="shared" si="340"/>
        <v>0</v>
      </c>
      <c r="AL1127" s="59">
        <v>8853</v>
      </c>
      <c r="AM1127" s="59">
        <v>24483</v>
      </c>
      <c r="AN1127" s="59">
        <v>1</v>
      </c>
      <c r="AO1127" s="59">
        <v>0</v>
      </c>
      <c r="AP1127" s="59">
        <v>19</v>
      </c>
      <c r="AQ1127" s="59">
        <v>3</v>
      </c>
      <c r="AR1127" s="59">
        <v>4</v>
      </c>
      <c r="AS1127" s="59">
        <v>80</v>
      </c>
      <c r="AT1127" s="59">
        <v>1</v>
      </c>
      <c r="AU1127" s="59">
        <v>6</v>
      </c>
      <c r="AV1127" s="59">
        <v>0</v>
      </c>
      <c r="AW1127" s="59">
        <v>4</v>
      </c>
      <c r="AX1127" s="59">
        <v>6</v>
      </c>
      <c r="AY1127" s="59">
        <v>4</v>
      </c>
      <c r="AZ1127" s="59">
        <v>1</v>
      </c>
      <c r="BA1127" s="59">
        <v>3</v>
      </c>
      <c r="BB1127" s="57">
        <f t="shared" si="341"/>
        <v>17706</v>
      </c>
    </row>
    <row r="1128" spans="1:54" x14ac:dyDescent="0.25">
      <c r="A1128" s="58">
        <v>50</v>
      </c>
      <c r="B1128" s="59">
        <v>0</v>
      </c>
      <c r="C1128" s="59">
        <v>1</v>
      </c>
      <c r="D1128" s="59">
        <f t="shared" si="323"/>
        <v>1</v>
      </c>
      <c r="E1128" s="59">
        <f t="shared" si="324"/>
        <v>0</v>
      </c>
      <c r="F1128" s="59">
        <v>264</v>
      </c>
      <c r="G1128" s="59">
        <v>1</v>
      </c>
      <c r="H1128" s="59">
        <f t="shared" si="325"/>
        <v>1</v>
      </c>
      <c r="I1128" s="59">
        <f t="shared" si="326"/>
        <v>0</v>
      </c>
      <c r="J1128" s="59">
        <v>9</v>
      </c>
      <c r="K1128" s="59">
        <v>3</v>
      </c>
      <c r="L1128" s="59">
        <v>4</v>
      </c>
      <c r="M1128" s="59">
        <f t="shared" si="327"/>
        <v>0</v>
      </c>
      <c r="N1128" s="59">
        <f t="shared" si="328"/>
        <v>0</v>
      </c>
      <c r="O1128" s="59">
        <f t="shared" si="329"/>
        <v>0</v>
      </c>
      <c r="P1128" s="59">
        <f t="shared" si="330"/>
        <v>1</v>
      </c>
      <c r="Q1128" s="59">
        <f t="shared" si="331"/>
        <v>0</v>
      </c>
      <c r="R1128" s="59">
        <v>1</v>
      </c>
      <c r="S1128" s="59">
        <v>1591</v>
      </c>
      <c r="T1128" s="59">
        <v>3</v>
      </c>
      <c r="U1128" s="59">
        <v>1</v>
      </c>
      <c r="V1128" s="59">
        <v>59</v>
      </c>
      <c r="W1128" s="59">
        <v>3</v>
      </c>
      <c r="X1128" s="59">
        <v>5</v>
      </c>
      <c r="Y1128" s="59">
        <v>6</v>
      </c>
      <c r="Z1128" s="59">
        <f t="shared" si="332"/>
        <v>0</v>
      </c>
      <c r="AA1128" s="59">
        <f>IF('Updated Dummy'!Y1128=2,1,0)</f>
        <v>0</v>
      </c>
      <c r="AB1128" s="59">
        <f t="shared" si="333"/>
        <v>0</v>
      </c>
      <c r="AC1128" s="59">
        <f t="shared" si="334"/>
        <v>0</v>
      </c>
      <c r="AD1128" s="59">
        <f t="shared" si="335"/>
        <v>0</v>
      </c>
      <c r="AE1128" s="59">
        <f t="shared" si="336"/>
        <v>1</v>
      </c>
      <c r="AF1128" s="59">
        <f t="shared" si="337"/>
        <v>0</v>
      </c>
      <c r="AG1128" s="59">
        <f t="shared" si="338"/>
        <v>0</v>
      </c>
      <c r="AH1128" s="59">
        <v>3</v>
      </c>
      <c r="AI1128" s="59">
        <v>2</v>
      </c>
      <c r="AJ1128" s="59">
        <f t="shared" si="339"/>
        <v>0</v>
      </c>
      <c r="AK1128" s="59">
        <f t="shared" si="340"/>
        <v>1</v>
      </c>
      <c r="AL1128" s="59">
        <v>19331</v>
      </c>
      <c r="AM1128" s="59">
        <v>19519</v>
      </c>
      <c r="AN1128" s="59">
        <v>4</v>
      </c>
      <c r="AO1128" s="59">
        <v>1</v>
      </c>
      <c r="AP1128" s="59">
        <v>16</v>
      </c>
      <c r="AQ1128" s="59">
        <v>3</v>
      </c>
      <c r="AR1128" s="59">
        <v>3</v>
      </c>
      <c r="AS1128" s="59">
        <v>80</v>
      </c>
      <c r="AT1128" s="59">
        <v>1</v>
      </c>
      <c r="AU1128" s="59">
        <v>27</v>
      </c>
      <c r="AV1128" s="59">
        <v>2</v>
      </c>
      <c r="AW1128" s="59">
        <v>3</v>
      </c>
      <c r="AX1128" s="59">
        <v>1</v>
      </c>
      <c r="AY1128" s="59">
        <v>0</v>
      </c>
      <c r="AZ1128" s="59">
        <v>0</v>
      </c>
      <c r="BA1128" s="59">
        <v>0</v>
      </c>
      <c r="BB1128" s="57">
        <f t="shared" si="341"/>
        <v>96655</v>
      </c>
    </row>
    <row r="1129" spans="1:54" x14ac:dyDescent="0.25">
      <c r="A1129" s="58">
        <v>23</v>
      </c>
      <c r="B1129" s="59">
        <v>0</v>
      </c>
      <c r="C1129" s="59">
        <v>1</v>
      </c>
      <c r="D1129" s="59">
        <f t="shared" si="323"/>
        <v>1</v>
      </c>
      <c r="E1129" s="59">
        <f t="shared" si="324"/>
        <v>0</v>
      </c>
      <c r="F1129" s="59">
        <v>977</v>
      </c>
      <c r="G1129" s="59">
        <v>2</v>
      </c>
      <c r="H1129" s="59">
        <f t="shared" si="325"/>
        <v>0</v>
      </c>
      <c r="I1129" s="59">
        <f t="shared" si="326"/>
        <v>1</v>
      </c>
      <c r="J1129" s="59">
        <v>10</v>
      </c>
      <c r="K1129" s="59">
        <v>3</v>
      </c>
      <c r="L1129" s="59">
        <v>5</v>
      </c>
      <c r="M1129" s="59">
        <f t="shared" si="327"/>
        <v>0</v>
      </c>
      <c r="N1129" s="59">
        <f t="shared" si="328"/>
        <v>0</v>
      </c>
      <c r="O1129" s="59">
        <f t="shared" si="329"/>
        <v>0</v>
      </c>
      <c r="P1129" s="59">
        <f t="shared" si="330"/>
        <v>0</v>
      </c>
      <c r="Q1129" s="59">
        <f t="shared" si="331"/>
        <v>1</v>
      </c>
      <c r="R1129" s="59">
        <v>1</v>
      </c>
      <c r="S1129" s="59">
        <v>1592</v>
      </c>
      <c r="T1129" s="59">
        <v>4</v>
      </c>
      <c r="U1129" s="59">
        <v>1</v>
      </c>
      <c r="V1129" s="59">
        <v>45</v>
      </c>
      <c r="W1129" s="59">
        <v>4</v>
      </c>
      <c r="X1129" s="59">
        <v>1</v>
      </c>
      <c r="Y1129" s="59">
        <v>2</v>
      </c>
      <c r="Z1129" s="59">
        <f t="shared" si="332"/>
        <v>0</v>
      </c>
      <c r="AA1129" s="59">
        <f>IF('Updated Dummy'!Y1129=2,1,0)</f>
        <v>1</v>
      </c>
      <c r="AB1129" s="59">
        <f t="shared" si="333"/>
        <v>0</v>
      </c>
      <c r="AC1129" s="59">
        <f t="shared" si="334"/>
        <v>0</v>
      </c>
      <c r="AD1129" s="59">
        <f t="shared" si="335"/>
        <v>0</v>
      </c>
      <c r="AE1129" s="59">
        <f t="shared" si="336"/>
        <v>0</v>
      </c>
      <c r="AF1129" s="59">
        <f t="shared" si="337"/>
        <v>0</v>
      </c>
      <c r="AG1129" s="59">
        <f t="shared" si="338"/>
        <v>0</v>
      </c>
      <c r="AH1129" s="59">
        <v>3</v>
      </c>
      <c r="AI1129" s="59">
        <v>2</v>
      </c>
      <c r="AJ1129" s="59">
        <f t="shared" si="339"/>
        <v>0</v>
      </c>
      <c r="AK1129" s="59">
        <f t="shared" si="340"/>
        <v>1</v>
      </c>
      <c r="AL1129" s="59">
        <v>2073</v>
      </c>
      <c r="AM1129" s="59">
        <v>12826</v>
      </c>
      <c r="AN1129" s="59">
        <v>2</v>
      </c>
      <c r="AO1129" s="59">
        <v>0</v>
      </c>
      <c r="AP1129" s="59">
        <v>16</v>
      </c>
      <c r="AQ1129" s="59">
        <v>3</v>
      </c>
      <c r="AR1129" s="59">
        <v>4</v>
      </c>
      <c r="AS1129" s="59">
        <v>80</v>
      </c>
      <c r="AT1129" s="59">
        <v>1</v>
      </c>
      <c r="AU1129" s="59">
        <v>4</v>
      </c>
      <c r="AV1129" s="59">
        <v>2</v>
      </c>
      <c r="AW1129" s="59">
        <v>3</v>
      </c>
      <c r="AX1129" s="59">
        <v>2</v>
      </c>
      <c r="AY1129" s="59">
        <v>2</v>
      </c>
      <c r="AZ1129" s="59">
        <v>2</v>
      </c>
      <c r="BA1129" s="59">
        <v>2</v>
      </c>
      <c r="BB1129" s="57">
        <f t="shared" si="341"/>
        <v>2073</v>
      </c>
    </row>
    <row r="1130" spans="1:54" x14ac:dyDescent="0.25">
      <c r="A1130" s="58">
        <v>36</v>
      </c>
      <c r="B1130" s="59">
        <v>0</v>
      </c>
      <c r="C1130" s="59">
        <v>2</v>
      </c>
      <c r="D1130" s="59">
        <f t="shared" si="323"/>
        <v>0</v>
      </c>
      <c r="E1130" s="59">
        <f t="shared" si="324"/>
        <v>1</v>
      </c>
      <c r="F1130" s="59">
        <v>1302</v>
      </c>
      <c r="G1130" s="59">
        <v>2</v>
      </c>
      <c r="H1130" s="59">
        <f t="shared" si="325"/>
        <v>0</v>
      </c>
      <c r="I1130" s="59">
        <f t="shared" si="326"/>
        <v>1</v>
      </c>
      <c r="J1130" s="59">
        <v>6</v>
      </c>
      <c r="K1130" s="59">
        <v>4</v>
      </c>
      <c r="L1130" s="59">
        <v>1</v>
      </c>
      <c r="M1130" s="59">
        <f t="shared" si="327"/>
        <v>1</v>
      </c>
      <c r="N1130" s="59">
        <f t="shared" si="328"/>
        <v>0</v>
      </c>
      <c r="O1130" s="59">
        <f t="shared" si="329"/>
        <v>0</v>
      </c>
      <c r="P1130" s="59">
        <f t="shared" si="330"/>
        <v>0</v>
      </c>
      <c r="Q1130" s="59">
        <f t="shared" si="331"/>
        <v>0</v>
      </c>
      <c r="R1130" s="59">
        <v>1</v>
      </c>
      <c r="S1130" s="59">
        <v>1594</v>
      </c>
      <c r="T1130" s="59">
        <v>1</v>
      </c>
      <c r="U1130" s="59">
        <v>1</v>
      </c>
      <c r="V1130" s="59">
        <v>80</v>
      </c>
      <c r="W1130" s="59">
        <v>4</v>
      </c>
      <c r="X1130" s="59">
        <v>2</v>
      </c>
      <c r="Y1130" s="59">
        <v>3</v>
      </c>
      <c r="Z1130" s="59">
        <f t="shared" si="332"/>
        <v>0</v>
      </c>
      <c r="AA1130" s="59">
        <f>IF('Updated Dummy'!Y1130=2,1,0)</f>
        <v>0</v>
      </c>
      <c r="AB1130" s="59">
        <f t="shared" si="333"/>
        <v>1</v>
      </c>
      <c r="AC1130" s="59">
        <f t="shared" si="334"/>
        <v>0</v>
      </c>
      <c r="AD1130" s="59">
        <f t="shared" si="335"/>
        <v>0</v>
      </c>
      <c r="AE1130" s="59">
        <f t="shared" si="336"/>
        <v>0</v>
      </c>
      <c r="AF1130" s="59">
        <f t="shared" si="337"/>
        <v>0</v>
      </c>
      <c r="AG1130" s="59">
        <f t="shared" si="338"/>
        <v>0</v>
      </c>
      <c r="AH1130" s="59">
        <v>1</v>
      </c>
      <c r="AI1130" s="59">
        <v>2</v>
      </c>
      <c r="AJ1130" s="59">
        <f t="shared" si="339"/>
        <v>0</v>
      </c>
      <c r="AK1130" s="59">
        <f t="shared" si="340"/>
        <v>1</v>
      </c>
      <c r="AL1130" s="59">
        <v>5562</v>
      </c>
      <c r="AM1130" s="59">
        <v>19711</v>
      </c>
      <c r="AN1130" s="59">
        <v>3</v>
      </c>
      <c r="AO1130" s="59">
        <v>1</v>
      </c>
      <c r="AP1130" s="59">
        <v>13</v>
      </c>
      <c r="AQ1130" s="59">
        <v>3</v>
      </c>
      <c r="AR1130" s="59">
        <v>4</v>
      </c>
      <c r="AS1130" s="59">
        <v>80</v>
      </c>
      <c r="AT1130" s="59">
        <v>1</v>
      </c>
      <c r="AU1130" s="59">
        <v>9</v>
      </c>
      <c r="AV1130" s="59">
        <v>3</v>
      </c>
      <c r="AW1130" s="59">
        <v>3</v>
      </c>
      <c r="AX1130" s="59">
        <v>3</v>
      </c>
      <c r="AY1130" s="59">
        <v>2</v>
      </c>
      <c r="AZ1130" s="59">
        <v>0</v>
      </c>
      <c r="BA1130" s="59">
        <v>2</v>
      </c>
      <c r="BB1130" s="57">
        <f t="shared" si="341"/>
        <v>11124</v>
      </c>
    </row>
    <row r="1131" spans="1:54" x14ac:dyDescent="0.25">
      <c r="A1131" s="58">
        <v>42</v>
      </c>
      <c r="B1131" s="59">
        <v>0</v>
      </c>
      <c r="C1131" s="59">
        <v>1</v>
      </c>
      <c r="D1131" s="59">
        <f t="shared" si="323"/>
        <v>1</v>
      </c>
      <c r="E1131" s="59">
        <f t="shared" si="324"/>
        <v>0</v>
      </c>
      <c r="F1131" s="59">
        <v>1059</v>
      </c>
      <c r="G1131" s="59">
        <v>2</v>
      </c>
      <c r="H1131" s="59">
        <f t="shared" si="325"/>
        <v>0</v>
      </c>
      <c r="I1131" s="59">
        <f t="shared" si="326"/>
        <v>1</v>
      </c>
      <c r="J1131" s="59">
        <v>9</v>
      </c>
      <c r="K1131" s="59">
        <v>2</v>
      </c>
      <c r="L1131" s="59">
        <v>6</v>
      </c>
      <c r="M1131" s="59">
        <f t="shared" si="327"/>
        <v>0</v>
      </c>
      <c r="N1131" s="59">
        <f t="shared" si="328"/>
        <v>0</v>
      </c>
      <c r="O1131" s="59">
        <f t="shared" si="329"/>
        <v>0</v>
      </c>
      <c r="P1131" s="59">
        <f t="shared" si="330"/>
        <v>0</v>
      </c>
      <c r="Q1131" s="59">
        <f t="shared" si="331"/>
        <v>0</v>
      </c>
      <c r="R1131" s="59">
        <v>1</v>
      </c>
      <c r="S1131" s="59">
        <v>1595</v>
      </c>
      <c r="T1131" s="59">
        <v>4</v>
      </c>
      <c r="U1131" s="59">
        <v>1</v>
      </c>
      <c r="V1131" s="59">
        <v>93</v>
      </c>
      <c r="W1131" s="59">
        <v>2</v>
      </c>
      <c r="X1131" s="59">
        <v>5</v>
      </c>
      <c r="Y1131" s="59">
        <v>6</v>
      </c>
      <c r="Z1131" s="59">
        <f t="shared" si="332"/>
        <v>0</v>
      </c>
      <c r="AA1131" s="59">
        <f>IF('Updated Dummy'!Y1131=2,1,0)</f>
        <v>0</v>
      </c>
      <c r="AB1131" s="59">
        <f t="shared" si="333"/>
        <v>0</v>
      </c>
      <c r="AC1131" s="59">
        <f t="shared" si="334"/>
        <v>0</v>
      </c>
      <c r="AD1131" s="59">
        <f t="shared" si="335"/>
        <v>0</v>
      </c>
      <c r="AE1131" s="59">
        <f t="shared" si="336"/>
        <v>1</v>
      </c>
      <c r="AF1131" s="59">
        <f t="shared" si="337"/>
        <v>0</v>
      </c>
      <c r="AG1131" s="59">
        <f t="shared" si="338"/>
        <v>0</v>
      </c>
      <c r="AH1131" s="59">
        <v>4</v>
      </c>
      <c r="AI1131" s="59">
        <v>1</v>
      </c>
      <c r="AJ1131" s="59">
        <f t="shared" si="339"/>
        <v>1</v>
      </c>
      <c r="AK1131" s="59">
        <f t="shared" si="340"/>
        <v>0</v>
      </c>
      <c r="AL1131" s="59">
        <v>19613</v>
      </c>
      <c r="AM1131" s="59">
        <v>26362</v>
      </c>
      <c r="AN1131" s="59">
        <v>8</v>
      </c>
      <c r="AO1131" s="59">
        <v>0</v>
      </c>
      <c r="AP1131" s="59">
        <v>22</v>
      </c>
      <c r="AQ1131" s="59">
        <v>4</v>
      </c>
      <c r="AR1131" s="59">
        <v>4</v>
      </c>
      <c r="AS1131" s="59">
        <v>80</v>
      </c>
      <c r="AT1131" s="59">
        <v>0</v>
      </c>
      <c r="AU1131" s="59">
        <v>24</v>
      </c>
      <c r="AV1131" s="59">
        <v>2</v>
      </c>
      <c r="AW1131" s="59">
        <v>3</v>
      </c>
      <c r="AX1131" s="59">
        <v>1</v>
      </c>
      <c r="AY1131" s="59">
        <v>0</v>
      </c>
      <c r="AZ1131" s="59">
        <v>0</v>
      </c>
      <c r="BA1131" s="59">
        <v>1</v>
      </c>
      <c r="BB1131" s="57">
        <f t="shared" si="341"/>
        <v>98065</v>
      </c>
    </row>
    <row r="1132" spans="1:54" x14ac:dyDescent="0.25">
      <c r="A1132" s="58">
        <v>35</v>
      </c>
      <c r="B1132" s="59">
        <v>0</v>
      </c>
      <c r="C1132" s="59">
        <v>1</v>
      </c>
      <c r="D1132" s="59">
        <f t="shared" si="323"/>
        <v>1</v>
      </c>
      <c r="E1132" s="59">
        <f t="shared" si="324"/>
        <v>0</v>
      </c>
      <c r="F1132" s="59">
        <v>750</v>
      </c>
      <c r="G1132" s="59">
        <v>2</v>
      </c>
      <c r="H1132" s="59">
        <f t="shared" si="325"/>
        <v>0</v>
      </c>
      <c r="I1132" s="59">
        <f t="shared" si="326"/>
        <v>1</v>
      </c>
      <c r="J1132" s="59">
        <v>28</v>
      </c>
      <c r="K1132" s="59">
        <v>3</v>
      </c>
      <c r="L1132" s="59">
        <v>1</v>
      </c>
      <c r="M1132" s="59">
        <f t="shared" si="327"/>
        <v>1</v>
      </c>
      <c r="N1132" s="59">
        <f t="shared" si="328"/>
        <v>0</v>
      </c>
      <c r="O1132" s="59">
        <f t="shared" si="329"/>
        <v>0</v>
      </c>
      <c r="P1132" s="59">
        <f t="shared" si="330"/>
        <v>0</v>
      </c>
      <c r="Q1132" s="59">
        <f t="shared" si="331"/>
        <v>0</v>
      </c>
      <c r="R1132" s="59">
        <v>1</v>
      </c>
      <c r="S1132" s="59">
        <v>1596</v>
      </c>
      <c r="T1132" s="59">
        <v>2</v>
      </c>
      <c r="U1132" s="59">
        <v>1</v>
      </c>
      <c r="V1132" s="59">
        <v>46</v>
      </c>
      <c r="W1132" s="59">
        <v>4</v>
      </c>
      <c r="X1132" s="59">
        <v>2</v>
      </c>
      <c r="Y1132" s="59">
        <v>3</v>
      </c>
      <c r="Z1132" s="59">
        <f t="shared" si="332"/>
        <v>0</v>
      </c>
      <c r="AA1132" s="59">
        <f>IF('Updated Dummy'!Y1132=2,1,0)</f>
        <v>0</v>
      </c>
      <c r="AB1132" s="59">
        <f t="shared" si="333"/>
        <v>1</v>
      </c>
      <c r="AC1132" s="59">
        <f t="shared" si="334"/>
        <v>0</v>
      </c>
      <c r="AD1132" s="59">
        <f t="shared" si="335"/>
        <v>0</v>
      </c>
      <c r="AE1132" s="59">
        <f t="shared" si="336"/>
        <v>0</v>
      </c>
      <c r="AF1132" s="59">
        <f t="shared" si="337"/>
        <v>0</v>
      </c>
      <c r="AG1132" s="59">
        <f t="shared" si="338"/>
        <v>0</v>
      </c>
      <c r="AH1132" s="59">
        <v>3</v>
      </c>
      <c r="AI1132" s="59">
        <v>2</v>
      </c>
      <c r="AJ1132" s="59">
        <f t="shared" si="339"/>
        <v>0</v>
      </c>
      <c r="AK1132" s="59">
        <f t="shared" si="340"/>
        <v>1</v>
      </c>
      <c r="AL1132" s="59">
        <v>3407</v>
      </c>
      <c r="AM1132" s="59">
        <v>25348</v>
      </c>
      <c r="AN1132" s="59">
        <v>1</v>
      </c>
      <c r="AO1132" s="59">
        <v>0</v>
      </c>
      <c r="AP1132" s="59">
        <v>17</v>
      </c>
      <c r="AQ1132" s="59">
        <v>3</v>
      </c>
      <c r="AR1132" s="59">
        <v>4</v>
      </c>
      <c r="AS1132" s="59">
        <v>80</v>
      </c>
      <c r="AT1132" s="59">
        <v>2</v>
      </c>
      <c r="AU1132" s="59">
        <v>10</v>
      </c>
      <c r="AV1132" s="59">
        <v>3</v>
      </c>
      <c r="AW1132" s="59">
        <v>2</v>
      </c>
      <c r="AX1132" s="59">
        <v>10</v>
      </c>
      <c r="AY1132" s="59">
        <v>9</v>
      </c>
      <c r="AZ1132" s="59">
        <v>6</v>
      </c>
      <c r="BA1132" s="59">
        <v>8</v>
      </c>
      <c r="BB1132" s="57">
        <f t="shared" si="341"/>
        <v>6814</v>
      </c>
    </row>
    <row r="1133" spans="1:54" x14ac:dyDescent="0.25">
      <c r="A1133" s="58">
        <v>34</v>
      </c>
      <c r="B1133" s="59">
        <v>0</v>
      </c>
      <c r="C1133" s="59">
        <v>2</v>
      </c>
      <c r="D1133" s="59">
        <f t="shared" si="323"/>
        <v>0</v>
      </c>
      <c r="E1133" s="59">
        <f t="shared" si="324"/>
        <v>1</v>
      </c>
      <c r="F1133" s="59">
        <v>653</v>
      </c>
      <c r="G1133" s="59">
        <v>2</v>
      </c>
      <c r="H1133" s="59">
        <f t="shared" si="325"/>
        <v>0</v>
      </c>
      <c r="I1133" s="59">
        <f t="shared" si="326"/>
        <v>1</v>
      </c>
      <c r="J1133" s="59">
        <v>10</v>
      </c>
      <c r="K1133" s="59">
        <v>4</v>
      </c>
      <c r="L1133" s="59">
        <v>5</v>
      </c>
      <c r="M1133" s="59">
        <f t="shared" si="327"/>
        <v>0</v>
      </c>
      <c r="N1133" s="59">
        <f t="shared" si="328"/>
        <v>0</v>
      </c>
      <c r="O1133" s="59">
        <f t="shared" si="329"/>
        <v>0</v>
      </c>
      <c r="P1133" s="59">
        <f t="shared" si="330"/>
        <v>0</v>
      </c>
      <c r="Q1133" s="59">
        <f t="shared" si="331"/>
        <v>1</v>
      </c>
      <c r="R1133" s="59">
        <v>1</v>
      </c>
      <c r="S1133" s="59">
        <v>1597</v>
      </c>
      <c r="T1133" s="59">
        <v>4</v>
      </c>
      <c r="U1133" s="59">
        <v>1</v>
      </c>
      <c r="V1133" s="59">
        <v>92</v>
      </c>
      <c r="W1133" s="59">
        <v>2</v>
      </c>
      <c r="X1133" s="59">
        <v>2</v>
      </c>
      <c r="Y1133" s="59">
        <v>5</v>
      </c>
      <c r="Z1133" s="59">
        <f t="shared" si="332"/>
        <v>0</v>
      </c>
      <c r="AA1133" s="59">
        <f>IF('Updated Dummy'!Y1133=2,1,0)</f>
        <v>0</v>
      </c>
      <c r="AB1133" s="59">
        <f t="shared" si="333"/>
        <v>0</v>
      </c>
      <c r="AC1133" s="59">
        <f t="shared" si="334"/>
        <v>0</v>
      </c>
      <c r="AD1133" s="59">
        <f t="shared" si="335"/>
        <v>1</v>
      </c>
      <c r="AE1133" s="59">
        <f t="shared" si="336"/>
        <v>0</v>
      </c>
      <c r="AF1133" s="59">
        <f t="shared" si="337"/>
        <v>0</v>
      </c>
      <c r="AG1133" s="59">
        <f t="shared" si="338"/>
        <v>0</v>
      </c>
      <c r="AH1133" s="59">
        <v>3</v>
      </c>
      <c r="AI1133" s="59">
        <v>2</v>
      </c>
      <c r="AJ1133" s="59">
        <f t="shared" si="339"/>
        <v>0</v>
      </c>
      <c r="AK1133" s="59">
        <f t="shared" si="340"/>
        <v>1</v>
      </c>
      <c r="AL1133" s="59">
        <v>5063</v>
      </c>
      <c r="AM1133" s="59">
        <v>15332</v>
      </c>
      <c r="AN1133" s="59">
        <v>1</v>
      </c>
      <c r="AO1133" s="59">
        <v>0</v>
      </c>
      <c r="AP1133" s="59">
        <v>14</v>
      </c>
      <c r="AQ1133" s="59">
        <v>3</v>
      </c>
      <c r="AR1133" s="59">
        <v>2</v>
      </c>
      <c r="AS1133" s="59">
        <v>80</v>
      </c>
      <c r="AT1133" s="59">
        <v>1</v>
      </c>
      <c r="AU1133" s="59">
        <v>8</v>
      </c>
      <c r="AV1133" s="59">
        <v>3</v>
      </c>
      <c r="AW1133" s="59">
        <v>2</v>
      </c>
      <c r="AX1133" s="59">
        <v>8</v>
      </c>
      <c r="AY1133" s="59">
        <v>2</v>
      </c>
      <c r="AZ1133" s="59">
        <v>7</v>
      </c>
      <c r="BA1133" s="59">
        <v>7</v>
      </c>
      <c r="BB1133" s="57">
        <f t="shared" si="341"/>
        <v>10126</v>
      </c>
    </row>
    <row r="1134" spans="1:54" x14ac:dyDescent="0.25">
      <c r="A1134" s="58">
        <v>40</v>
      </c>
      <c r="B1134" s="59">
        <v>0</v>
      </c>
      <c r="C1134" s="59">
        <v>1</v>
      </c>
      <c r="D1134" s="59">
        <f t="shared" si="323"/>
        <v>1</v>
      </c>
      <c r="E1134" s="59">
        <f t="shared" si="324"/>
        <v>0</v>
      </c>
      <c r="F1134" s="59">
        <v>118</v>
      </c>
      <c r="G1134" s="59">
        <v>1</v>
      </c>
      <c r="H1134" s="59">
        <f t="shared" si="325"/>
        <v>1</v>
      </c>
      <c r="I1134" s="59">
        <f t="shared" si="326"/>
        <v>0</v>
      </c>
      <c r="J1134" s="59">
        <v>14</v>
      </c>
      <c r="K1134" s="59">
        <v>2</v>
      </c>
      <c r="L1134" s="59">
        <v>1</v>
      </c>
      <c r="M1134" s="59">
        <f t="shared" si="327"/>
        <v>1</v>
      </c>
      <c r="N1134" s="59">
        <f t="shared" si="328"/>
        <v>0</v>
      </c>
      <c r="O1134" s="59">
        <f t="shared" si="329"/>
        <v>0</v>
      </c>
      <c r="P1134" s="59">
        <f t="shared" si="330"/>
        <v>0</v>
      </c>
      <c r="Q1134" s="59">
        <f t="shared" si="331"/>
        <v>0</v>
      </c>
      <c r="R1134" s="59">
        <v>1</v>
      </c>
      <c r="S1134" s="59">
        <v>1598</v>
      </c>
      <c r="T1134" s="59">
        <v>4</v>
      </c>
      <c r="U1134" s="59">
        <v>0</v>
      </c>
      <c r="V1134" s="59">
        <v>84</v>
      </c>
      <c r="W1134" s="59">
        <v>3</v>
      </c>
      <c r="X1134" s="59">
        <v>2</v>
      </c>
      <c r="Y1134" s="59">
        <v>1</v>
      </c>
      <c r="Z1134" s="59">
        <f t="shared" si="332"/>
        <v>1</v>
      </c>
      <c r="AA1134" s="59">
        <f>IF('Updated Dummy'!Y1134=2,1,0)</f>
        <v>0</v>
      </c>
      <c r="AB1134" s="59">
        <f t="shared" si="333"/>
        <v>0</v>
      </c>
      <c r="AC1134" s="59">
        <f t="shared" si="334"/>
        <v>0</v>
      </c>
      <c r="AD1134" s="59">
        <f t="shared" si="335"/>
        <v>0</v>
      </c>
      <c r="AE1134" s="59">
        <f t="shared" si="336"/>
        <v>0</v>
      </c>
      <c r="AF1134" s="59">
        <f t="shared" si="337"/>
        <v>0</v>
      </c>
      <c r="AG1134" s="59">
        <f t="shared" si="338"/>
        <v>0</v>
      </c>
      <c r="AH1134" s="59">
        <v>1</v>
      </c>
      <c r="AI1134" s="59">
        <v>2</v>
      </c>
      <c r="AJ1134" s="59">
        <f t="shared" si="339"/>
        <v>0</v>
      </c>
      <c r="AK1134" s="59">
        <f t="shared" si="340"/>
        <v>1</v>
      </c>
      <c r="AL1134" s="59">
        <v>4639</v>
      </c>
      <c r="AM1134" s="59">
        <v>11262</v>
      </c>
      <c r="AN1134" s="59">
        <v>1</v>
      </c>
      <c r="AO1134" s="59">
        <v>0</v>
      </c>
      <c r="AP1134" s="59">
        <v>15</v>
      </c>
      <c r="AQ1134" s="59">
        <v>3</v>
      </c>
      <c r="AR1134" s="59">
        <v>3</v>
      </c>
      <c r="AS1134" s="59">
        <v>80</v>
      </c>
      <c r="AT1134" s="59">
        <v>1</v>
      </c>
      <c r="AU1134" s="59">
        <v>5</v>
      </c>
      <c r="AV1134" s="59">
        <v>2</v>
      </c>
      <c r="AW1134" s="59">
        <v>3</v>
      </c>
      <c r="AX1134" s="59">
        <v>5</v>
      </c>
      <c r="AY1134" s="59">
        <v>4</v>
      </c>
      <c r="AZ1134" s="59">
        <v>1</v>
      </c>
      <c r="BA1134" s="59">
        <v>2</v>
      </c>
      <c r="BB1134" s="57">
        <f t="shared" si="341"/>
        <v>9278</v>
      </c>
    </row>
    <row r="1135" spans="1:54" x14ac:dyDescent="0.25">
      <c r="A1135" s="58">
        <v>43</v>
      </c>
      <c r="B1135" s="59">
        <v>0</v>
      </c>
      <c r="C1135" s="59">
        <v>1</v>
      </c>
      <c r="D1135" s="59">
        <f t="shared" si="323"/>
        <v>1</v>
      </c>
      <c r="E1135" s="59">
        <f t="shared" si="324"/>
        <v>0</v>
      </c>
      <c r="F1135" s="59">
        <v>990</v>
      </c>
      <c r="G1135" s="59">
        <v>2</v>
      </c>
      <c r="H1135" s="59">
        <f t="shared" si="325"/>
        <v>0</v>
      </c>
      <c r="I1135" s="59">
        <f t="shared" si="326"/>
        <v>1</v>
      </c>
      <c r="J1135" s="59">
        <v>27</v>
      </c>
      <c r="K1135" s="59">
        <v>3</v>
      </c>
      <c r="L1135" s="59">
        <v>5</v>
      </c>
      <c r="M1135" s="59">
        <f t="shared" si="327"/>
        <v>0</v>
      </c>
      <c r="N1135" s="59">
        <f t="shared" si="328"/>
        <v>0</v>
      </c>
      <c r="O1135" s="59">
        <f t="shared" si="329"/>
        <v>0</v>
      </c>
      <c r="P1135" s="59">
        <f t="shared" si="330"/>
        <v>0</v>
      </c>
      <c r="Q1135" s="59">
        <f t="shared" si="331"/>
        <v>1</v>
      </c>
      <c r="R1135" s="59">
        <v>1</v>
      </c>
      <c r="S1135" s="59">
        <v>1599</v>
      </c>
      <c r="T1135" s="59">
        <v>4</v>
      </c>
      <c r="U1135" s="59">
        <v>1</v>
      </c>
      <c r="V1135" s="59">
        <v>87</v>
      </c>
      <c r="W1135" s="59">
        <v>4</v>
      </c>
      <c r="X1135" s="59">
        <v>1</v>
      </c>
      <c r="Y1135" s="59">
        <v>3</v>
      </c>
      <c r="Z1135" s="59">
        <f t="shared" si="332"/>
        <v>0</v>
      </c>
      <c r="AA1135" s="59">
        <f>IF('Updated Dummy'!Y1135=2,1,0)</f>
        <v>0</v>
      </c>
      <c r="AB1135" s="59">
        <f t="shared" si="333"/>
        <v>1</v>
      </c>
      <c r="AC1135" s="59">
        <f t="shared" si="334"/>
        <v>0</v>
      </c>
      <c r="AD1135" s="59">
        <f t="shared" si="335"/>
        <v>0</v>
      </c>
      <c r="AE1135" s="59">
        <f t="shared" si="336"/>
        <v>0</v>
      </c>
      <c r="AF1135" s="59">
        <f t="shared" si="337"/>
        <v>0</v>
      </c>
      <c r="AG1135" s="59">
        <f t="shared" si="338"/>
        <v>0</v>
      </c>
      <c r="AH1135" s="59">
        <v>2</v>
      </c>
      <c r="AI1135" s="59">
        <v>3</v>
      </c>
      <c r="AJ1135" s="59">
        <f t="shared" si="339"/>
        <v>0</v>
      </c>
      <c r="AK1135" s="59">
        <f t="shared" si="340"/>
        <v>0</v>
      </c>
      <c r="AL1135" s="59">
        <v>4876</v>
      </c>
      <c r="AM1135" s="59">
        <v>5855</v>
      </c>
      <c r="AN1135" s="59">
        <v>5</v>
      </c>
      <c r="AO1135" s="59">
        <v>0</v>
      </c>
      <c r="AP1135" s="59">
        <v>12</v>
      </c>
      <c r="AQ1135" s="59">
        <v>3</v>
      </c>
      <c r="AR1135" s="59">
        <v>3</v>
      </c>
      <c r="AS1135" s="59">
        <v>80</v>
      </c>
      <c r="AT1135" s="59">
        <v>1</v>
      </c>
      <c r="AU1135" s="59">
        <v>8</v>
      </c>
      <c r="AV1135" s="59">
        <v>0</v>
      </c>
      <c r="AW1135" s="59">
        <v>3</v>
      </c>
      <c r="AX1135" s="59">
        <v>6</v>
      </c>
      <c r="AY1135" s="59">
        <v>4</v>
      </c>
      <c r="AZ1135" s="59">
        <v>0</v>
      </c>
      <c r="BA1135" s="59">
        <v>2</v>
      </c>
      <c r="BB1135" s="57">
        <f t="shared" si="341"/>
        <v>4876</v>
      </c>
    </row>
    <row r="1136" spans="1:54" x14ac:dyDescent="0.25">
      <c r="A1136" s="58">
        <v>35</v>
      </c>
      <c r="B1136" s="59">
        <v>0</v>
      </c>
      <c r="C1136" s="59">
        <v>1</v>
      </c>
      <c r="D1136" s="59">
        <f t="shared" si="323"/>
        <v>1</v>
      </c>
      <c r="E1136" s="59">
        <f t="shared" si="324"/>
        <v>0</v>
      </c>
      <c r="F1136" s="59">
        <v>1349</v>
      </c>
      <c r="G1136" s="59">
        <v>2</v>
      </c>
      <c r="H1136" s="59">
        <f t="shared" si="325"/>
        <v>0</v>
      </c>
      <c r="I1136" s="59">
        <f t="shared" si="326"/>
        <v>1</v>
      </c>
      <c r="J1136" s="59">
        <v>7</v>
      </c>
      <c r="K1136" s="59">
        <v>2</v>
      </c>
      <c r="L1136" s="59">
        <v>1</v>
      </c>
      <c r="M1136" s="59">
        <f t="shared" si="327"/>
        <v>1</v>
      </c>
      <c r="N1136" s="59">
        <f t="shared" si="328"/>
        <v>0</v>
      </c>
      <c r="O1136" s="59">
        <f t="shared" si="329"/>
        <v>0</v>
      </c>
      <c r="P1136" s="59">
        <f t="shared" si="330"/>
        <v>0</v>
      </c>
      <c r="Q1136" s="59">
        <f t="shared" si="331"/>
        <v>0</v>
      </c>
      <c r="R1136" s="59">
        <v>1</v>
      </c>
      <c r="S1136" s="59">
        <v>1601</v>
      </c>
      <c r="T1136" s="59">
        <v>3</v>
      </c>
      <c r="U1136" s="59">
        <v>1</v>
      </c>
      <c r="V1136" s="59">
        <v>63</v>
      </c>
      <c r="W1136" s="59">
        <v>2</v>
      </c>
      <c r="X1136" s="59">
        <v>1</v>
      </c>
      <c r="Y1136" s="59">
        <v>3</v>
      </c>
      <c r="Z1136" s="59">
        <f t="shared" si="332"/>
        <v>0</v>
      </c>
      <c r="AA1136" s="59">
        <f>IF('Updated Dummy'!Y1136=2,1,0)</f>
        <v>0</v>
      </c>
      <c r="AB1136" s="59">
        <f t="shared" si="333"/>
        <v>1</v>
      </c>
      <c r="AC1136" s="59">
        <f t="shared" si="334"/>
        <v>0</v>
      </c>
      <c r="AD1136" s="59">
        <f t="shared" si="335"/>
        <v>0</v>
      </c>
      <c r="AE1136" s="59">
        <f t="shared" si="336"/>
        <v>0</v>
      </c>
      <c r="AF1136" s="59">
        <f t="shared" si="337"/>
        <v>0</v>
      </c>
      <c r="AG1136" s="59">
        <f t="shared" si="338"/>
        <v>0</v>
      </c>
      <c r="AH1136" s="59">
        <v>4</v>
      </c>
      <c r="AI1136" s="59">
        <v>2</v>
      </c>
      <c r="AJ1136" s="59">
        <f t="shared" si="339"/>
        <v>0</v>
      </c>
      <c r="AK1136" s="59">
        <f t="shared" si="340"/>
        <v>1</v>
      </c>
      <c r="AL1136" s="59">
        <v>2690</v>
      </c>
      <c r="AM1136" s="59">
        <v>7713</v>
      </c>
      <c r="AN1136" s="59">
        <v>1</v>
      </c>
      <c r="AO1136" s="59">
        <v>0</v>
      </c>
      <c r="AP1136" s="59">
        <v>18</v>
      </c>
      <c r="AQ1136" s="59">
        <v>3</v>
      </c>
      <c r="AR1136" s="59">
        <v>4</v>
      </c>
      <c r="AS1136" s="59">
        <v>80</v>
      </c>
      <c r="AT1136" s="59">
        <v>1</v>
      </c>
      <c r="AU1136" s="59">
        <v>1</v>
      </c>
      <c r="AV1136" s="59">
        <v>5</v>
      </c>
      <c r="AW1136" s="59">
        <v>2</v>
      </c>
      <c r="AX1136" s="59">
        <v>1</v>
      </c>
      <c r="AY1136" s="59">
        <v>0</v>
      </c>
      <c r="AZ1136" s="59">
        <v>0</v>
      </c>
      <c r="BA1136" s="59">
        <v>1</v>
      </c>
      <c r="BB1136" s="57">
        <f t="shared" si="341"/>
        <v>2690</v>
      </c>
    </row>
    <row r="1137" spans="1:54" x14ac:dyDescent="0.25">
      <c r="A1137" s="58">
        <v>46</v>
      </c>
      <c r="B1137" s="59">
        <v>0</v>
      </c>
      <c r="C1137" s="59">
        <v>1</v>
      </c>
      <c r="D1137" s="59">
        <f t="shared" si="323"/>
        <v>1</v>
      </c>
      <c r="E1137" s="59">
        <f t="shared" si="324"/>
        <v>0</v>
      </c>
      <c r="F1137" s="59">
        <v>563</v>
      </c>
      <c r="G1137" s="59">
        <v>1</v>
      </c>
      <c r="H1137" s="59">
        <f t="shared" si="325"/>
        <v>1</v>
      </c>
      <c r="I1137" s="59">
        <f t="shared" si="326"/>
        <v>0</v>
      </c>
      <c r="J1137" s="59">
        <v>1</v>
      </c>
      <c r="K1137" s="59">
        <v>4</v>
      </c>
      <c r="L1137" s="59">
        <v>1</v>
      </c>
      <c r="M1137" s="59">
        <f t="shared" si="327"/>
        <v>1</v>
      </c>
      <c r="N1137" s="59">
        <f t="shared" si="328"/>
        <v>0</v>
      </c>
      <c r="O1137" s="59">
        <f t="shared" si="329"/>
        <v>0</v>
      </c>
      <c r="P1137" s="59">
        <f t="shared" si="330"/>
        <v>0</v>
      </c>
      <c r="Q1137" s="59">
        <f t="shared" si="331"/>
        <v>0</v>
      </c>
      <c r="R1137" s="59">
        <v>1</v>
      </c>
      <c r="S1137" s="59">
        <v>1602</v>
      </c>
      <c r="T1137" s="59">
        <v>4</v>
      </c>
      <c r="U1137" s="59">
        <v>1</v>
      </c>
      <c r="V1137" s="59">
        <v>56</v>
      </c>
      <c r="W1137" s="59">
        <v>4</v>
      </c>
      <c r="X1137" s="59">
        <v>4</v>
      </c>
      <c r="Y1137" s="59">
        <v>6</v>
      </c>
      <c r="Z1137" s="59">
        <f t="shared" si="332"/>
        <v>0</v>
      </c>
      <c r="AA1137" s="59">
        <f>IF('Updated Dummy'!Y1137=2,1,0)</f>
        <v>0</v>
      </c>
      <c r="AB1137" s="59">
        <f t="shared" si="333"/>
        <v>0</v>
      </c>
      <c r="AC1137" s="59">
        <f t="shared" si="334"/>
        <v>0</v>
      </c>
      <c r="AD1137" s="59">
        <f t="shared" si="335"/>
        <v>0</v>
      </c>
      <c r="AE1137" s="59">
        <f t="shared" si="336"/>
        <v>1</v>
      </c>
      <c r="AF1137" s="59">
        <f t="shared" si="337"/>
        <v>0</v>
      </c>
      <c r="AG1137" s="59">
        <f t="shared" si="338"/>
        <v>0</v>
      </c>
      <c r="AH1137" s="59">
        <v>1</v>
      </c>
      <c r="AI1137" s="59">
        <v>1</v>
      </c>
      <c r="AJ1137" s="59">
        <f t="shared" si="339"/>
        <v>1</v>
      </c>
      <c r="AK1137" s="59">
        <f t="shared" si="340"/>
        <v>0</v>
      </c>
      <c r="AL1137" s="59">
        <v>17567</v>
      </c>
      <c r="AM1137" s="59">
        <v>3156</v>
      </c>
      <c r="AN1137" s="59">
        <v>1</v>
      </c>
      <c r="AO1137" s="59">
        <v>0</v>
      </c>
      <c r="AP1137" s="59">
        <v>15</v>
      </c>
      <c r="AQ1137" s="59">
        <v>3</v>
      </c>
      <c r="AR1137" s="59">
        <v>2</v>
      </c>
      <c r="AS1137" s="59">
        <v>80</v>
      </c>
      <c r="AT1137" s="59">
        <v>0</v>
      </c>
      <c r="AU1137" s="59">
        <v>27</v>
      </c>
      <c r="AV1137" s="59">
        <v>5</v>
      </c>
      <c r="AW1137" s="59">
        <v>1</v>
      </c>
      <c r="AX1137" s="59">
        <v>26</v>
      </c>
      <c r="AY1137" s="59">
        <v>0</v>
      </c>
      <c r="AZ1137" s="59">
        <v>0</v>
      </c>
      <c r="BA1137" s="59">
        <v>12</v>
      </c>
      <c r="BB1137" s="57">
        <f t="shared" si="341"/>
        <v>70268</v>
      </c>
    </row>
    <row r="1138" spans="1:54" x14ac:dyDescent="0.25">
      <c r="A1138" s="58">
        <v>28</v>
      </c>
      <c r="B1138" s="59">
        <v>1</v>
      </c>
      <c r="C1138" s="59">
        <v>1</v>
      </c>
      <c r="D1138" s="59">
        <f t="shared" si="323"/>
        <v>1</v>
      </c>
      <c r="E1138" s="59">
        <f t="shared" si="324"/>
        <v>0</v>
      </c>
      <c r="F1138" s="59">
        <v>329</v>
      </c>
      <c r="G1138" s="59">
        <v>2</v>
      </c>
      <c r="H1138" s="59">
        <f t="shared" si="325"/>
        <v>0</v>
      </c>
      <c r="I1138" s="59">
        <f t="shared" si="326"/>
        <v>1</v>
      </c>
      <c r="J1138" s="59">
        <v>24</v>
      </c>
      <c r="K1138" s="59">
        <v>3</v>
      </c>
      <c r="L1138" s="59">
        <v>3</v>
      </c>
      <c r="M1138" s="59">
        <f t="shared" si="327"/>
        <v>0</v>
      </c>
      <c r="N1138" s="59">
        <f t="shared" si="328"/>
        <v>0</v>
      </c>
      <c r="O1138" s="59">
        <f t="shared" si="329"/>
        <v>1</v>
      </c>
      <c r="P1138" s="59">
        <f t="shared" si="330"/>
        <v>0</v>
      </c>
      <c r="Q1138" s="59">
        <f t="shared" si="331"/>
        <v>0</v>
      </c>
      <c r="R1138" s="59">
        <v>1</v>
      </c>
      <c r="S1138" s="59">
        <v>1604</v>
      </c>
      <c r="T1138" s="59">
        <v>3</v>
      </c>
      <c r="U1138" s="59">
        <v>1</v>
      </c>
      <c r="V1138" s="59">
        <v>51</v>
      </c>
      <c r="W1138" s="59">
        <v>3</v>
      </c>
      <c r="X1138" s="59">
        <v>1</v>
      </c>
      <c r="Y1138" s="59">
        <v>3</v>
      </c>
      <c r="Z1138" s="59">
        <f t="shared" si="332"/>
        <v>0</v>
      </c>
      <c r="AA1138" s="59">
        <f>IF('Updated Dummy'!Y1138=2,1,0)</f>
        <v>0</v>
      </c>
      <c r="AB1138" s="59">
        <f t="shared" si="333"/>
        <v>1</v>
      </c>
      <c r="AC1138" s="59">
        <f t="shared" si="334"/>
        <v>0</v>
      </c>
      <c r="AD1138" s="59">
        <f t="shared" si="335"/>
        <v>0</v>
      </c>
      <c r="AE1138" s="59">
        <f t="shared" si="336"/>
        <v>0</v>
      </c>
      <c r="AF1138" s="59">
        <f t="shared" si="337"/>
        <v>0</v>
      </c>
      <c r="AG1138" s="59">
        <f t="shared" si="338"/>
        <v>0</v>
      </c>
      <c r="AH1138" s="59">
        <v>2</v>
      </c>
      <c r="AI1138" s="59">
        <v>2</v>
      </c>
      <c r="AJ1138" s="59">
        <f t="shared" si="339"/>
        <v>0</v>
      </c>
      <c r="AK1138" s="59">
        <f t="shared" si="340"/>
        <v>1</v>
      </c>
      <c r="AL1138" s="59">
        <v>2408</v>
      </c>
      <c r="AM1138" s="59">
        <v>7324</v>
      </c>
      <c r="AN1138" s="59">
        <v>1</v>
      </c>
      <c r="AO1138" s="59">
        <v>1</v>
      </c>
      <c r="AP1138" s="59">
        <v>17</v>
      </c>
      <c r="AQ1138" s="59">
        <v>3</v>
      </c>
      <c r="AR1138" s="59">
        <v>3</v>
      </c>
      <c r="AS1138" s="59">
        <v>80</v>
      </c>
      <c r="AT1138" s="59">
        <v>3</v>
      </c>
      <c r="AU1138" s="59">
        <v>1</v>
      </c>
      <c r="AV1138" s="59">
        <v>3</v>
      </c>
      <c r="AW1138" s="59">
        <v>3</v>
      </c>
      <c r="AX1138" s="59">
        <v>1</v>
      </c>
      <c r="AY1138" s="59">
        <v>1</v>
      </c>
      <c r="AZ1138" s="59">
        <v>0</v>
      </c>
      <c r="BA1138" s="59">
        <v>0</v>
      </c>
      <c r="BB1138" s="57">
        <f t="shared" si="341"/>
        <v>2408</v>
      </c>
    </row>
    <row r="1139" spans="1:54" x14ac:dyDescent="0.25">
      <c r="A1139" s="58">
        <v>22</v>
      </c>
      <c r="B1139" s="59">
        <v>0</v>
      </c>
      <c r="C1139" s="59">
        <v>3</v>
      </c>
      <c r="D1139" s="59">
        <f t="shared" si="323"/>
        <v>0</v>
      </c>
      <c r="E1139" s="59">
        <f t="shared" si="324"/>
        <v>0</v>
      </c>
      <c r="F1139" s="59">
        <v>457</v>
      </c>
      <c r="G1139" s="59">
        <v>2</v>
      </c>
      <c r="H1139" s="59">
        <f t="shared" si="325"/>
        <v>0</v>
      </c>
      <c r="I1139" s="59">
        <f t="shared" si="326"/>
        <v>1</v>
      </c>
      <c r="J1139" s="59">
        <v>26</v>
      </c>
      <c r="K1139" s="59">
        <v>2</v>
      </c>
      <c r="L1139" s="59">
        <v>6</v>
      </c>
      <c r="M1139" s="59">
        <f t="shared" si="327"/>
        <v>0</v>
      </c>
      <c r="N1139" s="59">
        <f t="shared" si="328"/>
        <v>0</v>
      </c>
      <c r="O1139" s="59">
        <f t="shared" si="329"/>
        <v>0</v>
      </c>
      <c r="P1139" s="59">
        <f t="shared" si="330"/>
        <v>0</v>
      </c>
      <c r="Q1139" s="59">
        <f t="shared" si="331"/>
        <v>0</v>
      </c>
      <c r="R1139" s="59">
        <v>1</v>
      </c>
      <c r="S1139" s="59">
        <v>1605</v>
      </c>
      <c r="T1139" s="59">
        <v>2</v>
      </c>
      <c r="U1139" s="59">
        <v>0</v>
      </c>
      <c r="V1139" s="59">
        <v>85</v>
      </c>
      <c r="W1139" s="59">
        <v>2</v>
      </c>
      <c r="X1139" s="59">
        <v>1</v>
      </c>
      <c r="Y1139" s="59">
        <v>2</v>
      </c>
      <c r="Z1139" s="59">
        <f t="shared" si="332"/>
        <v>0</v>
      </c>
      <c r="AA1139" s="59">
        <f>IF('Updated Dummy'!Y1139=2,1,0)</f>
        <v>1</v>
      </c>
      <c r="AB1139" s="59">
        <f t="shared" si="333"/>
        <v>0</v>
      </c>
      <c r="AC1139" s="59">
        <f t="shared" si="334"/>
        <v>0</v>
      </c>
      <c r="AD1139" s="59">
        <f t="shared" si="335"/>
        <v>0</v>
      </c>
      <c r="AE1139" s="59">
        <f t="shared" si="336"/>
        <v>0</v>
      </c>
      <c r="AF1139" s="59">
        <f t="shared" si="337"/>
        <v>0</v>
      </c>
      <c r="AG1139" s="59">
        <f t="shared" si="338"/>
        <v>0</v>
      </c>
      <c r="AH1139" s="59">
        <v>3</v>
      </c>
      <c r="AI1139" s="59">
        <v>2</v>
      </c>
      <c r="AJ1139" s="59">
        <f t="shared" si="339"/>
        <v>0</v>
      </c>
      <c r="AK1139" s="59">
        <f t="shared" si="340"/>
        <v>1</v>
      </c>
      <c r="AL1139" s="59">
        <v>2814</v>
      </c>
      <c r="AM1139" s="59">
        <v>10293</v>
      </c>
      <c r="AN1139" s="59">
        <v>1</v>
      </c>
      <c r="AO1139" s="59">
        <v>1</v>
      </c>
      <c r="AP1139" s="59">
        <v>14</v>
      </c>
      <c r="AQ1139" s="59">
        <v>3</v>
      </c>
      <c r="AR1139" s="59">
        <v>2</v>
      </c>
      <c r="AS1139" s="59">
        <v>80</v>
      </c>
      <c r="AT1139" s="59">
        <v>0</v>
      </c>
      <c r="AU1139" s="59">
        <v>4</v>
      </c>
      <c r="AV1139" s="59">
        <v>2</v>
      </c>
      <c r="AW1139" s="59">
        <v>2</v>
      </c>
      <c r="AX1139" s="59">
        <v>4</v>
      </c>
      <c r="AY1139" s="59">
        <v>2</v>
      </c>
      <c r="AZ1139" s="59">
        <v>1</v>
      </c>
      <c r="BA1139" s="59">
        <v>3</v>
      </c>
      <c r="BB1139" s="57">
        <f t="shared" si="341"/>
        <v>2814</v>
      </c>
    </row>
    <row r="1140" spans="1:54" x14ac:dyDescent="0.25">
      <c r="A1140" s="58">
        <v>50</v>
      </c>
      <c r="B1140" s="59">
        <v>0</v>
      </c>
      <c r="C1140" s="59">
        <v>2</v>
      </c>
      <c r="D1140" s="59">
        <f t="shared" si="323"/>
        <v>0</v>
      </c>
      <c r="E1140" s="59">
        <f t="shared" si="324"/>
        <v>1</v>
      </c>
      <c r="F1140" s="59">
        <v>1234</v>
      </c>
      <c r="G1140" s="59">
        <v>2</v>
      </c>
      <c r="H1140" s="59">
        <f t="shared" si="325"/>
        <v>0</v>
      </c>
      <c r="I1140" s="59">
        <f t="shared" si="326"/>
        <v>1</v>
      </c>
      <c r="J1140" s="59">
        <v>20</v>
      </c>
      <c r="K1140" s="59">
        <v>5</v>
      </c>
      <c r="L1140" s="59">
        <v>3</v>
      </c>
      <c r="M1140" s="59">
        <f t="shared" si="327"/>
        <v>0</v>
      </c>
      <c r="N1140" s="59">
        <f t="shared" si="328"/>
        <v>0</v>
      </c>
      <c r="O1140" s="59">
        <f t="shared" si="329"/>
        <v>1</v>
      </c>
      <c r="P1140" s="59">
        <f t="shared" si="330"/>
        <v>0</v>
      </c>
      <c r="Q1140" s="59">
        <f t="shared" si="331"/>
        <v>0</v>
      </c>
      <c r="R1140" s="59">
        <v>1</v>
      </c>
      <c r="S1140" s="59">
        <v>1606</v>
      </c>
      <c r="T1140" s="59">
        <v>2</v>
      </c>
      <c r="U1140" s="59">
        <v>1</v>
      </c>
      <c r="V1140" s="59">
        <v>41</v>
      </c>
      <c r="W1140" s="59">
        <v>3</v>
      </c>
      <c r="X1140" s="59">
        <v>4</v>
      </c>
      <c r="Y1140" s="59">
        <v>5</v>
      </c>
      <c r="Z1140" s="59">
        <f t="shared" si="332"/>
        <v>0</v>
      </c>
      <c r="AA1140" s="59">
        <f>IF('Updated Dummy'!Y1140=2,1,0)</f>
        <v>0</v>
      </c>
      <c r="AB1140" s="59">
        <f t="shared" si="333"/>
        <v>0</v>
      </c>
      <c r="AC1140" s="59">
        <f t="shared" si="334"/>
        <v>0</v>
      </c>
      <c r="AD1140" s="59">
        <f t="shared" si="335"/>
        <v>1</v>
      </c>
      <c r="AE1140" s="59">
        <f t="shared" si="336"/>
        <v>0</v>
      </c>
      <c r="AF1140" s="59">
        <f t="shared" si="337"/>
        <v>0</v>
      </c>
      <c r="AG1140" s="59">
        <f t="shared" si="338"/>
        <v>0</v>
      </c>
      <c r="AH1140" s="59">
        <v>3</v>
      </c>
      <c r="AI1140" s="59">
        <v>2</v>
      </c>
      <c r="AJ1140" s="59">
        <f t="shared" si="339"/>
        <v>0</v>
      </c>
      <c r="AK1140" s="59">
        <f t="shared" si="340"/>
        <v>1</v>
      </c>
      <c r="AL1140" s="59">
        <v>11245</v>
      </c>
      <c r="AM1140" s="59">
        <v>20689</v>
      </c>
      <c r="AN1140" s="59">
        <v>2</v>
      </c>
      <c r="AO1140" s="59">
        <v>1</v>
      </c>
      <c r="AP1140" s="59">
        <v>15</v>
      </c>
      <c r="AQ1140" s="59">
        <v>3</v>
      </c>
      <c r="AR1140" s="59">
        <v>3</v>
      </c>
      <c r="AS1140" s="59">
        <v>80</v>
      </c>
      <c r="AT1140" s="59">
        <v>1</v>
      </c>
      <c r="AU1140" s="59">
        <v>32</v>
      </c>
      <c r="AV1140" s="59">
        <v>3</v>
      </c>
      <c r="AW1140" s="59">
        <v>3</v>
      </c>
      <c r="AX1140" s="59">
        <v>30</v>
      </c>
      <c r="AY1140" s="59">
        <v>8</v>
      </c>
      <c r="AZ1140" s="59">
        <v>12</v>
      </c>
      <c r="BA1140" s="59">
        <v>13</v>
      </c>
      <c r="BB1140" s="57">
        <f t="shared" si="341"/>
        <v>44980</v>
      </c>
    </row>
    <row r="1141" spans="1:54" x14ac:dyDescent="0.25">
      <c r="A1141" s="58">
        <v>32</v>
      </c>
      <c r="B1141" s="59">
        <v>0</v>
      </c>
      <c r="C1141" s="59">
        <v>1</v>
      </c>
      <c r="D1141" s="59">
        <f t="shared" si="323"/>
        <v>1</v>
      </c>
      <c r="E1141" s="59">
        <f t="shared" si="324"/>
        <v>0</v>
      </c>
      <c r="F1141" s="59">
        <v>634</v>
      </c>
      <c r="G1141" s="59">
        <v>2</v>
      </c>
      <c r="H1141" s="59">
        <f t="shared" si="325"/>
        <v>0</v>
      </c>
      <c r="I1141" s="59">
        <f t="shared" si="326"/>
        <v>1</v>
      </c>
      <c r="J1141" s="59">
        <v>5</v>
      </c>
      <c r="K1141" s="59">
        <v>4</v>
      </c>
      <c r="L1141" s="59">
        <v>6</v>
      </c>
      <c r="M1141" s="59">
        <f t="shared" si="327"/>
        <v>0</v>
      </c>
      <c r="N1141" s="59">
        <f t="shared" si="328"/>
        <v>0</v>
      </c>
      <c r="O1141" s="59">
        <f t="shared" si="329"/>
        <v>0</v>
      </c>
      <c r="P1141" s="59">
        <f t="shared" si="330"/>
        <v>0</v>
      </c>
      <c r="Q1141" s="59">
        <f t="shared" si="331"/>
        <v>0</v>
      </c>
      <c r="R1141" s="59">
        <v>1</v>
      </c>
      <c r="S1141" s="59">
        <v>1607</v>
      </c>
      <c r="T1141" s="59">
        <v>2</v>
      </c>
      <c r="U1141" s="59">
        <v>0</v>
      </c>
      <c r="V1141" s="59">
        <v>35</v>
      </c>
      <c r="W1141" s="59">
        <v>4</v>
      </c>
      <c r="X1141" s="59">
        <v>1</v>
      </c>
      <c r="Y1141" s="59">
        <v>2</v>
      </c>
      <c r="Z1141" s="59">
        <f t="shared" si="332"/>
        <v>0</v>
      </c>
      <c r="AA1141" s="59">
        <f>IF('Updated Dummy'!Y1141=2,1,0)</f>
        <v>1</v>
      </c>
      <c r="AB1141" s="59">
        <f t="shared" si="333"/>
        <v>0</v>
      </c>
      <c r="AC1141" s="59">
        <f t="shared" si="334"/>
        <v>0</v>
      </c>
      <c r="AD1141" s="59">
        <f t="shared" si="335"/>
        <v>0</v>
      </c>
      <c r="AE1141" s="59">
        <f t="shared" si="336"/>
        <v>0</v>
      </c>
      <c r="AF1141" s="59">
        <f t="shared" si="337"/>
        <v>0</v>
      </c>
      <c r="AG1141" s="59">
        <f t="shared" si="338"/>
        <v>0</v>
      </c>
      <c r="AH1141" s="59">
        <v>4</v>
      </c>
      <c r="AI1141" s="59">
        <v>2</v>
      </c>
      <c r="AJ1141" s="59">
        <f t="shared" si="339"/>
        <v>0</v>
      </c>
      <c r="AK1141" s="59">
        <f t="shared" si="340"/>
        <v>1</v>
      </c>
      <c r="AL1141" s="59">
        <v>3312</v>
      </c>
      <c r="AM1141" s="59">
        <v>18783</v>
      </c>
      <c r="AN1141" s="59">
        <v>3</v>
      </c>
      <c r="AO1141" s="59">
        <v>0</v>
      </c>
      <c r="AP1141" s="59">
        <v>17</v>
      </c>
      <c r="AQ1141" s="59">
        <v>3</v>
      </c>
      <c r="AR1141" s="59">
        <v>4</v>
      </c>
      <c r="AS1141" s="59">
        <v>80</v>
      </c>
      <c r="AT1141" s="59">
        <v>2</v>
      </c>
      <c r="AU1141" s="59">
        <v>6</v>
      </c>
      <c r="AV1141" s="59">
        <v>3</v>
      </c>
      <c r="AW1141" s="59">
        <v>3</v>
      </c>
      <c r="AX1141" s="59">
        <v>3</v>
      </c>
      <c r="AY1141" s="59">
        <v>2</v>
      </c>
      <c r="AZ1141" s="59">
        <v>0</v>
      </c>
      <c r="BA1141" s="59">
        <v>2</v>
      </c>
      <c r="BB1141" s="57">
        <f t="shared" si="341"/>
        <v>3312</v>
      </c>
    </row>
    <row r="1142" spans="1:54" x14ac:dyDescent="0.25">
      <c r="A1142" s="58">
        <v>44</v>
      </c>
      <c r="B1142" s="59">
        <v>0</v>
      </c>
      <c r="C1142" s="59">
        <v>1</v>
      </c>
      <c r="D1142" s="59">
        <f t="shared" si="323"/>
        <v>1</v>
      </c>
      <c r="E1142" s="59">
        <f t="shared" si="324"/>
        <v>0</v>
      </c>
      <c r="F1142" s="59">
        <v>1313</v>
      </c>
      <c r="G1142" s="59">
        <v>2</v>
      </c>
      <c r="H1142" s="59">
        <f t="shared" si="325"/>
        <v>0</v>
      </c>
      <c r="I1142" s="59">
        <f t="shared" si="326"/>
        <v>1</v>
      </c>
      <c r="J1142" s="59">
        <v>7</v>
      </c>
      <c r="K1142" s="59">
        <v>3</v>
      </c>
      <c r="L1142" s="59">
        <v>3</v>
      </c>
      <c r="M1142" s="59">
        <f t="shared" si="327"/>
        <v>0</v>
      </c>
      <c r="N1142" s="59">
        <f t="shared" si="328"/>
        <v>0</v>
      </c>
      <c r="O1142" s="59">
        <f t="shared" si="329"/>
        <v>1</v>
      </c>
      <c r="P1142" s="59">
        <f t="shared" si="330"/>
        <v>0</v>
      </c>
      <c r="Q1142" s="59">
        <f t="shared" si="331"/>
        <v>0</v>
      </c>
      <c r="R1142" s="59">
        <v>1</v>
      </c>
      <c r="S1142" s="59">
        <v>1608</v>
      </c>
      <c r="T1142" s="59">
        <v>2</v>
      </c>
      <c r="U1142" s="59">
        <v>0</v>
      </c>
      <c r="V1142" s="59">
        <v>31</v>
      </c>
      <c r="W1142" s="59">
        <v>3</v>
      </c>
      <c r="X1142" s="59">
        <v>5</v>
      </c>
      <c r="Y1142" s="59">
        <v>8</v>
      </c>
      <c r="Z1142" s="59">
        <f t="shared" si="332"/>
        <v>0</v>
      </c>
      <c r="AA1142" s="59">
        <f>IF('Updated Dummy'!Y1142=2,1,0)</f>
        <v>0</v>
      </c>
      <c r="AB1142" s="59">
        <f t="shared" si="333"/>
        <v>0</v>
      </c>
      <c r="AC1142" s="59">
        <f t="shared" si="334"/>
        <v>0</v>
      </c>
      <c r="AD1142" s="59">
        <f t="shared" si="335"/>
        <v>0</v>
      </c>
      <c r="AE1142" s="59">
        <f t="shared" si="336"/>
        <v>0</v>
      </c>
      <c r="AF1142" s="59">
        <f t="shared" si="337"/>
        <v>0</v>
      </c>
      <c r="AG1142" s="59">
        <f t="shared" si="338"/>
        <v>1</v>
      </c>
      <c r="AH1142" s="59">
        <v>4</v>
      </c>
      <c r="AI1142" s="59">
        <v>3</v>
      </c>
      <c r="AJ1142" s="59">
        <f t="shared" si="339"/>
        <v>0</v>
      </c>
      <c r="AK1142" s="59">
        <f t="shared" si="340"/>
        <v>0</v>
      </c>
      <c r="AL1142" s="59">
        <v>19049</v>
      </c>
      <c r="AM1142" s="59">
        <v>3549</v>
      </c>
      <c r="AN1142" s="59">
        <v>0</v>
      </c>
      <c r="AO1142" s="59">
        <v>1</v>
      </c>
      <c r="AP1142" s="59">
        <v>14</v>
      </c>
      <c r="AQ1142" s="59">
        <v>3</v>
      </c>
      <c r="AR1142" s="59">
        <v>4</v>
      </c>
      <c r="AS1142" s="59">
        <v>80</v>
      </c>
      <c r="AT1142" s="59">
        <v>1</v>
      </c>
      <c r="AU1142" s="59">
        <v>23</v>
      </c>
      <c r="AV1142" s="59">
        <v>4</v>
      </c>
      <c r="AW1142" s="59">
        <v>2</v>
      </c>
      <c r="AX1142" s="59">
        <v>22</v>
      </c>
      <c r="AY1142" s="59">
        <v>7</v>
      </c>
      <c r="AZ1142" s="59">
        <v>1</v>
      </c>
      <c r="BA1142" s="59">
        <v>10</v>
      </c>
      <c r="BB1142" s="57">
        <f t="shared" si="341"/>
        <v>95245</v>
      </c>
    </row>
    <row r="1143" spans="1:54" x14ac:dyDescent="0.25">
      <c r="A1143" s="58">
        <v>30</v>
      </c>
      <c r="B1143" s="59">
        <v>0</v>
      </c>
      <c r="C1143" s="59">
        <v>1</v>
      </c>
      <c r="D1143" s="59">
        <f t="shared" si="323"/>
        <v>1</v>
      </c>
      <c r="E1143" s="59">
        <f t="shared" si="324"/>
        <v>0</v>
      </c>
      <c r="F1143" s="59">
        <v>241</v>
      </c>
      <c r="G1143" s="59">
        <v>2</v>
      </c>
      <c r="H1143" s="59">
        <f t="shared" si="325"/>
        <v>0</v>
      </c>
      <c r="I1143" s="59">
        <f t="shared" si="326"/>
        <v>1</v>
      </c>
      <c r="J1143" s="59">
        <v>7</v>
      </c>
      <c r="K1143" s="59">
        <v>3</v>
      </c>
      <c r="L1143" s="59">
        <v>3</v>
      </c>
      <c r="M1143" s="59">
        <f t="shared" si="327"/>
        <v>0</v>
      </c>
      <c r="N1143" s="59">
        <f t="shared" si="328"/>
        <v>0</v>
      </c>
      <c r="O1143" s="59">
        <f t="shared" si="329"/>
        <v>1</v>
      </c>
      <c r="P1143" s="59">
        <f t="shared" si="330"/>
        <v>0</v>
      </c>
      <c r="Q1143" s="59">
        <f t="shared" si="331"/>
        <v>0</v>
      </c>
      <c r="R1143" s="59">
        <v>1</v>
      </c>
      <c r="S1143" s="59">
        <v>1609</v>
      </c>
      <c r="T1143" s="59">
        <v>2</v>
      </c>
      <c r="U1143" s="59">
        <v>1</v>
      </c>
      <c r="V1143" s="59">
        <v>48</v>
      </c>
      <c r="W1143" s="59">
        <v>2</v>
      </c>
      <c r="X1143" s="59">
        <v>1</v>
      </c>
      <c r="Y1143" s="59">
        <v>2</v>
      </c>
      <c r="Z1143" s="59">
        <f t="shared" si="332"/>
        <v>0</v>
      </c>
      <c r="AA1143" s="59">
        <f>IF('Updated Dummy'!Y1143=2,1,0)</f>
        <v>1</v>
      </c>
      <c r="AB1143" s="59">
        <f t="shared" si="333"/>
        <v>0</v>
      </c>
      <c r="AC1143" s="59">
        <f t="shared" si="334"/>
        <v>0</v>
      </c>
      <c r="AD1143" s="59">
        <f t="shared" si="335"/>
        <v>0</v>
      </c>
      <c r="AE1143" s="59">
        <f t="shared" si="336"/>
        <v>0</v>
      </c>
      <c r="AF1143" s="59">
        <f t="shared" si="337"/>
        <v>0</v>
      </c>
      <c r="AG1143" s="59">
        <f t="shared" si="338"/>
        <v>0</v>
      </c>
      <c r="AH1143" s="59">
        <v>2</v>
      </c>
      <c r="AI1143" s="59">
        <v>2</v>
      </c>
      <c r="AJ1143" s="59">
        <f t="shared" si="339"/>
        <v>0</v>
      </c>
      <c r="AK1143" s="59">
        <f t="shared" si="340"/>
        <v>1</v>
      </c>
      <c r="AL1143" s="59">
        <v>2141</v>
      </c>
      <c r="AM1143" s="59">
        <v>5348</v>
      </c>
      <c r="AN1143" s="59">
        <v>1</v>
      </c>
      <c r="AO1143" s="59">
        <v>0</v>
      </c>
      <c r="AP1143" s="59">
        <v>12</v>
      </c>
      <c r="AQ1143" s="59">
        <v>3</v>
      </c>
      <c r="AR1143" s="59">
        <v>2</v>
      </c>
      <c r="AS1143" s="59">
        <v>80</v>
      </c>
      <c r="AT1143" s="59">
        <v>1</v>
      </c>
      <c r="AU1143" s="59">
        <v>6</v>
      </c>
      <c r="AV1143" s="59">
        <v>3</v>
      </c>
      <c r="AW1143" s="59">
        <v>2</v>
      </c>
      <c r="AX1143" s="59">
        <v>6</v>
      </c>
      <c r="AY1143" s="59">
        <v>4</v>
      </c>
      <c r="AZ1143" s="59">
        <v>1</v>
      </c>
      <c r="BA1143" s="59">
        <v>1</v>
      </c>
      <c r="BB1143" s="57">
        <f t="shared" si="341"/>
        <v>2141</v>
      </c>
    </row>
    <row r="1144" spans="1:54" x14ac:dyDescent="0.25">
      <c r="A1144" s="58">
        <v>45</v>
      </c>
      <c r="B1144" s="59">
        <v>0</v>
      </c>
      <c r="C1144" s="59">
        <v>1</v>
      </c>
      <c r="D1144" s="59">
        <f t="shared" si="323"/>
        <v>1</v>
      </c>
      <c r="E1144" s="59">
        <f t="shared" si="324"/>
        <v>0</v>
      </c>
      <c r="F1144" s="59">
        <v>1015</v>
      </c>
      <c r="G1144" s="59">
        <v>2</v>
      </c>
      <c r="H1144" s="59">
        <f t="shared" si="325"/>
        <v>0</v>
      </c>
      <c r="I1144" s="59">
        <f t="shared" si="326"/>
        <v>1</v>
      </c>
      <c r="J1144" s="59">
        <v>5</v>
      </c>
      <c r="K1144" s="59">
        <v>5</v>
      </c>
      <c r="L1144" s="59">
        <v>3</v>
      </c>
      <c r="M1144" s="59">
        <f t="shared" si="327"/>
        <v>0</v>
      </c>
      <c r="N1144" s="59">
        <f t="shared" si="328"/>
        <v>0</v>
      </c>
      <c r="O1144" s="59">
        <f t="shared" si="329"/>
        <v>1</v>
      </c>
      <c r="P1144" s="59">
        <f t="shared" si="330"/>
        <v>0</v>
      </c>
      <c r="Q1144" s="59">
        <f t="shared" si="331"/>
        <v>0</v>
      </c>
      <c r="R1144" s="59">
        <v>1</v>
      </c>
      <c r="S1144" s="59">
        <v>1611</v>
      </c>
      <c r="T1144" s="59">
        <v>3</v>
      </c>
      <c r="U1144" s="59">
        <v>0</v>
      </c>
      <c r="V1144" s="59">
        <v>50</v>
      </c>
      <c r="W1144" s="59">
        <v>1</v>
      </c>
      <c r="X1144" s="59">
        <v>2</v>
      </c>
      <c r="Y1144" s="59">
        <v>3</v>
      </c>
      <c r="Z1144" s="59">
        <f t="shared" si="332"/>
        <v>0</v>
      </c>
      <c r="AA1144" s="59">
        <f>IF('Updated Dummy'!Y1144=2,1,0)</f>
        <v>0</v>
      </c>
      <c r="AB1144" s="59">
        <f t="shared" si="333"/>
        <v>1</v>
      </c>
      <c r="AC1144" s="59">
        <f t="shared" si="334"/>
        <v>0</v>
      </c>
      <c r="AD1144" s="59">
        <f t="shared" si="335"/>
        <v>0</v>
      </c>
      <c r="AE1144" s="59">
        <f t="shared" si="336"/>
        <v>0</v>
      </c>
      <c r="AF1144" s="59">
        <f t="shared" si="337"/>
        <v>0</v>
      </c>
      <c r="AG1144" s="59">
        <f t="shared" si="338"/>
        <v>0</v>
      </c>
      <c r="AH1144" s="59">
        <v>1</v>
      </c>
      <c r="AI1144" s="59">
        <v>1</v>
      </c>
      <c r="AJ1144" s="59">
        <f t="shared" si="339"/>
        <v>1</v>
      </c>
      <c r="AK1144" s="59">
        <f t="shared" si="340"/>
        <v>0</v>
      </c>
      <c r="AL1144" s="59">
        <v>5769</v>
      </c>
      <c r="AM1144" s="59">
        <v>23447</v>
      </c>
      <c r="AN1144" s="59">
        <v>1</v>
      </c>
      <c r="AO1144" s="59">
        <v>1</v>
      </c>
      <c r="AP1144" s="59">
        <v>14</v>
      </c>
      <c r="AQ1144" s="59">
        <v>3</v>
      </c>
      <c r="AR1144" s="59">
        <v>1</v>
      </c>
      <c r="AS1144" s="59">
        <v>80</v>
      </c>
      <c r="AT1144" s="59">
        <v>0</v>
      </c>
      <c r="AU1144" s="59">
        <v>10</v>
      </c>
      <c r="AV1144" s="59">
        <v>3</v>
      </c>
      <c r="AW1144" s="59">
        <v>3</v>
      </c>
      <c r="AX1144" s="59">
        <v>10</v>
      </c>
      <c r="AY1144" s="59">
        <v>7</v>
      </c>
      <c r="AZ1144" s="59">
        <v>1</v>
      </c>
      <c r="BA1144" s="59">
        <v>4</v>
      </c>
      <c r="BB1144" s="57">
        <f t="shared" si="341"/>
        <v>11538</v>
      </c>
    </row>
    <row r="1145" spans="1:54" x14ac:dyDescent="0.25">
      <c r="A1145" s="58">
        <v>45</v>
      </c>
      <c r="B1145" s="59">
        <v>0</v>
      </c>
      <c r="C1145" s="59">
        <v>3</v>
      </c>
      <c r="D1145" s="59">
        <f t="shared" si="323"/>
        <v>0</v>
      </c>
      <c r="E1145" s="59">
        <f t="shared" si="324"/>
        <v>0</v>
      </c>
      <c r="F1145" s="59">
        <v>336</v>
      </c>
      <c r="G1145" s="59">
        <v>1</v>
      </c>
      <c r="H1145" s="59">
        <f t="shared" si="325"/>
        <v>1</v>
      </c>
      <c r="I1145" s="59">
        <f t="shared" si="326"/>
        <v>0</v>
      </c>
      <c r="J1145" s="59">
        <v>26</v>
      </c>
      <c r="K1145" s="59">
        <v>3</v>
      </c>
      <c r="L1145" s="59">
        <v>4</v>
      </c>
      <c r="M1145" s="59">
        <f t="shared" si="327"/>
        <v>0</v>
      </c>
      <c r="N1145" s="59">
        <f t="shared" si="328"/>
        <v>0</v>
      </c>
      <c r="O1145" s="59">
        <f t="shared" si="329"/>
        <v>0</v>
      </c>
      <c r="P1145" s="59">
        <f t="shared" si="330"/>
        <v>1</v>
      </c>
      <c r="Q1145" s="59">
        <f t="shared" si="331"/>
        <v>0</v>
      </c>
      <c r="R1145" s="59">
        <v>1</v>
      </c>
      <c r="S1145" s="59">
        <v>1612</v>
      </c>
      <c r="T1145" s="59">
        <v>1</v>
      </c>
      <c r="U1145" s="59">
        <v>1</v>
      </c>
      <c r="V1145" s="59">
        <v>52</v>
      </c>
      <c r="W1145" s="59">
        <v>2</v>
      </c>
      <c r="X1145" s="59">
        <v>2</v>
      </c>
      <c r="Y1145" s="59">
        <v>1</v>
      </c>
      <c r="Z1145" s="59">
        <f t="shared" si="332"/>
        <v>1</v>
      </c>
      <c r="AA1145" s="59">
        <f>IF('Updated Dummy'!Y1145=2,1,0)</f>
        <v>0</v>
      </c>
      <c r="AB1145" s="59">
        <f t="shared" si="333"/>
        <v>0</v>
      </c>
      <c r="AC1145" s="59">
        <f t="shared" si="334"/>
        <v>0</v>
      </c>
      <c r="AD1145" s="59">
        <f t="shared" si="335"/>
        <v>0</v>
      </c>
      <c r="AE1145" s="59">
        <f t="shared" si="336"/>
        <v>0</v>
      </c>
      <c r="AF1145" s="59">
        <f t="shared" si="337"/>
        <v>0</v>
      </c>
      <c r="AG1145" s="59">
        <f t="shared" si="338"/>
        <v>0</v>
      </c>
      <c r="AH1145" s="59">
        <v>1</v>
      </c>
      <c r="AI1145" s="59">
        <v>2</v>
      </c>
      <c r="AJ1145" s="59">
        <f t="shared" si="339"/>
        <v>0</v>
      </c>
      <c r="AK1145" s="59">
        <f t="shared" si="340"/>
        <v>1</v>
      </c>
      <c r="AL1145" s="59">
        <v>4385</v>
      </c>
      <c r="AM1145" s="59">
        <v>24162</v>
      </c>
      <c r="AN1145" s="59">
        <v>1</v>
      </c>
      <c r="AO1145" s="59">
        <v>0</v>
      </c>
      <c r="AP1145" s="59">
        <v>15</v>
      </c>
      <c r="AQ1145" s="59">
        <v>3</v>
      </c>
      <c r="AR1145" s="59">
        <v>1</v>
      </c>
      <c r="AS1145" s="59">
        <v>80</v>
      </c>
      <c r="AT1145" s="59">
        <v>1</v>
      </c>
      <c r="AU1145" s="59">
        <v>10</v>
      </c>
      <c r="AV1145" s="59">
        <v>2</v>
      </c>
      <c r="AW1145" s="59">
        <v>3</v>
      </c>
      <c r="AX1145" s="59">
        <v>10</v>
      </c>
      <c r="AY1145" s="59">
        <v>7</v>
      </c>
      <c r="AZ1145" s="59">
        <v>4</v>
      </c>
      <c r="BA1145" s="59">
        <v>5</v>
      </c>
      <c r="BB1145" s="57">
        <f t="shared" si="341"/>
        <v>8770</v>
      </c>
    </row>
    <row r="1146" spans="1:54" x14ac:dyDescent="0.25">
      <c r="A1146" s="58">
        <v>31</v>
      </c>
      <c r="B1146" s="59">
        <v>0</v>
      </c>
      <c r="C1146" s="59">
        <v>2</v>
      </c>
      <c r="D1146" s="59">
        <f t="shared" si="323"/>
        <v>0</v>
      </c>
      <c r="E1146" s="59">
        <f t="shared" si="324"/>
        <v>1</v>
      </c>
      <c r="F1146" s="59">
        <v>715</v>
      </c>
      <c r="G1146" s="59">
        <v>1</v>
      </c>
      <c r="H1146" s="59">
        <f t="shared" si="325"/>
        <v>1</v>
      </c>
      <c r="I1146" s="59">
        <f t="shared" si="326"/>
        <v>0</v>
      </c>
      <c r="J1146" s="59">
        <v>2</v>
      </c>
      <c r="K1146" s="59">
        <v>4</v>
      </c>
      <c r="L1146" s="59">
        <v>6</v>
      </c>
      <c r="M1146" s="59">
        <f t="shared" si="327"/>
        <v>0</v>
      </c>
      <c r="N1146" s="59">
        <f t="shared" si="328"/>
        <v>0</v>
      </c>
      <c r="O1146" s="59">
        <f t="shared" si="329"/>
        <v>0</v>
      </c>
      <c r="P1146" s="59">
        <f t="shared" si="330"/>
        <v>0</v>
      </c>
      <c r="Q1146" s="59">
        <f t="shared" si="331"/>
        <v>0</v>
      </c>
      <c r="R1146" s="59">
        <v>1</v>
      </c>
      <c r="S1146" s="59">
        <v>1613</v>
      </c>
      <c r="T1146" s="59">
        <v>4</v>
      </c>
      <c r="U1146" s="59">
        <v>1</v>
      </c>
      <c r="V1146" s="59">
        <v>54</v>
      </c>
      <c r="W1146" s="59">
        <v>3</v>
      </c>
      <c r="X1146" s="59">
        <v>2</v>
      </c>
      <c r="Y1146" s="59">
        <v>1</v>
      </c>
      <c r="Z1146" s="59">
        <f t="shared" si="332"/>
        <v>1</v>
      </c>
      <c r="AA1146" s="59">
        <f>IF('Updated Dummy'!Y1146=2,1,0)</f>
        <v>0</v>
      </c>
      <c r="AB1146" s="59">
        <f t="shared" si="333"/>
        <v>0</v>
      </c>
      <c r="AC1146" s="59">
        <f t="shared" si="334"/>
        <v>0</v>
      </c>
      <c r="AD1146" s="59">
        <f t="shared" si="335"/>
        <v>0</v>
      </c>
      <c r="AE1146" s="59">
        <f t="shared" si="336"/>
        <v>0</v>
      </c>
      <c r="AF1146" s="59">
        <f t="shared" si="337"/>
        <v>0</v>
      </c>
      <c r="AG1146" s="59">
        <f t="shared" si="338"/>
        <v>0</v>
      </c>
      <c r="AH1146" s="59">
        <v>1</v>
      </c>
      <c r="AI1146" s="59">
        <v>1</v>
      </c>
      <c r="AJ1146" s="59">
        <f t="shared" si="339"/>
        <v>1</v>
      </c>
      <c r="AK1146" s="59">
        <f t="shared" si="340"/>
        <v>0</v>
      </c>
      <c r="AL1146" s="59">
        <v>5332</v>
      </c>
      <c r="AM1146" s="59">
        <v>21602</v>
      </c>
      <c r="AN1146" s="59">
        <v>7</v>
      </c>
      <c r="AO1146" s="59">
        <v>0</v>
      </c>
      <c r="AP1146" s="59">
        <v>13</v>
      </c>
      <c r="AQ1146" s="59">
        <v>3</v>
      </c>
      <c r="AR1146" s="59">
        <v>4</v>
      </c>
      <c r="AS1146" s="59">
        <v>80</v>
      </c>
      <c r="AT1146" s="59">
        <v>0</v>
      </c>
      <c r="AU1146" s="59">
        <v>10</v>
      </c>
      <c r="AV1146" s="59">
        <v>3</v>
      </c>
      <c r="AW1146" s="59">
        <v>3</v>
      </c>
      <c r="AX1146" s="59">
        <v>5</v>
      </c>
      <c r="AY1146" s="59">
        <v>2</v>
      </c>
      <c r="AZ1146" s="59">
        <v>0</v>
      </c>
      <c r="BA1146" s="59">
        <v>3</v>
      </c>
      <c r="BB1146" s="57">
        <f t="shared" si="341"/>
        <v>10664</v>
      </c>
    </row>
    <row r="1147" spans="1:54" x14ac:dyDescent="0.25">
      <c r="A1147" s="58">
        <v>36</v>
      </c>
      <c r="B1147" s="59">
        <v>0</v>
      </c>
      <c r="C1147" s="59">
        <v>1</v>
      </c>
      <c r="D1147" s="59">
        <f t="shared" si="323"/>
        <v>1</v>
      </c>
      <c r="E1147" s="59">
        <f t="shared" si="324"/>
        <v>0</v>
      </c>
      <c r="F1147" s="59">
        <v>559</v>
      </c>
      <c r="G1147" s="59">
        <v>2</v>
      </c>
      <c r="H1147" s="59">
        <f t="shared" si="325"/>
        <v>0</v>
      </c>
      <c r="I1147" s="59">
        <f t="shared" si="326"/>
        <v>1</v>
      </c>
      <c r="J1147" s="59">
        <v>12</v>
      </c>
      <c r="K1147" s="59">
        <v>4</v>
      </c>
      <c r="L1147" s="59">
        <v>1</v>
      </c>
      <c r="M1147" s="59">
        <f t="shared" si="327"/>
        <v>1</v>
      </c>
      <c r="N1147" s="59">
        <f t="shared" si="328"/>
        <v>0</v>
      </c>
      <c r="O1147" s="59">
        <f t="shared" si="329"/>
        <v>0</v>
      </c>
      <c r="P1147" s="59">
        <f t="shared" si="330"/>
        <v>0</v>
      </c>
      <c r="Q1147" s="59">
        <f t="shared" si="331"/>
        <v>0</v>
      </c>
      <c r="R1147" s="59">
        <v>1</v>
      </c>
      <c r="S1147" s="59">
        <v>1614</v>
      </c>
      <c r="T1147" s="59">
        <v>3</v>
      </c>
      <c r="U1147" s="59">
        <v>0</v>
      </c>
      <c r="V1147" s="59">
        <v>76</v>
      </c>
      <c r="W1147" s="59">
        <v>3</v>
      </c>
      <c r="X1147" s="59">
        <v>2</v>
      </c>
      <c r="Y1147" s="59">
        <v>4</v>
      </c>
      <c r="Z1147" s="59">
        <f t="shared" si="332"/>
        <v>0</v>
      </c>
      <c r="AA1147" s="59">
        <f>IF('Updated Dummy'!Y1147=2,1,0)</f>
        <v>0</v>
      </c>
      <c r="AB1147" s="59">
        <f t="shared" si="333"/>
        <v>0</v>
      </c>
      <c r="AC1147" s="59">
        <f t="shared" si="334"/>
        <v>1</v>
      </c>
      <c r="AD1147" s="59">
        <f t="shared" si="335"/>
        <v>0</v>
      </c>
      <c r="AE1147" s="59">
        <f t="shared" si="336"/>
        <v>0</v>
      </c>
      <c r="AF1147" s="59">
        <f t="shared" si="337"/>
        <v>0</v>
      </c>
      <c r="AG1147" s="59">
        <f t="shared" si="338"/>
        <v>0</v>
      </c>
      <c r="AH1147" s="59">
        <v>3</v>
      </c>
      <c r="AI1147" s="59">
        <v>2</v>
      </c>
      <c r="AJ1147" s="59">
        <f t="shared" si="339"/>
        <v>0</v>
      </c>
      <c r="AK1147" s="59">
        <f t="shared" si="340"/>
        <v>1</v>
      </c>
      <c r="AL1147" s="59">
        <v>4663</v>
      </c>
      <c r="AM1147" s="59">
        <v>12421</v>
      </c>
      <c r="AN1147" s="59">
        <v>9</v>
      </c>
      <c r="AO1147" s="59">
        <v>1</v>
      </c>
      <c r="AP1147" s="59">
        <v>12</v>
      </c>
      <c r="AQ1147" s="59">
        <v>3</v>
      </c>
      <c r="AR1147" s="59">
        <v>2</v>
      </c>
      <c r="AS1147" s="59">
        <v>80</v>
      </c>
      <c r="AT1147" s="59">
        <v>2</v>
      </c>
      <c r="AU1147" s="59">
        <v>7</v>
      </c>
      <c r="AV1147" s="59">
        <v>2</v>
      </c>
      <c r="AW1147" s="59">
        <v>3</v>
      </c>
      <c r="AX1147" s="59">
        <v>3</v>
      </c>
      <c r="AY1147" s="59">
        <v>2</v>
      </c>
      <c r="AZ1147" s="59">
        <v>1</v>
      </c>
      <c r="BA1147" s="59">
        <v>1</v>
      </c>
      <c r="BB1147" s="57">
        <f t="shared" si="341"/>
        <v>9326</v>
      </c>
    </row>
    <row r="1148" spans="1:54" x14ac:dyDescent="0.25">
      <c r="A1148" s="58">
        <v>34</v>
      </c>
      <c r="B1148" s="59">
        <v>0</v>
      </c>
      <c r="C1148" s="59">
        <v>2</v>
      </c>
      <c r="D1148" s="59">
        <f t="shared" si="323"/>
        <v>0</v>
      </c>
      <c r="E1148" s="59">
        <f t="shared" si="324"/>
        <v>1</v>
      </c>
      <c r="F1148" s="59">
        <v>426</v>
      </c>
      <c r="G1148" s="59">
        <v>2</v>
      </c>
      <c r="H1148" s="59">
        <f t="shared" si="325"/>
        <v>0</v>
      </c>
      <c r="I1148" s="59">
        <f t="shared" si="326"/>
        <v>1</v>
      </c>
      <c r="J1148" s="59">
        <v>10</v>
      </c>
      <c r="K1148" s="59">
        <v>4</v>
      </c>
      <c r="L1148" s="59">
        <v>1</v>
      </c>
      <c r="M1148" s="59">
        <f t="shared" si="327"/>
        <v>1</v>
      </c>
      <c r="N1148" s="59">
        <f t="shared" si="328"/>
        <v>0</v>
      </c>
      <c r="O1148" s="59">
        <f t="shared" si="329"/>
        <v>0</v>
      </c>
      <c r="P1148" s="59">
        <f t="shared" si="330"/>
        <v>0</v>
      </c>
      <c r="Q1148" s="59">
        <f t="shared" si="331"/>
        <v>0</v>
      </c>
      <c r="R1148" s="59">
        <v>1</v>
      </c>
      <c r="S1148" s="59">
        <v>1615</v>
      </c>
      <c r="T1148" s="59">
        <v>3</v>
      </c>
      <c r="U1148" s="59">
        <v>1</v>
      </c>
      <c r="V1148" s="59">
        <v>42</v>
      </c>
      <c r="W1148" s="59">
        <v>4</v>
      </c>
      <c r="X1148" s="59">
        <v>2</v>
      </c>
      <c r="Y1148" s="59">
        <v>4</v>
      </c>
      <c r="Z1148" s="59">
        <f t="shared" si="332"/>
        <v>0</v>
      </c>
      <c r="AA1148" s="59">
        <f>IF('Updated Dummy'!Y1148=2,1,0)</f>
        <v>0</v>
      </c>
      <c r="AB1148" s="59">
        <f t="shared" si="333"/>
        <v>0</v>
      </c>
      <c r="AC1148" s="59">
        <f t="shared" si="334"/>
        <v>1</v>
      </c>
      <c r="AD1148" s="59">
        <f t="shared" si="335"/>
        <v>0</v>
      </c>
      <c r="AE1148" s="59">
        <f t="shared" si="336"/>
        <v>0</v>
      </c>
      <c r="AF1148" s="59">
        <f t="shared" si="337"/>
        <v>0</v>
      </c>
      <c r="AG1148" s="59">
        <f t="shared" si="338"/>
        <v>0</v>
      </c>
      <c r="AH1148" s="59">
        <v>4</v>
      </c>
      <c r="AI1148" s="59">
        <v>3</v>
      </c>
      <c r="AJ1148" s="59">
        <f t="shared" si="339"/>
        <v>0</v>
      </c>
      <c r="AK1148" s="59">
        <f t="shared" si="340"/>
        <v>0</v>
      </c>
      <c r="AL1148" s="59">
        <v>4724</v>
      </c>
      <c r="AM1148" s="59">
        <v>17000</v>
      </c>
      <c r="AN1148" s="59">
        <v>1</v>
      </c>
      <c r="AO1148" s="59">
        <v>0</v>
      </c>
      <c r="AP1148" s="59">
        <v>13</v>
      </c>
      <c r="AQ1148" s="59">
        <v>3</v>
      </c>
      <c r="AR1148" s="59">
        <v>1</v>
      </c>
      <c r="AS1148" s="59">
        <v>80</v>
      </c>
      <c r="AT1148" s="59">
        <v>1</v>
      </c>
      <c r="AU1148" s="59">
        <v>9</v>
      </c>
      <c r="AV1148" s="59">
        <v>3</v>
      </c>
      <c r="AW1148" s="59">
        <v>3</v>
      </c>
      <c r="AX1148" s="59">
        <v>9</v>
      </c>
      <c r="AY1148" s="59">
        <v>7</v>
      </c>
      <c r="AZ1148" s="59">
        <v>7</v>
      </c>
      <c r="BA1148" s="59">
        <v>2</v>
      </c>
      <c r="BB1148" s="57">
        <f t="shared" si="341"/>
        <v>9448</v>
      </c>
    </row>
    <row r="1149" spans="1:54" x14ac:dyDescent="0.25">
      <c r="A1149" s="58">
        <v>49</v>
      </c>
      <c r="B1149" s="59">
        <v>0</v>
      </c>
      <c r="C1149" s="59">
        <v>1</v>
      </c>
      <c r="D1149" s="59">
        <f t="shared" si="323"/>
        <v>1</v>
      </c>
      <c r="E1149" s="59">
        <f t="shared" si="324"/>
        <v>0</v>
      </c>
      <c r="F1149" s="59">
        <v>722</v>
      </c>
      <c r="G1149" s="59">
        <v>2</v>
      </c>
      <c r="H1149" s="59">
        <f t="shared" si="325"/>
        <v>0</v>
      </c>
      <c r="I1149" s="59">
        <f t="shared" si="326"/>
        <v>1</v>
      </c>
      <c r="J1149" s="59">
        <v>25</v>
      </c>
      <c r="K1149" s="59">
        <v>4</v>
      </c>
      <c r="L1149" s="59">
        <v>1</v>
      </c>
      <c r="M1149" s="59">
        <f t="shared" si="327"/>
        <v>1</v>
      </c>
      <c r="N1149" s="59">
        <f t="shared" si="328"/>
        <v>0</v>
      </c>
      <c r="O1149" s="59">
        <f t="shared" si="329"/>
        <v>0</v>
      </c>
      <c r="P1149" s="59">
        <f t="shared" si="330"/>
        <v>0</v>
      </c>
      <c r="Q1149" s="59">
        <f t="shared" si="331"/>
        <v>0</v>
      </c>
      <c r="R1149" s="59">
        <v>1</v>
      </c>
      <c r="S1149" s="59">
        <v>1617</v>
      </c>
      <c r="T1149" s="59">
        <v>3</v>
      </c>
      <c r="U1149" s="59">
        <v>0</v>
      </c>
      <c r="V1149" s="59">
        <v>84</v>
      </c>
      <c r="W1149" s="59">
        <v>3</v>
      </c>
      <c r="X1149" s="59">
        <v>1</v>
      </c>
      <c r="Y1149" s="59">
        <v>3</v>
      </c>
      <c r="Z1149" s="59">
        <f t="shared" si="332"/>
        <v>0</v>
      </c>
      <c r="AA1149" s="59">
        <f>IF('Updated Dummy'!Y1149=2,1,0)</f>
        <v>0</v>
      </c>
      <c r="AB1149" s="59">
        <f t="shared" si="333"/>
        <v>1</v>
      </c>
      <c r="AC1149" s="59">
        <f t="shared" si="334"/>
        <v>0</v>
      </c>
      <c r="AD1149" s="59">
        <f t="shared" si="335"/>
        <v>0</v>
      </c>
      <c r="AE1149" s="59">
        <f t="shared" si="336"/>
        <v>0</v>
      </c>
      <c r="AF1149" s="59">
        <f t="shared" si="337"/>
        <v>0</v>
      </c>
      <c r="AG1149" s="59">
        <f t="shared" si="338"/>
        <v>0</v>
      </c>
      <c r="AH1149" s="59">
        <v>1</v>
      </c>
      <c r="AI1149" s="59">
        <v>2</v>
      </c>
      <c r="AJ1149" s="59">
        <f t="shared" si="339"/>
        <v>0</v>
      </c>
      <c r="AK1149" s="59">
        <f t="shared" si="340"/>
        <v>1</v>
      </c>
      <c r="AL1149" s="59">
        <v>3211</v>
      </c>
      <c r="AM1149" s="59">
        <v>22102</v>
      </c>
      <c r="AN1149" s="59">
        <v>1</v>
      </c>
      <c r="AO1149" s="59">
        <v>0</v>
      </c>
      <c r="AP1149" s="59">
        <v>14</v>
      </c>
      <c r="AQ1149" s="59">
        <v>3</v>
      </c>
      <c r="AR1149" s="59">
        <v>4</v>
      </c>
      <c r="AS1149" s="59">
        <v>80</v>
      </c>
      <c r="AT1149" s="59">
        <v>1</v>
      </c>
      <c r="AU1149" s="59">
        <v>10</v>
      </c>
      <c r="AV1149" s="59">
        <v>3</v>
      </c>
      <c r="AW1149" s="59">
        <v>2</v>
      </c>
      <c r="AX1149" s="59">
        <v>9</v>
      </c>
      <c r="AY1149" s="59">
        <v>6</v>
      </c>
      <c r="AZ1149" s="59">
        <v>1</v>
      </c>
      <c r="BA1149" s="59">
        <v>4</v>
      </c>
      <c r="BB1149" s="57">
        <f t="shared" si="341"/>
        <v>3211</v>
      </c>
    </row>
    <row r="1150" spans="1:54" x14ac:dyDescent="0.25">
      <c r="A1150" s="58">
        <v>39</v>
      </c>
      <c r="B1150" s="59">
        <v>0</v>
      </c>
      <c r="C1150" s="59">
        <v>1</v>
      </c>
      <c r="D1150" s="59">
        <f t="shared" si="323"/>
        <v>1</v>
      </c>
      <c r="E1150" s="59">
        <f t="shared" si="324"/>
        <v>0</v>
      </c>
      <c r="F1150" s="59">
        <v>1387</v>
      </c>
      <c r="G1150" s="59">
        <v>2</v>
      </c>
      <c r="H1150" s="59">
        <f t="shared" si="325"/>
        <v>0</v>
      </c>
      <c r="I1150" s="59">
        <f t="shared" si="326"/>
        <v>1</v>
      </c>
      <c r="J1150" s="59">
        <v>10</v>
      </c>
      <c r="K1150" s="59">
        <v>5</v>
      </c>
      <c r="L1150" s="59">
        <v>3</v>
      </c>
      <c r="M1150" s="59">
        <f t="shared" si="327"/>
        <v>0</v>
      </c>
      <c r="N1150" s="59">
        <f t="shared" si="328"/>
        <v>0</v>
      </c>
      <c r="O1150" s="59">
        <f t="shared" si="329"/>
        <v>1</v>
      </c>
      <c r="P1150" s="59">
        <f t="shared" si="330"/>
        <v>0</v>
      </c>
      <c r="Q1150" s="59">
        <f t="shared" si="331"/>
        <v>0</v>
      </c>
      <c r="R1150" s="59">
        <v>1</v>
      </c>
      <c r="S1150" s="59">
        <v>1618</v>
      </c>
      <c r="T1150" s="59">
        <v>2</v>
      </c>
      <c r="U1150" s="59">
        <v>1</v>
      </c>
      <c r="V1150" s="59">
        <v>76</v>
      </c>
      <c r="W1150" s="59">
        <v>3</v>
      </c>
      <c r="X1150" s="59">
        <v>2</v>
      </c>
      <c r="Y1150" s="59">
        <v>4</v>
      </c>
      <c r="Z1150" s="59">
        <f t="shared" si="332"/>
        <v>0</v>
      </c>
      <c r="AA1150" s="59">
        <f>IF('Updated Dummy'!Y1150=2,1,0)</f>
        <v>0</v>
      </c>
      <c r="AB1150" s="59">
        <f t="shared" si="333"/>
        <v>0</v>
      </c>
      <c r="AC1150" s="59">
        <f t="shared" si="334"/>
        <v>1</v>
      </c>
      <c r="AD1150" s="59">
        <f t="shared" si="335"/>
        <v>0</v>
      </c>
      <c r="AE1150" s="59">
        <f t="shared" si="336"/>
        <v>0</v>
      </c>
      <c r="AF1150" s="59">
        <f t="shared" si="337"/>
        <v>0</v>
      </c>
      <c r="AG1150" s="59">
        <f t="shared" si="338"/>
        <v>0</v>
      </c>
      <c r="AH1150" s="59">
        <v>1</v>
      </c>
      <c r="AI1150" s="59">
        <v>2</v>
      </c>
      <c r="AJ1150" s="59">
        <f t="shared" si="339"/>
        <v>0</v>
      </c>
      <c r="AK1150" s="59">
        <f t="shared" si="340"/>
        <v>1</v>
      </c>
      <c r="AL1150" s="59">
        <v>5377</v>
      </c>
      <c r="AM1150" s="59">
        <v>3835</v>
      </c>
      <c r="AN1150" s="59">
        <v>2</v>
      </c>
      <c r="AO1150" s="59">
        <v>0</v>
      </c>
      <c r="AP1150" s="59">
        <v>13</v>
      </c>
      <c r="AQ1150" s="59">
        <v>3</v>
      </c>
      <c r="AR1150" s="59">
        <v>4</v>
      </c>
      <c r="AS1150" s="59">
        <v>80</v>
      </c>
      <c r="AT1150" s="59">
        <v>3</v>
      </c>
      <c r="AU1150" s="59">
        <v>10</v>
      </c>
      <c r="AV1150" s="59">
        <v>3</v>
      </c>
      <c r="AW1150" s="59">
        <v>3</v>
      </c>
      <c r="AX1150" s="59">
        <v>7</v>
      </c>
      <c r="AY1150" s="59">
        <v>7</v>
      </c>
      <c r="AZ1150" s="59">
        <v>7</v>
      </c>
      <c r="BA1150" s="59">
        <v>7</v>
      </c>
      <c r="BB1150" s="57">
        <f t="shared" si="341"/>
        <v>10754</v>
      </c>
    </row>
    <row r="1151" spans="1:54" x14ac:dyDescent="0.25">
      <c r="A1151" s="58">
        <v>27</v>
      </c>
      <c r="B1151" s="59">
        <v>0</v>
      </c>
      <c r="C1151" s="59">
        <v>1</v>
      </c>
      <c r="D1151" s="59">
        <f t="shared" si="323"/>
        <v>1</v>
      </c>
      <c r="E1151" s="59">
        <f t="shared" si="324"/>
        <v>0</v>
      </c>
      <c r="F1151" s="59">
        <v>1302</v>
      </c>
      <c r="G1151" s="59">
        <v>2</v>
      </c>
      <c r="H1151" s="59">
        <f t="shared" si="325"/>
        <v>0</v>
      </c>
      <c r="I1151" s="59">
        <f t="shared" si="326"/>
        <v>1</v>
      </c>
      <c r="J1151" s="59">
        <v>19</v>
      </c>
      <c r="K1151" s="59">
        <v>3</v>
      </c>
      <c r="L1151" s="59">
        <v>6</v>
      </c>
      <c r="M1151" s="59">
        <f t="shared" si="327"/>
        <v>0</v>
      </c>
      <c r="N1151" s="59">
        <f t="shared" si="328"/>
        <v>0</v>
      </c>
      <c r="O1151" s="59">
        <f t="shared" si="329"/>
        <v>0</v>
      </c>
      <c r="P1151" s="59">
        <f t="shared" si="330"/>
        <v>0</v>
      </c>
      <c r="Q1151" s="59">
        <f t="shared" si="331"/>
        <v>0</v>
      </c>
      <c r="R1151" s="59">
        <v>1</v>
      </c>
      <c r="S1151" s="59">
        <v>1619</v>
      </c>
      <c r="T1151" s="59">
        <v>4</v>
      </c>
      <c r="U1151" s="59">
        <v>1</v>
      </c>
      <c r="V1151" s="59">
        <v>67</v>
      </c>
      <c r="W1151" s="59">
        <v>2</v>
      </c>
      <c r="X1151" s="59">
        <v>1</v>
      </c>
      <c r="Y1151" s="59">
        <v>3</v>
      </c>
      <c r="Z1151" s="59">
        <f t="shared" si="332"/>
        <v>0</v>
      </c>
      <c r="AA1151" s="59">
        <f>IF('Updated Dummy'!Y1151=2,1,0)</f>
        <v>0</v>
      </c>
      <c r="AB1151" s="59">
        <f t="shared" si="333"/>
        <v>1</v>
      </c>
      <c r="AC1151" s="59">
        <f t="shared" si="334"/>
        <v>0</v>
      </c>
      <c r="AD1151" s="59">
        <f t="shared" si="335"/>
        <v>0</v>
      </c>
      <c r="AE1151" s="59">
        <f t="shared" si="336"/>
        <v>0</v>
      </c>
      <c r="AF1151" s="59">
        <f t="shared" si="337"/>
        <v>0</v>
      </c>
      <c r="AG1151" s="59">
        <f t="shared" si="338"/>
        <v>0</v>
      </c>
      <c r="AH1151" s="59">
        <v>1</v>
      </c>
      <c r="AI1151" s="59">
        <v>3</v>
      </c>
      <c r="AJ1151" s="59">
        <f t="shared" si="339"/>
        <v>0</v>
      </c>
      <c r="AK1151" s="59">
        <f t="shared" si="340"/>
        <v>0</v>
      </c>
      <c r="AL1151" s="59">
        <v>4066</v>
      </c>
      <c r="AM1151" s="59">
        <v>16290</v>
      </c>
      <c r="AN1151" s="59">
        <v>1</v>
      </c>
      <c r="AO1151" s="59">
        <v>0</v>
      </c>
      <c r="AP1151" s="59">
        <v>11</v>
      </c>
      <c r="AQ1151" s="59">
        <v>3</v>
      </c>
      <c r="AR1151" s="59">
        <v>1</v>
      </c>
      <c r="AS1151" s="59">
        <v>80</v>
      </c>
      <c r="AT1151" s="59">
        <v>2</v>
      </c>
      <c r="AU1151" s="59">
        <v>7</v>
      </c>
      <c r="AV1151" s="59">
        <v>3</v>
      </c>
      <c r="AW1151" s="59">
        <v>3</v>
      </c>
      <c r="AX1151" s="59">
        <v>7</v>
      </c>
      <c r="AY1151" s="59">
        <v>7</v>
      </c>
      <c r="AZ1151" s="59">
        <v>0</v>
      </c>
      <c r="BA1151" s="59">
        <v>7</v>
      </c>
      <c r="BB1151" s="57">
        <f t="shared" si="341"/>
        <v>4066</v>
      </c>
    </row>
    <row r="1152" spans="1:54" x14ac:dyDescent="0.25">
      <c r="A1152" s="58">
        <v>35</v>
      </c>
      <c r="B1152" s="59">
        <v>0</v>
      </c>
      <c r="C1152" s="59">
        <v>1</v>
      </c>
      <c r="D1152" s="59">
        <f t="shared" si="323"/>
        <v>1</v>
      </c>
      <c r="E1152" s="59">
        <f t="shared" si="324"/>
        <v>0</v>
      </c>
      <c r="F1152" s="59">
        <v>819</v>
      </c>
      <c r="G1152" s="59">
        <v>2</v>
      </c>
      <c r="H1152" s="59">
        <f t="shared" si="325"/>
        <v>0</v>
      </c>
      <c r="I1152" s="59">
        <f t="shared" si="326"/>
        <v>1</v>
      </c>
      <c r="J1152" s="59">
        <v>18</v>
      </c>
      <c r="K1152" s="59">
        <v>5</v>
      </c>
      <c r="L1152" s="59">
        <v>1</v>
      </c>
      <c r="M1152" s="59">
        <f t="shared" si="327"/>
        <v>1</v>
      </c>
      <c r="N1152" s="59">
        <f t="shared" si="328"/>
        <v>0</v>
      </c>
      <c r="O1152" s="59">
        <f t="shared" si="329"/>
        <v>0</v>
      </c>
      <c r="P1152" s="59">
        <f t="shared" si="330"/>
        <v>0</v>
      </c>
      <c r="Q1152" s="59">
        <f t="shared" si="331"/>
        <v>0</v>
      </c>
      <c r="R1152" s="59">
        <v>1</v>
      </c>
      <c r="S1152" s="59">
        <v>1621</v>
      </c>
      <c r="T1152" s="59">
        <v>2</v>
      </c>
      <c r="U1152" s="59">
        <v>1</v>
      </c>
      <c r="V1152" s="59">
        <v>48</v>
      </c>
      <c r="W1152" s="59">
        <v>4</v>
      </c>
      <c r="X1152" s="59">
        <v>2</v>
      </c>
      <c r="Y1152" s="59">
        <v>2</v>
      </c>
      <c r="Z1152" s="59">
        <f t="shared" si="332"/>
        <v>0</v>
      </c>
      <c r="AA1152" s="59">
        <f>IF('Updated Dummy'!Y1152=2,1,0)</f>
        <v>1</v>
      </c>
      <c r="AB1152" s="59">
        <f t="shared" si="333"/>
        <v>0</v>
      </c>
      <c r="AC1152" s="59">
        <f t="shared" si="334"/>
        <v>0</v>
      </c>
      <c r="AD1152" s="59">
        <f t="shared" si="335"/>
        <v>0</v>
      </c>
      <c r="AE1152" s="59">
        <f t="shared" si="336"/>
        <v>0</v>
      </c>
      <c r="AF1152" s="59">
        <f t="shared" si="337"/>
        <v>0</v>
      </c>
      <c r="AG1152" s="59">
        <f t="shared" si="338"/>
        <v>0</v>
      </c>
      <c r="AH1152" s="59">
        <v>1</v>
      </c>
      <c r="AI1152" s="59">
        <v>2</v>
      </c>
      <c r="AJ1152" s="59">
        <f t="shared" si="339"/>
        <v>0</v>
      </c>
      <c r="AK1152" s="59">
        <f t="shared" si="340"/>
        <v>1</v>
      </c>
      <c r="AL1152" s="59">
        <v>5208</v>
      </c>
      <c r="AM1152" s="59">
        <v>26312</v>
      </c>
      <c r="AN1152" s="59">
        <v>1</v>
      </c>
      <c r="AO1152" s="59">
        <v>0</v>
      </c>
      <c r="AP1152" s="59">
        <v>11</v>
      </c>
      <c r="AQ1152" s="59">
        <v>3</v>
      </c>
      <c r="AR1152" s="59">
        <v>4</v>
      </c>
      <c r="AS1152" s="59">
        <v>80</v>
      </c>
      <c r="AT1152" s="59">
        <v>0</v>
      </c>
      <c r="AU1152" s="59">
        <v>16</v>
      </c>
      <c r="AV1152" s="59">
        <v>2</v>
      </c>
      <c r="AW1152" s="59">
        <v>3</v>
      </c>
      <c r="AX1152" s="59">
        <v>16</v>
      </c>
      <c r="AY1152" s="59">
        <v>15</v>
      </c>
      <c r="AZ1152" s="59">
        <v>1</v>
      </c>
      <c r="BA1152" s="59">
        <v>10</v>
      </c>
      <c r="BB1152" s="57">
        <f t="shared" si="341"/>
        <v>10416</v>
      </c>
    </row>
    <row r="1153" spans="1:54" x14ac:dyDescent="0.25">
      <c r="A1153" s="58">
        <v>28</v>
      </c>
      <c r="B1153" s="59">
        <v>0</v>
      </c>
      <c r="C1153" s="59">
        <v>1</v>
      </c>
      <c r="D1153" s="59">
        <f t="shared" si="323"/>
        <v>1</v>
      </c>
      <c r="E1153" s="59">
        <f t="shared" si="324"/>
        <v>0</v>
      </c>
      <c r="F1153" s="59">
        <v>580</v>
      </c>
      <c r="G1153" s="59">
        <v>2</v>
      </c>
      <c r="H1153" s="59">
        <f t="shared" si="325"/>
        <v>0</v>
      </c>
      <c r="I1153" s="59">
        <f t="shared" si="326"/>
        <v>1</v>
      </c>
      <c r="J1153" s="59">
        <v>27</v>
      </c>
      <c r="K1153" s="59">
        <v>3</v>
      </c>
      <c r="L1153" s="59">
        <v>3</v>
      </c>
      <c r="M1153" s="59">
        <f t="shared" si="327"/>
        <v>0</v>
      </c>
      <c r="N1153" s="59">
        <f t="shared" si="328"/>
        <v>0</v>
      </c>
      <c r="O1153" s="59">
        <f t="shared" si="329"/>
        <v>1</v>
      </c>
      <c r="P1153" s="59">
        <f t="shared" si="330"/>
        <v>0</v>
      </c>
      <c r="Q1153" s="59">
        <f t="shared" si="331"/>
        <v>0</v>
      </c>
      <c r="R1153" s="59">
        <v>1</v>
      </c>
      <c r="S1153" s="59">
        <v>1622</v>
      </c>
      <c r="T1153" s="59">
        <v>2</v>
      </c>
      <c r="U1153" s="59">
        <v>0</v>
      </c>
      <c r="V1153" s="59">
        <v>39</v>
      </c>
      <c r="W1153" s="59">
        <v>1</v>
      </c>
      <c r="X1153" s="59">
        <v>2</v>
      </c>
      <c r="Y1153" s="59">
        <v>4</v>
      </c>
      <c r="Z1153" s="59">
        <f t="shared" si="332"/>
        <v>0</v>
      </c>
      <c r="AA1153" s="59">
        <f>IF('Updated Dummy'!Y1153=2,1,0)</f>
        <v>0</v>
      </c>
      <c r="AB1153" s="59">
        <f t="shared" si="333"/>
        <v>0</v>
      </c>
      <c r="AC1153" s="59">
        <f t="shared" si="334"/>
        <v>1</v>
      </c>
      <c r="AD1153" s="59">
        <f t="shared" si="335"/>
        <v>0</v>
      </c>
      <c r="AE1153" s="59">
        <f t="shared" si="336"/>
        <v>0</v>
      </c>
      <c r="AF1153" s="59">
        <f t="shared" si="337"/>
        <v>0</v>
      </c>
      <c r="AG1153" s="59">
        <f t="shared" si="338"/>
        <v>0</v>
      </c>
      <c r="AH1153" s="59">
        <v>1</v>
      </c>
      <c r="AI1153" s="59">
        <v>3</v>
      </c>
      <c r="AJ1153" s="59">
        <f t="shared" si="339"/>
        <v>0</v>
      </c>
      <c r="AK1153" s="59">
        <f t="shared" si="340"/>
        <v>0</v>
      </c>
      <c r="AL1153" s="59">
        <v>4877</v>
      </c>
      <c r="AM1153" s="59">
        <v>20460</v>
      </c>
      <c r="AN1153" s="59">
        <v>0</v>
      </c>
      <c r="AO1153" s="59">
        <v>0</v>
      </c>
      <c r="AP1153" s="59">
        <v>21</v>
      </c>
      <c r="AQ1153" s="59">
        <v>4</v>
      </c>
      <c r="AR1153" s="59">
        <v>2</v>
      </c>
      <c r="AS1153" s="59">
        <v>80</v>
      </c>
      <c r="AT1153" s="59">
        <v>1</v>
      </c>
      <c r="AU1153" s="59">
        <v>6</v>
      </c>
      <c r="AV1153" s="59">
        <v>5</v>
      </c>
      <c r="AW1153" s="59">
        <v>2</v>
      </c>
      <c r="AX1153" s="59">
        <v>5</v>
      </c>
      <c r="AY1153" s="59">
        <v>3</v>
      </c>
      <c r="AZ1153" s="59">
        <v>0</v>
      </c>
      <c r="BA1153" s="59">
        <v>0</v>
      </c>
      <c r="BB1153" s="57">
        <f t="shared" si="341"/>
        <v>9754</v>
      </c>
    </row>
    <row r="1154" spans="1:54" x14ac:dyDescent="0.25">
      <c r="A1154" s="58">
        <v>21</v>
      </c>
      <c r="B1154" s="59">
        <v>0</v>
      </c>
      <c r="C1154" s="59">
        <v>1</v>
      </c>
      <c r="D1154" s="59">
        <f t="shared" si="323"/>
        <v>1</v>
      </c>
      <c r="E1154" s="59">
        <f t="shared" si="324"/>
        <v>0</v>
      </c>
      <c r="F1154" s="59">
        <v>546</v>
      </c>
      <c r="G1154" s="59">
        <v>2</v>
      </c>
      <c r="H1154" s="59">
        <f t="shared" si="325"/>
        <v>0</v>
      </c>
      <c r="I1154" s="59">
        <f t="shared" si="326"/>
        <v>1</v>
      </c>
      <c r="J1154" s="59">
        <v>5</v>
      </c>
      <c r="K1154" s="59">
        <v>1</v>
      </c>
      <c r="L1154" s="59">
        <v>3</v>
      </c>
      <c r="M1154" s="59">
        <f t="shared" si="327"/>
        <v>0</v>
      </c>
      <c r="N1154" s="59">
        <f t="shared" si="328"/>
        <v>0</v>
      </c>
      <c r="O1154" s="59">
        <f t="shared" si="329"/>
        <v>1</v>
      </c>
      <c r="P1154" s="59">
        <f t="shared" si="330"/>
        <v>0</v>
      </c>
      <c r="Q1154" s="59">
        <f t="shared" si="331"/>
        <v>0</v>
      </c>
      <c r="R1154" s="59">
        <v>1</v>
      </c>
      <c r="S1154" s="59">
        <v>1623</v>
      </c>
      <c r="T1154" s="59">
        <v>3</v>
      </c>
      <c r="U1154" s="59">
        <v>1</v>
      </c>
      <c r="V1154" s="59">
        <v>97</v>
      </c>
      <c r="W1154" s="59">
        <v>3</v>
      </c>
      <c r="X1154" s="59">
        <v>1</v>
      </c>
      <c r="Y1154" s="59">
        <v>2</v>
      </c>
      <c r="Z1154" s="59">
        <f t="shared" si="332"/>
        <v>0</v>
      </c>
      <c r="AA1154" s="59">
        <f>IF('Updated Dummy'!Y1154=2,1,0)</f>
        <v>1</v>
      </c>
      <c r="AB1154" s="59">
        <f t="shared" si="333"/>
        <v>0</v>
      </c>
      <c r="AC1154" s="59">
        <f t="shared" si="334"/>
        <v>0</v>
      </c>
      <c r="AD1154" s="59">
        <f t="shared" si="335"/>
        <v>0</v>
      </c>
      <c r="AE1154" s="59">
        <f t="shared" si="336"/>
        <v>0</v>
      </c>
      <c r="AF1154" s="59">
        <f t="shared" si="337"/>
        <v>0</v>
      </c>
      <c r="AG1154" s="59">
        <f t="shared" si="338"/>
        <v>0</v>
      </c>
      <c r="AH1154" s="59">
        <v>4</v>
      </c>
      <c r="AI1154" s="59">
        <v>1</v>
      </c>
      <c r="AJ1154" s="59">
        <f t="shared" si="339"/>
        <v>1</v>
      </c>
      <c r="AK1154" s="59">
        <f t="shared" si="340"/>
        <v>0</v>
      </c>
      <c r="AL1154" s="59">
        <v>3117</v>
      </c>
      <c r="AM1154" s="59">
        <v>26009</v>
      </c>
      <c r="AN1154" s="59">
        <v>1</v>
      </c>
      <c r="AO1154" s="59">
        <v>0</v>
      </c>
      <c r="AP1154" s="59">
        <v>18</v>
      </c>
      <c r="AQ1154" s="59">
        <v>3</v>
      </c>
      <c r="AR1154" s="59">
        <v>3</v>
      </c>
      <c r="AS1154" s="59">
        <v>80</v>
      </c>
      <c r="AT1154" s="59">
        <v>0</v>
      </c>
      <c r="AU1154" s="59">
        <v>3</v>
      </c>
      <c r="AV1154" s="59">
        <v>2</v>
      </c>
      <c r="AW1154" s="59">
        <v>3</v>
      </c>
      <c r="AX1154" s="59">
        <v>2</v>
      </c>
      <c r="AY1154" s="59">
        <v>2</v>
      </c>
      <c r="AZ1154" s="59">
        <v>2</v>
      </c>
      <c r="BA1154" s="59">
        <v>2</v>
      </c>
      <c r="BB1154" s="57">
        <f t="shared" si="341"/>
        <v>3117</v>
      </c>
    </row>
    <row r="1155" spans="1:54" x14ac:dyDescent="0.25">
      <c r="A1155" s="58">
        <v>18</v>
      </c>
      <c r="B1155" s="59">
        <v>1</v>
      </c>
      <c r="C1155" s="59">
        <v>2</v>
      </c>
      <c r="D1155" s="59">
        <f t="shared" ref="D1155:D1218" si="342">IF(C1155=1,1,0)</f>
        <v>0</v>
      </c>
      <c r="E1155" s="59">
        <f t="shared" ref="E1155:E1218" si="343">IF(C1155=2,1,0)</f>
        <v>1</v>
      </c>
      <c r="F1155" s="59">
        <v>544</v>
      </c>
      <c r="G1155" s="59">
        <v>1</v>
      </c>
      <c r="H1155" s="59">
        <f t="shared" ref="H1155:H1218" si="344">IF(G1155=1,1,0)</f>
        <v>1</v>
      </c>
      <c r="I1155" s="59">
        <f t="shared" ref="I1155:I1218" si="345">IF(G1155=2,1,0)</f>
        <v>0</v>
      </c>
      <c r="J1155" s="59">
        <v>3</v>
      </c>
      <c r="K1155" s="59">
        <v>2</v>
      </c>
      <c r="L1155" s="59">
        <v>3</v>
      </c>
      <c r="M1155" s="59">
        <f t="shared" ref="M1155:M1218" si="346">IF(L1155=1,1,0)</f>
        <v>0</v>
      </c>
      <c r="N1155" s="59">
        <f t="shared" ref="N1155:N1218" si="347">IF(L1155=2,1,0)</f>
        <v>0</v>
      </c>
      <c r="O1155" s="59">
        <f t="shared" ref="O1155:O1218" si="348">IF(L1155=3,1,0)</f>
        <v>1</v>
      </c>
      <c r="P1155" s="59">
        <f t="shared" ref="P1155:P1218" si="349">IF(L1155=4,1,0)</f>
        <v>0</v>
      </c>
      <c r="Q1155" s="59">
        <f t="shared" ref="Q1155:Q1218" si="350">IF(L1155=5,1,0)</f>
        <v>0</v>
      </c>
      <c r="R1155" s="59">
        <v>1</v>
      </c>
      <c r="S1155" s="59">
        <v>1624</v>
      </c>
      <c r="T1155" s="59">
        <v>2</v>
      </c>
      <c r="U1155" s="59">
        <v>0</v>
      </c>
      <c r="V1155" s="59">
        <v>70</v>
      </c>
      <c r="W1155" s="59">
        <v>3</v>
      </c>
      <c r="X1155" s="59">
        <v>1</v>
      </c>
      <c r="Y1155" s="59">
        <v>7</v>
      </c>
      <c r="Z1155" s="59">
        <f t="shared" ref="Z1155:Z1218" si="351">IF(Y1155=1,1,0)</f>
        <v>0</v>
      </c>
      <c r="AA1155" s="59">
        <f>IF('Updated Dummy'!Y1155=2,1,0)</f>
        <v>0</v>
      </c>
      <c r="AB1155" s="59">
        <f t="shared" ref="AB1155:AB1218" si="352">IF(Y1155=3,1,0)</f>
        <v>0</v>
      </c>
      <c r="AC1155" s="59">
        <f t="shared" ref="AC1155:AC1218" si="353">IF(Y1155=4,1,0)</f>
        <v>0</v>
      </c>
      <c r="AD1155" s="59">
        <f t="shared" ref="AD1155:AD1218" si="354">IF(Y1155=5,1,0)</f>
        <v>0</v>
      </c>
      <c r="AE1155" s="59">
        <f t="shared" ref="AE1155:AE1218" si="355">IF(Y1155=6,1,0)</f>
        <v>0</v>
      </c>
      <c r="AF1155" s="59">
        <f t="shared" ref="AF1155:AF1218" si="356">IF(Y1155=7,1,0)</f>
        <v>1</v>
      </c>
      <c r="AG1155" s="59">
        <f t="shared" ref="AG1155:AG1218" si="357">IF(Y1155=8,1,0)</f>
        <v>0</v>
      </c>
      <c r="AH1155" s="59">
        <v>4</v>
      </c>
      <c r="AI1155" s="59">
        <v>1</v>
      </c>
      <c r="AJ1155" s="59">
        <f t="shared" ref="AJ1155:AJ1218" si="358">IF(AI1155=1,1,0)</f>
        <v>1</v>
      </c>
      <c r="AK1155" s="59">
        <f t="shared" ref="AK1155:AK1218" si="359">IF(AI1155=2,1,0)</f>
        <v>0</v>
      </c>
      <c r="AL1155" s="59">
        <v>1569</v>
      </c>
      <c r="AM1155" s="59">
        <v>18420</v>
      </c>
      <c r="AN1155" s="59">
        <v>1</v>
      </c>
      <c r="AO1155" s="59">
        <v>1</v>
      </c>
      <c r="AP1155" s="59">
        <v>12</v>
      </c>
      <c r="AQ1155" s="59">
        <v>3</v>
      </c>
      <c r="AR1155" s="59">
        <v>3</v>
      </c>
      <c r="AS1155" s="59">
        <v>80</v>
      </c>
      <c r="AT1155" s="59">
        <v>0</v>
      </c>
      <c r="AU1155" s="59">
        <v>0</v>
      </c>
      <c r="AV1155" s="59">
        <v>2</v>
      </c>
      <c r="AW1155" s="59">
        <v>4</v>
      </c>
      <c r="AX1155" s="59">
        <v>0</v>
      </c>
      <c r="AY1155" s="59">
        <v>0</v>
      </c>
      <c r="AZ1155" s="59">
        <v>0</v>
      </c>
      <c r="BA1155" s="59">
        <v>0</v>
      </c>
      <c r="BB1155" s="57">
        <f t="shared" ref="BB1155:BB1218" si="360">X1155*AL1155</f>
        <v>1569</v>
      </c>
    </row>
    <row r="1156" spans="1:54" x14ac:dyDescent="0.25">
      <c r="A1156" s="58">
        <v>47</v>
      </c>
      <c r="B1156" s="59">
        <v>0</v>
      </c>
      <c r="C1156" s="59">
        <v>1</v>
      </c>
      <c r="D1156" s="59">
        <f t="shared" si="342"/>
        <v>1</v>
      </c>
      <c r="E1156" s="59">
        <f t="shared" si="343"/>
        <v>0</v>
      </c>
      <c r="F1156" s="59">
        <v>1176</v>
      </c>
      <c r="G1156" s="59">
        <v>3</v>
      </c>
      <c r="H1156" s="59">
        <f t="shared" si="344"/>
        <v>0</v>
      </c>
      <c r="I1156" s="59">
        <f t="shared" si="345"/>
        <v>0</v>
      </c>
      <c r="J1156" s="59">
        <v>26</v>
      </c>
      <c r="K1156" s="59">
        <v>4</v>
      </c>
      <c r="L1156" s="59">
        <v>1</v>
      </c>
      <c r="M1156" s="59">
        <f t="shared" si="346"/>
        <v>1</v>
      </c>
      <c r="N1156" s="59">
        <f t="shared" si="347"/>
        <v>0</v>
      </c>
      <c r="O1156" s="59">
        <f t="shared" si="348"/>
        <v>0</v>
      </c>
      <c r="P1156" s="59">
        <f t="shared" si="349"/>
        <v>0</v>
      </c>
      <c r="Q1156" s="59">
        <f t="shared" si="350"/>
        <v>0</v>
      </c>
      <c r="R1156" s="59">
        <v>1</v>
      </c>
      <c r="S1156" s="59">
        <v>1625</v>
      </c>
      <c r="T1156" s="59">
        <v>4</v>
      </c>
      <c r="U1156" s="59">
        <v>0</v>
      </c>
      <c r="V1156" s="59">
        <v>98</v>
      </c>
      <c r="W1156" s="59">
        <v>3</v>
      </c>
      <c r="X1156" s="59">
        <v>5</v>
      </c>
      <c r="Y1156" s="59">
        <v>6</v>
      </c>
      <c r="Z1156" s="59">
        <f t="shared" si="351"/>
        <v>0</v>
      </c>
      <c r="AA1156" s="59">
        <f>IF('Updated Dummy'!Y1156=2,1,0)</f>
        <v>0</v>
      </c>
      <c r="AB1156" s="59">
        <f t="shared" si="352"/>
        <v>0</v>
      </c>
      <c r="AC1156" s="59">
        <f t="shared" si="353"/>
        <v>0</v>
      </c>
      <c r="AD1156" s="59">
        <f t="shared" si="354"/>
        <v>0</v>
      </c>
      <c r="AE1156" s="59">
        <f t="shared" si="355"/>
        <v>1</v>
      </c>
      <c r="AF1156" s="59">
        <f t="shared" si="356"/>
        <v>0</v>
      </c>
      <c r="AG1156" s="59">
        <f t="shared" si="357"/>
        <v>0</v>
      </c>
      <c r="AH1156" s="59">
        <v>3</v>
      </c>
      <c r="AI1156" s="59">
        <v>2</v>
      </c>
      <c r="AJ1156" s="59">
        <f t="shared" si="358"/>
        <v>0</v>
      </c>
      <c r="AK1156" s="59">
        <f t="shared" si="359"/>
        <v>1</v>
      </c>
      <c r="AL1156" s="59">
        <v>19658</v>
      </c>
      <c r="AM1156" s="59">
        <v>5220</v>
      </c>
      <c r="AN1156" s="59">
        <v>3</v>
      </c>
      <c r="AO1156" s="59">
        <v>0</v>
      </c>
      <c r="AP1156" s="59">
        <v>11</v>
      </c>
      <c r="AQ1156" s="59">
        <v>3</v>
      </c>
      <c r="AR1156" s="59">
        <v>3</v>
      </c>
      <c r="AS1156" s="59">
        <v>80</v>
      </c>
      <c r="AT1156" s="59">
        <v>1</v>
      </c>
      <c r="AU1156" s="59">
        <v>27</v>
      </c>
      <c r="AV1156" s="59">
        <v>2</v>
      </c>
      <c r="AW1156" s="59">
        <v>3</v>
      </c>
      <c r="AX1156" s="59">
        <v>5</v>
      </c>
      <c r="AY1156" s="59">
        <v>2</v>
      </c>
      <c r="AZ1156" s="59">
        <v>1</v>
      </c>
      <c r="BA1156" s="59">
        <v>0</v>
      </c>
      <c r="BB1156" s="57">
        <f t="shared" si="360"/>
        <v>98290</v>
      </c>
    </row>
    <row r="1157" spans="1:54" x14ac:dyDescent="0.25">
      <c r="A1157" s="58">
        <v>39</v>
      </c>
      <c r="B1157" s="59">
        <v>0</v>
      </c>
      <c r="C1157" s="59">
        <v>1</v>
      </c>
      <c r="D1157" s="59">
        <f t="shared" si="342"/>
        <v>1</v>
      </c>
      <c r="E1157" s="59">
        <f t="shared" si="343"/>
        <v>0</v>
      </c>
      <c r="F1157" s="59">
        <v>170</v>
      </c>
      <c r="G1157" s="59">
        <v>2</v>
      </c>
      <c r="H1157" s="59">
        <f t="shared" si="344"/>
        <v>0</v>
      </c>
      <c r="I1157" s="59">
        <f t="shared" si="345"/>
        <v>1</v>
      </c>
      <c r="J1157" s="59">
        <v>3</v>
      </c>
      <c r="K1157" s="59">
        <v>2</v>
      </c>
      <c r="L1157" s="59">
        <v>3</v>
      </c>
      <c r="M1157" s="59">
        <f t="shared" si="346"/>
        <v>0</v>
      </c>
      <c r="N1157" s="59">
        <f t="shared" si="347"/>
        <v>0</v>
      </c>
      <c r="O1157" s="59">
        <f t="shared" si="348"/>
        <v>1</v>
      </c>
      <c r="P1157" s="59">
        <f t="shared" si="349"/>
        <v>0</v>
      </c>
      <c r="Q1157" s="59">
        <f t="shared" si="350"/>
        <v>0</v>
      </c>
      <c r="R1157" s="59">
        <v>1</v>
      </c>
      <c r="S1157" s="59">
        <v>1627</v>
      </c>
      <c r="T1157" s="59">
        <v>3</v>
      </c>
      <c r="U1157" s="59">
        <v>1</v>
      </c>
      <c r="V1157" s="59">
        <v>76</v>
      </c>
      <c r="W1157" s="59">
        <v>2</v>
      </c>
      <c r="X1157" s="59">
        <v>2</v>
      </c>
      <c r="Y1157" s="59">
        <v>3</v>
      </c>
      <c r="Z1157" s="59">
        <f t="shared" si="351"/>
        <v>0</v>
      </c>
      <c r="AA1157" s="59">
        <f>IF('Updated Dummy'!Y1157=2,1,0)</f>
        <v>0</v>
      </c>
      <c r="AB1157" s="59">
        <f t="shared" si="352"/>
        <v>1</v>
      </c>
      <c r="AC1157" s="59">
        <f t="shared" si="353"/>
        <v>0</v>
      </c>
      <c r="AD1157" s="59">
        <f t="shared" si="354"/>
        <v>0</v>
      </c>
      <c r="AE1157" s="59">
        <f t="shared" si="355"/>
        <v>0</v>
      </c>
      <c r="AF1157" s="59">
        <f t="shared" si="356"/>
        <v>0</v>
      </c>
      <c r="AG1157" s="59">
        <f t="shared" si="357"/>
        <v>0</v>
      </c>
      <c r="AH1157" s="59">
        <v>3</v>
      </c>
      <c r="AI1157" s="59">
        <v>3</v>
      </c>
      <c r="AJ1157" s="59">
        <f t="shared" si="358"/>
        <v>0</v>
      </c>
      <c r="AK1157" s="59">
        <f t="shared" si="359"/>
        <v>0</v>
      </c>
      <c r="AL1157" s="59">
        <v>3069</v>
      </c>
      <c r="AM1157" s="59">
        <v>10302</v>
      </c>
      <c r="AN1157" s="59">
        <v>0</v>
      </c>
      <c r="AO1157" s="59">
        <v>0</v>
      </c>
      <c r="AP1157" s="59">
        <v>15</v>
      </c>
      <c r="AQ1157" s="59">
        <v>3</v>
      </c>
      <c r="AR1157" s="59">
        <v>4</v>
      </c>
      <c r="AS1157" s="59">
        <v>80</v>
      </c>
      <c r="AT1157" s="59">
        <v>1</v>
      </c>
      <c r="AU1157" s="59">
        <v>11</v>
      </c>
      <c r="AV1157" s="59">
        <v>3</v>
      </c>
      <c r="AW1157" s="59">
        <v>3</v>
      </c>
      <c r="AX1157" s="59">
        <v>10</v>
      </c>
      <c r="AY1157" s="59">
        <v>8</v>
      </c>
      <c r="AZ1157" s="59">
        <v>0</v>
      </c>
      <c r="BA1157" s="59">
        <v>7</v>
      </c>
      <c r="BB1157" s="57">
        <f t="shared" si="360"/>
        <v>6138</v>
      </c>
    </row>
    <row r="1158" spans="1:54" x14ac:dyDescent="0.25">
      <c r="A1158" s="58">
        <v>40</v>
      </c>
      <c r="B1158" s="59">
        <v>0</v>
      </c>
      <c r="C1158" s="59">
        <v>1</v>
      </c>
      <c r="D1158" s="59">
        <f t="shared" si="342"/>
        <v>1</v>
      </c>
      <c r="E1158" s="59">
        <f t="shared" si="343"/>
        <v>0</v>
      </c>
      <c r="F1158" s="59">
        <v>884</v>
      </c>
      <c r="G1158" s="59">
        <v>2</v>
      </c>
      <c r="H1158" s="59">
        <f t="shared" si="344"/>
        <v>0</v>
      </c>
      <c r="I1158" s="59">
        <f t="shared" si="345"/>
        <v>1</v>
      </c>
      <c r="J1158" s="59">
        <v>15</v>
      </c>
      <c r="K1158" s="59">
        <v>3</v>
      </c>
      <c r="L1158" s="59">
        <v>1</v>
      </c>
      <c r="M1158" s="59">
        <f t="shared" si="346"/>
        <v>1</v>
      </c>
      <c r="N1158" s="59">
        <f t="shared" si="347"/>
        <v>0</v>
      </c>
      <c r="O1158" s="59">
        <f t="shared" si="348"/>
        <v>0</v>
      </c>
      <c r="P1158" s="59">
        <f t="shared" si="349"/>
        <v>0</v>
      </c>
      <c r="Q1158" s="59">
        <f t="shared" si="350"/>
        <v>0</v>
      </c>
      <c r="R1158" s="59">
        <v>1</v>
      </c>
      <c r="S1158" s="59">
        <v>1628</v>
      </c>
      <c r="T1158" s="59">
        <v>1</v>
      </c>
      <c r="U1158" s="59">
        <v>0</v>
      </c>
      <c r="V1158" s="59">
        <v>80</v>
      </c>
      <c r="W1158" s="59">
        <v>2</v>
      </c>
      <c r="X1158" s="59">
        <v>3</v>
      </c>
      <c r="Y1158" s="59">
        <v>4</v>
      </c>
      <c r="Z1158" s="59">
        <f t="shared" si="351"/>
        <v>0</v>
      </c>
      <c r="AA1158" s="59">
        <f>IF('Updated Dummy'!Y1158=2,1,0)</f>
        <v>0</v>
      </c>
      <c r="AB1158" s="59">
        <f t="shared" si="352"/>
        <v>0</v>
      </c>
      <c r="AC1158" s="59">
        <f t="shared" si="353"/>
        <v>1</v>
      </c>
      <c r="AD1158" s="59">
        <f t="shared" si="354"/>
        <v>0</v>
      </c>
      <c r="AE1158" s="59">
        <f t="shared" si="355"/>
        <v>0</v>
      </c>
      <c r="AF1158" s="59">
        <f t="shared" si="356"/>
        <v>0</v>
      </c>
      <c r="AG1158" s="59">
        <f t="shared" si="357"/>
        <v>0</v>
      </c>
      <c r="AH1158" s="59">
        <v>3</v>
      </c>
      <c r="AI1158" s="59">
        <v>2</v>
      </c>
      <c r="AJ1158" s="59">
        <f t="shared" si="358"/>
        <v>0</v>
      </c>
      <c r="AK1158" s="59">
        <f t="shared" si="359"/>
        <v>1</v>
      </c>
      <c r="AL1158" s="59">
        <v>10435</v>
      </c>
      <c r="AM1158" s="59">
        <v>25800</v>
      </c>
      <c r="AN1158" s="59">
        <v>1</v>
      </c>
      <c r="AO1158" s="59">
        <v>0</v>
      </c>
      <c r="AP1158" s="59">
        <v>13</v>
      </c>
      <c r="AQ1158" s="59">
        <v>3</v>
      </c>
      <c r="AR1158" s="59">
        <v>4</v>
      </c>
      <c r="AS1158" s="59">
        <v>80</v>
      </c>
      <c r="AT1158" s="59">
        <v>2</v>
      </c>
      <c r="AU1158" s="59">
        <v>18</v>
      </c>
      <c r="AV1158" s="59">
        <v>2</v>
      </c>
      <c r="AW1158" s="59">
        <v>3</v>
      </c>
      <c r="AX1158" s="59">
        <v>18</v>
      </c>
      <c r="AY1158" s="59">
        <v>15</v>
      </c>
      <c r="AZ1158" s="59">
        <v>14</v>
      </c>
      <c r="BA1158" s="59">
        <v>12</v>
      </c>
      <c r="BB1158" s="57">
        <f t="shared" si="360"/>
        <v>31305</v>
      </c>
    </row>
    <row r="1159" spans="1:54" x14ac:dyDescent="0.25">
      <c r="A1159" s="58">
        <v>35</v>
      </c>
      <c r="B1159" s="59">
        <v>0</v>
      </c>
      <c r="C1159" s="59">
        <v>3</v>
      </c>
      <c r="D1159" s="59">
        <f t="shared" si="342"/>
        <v>0</v>
      </c>
      <c r="E1159" s="59">
        <f t="shared" si="343"/>
        <v>0</v>
      </c>
      <c r="F1159" s="59">
        <v>208</v>
      </c>
      <c r="G1159" s="59">
        <v>2</v>
      </c>
      <c r="H1159" s="59">
        <f t="shared" si="344"/>
        <v>0</v>
      </c>
      <c r="I1159" s="59">
        <f t="shared" si="345"/>
        <v>1</v>
      </c>
      <c r="J1159" s="59">
        <v>8</v>
      </c>
      <c r="K1159" s="59">
        <v>4</v>
      </c>
      <c r="L1159" s="59">
        <v>1</v>
      </c>
      <c r="M1159" s="59">
        <f t="shared" si="346"/>
        <v>1</v>
      </c>
      <c r="N1159" s="59">
        <f t="shared" si="347"/>
        <v>0</v>
      </c>
      <c r="O1159" s="59">
        <f t="shared" si="348"/>
        <v>0</v>
      </c>
      <c r="P1159" s="59">
        <f t="shared" si="349"/>
        <v>0</v>
      </c>
      <c r="Q1159" s="59">
        <f t="shared" si="350"/>
        <v>0</v>
      </c>
      <c r="R1159" s="59">
        <v>1</v>
      </c>
      <c r="S1159" s="59">
        <v>1630</v>
      </c>
      <c r="T1159" s="59">
        <v>3</v>
      </c>
      <c r="U1159" s="59">
        <v>0</v>
      </c>
      <c r="V1159" s="59">
        <v>52</v>
      </c>
      <c r="W1159" s="59">
        <v>3</v>
      </c>
      <c r="X1159" s="59">
        <v>2</v>
      </c>
      <c r="Y1159" s="59">
        <v>5</v>
      </c>
      <c r="Z1159" s="59">
        <f t="shared" si="351"/>
        <v>0</v>
      </c>
      <c r="AA1159" s="59">
        <f>IF('Updated Dummy'!Y1159=2,1,0)</f>
        <v>0</v>
      </c>
      <c r="AB1159" s="59">
        <f t="shared" si="352"/>
        <v>0</v>
      </c>
      <c r="AC1159" s="59">
        <f t="shared" si="353"/>
        <v>0</v>
      </c>
      <c r="AD1159" s="59">
        <f t="shared" si="354"/>
        <v>1</v>
      </c>
      <c r="AE1159" s="59">
        <f t="shared" si="355"/>
        <v>0</v>
      </c>
      <c r="AF1159" s="59">
        <f t="shared" si="356"/>
        <v>0</v>
      </c>
      <c r="AG1159" s="59">
        <f t="shared" si="357"/>
        <v>0</v>
      </c>
      <c r="AH1159" s="59">
        <v>3</v>
      </c>
      <c r="AI1159" s="59">
        <v>2</v>
      </c>
      <c r="AJ1159" s="59">
        <f t="shared" si="358"/>
        <v>0</v>
      </c>
      <c r="AK1159" s="59">
        <f t="shared" si="359"/>
        <v>1</v>
      </c>
      <c r="AL1159" s="59">
        <v>4148</v>
      </c>
      <c r="AM1159" s="59">
        <v>12250</v>
      </c>
      <c r="AN1159" s="59">
        <v>1</v>
      </c>
      <c r="AO1159" s="59">
        <v>0</v>
      </c>
      <c r="AP1159" s="59">
        <v>12</v>
      </c>
      <c r="AQ1159" s="59">
        <v>3</v>
      </c>
      <c r="AR1159" s="59">
        <v>4</v>
      </c>
      <c r="AS1159" s="59">
        <v>80</v>
      </c>
      <c r="AT1159" s="59">
        <v>1</v>
      </c>
      <c r="AU1159" s="59">
        <v>15</v>
      </c>
      <c r="AV1159" s="59">
        <v>5</v>
      </c>
      <c r="AW1159" s="59">
        <v>3</v>
      </c>
      <c r="AX1159" s="59">
        <v>14</v>
      </c>
      <c r="AY1159" s="59">
        <v>11</v>
      </c>
      <c r="AZ1159" s="59">
        <v>2</v>
      </c>
      <c r="BA1159" s="59">
        <v>9</v>
      </c>
      <c r="BB1159" s="57">
        <f t="shared" si="360"/>
        <v>8296</v>
      </c>
    </row>
    <row r="1160" spans="1:54" x14ac:dyDescent="0.25">
      <c r="A1160" s="58">
        <v>37</v>
      </c>
      <c r="B1160" s="59">
        <v>0</v>
      </c>
      <c r="C1160" s="59">
        <v>1</v>
      </c>
      <c r="D1160" s="59">
        <f t="shared" si="342"/>
        <v>1</v>
      </c>
      <c r="E1160" s="59">
        <f t="shared" si="343"/>
        <v>0</v>
      </c>
      <c r="F1160" s="59">
        <v>671</v>
      </c>
      <c r="G1160" s="59">
        <v>2</v>
      </c>
      <c r="H1160" s="59">
        <f t="shared" si="344"/>
        <v>0</v>
      </c>
      <c r="I1160" s="59">
        <f t="shared" si="345"/>
        <v>1</v>
      </c>
      <c r="J1160" s="59">
        <v>19</v>
      </c>
      <c r="K1160" s="59">
        <v>3</v>
      </c>
      <c r="L1160" s="59">
        <v>1</v>
      </c>
      <c r="M1160" s="59">
        <f t="shared" si="346"/>
        <v>1</v>
      </c>
      <c r="N1160" s="59">
        <f t="shared" si="347"/>
        <v>0</v>
      </c>
      <c r="O1160" s="59">
        <f t="shared" si="348"/>
        <v>0</v>
      </c>
      <c r="P1160" s="59">
        <f t="shared" si="349"/>
        <v>0</v>
      </c>
      <c r="Q1160" s="59">
        <f t="shared" si="350"/>
        <v>0</v>
      </c>
      <c r="R1160" s="59">
        <v>1</v>
      </c>
      <c r="S1160" s="59">
        <v>1631</v>
      </c>
      <c r="T1160" s="59">
        <v>3</v>
      </c>
      <c r="U1160" s="59">
        <v>1</v>
      </c>
      <c r="V1160" s="59">
        <v>85</v>
      </c>
      <c r="W1160" s="59">
        <v>3</v>
      </c>
      <c r="X1160" s="59">
        <v>2</v>
      </c>
      <c r="Y1160" s="59">
        <v>4</v>
      </c>
      <c r="Z1160" s="59">
        <f t="shared" si="351"/>
        <v>0</v>
      </c>
      <c r="AA1160" s="59">
        <f>IF('Updated Dummy'!Y1160=2,1,0)</f>
        <v>0</v>
      </c>
      <c r="AB1160" s="59">
        <f t="shared" si="352"/>
        <v>0</v>
      </c>
      <c r="AC1160" s="59">
        <f t="shared" si="353"/>
        <v>1</v>
      </c>
      <c r="AD1160" s="59">
        <f t="shared" si="354"/>
        <v>0</v>
      </c>
      <c r="AE1160" s="59">
        <f t="shared" si="355"/>
        <v>0</v>
      </c>
      <c r="AF1160" s="59">
        <f t="shared" si="356"/>
        <v>0</v>
      </c>
      <c r="AG1160" s="59">
        <f t="shared" si="357"/>
        <v>0</v>
      </c>
      <c r="AH1160" s="59">
        <v>3</v>
      </c>
      <c r="AI1160" s="59">
        <v>2</v>
      </c>
      <c r="AJ1160" s="59">
        <f t="shared" si="358"/>
        <v>0</v>
      </c>
      <c r="AK1160" s="59">
        <f t="shared" si="359"/>
        <v>1</v>
      </c>
      <c r="AL1160" s="59">
        <v>5768</v>
      </c>
      <c r="AM1160" s="59">
        <v>26493</v>
      </c>
      <c r="AN1160" s="59">
        <v>3</v>
      </c>
      <c r="AO1160" s="59">
        <v>0</v>
      </c>
      <c r="AP1160" s="59">
        <v>17</v>
      </c>
      <c r="AQ1160" s="59">
        <v>3</v>
      </c>
      <c r="AR1160" s="59">
        <v>1</v>
      </c>
      <c r="AS1160" s="59">
        <v>80</v>
      </c>
      <c r="AT1160" s="59">
        <v>3</v>
      </c>
      <c r="AU1160" s="59">
        <v>9</v>
      </c>
      <c r="AV1160" s="59">
        <v>2</v>
      </c>
      <c r="AW1160" s="59">
        <v>2</v>
      </c>
      <c r="AX1160" s="59">
        <v>4</v>
      </c>
      <c r="AY1160" s="59">
        <v>3</v>
      </c>
      <c r="AZ1160" s="59">
        <v>0</v>
      </c>
      <c r="BA1160" s="59">
        <v>2</v>
      </c>
      <c r="BB1160" s="57">
        <f t="shared" si="360"/>
        <v>11536</v>
      </c>
    </row>
    <row r="1161" spans="1:54" x14ac:dyDescent="0.25">
      <c r="A1161" s="58">
        <v>39</v>
      </c>
      <c r="B1161" s="59">
        <v>0</v>
      </c>
      <c r="C1161" s="59">
        <v>2</v>
      </c>
      <c r="D1161" s="59">
        <f t="shared" si="342"/>
        <v>0</v>
      </c>
      <c r="E1161" s="59">
        <f t="shared" si="343"/>
        <v>1</v>
      </c>
      <c r="F1161" s="59">
        <v>711</v>
      </c>
      <c r="G1161" s="59">
        <v>2</v>
      </c>
      <c r="H1161" s="59">
        <f t="shared" si="344"/>
        <v>0</v>
      </c>
      <c r="I1161" s="59">
        <f t="shared" si="345"/>
        <v>1</v>
      </c>
      <c r="J1161" s="59">
        <v>4</v>
      </c>
      <c r="K1161" s="59">
        <v>3</v>
      </c>
      <c r="L1161" s="59">
        <v>3</v>
      </c>
      <c r="M1161" s="59">
        <f t="shared" si="346"/>
        <v>0</v>
      </c>
      <c r="N1161" s="59">
        <f t="shared" si="347"/>
        <v>0</v>
      </c>
      <c r="O1161" s="59">
        <f t="shared" si="348"/>
        <v>1</v>
      </c>
      <c r="P1161" s="59">
        <f t="shared" si="349"/>
        <v>0</v>
      </c>
      <c r="Q1161" s="59">
        <f t="shared" si="350"/>
        <v>0</v>
      </c>
      <c r="R1161" s="59">
        <v>1</v>
      </c>
      <c r="S1161" s="59">
        <v>1633</v>
      </c>
      <c r="T1161" s="59">
        <v>1</v>
      </c>
      <c r="U1161" s="59">
        <v>0</v>
      </c>
      <c r="V1161" s="59">
        <v>81</v>
      </c>
      <c r="W1161" s="59">
        <v>3</v>
      </c>
      <c r="X1161" s="59">
        <v>2</v>
      </c>
      <c r="Y1161" s="59">
        <v>4</v>
      </c>
      <c r="Z1161" s="59">
        <f t="shared" si="351"/>
        <v>0</v>
      </c>
      <c r="AA1161" s="59">
        <f>IF('Updated Dummy'!Y1161=2,1,0)</f>
        <v>0</v>
      </c>
      <c r="AB1161" s="59">
        <f t="shared" si="352"/>
        <v>0</v>
      </c>
      <c r="AC1161" s="59">
        <f t="shared" si="353"/>
        <v>1</v>
      </c>
      <c r="AD1161" s="59">
        <f t="shared" si="354"/>
        <v>0</v>
      </c>
      <c r="AE1161" s="59">
        <f t="shared" si="355"/>
        <v>0</v>
      </c>
      <c r="AF1161" s="59">
        <f t="shared" si="356"/>
        <v>0</v>
      </c>
      <c r="AG1161" s="59">
        <f t="shared" si="357"/>
        <v>0</v>
      </c>
      <c r="AH1161" s="59">
        <v>3</v>
      </c>
      <c r="AI1161" s="59">
        <v>1</v>
      </c>
      <c r="AJ1161" s="59">
        <f t="shared" si="358"/>
        <v>1</v>
      </c>
      <c r="AK1161" s="59">
        <f t="shared" si="359"/>
        <v>0</v>
      </c>
      <c r="AL1161" s="59">
        <v>5042</v>
      </c>
      <c r="AM1161" s="59">
        <v>3140</v>
      </c>
      <c r="AN1161" s="59">
        <v>0</v>
      </c>
      <c r="AO1161" s="59">
        <v>0</v>
      </c>
      <c r="AP1161" s="59">
        <v>13</v>
      </c>
      <c r="AQ1161" s="59">
        <v>3</v>
      </c>
      <c r="AR1161" s="59">
        <v>4</v>
      </c>
      <c r="AS1161" s="59">
        <v>80</v>
      </c>
      <c r="AT1161" s="59">
        <v>0</v>
      </c>
      <c r="AU1161" s="59">
        <v>10</v>
      </c>
      <c r="AV1161" s="59">
        <v>2</v>
      </c>
      <c r="AW1161" s="59">
        <v>1</v>
      </c>
      <c r="AX1161" s="59">
        <v>9</v>
      </c>
      <c r="AY1161" s="59">
        <v>2</v>
      </c>
      <c r="AZ1161" s="59">
        <v>3</v>
      </c>
      <c r="BA1161" s="59">
        <v>8</v>
      </c>
      <c r="BB1161" s="57">
        <f t="shared" si="360"/>
        <v>10084</v>
      </c>
    </row>
    <row r="1162" spans="1:54" x14ac:dyDescent="0.25">
      <c r="A1162" s="58">
        <v>45</v>
      </c>
      <c r="B1162" s="59">
        <v>0</v>
      </c>
      <c r="C1162" s="59">
        <v>1</v>
      </c>
      <c r="D1162" s="59">
        <f t="shared" si="342"/>
        <v>1</v>
      </c>
      <c r="E1162" s="59">
        <f t="shared" si="343"/>
        <v>0</v>
      </c>
      <c r="F1162" s="59">
        <v>1329</v>
      </c>
      <c r="G1162" s="59">
        <v>2</v>
      </c>
      <c r="H1162" s="59">
        <f t="shared" si="344"/>
        <v>0</v>
      </c>
      <c r="I1162" s="59">
        <f t="shared" si="345"/>
        <v>1</v>
      </c>
      <c r="J1162" s="59">
        <v>2</v>
      </c>
      <c r="K1162" s="59">
        <v>2</v>
      </c>
      <c r="L1162" s="59">
        <v>6</v>
      </c>
      <c r="M1162" s="59">
        <f t="shared" si="346"/>
        <v>0</v>
      </c>
      <c r="N1162" s="59">
        <f t="shared" si="347"/>
        <v>0</v>
      </c>
      <c r="O1162" s="59">
        <f t="shared" si="348"/>
        <v>0</v>
      </c>
      <c r="P1162" s="59">
        <f t="shared" si="349"/>
        <v>0</v>
      </c>
      <c r="Q1162" s="59">
        <f t="shared" si="350"/>
        <v>0</v>
      </c>
      <c r="R1162" s="59">
        <v>1</v>
      </c>
      <c r="S1162" s="59">
        <v>1635</v>
      </c>
      <c r="T1162" s="59">
        <v>4</v>
      </c>
      <c r="U1162" s="59">
        <v>0</v>
      </c>
      <c r="V1162" s="59">
        <v>59</v>
      </c>
      <c r="W1162" s="59">
        <v>2</v>
      </c>
      <c r="X1162" s="59">
        <v>2</v>
      </c>
      <c r="Y1162" s="59">
        <v>4</v>
      </c>
      <c r="Z1162" s="59">
        <f t="shared" si="351"/>
        <v>0</v>
      </c>
      <c r="AA1162" s="59">
        <f>IF('Updated Dummy'!Y1162=2,1,0)</f>
        <v>0</v>
      </c>
      <c r="AB1162" s="59">
        <f t="shared" si="352"/>
        <v>0</v>
      </c>
      <c r="AC1162" s="59">
        <f t="shared" si="353"/>
        <v>1</v>
      </c>
      <c r="AD1162" s="59">
        <f t="shared" si="354"/>
        <v>0</v>
      </c>
      <c r="AE1162" s="59">
        <f t="shared" si="355"/>
        <v>0</v>
      </c>
      <c r="AF1162" s="59">
        <f t="shared" si="356"/>
        <v>0</v>
      </c>
      <c r="AG1162" s="59">
        <f t="shared" si="357"/>
        <v>0</v>
      </c>
      <c r="AH1162" s="59">
        <v>4</v>
      </c>
      <c r="AI1162" s="59">
        <v>3</v>
      </c>
      <c r="AJ1162" s="59">
        <f t="shared" si="358"/>
        <v>0</v>
      </c>
      <c r="AK1162" s="59">
        <f t="shared" si="359"/>
        <v>0</v>
      </c>
      <c r="AL1162" s="59">
        <v>5770</v>
      </c>
      <c r="AM1162" s="59">
        <v>5388</v>
      </c>
      <c r="AN1162" s="59">
        <v>1</v>
      </c>
      <c r="AO1162" s="59">
        <v>0</v>
      </c>
      <c r="AP1162" s="59">
        <v>19</v>
      </c>
      <c r="AQ1162" s="59">
        <v>3</v>
      </c>
      <c r="AR1162" s="59">
        <v>1</v>
      </c>
      <c r="AS1162" s="59">
        <v>80</v>
      </c>
      <c r="AT1162" s="59">
        <v>2</v>
      </c>
      <c r="AU1162" s="59">
        <v>10</v>
      </c>
      <c r="AV1162" s="59">
        <v>3</v>
      </c>
      <c r="AW1162" s="59">
        <v>3</v>
      </c>
      <c r="AX1162" s="59">
        <v>10</v>
      </c>
      <c r="AY1162" s="59">
        <v>7</v>
      </c>
      <c r="AZ1162" s="59">
        <v>3</v>
      </c>
      <c r="BA1162" s="59">
        <v>9</v>
      </c>
      <c r="BB1162" s="57">
        <f t="shared" si="360"/>
        <v>11540</v>
      </c>
    </row>
    <row r="1163" spans="1:54" x14ac:dyDescent="0.25">
      <c r="A1163" s="58">
        <v>38</v>
      </c>
      <c r="B1163" s="59">
        <v>0</v>
      </c>
      <c r="C1163" s="59">
        <v>1</v>
      </c>
      <c r="D1163" s="59">
        <f t="shared" si="342"/>
        <v>1</v>
      </c>
      <c r="E1163" s="59">
        <f t="shared" si="343"/>
        <v>0</v>
      </c>
      <c r="F1163" s="59">
        <v>397</v>
      </c>
      <c r="G1163" s="59">
        <v>2</v>
      </c>
      <c r="H1163" s="59">
        <f t="shared" si="344"/>
        <v>0</v>
      </c>
      <c r="I1163" s="59">
        <f t="shared" si="345"/>
        <v>1</v>
      </c>
      <c r="J1163" s="59">
        <v>2</v>
      </c>
      <c r="K1163" s="59">
        <v>2</v>
      </c>
      <c r="L1163" s="59">
        <v>3</v>
      </c>
      <c r="M1163" s="59">
        <f t="shared" si="346"/>
        <v>0</v>
      </c>
      <c r="N1163" s="59">
        <f t="shared" si="347"/>
        <v>0</v>
      </c>
      <c r="O1163" s="59">
        <f t="shared" si="348"/>
        <v>1</v>
      </c>
      <c r="P1163" s="59">
        <f t="shared" si="349"/>
        <v>0</v>
      </c>
      <c r="Q1163" s="59">
        <f t="shared" si="350"/>
        <v>0</v>
      </c>
      <c r="R1163" s="59">
        <v>1</v>
      </c>
      <c r="S1163" s="59">
        <v>1638</v>
      </c>
      <c r="T1163" s="59">
        <v>4</v>
      </c>
      <c r="U1163" s="59">
        <v>0</v>
      </c>
      <c r="V1163" s="59">
        <v>54</v>
      </c>
      <c r="W1163" s="59">
        <v>2</v>
      </c>
      <c r="X1163" s="59">
        <v>3</v>
      </c>
      <c r="Y1163" s="59">
        <v>4</v>
      </c>
      <c r="Z1163" s="59">
        <f t="shared" si="351"/>
        <v>0</v>
      </c>
      <c r="AA1163" s="59">
        <f>IF('Updated Dummy'!Y1163=2,1,0)</f>
        <v>0</v>
      </c>
      <c r="AB1163" s="59">
        <f t="shared" si="352"/>
        <v>0</v>
      </c>
      <c r="AC1163" s="59">
        <f t="shared" si="353"/>
        <v>1</v>
      </c>
      <c r="AD1163" s="59">
        <f t="shared" si="354"/>
        <v>0</v>
      </c>
      <c r="AE1163" s="59">
        <f t="shared" si="355"/>
        <v>0</v>
      </c>
      <c r="AF1163" s="59">
        <f t="shared" si="356"/>
        <v>0</v>
      </c>
      <c r="AG1163" s="59">
        <f t="shared" si="357"/>
        <v>0</v>
      </c>
      <c r="AH1163" s="59">
        <v>3</v>
      </c>
      <c r="AI1163" s="59">
        <v>2</v>
      </c>
      <c r="AJ1163" s="59">
        <f t="shared" si="358"/>
        <v>0</v>
      </c>
      <c r="AK1163" s="59">
        <f t="shared" si="359"/>
        <v>1</v>
      </c>
      <c r="AL1163" s="59">
        <v>7756</v>
      </c>
      <c r="AM1163" s="59">
        <v>14199</v>
      </c>
      <c r="AN1163" s="59">
        <v>3</v>
      </c>
      <c r="AO1163" s="59">
        <v>1</v>
      </c>
      <c r="AP1163" s="59">
        <v>19</v>
      </c>
      <c r="AQ1163" s="59">
        <v>3</v>
      </c>
      <c r="AR1163" s="59">
        <v>4</v>
      </c>
      <c r="AS1163" s="59">
        <v>80</v>
      </c>
      <c r="AT1163" s="59">
        <v>1</v>
      </c>
      <c r="AU1163" s="59">
        <v>10</v>
      </c>
      <c r="AV1163" s="59">
        <v>6</v>
      </c>
      <c r="AW1163" s="59">
        <v>4</v>
      </c>
      <c r="AX1163" s="59">
        <v>5</v>
      </c>
      <c r="AY1163" s="59">
        <v>4</v>
      </c>
      <c r="AZ1163" s="59">
        <v>0</v>
      </c>
      <c r="BA1163" s="59">
        <v>2</v>
      </c>
      <c r="BB1163" s="57">
        <f t="shared" si="360"/>
        <v>23268</v>
      </c>
    </row>
    <row r="1164" spans="1:54" x14ac:dyDescent="0.25">
      <c r="A1164" s="58">
        <v>35</v>
      </c>
      <c r="B1164" s="59">
        <v>1</v>
      </c>
      <c r="C1164" s="59">
        <v>1</v>
      </c>
      <c r="D1164" s="59">
        <f t="shared" si="342"/>
        <v>1</v>
      </c>
      <c r="E1164" s="59">
        <f t="shared" si="343"/>
        <v>0</v>
      </c>
      <c r="F1164" s="59">
        <v>737</v>
      </c>
      <c r="G1164" s="59">
        <v>1</v>
      </c>
      <c r="H1164" s="59">
        <f t="shared" si="344"/>
        <v>1</v>
      </c>
      <c r="I1164" s="59">
        <f t="shared" si="345"/>
        <v>0</v>
      </c>
      <c r="J1164" s="59">
        <v>10</v>
      </c>
      <c r="K1164" s="59">
        <v>3</v>
      </c>
      <c r="L1164" s="59">
        <v>3</v>
      </c>
      <c r="M1164" s="59">
        <f t="shared" si="346"/>
        <v>0</v>
      </c>
      <c r="N1164" s="59">
        <f t="shared" si="347"/>
        <v>0</v>
      </c>
      <c r="O1164" s="59">
        <f t="shared" si="348"/>
        <v>1</v>
      </c>
      <c r="P1164" s="59">
        <f t="shared" si="349"/>
        <v>0</v>
      </c>
      <c r="Q1164" s="59">
        <f t="shared" si="350"/>
        <v>0</v>
      </c>
      <c r="R1164" s="59">
        <v>1</v>
      </c>
      <c r="S1164" s="59">
        <v>1639</v>
      </c>
      <c r="T1164" s="59">
        <v>4</v>
      </c>
      <c r="U1164" s="59">
        <v>1</v>
      </c>
      <c r="V1164" s="59">
        <v>55</v>
      </c>
      <c r="W1164" s="59">
        <v>2</v>
      </c>
      <c r="X1164" s="59">
        <v>3</v>
      </c>
      <c r="Y1164" s="59">
        <v>1</v>
      </c>
      <c r="Z1164" s="59">
        <f t="shared" si="351"/>
        <v>1</v>
      </c>
      <c r="AA1164" s="59">
        <f>IF('Updated Dummy'!Y1164=2,1,0)</f>
        <v>0</v>
      </c>
      <c r="AB1164" s="59">
        <f t="shared" si="352"/>
        <v>0</v>
      </c>
      <c r="AC1164" s="59">
        <f t="shared" si="353"/>
        <v>0</v>
      </c>
      <c r="AD1164" s="59">
        <f t="shared" si="354"/>
        <v>0</v>
      </c>
      <c r="AE1164" s="59">
        <f t="shared" si="355"/>
        <v>0</v>
      </c>
      <c r="AF1164" s="59">
        <f t="shared" si="356"/>
        <v>0</v>
      </c>
      <c r="AG1164" s="59">
        <f t="shared" si="357"/>
        <v>0</v>
      </c>
      <c r="AH1164" s="59">
        <v>1</v>
      </c>
      <c r="AI1164" s="59">
        <v>2</v>
      </c>
      <c r="AJ1164" s="59">
        <f t="shared" si="358"/>
        <v>0</v>
      </c>
      <c r="AK1164" s="59">
        <f t="shared" si="359"/>
        <v>1</v>
      </c>
      <c r="AL1164" s="59">
        <v>10306</v>
      </c>
      <c r="AM1164" s="59">
        <v>21530</v>
      </c>
      <c r="AN1164" s="59">
        <v>9</v>
      </c>
      <c r="AO1164" s="59">
        <v>0</v>
      </c>
      <c r="AP1164" s="59">
        <v>17</v>
      </c>
      <c r="AQ1164" s="59">
        <v>3</v>
      </c>
      <c r="AR1164" s="59">
        <v>3</v>
      </c>
      <c r="AS1164" s="59">
        <v>80</v>
      </c>
      <c r="AT1164" s="59">
        <v>0</v>
      </c>
      <c r="AU1164" s="59">
        <v>15</v>
      </c>
      <c r="AV1164" s="59">
        <v>3</v>
      </c>
      <c r="AW1164" s="59">
        <v>3</v>
      </c>
      <c r="AX1164" s="59">
        <v>13</v>
      </c>
      <c r="AY1164" s="59">
        <v>12</v>
      </c>
      <c r="AZ1164" s="59">
        <v>6</v>
      </c>
      <c r="BA1164" s="59">
        <v>0</v>
      </c>
      <c r="BB1164" s="57">
        <f t="shared" si="360"/>
        <v>30918</v>
      </c>
    </row>
    <row r="1165" spans="1:54" x14ac:dyDescent="0.25">
      <c r="A1165" s="58">
        <v>37</v>
      </c>
      <c r="B1165" s="59">
        <v>0</v>
      </c>
      <c r="C1165" s="59">
        <v>1</v>
      </c>
      <c r="D1165" s="59">
        <f t="shared" si="342"/>
        <v>1</v>
      </c>
      <c r="E1165" s="59">
        <f t="shared" si="343"/>
        <v>0</v>
      </c>
      <c r="F1165" s="59">
        <v>1470</v>
      </c>
      <c r="G1165" s="59">
        <v>2</v>
      </c>
      <c r="H1165" s="59">
        <f t="shared" si="344"/>
        <v>0</v>
      </c>
      <c r="I1165" s="59">
        <f t="shared" si="345"/>
        <v>1</v>
      </c>
      <c r="J1165" s="59">
        <v>10</v>
      </c>
      <c r="K1165" s="59">
        <v>3</v>
      </c>
      <c r="L1165" s="59">
        <v>3</v>
      </c>
      <c r="M1165" s="59">
        <f t="shared" si="346"/>
        <v>0</v>
      </c>
      <c r="N1165" s="59">
        <f t="shared" si="347"/>
        <v>0</v>
      </c>
      <c r="O1165" s="59">
        <f t="shared" si="348"/>
        <v>1</v>
      </c>
      <c r="P1165" s="59">
        <f t="shared" si="349"/>
        <v>0</v>
      </c>
      <c r="Q1165" s="59">
        <f t="shared" si="350"/>
        <v>0</v>
      </c>
      <c r="R1165" s="59">
        <v>1</v>
      </c>
      <c r="S1165" s="59">
        <v>1640</v>
      </c>
      <c r="T1165" s="59">
        <v>2</v>
      </c>
      <c r="U1165" s="59">
        <v>0</v>
      </c>
      <c r="V1165" s="59">
        <v>71</v>
      </c>
      <c r="W1165" s="59">
        <v>3</v>
      </c>
      <c r="X1165" s="59">
        <v>1</v>
      </c>
      <c r="Y1165" s="59">
        <v>2</v>
      </c>
      <c r="Z1165" s="59">
        <f t="shared" si="351"/>
        <v>0</v>
      </c>
      <c r="AA1165" s="59">
        <f>IF('Updated Dummy'!Y1165=2,1,0)</f>
        <v>1</v>
      </c>
      <c r="AB1165" s="59">
        <f t="shared" si="352"/>
        <v>0</v>
      </c>
      <c r="AC1165" s="59">
        <f t="shared" si="353"/>
        <v>0</v>
      </c>
      <c r="AD1165" s="59">
        <f t="shared" si="354"/>
        <v>0</v>
      </c>
      <c r="AE1165" s="59">
        <f t="shared" si="355"/>
        <v>0</v>
      </c>
      <c r="AF1165" s="59">
        <f t="shared" si="356"/>
        <v>0</v>
      </c>
      <c r="AG1165" s="59">
        <f t="shared" si="357"/>
        <v>0</v>
      </c>
      <c r="AH1165" s="59">
        <v>2</v>
      </c>
      <c r="AI1165" s="59">
        <v>2</v>
      </c>
      <c r="AJ1165" s="59">
        <f t="shared" si="358"/>
        <v>0</v>
      </c>
      <c r="AK1165" s="59">
        <f t="shared" si="359"/>
        <v>1</v>
      </c>
      <c r="AL1165" s="59">
        <v>3936</v>
      </c>
      <c r="AM1165" s="59">
        <v>9953</v>
      </c>
      <c r="AN1165" s="59">
        <v>1</v>
      </c>
      <c r="AO1165" s="59">
        <v>0</v>
      </c>
      <c r="AP1165" s="59">
        <v>11</v>
      </c>
      <c r="AQ1165" s="59">
        <v>3</v>
      </c>
      <c r="AR1165" s="59">
        <v>1</v>
      </c>
      <c r="AS1165" s="59">
        <v>80</v>
      </c>
      <c r="AT1165" s="59">
        <v>1</v>
      </c>
      <c r="AU1165" s="59">
        <v>8</v>
      </c>
      <c r="AV1165" s="59">
        <v>2</v>
      </c>
      <c r="AW1165" s="59">
        <v>1</v>
      </c>
      <c r="AX1165" s="59">
        <v>8</v>
      </c>
      <c r="AY1165" s="59">
        <v>4</v>
      </c>
      <c r="AZ1165" s="59">
        <v>7</v>
      </c>
      <c r="BA1165" s="59">
        <v>7</v>
      </c>
      <c r="BB1165" s="57">
        <f t="shared" si="360"/>
        <v>3936</v>
      </c>
    </row>
    <row r="1166" spans="1:54" x14ac:dyDescent="0.25">
      <c r="A1166" s="58">
        <v>40</v>
      </c>
      <c r="B1166" s="59">
        <v>0</v>
      </c>
      <c r="C1166" s="59">
        <v>1</v>
      </c>
      <c r="D1166" s="59">
        <f t="shared" si="342"/>
        <v>1</v>
      </c>
      <c r="E1166" s="59">
        <f t="shared" si="343"/>
        <v>0</v>
      </c>
      <c r="F1166" s="59">
        <v>448</v>
      </c>
      <c r="G1166" s="59">
        <v>2</v>
      </c>
      <c r="H1166" s="59">
        <f t="shared" si="344"/>
        <v>0</v>
      </c>
      <c r="I1166" s="59">
        <f t="shared" si="345"/>
        <v>1</v>
      </c>
      <c r="J1166" s="59">
        <v>16</v>
      </c>
      <c r="K1166" s="59">
        <v>3</v>
      </c>
      <c r="L1166" s="59">
        <v>1</v>
      </c>
      <c r="M1166" s="59">
        <f t="shared" si="346"/>
        <v>1</v>
      </c>
      <c r="N1166" s="59">
        <f t="shared" si="347"/>
        <v>0</v>
      </c>
      <c r="O1166" s="59">
        <f t="shared" si="348"/>
        <v>0</v>
      </c>
      <c r="P1166" s="59">
        <f t="shared" si="349"/>
        <v>0</v>
      </c>
      <c r="Q1166" s="59">
        <f t="shared" si="350"/>
        <v>0</v>
      </c>
      <c r="R1166" s="59">
        <v>1</v>
      </c>
      <c r="S1166" s="59">
        <v>1641</v>
      </c>
      <c r="T1166" s="59">
        <v>3</v>
      </c>
      <c r="U1166" s="59">
        <v>0</v>
      </c>
      <c r="V1166" s="59">
        <v>84</v>
      </c>
      <c r="W1166" s="59">
        <v>3</v>
      </c>
      <c r="X1166" s="59">
        <v>3</v>
      </c>
      <c r="Y1166" s="59">
        <v>4</v>
      </c>
      <c r="Z1166" s="59">
        <f t="shared" si="351"/>
        <v>0</v>
      </c>
      <c r="AA1166" s="59">
        <f>IF('Updated Dummy'!Y1166=2,1,0)</f>
        <v>0</v>
      </c>
      <c r="AB1166" s="59">
        <f t="shared" si="352"/>
        <v>0</v>
      </c>
      <c r="AC1166" s="59">
        <f t="shared" si="353"/>
        <v>1</v>
      </c>
      <c r="AD1166" s="59">
        <f t="shared" si="354"/>
        <v>0</v>
      </c>
      <c r="AE1166" s="59">
        <f t="shared" si="355"/>
        <v>0</v>
      </c>
      <c r="AF1166" s="59">
        <f t="shared" si="356"/>
        <v>0</v>
      </c>
      <c r="AG1166" s="59">
        <f t="shared" si="357"/>
        <v>0</v>
      </c>
      <c r="AH1166" s="59">
        <v>4</v>
      </c>
      <c r="AI1166" s="59">
        <v>1</v>
      </c>
      <c r="AJ1166" s="59">
        <f t="shared" si="358"/>
        <v>1</v>
      </c>
      <c r="AK1166" s="59">
        <f t="shared" si="359"/>
        <v>0</v>
      </c>
      <c r="AL1166" s="59">
        <v>7945</v>
      </c>
      <c r="AM1166" s="59">
        <v>19948</v>
      </c>
      <c r="AN1166" s="59">
        <v>6</v>
      </c>
      <c r="AO1166" s="59">
        <v>1</v>
      </c>
      <c r="AP1166" s="59">
        <v>15</v>
      </c>
      <c r="AQ1166" s="59">
        <v>3</v>
      </c>
      <c r="AR1166" s="59">
        <v>4</v>
      </c>
      <c r="AS1166" s="59">
        <v>80</v>
      </c>
      <c r="AT1166" s="59">
        <v>0</v>
      </c>
      <c r="AU1166" s="59">
        <v>18</v>
      </c>
      <c r="AV1166" s="59">
        <v>2</v>
      </c>
      <c r="AW1166" s="59">
        <v>2</v>
      </c>
      <c r="AX1166" s="59">
        <v>4</v>
      </c>
      <c r="AY1166" s="59">
        <v>2</v>
      </c>
      <c r="AZ1166" s="59">
        <v>3</v>
      </c>
      <c r="BA1166" s="59">
        <v>3</v>
      </c>
      <c r="BB1166" s="57">
        <f t="shared" si="360"/>
        <v>23835</v>
      </c>
    </row>
    <row r="1167" spans="1:54" x14ac:dyDescent="0.25">
      <c r="A1167" s="58">
        <v>44</v>
      </c>
      <c r="B1167" s="59">
        <v>0</v>
      </c>
      <c r="C1167" s="59">
        <v>2</v>
      </c>
      <c r="D1167" s="59">
        <f t="shared" si="342"/>
        <v>0</v>
      </c>
      <c r="E1167" s="59">
        <f t="shared" si="343"/>
        <v>1</v>
      </c>
      <c r="F1167" s="59">
        <v>602</v>
      </c>
      <c r="G1167" s="59">
        <v>3</v>
      </c>
      <c r="H1167" s="59">
        <f t="shared" si="344"/>
        <v>0</v>
      </c>
      <c r="I1167" s="59">
        <f t="shared" si="345"/>
        <v>0</v>
      </c>
      <c r="J1167" s="59">
        <v>1</v>
      </c>
      <c r="K1167" s="59">
        <v>5</v>
      </c>
      <c r="L1167" s="59">
        <v>2</v>
      </c>
      <c r="M1167" s="59">
        <f t="shared" si="346"/>
        <v>0</v>
      </c>
      <c r="N1167" s="59">
        <f t="shared" si="347"/>
        <v>1</v>
      </c>
      <c r="O1167" s="59">
        <f t="shared" si="348"/>
        <v>0</v>
      </c>
      <c r="P1167" s="59">
        <f t="shared" si="349"/>
        <v>0</v>
      </c>
      <c r="Q1167" s="59">
        <f t="shared" si="350"/>
        <v>0</v>
      </c>
      <c r="R1167" s="59">
        <v>1</v>
      </c>
      <c r="S1167" s="59">
        <v>1642</v>
      </c>
      <c r="T1167" s="59">
        <v>1</v>
      </c>
      <c r="U1167" s="59">
        <v>1</v>
      </c>
      <c r="V1167" s="59">
        <v>37</v>
      </c>
      <c r="W1167" s="59">
        <v>3</v>
      </c>
      <c r="X1167" s="59">
        <v>2</v>
      </c>
      <c r="Y1167" s="59">
        <v>9</v>
      </c>
      <c r="Z1167" s="59">
        <f t="shared" si="351"/>
        <v>0</v>
      </c>
      <c r="AA1167" s="59">
        <f>IF('Updated Dummy'!Y1167=2,1,0)</f>
        <v>0</v>
      </c>
      <c r="AB1167" s="59">
        <f t="shared" si="352"/>
        <v>0</v>
      </c>
      <c r="AC1167" s="59">
        <f t="shared" si="353"/>
        <v>0</v>
      </c>
      <c r="AD1167" s="59">
        <f t="shared" si="354"/>
        <v>0</v>
      </c>
      <c r="AE1167" s="59">
        <f t="shared" si="355"/>
        <v>0</v>
      </c>
      <c r="AF1167" s="59">
        <f t="shared" si="356"/>
        <v>0</v>
      </c>
      <c r="AG1167" s="59">
        <f t="shared" si="357"/>
        <v>0</v>
      </c>
      <c r="AH1167" s="59">
        <v>4</v>
      </c>
      <c r="AI1167" s="59">
        <v>2</v>
      </c>
      <c r="AJ1167" s="59">
        <f t="shared" si="358"/>
        <v>0</v>
      </c>
      <c r="AK1167" s="59">
        <f t="shared" si="359"/>
        <v>1</v>
      </c>
      <c r="AL1167" s="59">
        <v>5743</v>
      </c>
      <c r="AM1167" s="59">
        <v>10503</v>
      </c>
      <c r="AN1167" s="59">
        <v>4</v>
      </c>
      <c r="AO1167" s="59">
        <v>1</v>
      </c>
      <c r="AP1167" s="59">
        <v>11</v>
      </c>
      <c r="AQ1167" s="59">
        <v>3</v>
      </c>
      <c r="AR1167" s="59">
        <v>3</v>
      </c>
      <c r="AS1167" s="59">
        <v>80</v>
      </c>
      <c r="AT1167" s="59">
        <v>0</v>
      </c>
      <c r="AU1167" s="59">
        <v>14</v>
      </c>
      <c r="AV1167" s="59">
        <v>3</v>
      </c>
      <c r="AW1167" s="59">
        <v>3</v>
      </c>
      <c r="AX1167" s="59">
        <v>10</v>
      </c>
      <c r="AY1167" s="59">
        <v>7</v>
      </c>
      <c r="AZ1167" s="59">
        <v>0</v>
      </c>
      <c r="BA1167" s="59">
        <v>2</v>
      </c>
      <c r="BB1167" s="57">
        <f t="shared" si="360"/>
        <v>11486</v>
      </c>
    </row>
    <row r="1168" spans="1:54" x14ac:dyDescent="0.25">
      <c r="A1168" s="58">
        <v>48</v>
      </c>
      <c r="B1168" s="59">
        <v>0</v>
      </c>
      <c r="C1168" s="59">
        <v>2</v>
      </c>
      <c r="D1168" s="59">
        <f t="shared" si="342"/>
        <v>0</v>
      </c>
      <c r="E1168" s="59">
        <f t="shared" si="343"/>
        <v>1</v>
      </c>
      <c r="F1168" s="59">
        <v>365</v>
      </c>
      <c r="G1168" s="59">
        <v>2</v>
      </c>
      <c r="H1168" s="59">
        <f t="shared" si="344"/>
        <v>0</v>
      </c>
      <c r="I1168" s="59">
        <f t="shared" si="345"/>
        <v>1</v>
      </c>
      <c r="J1168" s="59">
        <v>4</v>
      </c>
      <c r="K1168" s="59">
        <v>5</v>
      </c>
      <c r="L1168" s="59">
        <v>3</v>
      </c>
      <c r="M1168" s="59">
        <f t="shared" si="346"/>
        <v>0</v>
      </c>
      <c r="N1168" s="59">
        <f t="shared" si="347"/>
        <v>0</v>
      </c>
      <c r="O1168" s="59">
        <f t="shared" si="348"/>
        <v>1</v>
      </c>
      <c r="P1168" s="59">
        <f t="shared" si="349"/>
        <v>0</v>
      </c>
      <c r="Q1168" s="59">
        <f t="shared" si="350"/>
        <v>0</v>
      </c>
      <c r="R1168" s="59">
        <v>1</v>
      </c>
      <c r="S1168" s="59">
        <v>1644</v>
      </c>
      <c r="T1168" s="59">
        <v>3</v>
      </c>
      <c r="U1168" s="59">
        <v>1</v>
      </c>
      <c r="V1168" s="59">
        <v>89</v>
      </c>
      <c r="W1168" s="59">
        <v>2</v>
      </c>
      <c r="X1168" s="59">
        <v>4</v>
      </c>
      <c r="Y1168" s="59">
        <v>6</v>
      </c>
      <c r="Z1168" s="59">
        <f t="shared" si="351"/>
        <v>0</v>
      </c>
      <c r="AA1168" s="59">
        <f>IF('Updated Dummy'!Y1168=2,1,0)</f>
        <v>0</v>
      </c>
      <c r="AB1168" s="59">
        <f t="shared" si="352"/>
        <v>0</v>
      </c>
      <c r="AC1168" s="59">
        <f t="shared" si="353"/>
        <v>0</v>
      </c>
      <c r="AD1168" s="59">
        <f t="shared" si="354"/>
        <v>0</v>
      </c>
      <c r="AE1168" s="59">
        <f t="shared" si="355"/>
        <v>1</v>
      </c>
      <c r="AF1168" s="59">
        <f t="shared" si="356"/>
        <v>0</v>
      </c>
      <c r="AG1168" s="59">
        <f t="shared" si="357"/>
        <v>0</v>
      </c>
      <c r="AH1168" s="59">
        <v>4</v>
      </c>
      <c r="AI1168" s="59">
        <v>2</v>
      </c>
      <c r="AJ1168" s="59">
        <f t="shared" si="358"/>
        <v>0</v>
      </c>
      <c r="AK1168" s="59">
        <f t="shared" si="359"/>
        <v>1</v>
      </c>
      <c r="AL1168" s="59">
        <v>15202</v>
      </c>
      <c r="AM1168" s="59">
        <v>5602</v>
      </c>
      <c r="AN1168" s="59">
        <v>2</v>
      </c>
      <c r="AO1168" s="59">
        <v>0</v>
      </c>
      <c r="AP1168" s="59">
        <v>25</v>
      </c>
      <c r="AQ1168" s="59">
        <v>4</v>
      </c>
      <c r="AR1168" s="59">
        <v>2</v>
      </c>
      <c r="AS1168" s="59">
        <v>80</v>
      </c>
      <c r="AT1168" s="59">
        <v>1</v>
      </c>
      <c r="AU1168" s="59">
        <v>23</v>
      </c>
      <c r="AV1168" s="59">
        <v>3</v>
      </c>
      <c r="AW1168" s="59">
        <v>3</v>
      </c>
      <c r="AX1168" s="59">
        <v>2</v>
      </c>
      <c r="AY1168" s="59">
        <v>2</v>
      </c>
      <c r="AZ1168" s="59">
        <v>2</v>
      </c>
      <c r="BA1168" s="59">
        <v>2</v>
      </c>
      <c r="BB1168" s="57">
        <f t="shared" si="360"/>
        <v>60808</v>
      </c>
    </row>
    <row r="1169" spans="1:54" x14ac:dyDescent="0.25">
      <c r="A1169" s="58">
        <v>35</v>
      </c>
      <c r="B1169" s="59">
        <v>1</v>
      </c>
      <c r="C1169" s="59">
        <v>1</v>
      </c>
      <c r="D1169" s="59">
        <f t="shared" si="342"/>
        <v>1</v>
      </c>
      <c r="E1169" s="59">
        <f t="shared" si="343"/>
        <v>0</v>
      </c>
      <c r="F1169" s="59">
        <v>763</v>
      </c>
      <c r="G1169" s="59">
        <v>1</v>
      </c>
      <c r="H1169" s="59">
        <f t="shared" si="344"/>
        <v>1</v>
      </c>
      <c r="I1169" s="59">
        <f t="shared" si="345"/>
        <v>0</v>
      </c>
      <c r="J1169" s="59">
        <v>15</v>
      </c>
      <c r="K1169" s="59">
        <v>2</v>
      </c>
      <c r="L1169" s="59">
        <v>3</v>
      </c>
      <c r="M1169" s="59">
        <f t="shared" si="346"/>
        <v>0</v>
      </c>
      <c r="N1169" s="59">
        <f t="shared" si="347"/>
        <v>0</v>
      </c>
      <c r="O1169" s="59">
        <f t="shared" si="348"/>
        <v>1</v>
      </c>
      <c r="P1169" s="59">
        <f t="shared" si="349"/>
        <v>0</v>
      </c>
      <c r="Q1169" s="59">
        <f t="shared" si="350"/>
        <v>0</v>
      </c>
      <c r="R1169" s="59">
        <v>1</v>
      </c>
      <c r="S1169" s="59">
        <v>1645</v>
      </c>
      <c r="T1169" s="59">
        <v>1</v>
      </c>
      <c r="U1169" s="59">
        <v>1</v>
      </c>
      <c r="V1169" s="59">
        <v>59</v>
      </c>
      <c r="W1169" s="59">
        <v>1</v>
      </c>
      <c r="X1169" s="59">
        <v>2</v>
      </c>
      <c r="Y1169" s="59">
        <v>1</v>
      </c>
      <c r="Z1169" s="59">
        <f t="shared" si="351"/>
        <v>1</v>
      </c>
      <c r="AA1169" s="59">
        <f>IF('Updated Dummy'!Y1169=2,1,0)</f>
        <v>0</v>
      </c>
      <c r="AB1169" s="59">
        <f t="shared" si="352"/>
        <v>0</v>
      </c>
      <c r="AC1169" s="59">
        <f t="shared" si="353"/>
        <v>0</v>
      </c>
      <c r="AD1169" s="59">
        <f t="shared" si="354"/>
        <v>0</v>
      </c>
      <c r="AE1169" s="59">
        <f t="shared" si="355"/>
        <v>0</v>
      </c>
      <c r="AF1169" s="59">
        <f t="shared" si="356"/>
        <v>0</v>
      </c>
      <c r="AG1169" s="59">
        <f t="shared" si="357"/>
        <v>0</v>
      </c>
      <c r="AH1169" s="59">
        <v>4</v>
      </c>
      <c r="AI1169" s="59">
        <v>3</v>
      </c>
      <c r="AJ1169" s="59">
        <f t="shared" si="358"/>
        <v>0</v>
      </c>
      <c r="AK1169" s="59">
        <f t="shared" si="359"/>
        <v>0</v>
      </c>
      <c r="AL1169" s="59">
        <v>5440</v>
      </c>
      <c r="AM1169" s="59">
        <v>22098</v>
      </c>
      <c r="AN1169" s="59">
        <v>6</v>
      </c>
      <c r="AO1169" s="59">
        <v>1</v>
      </c>
      <c r="AP1169" s="59">
        <v>14</v>
      </c>
      <c r="AQ1169" s="59">
        <v>3</v>
      </c>
      <c r="AR1169" s="59">
        <v>4</v>
      </c>
      <c r="AS1169" s="59">
        <v>80</v>
      </c>
      <c r="AT1169" s="59">
        <v>2</v>
      </c>
      <c r="AU1169" s="59">
        <v>7</v>
      </c>
      <c r="AV1169" s="59">
        <v>2</v>
      </c>
      <c r="AW1169" s="59">
        <v>2</v>
      </c>
      <c r="AX1169" s="59">
        <v>2</v>
      </c>
      <c r="AY1169" s="59">
        <v>2</v>
      </c>
      <c r="AZ1169" s="59">
        <v>2</v>
      </c>
      <c r="BA1169" s="59">
        <v>2</v>
      </c>
      <c r="BB1169" s="57">
        <f t="shared" si="360"/>
        <v>10880</v>
      </c>
    </row>
    <row r="1170" spans="1:54" x14ac:dyDescent="0.25">
      <c r="A1170" s="58">
        <v>24</v>
      </c>
      <c r="B1170" s="59">
        <v>0</v>
      </c>
      <c r="C1170" s="59">
        <v>2</v>
      </c>
      <c r="D1170" s="59">
        <f t="shared" si="342"/>
        <v>0</v>
      </c>
      <c r="E1170" s="59">
        <f t="shared" si="343"/>
        <v>1</v>
      </c>
      <c r="F1170" s="59">
        <v>567</v>
      </c>
      <c r="G1170" s="59">
        <v>2</v>
      </c>
      <c r="H1170" s="59">
        <f t="shared" si="344"/>
        <v>0</v>
      </c>
      <c r="I1170" s="59">
        <f t="shared" si="345"/>
        <v>1</v>
      </c>
      <c r="J1170" s="59">
        <v>2</v>
      </c>
      <c r="K1170" s="59">
        <v>1</v>
      </c>
      <c r="L1170" s="59">
        <v>5</v>
      </c>
      <c r="M1170" s="59">
        <f t="shared" si="346"/>
        <v>0</v>
      </c>
      <c r="N1170" s="59">
        <f t="shared" si="347"/>
        <v>0</v>
      </c>
      <c r="O1170" s="59">
        <f t="shared" si="348"/>
        <v>0</v>
      </c>
      <c r="P1170" s="59">
        <f t="shared" si="349"/>
        <v>0</v>
      </c>
      <c r="Q1170" s="59">
        <f t="shared" si="350"/>
        <v>1</v>
      </c>
      <c r="R1170" s="59">
        <v>1</v>
      </c>
      <c r="S1170" s="59">
        <v>1646</v>
      </c>
      <c r="T1170" s="59">
        <v>1</v>
      </c>
      <c r="U1170" s="59">
        <v>0</v>
      </c>
      <c r="V1170" s="59">
        <v>32</v>
      </c>
      <c r="W1170" s="59">
        <v>3</v>
      </c>
      <c r="X1170" s="59">
        <v>1</v>
      </c>
      <c r="Y1170" s="59">
        <v>2</v>
      </c>
      <c r="Z1170" s="59">
        <f t="shared" si="351"/>
        <v>0</v>
      </c>
      <c r="AA1170" s="59">
        <f>IF('Updated Dummy'!Y1170=2,1,0)</f>
        <v>1</v>
      </c>
      <c r="AB1170" s="59">
        <f t="shared" si="352"/>
        <v>0</v>
      </c>
      <c r="AC1170" s="59">
        <f t="shared" si="353"/>
        <v>0</v>
      </c>
      <c r="AD1170" s="59">
        <f t="shared" si="354"/>
        <v>0</v>
      </c>
      <c r="AE1170" s="59">
        <f t="shared" si="355"/>
        <v>0</v>
      </c>
      <c r="AF1170" s="59">
        <f t="shared" si="356"/>
        <v>0</v>
      </c>
      <c r="AG1170" s="59">
        <f t="shared" si="357"/>
        <v>0</v>
      </c>
      <c r="AH1170" s="59">
        <v>4</v>
      </c>
      <c r="AI1170" s="59">
        <v>1</v>
      </c>
      <c r="AJ1170" s="59">
        <f t="shared" si="358"/>
        <v>1</v>
      </c>
      <c r="AK1170" s="59">
        <f t="shared" si="359"/>
        <v>0</v>
      </c>
      <c r="AL1170" s="59">
        <v>3760</v>
      </c>
      <c r="AM1170" s="59">
        <v>17218</v>
      </c>
      <c r="AN1170" s="59">
        <v>1</v>
      </c>
      <c r="AO1170" s="59">
        <v>1</v>
      </c>
      <c r="AP1170" s="59">
        <v>13</v>
      </c>
      <c r="AQ1170" s="59">
        <v>3</v>
      </c>
      <c r="AR1170" s="59">
        <v>3</v>
      </c>
      <c r="AS1170" s="59">
        <v>80</v>
      </c>
      <c r="AT1170" s="59">
        <v>0</v>
      </c>
      <c r="AU1170" s="59">
        <v>6</v>
      </c>
      <c r="AV1170" s="59">
        <v>2</v>
      </c>
      <c r="AW1170" s="59">
        <v>3</v>
      </c>
      <c r="AX1170" s="59">
        <v>6</v>
      </c>
      <c r="AY1170" s="59">
        <v>3</v>
      </c>
      <c r="AZ1170" s="59">
        <v>1</v>
      </c>
      <c r="BA1170" s="59">
        <v>3</v>
      </c>
      <c r="BB1170" s="57">
        <f t="shared" si="360"/>
        <v>3760</v>
      </c>
    </row>
    <row r="1171" spans="1:54" x14ac:dyDescent="0.25">
      <c r="A1171" s="58">
        <v>27</v>
      </c>
      <c r="B1171" s="59">
        <v>0</v>
      </c>
      <c r="C1171" s="59">
        <v>1</v>
      </c>
      <c r="D1171" s="59">
        <f t="shared" si="342"/>
        <v>1</v>
      </c>
      <c r="E1171" s="59">
        <f t="shared" si="343"/>
        <v>0</v>
      </c>
      <c r="F1171" s="59">
        <v>486</v>
      </c>
      <c r="G1171" s="59">
        <v>2</v>
      </c>
      <c r="H1171" s="59">
        <f t="shared" si="344"/>
        <v>0</v>
      </c>
      <c r="I1171" s="59">
        <f t="shared" si="345"/>
        <v>1</v>
      </c>
      <c r="J1171" s="59">
        <v>8</v>
      </c>
      <c r="K1171" s="59">
        <v>3</v>
      </c>
      <c r="L1171" s="59">
        <v>3</v>
      </c>
      <c r="M1171" s="59">
        <f t="shared" si="346"/>
        <v>0</v>
      </c>
      <c r="N1171" s="59">
        <f t="shared" si="347"/>
        <v>0</v>
      </c>
      <c r="O1171" s="59">
        <f t="shared" si="348"/>
        <v>1</v>
      </c>
      <c r="P1171" s="59">
        <f t="shared" si="349"/>
        <v>0</v>
      </c>
      <c r="Q1171" s="59">
        <f t="shared" si="350"/>
        <v>0</v>
      </c>
      <c r="R1171" s="59">
        <v>1</v>
      </c>
      <c r="S1171" s="59">
        <v>1647</v>
      </c>
      <c r="T1171" s="59">
        <v>2</v>
      </c>
      <c r="U1171" s="59">
        <v>0</v>
      </c>
      <c r="V1171" s="59">
        <v>86</v>
      </c>
      <c r="W1171" s="59">
        <v>4</v>
      </c>
      <c r="X1171" s="59">
        <v>1</v>
      </c>
      <c r="Y1171" s="59">
        <v>2</v>
      </c>
      <c r="Z1171" s="59">
        <f t="shared" si="351"/>
        <v>0</v>
      </c>
      <c r="AA1171" s="59">
        <f>IF('Updated Dummy'!Y1171=2,1,0)</f>
        <v>1</v>
      </c>
      <c r="AB1171" s="59">
        <f t="shared" si="352"/>
        <v>0</v>
      </c>
      <c r="AC1171" s="59">
        <f t="shared" si="353"/>
        <v>0</v>
      </c>
      <c r="AD1171" s="59">
        <f t="shared" si="354"/>
        <v>0</v>
      </c>
      <c r="AE1171" s="59">
        <f t="shared" si="355"/>
        <v>0</v>
      </c>
      <c r="AF1171" s="59">
        <f t="shared" si="356"/>
        <v>0</v>
      </c>
      <c r="AG1171" s="59">
        <f t="shared" si="357"/>
        <v>0</v>
      </c>
      <c r="AH1171" s="59">
        <v>3</v>
      </c>
      <c r="AI1171" s="59">
        <v>2</v>
      </c>
      <c r="AJ1171" s="59">
        <f t="shared" si="358"/>
        <v>0</v>
      </c>
      <c r="AK1171" s="59">
        <f t="shared" si="359"/>
        <v>1</v>
      </c>
      <c r="AL1171" s="59">
        <v>3517</v>
      </c>
      <c r="AM1171" s="59">
        <v>22490</v>
      </c>
      <c r="AN1171" s="59">
        <v>7</v>
      </c>
      <c r="AO1171" s="59">
        <v>0</v>
      </c>
      <c r="AP1171" s="59">
        <v>17</v>
      </c>
      <c r="AQ1171" s="59">
        <v>3</v>
      </c>
      <c r="AR1171" s="59">
        <v>1</v>
      </c>
      <c r="AS1171" s="59">
        <v>80</v>
      </c>
      <c r="AT1171" s="59">
        <v>0</v>
      </c>
      <c r="AU1171" s="59">
        <v>5</v>
      </c>
      <c r="AV1171" s="59">
        <v>0</v>
      </c>
      <c r="AW1171" s="59">
        <v>3</v>
      </c>
      <c r="AX1171" s="59">
        <v>3</v>
      </c>
      <c r="AY1171" s="59">
        <v>2</v>
      </c>
      <c r="AZ1171" s="59">
        <v>0</v>
      </c>
      <c r="BA1171" s="59">
        <v>2</v>
      </c>
      <c r="BB1171" s="57">
        <f t="shared" si="360"/>
        <v>3517</v>
      </c>
    </row>
    <row r="1172" spans="1:54" x14ac:dyDescent="0.25">
      <c r="A1172" s="58">
        <v>27</v>
      </c>
      <c r="B1172" s="59">
        <v>0</v>
      </c>
      <c r="C1172" s="59">
        <v>2</v>
      </c>
      <c r="D1172" s="59">
        <f t="shared" si="342"/>
        <v>0</v>
      </c>
      <c r="E1172" s="59">
        <f t="shared" si="343"/>
        <v>1</v>
      </c>
      <c r="F1172" s="59">
        <v>591</v>
      </c>
      <c r="G1172" s="59">
        <v>2</v>
      </c>
      <c r="H1172" s="59">
        <f t="shared" si="344"/>
        <v>0</v>
      </c>
      <c r="I1172" s="59">
        <f t="shared" si="345"/>
        <v>1</v>
      </c>
      <c r="J1172" s="59">
        <v>2</v>
      </c>
      <c r="K1172" s="59">
        <v>3</v>
      </c>
      <c r="L1172" s="59">
        <v>3</v>
      </c>
      <c r="M1172" s="59">
        <f t="shared" si="346"/>
        <v>0</v>
      </c>
      <c r="N1172" s="59">
        <f t="shared" si="347"/>
        <v>0</v>
      </c>
      <c r="O1172" s="59">
        <f t="shared" si="348"/>
        <v>1</v>
      </c>
      <c r="P1172" s="59">
        <f t="shared" si="349"/>
        <v>0</v>
      </c>
      <c r="Q1172" s="59">
        <f t="shared" si="350"/>
        <v>0</v>
      </c>
      <c r="R1172" s="59">
        <v>1</v>
      </c>
      <c r="S1172" s="59">
        <v>1648</v>
      </c>
      <c r="T1172" s="59">
        <v>4</v>
      </c>
      <c r="U1172" s="59">
        <v>1</v>
      </c>
      <c r="V1172" s="59">
        <v>87</v>
      </c>
      <c r="W1172" s="59">
        <v>3</v>
      </c>
      <c r="X1172" s="59">
        <v>1</v>
      </c>
      <c r="Y1172" s="59">
        <v>2</v>
      </c>
      <c r="Z1172" s="59">
        <f t="shared" si="351"/>
        <v>0</v>
      </c>
      <c r="AA1172" s="59">
        <f>IF('Updated Dummy'!Y1172=2,1,0)</f>
        <v>1</v>
      </c>
      <c r="AB1172" s="59">
        <f t="shared" si="352"/>
        <v>0</v>
      </c>
      <c r="AC1172" s="59">
        <f t="shared" si="353"/>
        <v>0</v>
      </c>
      <c r="AD1172" s="59">
        <f t="shared" si="354"/>
        <v>0</v>
      </c>
      <c r="AE1172" s="59">
        <f t="shared" si="355"/>
        <v>0</v>
      </c>
      <c r="AF1172" s="59">
        <f t="shared" si="356"/>
        <v>0</v>
      </c>
      <c r="AG1172" s="59">
        <f t="shared" si="357"/>
        <v>0</v>
      </c>
      <c r="AH1172" s="59">
        <v>4</v>
      </c>
      <c r="AI1172" s="59">
        <v>1</v>
      </c>
      <c r="AJ1172" s="59">
        <f t="shared" si="358"/>
        <v>1</v>
      </c>
      <c r="AK1172" s="59">
        <f t="shared" si="359"/>
        <v>0</v>
      </c>
      <c r="AL1172" s="59">
        <v>2580</v>
      </c>
      <c r="AM1172" s="59">
        <v>6297</v>
      </c>
      <c r="AN1172" s="59">
        <v>2</v>
      </c>
      <c r="AO1172" s="59">
        <v>0</v>
      </c>
      <c r="AP1172" s="59">
        <v>13</v>
      </c>
      <c r="AQ1172" s="59">
        <v>3</v>
      </c>
      <c r="AR1172" s="59">
        <v>3</v>
      </c>
      <c r="AS1172" s="59">
        <v>80</v>
      </c>
      <c r="AT1172" s="59">
        <v>0</v>
      </c>
      <c r="AU1172" s="59">
        <v>6</v>
      </c>
      <c r="AV1172" s="59">
        <v>0</v>
      </c>
      <c r="AW1172" s="59">
        <v>2</v>
      </c>
      <c r="AX1172" s="59">
        <v>4</v>
      </c>
      <c r="AY1172" s="59">
        <v>2</v>
      </c>
      <c r="AZ1172" s="59">
        <v>1</v>
      </c>
      <c r="BA1172" s="59">
        <v>2</v>
      </c>
      <c r="BB1172" s="57">
        <f t="shared" si="360"/>
        <v>2580</v>
      </c>
    </row>
    <row r="1173" spans="1:54" x14ac:dyDescent="0.25">
      <c r="A1173" s="58">
        <v>40</v>
      </c>
      <c r="B1173" s="59">
        <v>1</v>
      </c>
      <c r="C1173" s="59">
        <v>1</v>
      </c>
      <c r="D1173" s="59">
        <f t="shared" si="342"/>
        <v>1</v>
      </c>
      <c r="E1173" s="59">
        <f t="shared" si="343"/>
        <v>0</v>
      </c>
      <c r="F1173" s="59">
        <v>1329</v>
      </c>
      <c r="G1173" s="59">
        <v>2</v>
      </c>
      <c r="H1173" s="59">
        <f t="shared" si="344"/>
        <v>0</v>
      </c>
      <c r="I1173" s="59">
        <f t="shared" si="345"/>
        <v>1</v>
      </c>
      <c r="J1173" s="59">
        <v>7</v>
      </c>
      <c r="K1173" s="59">
        <v>3</v>
      </c>
      <c r="L1173" s="59">
        <v>1</v>
      </c>
      <c r="M1173" s="59">
        <f t="shared" si="346"/>
        <v>1</v>
      </c>
      <c r="N1173" s="59">
        <f t="shared" si="347"/>
        <v>0</v>
      </c>
      <c r="O1173" s="59">
        <f t="shared" si="348"/>
        <v>0</v>
      </c>
      <c r="P1173" s="59">
        <f t="shared" si="349"/>
        <v>0</v>
      </c>
      <c r="Q1173" s="59">
        <f t="shared" si="350"/>
        <v>0</v>
      </c>
      <c r="R1173" s="59">
        <v>1</v>
      </c>
      <c r="S1173" s="59">
        <v>1649</v>
      </c>
      <c r="T1173" s="59">
        <v>1</v>
      </c>
      <c r="U1173" s="59">
        <v>1</v>
      </c>
      <c r="V1173" s="59">
        <v>73</v>
      </c>
      <c r="W1173" s="59">
        <v>3</v>
      </c>
      <c r="X1173" s="59">
        <v>1</v>
      </c>
      <c r="Y1173" s="59">
        <v>3</v>
      </c>
      <c r="Z1173" s="59">
        <f t="shared" si="351"/>
        <v>0</v>
      </c>
      <c r="AA1173" s="59">
        <f>IF('Updated Dummy'!Y1173=2,1,0)</f>
        <v>0</v>
      </c>
      <c r="AB1173" s="59">
        <f t="shared" si="352"/>
        <v>1</v>
      </c>
      <c r="AC1173" s="59">
        <f t="shared" si="353"/>
        <v>0</v>
      </c>
      <c r="AD1173" s="59">
        <f t="shared" si="354"/>
        <v>0</v>
      </c>
      <c r="AE1173" s="59">
        <f t="shared" si="355"/>
        <v>0</v>
      </c>
      <c r="AF1173" s="59">
        <f t="shared" si="356"/>
        <v>0</v>
      </c>
      <c r="AG1173" s="59">
        <f t="shared" si="357"/>
        <v>0</v>
      </c>
      <c r="AH1173" s="59">
        <v>1</v>
      </c>
      <c r="AI1173" s="59">
        <v>1</v>
      </c>
      <c r="AJ1173" s="59">
        <f t="shared" si="358"/>
        <v>1</v>
      </c>
      <c r="AK1173" s="59">
        <f t="shared" si="359"/>
        <v>0</v>
      </c>
      <c r="AL1173" s="59">
        <v>2166</v>
      </c>
      <c r="AM1173" s="59">
        <v>3339</v>
      </c>
      <c r="AN1173" s="59">
        <v>3</v>
      </c>
      <c r="AO1173" s="59">
        <v>1</v>
      </c>
      <c r="AP1173" s="59">
        <v>14</v>
      </c>
      <c r="AQ1173" s="59">
        <v>3</v>
      </c>
      <c r="AR1173" s="59">
        <v>2</v>
      </c>
      <c r="AS1173" s="59">
        <v>80</v>
      </c>
      <c r="AT1173" s="59">
        <v>0</v>
      </c>
      <c r="AU1173" s="59">
        <v>10</v>
      </c>
      <c r="AV1173" s="59">
        <v>3</v>
      </c>
      <c r="AW1173" s="59">
        <v>1</v>
      </c>
      <c r="AX1173" s="59">
        <v>4</v>
      </c>
      <c r="AY1173" s="59">
        <v>2</v>
      </c>
      <c r="AZ1173" s="59">
        <v>0</v>
      </c>
      <c r="BA1173" s="59">
        <v>3</v>
      </c>
      <c r="BB1173" s="57">
        <f t="shared" si="360"/>
        <v>2166</v>
      </c>
    </row>
    <row r="1174" spans="1:54" x14ac:dyDescent="0.25">
      <c r="A1174" s="58">
        <v>29</v>
      </c>
      <c r="B1174" s="59">
        <v>0</v>
      </c>
      <c r="C1174" s="59">
        <v>1</v>
      </c>
      <c r="D1174" s="59">
        <f t="shared" si="342"/>
        <v>1</v>
      </c>
      <c r="E1174" s="59">
        <f t="shared" si="343"/>
        <v>0</v>
      </c>
      <c r="F1174" s="59">
        <v>469</v>
      </c>
      <c r="G1174" s="59">
        <v>1</v>
      </c>
      <c r="H1174" s="59">
        <f t="shared" si="344"/>
        <v>1</v>
      </c>
      <c r="I1174" s="59">
        <f t="shared" si="345"/>
        <v>0</v>
      </c>
      <c r="J1174" s="59">
        <v>10</v>
      </c>
      <c r="K1174" s="59">
        <v>3</v>
      </c>
      <c r="L1174" s="59">
        <v>3</v>
      </c>
      <c r="M1174" s="59">
        <f t="shared" si="346"/>
        <v>0</v>
      </c>
      <c r="N1174" s="59">
        <f t="shared" si="347"/>
        <v>0</v>
      </c>
      <c r="O1174" s="59">
        <f t="shared" si="348"/>
        <v>1</v>
      </c>
      <c r="P1174" s="59">
        <f t="shared" si="349"/>
        <v>0</v>
      </c>
      <c r="Q1174" s="59">
        <f t="shared" si="350"/>
        <v>0</v>
      </c>
      <c r="R1174" s="59">
        <v>1</v>
      </c>
      <c r="S1174" s="59">
        <v>1650</v>
      </c>
      <c r="T1174" s="59">
        <v>3</v>
      </c>
      <c r="U1174" s="59">
        <v>1</v>
      </c>
      <c r="V1174" s="59">
        <v>42</v>
      </c>
      <c r="W1174" s="59">
        <v>2</v>
      </c>
      <c r="X1174" s="59">
        <v>2</v>
      </c>
      <c r="Y1174" s="59">
        <v>1</v>
      </c>
      <c r="Z1174" s="59">
        <f t="shared" si="351"/>
        <v>1</v>
      </c>
      <c r="AA1174" s="59">
        <f>IF('Updated Dummy'!Y1174=2,1,0)</f>
        <v>0</v>
      </c>
      <c r="AB1174" s="59">
        <f t="shared" si="352"/>
        <v>0</v>
      </c>
      <c r="AC1174" s="59">
        <f t="shared" si="353"/>
        <v>0</v>
      </c>
      <c r="AD1174" s="59">
        <f t="shared" si="354"/>
        <v>0</v>
      </c>
      <c r="AE1174" s="59">
        <f t="shared" si="355"/>
        <v>0</v>
      </c>
      <c r="AF1174" s="59">
        <f t="shared" si="356"/>
        <v>0</v>
      </c>
      <c r="AG1174" s="59">
        <f t="shared" si="357"/>
        <v>0</v>
      </c>
      <c r="AH1174" s="59">
        <v>3</v>
      </c>
      <c r="AI1174" s="59">
        <v>1</v>
      </c>
      <c r="AJ1174" s="59">
        <f t="shared" si="358"/>
        <v>1</v>
      </c>
      <c r="AK1174" s="59">
        <f t="shared" si="359"/>
        <v>0</v>
      </c>
      <c r="AL1174" s="59">
        <v>5869</v>
      </c>
      <c r="AM1174" s="59">
        <v>23413</v>
      </c>
      <c r="AN1174" s="59">
        <v>9</v>
      </c>
      <c r="AO1174" s="59">
        <v>0</v>
      </c>
      <c r="AP1174" s="59">
        <v>11</v>
      </c>
      <c r="AQ1174" s="59">
        <v>3</v>
      </c>
      <c r="AR1174" s="59">
        <v>3</v>
      </c>
      <c r="AS1174" s="59">
        <v>80</v>
      </c>
      <c r="AT1174" s="59">
        <v>0</v>
      </c>
      <c r="AU1174" s="59">
        <v>8</v>
      </c>
      <c r="AV1174" s="59">
        <v>2</v>
      </c>
      <c r="AW1174" s="59">
        <v>3</v>
      </c>
      <c r="AX1174" s="59">
        <v>5</v>
      </c>
      <c r="AY1174" s="59">
        <v>2</v>
      </c>
      <c r="AZ1174" s="59">
        <v>1</v>
      </c>
      <c r="BA1174" s="59">
        <v>4</v>
      </c>
      <c r="BB1174" s="57">
        <f t="shared" si="360"/>
        <v>11738</v>
      </c>
    </row>
    <row r="1175" spans="1:54" x14ac:dyDescent="0.25">
      <c r="A1175" s="58">
        <v>36</v>
      </c>
      <c r="B1175" s="59">
        <v>0</v>
      </c>
      <c r="C1175" s="59">
        <v>1</v>
      </c>
      <c r="D1175" s="59">
        <f t="shared" si="342"/>
        <v>1</v>
      </c>
      <c r="E1175" s="59">
        <f t="shared" si="343"/>
        <v>0</v>
      </c>
      <c r="F1175" s="59">
        <v>711</v>
      </c>
      <c r="G1175" s="59">
        <v>2</v>
      </c>
      <c r="H1175" s="59">
        <f t="shared" si="344"/>
        <v>0</v>
      </c>
      <c r="I1175" s="59">
        <f t="shared" si="345"/>
        <v>1</v>
      </c>
      <c r="J1175" s="59">
        <v>5</v>
      </c>
      <c r="K1175" s="59">
        <v>4</v>
      </c>
      <c r="L1175" s="59">
        <v>1</v>
      </c>
      <c r="M1175" s="59">
        <f t="shared" si="346"/>
        <v>1</v>
      </c>
      <c r="N1175" s="59">
        <f t="shared" si="347"/>
        <v>0</v>
      </c>
      <c r="O1175" s="59">
        <f t="shared" si="348"/>
        <v>0</v>
      </c>
      <c r="P1175" s="59">
        <f t="shared" si="349"/>
        <v>0</v>
      </c>
      <c r="Q1175" s="59">
        <f t="shared" si="350"/>
        <v>0</v>
      </c>
      <c r="R1175" s="59">
        <v>1</v>
      </c>
      <c r="S1175" s="59">
        <v>1651</v>
      </c>
      <c r="T1175" s="59">
        <v>2</v>
      </c>
      <c r="U1175" s="59">
        <v>0</v>
      </c>
      <c r="V1175" s="59">
        <v>42</v>
      </c>
      <c r="W1175" s="59">
        <v>3</v>
      </c>
      <c r="X1175" s="59">
        <v>3</v>
      </c>
      <c r="Y1175" s="59">
        <v>5</v>
      </c>
      <c r="Z1175" s="59">
        <f t="shared" si="351"/>
        <v>0</v>
      </c>
      <c r="AA1175" s="59">
        <f>IF('Updated Dummy'!Y1175=2,1,0)</f>
        <v>0</v>
      </c>
      <c r="AB1175" s="59">
        <f t="shared" si="352"/>
        <v>0</v>
      </c>
      <c r="AC1175" s="59">
        <f t="shared" si="353"/>
        <v>0</v>
      </c>
      <c r="AD1175" s="59">
        <f t="shared" si="354"/>
        <v>1</v>
      </c>
      <c r="AE1175" s="59">
        <f t="shared" si="355"/>
        <v>0</v>
      </c>
      <c r="AF1175" s="59">
        <f t="shared" si="356"/>
        <v>0</v>
      </c>
      <c r="AG1175" s="59">
        <f t="shared" si="357"/>
        <v>0</v>
      </c>
      <c r="AH1175" s="59">
        <v>1</v>
      </c>
      <c r="AI1175" s="59">
        <v>2</v>
      </c>
      <c r="AJ1175" s="59">
        <f t="shared" si="358"/>
        <v>0</v>
      </c>
      <c r="AK1175" s="59">
        <f t="shared" si="359"/>
        <v>1</v>
      </c>
      <c r="AL1175" s="59">
        <v>8008</v>
      </c>
      <c r="AM1175" s="59">
        <v>22792</v>
      </c>
      <c r="AN1175" s="59">
        <v>4</v>
      </c>
      <c r="AO1175" s="59">
        <v>0</v>
      </c>
      <c r="AP1175" s="59">
        <v>12</v>
      </c>
      <c r="AQ1175" s="59">
        <v>3</v>
      </c>
      <c r="AR1175" s="59">
        <v>3</v>
      </c>
      <c r="AS1175" s="59">
        <v>80</v>
      </c>
      <c r="AT1175" s="59">
        <v>2</v>
      </c>
      <c r="AU1175" s="59">
        <v>9</v>
      </c>
      <c r="AV1175" s="59">
        <v>6</v>
      </c>
      <c r="AW1175" s="59">
        <v>3</v>
      </c>
      <c r="AX1175" s="59">
        <v>3</v>
      </c>
      <c r="AY1175" s="59">
        <v>2</v>
      </c>
      <c r="AZ1175" s="59">
        <v>0</v>
      </c>
      <c r="BA1175" s="59">
        <v>2</v>
      </c>
      <c r="BB1175" s="57">
        <f t="shared" si="360"/>
        <v>24024</v>
      </c>
    </row>
    <row r="1176" spans="1:54" x14ac:dyDescent="0.25">
      <c r="A1176" s="58">
        <v>25</v>
      </c>
      <c r="B1176" s="59">
        <v>0</v>
      </c>
      <c r="C1176" s="59">
        <v>2</v>
      </c>
      <c r="D1176" s="59">
        <f t="shared" si="342"/>
        <v>0</v>
      </c>
      <c r="E1176" s="59">
        <f t="shared" si="343"/>
        <v>1</v>
      </c>
      <c r="F1176" s="59">
        <v>772</v>
      </c>
      <c r="G1176" s="59">
        <v>2</v>
      </c>
      <c r="H1176" s="59">
        <f t="shared" si="344"/>
        <v>0</v>
      </c>
      <c r="I1176" s="59">
        <f t="shared" si="345"/>
        <v>1</v>
      </c>
      <c r="J1176" s="59">
        <v>2</v>
      </c>
      <c r="K1176" s="59">
        <v>1</v>
      </c>
      <c r="L1176" s="59">
        <v>1</v>
      </c>
      <c r="M1176" s="59">
        <f t="shared" si="346"/>
        <v>1</v>
      </c>
      <c r="N1176" s="59">
        <f t="shared" si="347"/>
        <v>0</v>
      </c>
      <c r="O1176" s="59">
        <f t="shared" si="348"/>
        <v>0</v>
      </c>
      <c r="P1176" s="59">
        <f t="shared" si="349"/>
        <v>0</v>
      </c>
      <c r="Q1176" s="59">
        <f t="shared" si="350"/>
        <v>0</v>
      </c>
      <c r="R1176" s="59">
        <v>1</v>
      </c>
      <c r="S1176" s="59">
        <v>1653</v>
      </c>
      <c r="T1176" s="59">
        <v>4</v>
      </c>
      <c r="U1176" s="59">
        <v>1</v>
      </c>
      <c r="V1176" s="59">
        <v>77</v>
      </c>
      <c r="W1176" s="59">
        <v>4</v>
      </c>
      <c r="X1176" s="59">
        <v>2</v>
      </c>
      <c r="Y1176" s="59">
        <v>4</v>
      </c>
      <c r="Z1176" s="59">
        <f t="shared" si="351"/>
        <v>0</v>
      </c>
      <c r="AA1176" s="59">
        <f>IF('Updated Dummy'!Y1176=2,1,0)</f>
        <v>0</v>
      </c>
      <c r="AB1176" s="59">
        <f t="shared" si="352"/>
        <v>0</v>
      </c>
      <c r="AC1176" s="59">
        <f t="shared" si="353"/>
        <v>1</v>
      </c>
      <c r="AD1176" s="59">
        <f t="shared" si="354"/>
        <v>0</v>
      </c>
      <c r="AE1176" s="59">
        <f t="shared" si="355"/>
        <v>0</v>
      </c>
      <c r="AF1176" s="59">
        <f t="shared" si="356"/>
        <v>0</v>
      </c>
      <c r="AG1176" s="59">
        <f t="shared" si="357"/>
        <v>0</v>
      </c>
      <c r="AH1176" s="59">
        <v>3</v>
      </c>
      <c r="AI1176" s="59">
        <v>3</v>
      </c>
      <c r="AJ1176" s="59">
        <f t="shared" si="358"/>
        <v>0</v>
      </c>
      <c r="AK1176" s="59">
        <f t="shared" si="359"/>
        <v>0</v>
      </c>
      <c r="AL1176" s="59">
        <v>5206</v>
      </c>
      <c r="AM1176" s="59">
        <v>4973</v>
      </c>
      <c r="AN1176" s="59">
        <v>1</v>
      </c>
      <c r="AO1176" s="59">
        <v>0</v>
      </c>
      <c r="AP1176" s="59">
        <v>17</v>
      </c>
      <c r="AQ1176" s="59">
        <v>3</v>
      </c>
      <c r="AR1176" s="59">
        <v>3</v>
      </c>
      <c r="AS1176" s="59">
        <v>80</v>
      </c>
      <c r="AT1176" s="59">
        <v>2</v>
      </c>
      <c r="AU1176" s="59">
        <v>7</v>
      </c>
      <c r="AV1176" s="59">
        <v>6</v>
      </c>
      <c r="AW1176" s="59">
        <v>3</v>
      </c>
      <c r="AX1176" s="59">
        <v>7</v>
      </c>
      <c r="AY1176" s="59">
        <v>7</v>
      </c>
      <c r="AZ1176" s="59">
        <v>0</v>
      </c>
      <c r="BA1176" s="59">
        <v>7</v>
      </c>
      <c r="BB1176" s="57">
        <f t="shared" si="360"/>
        <v>10412</v>
      </c>
    </row>
    <row r="1177" spans="1:54" x14ac:dyDescent="0.25">
      <c r="A1177" s="58">
        <v>39</v>
      </c>
      <c r="B1177" s="59">
        <v>0</v>
      </c>
      <c r="C1177" s="59">
        <v>1</v>
      </c>
      <c r="D1177" s="59">
        <f t="shared" si="342"/>
        <v>1</v>
      </c>
      <c r="E1177" s="59">
        <f t="shared" si="343"/>
        <v>0</v>
      </c>
      <c r="F1177" s="59">
        <v>492</v>
      </c>
      <c r="G1177" s="59">
        <v>2</v>
      </c>
      <c r="H1177" s="59">
        <f t="shared" si="344"/>
        <v>0</v>
      </c>
      <c r="I1177" s="59">
        <f t="shared" si="345"/>
        <v>1</v>
      </c>
      <c r="J1177" s="59">
        <v>12</v>
      </c>
      <c r="K1177" s="59">
        <v>3</v>
      </c>
      <c r="L1177" s="59">
        <v>3</v>
      </c>
      <c r="M1177" s="59">
        <f t="shared" si="346"/>
        <v>0</v>
      </c>
      <c r="N1177" s="59">
        <f t="shared" si="347"/>
        <v>0</v>
      </c>
      <c r="O1177" s="59">
        <f t="shared" si="348"/>
        <v>1</v>
      </c>
      <c r="P1177" s="59">
        <f t="shared" si="349"/>
        <v>0</v>
      </c>
      <c r="Q1177" s="59">
        <f t="shared" si="350"/>
        <v>0</v>
      </c>
      <c r="R1177" s="59">
        <v>1</v>
      </c>
      <c r="S1177" s="59">
        <v>1654</v>
      </c>
      <c r="T1177" s="59">
        <v>4</v>
      </c>
      <c r="U1177" s="59">
        <v>1</v>
      </c>
      <c r="V1177" s="59">
        <v>66</v>
      </c>
      <c r="W1177" s="59">
        <v>3</v>
      </c>
      <c r="X1177" s="59">
        <v>2</v>
      </c>
      <c r="Y1177" s="59">
        <v>4</v>
      </c>
      <c r="Z1177" s="59">
        <f t="shared" si="351"/>
        <v>0</v>
      </c>
      <c r="AA1177" s="59">
        <f>IF('Updated Dummy'!Y1177=2,1,0)</f>
        <v>0</v>
      </c>
      <c r="AB1177" s="59">
        <f t="shared" si="352"/>
        <v>0</v>
      </c>
      <c r="AC1177" s="59">
        <f t="shared" si="353"/>
        <v>1</v>
      </c>
      <c r="AD1177" s="59">
        <f t="shared" si="354"/>
        <v>0</v>
      </c>
      <c r="AE1177" s="59">
        <f t="shared" si="355"/>
        <v>0</v>
      </c>
      <c r="AF1177" s="59">
        <f t="shared" si="356"/>
        <v>0</v>
      </c>
      <c r="AG1177" s="59">
        <f t="shared" si="357"/>
        <v>0</v>
      </c>
      <c r="AH1177" s="59">
        <v>2</v>
      </c>
      <c r="AI1177" s="59">
        <v>2</v>
      </c>
      <c r="AJ1177" s="59">
        <f t="shared" si="358"/>
        <v>0</v>
      </c>
      <c r="AK1177" s="59">
        <f t="shared" si="359"/>
        <v>1</v>
      </c>
      <c r="AL1177" s="59">
        <v>5295</v>
      </c>
      <c r="AM1177" s="59">
        <v>7693</v>
      </c>
      <c r="AN1177" s="59">
        <v>4</v>
      </c>
      <c r="AO1177" s="59">
        <v>0</v>
      </c>
      <c r="AP1177" s="59">
        <v>21</v>
      </c>
      <c r="AQ1177" s="59">
        <v>4</v>
      </c>
      <c r="AR1177" s="59">
        <v>3</v>
      </c>
      <c r="AS1177" s="59">
        <v>80</v>
      </c>
      <c r="AT1177" s="59">
        <v>0</v>
      </c>
      <c r="AU1177" s="59">
        <v>7</v>
      </c>
      <c r="AV1177" s="59">
        <v>3</v>
      </c>
      <c r="AW1177" s="59">
        <v>3</v>
      </c>
      <c r="AX1177" s="59">
        <v>5</v>
      </c>
      <c r="AY1177" s="59">
        <v>4</v>
      </c>
      <c r="AZ1177" s="59">
        <v>1</v>
      </c>
      <c r="BA1177" s="59">
        <v>0</v>
      </c>
      <c r="BB1177" s="57">
        <f t="shared" si="360"/>
        <v>10590</v>
      </c>
    </row>
    <row r="1178" spans="1:54" x14ac:dyDescent="0.25">
      <c r="A1178" s="58">
        <v>49</v>
      </c>
      <c r="B1178" s="59">
        <v>0</v>
      </c>
      <c r="C1178" s="59">
        <v>1</v>
      </c>
      <c r="D1178" s="59">
        <f t="shared" si="342"/>
        <v>1</v>
      </c>
      <c r="E1178" s="59">
        <f t="shared" si="343"/>
        <v>0</v>
      </c>
      <c r="F1178" s="59">
        <v>301</v>
      </c>
      <c r="G1178" s="59">
        <v>2</v>
      </c>
      <c r="H1178" s="59">
        <f t="shared" si="344"/>
        <v>0</v>
      </c>
      <c r="I1178" s="59">
        <f t="shared" si="345"/>
        <v>1</v>
      </c>
      <c r="J1178" s="59">
        <v>22</v>
      </c>
      <c r="K1178" s="59">
        <v>4</v>
      </c>
      <c r="L1178" s="59">
        <v>6</v>
      </c>
      <c r="M1178" s="59">
        <f t="shared" si="346"/>
        <v>0</v>
      </c>
      <c r="N1178" s="59">
        <f t="shared" si="347"/>
        <v>0</v>
      </c>
      <c r="O1178" s="59">
        <f t="shared" si="348"/>
        <v>0</v>
      </c>
      <c r="P1178" s="59">
        <f t="shared" si="349"/>
        <v>0</v>
      </c>
      <c r="Q1178" s="59">
        <f t="shared" si="350"/>
        <v>0</v>
      </c>
      <c r="R1178" s="59">
        <v>1</v>
      </c>
      <c r="S1178" s="59">
        <v>1655</v>
      </c>
      <c r="T1178" s="59">
        <v>1</v>
      </c>
      <c r="U1178" s="59">
        <v>0</v>
      </c>
      <c r="V1178" s="59">
        <v>72</v>
      </c>
      <c r="W1178" s="59">
        <v>3</v>
      </c>
      <c r="X1178" s="59">
        <v>4</v>
      </c>
      <c r="Y1178" s="59">
        <v>8</v>
      </c>
      <c r="Z1178" s="59">
        <f t="shared" si="351"/>
        <v>0</v>
      </c>
      <c r="AA1178" s="59">
        <f>IF('Updated Dummy'!Y1178=2,1,0)</f>
        <v>0</v>
      </c>
      <c r="AB1178" s="59">
        <f t="shared" si="352"/>
        <v>0</v>
      </c>
      <c r="AC1178" s="59">
        <f t="shared" si="353"/>
        <v>0</v>
      </c>
      <c r="AD1178" s="59">
        <f t="shared" si="354"/>
        <v>0</v>
      </c>
      <c r="AE1178" s="59">
        <f t="shared" si="355"/>
        <v>0</v>
      </c>
      <c r="AF1178" s="59">
        <f t="shared" si="356"/>
        <v>0</v>
      </c>
      <c r="AG1178" s="59">
        <f t="shared" si="357"/>
        <v>1</v>
      </c>
      <c r="AH1178" s="59">
        <v>2</v>
      </c>
      <c r="AI1178" s="59">
        <v>2</v>
      </c>
      <c r="AJ1178" s="59">
        <f t="shared" si="358"/>
        <v>0</v>
      </c>
      <c r="AK1178" s="59">
        <f t="shared" si="359"/>
        <v>1</v>
      </c>
      <c r="AL1178" s="59">
        <v>16413</v>
      </c>
      <c r="AM1178" s="59">
        <v>3498</v>
      </c>
      <c r="AN1178" s="59">
        <v>3</v>
      </c>
      <c r="AO1178" s="59">
        <v>0</v>
      </c>
      <c r="AP1178" s="59">
        <v>16</v>
      </c>
      <c r="AQ1178" s="59">
        <v>3</v>
      </c>
      <c r="AR1178" s="59">
        <v>2</v>
      </c>
      <c r="AS1178" s="59">
        <v>80</v>
      </c>
      <c r="AT1178" s="59">
        <v>2</v>
      </c>
      <c r="AU1178" s="59">
        <v>27</v>
      </c>
      <c r="AV1178" s="59">
        <v>2</v>
      </c>
      <c r="AW1178" s="59">
        <v>3</v>
      </c>
      <c r="AX1178" s="59">
        <v>4</v>
      </c>
      <c r="AY1178" s="59">
        <v>2</v>
      </c>
      <c r="AZ1178" s="59">
        <v>1</v>
      </c>
      <c r="BA1178" s="59">
        <v>2</v>
      </c>
      <c r="BB1178" s="57">
        <f t="shared" si="360"/>
        <v>65652</v>
      </c>
    </row>
    <row r="1179" spans="1:54" x14ac:dyDescent="0.25">
      <c r="A1179" s="58">
        <v>50</v>
      </c>
      <c r="B1179" s="59">
        <v>0</v>
      </c>
      <c r="C1179" s="59">
        <v>1</v>
      </c>
      <c r="D1179" s="59">
        <f t="shared" si="342"/>
        <v>1</v>
      </c>
      <c r="E1179" s="59">
        <f t="shared" si="343"/>
        <v>0</v>
      </c>
      <c r="F1179" s="59">
        <v>813</v>
      </c>
      <c r="G1179" s="59">
        <v>2</v>
      </c>
      <c r="H1179" s="59">
        <f t="shared" si="344"/>
        <v>0</v>
      </c>
      <c r="I1179" s="59">
        <f t="shared" si="345"/>
        <v>1</v>
      </c>
      <c r="J1179" s="59">
        <v>17</v>
      </c>
      <c r="K1179" s="59">
        <v>5</v>
      </c>
      <c r="L1179" s="59">
        <v>1</v>
      </c>
      <c r="M1179" s="59">
        <f t="shared" si="346"/>
        <v>1</v>
      </c>
      <c r="N1179" s="59">
        <f t="shared" si="347"/>
        <v>0</v>
      </c>
      <c r="O1179" s="59">
        <f t="shared" si="348"/>
        <v>0</v>
      </c>
      <c r="P1179" s="59">
        <f t="shared" si="349"/>
        <v>0</v>
      </c>
      <c r="Q1179" s="59">
        <f t="shared" si="350"/>
        <v>0</v>
      </c>
      <c r="R1179" s="59">
        <v>1</v>
      </c>
      <c r="S1179" s="59">
        <v>1656</v>
      </c>
      <c r="T1179" s="59">
        <v>4</v>
      </c>
      <c r="U1179" s="59">
        <v>0</v>
      </c>
      <c r="V1179" s="59">
        <v>50</v>
      </c>
      <c r="W1179" s="59">
        <v>2</v>
      </c>
      <c r="X1179" s="59">
        <v>3</v>
      </c>
      <c r="Y1179" s="59">
        <v>8</v>
      </c>
      <c r="Z1179" s="59">
        <f t="shared" si="351"/>
        <v>0</v>
      </c>
      <c r="AA1179" s="59">
        <f>IF('Updated Dummy'!Y1179=2,1,0)</f>
        <v>0</v>
      </c>
      <c r="AB1179" s="59">
        <f t="shared" si="352"/>
        <v>0</v>
      </c>
      <c r="AC1179" s="59">
        <f t="shared" si="353"/>
        <v>0</v>
      </c>
      <c r="AD1179" s="59">
        <f t="shared" si="354"/>
        <v>0</v>
      </c>
      <c r="AE1179" s="59">
        <f t="shared" si="355"/>
        <v>0</v>
      </c>
      <c r="AF1179" s="59">
        <f t="shared" si="356"/>
        <v>0</v>
      </c>
      <c r="AG1179" s="59">
        <f t="shared" si="357"/>
        <v>1</v>
      </c>
      <c r="AH1179" s="59">
        <v>1</v>
      </c>
      <c r="AI1179" s="59">
        <v>3</v>
      </c>
      <c r="AJ1179" s="59">
        <f t="shared" si="358"/>
        <v>0</v>
      </c>
      <c r="AK1179" s="59">
        <f t="shared" si="359"/>
        <v>0</v>
      </c>
      <c r="AL1179" s="59">
        <v>13269</v>
      </c>
      <c r="AM1179" s="59">
        <v>21981</v>
      </c>
      <c r="AN1179" s="59">
        <v>5</v>
      </c>
      <c r="AO1179" s="59">
        <v>0</v>
      </c>
      <c r="AP1179" s="59">
        <v>15</v>
      </c>
      <c r="AQ1179" s="59">
        <v>3</v>
      </c>
      <c r="AR1179" s="59">
        <v>3</v>
      </c>
      <c r="AS1179" s="59">
        <v>80</v>
      </c>
      <c r="AT1179" s="59">
        <v>3</v>
      </c>
      <c r="AU1179" s="59">
        <v>19</v>
      </c>
      <c r="AV1179" s="59">
        <v>3</v>
      </c>
      <c r="AW1179" s="59">
        <v>3</v>
      </c>
      <c r="AX1179" s="59">
        <v>14</v>
      </c>
      <c r="AY1179" s="59">
        <v>11</v>
      </c>
      <c r="AZ1179" s="59">
        <v>1</v>
      </c>
      <c r="BA1179" s="59">
        <v>11</v>
      </c>
      <c r="BB1179" s="57">
        <f t="shared" si="360"/>
        <v>39807</v>
      </c>
    </row>
    <row r="1180" spans="1:54" x14ac:dyDescent="0.25">
      <c r="A1180" s="58">
        <v>20</v>
      </c>
      <c r="B1180" s="59">
        <v>0</v>
      </c>
      <c r="C1180" s="59">
        <v>1</v>
      </c>
      <c r="D1180" s="59">
        <f t="shared" si="342"/>
        <v>1</v>
      </c>
      <c r="E1180" s="59">
        <f t="shared" si="343"/>
        <v>0</v>
      </c>
      <c r="F1180" s="59">
        <v>1141</v>
      </c>
      <c r="G1180" s="59">
        <v>1</v>
      </c>
      <c r="H1180" s="59">
        <f t="shared" si="344"/>
        <v>1</v>
      </c>
      <c r="I1180" s="59">
        <f t="shared" si="345"/>
        <v>0</v>
      </c>
      <c r="J1180" s="59">
        <v>2</v>
      </c>
      <c r="K1180" s="59">
        <v>3</v>
      </c>
      <c r="L1180" s="59">
        <v>3</v>
      </c>
      <c r="M1180" s="59">
        <f t="shared" si="346"/>
        <v>0</v>
      </c>
      <c r="N1180" s="59">
        <f t="shared" si="347"/>
        <v>0</v>
      </c>
      <c r="O1180" s="59">
        <f t="shared" si="348"/>
        <v>1</v>
      </c>
      <c r="P1180" s="59">
        <f t="shared" si="349"/>
        <v>0</v>
      </c>
      <c r="Q1180" s="59">
        <f t="shared" si="350"/>
        <v>0</v>
      </c>
      <c r="R1180" s="59">
        <v>1</v>
      </c>
      <c r="S1180" s="59">
        <v>1657</v>
      </c>
      <c r="T1180" s="59">
        <v>3</v>
      </c>
      <c r="U1180" s="59">
        <v>0</v>
      </c>
      <c r="V1180" s="59">
        <v>31</v>
      </c>
      <c r="W1180" s="59">
        <v>3</v>
      </c>
      <c r="X1180" s="59">
        <v>1</v>
      </c>
      <c r="Y1180" s="59">
        <v>7</v>
      </c>
      <c r="Z1180" s="59">
        <f t="shared" si="351"/>
        <v>0</v>
      </c>
      <c r="AA1180" s="59">
        <f>IF('Updated Dummy'!Y1180=2,1,0)</f>
        <v>0</v>
      </c>
      <c r="AB1180" s="59">
        <f t="shared" si="352"/>
        <v>0</v>
      </c>
      <c r="AC1180" s="59">
        <f t="shared" si="353"/>
        <v>0</v>
      </c>
      <c r="AD1180" s="59">
        <f t="shared" si="354"/>
        <v>0</v>
      </c>
      <c r="AE1180" s="59">
        <f t="shared" si="355"/>
        <v>0</v>
      </c>
      <c r="AF1180" s="59">
        <f t="shared" si="356"/>
        <v>1</v>
      </c>
      <c r="AG1180" s="59">
        <f t="shared" si="357"/>
        <v>0</v>
      </c>
      <c r="AH1180" s="59">
        <v>3</v>
      </c>
      <c r="AI1180" s="59">
        <v>1</v>
      </c>
      <c r="AJ1180" s="59">
        <f t="shared" si="358"/>
        <v>1</v>
      </c>
      <c r="AK1180" s="59">
        <f t="shared" si="359"/>
        <v>0</v>
      </c>
      <c r="AL1180" s="59">
        <v>2783</v>
      </c>
      <c r="AM1180" s="59">
        <v>13251</v>
      </c>
      <c r="AN1180" s="59">
        <v>1</v>
      </c>
      <c r="AO1180" s="59">
        <v>0</v>
      </c>
      <c r="AP1180" s="59">
        <v>19</v>
      </c>
      <c r="AQ1180" s="59">
        <v>3</v>
      </c>
      <c r="AR1180" s="59">
        <v>1</v>
      </c>
      <c r="AS1180" s="59">
        <v>80</v>
      </c>
      <c r="AT1180" s="59">
        <v>0</v>
      </c>
      <c r="AU1180" s="59">
        <v>2</v>
      </c>
      <c r="AV1180" s="59">
        <v>3</v>
      </c>
      <c r="AW1180" s="59">
        <v>3</v>
      </c>
      <c r="AX1180" s="59">
        <v>2</v>
      </c>
      <c r="AY1180" s="59">
        <v>2</v>
      </c>
      <c r="AZ1180" s="59">
        <v>2</v>
      </c>
      <c r="BA1180" s="59">
        <v>2</v>
      </c>
      <c r="BB1180" s="57">
        <f t="shared" si="360"/>
        <v>2783</v>
      </c>
    </row>
    <row r="1181" spans="1:54" x14ac:dyDescent="0.25">
      <c r="A1181" s="58">
        <v>34</v>
      </c>
      <c r="B1181" s="59">
        <v>0</v>
      </c>
      <c r="C1181" s="59">
        <v>1</v>
      </c>
      <c r="D1181" s="59">
        <f t="shared" si="342"/>
        <v>1</v>
      </c>
      <c r="E1181" s="59">
        <f t="shared" si="343"/>
        <v>0</v>
      </c>
      <c r="F1181" s="59">
        <v>1130</v>
      </c>
      <c r="G1181" s="59">
        <v>2</v>
      </c>
      <c r="H1181" s="59">
        <f t="shared" si="344"/>
        <v>0</v>
      </c>
      <c r="I1181" s="59">
        <f t="shared" si="345"/>
        <v>1</v>
      </c>
      <c r="J1181" s="59">
        <v>3</v>
      </c>
      <c r="K1181" s="59">
        <v>3</v>
      </c>
      <c r="L1181" s="59">
        <v>1</v>
      </c>
      <c r="M1181" s="59">
        <f t="shared" si="346"/>
        <v>1</v>
      </c>
      <c r="N1181" s="59">
        <f t="shared" si="347"/>
        <v>0</v>
      </c>
      <c r="O1181" s="59">
        <f t="shared" si="348"/>
        <v>0</v>
      </c>
      <c r="P1181" s="59">
        <f t="shared" si="349"/>
        <v>0</v>
      </c>
      <c r="Q1181" s="59">
        <f t="shared" si="350"/>
        <v>0</v>
      </c>
      <c r="R1181" s="59">
        <v>1</v>
      </c>
      <c r="S1181" s="59">
        <v>1658</v>
      </c>
      <c r="T1181" s="59">
        <v>4</v>
      </c>
      <c r="U1181" s="59">
        <v>0</v>
      </c>
      <c r="V1181" s="59">
        <v>66</v>
      </c>
      <c r="W1181" s="59">
        <v>3</v>
      </c>
      <c r="X1181" s="59">
        <v>2</v>
      </c>
      <c r="Y1181" s="59">
        <v>2</v>
      </c>
      <c r="Z1181" s="59">
        <f t="shared" si="351"/>
        <v>0</v>
      </c>
      <c r="AA1181" s="59">
        <f>IF('Updated Dummy'!Y1181=2,1,0)</f>
        <v>1</v>
      </c>
      <c r="AB1181" s="59">
        <f t="shared" si="352"/>
        <v>0</v>
      </c>
      <c r="AC1181" s="59">
        <f t="shared" si="353"/>
        <v>0</v>
      </c>
      <c r="AD1181" s="59">
        <f t="shared" si="354"/>
        <v>0</v>
      </c>
      <c r="AE1181" s="59">
        <f t="shared" si="355"/>
        <v>0</v>
      </c>
      <c r="AF1181" s="59">
        <f t="shared" si="356"/>
        <v>0</v>
      </c>
      <c r="AG1181" s="59">
        <f t="shared" si="357"/>
        <v>0</v>
      </c>
      <c r="AH1181" s="59">
        <v>2</v>
      </c>
      <c r="AI1181" s="59">
        <v>3</v>
      </c>
      <c r="AJ1181" s="59">
        <f t="shared" si="358"/>
        <v>0</v>
      </c>
      <c r="AK1181" s="59">
        <f t="shared" si="359"/>
        <v>0</v>
      </c>
      <c r="AL1181" s="59">
        <v>5433</v>
      </c>
      <c r="AM1181" s="59">
        <v>19332</v>
      </c>
      <c r="AN1181" s="59">
        <v>1</v>
      </c>
      <c r="AO1181" s="59">
        <v>0</v>
      </c>
      <c r="AP1181" s="59">
        <v>12</v>
      </c>
      <c r="AQ1181" s="59">
        <v>3</v>
      </c>
      <c r="AR1181" s="59">
        <v>3</v>
      </c>
      <c r="AS1181" s="59">
        <v>80</v>
      </c>
      <c r="AT1181" s="59">
        <v>1</v>
      </c>
      <c r="AU1181" s="59">
        <v>11</v>
      </c>
      <c r="AV1181" s="59">
        <v>2</v>
      </c>
      <c r="AW1181" s="59">
        <v>3</v>
      </c>
      <c r="AX1181" s="59">
        <v>11</v>
      </c>
      <c r="AY1181" s="59">
        <v>8</v>
      </c>
      <c r="AZ1181" s="59">
        <v>7</v>
      </c>
      <c r="BA1181" s="59">
        <v>9</v>
      </c>
      <c r="BB1181" s="57">
        <f t="shared" si="360"/>
        <v>10866</v>
      </c>
    </row>
    <row r="1182" spans="1:54" x14ac:dyDescent="0.25">
      <c r="A1182" s="58">
        <v>36</v>
      </c>
      <c r="B1182" s="59">
        <v>0</v>
      </c>
      <c r="C1182" s="59">
        <v>1</v>
      </c>
      <c r="D1182" s="59">
        <f t="shared" si="342"/>
        <v>1</v>
      </c>
      <c r="E1182" s="59">
        <f t="shared" si="343"/>
        <v>0</v>
      </c>
      <c r="F1182" s="59">
        <v>311</v>
      </c>
      <c r="G1182" s="59">
        <v>2</v>
      </c>
      <c r="H1182" s="59">
        <f t="shared" si="344"/>
        <v>0</v>
      </c>
      <c r="I1182" s="59">
        <f t="shared" si="345"/>
        <v>1</v>
      </c>
      <c r="J1182" s="59">
        <v>7</v>
      </c>
      <c r="K1182" s="59">
        <v>3</v>
      </c>
      <c r="L1182" s="59">
        <v>1</v>
      </c>
      <c r="M1182" s="59">
        <f t="shared" si="346"/>
        <v>1</v>
      </c>
      <c r="N1182" s="59">
        <f t="shared" si="347"/>
        <v>0</v>
      </c>
      <c r="O1182" s="59">
        <f t="shared" si="348"/>
        <v>0</v>
      </c>
      <c r="P1182" s="59">
        <f t="shared" si="349"/>
        <v>0</v>
      </c>
      <c r="Q1182" s="59">
        <f t="shared" si="350"/>
        <v>0</v>
      </c>
      <c r="R1182" s="59">
        <v>1</v>
      </c>
      <c r="S1182" s="59">
        <v>1659</v>
      </c>
      <c r="T1182" s="59">
        <v>1</v>
      </c>
      <c r="U1182" s="59">
        <v>1</v>
      </c>
      <c r="V1182" s="59">
        <v>77</v>
      </c>
      <c r="W1182" s="59">
        <v>3</v>
      </c>
      <c r="X1182" s="59">
        <v>1</v>
      </c>
      <c r="Y1182" s="59">
        <v>3</v>
      </c>
      <c r="Z1182" s="59">
        <f t="shared" si="351"/>
        <v>0</v>
      </c>
      <c r="AA1182" s="59">
        <f>IF('Updated Dummy'!Y1182=2,1,0)</f>
        <v>0</v>
      </c>
      <c r="AB1182" s="59">
        <f t="shared" si="352"/>
        <v>1</v>
      </c>
      <c r="AC1182" s="59">
        <f t="shared" si="353"/>
        <v>0</v>
      </c>
      <c r="AD1182" s="59">
        <f t="shared" si="354"/>
        <v>0</v>
      </c>
      <c r="AE1182" s="59">
        <f t="shared" si="355"/>
        <v>0</v>
      </c>
      <c r="AF1182" s="59">
        <f t="shared" si="356"/>
        <v>0</v>
      </c>
      <c r="AG1182" s="59">
        <f t="shared" si="357"/>
        <v>0</v>
      </c>
      <c r="AH1182" s="59">
        <v>2</v>
      </c>
      <c r="AI1182" s="59">
        <v>1</v>
      </c>
      <c r="AJ1182" s="59">
        <f t="shared" si="358"/>
        <v>1</v>
      </c>
      <c r="AK1182" s="59">
        <f t="shared" si="359"/>
        <v>0</v>
      </c>
      <c r="AL1182" s="59">
        <v>2013</v>
      </c>
      <c r="AM1182" s="59">
        <v>10950</v>
      </c>
      <c r="AN1182" s="59">
        <v>2</v>
      </c>
      <c r="AO1182" s="59">
        <v>0</v>
      </c>
      <c r="AP1182" s="59">
        <v>11</v>
      </c>
      <c r="AQ1182" s="59">
        <v>3</v>
      </c>
      <c r="AR1182" s="59">
        <v>3</v>
      </c>
      <c r="AS1182" s="59">
        <v>80</v>
      </c>
      <c r="AT1182" s="59">
        <v>0</v>
      </c>
      <c r="AU1182" s="59">
        <v>15</v>
      </c>
      <c r="AV1182" s="59">
        <v>4</v>
      </c>
      <c r="AW1182" s="59">
        <v>3</v>
      </c>
      <c r="AX1182" s="59">
        <v>4</v>
      </c>
      <c r="AY1182" s="59">
        <v>3</v>
      </c>
      <c r="AZ1182" s="59">
        <v>1</v>
      </c>
      <c r="BA1182" s="59">
        <v>3</v>
      </c>
      <c r="BB1182" s="57">
        <f t="shared" si="360"/>
        <v>2013</v>
      </c>
    </row>
    <row r="1183" spans="1:54" x14ac:dyDescent="0.25">
      <c r="A1183" s="58">
        <v>49</v>
      </c>
      <c r="B1183" s="59">
        <v>0</v>
      </c>
      <c r="C1183" s="59">
        <v>1</v>
      </c>
      <c r="D1183" s="59">
        <f t="shared" si="342"/>
        <v>1</v>
      </c>
      <c r="E1183" s="59">
        <f t="shared" si="343"/>
        <v>0</v>
      </c>
      <c r="F1183" s="59">
        <v>465</v>
      </c>
      <c r="G1183" s="59">
        <v>2</v>
      </c>
      <c r="H1183" s="59">
        <f t="shared" si="344"/>
        <v>0</v>
      </c>
      <c r="I1183" s="59">
        <f t="shared" si="345"/>
        <v>1</v>
      </c>
      <c r="J1183" s="59">
        <v>6</v>
      </c>
      <c r="K1183" s="59">
        <v>1</v>
      </c>
      <c r="L1183" s="59">
        <v>1</v>
      </c>
      <c r="M1183" s="59">
        <f t="shared" si="346"/>
        <v>1</v>
      </c>
      <c r="N1183" s="59">
        <f t="shared" si="347"/>
        <v>0</v>
      </c>
      <c r="O1183" s="59">
        <f t="shared" si="348"/>
        <v>0</v>
      </c>
      <c r="P1183" s="59">
        <f t="shared" si="349"/>
        <v>0</v>
      </c>
      <c r="Q1183" s="59">
        <f t="shared" si="350"/>
        <v>0</v>
      </c>
      <c r="R1183" s="59">
        <v>1</v>
      </c>
      <c r="S1183" s="59">
        <v>1661</v>
      </c>
      <c r="T1183" s="59">
        <v>3</v>
      </c>
      <c r="U1183" s="59">
        <v>0</v>
      </c>
      <c r="V1183" s="59">
        <v>41</v>
      </c>
      <c r="W1183" s="59">
        <v>2</v>
      </c>
      <c r="X1183" s="59">
        <v>4</v>
      </c>
      <c r="Y1183" s="59">
        <v>5</v>
      </c>
      <c r="Z1183" s="59">
        <f t="shared" si="351"/>
        <v>0</v>
      </c>
      <c r="AA1183" s="59">
        <f>IF('Updated Dummy'!Y1183=2,1,0)</f>
        <v>0</v>
      </c>
      <c r="AB1183" s="59">
        <f t="shared" si="352"/>
        <v>0</v>
      </c>
      <c r="AC1183" s="59">
        <f t="shared" si="353"/>
        <v>0</v>
      </c>
      <c r="AD1183" s="59">
        <f t="shared" si="354"/>
        <v>1</v>
      </c>
      <c r="AE1183" s="59">
        <f t="shared" si="355"/>
        <v>0</v>
      </c>
      <c r="AF1183" s="59">
        <f t="shared" si="356"/>
        <v>0</v>
      </c>
      <c r="AG1183" s="59">
        <f t="shared" si="357"/>
        <v>0</v>
      </c>
      <c r="AH1183" s="59">
        <v>3</v>
      </c>
      <c r="AI1183" s="59">
        <v>2</v>
      </c>
      <c r="AJ1183" s="59">
        <f t="shared" si="358"/>
        <v>0</v>
      </c>
      <c r="AK1183" s="59">
        <f t="shared" si="359"/>
        <v>1</v>
      </c>
      <c r="AL1183" s="59">
        <v>13966</v>
      </c>
      <c r="AM1183" s="59">
        <v>11652</v>
      </c>
      <c r="AN1183" s="59">
        <v>2</v>
      </c>
      <c r="AO1183" s="59">
        <v>1</v>
      </c>
      <c r="AP1183" s="59">
        <v>19</v>
      </c>
      <c r="AQ1183" s="59">
        <v>3</v>
      </c>
      <c r="AR1183" s="59">
        <v>2</v>
      </c>
      <c r="AS1183" s="59">
        <v>80</v>
      </c>
      <c r="AT1183" s="59">
        <v>1</v>
      </c>
      <c r="AU1183" s="59">
        <v>30</v>
      </c>
      <c r="AV1183" s="59">
        <v>3</v>
      </c>
      <c r="AW1183" s="59">
        <v>3</v>
      </c>
      <c r="AX1183" s="59">
        <v>15</v>
      </c>
      <c r="AY1183" s="59">
        <v>11</v>
      </c>
      <c r="AZ1183" s="59">
        <v>2</v>
      </c>
      <c r="BA1183" s="59">
        <v>12</v>
      </c>
      <c r="BB1183" s="57">
        <f t="shared" si="360"/>
        <v>55864</v>
      </c>
    </row>
    <row r="1184" spans="1:54" x14ac:dyDescent="0.25">
      <c r="A1184" s="58">
        <v>36</v>
      </c>
      <c r="B1184" s="59">
        <v>0</v>
      </c>
      <c r="C1184" s="59">
        <v>3</v>
      </c>
      <c r="D1184" s="59">
        <f t="shared" si="342"/>
        <v>0</v>
      </c>
      <c r="E1184" s="59">
        <f t="shared" si="343"/>
        <v>0</v>
      </c>
      <c r="F1184" s="59">
        <v>894</v>
      </c>
      <c r="G1184" s="59">
        <v>2</v>
      </c>
      <c r="H1184" s="59">
        <f t="shared" si="344"/>
        <v>0</v>
      </c>
      <c r="I1184" s="59">
        <f t="shared" si="345"/>
        <v>1</v>
      </c>
      <c r="J1184" s="59">
        <v>1</v>
      </c>
      <c r="K1184" s="59">
        <v>4</v>
      </c>
      <c r="L1184" s="59">
        <v>3</v>
      </c>
      <c r="M1184" s="59">
        <f t="shared" si="346"/>
        <v>0</v>
      </c>
      <c r="N1184" s="59">
        <f t="shared" si="347"/>
        <v>0</v>
      </c>
      <c r="O1184" s="59">
        <f t="shared" si="348"/>
        <v>1</v>
      </c>
      <c r="P1184" s="59">
        <f t="shared" si="349"/>
        <v>0</v>
      </c>
      <c r="Q1184" s="59">
        <f t="shared" si="350"/>
        <v>0</v>
      </c>
      <c r="R1184" s="59">
        <v>1</v>
      </c>
      <c r="S1184" s="59">
        <v>1662</v>
      </c>
      <c r="T1184" s="59">
        <v>4</v>
      </c>
      <c r="U1184" s="59">
        <v>0</v>
      </c>
      <c r="V1184" s="59">
        <v>33</v>
      </c>
      <c r="W1184" s="59">
        <v>2</v>
      </c>
      <c r="X1184" s="59">
        <v>2</v>
      </c>
      <c r="Y1184" s="59">
        <v>4</v>
      </c>
      <c r="Z1184" s="59">
        <f t="shared" si="351"/>
        <v>0</v>
      </c>
      <c r="AA1184" s="59">
        <f>IF('Updated Dummy'!Y1184=2,1,0)</f>
        <v>0</v>
      </c>
      <c r="AB1184" s="59">
        <f t="shared" si="352"/>
        <v>0</v>
      </c>
      <c r="AC1184" s="59">
        <f t="shared" si="353"/>
        <v>1</v>
      </c>
      <c r="AD1184" s="59">
        <f t="shared" si="354"/>
        <v>0</v>
      </c>
      <c r="AE1184" s="59">
        <f t="shared" si="355"/>
        <v>0</v>
      </c>
      <c r="AF1184" s="59">
        <f t="shared" si="356"/>
        <v>0</v>
      </c>
      <c r="AG1184" s="59">
        <f t="shared" si="357"/>
        <v>0</v>
      </c>
      <c r="AH1184" s="59">
        <v>3</v>
      </c>
      <c r="AI1184" s="59">
        <v>2</v>
      </c>
      <c r="AJ1184" s="59">
        <f t="shared" si="358"/>
        <v>0</v>
      </c>
      <c r="AK1184" s="59">
        <f t="shared" si="359"/>
        <v>1</v>
      </c>
      <c r="AL1184" s="59">
        <v>4374</v>
      </c>
      <c r="AM1184" s="59">
        <v>15411</v>
      </c>
      <c r="AN1184" s="59">
        <v>0</v>
      </c>
      <c r="AO1184" s="59">
        <v>0</v>
      </c>
      <c r="AP1184" s="59">
        <v>15</v>
      </c>
      <c r="AQ1184" s="59">
        <v>3</v>
      </c>
      <c r="AR1184" s="59">
        <v>3</v>
      </c>
      <c r="AS1184" s="59">
        <v>80</v>
      </c>
      <c r="AT1184" s="59">
        <v>0</v>
      </c>
      <c r="AU1184" s="59">
        <v>4</v>
      </c>
      <c r="AV1184" s="59">
        <v>6</v>
      </c>
      <c r="AW1184" s="59">
        <v>3</v>
      </c>
      <c r="AX1184" s="59">
        <v>3</v>
      </c>
      <c r="AY1184" s="59">
        <v>2</v>
      </c>
      <c r="AZ1184" s="59">
        <v>1</v>
      </c>
      <c r="BA1184" s="59">
        <v>2</v>
      </c>
      <c r="BB1184" s="57">
        <f t="shared" si="360"/>
        <v>8748</v>
      </c>
    </row>
    <row r="1185" spans="1:54" x14ac:dyDescent="0.25">
      <c r="A1185" s="58">
        <v>36</v>
      </c>
      <c r="B1185" s="59">
        <v>0</v>
      </c>
      <c r="C1185" s="59">
        <v>1</v>
      </c>
      <c r="D1185" s="59">
        <f t="shared" si="342"/>
        <v>1</v>
      </c>
      <c r="E1185" s="59">
        <f t="shared" si="343"/>
        <v>0</v>
      </c>
      <c r="F1185" s="59">
        <v>1040</v>
      </c>
      <c r="G1185" s="59">
        <v>2</v>
      </c>
      <c r="H1185" s="59">
        <f t="shared" si="344"/>
        <v>0</v>
      </c>
      <c r="I1185" s="59">
        <f t="shared" si="345"/>
        <v>1</v>
      </c>
      <c r="J1185" s="59">
        <v>3</v>
      </c>
      <c r="K1185" s="59">
        <v>2</v>
      </c>
      <c r="L1185" s="59">
        <v>1</v>
      </c>
      <c r="M1185" s="59">
        <f t="shared" si="346"/>
        <v>1</v>
      </c>
      <c r="N1185" s="59">
        <f t="shared" si="347"/>
        <v>0</v>
      </c>
      <c r="O1185" s="59">
        <f t="shared" si="348"/>
        <v>0</v>
      </c>
      <c r="P1185" s="59">
        <f t="shared" si="349"/>
        <v>0</v>
      </c>
      <c r="Q1185" s="59">
        <f t="shared" si="350"/>
        <v>0</v>
      </c>
      <c r="R1185" s="59">
        <v>1</v>
      </c>
      <c r="S1185" s="59">
        <v>1664</v>
      </c>
      <c r="T1185" s="59">
        <v>4</v>
      </c>
      <c r="U1185" s="59">
        <v>1</v>
      </c>
      <c r="V1185" s="59">
        <v>79</v>
      </c>
      <c r="W1185" s="59">
        <v>4</v>
      </c>
      <c r="X1185" s="59">
        <v>2</v>
      </c>
      <c r="Y1185" s="59">
        <v>5</v>
      </c>
      <c r="Z1185" s="59">
        <f t="shared" si="351"/>
        <v>0</v>
      </c>
      <c r="AA1185" s="59">
        <f>IF('Updated Dummy'!Y1185=2,1,0)</f>
        <v>0</v>
      </c>
      <c r="AB1185" s="59">
        <f t="shared" si="352"/>
        <v>0</v>
      </c>
      <c r="AC1185" s="59">
        <f t="shared" si="353"/>
        <v>0</v>
      </c>
      <c r="AD1185" s="59">
        <f t="shared" si="354"/>
        <v>1</v>
      </c>
      <c r="AE1185" s="59">
        <f t="shared" si="355"/>
        <v>0</v>
      </c>
      <c r="AF1185" s="59">
        <f t="shared" si="356"/>
        <v>0</v>
      </c>
      <c r="AG1185" s="59">
        <f t="shared" si="357"/>
        <v>0</v>
      </c>
      <c r="AH1185" s="59">
        <v>1</v>
      </c>
      <c r="AI1185" s="59">
        <v>3</v>
      </c>
      <c r="AJ1185" s="59">
        <f t="shared" si="358"/>
        <v>0</v>
      </c>
      <c r="AK1185" s="59">
        <f t="shared" si="359"/>
        <v>0</v>
      </c>
      <c r="AL1185" s="59">
        <v>6842</v>
      </c>
      <c r="AM1185" s="59">
        <v>26308</v>
      </c>
      <c r="AN1185" s="59">
        <v>6</v>
      </c>
      <c r="AO1185" s="59">
        <v>0</v>
      </c>
      <c r="AP1185" s="59">
        <v>20</v>
      </c>
      <c r="AQ1185" s="59">
        <v>4</v>
      </c>
      <c r="AR1185" s="59">
        <v>1</v>
      </c>
      <c r="AS1185" s="59">
        <v>80</v>
      </c>
      <c r="AT1185" s="59">
        <v>1</v>
      </c>
      <c r="AU1185" s="59">
        <v>13</v>
      </c>
      <c r="AV1185" s="59">
        <v>3</v>
      </c>
      <c r="AW1185" s="59">
        <v>3</v>
      </c>
      <c r="AX1185" s="59">
        <v>5</v>
      </c>
      <c r="AY1185" s="59">
        <v>4</v>
      </c>
      <c r="AZ1185" s="59">
        <v>0</v>
      </c>
      <c r="BA1185" s="59">
        <v>4</v>
      </c>
      <c r="BB1185" s="57">
        <f t="shared" si="360"/>
        <v>13684</v>
      </c>
    </row>
    <row r="1186" spans="1:54" x14ac:dyDescent="0.25">
      <c r="A1186" s="58">
        <v>54</v>
      </c>
      <c r="B1186" s="59">
        <v>0</v>
      </c>
      <c r="C1186" s="59">
        <v>1</v>
      </c>
      <c r="D1186" s="59">
        <f t="shared" si="342"/>
        <v>1</v>
      </c>
      <c r="E1186" s="59">
        <f t="shared" si="343"/>
        <v>0</v>
      </c>
      <c r="F1186" s="59">
        <v>584</v>
      </c>
      <c r="G1186" s="59">
        <v>2</v>
      </c>
      <c r="H1186" s="59">
        <f t="shared" si="344"/>
        <v>0</v>
      </c>
      <c r="I1186" s="59">
        <f t="shared" si="345"/>
        <v>1</v>
      </c>
      <c r="J1186" s="59">
        <v>22</v>
      </c>
      <c r="K1186" s="59">
        <v>5</v>
      </c>
      <c r="L1186" s="59">
        <v>3</v>
      </c>
      <c r="M1186" s="59">
        <f t="shared" si="346"/>
        <v>0</v>
      </c>
      <c r="N1186" s="59">
        <f t="shared" si="347"/>
        <v>0</v>
      </c>
      <c r="O1186" s="59">
        <f t="shared" si="348"/>
        <v>1</v>
      </c>
      <c r="P1186" s="59">
        <f t="shared" si="349"/>
        <v>0</v>
      </c>
      <c r="Q1186" s="59">
        <f t="shared" si="350"/>
        <v>0</v>
      </c>
      <c r="R1186" s="59">
        <v>1</v>
      </c>
      <c r="S1186" s="59">
        <v>1665</v>
      </c>
      <c r="T1186" s="59">
        <v>2</v>
      </c>
      <c r="U1186" s="59">
        <v>0</v>
      </c>
      <c r="V1186" s="59">
        <v>91</v>
      </c>
      <c r="W1186" s="59">
        <v>3</v>
      </c>
      <c r="X1186" s="59">
        <v>4</v>
      </c>
      <c r="Y1186" s="59">
        <v>6</v>
      </c>
      <c r="Z1186" s="59">
        <f t="shared" si="351"/>
        <v>0</v>
      </c>
      <c r="AA1186" s="59">
        <f>IF('Updated Dummy'!Y1186=2,1,0)</f>
        <v>0</v>
      </c>
      <c r="AB1186" s="59">
        <f t="shared" si="352"/>
        <v>0</v>
      </c>
      <c r="AC1186" s="59">
        <f t="shared" si="353"/>
        <v>0</v>
      </c>
      <c r="AD1186" s="59">
        <f t="shared" si="354"/>
        <v>0</v>
      </c>
      <c r="AE1186" s="59">
        <f t="shared" si="355"/>
        <v>1</v>
      </c>
      <c r="AF1186" s="59">
        <f t="shared" si="356"/>
        <v>0</v>
      </c>
      <c r="AG1186" s="59">
        <f t="shared" si="357"/>
        <v>0</v>
      </c>
      <c r="AH1186" s="59">
        <v>3</v>
      </c>
      <c r="AI1186" s="59">
        <v>2</v>
      </c>
      <c r="AJ1186" s="59">
        <f t="shared" si="358"/>
        <v>0</v>
      </c>
      <c r="AK1186" s="59">
        <f t="shared" si="359"/>
        <v>1</v>
      </c>
      <c r="AL1186" s="59">
        <v>17426</v>
      </c>
      <c r="AM1186" s="59">
        <v>18685</v>
      </c>
      <c r="AN1186" s="59">
        <v>3</v>
      </c>
      <c r="AO1186" s="59">
        <v>0</v>
      </c>
      <c r="AP1186" s="59">
        <v>25</v>
      </c>
      <c r="AQ1186" s="59">
        <v>4</v>
      </c>
      <c r="AR1186" s="59">
        <v>3</v>
      </c>
      <c r="AS1186" s="59">
        <v>80</v>
      </c>
      <c r="AT1186" s="59">
        <v>1</v>
      </c>
      <c r="AU1186" s="59">
        <v>36</v>
      </c>
      <c r="AV1186" s="59">
        <v>6</v>
      </c>
      <c r="AW1186" s="59">
        <v>3</v>
      </c>
      <c r="AX1186" s="59">
        <v>10</v>
      </c>
      <c r="AY1186" s="59">
        <v>8</v>
      </c>
      <c r="AZ1186" s="59">
        <v>4</v>
      </c>
      <c r="BA1186" s="59">
        <v>7</v>
      </c>
      <c r="BB1186" s="57">
        <f t="shared" si="360"/>
        <v>69704</v>
      </c>
    </row>
    <row r="1187" spans="1:54" x14ac:dyDescent="0.25">
      <c r="A1187" s="58">
        <v>43</v>
      </c>
      <c r="B1187" s="59">
        <v>0</v>
      </c>
      <c r="C1187" s="59">
        <v>1</v>
      </c>
      <c r="D1187" s="59">
        <f t="shared" si="342"/>
        <v>1</v>
      </c>
      <c r="E1187" s="59">
        <f t="shared" si="343"/>
        <v>0</v>
      </c>
      <c r="F1187" s="59">
        <v>1291</v>
      </c>
      <c r="G1187" s="59">
        <v>2</v>
      </c>
      <c r="H1187" s="59">
        <f t="shared" si="344"/>
        <v>0</v>
      </c>
      <c r="I1187" s="59">
        <f t="shared" si="345"/>
        <v>1</v>
      </c>
      <c r="J1187" s="59">
        <v>15</v>
      </c>
      <c r="K1187" s="59">
        <v>2</v>
      </c>
      <c r="L1187" s="59">
        <v>1</v>
      </c>
      <c r="M1187" s="59">
        <f t="shared" si="346"/>
        <v>1</v>
      </c>
      <c r="N1187" s="59">
        <f t="shared" si="347"/>
        <v>0</v>
      </c>
      <c r="O1187" s="59">
        <f t="shared" si="348"/>
        <v>0</v>
      </c>
      <c r="P1187" s="59">
        <f t="shared" si="349"/>
        <v>0</v>
      </c>
      <c r="Q1187" s="59">
        <f t="shared" si="350"/>
        <v>0</v>
      </c>
      <c r="R1187" s="59">
        <v>1</v>
      </c>
      <c r="S1187" s="59">
        <v>1666</v>
      </c>
      <c r="T1187" s="59">
        <v>3</v>
      </c>
      <c r="U1187" s="59">
        <v>1</v>
      </c>
      <c r="V1187" s="59">
        <v>65</v>
      </c>
      <c r="W1187" s="59">
        <v>2</v>
      </c>
      <c r="X1187" s="59">
        <v>4</v>
      </c>
      <c r="Y1187" s="59">
        <v>8</v>
      </c>
      <c r="Z1187" s="59">
        <f t="shared" si="351"/>
        <v>0</v>
      </c>
      <c r="AA1187" s="59">
        <f>IF('Updated Dummy'!Y1187=2,1,0)</f>
        <v>0</v>
      </c>
      <c r="AB1187" s="59">
        <f t="shared" si="352"/>
        <v>0</v>
      </c>
      <c r="AC1187" s="59">
        <f t="shared" si="353"/>
        <v>0</v>
      </c>
      <c r="AD1187" s="59">
        <f t="shared" si="354"/>
        <v>0</v>
      </c>
      <c r="AE1187" s="59">
        <f t="shared" si="355"/>
        <v>0</v>
      </c>
      <c r="AF1187" s="59">
        <f t="shared" si="356"/>
        <v>0</v>
      </c>
      <c r="AG1187" s="59">
        <f t="shared" si="357"/>
        <v>1</v>
      </c>
      <c r="AH1187" s="59">
        <v>3</v>
      </c>
      <c r="AI1187" s="59">
        <v>2</v>
      </c>
      <c r="AJ1187" s="59">
        <f t="shared" si="358"/>
        <v>0</v>
      </c>
      <c r="AK1187" s="59">
        <f t="shared" si="359"/>
        <v>1</v>
      </c>
      <c r="AL1187" s="59">
        <v>17603</v>
      </c>
      <c r="AM1187" s="59">
        <v>3525</v>
      </c>
      <c r="AN1187" s="59">
        <v>1</v>
      </c>
      <c r="AO1187" s="59">
        <v>0</v>
      </c>
      <c r="AP1187" s="59">
        <v>24</v>
      </c>
      <c r="AQ1187" s="59">
        <v>4</v>
      </c>
      <c r="AR1187" s="59">
        <v>1</v>
      </c>
      <c r="AS1187" s="59">
        <v>80</v>
      </c>
      <c r="AT1187" s="59">
        <v>1</v>
      </c>
      <c r="AU1187" s="59">
        <v>14</v>
      </c>
      <c r="AV1187" s="59">
        <v>3</v>
      </c>
      <c r="AW1187" s="59">
        <v>3</v>
      </c>
      <c r="AX1187" s="59">
        <v>14</v>
      </c>
      <c r="AY1187" s="59">
        <v>10</v>
      </c>
      <c r="AZ1187" s="59">
        <v>6</v>
      </c>
      <c r="BA1187" s="59">
        <v>11</v>
      </c>
      <c r="BB1187" s="57">
        <f t="shared" si="360"/>
        <v>70412</v>
      </c>
    </row>
    <row r="1188" spans="1:54" x14ac:dyDescent="0.25">
      <c r="A1188" s="58">
        <v>35</v>
      </c>
      <c r="B1188" s="59">
        <v>1</v>
      </c>
      <c r="C1188" s="59">
        <v>2</v>
      </c>
      <c r="D1188" s="59">
        <f t="shared" si="342"/>
        <v>0</v>
      </c>
      <c r="E1188" s="59">
        <f t="shared" si="343"/>
        <v>1</v>
      </c>
      <c r="F1188" s="59">
        <v>880</v>
      </c>
      <c r="G1188" s="59">
        <v>1</v>
      </c>
      <c r="H1188" s="59">
        <f t="shared" si="344"/>
        <v>1</v>
      </c>
      <c r="I1188" s="59">
        <f t="shared" si="345"/>
        <v>0</v>
      </c>
      <c r="J1188" s="59">
        <v>12</v>
      </c>
      <c r="K1188" s="59">
        <v>4</v>
      </c>
      <c r="L1188" s="59">
        <v>6</v>
      </c>
      <c r="M1188" s="59">
        <f t="shared" si="346"/>
        <v>0</v>
      </c>
      <c r="N1188" s="59">
        <f t="shared" si="347"/>
        <v>0</v>
      </c>
      <c r="O1188" s="59">
        <f t="shared" si="348"/>
        <v>0</v>
      </c>
      <c r="P1188" s="59">
        <f t="shared" si="349"/>
        <v>0</v>
      </c>
      <c r="Q1188" s="59">
        <f t="shared" si="350"/>
        <v>0</v>
      </c>
      <c r="R1188" s="59">
        <v>1</v>
      </c>
      <c r="S1188" s="59">
        <v>1667</v>
      </c>
      <c r="T1188" s="59">
        <v>4</v>
      </c>
      <c r="U1188" s="59">
        <v>1</v>
      </c>
      <c r="V1188" s="59">
        <v>36</v>
      </c>
      <c r="W1188" s="59">
        <v>3</v>
      </c>
      <c r="X1188" s="59">
        <v>2</v>
      </c>
      <c r="Y1188" s="59">
        <v>1</v>
      </c>
      <c r="Z1188" s="59">
        <f t="shared" si="351"/>
        <v>1</v>
      </c>
      <c r="AA1188" s="59">
        <f>IF('Updated Dummy'!Y1188=2,1,0)</f>
        <v>0</v>
      </c>
      <c r="AB1188" s="59">
        <f t="shared" si="352"/>
        <v>0</v>
      </c>
      <c r="AC1188" s="59">
        <f t="shared" si="353"/>
        <v>0</v>
      </c>
      <c r="AD1188" s="59">
        <f t="shared" si="354"/>
        <v>0</v>
      </c>
      <c r="AE1188" s="59">
        <f t="shared" si="355"/>
        <v>0</v>
      </c>
      <c r="AF1188" s="59">
        <f t="shared" si="356"/>
        <v>0</v>
      </c>
      <c r="AG1188" s="59">
        <f t="shared" si="357"/>
        <v>0</v>
      </c>
      <c r="AH1188" s="59">
        <v>4</v>
      </c>
      <c r="AI1188" s="59">
        <v>1</v>
      </c>
      <c r="AJ1188" s="59">
        <f t="shared" si="358"/>
        <v>1</v>
      </c>
      <c r="AK1188" s="59">
        <f t="shared" si="359"/>
        <v>0</v>
      </c>
      <c r="AL1188" s="59">
        <v>4581</v>
      </c>
      <c r="AM1188" s="59">
        <v>10414</v>
      </c>
      <c r="AN1188" s="59">
        <v>3</v>
      </c>
      <c r="AO1188" s="59">
        <v>1</v>
      </c>
      <c r="AP1188" s="59">
        <v>24</v>
      </c>
      <c r="AQ1188" s="59">
        <v>4</v>
      </c>
      <c r="AR1188" s="59">
        <v>1</v>
      </c>
      <c r="AS1188" s="59">
        <v>80</v>
      </c>
      <c r="AT1188" s="59">
        <v>0</v>
      </c>
      <c r="AU1188" s="59">
        <v>13</v>
      </c>
      <c r="AV1188" s="59">
        <v>2</v>
      </c>
      <c r="AW1188" s="59">
        <v>4</v>
      </c>
      <c r="AX1188" s="59">
        <v>11</v>
      </c>
      <c r="AY1188" s="59">
        <v>9</v>
      </c>
      <c r="AZ1188" s="59">
        <v>6</v>
      </c>
      <c r="BA1188" s="59">
        <v>7</v>
      </c>
      <c r="BB1188" s="57">
        <f t="shared" si="360"/>
        <v>9162</v>
      </c>
    </row>
    <row r="1189" spans="1:54" x14ac:dyDescent="0.25">
      <c r="A1189" s="58">
        <v>38</v>
      </c>
      <c r="B1189" s="59">
        <v>0</v>
      </c>
      <c r="C1189" s="59">
        <v>2</v>
      </c>
      <c r="D1189" s="59">
        <f t="shared" si="342"/>
        <v>0</v>
      </c>
      <c r="E1189" s="59">
        <f t="shared" si="343"/>
        <v>1</v>
      </c>
      <c r="F1189" s="59">
        <v>1189</v>
      </c>
      <c r="G1189" s="59">
        <v>2</v>
      </c>
      <c r="H1189" s="59">
        <f t="shared" si="344"/>
        <v>0</v>
      </c>
      <c r="I1189" s="59">
        <f t="shared" si="345"/>
        <v>1</v>
      </c>
      <c r="J1189" s="59">
        <v>1</v>
      </c>
      <c r="K1189" s="59">
        <v>3</v>
      </c>
      <c r="L1189" s="59">
        <v>1</v>
      </c>
      <c r="M1189" s="59">
        <f t="shared" si="346"/>
        <v>1</v>
      </c>
      <c r="N1189" s="59">
        <f t="shared" si="347"/>
        <v>0</v>
      </c>
      <c r="O1189" s="59">
        <f t="shared" si="348"/>
        <v>0</v>
      </c>
      <c r="P1189" s="59">
        <f t="shared" si="349"/>
        <v>0</v>
      </c>
      <c r="Q1189" s="59">
        <f t="shared" si="350"/>
        <v>0</v>
      </c>
      <c r="R1189" s="59">
        <v>1</v>
      </c>
      <c r="S1189" s="59">
        <v>1668</v>
      </c>
      <c r="T1189" s="59">
        <v>4</v>
      </c>
      <c r="U1189" s="59">
        <v>1</v>
      </c>
      <c r="V1189" s="59">
        <v>90</v>
      </c>
      <c r="W1189" s="59">
        <v>3</v>
      </c>
      <c r="X1189" s="59">
        <v>2</v>
      </c>
      <c r="Y1189" s="59">
        <v>2</v>
      </c>
      <c r="Z1189" s="59">
        <f t="shared" si="351"/>
        <v>0</v>
      </c>
      <c r="AA1189" s="59">
        <f>IF('Updated Dummy'!Y1189=2,1,0)</f>
        <v>1</v>
      </c>
      <c r="AB1189" s="59">
        <f t="shared" si="352"/>
        <v>0</v>
      </c>
      <c r="AC1189" s="59">
        <f t="shared" si="353"/>
        <v>0</v>
      </c>
      <c r="AD1189" s="59">
        <f t="shared" si="354"/>
        <v>0</v>
      </c>
      <c r="AE1189" s="59">
        <f t="shared" si="355"/>
        <v>0</v>
      </c>
      <c r="AF1189" s="59">
        <f t="shared" si="356"/>
        <v>0</v>
      </c>
      <c r="AG1189" s="59">
        <f t="shared" si="357"/>
        <v>0</v>
      </c>
      <c r="AH1189" s="59">
        <v>4</v>
      </c>
      <c r="AI1189" s="59">
        <v>2</v>
      </c>
      <c r="AJ1189" s="59">
        <f t="shared" si="358"/>
        <v>0</v>
      </c>
      <c r="AK1189" s="59">
        <f t="shared" si="359"/>
        <v>1</v>
      </c>
      <c r="AL1189" s="59">
        <v>4735</v>
      </c>
      <c r="AM1189" s="59">
        <v>9867</v>
      </c>
      <c r="AN1189" s="59">
        <v>7</v>
      </c>
      <c r="AO1189" s="59">
        <v>0</v>
      </c>
      <c r="AP1189" s="59">
        <v>15</v>
      </c>
      <c r="AQ1189" s="59">
        <v>3</v>
      </c>
      <c r="AR1189" s="59">
        <v>4</v>
      </c>
      <c r="AS1189" s="59">
        <v>80</v>
      </c>
      <c r="AT1189" s="59">
        <v>2</v>
      </c>
      <c r="AU1189" s="59">
        <v>19</v>
      </c>
      <c r="AV1189" s="59">
        <v>4</v>
      </c>
      <c r="AW1189" s="59">
        <v>4</v>
      </c>
      <c r="AX1189" s="59">
        <v>13</v>
      </c>
      <c r="AY1189" s="59">
        <v>11</v>
      </c>
      <c r="AZ1189" s="59">
        <v>2</v>
      </c>
      <c r="BA1189" s="59">
        <v>9</v>
      </c>
      <c r="BB1189" s="57">
        <f t="shared" si="360"/>
        <v>9470</v>
      </c>
    </row>
    <row r="1190" spans="1:54" x14ac:dyDescent="0.25">
      <c r="A1190" s="58">
        <v>29</v>
      </c>
      <c r="B1190" s="59">
        <v>0</v>
      </c>
      <c r="C1190" s="59">
        <v>1</v>
      </c>
      <c r="D1190" s="59">
        <f t="shared" si="342"/>
        <v>1</v>
      </c>
      <c r="E1190" s="59">
        <f t="shared" si="343"/>
        <v>0</v>
      </c>
      <c r="F1190" s="59">
        <v>991</v>
      </c>
      <c r="G1190" s="59">
        <v>1</v>
      </c>
      <c r="H1190" s="59">
        <f t="shared" si="344"/>
        <v>1</v>
      </c>
      <c r="I1190" s="59">
        <f t="shared" si="345"/>
        <v>0</v>
      </c>
      <c r="J1190" s="59">
        <v>5</v>
      </c>
      <c r="K1190" s="59">
        <v>3</v>
      </c>
      <c r="L1190" s="59">
        <v>3</v>
      </c>
      <c r="M1190" s="59">
        <f t="shared" si="346"/>
        <v>0</v>
      </c>
      <c r="N1190" s="59">
        <f t="shared" si="347"/>
        <v>0</v>
      </c>
      <c r="O1190" s="59">
        <f t="shared" si="348"/>
        <v>1</v>
      </c>
      <c r="P1190" s="59">
        <f t="shared" si="349"/>
        <v>0</v>
      </c>
      <c r="Q1190" s="59">
        <f t="shared" si="350"/>
        <v>0</v>
      </c>
      <c r="R1190" s="59">
        <v>1</v>
      </c>
      <c r="S1190" s="59">
        <v>1669</v>
      </c>
      <c r="T1190" s="59">
        <v>1</v>
      </c>
      <c r="U1190" s="59">
        <v>1</v>
      </c>
      <c r="V1190" s="59">
        <v>43</v>
      </c>
      <c r="W1190" s="59">
        <v>2</v>
      </c>
      <c r="X1190" s="59">
        <v>2</v>
      </c>
      <c r="Y1190" s="59">
        <v>1</v>
      </c>
      <c r="Z1190" s="59">
        <f t="shared" si="351"/>
        <v>1</v>
      </c>
      <c r="AA1190" s="59">
        <f>IF('Updated Dummy'!Y1190=2,1,0)</f>
        <v>0</v>
      </c>
      <c r="AB1190" s="59">
        <f t="shared" si="352"/>
        <v>0</v>
      </c>
      <c r="AC1190" s="59">
        <f t="shared" si="353"/>
        <v>0</v>
      </c>
      <c r="AD1190" s="59">
        <f t="shared" si="354"/>
        <v>0</v>
      </c>
      <c r="AE1190" s="59">
        <f t="shared" si="355"/>
        <v>0</v>
      </c>
      <c r="AF1190" s="59">
        <f t="shared" si="356"/>
        <v>0</v>
      </c>
      <c r="AG1190" s="59">
        <f t="shared" si="357"/>
        <v>0</v>
      </c>
      <c r="AH1190" s="59">
        <v>2</v>
      </c>
      <c r="AI1190" s="59">
        <v>3</v>
      </c>
      <c r="AJ1190" s="59">
        <f t="shared" si="358"/>
        <v>0</v>
      </c>
      <c r="AK1190" s="59">
        <f t="shared" si="359"/>
        <v>0</v>
      </c>
      <c r="AL1190" s="59">
        <v>4187</v>
      </c>
      <c r="AM1190" s="59">
        <v>3356</v>
      </c>
      <c r="AN1190" s="59">
        <v>1</v>
      </c>
      <c r="AO1190" s="59">
        <v>1</v>
      </c>
      <c r="AP1190" s="59">
        <v>13</v>
      </c>
      <c r="AQ1190" s="59">
        <v>3</v>
      </c>
      <c r="AR1190" s="59">
        <v>2</v>
      </c>
      <c r="AS1190" s="59">
        <v>80</v>
      </c>
      <c r="AT1190" s="59">
        <v>1</v>
      </c>
      <c r="AU1190" s="59">
        <v>10</v>
      </c>
      <c r="AV1190" s="59">
        <v>3</v>
      </c>
      <c r="AW1190" s="59">
        <v>2</v>
      </c>
      <c r="AX1190" s="59">
        <v>10</v>
      </c>
      <c r="AY1190" s="59">
        <v>0</v>
      </c>
      <c r="AZ1190" s="59">
        <v>0</v>
      </c>
      <c r="BA1190" s="59">
        <v>9</v>
      </c>
      <c r="BB1190" s="57">
        <f t="shared" si="360"/>
        <v>8374</v>
      </c>
    </row>
    <row r="1191" spans="1:54" x14ac:dyDescent="0.25">
      <c r="A1191" s="58">
        <v>33</v>
      </c>
      <c r="B1191" s="59">
        <v>0</v>
      </c>
      <c r="C1191" s="59">
        <v>1</v>
      </c>
      <c r="D1191" s="59">
        <f t="shared" si="342"/>
        <v>1</v>
      </c>
      <c r="E1191" s="59">
        <f t="shared" si="343"/>
        <v>0</v>
      </c>
      <c r="F1191" s="59">
        <v>392</v>
      </c>
      <c r="G1191" s="59">
        <v>1</v>
      </c>
      <c r="H1191" s="59">
        <f t="shared" si="344"/>
        <v>1</v>
      </c>
      <c r="I1191" s="59">
        <f t="shared" si="345"/>
        <v>0</v>
      </c>
      <c r="J1191" s="59">
        <v>2</v>
      </c>
      <c r="K1191" s="59">
        <v>4</v>
      </c>
      <c r="L1191" s="59">
        <v>3</v>
      </c>
      <c r="M1191" s="59">
        <f t="shared" si="346"/>
        <v>0</v>
      </c>
      <c r="N1191" s="59">
        <f t="shared" si="347"/>
        <v>0</v>
      </c>
      <c r="O1191" s="59">
        <f t="shared" si="348"/>
        <v>1</v>
      </c>
      <c r="P1191" s="59">
        <f t="shared" si="349"/>
        <v>0</v>
      </c>
      <c r="Q1191" s="59">
        <f t="shared" si="350"/>
        <v>0</v>
      </c>
      <c r="R1191" s="59">
        <v>1</v>
      </c>
      <c r="S1191" s="59">
        <v>1670</v>
      </c>
      <c r="T1191" s="59">
        <v>4</v>
      </c>
      <c r="U1191" s="59">
        <v>1</v>
      </c>
      <c r="V1191" s="59">
        <v>93</v>
      </c>
      <c r="W1191" s="59">
        <v>3</v>
      </c>
      <c r="X1191" s="59">
        <v>2</v>
      </c>
      <c r="Y1191" s="59">
        <v>1</v>
      </c>
      <c r="Z1191" s="59">
        <f t="shared" si="351"/>
        <v>1</v>
      </c>
      <c r="AA1191" s="59">
        <f>IF('Updated Dummy'!Y1191=2,1,0)</f>
        <v>0</v>
      </c>
      <c r="AB1191" s="59">
        <f t="shared" si="352"/>
        <v>0</v>
      </c>
      <c r="AC1191" s="59">
        <f t="shared" si="353"/>
        <v>0</v>
      </c>
      <c r="AD1191" s="59">
        <f t="shared" si="354"/>
        <v>0</v>
      </c>
      <c r="AE1191" s="59">
        <f t="shared" si="355"/>
        <v>0</v>
      </c>
      <c r="AF1191" s="59">
        <f t="shared" si="356"/>
        <v>0</v>
      </c>
      <c r="AG1191" s="59">
        <f t="shared" si="357"/>
        <v>0</v>
      </c>
      <c r="AH1191" s="59">
        <v>4</v>
      </c>
      <c r="AI1191" s="59">
        <v>3</v>
      </c>
      <c r="AJ1191" s="59">
        <f t="shared" si="358"/>
        <v>0</v>
      </c>
      <c r="AK1191" s="59">
        <f t="shared" si="359"/>
        <v>0</v>
      </c>
      <c r="AL1191" s="59">
        <v>5505</v>
      </c>
      <c r="AM1191" s="59">
        <v>3921</v>
      </c>
      <c r="AN1191" s="59">
        <v>1</v>
      </c>
      <c r="AO1191" s="59">
        <v>0</v>
      </c>
      <c r="AP1191" s="59">
        <v>14</v>
      </c>
      <c r="AQ1191" s="59">
        <v>3</v>
      </c>
      <c r="AR1191" s="59">
        <v>3</v>
      </c>
      <c r="AS1191" s="59">
        <v>80</v>
      </c>
      <c r="AT1191" s="59">
        <v>2</v>
      </c>
      <c r="AU1191" s="59">
        <v>6</v>
      </c>
      <c r="AV1191" s="59">
        <v>5</v>
      </c>
      <c r="AW1191" s="59">
        <v>3</v>
      </c>
      <c r="AX1191" s="59">
        <v>6</v>
      </c>
      <c r="AY1191" s="59">
        <v>2</v>
      </c>
      <c r="AZ1191" s="59">
        <v>0</v>
      </c>
      <c r="BA1191" s="59">
        <v>4</v>
      </c>
      <c r="BB1191" s="57">
        <f t="shared" si="360"/>
        <v>11010</v>
      </c>
    </row>
    <row r="1192" spans="1:54" x14ac:dyDescent="0.25">
      <c r="A1192" s="58">
        <v>32</v>
      </c>
      <c r="B1192" s="59">
        <v>0</v>
      </c>
      <c r="C1192" s="59">
        <v>1</v>
      </c>
      <c r="D1192" s="59">
        <f t="shared" si="342"/>
        <v>1</v>
      </c>
      <c r="E1192" s="59">
        <f t="shared" si="343"/>
        <v>0</v>
      </c>
      <c r="F1192" s="59">
        <v>977</v>
      </c>
      <c r="G1192" s="59">
        <v>2</v>
      </c>
      <c r="H1192" s="59">
        <f t="shared" si="344"/>
        <v>0</v>
      </c>
      <c r="I1192" s="59">
        <f t="shared" si="345"/>
        <v>1</v>
      </c>
      <c r="J1192" s="59">
        <v>2</v>
      </c>
      <c r="K1192" s="59">
        <v>3</v>
      </c>
      <c r="L1192" s="59">
        <v>3</v>
      </c>
      <c r="M1192" s="59">
        <f t="shared" si="346"/>
        <v>0</v>
      </c>
      <c r="N1192" s="59">
        <f t="shared" si="347"/>
        <v>0</v>
      </c>
      <c r="O1192" s="59">
        <f t="shared" si="348"/>
        <v>1</v>
      </c>
      <c r="P1192" s="59">
        <f t="shared" si="349"/>
        <v>0</v>
      </c>
      <c r="Q1192" s="59">
        <f t="shared" si="350"/>
        <v>0</v>
      </c>
      <c r="R1192" s="59">
        <v>1</v>
      </c>
      <c r="S1192" s="59">
        <v>1671</v>
      </c>
      <c r="T1192" s="59">
        <v>4</v>
      </c>
      <c r="U1192" s="59">
        <v>1</v>
      </c>
      <c r="V1192" s="59">
        <v>45</v>
      </c>
      <c r="W1192" s="59">
        <v>3</v>
      </c>
      <c r="X1192" s="59">
        <v>2</v>
      </c>
      <c r="Y1192" s="59">
        <v>2</v>
      </c>
      <c r="Z1192" s="59">
        <f t="shared" si="351"/>
        <v>0</v>
      </c>
      <c r="AA1192" s="59">
        <f>IF('Updated Dummy'!Y1192=2,1,0)</f>
        <v>1</v>
      </c>
      <c r="AB1192" s="59">
        <f t="shared" si="352"/>
        <v>0</v>
      </c>
      <c r="AC1192" s="59">
        <f t="shared" si="353"/>
        <v>0</v>
      </c>
      <c r="AD1192" s="59">
        <f t="shared" si="354"/>
        <v>0</v>
      </c>
      <c r="AE1192" s="59">
        <f t="shared" si="355"/>
        <v>0</v>
      </c>
      <c r="AF1192" s="59">
        <f t="shared" si="356"/>
        <v>0</v>
      </c>
      <c r="AG1192" s="59">
        <f t="shared" si="357"/>
        <v>0</v>
      </c>
      <c r="AH1192" s="59">
        <v>2</v>
      </c>
      <c r="AI1192" s="59">
        <v>3</v>
      </c>
      <c r="AJ1192" s="59">
        <f t="shared" si="358"/>
        <v>0</v>
      </c>
      <c r="AK1192" s="59">
        <f t="shared" si="359"/>
        <v>0</v>
      </c>
      <c r="AL1192" s="59">
        <v>5470</v>
      </c>
      <c r="AM1192" s="59">
        <v>25518</v>
      </c>
      <c r="AN1192" s="59">
        <v>0</v>
      </c>
      <c r="AO1192" s="59">
        <v>0</v>
      </c>
      <c r="AP1192" s="59">
        <v>13</v>
      </c>
      <c r="AQ1192" s="59">
        <v>3</v>
      </c>
      <c r="AR1192" s="59">
        <v>3</v>
      </c>
      <c r="AS1192" s="59">
        <v>80</v>
      </c>
      <c r="AT1192" s="59">
        <v>2</v>
      </c>
      <c r="AU1192" s="59">
        <v>10</v>
      </c>
      <c r="AV1192" s="59">
        <v>4</v>
      </c>
      <c r="AW1192" s="59">
        <v>2</v>
      </c>
      <c r="AX1192" s="59">
        <v>9</v>
      </c>
      <c r="AY1192" s="59">
        <v>5</v>
      </c>
      <c r="AZ1192" s="59">
        <v>1</v>
      </c>
      <c r="BA1192" s="59">
        <v>6</v>
      </c>
      <c r="BB1192" s="57">
        <f t="shared" si="360"/>
        <v>10940</v>
      </c>
    </row>
    <row r="1193" spans="1:54" x14ac:dyDescent="0.25">
      <c r="A1193" s="58">
        <v>31</v>
      </c>
      <c r="B1193" s="59">
        <v>0</v>
      </c>
      <c r="C1193" s="59">
        <v>1</v>
      </c>
      <c r="D1193" s="59">
        <f t="shared" si="342"/>
        <v>1</v>
      </c>
      <c r="E1193" s="59">
        <f t="shared" si="343"/>
        <v>0</v>
      </c>
      <c r="F1193" s="59">
        <v>1112</v>
      </c>
      <c r="G1193" s="59">
        <v>1</v>
      </c>
      <c r="H1193" s="59">
        <f t="shared" si="344"/>
        <v>1</v>
      </c>
      <c r="I1193" s="59">
        <f t="shared" si="345"/>
        <v>0</v>
      </c>
      <c r="J1193" s="59">
        <v>5</v>
      </c>
      <c r="K1193" s="59">
        <v>4</v>
      </c>
      <c r="L1193" s="59">
        <v>1</v>
      </c>
      <c r="M1193" s="59">
        <f t="shared" si="346"/>
        <v>1</v>
      </c>
      <c r="N1193" s="59">
        <f t="shared" si="347"/>
        <v>0</v>
      </c>
      <c r="O1193" s="59">
        <f t="shared" si="348"/>
        <v>0</v>
      </c>
      <c r="P1193" s="59">
        <f t="shared" si="349"/>
        <v>0</v>
      </c>
      <c r="Q1193" s="59">
        <f t="shared" si="350"/>
        <v>0</v>
      </c>
      <c r="R1193" s="59">
        <v>1</v>
      </c>
      <c r="S1193" s="59">
        <v>1673</v>
      </c>
      <c r="T1193" s="59">
        <v>1</v>
      </c>
      <c r="U1193" s="59">
        <v>0</v>
      </c>
      <c r="V1193" s="59">
        <v>67</v>
      </c>
      <c r="W1193" s="59">
        <v>3</v>
      </c>
      <c r="X1193" s="59">
        <v>2</v>
      </c>
      <c r="Y1193" s="59">
        <v>1</v>
      </c>
      <c r="Z1193" s="59">
        <f t="shared" si="351"/>
        <v>1</v>
      </c>
      <c r="AA1193" s="59">
        <f>IF('Updated Dummy'!Y1193=2,1,0)</f>
        <v>0</v>
      </c>
      <c r="AB1193" s="59">
        <f t="shared" si="352"/>
        <v>0</v>
      </c>
      <c r="AC1193" s="59">
        <f t="shared" si="353"/>
        <v>0</v>
      </c>
      <c r="AD1193" s="59">
        <f t="shared" si="354"/>
        <v>0</v>
      </c>
      <c r="AE1193" s="59">
        <f t="shared" si="355"/>
        <v>0</v>
      </c>
      <c r="AF1193" s="59">
        <f t="shared" si="356"/>
        <v>0</v>
      </c>
      <c r="AG1193" s="59">
        <f t="shared" si="357"/>
        <v>0</v>
      </c>
      <c r="AH1193" s="59">
        <v>4</v>
      </c>
      <c r="AI1193" s="59">
        <v>2</v>
      </c>
      <c r="AJ1193" s="59">
        <f t="shared" si="358"/>
        <v>0</v>
      </c>
      <c r="AK1193" s="59">
        <f t="shared" si="359"/>
        <v>1</v>
      </c>
      <c r="AL1193" s="59">
        <v>5476</v>
      </c>
      <c r="AM1193" s="59">
        <v>22589</v>
      </c>
      <c r="AN1193" s="59">
        <v>1</v>
      </c>
      <c r="AO1193" s="59">
        <v>0</v>
      </c>
      <c r="AP1193" s="59">
        <v>11</v>
      </c>
      <c r="AQ1193" s="59">
        <v>3</v>
      </c>
      <c r="AR1193" s="59">
        <v>1</v>
      </c>
      <c r="AS1193" s="59">
        <v>80</v>
      </c>
      <c r="AT1193" s="59">
        <v>2</v>
      </c>
      <c r="AU1193" s="59">
        <v>10</v>
      </c>
      <c r="AV1193" s="59">
        <v>2</v>
      </c>
      <c r="AW1193" s="59">
        <v>3</v>
      </c>
      <c r="AX1193" s="59">
        <v>10</v>
      </c>
      <c r="AY1193" s="59">
        <v>0</v>
      </c>
      <c r="AZ1193" s="59">
        <v>0</v>
      </c>
      <c r="BA1193" s="59">
        <v>2</v>
      </c>
      <c r="BB1193" s="57">
        <f t="shared" si="360"/>
        <v>10952</v>
      </c>
    </row>
    <row r="1194" spans="1:54" x14ac:dyDescent="0.25">
      <c r="A1194" s="58">
        <v>49</v>
      </c>
      <c r="B1194" s="59">
        <v>0</v>
      </c>
      <c r="C1194" s="59">
        <v>1</v>
      </c>
      <c r="D1194" s="59">
        <f t="shared" si="342"/>
        <v>1</v>
      </c>
      <c r="E1194" s="59">
        <f t="shared" si="343"/>
        <v>0</v>
      </c>
      <c r="F1194" s="59">
        <v>464</v>
      </c>
      <c r="G1194" s="59">
        <v>2</v>
      </c>
      <c r="H1194" s="59">
        <f t="shared" si="344"/>
        <v>0</v>
      </c>
      <c r="I1194" s="59">
        <f t="shared" si="345"/>
        <v>1</v>
      </c>
      <c r="J1194" s="59">
        <v>16</v>
      </c>
      <c r="K1194" s="59">
        <v>3</v>
      </c>
      <c r="L1194" s="59">
        <v>3</v>
      </c>
      <c r="M1194" s="59">
        <f t="shared" si="346"/>
        <v>0</v>
      </c>
      <c r="N1194" s="59">
        <f t="shared" si="347"/>
        <v>0</v>
      </c>
      <c r="O1194" s="59">
        <f t="shared" si="348"/>
        <v>1</v>
      </c>
      <c r="P1194" s="59">
        <f t="shared" si="349"/>
        <v>0</v>
      </c>
      <c r="Q1194" s="59">
        <f t="shared" si="350"/>
        <v>0</v>
      </c>
      <c r="R1194" s="59">
        <v>1</v>
      </c>
      <c r="S1194" s="59">
        <v>1674</v>
      </c>
      <c r="T1194" s="59">
        <v>4</v>
      </c>
      <c r="U1194" s="59">
        <v>0</v>
      </c>
      <c r="V1194" s="59">
        <v>74</v>
      </c>
      <c r="W1194" s="59">
        <v>3</v>
      </c>
      <c r="X1194" s="59">
        <v>1</v>
      </c>
      <c r="Y1194" s="59">
        <v>3</v>
      </c>
      <c r="Z1194" s="59">
        <f t="shared" si="351"/>
        <v>0</v>
      </c>
      <c r="AA1194" s="59">
        <f>IF('Updated Dummy'!Y1194=2,1,0)</f>
        <v>0</v>
      </c>
      <c r="AB1194" s="59">
        <f t="shared" si="352"/>
        <v>1</v>
      </c>
      <c r="AC1194" s="59">
        <f t="shared" si="353"/>
        <v>0</v>
      </c>
      <c r="AD1194" s="59">
        <f t="shared" si="354"/>
        <v>0</v>
      </c>
      <c r="AE1194" s="59">
        <f t="shared" si="355"/>
        <v>0</v>
      </c>
      <c r="AF1194" s="59">
        <f t="shared" si="356"/>
        <v>0</v>
      </c>
      <c r="AG1194" s="59">
        <f t="shared" si="357"/>
        <v>0</v>
      </c>
      <c r="AH1194" s="59">
        <v>1</v>
      </c>
      <c r="AI1194" s="59">
        <v>3</v>
      </c>
      <c r="AJ1194" s="59">
        <f t="shared" si="358"/>
        <v>0</v>
      </c>
      <c r="AK1194" s="59">
        <f t="shared" si="359"/>
        <v>0</v>
      </c>
      <c r="AL1194" s="59">
        <v>2587</v>
      </c>
      <c r="AM1194" s="59">
        <v>24941</v>
      </c>
      <c r="AN1194" s="59">
        <v>4</v>
      </c>
      <c r="AO1194" s="59">
        <v>1</v>
      </c>
      <c r="AP1194" s="59">
        <v>16</v>
      </c>
      <c r="AQ1194" s="59">
        <v>3</v>
      </c>
      <c r="AR1194" s="59">
        <v>2</v>
      </c>
      <c r="AS1194" s="59">
        <v>80</v>
      </c>
      <c r="AT1194" s="59">
        <v>1</v>
      </c>
      <c r="AU1194" s="59">
        <v>17</v>
      </c>
      <c r="AV1194" s="59">
        <v>2</v>
      </c>
      <c r="AW1194" s="59">
        <v>2</v>
      </c>
      <c r="AX1194" s="59">
        <v>2</v>
      </c>
      <c r="AY1194" s="59">
        <v>2</v>
      </c>
      <c r="AZ1194" s="59">
        <v>2</v>
      </c>
      <c r="BA1194" s="59">
        <v>2</v>
      </c>
      <c r="BB1194" s="57">
        <f t="shared" si="360"/>
        <v>2587</v>
      </c>
    </row>
    <row r="1195" spans="1:54" x14ac:dyDescent="0.25">
      <c r="A1195" s="58">
        <v>38</v>
      </c>
      <c r="B1195" s="59">
        <v>0</v>
      </c>
      <c r="C1195" s="59">
        <v>2</v>
      </c>
      <c r="D1195" s="59">
        <f t="shared" si="342"/>
        <v>0</v>
      </c>
      <c r="E1195" s="59">
        <f t="shared" si="343"/>
        <v>1</v>
      </c>
      <c r="F1195" s="59">
        <v>148</v>
      </c>
      <c r="G1195" s="59">
        <v>2</v>
      </c>
      <c r="H1195" s="59">
        <f t="shared" si="344"/>
        <v>0</v>
      </c>
      <c r="I1195" s="59">
        <f t="shared" si="345"/>
        <v>1</v>
      </c>
      <c r="J1195" s="59">
        <v>2</v>
      </c>
      <c r="K1195" s="59">
        <v>3</v>
      </c>
      <c r="L1195" s="59">
        <v>3</v>
      </c>
      <c r="M1195" s="59">
        <f t="shared" si="346"/>
        <v>0</v>
      </c>
      <c r="N1195" s="59">
        <f t="shared" si="347"/>
        <v>0</v>
      </c>
      <c r="O1195" s="59">
        <f t="shared" si="348"/>
        <v>1</v>
      </c>
      <c r="P1195" s="59">
        <f t="shared" si="349"/>
        <v>0</v>
      </c>
      <c r="Q1195" s="59">
        <f t="shared" si="350"/>
        <v>0</v>
      </c>
      <c r="R1195" s="59">
        <v>1</v>
      </c>
      <c r="S1195" s="59">
        <v>1675</v>
      </c>
      <c r="T1195" s="59">
        <v>4</v>
      </c>
      <c r="U1195" s="59">
        <v>0</v>
      </c>
      <c r="V1195" s="59">
        <v>42</v>
      </c>
      <c r="W1195" s="59">
        <v>2</v>
      </c>
      <c r="X1195" s="59">
        <v>1</v>
      </c>
      <c r="Y1195" s="59">
        <v>3</v>
      </c>
      <c r="Z1195" s="59">
        <f t="shared" si="351"/>
        <v>0</v>
      </c>
      <c r="AA1195" s="59">
        <f>IF('Updated Dummy'!Y1195=2,1,0)</f>
        <v>0</v>
      </c>
      <c r="AB1195" s="59">
        <f t="shared" si="352"/>
        <v>1</v>
      </c>
      <c r="AC1195" s="59">
        <f t="shared" si="353"/>
        <v>0</v>
      </c>
      <c r="AD1195" s="59">
        <f t="shared" si="354"/>
        <v>0</v>
      </c>
      <c r="AE1195" s="59">
        <f t="shared" si="355"/>
        <v>0</v>
      </c>
      <c r="AF1195" s="59">
        <f t="shared" si="356"/>
        <v>0</v>
      </c>
      <c r="AG1195" s="59">
        <f t="shared" si="357"/>
        <v>0</v>
      </c>
      <c r="AH1195" s="59">
        <v>2</v>
      </c>
      <c r="AI1195" s="59">
        <v>1</v>
      </c>
      <c r="AJ1195" s="59">
        <f t="shared" si="358"/>
        <v>1</v>
      </c>
      <c r="AK1195" s="59">
        <f t="shared" si="359"/>
        <v>0</v>
      </c>
      <c r="AL1195" s="59">
        <v>2440</v>
      </c>
      <c r="AM1195" s="59">
        <v>23826</v>
      </c>
      <c r="AN1195" s="59">
        <v>1</v>
      </c>
      <c r="AO1195" s="59">
        <v>0</v>
      </c>
      <c r="AP1195" s="59">
        <v>22</v>
      </c>
      <c r="AQ1195" s="59">
        <v>4</v>
      </c>
      <c r="AR1195" s="59">
        <v>2</v>
      </c>
      <c r="AS1195" s="59">
        <v>80</v>
      </c>
      <c r="AT1195" s="59">
        <v>0</v>
      </c>
      <c r="AU1195" s="59">
        <v>4</v>
      </c>
      <c r="AV1195" s="59">
        <v>3</v>
      </c>
      <c r="AW1195" s="59">
        <v>3</v>
      </c>
      <c r="AX1195" s="59">
        <v>4</v>
      </c>
      <c r="AY1195" s="59">
        <v>3</v>
      </c>
      <c r="AZ1195" s="59">
        <v>3</v>
      </c>
      <c r="BA1195" s="59">
        <v>3</v>
      </c>
      <c r="BB1195" s="57">
        <f t="shared" si="360"/>
        <v>2440</v>
      </c>
    </row>
    <row r="1196" spans="1:54" x14ac:dyDescent="0.25">
      <c r="A1196" s="58">
        <v>47</v>
      </c>
      <c r="B1196" s="59">
        <v>0</v>
      </c>
      <c r="C1196" s="59">
        <v>1</v>
      </c>
      <c r="D1196" s="59">
        <f t="shared" si="342"/>
        <v>1</v>
      </c>
      <c r="E1196" s="59">
        <f t="shared" si="343"/>
        <v>0</v>
      </c>
      <c r="F1196" s="59">
        <v>1225</v>
      </c>
      <c r="G1196" s="59">
        <v>1</v>
      </c>
      <c r="H1196" s="59">
        <f t="shared" si="344"/>
        <v>1</v>
      </c>
      <c r="I1196" s="59">
        <f t="shared" si="345"/>
        <v>0</v>
      </c>
      <c r="J1196" s="59">
        <v>2</v>
      </c>
      <c r="K1196" s="59">
        <v>4</v>
      </c>
      <c r="L1196" s="59">
        <v>1</v>
      </c>
      <c r="M1196" s="59">
        <f t="shared" si="346"/>
        <v>1</v>
      </c>
      <c r="N1196" s="59">
        <f t="shared" si="347"/>
        <v>0</v>
      </c>
      <c r="O1196" s="59">
        <f t="shared" si="348"/>
        <v>0</v>
      </c>
      <c r="P1196" s="59">
        <f t="shared" si="349"/>
        <v>0</v>
      </c>
      <c r="Q1196" s="59">
        <f t="shared" si="350"/>
        <v>0</v>
      </c>
      <c r="R1196" s="59">
        <v>1</v>
      </c>
      <c r="S1196" s="59">
        <v>1676</v>
      </c>
      <c r="T1196" s="59">
        <v>2</v>
      </c>
      <c r="U1196" s="59">
        <v>0</v>
      </c>
      <c r="V1196" s="59">
        <v>47</v>
      </c>
      <c r="W1196" s="59">
        <v>4</v>
      </c>
      <c r="X1196" s="59">
        <v>4</v>
      </c>
      <c r="Y1196" s="59">
        <v>6</v>
      </c>
      <c r="Z1196" s="59">
        <f t="shared" si="351"/>
        <v>0</v>
      </c>
      <c r="AA1196" s="59">
        <f>IF('Updated Dummy'!Y1196=2,1,0)</f>
        <v>0</v>
      </c>
      <c r="AB1196" s="59">
        <f t="shared" si="352"/>
        <v>0</v>
      </c>
      <c r="AC1196" s="59">
        <f t="shared" si="353"/>
        <v>0</v>
      </c>
      <c r="AD1196" s="59">
        <f t="shared" si="354"/>
        <v>0</v>
      </c>
      <c r="AE1196" s="59">
        <f t="shared" si="355"/>
        <v>1</v>
      </c>
      <c r="AF1196" s="59">
        <f t="shared" si="356"/>
        <v>0</v>
      </c>
      <c r="AG1196" s="59">
        <f t="shared" si="357"/>
        <v>0</v>
      </c>
      <c r="AH1196" s="59">
        <v>2</v>
      </c>
      <c r="AI1196" s="59">
        <v>3</v>
      </c>
      <c r="AJ1196" s="59">
        <f t="shared" si="358"/>
        <v>0</v>
      </c>
      <c r="AK1196" s="59">
        <f t="shared" si="359"/>
        <v>0</v>
      </c>
      <c r="AL1196" s="59">
        <v>15972</v>
      </c>
      <c r="AM1196" s="59">
        <v>21086</v>
      </c>
      <c r="AN1196" s="59">
        <v>6</v>
      </c>
      <c r="AO1196" s="59">
        <v>0</v>
      </c>
      <c r="AP1196" s="59">
        <v>14</v>
      </c>
      <c r="AQ1196" s="59">
        <v>3</v>
      </c>
      <c r="AR1196" s="59">
        <v>3</v>
      </c>
      <c r="AS1196" s="59">
        <v>80</v>
      </c>
      <c r="AT1196" s="59">
        <v>3</v>
      </c>
      <c r="AU1196" s="59">
        <v>29</v>
      </c>
      <c r="AV1196" s="59">
        <v>2</v>
      </c>
      <c r="AW1196" s="59">
        <v>3</v>
      </c>
      <c r="AX1196" s="59">
        <v>3</v>
      </c>
      <c r="AY1196" s="59">
        <v>2</v>
      </c>
      <c r="AZ1196" s="59">
        <v>1</v>
      </c>
      <c r="BA1196" s="59">
        <v>2</v>
      </c>
      <c r="BB1196" s="57">
        <f t="shared" si="360"/>
        <v>63888</v>
      </c>
    </row>
    <row r="1197" spans="1:54" x14ac:dyDescent="0.25">
      <c r="A1197" s="58">
        <v>49</v>
      </c>
      <c r="B1197" s="59">
        <v>0</v>
      </c>
      <c r="C1197" s="59">
        <v>1</v>
      </c>
      <c r="D1197" s="59">
        <f t="shared" si="342"/>
        <v>1</v>
      </c>
      <c r="E1197" s="59">
        <f t="shared" si="343"/>
        <v>0</v>
      </c>
      <c r="F1197" s="59">
        <v>809</v>
      </c>
      <c r="G1197" s="59">
        <v>2</v>
      </c>
      <c r="H1197" s="59">
        <f t="shared" si="344"/>
        <v>0</v>
      </c>
      <c r="I1197" s="59">
        <f t="shared" si="345"/>
        <v>1</v>
      </c>
      <c r="J1197" s="59">
        <v>1</v>
      </c>
      <c r="K1197" s="59">
        <v>3</v>
      </c>
      <c r="L1197" s="59">
        <v>1</v>
      </c>
      <c r="M1197" s="59">
        <f t="shared" si="346"/>
        <v>1</v>
      </c>
      <c r="N1197" s="59">
        <f t="shared" si="347"/>
        <v>0</v>
      </c>
      <c r="O1197" s="59">
        <f t="shared" si="348"/>
        <v>0</v>
      </c>
      <c r="P1197" s="59">
        <f t="shared" si="349"/>
        <v>0</v>
      </c>
      <c r="Q1197" s="59">
        <f t="shared" si="350"/>
        <v>0</v>
      </c>
      <c r="R1197" s="59">
        <v>1</v>
      </c>
      <c r="S1197" s="59">
        <v>1677</v>
      </c>
      <c r="T1197" s="59">
        <v>3</v>
      </c>
      <c r="U1197" s="59">
        <v>1</v>
      </c>
      <c r="V1197" s="59">
        <v>36</v>
      </c>
      <c r="W1197" s="59">
        <v>3</v>
      </c>
      <c r="X1197" s="59">
        <v>4</v>
      </c>
      <c r="Y1197" s="59">
        <v>6</v>
      </c>
      <c r="Z1197" s="59">
        <f t="shared" si="351"/>
        <v>0</v>
      </c>
      <c r="AA1197" s="59">
        <f>IF('Updated Dummy'!Y1197=2,1,0)</f>
        <v>0</v>
      </c>
      <c r="AB1197" s="59">
        <f t="shared" si="352"/>
        <v>0</v>
      </c>
      <c r="AC1197" s="59">
        <f t="shared" si="353"/>
        <v>0</v>
      </c>
      <c r="AD1197" s="59">
        <f t="shared" si="354"/>
        <v>0</v>
      </c>
      <c r="AE1197" s="59">
        <f t="shared" si="355"/>
        <v>1</v>
      </c>
      <c r="AF1197" s="59">
        <f t="shared" si="356"/>
        <v>0</v>
      </c>
      <c r="AG1197" s="59">
        <f t="shared" si="357"/>
        <v>0</v>
      </c>
      <c r="AH1197" s="59">
        <v>3</v>
      </c>
      <c r="AI1197" s="59">
        <v>1</v>
      </c>
      <c r="AJ1197" s="59">
        <f t="shared" si="358"/>
        <v>1</v>
      </c>
      <c r="AK1197" s="59">
        <f t="shared" si="359"/>
        <v>0</v>
      </c>
      <c r="AL1197" s="59">
        <v>15379</v>
      </c>
      <c r="AM1197" s="59">
        <v>22384</v>
      </c>
      <c r="AN1197" s="59">
        <v>4</v>
      </c>
      <c r="AO1197" s="59">
        <v>0</v>
      </c>
      <c r="AP1197" s="59">
        <v>14</v>
      </c>
      <c r="AQ1197" s="59">
        <v>3</v>
      </c>
      <c r="AR1197" s="59">
        <v>1</v>
      </c>
      <c r="AS1197" s="59">
        <v>80</v>
      </c>
      <c r="AT1197" s="59">
        <v>0</v>
      </c>
      <c r="AU1197" s="59">
        <v>23</v>
      </c>
      <c r="AV1197" s="59">
        <v>2</v>
      </c>
      <c r="AW1197" s="59">
        <v>3</v>
      </c>
      <c r="AX1197" s="59">
        <v>8</v>
      </c>
      <c r="AY1197" s="59">
        <v>7</v>
      </c>
      <c r="AZ1197" s="59">
        <v>0</v>
      </c>
      <c r="BA1197" s="59">
        <v>0</v>
      </c>
      <c r="BB1197" s="57">
        <f t="shared" si="360"/>
        <v>61516</v>
      </c>
    </row>
    <row r="1198" spans="1:54" x14ac:dyDescent="0.25">
      <c r="A1198" s="58">
        <v>41</v>
      </c>
      <c r="B1198" s="59">
        <v>0</v>
      </c>
      <c r="C1198" s="59">
        <v>1</v>
      </c>
      <c r="D1198" s="59">
        <f t="shared" si="342"/>
        <v>1</v>
      </c>
      <c r="E1198" s="59">
        <f t="shared" si="343"/>
        <v>0</v>
      </c>
      <c r="F1198" s="59">
        <v>1206</v>
      </c>
      <c r="G1198" s="59">
        <v>1</v>
      </c>
      <c r="H1198" s="59">
        <f t="shared" si="344"/>
        <v>1</v>
      </c>
      <c r="I1198" s="59">
        <f t="shared" si="345"/>
        <v>0</v>
      </c>
      <c r="J1198" s="59">
        <v>23</v>
      </c>
      <c r="K1198" s="59">
        <v>2</v>
      </c>
      <c r="L1198" s="59">
        <v>1</v>
      </c>
      <c r="M1198" s="59">
        <f t="shared" si="346"/>
        <v>1</v>
      </c>
      <c r="N1198" s="59">
        <f t="shared" si="347"/>
        <v>0</v>
      </c>
      <c r="O1198" s="59">
        <f t="shared" si="348"/>
        <v>0</v>
      </c>
      <c r="P1198" s="59">
        <f t="shared" si="349"/>
        <v>0</v>
      </c>
      <c r="Q1198" s="59">
        <f t="shared" si="350"/>
        <v>0</v>
      </c>
      <c r="R1198" s="59">
        <v>1</v>
      </c>
      <c r="S1198" s="59">
        <v>1678</v>
      </c>
      <c r="T1198" s="59">
        <v>4</v>
      </c>
      <c r="U1198" s="59">
        <v>1</v>
      </c>
      <c r="V1198" s="59">
        <v>80</v>
      </c>
      <c r="W1198" s="59">
        <v>3</v>
      </c>
      <c r="X1198" s="59">
        <v>3</v>
      </c>
      <c r="Y1198" s="59">
        <v>1</v>
      </c>
      <c r="Z1198" s="59">
        <f t="shared" si="351"/>
        <v>1</v>
      </c>
      <c r="AA1198" s="59">
        <f>IF('Updated Dummy'!Y1198=2,1,0)</f>
        <v>0</v>
      </c>
      <c r="AB1198" s="59">
        <f t="shared" si="352"/>
        <v>0</v>
      </c>
      <c r="AC1198" s="59">
        <f t="shared" si="353"/>
        <v>0</v>
      </c>
      <c r="AD1198" s="59">
        <f t="shared" si="354"/>
        <v>0</v>
      </c>
      <c r="AE1198" s="59">
        <f t="shared" si="355"/>
        <v>0</v>
      </c>
      <c r="AF1198" s="59">
        <f t="shared" si="356"/>
        <v>0</v>
      </c>
      <c r="AG1198" s="59">
        <f t="shared" si="357"/>
        <v>0</v>
      </c>
      <c r="AH1198" s="59">
        <v>3</v>
      </c>
      <c r="AI1198" s="59">
        <v>1</v>
      </c>
      <c r="AJ1198" s="59">
        <f t="shared" si="358"/>
        <v>1</v>
      </c>
      <c r="AK1198" s="59">
        <f t="shared" si="359"/>
        <v>0</v>
      </c>
      <c r="AL1198" s="59">
        <v>7082</v>
      </c>
      <c r="AM1198" s="59">
        <v>11591</v>
      </c>
      <c r="AN1198" s="59">
        <v>3</v>
      </c>
      <c r="AO1198" s="59">
        <v>1</v>
      </c>
      <c r="AP1198" s="59">
        <v>16</v>
      </c>
      <c r="AQ1198" s="59">
        <v>3</v>
      </c>
      <c r="AR1198" s="59">
        <v>4</v>
      </c>
      <c r="AS1198" s="59">
        <v>80</v>
      </c>
      <c r="AT1198" s="59">
        <v>0</v>
      </c>
      <c r="AU1198" s="59">
        <v>21</v>
      </c>
      <c r="AV1198" s="59">
        <v>2</v>
      </c>
      <c r="AW1198" s="59">
        <v>3</v>
      </c>
      <c r="AX1198" s="59">
        <v>2</v>
      </c>
      <c r="AY1198" s="59">
        <v>0</v>
      </c>
      <c r="AZ1198" s="59">
        <v>0</v>
      </c>
      <c r="BA1198" s="59">
        <v>2</v>
      </c>
      <c r="BB1198" s="57">
        <f t="shared" si="360"/>
        <v>21246</v>
      </c>
    </row>
    <row r="1199" spans="1:54" x14ac:dyDescent="0.25">
      <c r="A1199" s="58">
        <v>20</v>
      </c>
      <c r="B1199" s="59">
        <v>0</v>
      </c>
      <c r="C1199" s="59">
        <v>1</v>
      </c>
      <c r="D1199" s="59">
        <f t="shared" si="342"/>
        <v>1</v>
      </c>
      <c r="E1199" s="59">
        <f t="shared" si="343"/>
        <v>0</v>
      </c>
      <c r="F1199" s="59">
        <v>727</v>
      </c>
      <c r="G1199" s="59">
        <v>1</v>
      </c>
      <c r="H1199" s="59">
        <f t="shared" si="344"/>
        <v>1</v>
      </c>
      <c r="I1199" s="59">
        <f t="shared" si="345"/>
        <v>0</v>
      </c>
      <c r="J1199" s="59">
        <v>9</v>
      </c>
      <c r="K1199" s="59">
        <v>1</v>
      </c>
      <c r="L1199" s="59">
        <v>1</v>
      </c>
      <c r="M1199" s="59">
        <f t="shared" si="346"/>
        <v>1</v>
      </c>
      <c r="N1199" s="59">
        <f t="shared" si="347"/>
        <v>0</v>
      </c>
      <c r="O1199" s="59">
        <f t="shared" si="348"/>
        <v>0</v>
      </c>
      <c r="P1199" s="59">
        <f t="shared" si="349"/>
        <v>0</v>
      </c>
      <c r="Q1199" s="59">
        <f t="shared" si="350"/>
        <v>0</v>
      </c>
      <c r="R1199" s="59">
        <v>1</v>
      </c>
      <c r="S1199" s="59">
        <v>1680</v>
      </c>
      <c r="T1199" s="59">
        <v>4</v>
      </c>
      <c r="U1199" s="59">
        <v>1</v>
      </c>
      <c r="V1199" s="59">
        <v>54</v>
      </c>
      <c r="W1199" s="59">
        <v>3</v>
      </c>
      <c r="X1199" s="59">
        <v>1</v>
      </c>
      <c r="Y1199" s="59">
        <v>7</v>
      </c>
      <c r="Z1199" s="59">
        <f t="shared" si="351"/>
        <v>0</v>
      </c>
      <c r="AA1199" s="59">
        <f>IF('Updated Dummy'!Y1199=2,1,0)</f>
        <v>0</v>
      </c>
      <c r="AB1199" s="59">
        <f t="shared" si="352"/>
        <v>0</v>
      </c>
      <c r="AC1199" s="59">
        <f t="shared" si="353"/>
        <v>0</v>
      </c>
      <c r="AD1199" s="59">
        <f t="shared" si="354"/>
        <v>0</v>
      </c>
      <c r="AE1199" s="59">
        <f t="shared" si="355"/>
        <v>0</v>
      </c>
      <c r="AF1199" s="59">
        <f t="shared" si="356"/>
        <v>1</v>
      </c>
      <c r="AG1199" s="59">
        <f t="shared" si="357"/>
        <v>0</v>
      </c>
      <c r="AH1199" s="59">
        <v>1</v>
      </c>
      <c r="AI1199" s="59">
        <v>1</v>
      </c>
      <c r="AJ1199" s="59">
        <f t="shared" si="358"/>
        <v>1</v>
      </c>
      <c r="AK1199" s="59">
        <f t="shared" si="359"/>
        <v>0</v>
      </c>
      <c r="AL1199" s="59">
        <v>2728</v>
      </c>
      <c r="AM1199" s="59">
        <v>21082</v>
      </c>
      <c r="AN1199" s="59">
        <v>1</v>
      </c>
      <c r="AO1199" s="59">
        <v>0</v>
      </c>
      <c r="AP1199" s="59">
        <v>11</v>
      </c>
      <c r="AQ1199" s="59">
        <v>3</v>
      </c>
      <c r="AR1199" s="59">
        <v>1</v>
      </c>
      <c r="AS1199" s="59">
        <v>80</v>
      </c>
      <c r="AT1199" s="59">
        <v>0</v>
      </c>
      <c r="AU1199" s="59">
        <v>2</v>
      </c>
      <c r="AV1199" s="59">
        <v>3</v>
      </c>
      <c r="AW1199" s="59">
        <v>3</v>
      </c>
      <c r="AX1199" s="59">
        <v>2</v>
      </c>
      <c r="AY1199" s="59">
        <v>2</v>
      </c>
      <c r="AZ1199" s="59">
        <v>0</v>
      </c>
      <c r="BA1199" s="59">
        <v>2</v>
      </c>
      <c r="BB1199" s="57">
        <f t="shared" si="360"/>
        <v>2728</v>
      </c>
    </row>
    <row r="1200" spans="1:54" x14ac:dyDescent="0.25">
      <c r="A1200" s="58">
        <v>33</v>
      </c>
      <c r="B1200" s="59">
        <v>0</v>
      </c>
      <c r="C1200" s="59">
        <v>3</v>
      </c>
      <c r="D1200" s="59">
        <f t="shared" si="342"/>
        <v>0</v>
      </c>
      <c r="E1200" s="59">
        <f t="shared" si="343"/>
        <v>0</v>
      </c>
      <c r="F1200" s="59">
        <v>530</v>
      </c>
      <c r="G1200" s="59">
        <v>1</v>
      </c>
      <c r="H1200" s="59">
        <f t="shared" si="344"/>
        <v>1</v>
      </c>
      <c r="I1200" s="59">
        <f t="shared" si="345"/>
        <v>0</v>
      </c>
      <c r="J1200" s="59">
        <v>16</v>
      </c>
      <c r="K1200" s="59">
        <v>3</v>
      </c>
      <c r="L1200" s="59">
        <v>1</v>
      </c>
      <c r="M1200" s="59">
        <f t="shared" si="346"/>
        <v>1</v>
      </c>
      <c r="N1200" s="59">
        <f t="shared" si="347"/>
        <v>0</v>
      </c>
      <c r="O1200" s="59">
        <f t="shared" si="348"/>
        <v>0</v>
      </c>
      <c r="P1200" s="59">
        <f t="shared" si="349"/>
        <v>0</v>
      </c>
      <c r="Q1200" s="59">
        <f t="shared" si="350"/>
        <v>0</v>
      </c>
      <c r="R1200" s="59">
        <v>1</v>
      </c>
      <c r="S1200" s="59">
        <v>1681</v>
      </c>
      <c r="T1200" s="59">
        <v>3</v>
      </c>
      <c r="U1200" s="59">
        <v>0</v>
      </c>
      <c r="V1200" s="59">
        <v>36</v>
      </c>
      <c r="W1200" s="59">
        <v>3</v>
      </c>
      <c r="X1200" s="59">
        <v>2</v>
      </c>
      <c r="Y1200" s="59">
        <v>1</v>
      </c>
      <c r="Z1200" s="59">
        <f t="shared" si="351"/>
        <v>1</v>
      </c>
      <c r="AA1200" s="59">
        <f>IF('Updated Dummy'!Y1200=2,1,0)</f>
        <v>0</v>
      </c>
      <c r="AB1200" s="59">
        <f t="shared" si="352"/>
        <v>0</v>
      </c>
      <c r="AC1200" s="59">
        <f t="shared" si="353"/>
        <v>0</v>
      </c>
      <c r="AD1200" s="59">
        <f t="shared" si="354"/>
        <v>0</v>
      </c>
      <c r="AE1200" s="59">
        <f t="shared" si="355"/>
        <v>0</v>
      </c>
      <c r="AF1200" s="59">
        <f t="shared" si="356"/>
        <v>0</v>
      </c>
      <c r="AG1200" s="59">
        <f t="shared" si="357"/>
        <v>0</v>
      </c>
      <c r="AH1200" s="59">
        <v>4</v>
      </c>
      <c r="AI1200" s="59">
        <v>3</v>
      </c>
      <c r="AJ1200" s="59">
        <f t="shared" si="358"/>
        <v>0</v>
      </c>
      <c r="AK1200" s="59">
        <f t="shared" si="359"/>
        <v>0</v>
      </c>
      <c r="AL1200" s="59">
        <v>5368</v>
      </c>
      <c r="AM1200" s="59">
        <v>16130</v>
      </c>
      <c r="AN1200" s="59">
        <v>1</v>
      </c>
      <c r="AO1200" s="59">
        <v>1</v>
      </c>
      <c r="AP1200" s="59">
        <v>25</v>
      </c>
      <c r="AQ1200" s="59">
        <v>4</v>
      </c>
      <c r="AR1200" s="59">
        <v>3</v>
      </c>
      <c r="AS1200" s="59">
        <v>80</v>
      </c>
      <c r="AT1200" s="59">
        <v>1</v>
      </c>
      <c r="AU1200" s="59">
        <v>7</v>
      </c>
      <c r="AV1200" s="59">
        <v>2</v>
      </c>
      <c r="AW1200" s="59">
        <v>3</v>
      </c>
      <c r="AX1200" s="59">
        <v>6</v>
      </c>
      <c r="AY1200" s="59">
        <v>5</v>
      </c>
      <c r="AZ1200" s="59">
        <v>1</v>
      </c>
      <c r="BA1200" s="59">
        <v>2</v>
      </c>
      <c r="BB1200" s="57">
        <f t="shared" si="360"/>
        <v>10736</v>
      </c>
    </row>
    <row r="1201" spans="1:54" x14ac:dyDescent="0.25">
      <c r="A1201" s="58">
        <v>36</v>
      </c>
      <c r="B1201" s="59">
        <v>0</v>
      </c>
      <c r="C1201" s="59">
        <v>1</v>
      </c>
      <c r="D1201" s="59">
        <f t="shared" si="342"/>
        <v>1</v>
      </c>
      <c r="E1201" s="59">
        <f t="shared" si="343"/>
        <v>0</v>
      </c>
      <c r="F1201" s="59">
        <v>1351</v>
      </c>
      <c r="G1201" s="59">
        <v>2</v>
      </c>
      <c r="H1201" s="59">
        <f t="shared" si="344"/>
        <v>0</v>
      </c>
      <c r="I1201" s="59">
        <f t="shared" si="345"/>
        <v>1</v>
      </c>
      <c r="J1201" s="59">
        <v>26</v>
      </c>
      <c r="K1201" s="59">
        <v>4</v>
      </c>
      <c r="L1201" s="59">
        <v>1</v>
      </c>
      <c r="M1201" s="59">
        <f t="shared" si="346"/>
        <v>1</v>
      </c>
      <c r="N1201" s="59">
        <f t="shared" si="347"/>
        <v>0</v>
      </c>
      <c r="O1201" s="59">
        <f t="shared" si="348"/>
        <v>0</v>
      </c>
      <c r="P1201" s="59">
        <f t="shared" si="349"/>
        <v>0</v>
      </c>
      <c r="Q1201" s="59">
        <f t="shared" si="350"/>
        <v>0</v>
      </c>
      <c r="R1201" s="59">
        <v>1</v>
      </c>
      <c r="S1201" s="59">
        <v>1682</v>
      </c>
      <c r="T1201" s="59">
        <v>1</v>
      </c>
      <c r="U1201" s="59">
        <v>1</v>
      </c>
      <c r="V1201" s="59">
        <v>80</v>
      </c>
      <c r="W1201" s="59">
        <v>3</v>
      </c>
      <c r="X1201" s="59">
        <v>2</v>
      </c>
      <c r="Y1201" s="59">
        <v>5</v>
      </c>
      <c r="Z1201" s="59">
        <f t="shared" si="351"/>
        <v>0</v>
      </c>
      <c r="AA1201" s="59">
        <f>IF('Updated Dummy'!Y1201=2,1,0)</f>
        <v>0</v>
      </c>
      <c r="AB1201" s="59">
        <f t="shared" si="352"/>
        <v>0</v>
      </c>
      <c r="AC1201" s="59">
        <f t="shared" si="353"/>
        <v>0</v>
      </c>
      <c r="AD1201" s="59">
        <f t="shared" si="354"/>
        <v>1</v>
      </c>
      <c r="AE1201" s="59">
        <f t="shared" si="355"/>
        <v>0</v>
      </c>
      <c r="AF1201" s="59">
        <f t="shared" si="356"/>
        <v>0</v>
      </c>
      <c r="AG1201" s="59">
        <f t="shared" si="357"/>
        <v>0</v>
      </c>
      <c r="AH1201" s="59">
        <v>3</v>
      </c>
      <c r="AI1201" s="59">
        <v>2</v>
      </c>
      <c r="AJ1201" s="59">
        <f t="shared" si="358"/>
        <v>0</v>
      </c>
      <c r="AK1201" s="59">
        <f t="shared" si="359"/>
        <v>1</v>
      </c>
      <c r="AL1201" s="59">
        <v>5347</v>
      </c>
      <c r="AM1201" s="59">
        <v>7419</v>
      </c>
      <c r="AN1201" s="59">
        <v>6</v>
      </c>
      <c r="AO1201" s="59">
        <v>0</v>
      </c>
      <c r="AP1201" s="59">
        <v>14</v>
      </c>
      <c r="AQ1201" s="59">
        <v>3</v>
      </c>
      <c r="AR1201" s="59">
        <v>2</v>
      </c>
      <c r="AS1201" s="59">
        <v>80</v>
      </c>
      <c r="AT1201" s="59">
        <v>2</v>
      </c>
      <c r="AU1201" s="59">
        <v>10</v>
      </c>
      <c r="AV1201" s="59">
        <v>2</v>
      </c>
      <c r="AW1201" s="59">
        <v>2</v>
      </c>
      <c r="AX1201" s="59">
        <v>3</v>
      </c>
      <c r="AY1201" s="59">
        <v>2</v>
      </c>
      <c r="AZ1201" s="59">
        <v>0</v>
      </c>
      <c r="BA1201" s="59">
        <v>2</v>
      </c>
      <c r="BB1201" s="57">
        <f t="shared" si="360"/>
        <v>10694</v>
      </c>
    </row>
    <row r="1202" spans="1:54" x14ac:dyDescent="0.25">
      <c r="A1202" s="58">
        <v>44</v>
      </c>
      <c r="B1202" s="59">
        <v>0</v>
      </c>
      <c r="C1202" s="59">
        <v>1</v>
      </c>
      <c r="D1202" s="59">
        <f t="shared" si="342"/>
        <v>1</v>
      </c>
      <c r="E1202" s="59">
        <f t="shared" si="343"/>
        <v>0</v>
      </c>
      <c r="F1202" s="59">
        <v>528</v>
      </c>
      <c r="G1202" s="59">
        <v>3</v>
      </c>
      <c r="H1202" s="59">
        <f t="shared" si="344"/>
        <v>0</v>
      </c>
      <c r="I1202" s="59">
        <f t="shared" si="345"/>
        <v>0</v>
      </c>
      <c r="J1202" s="59">
        <v>1</v>
      </c>
      <c r="K1202" s="59">
        <v>3</v>
      </c>
      <c r="L1202" s="59">
        <v>1</v>
      </c>
      <c r="M1202" s="59">
        <f t="shared" si="346"/>
        <v>1</v>
      </c>
      <c r="N1202" s="59">
        <f t="shared" si="347"/>
        <v>0</v>
      </c>
      <c r="O1202" s="59">
        <f t="shared" si="348"/>
        <v>0</v>
      </c>
      <c r="P1202" s="59">
        <f t="shared" si="349"/>
        <v>0</v>
      </c>
      <c r="Q1202" s="59">
        <f t="shared" si="350"/>
        <v>0</v>
      </c>
      <c r="R1202" s="59">
        <v>1</v>
      </c>
      <c r="S1202" s="59">
        <v>1683</v>
      </c>
      <c r="T1202" s="59">
        <v>3</v>
      </c>
      <c r="U1202" s="59">
        <v>0</v>
      </c>
      <c r="V1202" s="59">
        <v>44</v>
      </c>
      <c r="W1202" s="59">
        <v>3</v>
      </c>
      <c r="X1202" s="59">
        <v>1</v>
      </c>
      <c r="Y1202" s="59">
        <v>9</v>
      </c>
      <c r="Z1202" s="59">
        <f t="shared" si="351"/>
        <v>0</v>
      </c>
      <c r="AA1202" s="59">
        <f>IF('Updated Dummy'!Y1202=2,1,0)</f>
        <v>0</v>
      </c>
      <c r="AB1202" s="59">
        <f t="shared" si="352"/>
        <v>0</v>
      </c>
      <c r="AC1202" s="59">
        <f t="shared" si="353"/>
        <v>0</v>
      </c>
      <c r="AD1202" s="59">
        <f t="shared" si="354"/>
        <v>0</v>
      </c>
      <c r="AE1202" s="59">
        <f t="shared" si="355"/>
        <v>0</v>
      </c>
      <c r="AF1202" s="59">
        <f t="shared" si="356"/>
        <v>0</v>
      </c>
      <c r="AG1202" s="59">
        <f t="shared" si="357"/>
        <v>0</v>
      </c>
      <c r="AH1202" s="59">
        <v>4</v>
      </c>
      <c r="AI1202" s="59">
        <v>3</v>
      </c>
      <c r="AJ1202" s="59">
        <f t="shared" si="358"/>
        <v>0</v>
      </c>
      <c r="AK1202" s="59">
        <f t="shared" si="359"/>
        <v>0</v>
      </c>
      <c r="AL1202" s="59">
        <v>3195</v>
      </c>
      <c r="AM1202" s="59">
        <v>4167</v>
      </c>
      <c r="AN1202" s="59">
        <v>4</v>
      </c>
      <c r="AO1202" s="59">
        <v>1</v>
      </c>
      <c r="AP1202" s="59">
        <v>18</v>
      </c>
      <c r="AQ1202" s="59">
        <v>3</v>
      </c>
      <c r="AR1202" s="59">
        <v>1</v>
      </c>
      <c r="AS1202" s="59">
        <v>80</v>
      </c>
      <c r="AT1202" s="59">
        <v>3</v>
      </c>
      <c r="AU1202" s="59">
        <v>8</v>
      </c>
      <c r="AV1202" s="59">
        <v>2</v>
      </c>
      <c r="AW1202" s="59">
        <v>3</v>
      </c>
      <c r="AX1202" s="59">
        <v>2</v>
      </c>
      <c r="AY1202" s="59">
        <v>2</v>
      </c>
      <c r="AZ1202" s="59">
        <v>2</v>
      </c>
      <c r="BA1202" s="59">
        <v>2</v>
      </c>
      <c r="BB1202" s="57">
        <f t="shared" si="360"/>
        <v>3195</v>
      </c>
    </row>
    <row r="1203" spans="1:54" x14ac:dyDescent="0.25">
      <c r="A1203" s="58">
        <v>23</v>
      </c>
      <c r="B1203" s="59">
        <v>1</v>
      </c>
      <c r="C1203" s="59">
        <v>1</v>
      </c>
      <c r="D1203" s="59">
        <f t="shared" si="342"/>
        <v>1</v>
      </c>
      <c r="E1203" s="59">
        <f t="shared" si="343"/>
        <v>0</v>
      </c>
      <c r="F1203" s="59">
        <v>1320</v>
      </c>
      <c r="G1203" s="59">
        <v>2</v>
      </c>
      <c r="H1203" s="59">
        <f t="shared" si="344"/>
        <v>0</v>
      </c>
      <c r="I1203" s="59">
        <f t="shared" si="345"/>
        <v>1</v>
      </c>
      <c r="J1203" s="59">
        <v>8</v>
      </c>
      <c r="K1203" s="59">
        <v>1</v>
      </c>
      <c r="L1203" s="59">
        <v>3</v>
      </c>
      <c r="M1203" s="59">
        <f t="shared" si="346"/>
        <v>0</v>
      </c>
      <c r="N1203" s="59">
        <f t="shared" si="347"/>
        <v>0</v>
      </c>
      <c r="O1203" s="59">
        <f t="shared" si="348"/>
        <v>1</v>
      </c>
      <c r="P1203" s="59">
        <f t="shared" si="349"/>
        <v>0</v>
      </c>
      <c r="Q1203" s="59">
        <f t="shared" si="350"/>
        <v>0</v>
      </c>
      <c r="R1203" s="59">
        <v>1</v>
      </c>
      <c r="S1203" s="59">
        <v>1684</v>
      </c>
      <c r="T1203" s="59">
        <v>4</v>
      </c>
      <c r="U1203" s="59">
        <v>1</v>
      </c>
      <c r="V1203" s="59">
        <v>93</v>
      </c>
      <c r="W1203" s="59">
        <v>2</v>
      </c>
      <c r="X1203" s="59">
        <v>1</v>
      </c>
      <c r="Y1203" s="59">
        <v>3</v>
      </c>
      <c r="Z1203" s="59">
        <f t="shared" si="351"/>
        <v>0</v>
      </c>
      <c r="AA1203" s="59">
        <f>IF('Updated Dummy'!Y1203=2,1,0)</f>
        <v>0</v>
      </c>
      <c r="AB1203" s="59">
        <f t="shared" si="352"/>
        <v>1</v>
      </c>
      <c r="AC1203" s="59">
        <f t="shared" si="353"/>
        <v>0</v>
      </c>
      <c r="AD1203" s="59">
        <f t="shared" si="354"/>
        <v>0</v>
      </c>
      <c r="AE1203" s="59">
        <f t="shared" si="355"/>
        <v>0</v>
      </c>
      <c r="AF1203" s="59">
        <f t="shared" si="356"/>
        <v>0</v>
      </c>
      <c r="AG1203" s="59">
        <f t="shared" si="357"/>
        <v>0</v>
      </c>
      <c r="AH1203" s="59">
        <v>3</v>
      </c>
      <c r="AI1203" s="59">
        <v>1</v>
      </c>
      <c r="AJ1203" s="59">
        <f t="shared" si="358"/>
        <v>1</v>
      </c>
      <c r="AK1203" s="59">
        <f t="shared" si="359"/>
        <v>0</v>
      </c>
      <c r="AL1203" s="59">
        <v>3989</v>
      </c>
      <c r="AM1203" s="59">
        <v>20586</v>
      </c>
      <c r="AN1203" s="59">
        <v>1</v>
      </c>
      <c r="AO1203" s="59">
        <v>1</v>
      </c>
      <c r="AP1203" s="59">
        <v>11</v>
      </c>
      <c r="AQ1203" s="59">
        <v>3</v>
      </c>
      <c r="AR1203" s="59">
        <v>1</v>
      </c>
      <c r="AS1203" s="59">
        <v>80</v>
      </c>
      <c r="AT1203" s="59">
        <v>0</v>
      </c>
      <c r="AU1203" s="59">
        <v>5</v>
      </c>
      <c r="AV1203" s="59">
        <v>2</v>
      </c>
      <c r="AW1203" s="59">
        <v>3</v>
      </c>
      <c r="AX1203" s="59">
        <v>5</v>
      </c>
      <c r="AY1203" s="59">
        <v>4</v>
      </c>
      <c r="AZ1203" s="59">
        <v>1</v>
      </c>
      <c r="BA1203" s="59">
        <v>2</v>
      </c>
      <c r="BB1203" s="57">
        <f t="shared" si="360"/>
        <v>3989</v>
      </c>
    </row>
    <row r="1204" spans="1:54" x14ac:dyDescent="0.25">
      <c r="A1204" s="58">
        <v>38</v>
      </c>
      <c r="B1204" s="59">
        <v>0</v>
      </c>
      <c r="C1204" s="59">
        <v>1</v>
      </c>
      <c r="D1204" s="59">
        <f t="shared" si="342"/>
        <v>1</v>
      </c>
      <c r="E1204" s="59">
        <f t="shared" si="343"/>
        <v>0</v>
      </c>
      <c r="F1204" s="59">
        <v>1495</v>
      </c>
      <c r="G1204" s="59">
        <v>2</v>
      </c>
      <c r="H1204" s="59">
        <f t="shared" si="344"/>
        <v>0</v>
      </c>
      <c r="I1204" s="59">
        <f t="shared" si="345"/>
        <v>1</v>
      </c>
      <c r="J1204" s="59">
        <v>4</v>
      </c>
      <c r="K1204" s="59">
        <v>2</v>
      </c>
      <c r="L1204" s="59">
        <v>3</v>
      </c>
      <c r="M1204" s="59">
        <f t="shared" si="346"/>
        <v>0</v>
      </c>
      <c r="N1204" s="59">
        <f t="shared" si="347"/>
        <v>0</v>
      </c>
      <c r="O1204" s="59">
        <f t="shared" si="348"/>
        <v>1</v>
      </c>
      <c r="P1204" s="59">
        <f t="shared" si="349"/>
        <v>0</v>
      </c>
      <c r="Q1204" s="59">
        <f t="shared" si="350"/>
        <v>0</v>
      </c>
      <c r="R1204" s="59">
        <v>1</v>
      </c>
      <c r="S1204" s="59">
        <v>1687</v>
      </c>
      <c r="T1204" s="59">
        <v>4</v>
      </c>
      <c r="U1204" s="59">
        <v>0</v>
      </c>
      <c r="V1204" s="59">
        <v>87</v>
      </c>
      <c r="W1204" s="59">
        <v>3</v>
      </c>
      <c r="X1204" s="59">
        <v>1</v>
      </c>
      <c r="Y1204" s="59">
        <v>3</v>
      </c>
      <c r="Z1204" s="59">
        <f t="shared" si="351"/>
        <v>0</v>
      </c>
      <c r="AA1204" s="59">
        <f>IF('Updated Dummy'!Y1204=2,1,0)</f>
        <v>0</v>
      </c>
      <c r="AB1204" s="59">
        <f t="shared" si="352"/>
        <v>1</v>
      </c>
      <c r="AC1204" s="59">
        <f t="shared" si="353"/>
        <v>0</v>
      </c>
      <c r="AD1204" s="59">
        <f t="shared" si="354"/>
        <v>0</v>
      </c>
      <c r="AE1204" s="59">
        <f t="shared" si="355"/>
        <v>0</v>
      </c>
      <c r="AF1204" s="59">
        <f t="shared" si="356"/>
        <v>0</v>
      </c>
      <c r="AG1204" s="59">
        <f t="shared" si="357"/>
        <v>0</v>
      </c>
      <c r="AH1204" s="59">
        <v>3</v>
      </c>
      <c r="AI1204" s="59">
        <v>2</v>
      </c>
      <c r="AJ1204" s="59">
        <f t="shared" si="358"/>
        <v>0</v>
      </c>
      <c r="AK1204" s="59">
        <f t="shared" si="359"/>
        <v>1</v>
      </c>
      <c r="AL1204" s="59">
        <v>3306</v>
      </c>
      <c r="AM1204" s="59">
        <v>26176</v>
      </c>
      <c r="AN1204" s="59">
        <v>7</v>
      </c>
      <c r="AO1204" s="59">
        <v>0</v>
      </c>
      <c r="AP1204" s="59">
        <v>19</v>
      </c>
      <c r="AQ1204" s="59">
        <v>3</v>
      </c>
      <c r="AR1204" s="59">
        <v>4</v>
      </c>
      <c r="AS1204" s="59">
        <v>80</v>
      </c>
      <c r="AT1204" s="59">
        <v>1</v>
      </c>
      <c r="AU1204" s="59">
        <v>7</v>
      </c>
      <c r="AV1204" s="59">
        <v>5</v>
      </c>
      <c r="AW1204" s="59">
        <v>2</v>
      </c>
      <c r="AX1204" s="59">
        <v>0</v>
      </c>
      <c r="AY1204" s="59">
        <v>0</v>
      </c>
      <c r="AZ1204" s="59">
        <v>0</v>
      </c>
      <c r="BA1204" s="59">
        <v>0</v>
      </c>
      <c r="BB1204" s="57">
        <f t="shared" si="360"/>
        <v>3306</v>
      </c>
    </row>
    <row r="1205" spans="1:54" x14ac:dyDescent="0.25">
      <c r="A1205" s="58">
        <v>53</v>
      </c>
      <c r="B1205" s="59">
        <v>0</v>
      </c>
      <c r="C1205" s="59">
        <v>1</v>
      </c>
      <c r="D1205" s="59">
        <f t="shared" si="342"/>
        <v>1</v>
      </c>
      <c r="E1205" s="59">
        <f t="shared" si="343"/>
        <v>0</v>
      </c>
      <c r="F1205" s="59">
        <v>1395</v>
      </c>
      <c r="G1205" s="59">
        <v>2</v>
      </c>
      <c r="H1205" s="59">
        <f t="shared" si="344"/>
        <v>0</v>
      </c>
      <c r="I1205" s="59">
        <f t="shared" si="345"/>
        <v>1</v>
      </c>
      <c r="J1205" s="59">
        <v>24</v>
      </c>
      <c r="K1205" s="59">
        <v>4</v>
      </c>
      <c r="L1205" s="59">
        <v>3</v>
      </c>
      <c r="M1205" s="59">
        <f t="shared" si="346"/>
        <v>0</v>
      </c>
      <c r="N1205" s="59">
        <f t="shared" si="347"/>
        <v>0</v>
      </c>
      <c r="O1205" s="59">
        <f t="shared" si="348"/>
        <v>1</v>
      </c>
      <c r="P1205" s="59">
        <f t="shared" si="349"/>
        <v>0</v>
      </c>
      <c r="Q1205" s="59">
        <f t="shared" si="350"/>
        <v>0</v>
      </c>
      <c r="R1205" s="59">
        <v>1</v>
      </c>
      <c r="S1205" s="59">
        <v>1689</v>
      </c>
      <c r="T1205" s="59">
        <v>2</v>
      </c>
      <c r="U1205" s="59">
        <v>1</v>
      </c>
      <c r="V1205" s="59">
        <v>48</v>
      </c>
      <c r="W1205" s="59">
        <v>4</v>
      </c>
      <c r="X1205" s="59">
        <v>3</v>
      </c>
      <c r="Y1205" s="59">
        <v>5</v>
      </c>
      <c r="Z1205" s="59">
        <f t="shared" si="351"/>
        <v>0</v>
      </c>
      <c r="AA1205" s="59">
        <f>IF('Updated Dummy'!Y1205=2,1,0)</f>
        <v>0</v>
      </c>
      <c r="AB1205" s="59">
        <f t="shared" si="352"/>
        <v>0</v>
      </c>
      <c r="AC1205" s="59">
        <f t="shared" si="353"/>
        <v>0</v>
      </c>
      <c r="AD1205" s="59">
        <f t="shared" si="354"/>
        <v>1</v>
      </c>
      <c r="AE1205" s="59">
        <f t="shared" si="355"/>
        <v>0</v>
      </c>
      <c r="AF1205" s="59">
        <f t="shared" si="356"/>
        <v>0</v>
      </c>
      <c r="AG1205" s="59">
        <f t="shared" si="357"/>
        <v>0</v>
      </c>
      <c r="AH1205" s="59">
        <v>4</v>
      </c>
      <c r="AI1205" s="59">
        <v>2</v>
      </c>
      <c r="AJ1205" s="59">
        <f t="shared" si="358"/>
        <v>0</v>
      </c>
      <c r="AK1205" s="59">
        <f t="shared" si="359"/>
        <v>1</v>
      </c>
      <c r="AL1205" s="59">
        <v>7005</v>
      </c>
      <c r="AM1205" s="59">
        <v>3458</v>
      </c>
      <c r="AN1205" s="59">
        <v>3</v>
      </c>
      <c r="AO1205" s="59">
        <v>0</v>
      </c>
      <c r="AP1205" s="59">
        <v>15</v>
      </c>
      <c r="AQ1205" s="59">
        <v>3</v>
      </c>
      <c r="AR1205" s="59">
        <v>3</v>
      </c>
      <c r="AS1205" s="59">
        <v>80</v>
      </c>
      <c r="AT1205" s="59">
        <v>0</v>
      </c>
      <c r="AU1205" s="59">
        <v>11</v>
      </c>
      <c r="AV1205" s="59">
        <v>2</v>
      </c>
      <c r="AW1205" s="59">
        <v>3</v>
      </c>
      <c r="AX1205" s="59">
        <v>4</v>
      </c>
      <c r="AY1205" s="59">
        <v>3</v>
      </c>
      <c r="AZ1205" s="59">
        <v>1</v>
      </c>
      <c r="BA1205" s="59">
        <v>2</v>
      </c>
      <c r="BB1205" s="57">
        <f t="shared" si="360"/>
        <v>21015</v>
      </c>
    </row>
    <row r="1206" spans="1:54" x14ac:dyDescent="0.25">
      <c r="A1206" s="58">
        <v>48</v>
      </c>
      <c r="B1206" s="59">
        <v>1</v>
      </c>
      <c r="C1206" s="59">
        <v>2</v>
      </c>
      <c r="D1206" s="59">
        <f t="shared" si="342"/>
        <v>0</v>
      </c>
      <c r="E1206" s="59">
        <f t="shared" si="343"/>
        <v>1</v>
      </c>
      <c r="F1206" s="59">
        <v>708</v>
      </c>
      <c r="G1206" s="59">
        <v>1</v>
      </c>
      <c r="H1206" s="59">
        <f t="shared" si="344"/>
        <v>1</v>
      </c>
      <c r="I1206" s="59">
        <f t="shared" si="345"/>
        <v>0</v>
      </c>
      <c r="J1206" s="59">
        <v>7</v>
      </c>
      <c r="K1206" s="59">
        <v>2</v>
      </c>
      <c r="L1206" s="59">
        <v>3</v>
      </c>
      <c r="M1206" s="59">
        <f t="shared" si="346"/>
        <v>0</v>
      </c>
      <c r="N1206" s="59">
        <f t="shared" si="347"/>
        <v>0</v>
      </c>
      <c r="O1206" s="59">
        <f t="shared" si="348"/>
        <v>1</v>
      </c>
      <c r="P1206" s="59">
        <f t="shared" si="349"/>
        <v>0</v>
      </c>
      <c r="Q1206" s="59">
        <f t="shared" si="350"/>
        <v>0</v>
      </c>
      <c r="R1206" s="59">
        <v>1</v>
      </c>
      <c r="S1206" s="59">
        <v>1691</v>
      </c>
      <c r="T1206" s="59">
        <v>4</v>
      </c>
      <c r="U1206" s="59">
        <v>0</v>
      </c>
      <c r="V1206" s="59">
        <v>95</v>
      </c>
      <c r="W1206" s="59">
        <v>3</v>
      </c>
      <c r="X1206" s="59">
        <v>1</v>
      </c>
      <c r="Y1206" s="59">
        <v>7</v>
      </c>
      <c r="Z1206" s="59">
        <f t="shared" si="351"/>
        <v>0</v>
      </c>
      <c r="AA1206" s="59">
        <f>IF('Updated Dummy'!Y1206=2,1,0)</f>
        <v>0</v>
      </c>
      <c r="AB1206" s="59">
        <f t="shared" si="352"/>
        <v>0</v>
      </c>
      <c r="AC1206" s="59">
        <f t="shared" si="353"/>
        <v>0</v>
      </c>
      <c r="AD1206" s="59">
        <f t="shared" si="354"/>
        <v>0</v>
      </c>
      <c r="AE1206" s="59">
        <f t="shared" si="355"/>
        <v>0</v>
      </c>
      <c r="AF1206" s="59">
        <f t="shared" si="356"/>
        <v>1</v>
      </c>
      <c r="AG1206" s="59">
        <f t="shared" si="357"/>
        <v>0</v>
      </c>
      <c r="AH1206" s="59">
        <v>3</v>
      </c>
      <c r="AI1206" s="59">
        <v>2</v>
      </c>
      <c r="AJ1206" s="59">
        <f t="shared" si="358"/>
        <v>0</v>
      </c>
      <c r="AK1206" s="59">
        <f t="shared" si="359"/>
        <v>1</v>
      </c>
      <c r="AL1206" s="59">
        <v>2655</v>
      </c>
      <c r="AM1206" s="59">
        <v>11740</v>
      </c>
      <c r="AN1206" s="59">
        <v>2</v>
      </c>
      <c r="AO1206" s="59">
        <v>1</v>
      </c>
      <c r="AP1206" s="59">
        <v>11</v>
      </c>
      <c r="AQ1206" s="59">
        <v>3</v>
      </c>
      <c r="AR1206" s="59">
        <v>3</v>
      </c>
      <c r="AS1206" s="59">
        <v>80</v>
      </c>
      <c r="AT1206" s="59">
        <v>2</v>
      </c>
      <c r="AU1206" s="59">
        <v>19</v>
      </c>
      <c r="AV1206" s="59">
        <v>3</v>
      </c>
      <c r="AW1206" s="59">
        <v>3</v>
      </c>
      <c r="AX1206" s="59">
        <v>9</v>
      </c>
      <c r="AY1206" s="59">
        <v>7</v>
      </c>
      <c r="AZ1206" s="59">
        <v>7</v>
      </c>
      <c r="BA1206" s="59">
        <v>7</v>
      </c>
      <c r="BB1206" s="57">
        <f t="shared" si="360"/>
        <v>2655</v>
      </c>
    </row>
    <row r="1207" spans="1:54" x14ac:dyDescent="0.25">
      <c r="A1207" s="58">
        <v>32</v>
      </c>
      <c r="B1207" s="59">
        <v>1</v>
      </c>
      <c r="C1207" s="59">
        <v>1</v>
      </c>
      <c r="D1207" s="59">
        <f t="shared" si="342"/>
        <v>1</v>
      </c>
      <c r="E1207" s="59">
        <f t="shared" si="343"/>
        <v>0</v>
      </c>
      <c r="F1207" s="59">
        <v>1259</v>
      </c>
      <c r="G1207" s="59">
        <v>2</v>
      </c>
      <c r="H1207" s="59">
        <f t="shared" si="344"/>
        <v>0</v>
      </c>
      <c r="I1207" s="59">
        <f t="shared" si="345"/>
        <v>1</v>
      </c>
      <c r="J1207" s="59">
        <v>2</v>
      </c>
      <c r="K1207" s="59">
        <v>4</v>
      </c>
      <c r="L1207" s="59">
        <v>1</v>
      </c>
      <c r="M1207" s="59">
        <f t="shared" si="346"/>
        <v>1</v>
      </c>
      <c r="N1207" s="59">
        <f t="shared" si="347"/>
        <v>0</v>
      </c>
      <c r="O1207" s="59">
        <f t="shared" si="348"/>
        <v>0</v>
      </c>
      <c r="P1207" s="59">
        <f t="shared" si="349"/>
        <v>0</v>
      </c>
      <c r="Q1207" s="59">
        <f t="shared" si="350"/>
        <v>0</v>
      </c>
      <c r="R1207" s="59">
        <v>1</v>
      </c>
      <c r="S1207" s="59">
        <v>1692</v>
      </c>
      <c r="T1207" s="59">
        <v>4</v>
      </c>
      <c r="U1207" s="59">
        <v>1</v>
      </c>
      <c r="V1207" s="59">
        <v>95</v>
      </c>
      <c r="W1207" s="59">
        <v>3</v>
      </c>
      <c r="X1207" s="59">
        <v>1</v>
      </c>
      <c r="Y1207" s="59">
        <v>3</v>
      </c>
      <c r="Z1207" s="59">
        <f t="shared" si="351"/>
        <v>0</v>
      </c>
      <c r="AA1207" s="59">
        <f>IF('Updated Dummy'!Y1207=2,1,0)</f>
        <v>0</v>
      </c>
      <c r="AB1207" s="59">
        <f t="shared" si="352"/>
        <v>1</v>
      </c>
      <c r="AC1207" s="59">
        <f t="shared" si="353"/>
        <v>0</v>
      </c>
      <c r="AD1207" s="59">
        <f t="shared" si="354"/>
        <v>0</v>
      </c>
      <c r="AE1207" s="59">
        <f t="shared" si="355"/>
        <v>0</v>
      </c>
      <c r="AF1207" s="59">
        <f t="shared" si="356"/>
        <v>0</v>
      </c>
      <c r="AG1207" s="59">
        <f t="shared" si="357"/>
        <v>0</v>
      </c>
      <c r="AH1207" s="59">
        <v>2</v>
      </c>
      <c r="AI1207" s="59">
        <v>1</v>
      </c>
      <c r="AJ1207" s="59">
        <f t="shared" si="358"/>
        <v>1</v>
      </c>
      <c r="AK1207" s="59">
        <f t="shared" si="359"/>
        <v>0</v>
      </c>
      <c r="AL1207" s="59">
        <v>1393</v>
      </c>
      <c r="AM1207" s="59">
        <v>24852</v>
      </c>
      <c r="AN1207" s="59">
        <v>1</v>
      </c>
      <c r="AO1207" s="59">
        <v>0</v>
      </c>
      <c r="AP1207" s="59">
        <v>12</v>
      </c>
      <c r="AQ1207" s="59">
        <v>3</v>
      </c>
      <c r="AR1207" s="59">
        <v>1</v>
      </c>
      <c r="AS1207" s="59">
        <v>80</v>
      </c>
      <c r="AT1207" s="59">
        <v>0</v>
      </c>
      <c r="AU1207" s="59">
        <v>1</v>
      </c>
      <c r="AV1207" s="59">
        <v>2</v>
      </c>
      <c r="AW1207" s="59">
        <v>3</v>
      </c>
      <c r="AX1207" s="59">
        <v>1</v>
      </c>
      <c r="AY1207" s="59">
        <v>0</v>
      </c>
      <c r="AZ1207" s="59">
        <v>0</v>
      </c>
      <c r="BA1207" s="59">
        <v>0</v>
      </c>
      <c r="BB1207" s="57">
        <f t="shared" si="360"/>
        <v>1393</v>
      </c>
    </row>
    <row r="1208" spans="1:54" x14ac:dyDescent="0.25">
      <c r="A1208" s="58">
        <v>26</v>
      </c>
      <c r="B1208" s="59">
        <v>0</v>
      </c>
      <c r="C1208" s="59">
        <v>3</v>
      </c>
      <c r="D1208" s="59">
        <f t="shared" si="342"/>
        <v>0</v>
      </c>
      <c r="E1208" s="59">
        <f t="shared" si="343"/>
        <v>0</v>
      </c>
      <c r="F1208" s="59">
        <v>786</v>
      </c>
      <c r="G1208" s="59">
        <v>2</v>
      </c>
      <c r="H1208" s="59">
        <f t="shared" si="344"/>
        <v>0</v>
      </c>
      <c r="I1208" s="59">
        <f t="shared" si="345"/>
        <v>1</v>
      </c>
      <c r="J1208" s="59">
        <v>7</v>
      </c>
      <c r="K1208" s="59">
        <v>3</v>
      </c>
      <c r="L1208" s="59">
        <v>3</v>
      </c>
      <c r="M1208" s="59">
        <f t="shared" si="346"/>
        <v>0</v>
      </c>
      <c r="N1208" s="59">
        <f t="shared" si="347"/>
        <v>0</v>
      </c>
      <c r="O1208" s="59">
        <f t="shared" si="348"/>
        <v>1</v>
      </c>
      <c r="P1208" s="59">
        <f t="shared" si="349"/>
        <v>0</v>
      </c>
      <c r="Q1208" s="59">
        <f t="shared" si="350"/>
        <v>0</v>
      </c>
      <c r="R1208" s="59">
        <v>1</v>
      </c>
      <c r="S1208" s="59">
        <v>1693</v>
      </c>
      <c r="T1208" s="59">
        <v>4</v>
      </c>
      <c r="U1208" s="59">
        <v>1</v>
      </c>
      <c r="V1208" s="59">
        <v>76</v>
      </c>
      <c r="W1208" s="59">
        <v>3</v>
      </c>
      <c r="X1208" s="59">
        <v>1</v>
      </c>
      <c r="Y1208" s="59">
        <v>3</v>
      </c>
      <c r="Z1208" s="59">
        <f t="shared" si="351"/>
        <v>0</v>
      </c>
      <c r="AA1208" s="59">
        <f>IF('Updated Dummy'!Y1208=2,1,0)</f>
        <v>0</v>
      </c>
      <c r="AB1208" s="59">
        <f t="shared" si="352"/>
        <v>1</v>
      </c>
      <c r="AC1208" s="59">
        <f t="shared" si="353"/>
        <v>0</v>
      </c>
      <c r="AD1208" s="59">
        <f t="shared" si="354"/>
        <v>0</v>
      </c>
      <c r="AE1208" s="59">
        <f t="shared" si="355"/>
        <v>0</v>
      </c>
      <c r="AF1208" s="59">
        <f t="shared" si="356"/>
        <v>0</v>
      </c>
      <c r="AG1208" s="59">
        <f t="shared" si="357"/>
        <v>0</v>
      </c>
      <c r="AH1208" s="59">
        <v>4</v>
      </c>
      <c r="AI1208" s="59">
        <v>1</v>
      </c>
      <c r="AJ1208" s="59">
        <f t="shared" si="358"/>
        <v>1</v>
      </c>
      <c r="AK1208" s="59">
        <f t="shared" si="359"/>
        <v>0</v>
      </c>
      <c r="AL1208" s="59">
        <v>2570</v>
      </c>
      <c r="AM1208" s="59">
        <v>11925</v>
      </c>
      <c r="AN1208" s="59">
        <v>1</v>
      </c>
      <c r="AO1208" s="59">
        <v>0</v>
      </c>
      <c r="AP1208" s="59">
        <v>20</v>
      </c>
      <c r="AQ1208" s="59">
        <v>4</v>
      </c>
      <c r="AR1208" s="59">
        <v>3</v>
      </c>
      <c r="AS1208" s="59">
        <v>80</v>
      </c>
      <c r="AT1208" s="59">
        <v>0</v>
      </c>
      <c r="AU1208" s="59">
        <v>7</v>
      </c>
      <c r="AV1208" s="59">
        <v>5</v>
      </c>
      <c r="AW1208" s="59">
        <v>3</v>
      </c>
      <c r="AX1208" s="59">
        <v>7</v>
      </c>
      <c r="AY1208" s="59">
        <v>7</v>
      </c>
      <c r="AZ1208" s="59">
        <v>5</v>
      </c>
      <c r="BA1208" s="59">
        <v>7</v>
      </c>
      <c r="BB1208" s="57">
        <f t="shared" si="360"/>
        <v>2570</v>
      </c>
    </row>
    <row r="1209" spans="1:54" x14ac:dyDescent="0.25">
      <c r="A1209" s="58">
        <v>55</v>
      </c>
      <c r="B1209" s="59">
        <v>0</v>
      </c>
      <c r="C1209" s="59">
        <v>1</v>
      </c>
      <c r="D1209" s="59">
        <f t="shared" si="342"/>
        <v>1</v>
      </c>
      <c r="E1209" s="59">
        <f t="shared" si="343"/>
        <v>0</v>
      </c>
      <c r="F1209" s="59">
        <v>1441</v>
      </c>
      <c r="G1209" s="59">
        <v>2</v>
      </c>
      <c r="H1209" s="59">
        <f t="shared" si="344"/>
        <v>0</v>
      </c>
      <c r="I1209" s="59">
        <f t="shared" si="345"/>
        <v>1</v>
      </c>
      <c r="J1209" s="59">
        <v>22</v>
      </c>
      <c r="K1209" s="59">
        <v>3</v>
      </c>
      <c r="L1209" s="59">
        <v>5</v>
      </c>
      <c r="M1209" s="59">
        <f t="shared" si="346"/>
        <v>0</v>
      </c>
      <c r="N1209" s="59">
        <f t="shared" si="347"/>
        <v>0</v>
      </c>
      <c r="O1209" s="59">
        <f t="shared" si="348"/>
        <v>0</v>
      </c>
      <c r="P1209" s="59">
        <f t="shared" si="349"/>
        <v>0</v>
      </c>
      <c r="Q1209" s="59">
        <f t="shared" si="350"/>
        <v>1</v>
      </c>
      <c r="R1209" s="59">
        <v>1</v>
      </c>
      <c r="S1209" s="59">
        <v>1694</v>
      </c>
      <c r="T1209" s="59">
        <v>1</v>
      </c>
      <c r="U1209" s="59">
        <v>1</v>
      </c>
      <c r="V1209" s="59">
        <v>94</v>
      </c>
      <c r="W1209" s="59">
        <v>2</v>
      </c>
      <c r="X1209" s="59">
        <v>1</v>
      </c>
      <c r="Y1209" s="59">
        <v>2</v>
      </c>
      <c r="Z1209" s="59">
        <f t="shared" si="351"/>
        <v>0</v>
      </c>
      <c r="AA1209" s="59">
        <f>IF('Updated Dummy'!Y1209=2,1,0)</f>
        <v>1</v>
      </c>
      <c r="AB1209" s="59">
        <f t="shared" si="352"/>
        <v>0</v>
      </c>
      <c r="AC1209" s="59">
        <f t="shared" si="353"/>
        <v>0</v>
      </c>
      <c r="AD1209" s="59">
        <f t="shared" si="354"/>
        <v>0</v>
      </c>
      <c r="AE1209" s="59">
        <f t="shared" si="355"/>
        <v>0</v>
      </c>
      <c r="AF1209" s="59">
        <f t="shared" si="356"/>
        <v>0</v>
      </c>
      <c r="AG1209" s="59">
        <f t="shared" si="357"/>
        <v>0</v>
      </c>
      <c r="AH1209" s="59">
        <v>2</v>
      </c>
      <c r="AI1209" s="59">
        <v>3</v>
      </c>
      <c r="AJ1209" s="59">
        <f t="shared" si="358"/>
        <v>0</v>
      </c>
      <c r="AK1209" s="59">
        <f t="shared" si="359"/>
        <v>0</v>
      </c>
      <c r="AL1209" s="59">
        <v>3537</v>
      </c>
      <c r="AM1209" s="59">
        <v>23737</v>
      </c>
      <c r="AN1209" s="59">
        <v>5</v>
      </c>
      <c r="AO1209" s="59">
        <v>0</v>
      </c>
      <c r="AP1209" s="59">
        <v>12</v>
      </c>
      <c r="AQ1209" s="59">
        <v>3</v>
      </c>
      <c r="AR1209" s="59">
        <v>4</v>
      </c>
      <c r="AS1209" s="59">
        <v>80</v>
      </c>
      <c r="AT1209" s="59">
        <v>1</v>
      </c>
      <c r="AU1209" s="59">
        <v>8</v>
      </c>
      <c r="AV1209" s="59">
        <v>1</v>
      </c>
      <c r="AW1209" s="59">
        <v>3</v>
      </c>
      <c r="AX1209" s="59">
        <v>4</v>
      </c>
      <c r="AY1209" s="59">
        <v>2</v>
      </c>
      <c r="AZ1209" s="59">
        <v>1</v>
      </c>
      <c r="BA1209" s="59">
        <v>2</v>
      </c>
      <c r="BB1209" s="57">
        <f t="shared" si="360"/>
        <v>3537</v>
      </c>
    </row>
    <row r="1210" spans="1:54" x14ac:dyDescent="0.25">
      <c r="A1210" s="58">
        <v>34</v>
      </c>
      <c r="B1210" s="59">
        <v>0</v>
      </c>
      <c r="C1210" s="59">
        <v>1</v>
      </c>
      <c r="D1210" s="59">
        <f t="shared" si="342"/>
        <v>1</v>
      </c>
      <c r="E1210" s="59">
        <f t="shared" si="343"/>
        <v>0</v>
      </c>
      <c r="F1210" s="59">
        <v>1157</v>
      </c>
      <c r="G1210" s="59">
        <v>2</v>
      </c>
      <c r="H1210" s="59">
        <f t="shared" si="344"/>
        <v>0</v>
      </c>
      <c r="I1210" s="59">
        <f t="shared" si="345"/>
        <v>1</v>
      </c>
      <c r="J1210" s="59">
        <v>5</v>
      </c>
      <c r="K1210" s="59">
        <v>2</v>
      </c>
      <c r="L1210" s="59">
        <v>3</v>
      </c>
      <c r="M1210" s="59">
        <f t="shared" si="346"/>
        <v>0</v>
      </c>
      <c r="N1210" s="59">
        <f t="shared" si="347"/>
        <v>0</v>
      </c>
      <c r="O1210" s="59">
        <f t="shared" si="348"/>
        <v>1</v>
      </c>
      <c r="P1210" s="59">
        <f t="shared" si="349"/>
        <v>0</v>
      </c>
      <c r="Q1210" s="59">
        <f t="shared" si="350"/>
        <v>0</v>
      </c>
      <c r="R1210" s="59">
        <v>1</v>
      </c>
      <c r="S1210" s="59">
        <v>1696</v>
      </c>
      <c r="T1210" s="59">
        <v>2</v>
      </c>
      <c r="U1210" s="59">
        <v>1</v>
      </c>
      <c r="V1210" s="59">
        <v>57</v>
      </c>
      <c r="W1210" s="59">
        <v>2</v>
      </c>
      <c r="X1210" s="59">
        <v>2</v>
      </c>
      <c r="Y1210" s="59">
        <v>3</v>
      </c>
      <c r="Z1210" s="59">
        <f t="shared" si="351"/>
        <v>0</v>
      </c>
      <c r="AA1210" s="59">
        <f>IF('Updated Dummy'!Y1210=2,1,0)</f>
        <v>0</v>
      </c>
      <c r="AB1210" s="59">
        <f t="shared" si="352"/>
        <v>1</v>
      </c>
      <c r="AC1210" s="59">
        <f t="shared" si="353"/>
        <v>0</v>
      </c>
      <c r="AD1210" s="59">
        <f t="shared" si="354"/>
        <v>0</v>
      </c>
      <c r="AE1210" s="59">
        <f t="shared" si="355"/>
        <v>0</v>
      </c>
      <c r="AF1210" s="59">
        <f t="shared" si="356"/>
        <v>0</v>
      </c>
      <c r="AG1210" s="59">
        <f t="shared" si="357"/>
        <v>0</v>
      </c>
      <c r="AH1210" s="59">
        <v>4</v>
      </c>
      <c r="AI1210" s="59">
        <v>2</v>
      </c>
      <c r="AJ1210" s="59">
        <f t="shared" si="358"/>
        <v>0</v>
      </c>
      <c r="AK1210" s="59">
        <f t="shared" si="359"/>
        <v>1</v>
      </c>
      <c r="AL1210" s="59">
        <v>3986</v>
      </c>
      <c r="AM1210" s="59">
        <v>11912</v>
      </c>
      <c r="AN1210" s="59">
        <v>1</v>
      </c>
      <c r="AO1210" s="59">
        <v>0</v>
      </c>
      <c r="AP1210" s="59">
        <v>14</v>
      </c>
      <c r="AQ1210" s="59">
        <v>3</v>
      </c>
      <c r="AR1210" s="59">
        <v>3</v>
      </c>
      <c r="AS1210" s="59">
        <v>80</v>
      </c>
      <c r="AT1210" s="59">
        <v>1</v>
      </c>
      <c r="AU1210" s="59">
        <v>15</v>
      </c>
      <c r="AV1210" s="59">
        <v>3</v>
      </c>
      <c r="AW1210" s="59">
        <v>4</v>
      </c>
      <c r="AX1210" s="59">
        <v>15</v>
      </c>
      <c r="AY1210" s="59">
        <v>10</v>
      </c>
      <c r="AZ1210" s="59">
        <v>4</v>
      </c>
      <c r="BA1210" s="59">
        <v>13</v>
      </c>
      <c r="BB1210" s="57">
        <f t="shared" si="360"/>
        <v>7972</v>
      </c>
    </row>
    <row r="1211" spans="1:54" x14ac:dyDescent="0.25">
      <c r="A1211" s="58">
        <v>60</v>
      </c>
      <c r="B1211" s="59">
        <v>0</v>
      </c>
      <c r="C1211" s="59">
        <v>1</v>
      </c>
      <c r="D1211" s="59">
        <f t="shared" si="342"/>
        <v>1</v>
      </c>
      <c r="E1211" s="59">
        <f t="shared" si="343"/>
        <v>0</v>
      </c>
      <c r="F1211" s="59">
        <v>370</v>
      </c>
      <c r="G1211" s="59">
        <v>2</v>
      </c>
      <c r="H1211" s="59">
        <f t="shared" si="344"/>
        <v>0</v>
      </c>
      <c r="I1211" s="59">
        <f t="shared" si="345"/>
        <v>1</v>
      </c>
      <c r="J1211" s="59">
        <v>1</v>
      </c>
      <c r="K1211" s="59">
        <v>4</v>
      </c>
      <c r="L1211" s="59">
        <v>3</v>
      </c>
      <c r="M1211" s="59">
        <f t="shared" si="346"/>
        <v>0</v>
      </c>
      <c r="N1211" s="59">
        <f t="shared" si="347"/>
        <v>0</v>
      </c>
      <c r="O1211" s="59">
        <f t="shared" si="348"/>
        <v>1</v>
      </c>
      <c r="P1211" s="59">
        <f t="shared" si="349"/>
        <v>0</v>
      </c>
      <c r="Q1211" s="59">
        <f t="shared" si="350"/>
        <v>0</v>
      </c>
      <c r="R1211" s="59">
        <v>1</v>
      </c>
      <c r="S1211" s="59">
        <v>1697</v>
      </c>
      <c r="T1211" s="59">
        <v>3</v>
      </c>
      <c r="U1211" s="59">
        <v>1</v>
      </c>
      <c r="V1211" s="59">
        <v>92</v>
      </c>
      <c r="W1211" s="59">
        <v>1</v>
      </c>
      <c r="X1211" s="59">
        <v>3</v>
      </c>
      <c r="Y1211" s="59">
        <v>5</v>
      </c>
      <c r="Z1211" s="59">
        <f t="shared" si="351"/>
        <v>0</v>
      </c>
      <c r="AA1211" s="59">
        <f>IF('Updated Dummy'!Y1211=2,1,0)</f>
        <v>0</v>
      </c>
      <c r="AB1211" s="59">
        <f t="shared" si="352"/>
        <v>0</v>
      </c>
      <c r="AC1211" s="59">
        <f t="shared" si="353"/>
        <v>0</v>
      </c>
      <c r="AD1211" s="59">
        <f t="shared" si="354"/>
        <v>1</v>
      </c>
      <c r="AE1211" s="59">
        <f t="shared" si="355"/>
        <v>0</v>
      </c>
      <c r="AF1211" s="59">
        <f t="shared" si="356"/>
        <v>0</v>
      </c>
      <c r="AG1211" s="59">
        <f t="shared" si="357"/>
        <v>0</v>
      </c>
      <c r="AH1211" s="59">
        <v>4</v>
      </c>
      <c r="AI1211" s="59">
        <v>3</v>
      </c>
      <c r="AJ1211" s="59">
        <f t="shared" si="358"/>
        <v>0</v>
      </c>
      <c r="AK1211" s="59">
        <f t="shared" si="359"/>
        <v>0</v>
      </c>
      <c r="AL1211" s="59">
        <v>10883</v>
      </c>
      <c r="AM1211" s="59">
        <v>20467</v>
      </c>
      <c r="AN1211" s="59">
        <v>3</v>
      </c>
      <c r="AO1211" s="59">
        <v>0</v>
      </c>
      <c r="AP1211" s="59">
        <v>20</v>
      </c>
      <c r="AQ1211" s="59">
        <v>4</v>
      </c>
      <c r="AR1211" s="59">
        <v>3</v>
      </c>
      <c r="AS1211" s="59">
        <v>80</v>
      </c>
      <c r="AT1211" s="59">
        <v>1</v>
      </c>
      <c r="AU1211" s="59">
        <v>19</v>
      </c>
      <c r="AV1211" s="59">
        <v>2</v>
      </c>
      <c r="AW1211" s="59">
        <v>4</v>
      </c>
      <c r="AX1211" s="59">
        <v>1</v>
      </c>
      <c r="AY1211" s="59">
        <v>0</v>
      </c>
      <c r="AZ1211" s="59">
        <v>0</v>
      </c>
      <c r="BA1211" s="59">
        <v>0</v>
      </c>
      <c r="BB1211" s="57">
        <f t="shared" si="360"/>
        <v>32649</v>
      </c>
    </row>
    <row r="1212" spans="1:54" x14ac:dyDescent="0.25">
      <c r="A1212" s="58">
        <v>33</v>
      </c>
      <c r="B1212" s="59">
        <v>0</v>
      </c>
      <c r="C1212" s="59">
        <v>1</v>
      </c>
      <c r="D1212" s="59">
        <f t="shared" si="342"/>
        <v>1</v>
      </c>
      <c r="E1212" s="59">
        <f t="shared" si="343"/>
        <v>0</v>
      </c>
      <c r="F1212" s="59">
        <v>267</v>
      </c>
      <c r="G1212" s="59">
        <v>2</v>
      </c>
      <c r="H1212" s="59">
        <f t="shared" si="344"/>
        <v>0</v>
      </c>
      <c r="I1212" s="59">
        <f t="shared" si="345"/>
        <v>1</v>
      </c>
      <c r="J1212" s="59">
        <v>21</v>
      </c>
      <c r="K1212" s="59">
        <v>3</v>
      </c>
      <c r="L1212" s="59">
        <v>3</v>
      </c>
      <c r="M1212" s="59">
        <f t="shared" si="346"/>
        <v>0</v>
      </c>
      <c r="N1212" s="59">
        <f t="shared" si="347"/>
        <v>0</v>
      </c>
      <c r="O1212" s="59">
        <f t="shared" si="348"/>
        <v>1</v>
      </c>
      <c r="P1212" s="59">
        <f t="shared" si="349"/>
        <v>0</v>
      </c>
      <c r="Q1212" s="59">
        <f t="shared" si="350"/>
        <v>0</v>
      </c>
      <c r="R1212" s="59">
        <v>1</v>
      </c>
      <c r="S1212" s="59">
        <v>1698</v>
      </c>
      <c r="T1212" s="59">
        <v>2</v>
      </c>
      <c r="U1212" s="59">
        <v>1</v>
      </c>
      <c r="V1212" s="59">
        <v>79</v>
      </c>
      <c r="W1212" s="59">
        <v>4</v>
      </c>
      <c r="X1212" s="59">
        <v>1</v>
      </c>
      <c r="Y1212" s="59">
        <v>3</v>
      </c>
      <c r="Z1212" s="59">
        <f t="shared" si="351"/>
        <v>0</v>
      </c>
      <c r="AA1212" s="59">
        <f>IF('Updated Dummy'!Y1212=2,1,0)</f>
        <v>0</v>
      </c>
      <c r="AB1212" s="59">
        <f t="shared" si="352"/>
        <v>1</v>
      </c>
      <c r="AC1212" s="59">
        <f t="shared" si="353"/>
        <v>0</v>
      </c>
      <c r="AD1212" s="59">
        <f t="shared" si="354"/>
        <v>0</v>
      </c>
      <c r="AE1212" s="59">
        <f t="shared" si="355"/>
        <v>0</v>
      </c>
      <c r="AF1212" s="59">
        <f t="shared" si="356"/>
        <v>0</v>
      </c>
      <c r="AG1212" s="59">
        <f t="shared" si="357"/>
        <v>0</v>
      </c>
      <c r="AH1212" s="59">
        <v>2</v>
      </c>
      <c r="AI1212" s="59">
        <v>2</v>
      </c>
      <c r="AJ1212" s="59">
        <f t="shared" si="358"/>
        <v>0</v>
      </c>
      <c r="AK1212" s="59">
        <f t="shared" si="359"/>
        <v>1</v>
      </c>
      <c r="AL1212" s="59">
        <v>2028</v>
      </c>
      <c r="AM1212" s="59">
        <v>13637</v>
      </c>
      <c r="AN1212" s="59">
        <v>1</v>
      </c>
      <c r="AO1212" s="59">
        <v>0</v>
      </c>
      <c r="AP1212" s="59">
        <v>18</v>
      </c>
      <c r="AQ1212" s="59">
        <v>3</v>
      </c>
      <c r="AR1212" s="59">
        <v>4</v>
      </c>
      <c r="AS1212" s="59">
        <v>80</v>
      </c>
      <c r="AT1212" s="59">
        <v>3</v>
      </c>
      <c r="AU1212" s="59">
        <v>14</v>
      </c>
      <c r="AV1212" s="59">
        <v>6</v>
      </c>
      <c r="AW1212" s="59">
        <v>3</v>
      </c>
      <c r="AX1212" s="59">
        <v>14</v>
      </c>
      <c r="AY1212" s="59">
        <v>11</v>
      </c>
      <c r="AZ1212" s="59">
        <v>2</v>
      </c>
      <c r="BA1212" s="59">
        <v>13</v>
      </c>
      <c r="BB1212" s="57">
        <f t="shared" si="360"/>
        <v>2028</v>
      </c>
    </row>
    <row r="1213" spans="1:54" x14ac:dyDescent="0.25">
      <c r="A1213" s="58">
        <v>37</v>
      </c>
      <c r="B1213" s="59">
        <v>0</v>
      </c>
      <c r="C1213" s="59">
        <v>2</v>
      </c>
      <c r="D1213" s="59">
        <f t="shared" si="342"/>
        <v>0</v>
      </c>
      <c r="E1213" s="59">
        <f t="shared" si="343"/>
        <v>1</v>
      </c>
      <c r="F1213" s="59">
        <v>1278</v>
      </c>
      <c r="G1213" s="59">
        <v>1</v>
      </c>
      <c r="H1213" s="59">
        <f t="shared" si="344"/>
        <v>1</v>
      </c>
      <c r="I1213" s="59">
        <f t="shared" si="345"/>
        <v>0</v>
      </c>
      <c r="J1213" s="59">
        <v>1</v>
      </c>
      <c r="K1213" s="59">
        <v>4</v>
      </c>
      <c r="L1213" s="59">
        <v>3</v>
      </c>
      <c r="M1213" s="59">
        <f t="shared" si="346"/>
        <v>0</v>
      </c>
      <c r="N1213" s="59">
        <f t="shared" si="347"/>
        <v>0</v>
      </c>
      <c r="O1213" s="59">
        <f t="shared" si="348"/>
        <v>1</v>
      </c>
      <c r="P1213" s="59">
        <f t="shared" si="349"/>
        <v>0</v>
      </c>
      <c r="Q1213" s="59">
        <f t="shared" si="350"/>
        <v>0</v>
      </c>
      <c r="R1213" s="59">
        <v>1</v>
      </c>
      <c r="S1213" s="59">
        <v>1700</v>
      </c>
      <c r="T1213" s="59">
        <v>3</v>
      </c>
      <c r="U1213" s="59">
        <v>1</v>
      </c>
      <c r="V1213" s="59">
        <v>31</v>
      </c>
      <c r="W1213" s="59">
        <v>1</v>
      </c>
      <c r="X1213" s="59">
        <v>2</v>
      </c>
      <c r="Y1213" s="59">
        <v>1</v>
      </c>
      <c r="Z1213" s="59">
        <f t="shared" si="351"/>
        <v>1</v>
      </c>
      <c r="AA1213" s="59">
        <f>IF('Updated Dummy'!Y1213=2,1,0)</f>
        <v>0</v>
      </c>
      <c r="AB1213" s="59">
        <f t="shared" si="352"/>
        <v>0</v>
      </c>
      <c r="AC1213" s="59">
        <f t="shared" si="353"/>
        <v>0</v>
      </c>
      <c r="AD1213" s="59">
        <f t="shared" si="354"/>
        <v>0</v>
      </c>
      <c r="AE1213" s="59">
        <f t="shared" si="355"/>
        <v>0</v>
      </c>
      <c r="AF1213" s="59">
        <f t="shared" si="356"/>
        <v>0</v>
      </c>
      <c r="AG1213" s="59">
        <f t="shared" si="357"/>
        <v>0</v>
      </c>
      <c r="AH1213" s="59">
        <v>4</v>
      </c>
      <c r="AI1213" s="59">
        <v>3</v>
      </c>
      <c r="AJ1213" s="59">
        <f t="shared" si="358"/>
        <v>0</v>
      </c>
      <c r="AK1213" s="59">
        <f t="shared" si="359"/>
        <v>0</v>
      </c>
      <c r="AL1213" s="59">
        <v>9525</v>
      </c>
      <c r="AM1213" s="59">
        <v>7677</v>
      </c>
      <c r="AN1213" s="59">
        <v>1</v>
      </c>
      <c r="AO1213" s="59">
        <v>0</v>
      </c>
      <c r="AP1213" s="59">
        <v>14</v>
      </c>
      <c r="AQ1213" s="59">
        <v>3</v>
      </c>
      <c r="AR1213" s="59">
        <v>3</v>
      </c>
      <c r="AS1213" s="59">
        <v>80</v>
      </c>
      <c r="AT1213" s="59">
        <v>2</v>
      </c>
      <c r="AU1213" s="59">
        <v>6</v>
      </c>
      <c r="AV1213" s="59">
        <v>2</v>
      </c>
      <c r="AW1213" s="59">
        <v>2</v>
      </c>
      <c r="AX1213" s="59">
        <v>6</v>
      </c>
      <c r="AY1213" s="59">
        <v>3</v>
      </c>
      <c r="AZ1213" s="59">
        <v>1</v>
      </c>
      <c r="BA1213" s="59">
        <v>3</v>
      </c>
      <c r="BB1213" s="57">
        <f t="shared" si="360"/>
        <v>19050</v>
      </c>
    </row>
    <row r="1214" spans="1:54" x14ac:dyDescent="0.25">
      <c r="A1214" s="58">
        <v>34</v>
      </c>
      <c r="B1214" s="59">
        <v>0</v>
      </c>
      <c r="C1214" s="59">
        <v>1</v>
      </c>
      <c r="D1214" s="59">
        <f t="shared" si="342"/>
        <v>1</v>
      </c>
      <c r="E1214" s="59">
        <f t="shared" si="343"/>
        <v>0</v>
      </c>
      <c r="F1214" s="59">
        <v>678</v>
      </c>
      <c r="G1214" s="59">
        <v>2</v>
      </c>
      <c r="H1214" s="59">
        <f t="shared" si="344"/>
        <v>0</v>
      </c>
      <c r="I1214" s="59">
        <f t="shared" si="345"/>
        <v>1</v>
      </c>
      <c r="J1214" s="59">
        <v>19</v>
      </c>
      <c r="K1214" s="59">
        <v>3</v>
      </c>
      <c r="L1214" s="59">
        <v>1</v>
      </c>
      <c r="M1214" s="59">
        <f t="shared" si="346"/>
        <v>1</v>
      </c>
      <c r="N1214" s="59">
        <f t="shared" si="347"/>
        <v>0</v>
      </c>
      <c r="O1214" s="59">
        <f t="shared" si="348"/>
        <v>0</v>
      </c>
      <c r="P1214" s="59">
        <f t="shared" si="349"/>
        <v>0</v>
      </c>
      <c r="Q1214" s="59">
        <f t="shared" si="350"/>
        <v>0</v>
      </c>
      <c r="R1214" s="59">
        <v>1</v>
      </c>
      <c r="S1214" s="59">
        <v>1701</v>
      </c>
      <c r="T1214" s="59">
        <v>2</v>
      </c>
      <c r="U1214" s="59">
        <v>0</v>
      </c>
      <c r="V1214" s="59">
        <v>35</v>
      </c>
      <c r="W1214" s="59">
        <v>2</v>
      </c>
      <c r="X1214" s="59">
        <v>1</v>
      </c>
      <c r="Y1214" s="59">
        <v>2</v>
      </c>
      <c r="Z1214" s="59">
        <f t="shared" si="351"/>
        <v>0</v>
      </c>
      <c r="AA1214" s="59">
        <f>IF('Updated Dummy'!Y1214=2,1,0)</f>
        <v>1</v>
      </c>
      <c r="AB1214" s="59">
        <f t="shared" si="352"/>
        <v>0</v>
      </c>
      <c r="AC1214" s="59">
        <f t="shared" si="353"/>
        <v>0</v>
      </c>
      <c r="AD1214" s="59">
        <f t="shared" si="354"/>
        <v>0</v>
      </c>
      <c r="AE1214" s="59">
        <f t="shared" si="355"/>
        <v>0</v>
      </c>
      <c r="AF1214" s="59">
        <f t="shared" si="356"/>
        <v>0</v>
      </c>
      <c r="AG1214" s="59">
        <f t="shared" si="357"/>
        <v>0</v>
      </c>
      <c r="AH1214" s="59">
        <v>4</v>
      </c>
      <c r="AI1214" s="59">
        <v>2</v>
      </c>
      <c r="AJ1214" s="59">
        <f t="shared" si="358"/>
        <v>0</v>
      </c>
      <c r="AK1214" s="59">
        <f t="shared" si="359"/>
        <v>1</v>
      </c>
      <c r="AL1214" s="59">
        <v>2929</v>
      </c>
      <c r="AM1214" s="59">
        <v>20338</v>
      </c>
      <c r="AN1214" s="59">
        <v>1</v>
      </c>
      <c r="AO1214" s="59">
        <v>0</v>
      </c>
      <c r="AP1214" s="59">
        <v>12</v>
      </c>
      <c r="AQ1214" s="59">
        <v>3</v>
      </c>
      <c r="AR1214" s="59">
        <v>2</v>
      </c>
      <c r="AS1214" s="59">
        <v>80</v>
      </c>
      <c r="AT1214" s="59">
        <v>0</v>
      </c>
      <c r="AU1214" s="59">
        <v>10</v>
      </c>
      <c r="AV1214" s="59">
        <v>3</v>
      </c>
      <c r="AW1214" s="59">
        <v>3</v>
      </c>
      <c r="AX1214" s="59">
        <v>10</v>
      </c>
      <c r="AY1214" s="59">
        <v>9</v>
      </c>
      <c r="AZ1214" s="59">
        <v>8</v>
      </c>
      <c r="BA1214" s="59">
        <v>7</v>
      </c>
      <c r="BB1214" s="57">
        <f t="shared" si="360"/>
        <v>2929</v>
      </c>
    </row>
    <row r="1215" spans="1:54" x14ac:dyDescent="0.25">
      <c r="A1215" s="58">
        <v>23</v>
      </c>
      <c r="B1215" s="59">
        <v>1</v>
      </c>
      <c r="C1215" s="59">
        <v>1</v>
      </c>
      <c r="D1215" s="59">
        <f t="shared" si="342"/>
        <v>1</v>
      </c>
      <c r="E1215" s="59">
        <f t="shared" si="343"/>
        <v>0</v>
      </c>
      <c r="F1215" s="59">
        <v>427</v>
      </c>
      <c r="G1215" s="59">
        <v>1</v>
      </c>
      <c r="H1215" s="59">
        <f t="shared" si="344"/>
        <v>1</v>
      </c>
      <c r="I1215" s="59">
        <f t="shared" si="345"/>
        <v>0</v>
      </c>
      <c r="J1215" s="59">
        <v>7</v>
      </c>
      <c r="K1215" s="59">
        <v>3</v>
      </c>
      <c r="L1215" s="59">
        <v>1</v>
      </c>
      <c r="M1215" s="59">
        <f t="shared" si="346"/>
        <v>1</v>
      </c>
      <c r="N1215" s="59">
        <f t="shared" si="347"/>
        <v>0</v>
      </c>
      <c r="O1215" s="59">
        <f t="shared" si="348"/>
        <v>0</v>
      </c>
      <c r="P1215" s="59">
        <f t="shared" si="349"/>
        <v>0</v>
      </c>
      <c r="Q1215" s="59">
        <f t="shared" si="350"/>
        <v>0</v>
      </c>
      <c r="R1215" s="59">
        <v>1</v>
      </c>
      <c r="S1215" s="59">
        <v>1702</v>
      </c>
      <c r="T1215" s="59">
        <v>3</v>
      </c>
      <c r="U1215" s="59">
        <v>1</v>
      </c>
      <c r="V1215" s="59">
        <v>99</v>
      </c>
      <c r="W1215" s="59">
        <v>3</v>
      </c>
      <c r="X1215" s="59">
        <v>1</v>
      </c>
      <c r="Y1215" s="59">
        <v>7</v>
      </c>
      <c r="Z1215" s="59">
        <f t="shared" si="351"/>
        <v>0</v>
      </c>
      <c r="AA1215" s="59">
        <f>IF('Updated Dummy'!Y1215=2,1,0)</f>
        <v>0</v>
      </c>
      <c r="AB1215" s="59">
        <f t="shared" si="352"/>
        <v>0</v>
      </c>
      <c r="AC1215" s="59">
        <f t="shared" si="353"/>
        <v>0</v>
      </c>
      <c r="AD1215" s="59">
        <f t="shared" si="354"/>
        <v>0</v>
      </c>
      <c r="AE1215" s="59">
        <f t="shared" si="355"/>
        <v>0</v>
      </c>
      <c r="AF1215" s="59">
        <f t="shared" si="356"/>
        <v>1</v>
      </c>
      <c r="AG1215" s="59">
        <f t="shared" si="357"/>
        <v>0</v>
      </c>
      <c r="AH1215" s="59">
        <v>4</v>
      </c>
      <c r="AI1215" s="59">
        <v>3</v>
      </c>
      <c r="AJ1215" s="59">
        <f t="shared" si="358"/>
        <v>0</v>
      </c>
      <c r="AK1215" s="59">
        <f t="shared" si="359"/>
        <v>0</v>
      </c>
      <c r="AL1215" s="59">
        <v>2275</v>
      </c>
      <c r="AM1215" s="59">
        <v>25103</v>
      </c>
      <c r="AN1215" s="59">
        <v>1</v>
      </c>
      <c r="AO1215" s="59">
        <v>1</v>
      </c>
      <c r="AP1215" s="59">
        <v>21</v>
      </c>
      <c r="AQ1215" s="59">
        <v>4</v>
      </c>
      <c r="AR1215" s="59">
        <v>2</v>
      </c>
      <c r="AS1215" s="59">
        <v>80</v>
      </c>
      <c r="AT1215" s="59">
        <v>1</v>
      </c>
      <c r="AU1215" s="59">
        <v>3</v>
      </c>
      <c r="AV1215" s="59">
        <v>2</v>
      </c>
      <c r="AW1215" s="59">
        <v>3</v>
      </c>
      <c r="AX1215" s="59">
        <v>3</v>
      </c>
      <c r="AY1215" s="59">
        <v>2</v>
      </c>
      <c r="AZ1215" s="59">
        <v>0</v>
      </c>
      <c r="BA1215" s="59">
        <v>2</v>
      </c>
      <c r="BB1215" s="57">
        <f t="shared" si="360"/>
        <v>2275</v>
      </c>
    </row>
    <row r="1216" spans="1:54" x14ac:dyDescent="0.25">
      <c r="A1216" s="58">
        <v>44</v>
      </c>
      <c r="B1216" s="59">
        <v>0</v>
      </c>
      <c r="C1216" s="59">
        <v>1</v>
      </c>
      <c r="D1216" s="59">
        <f t="shared" si="342"/>
        <v>1</v>
      </c>
      <c r="E1216" s="59">
        <f t="shared" si="343"/>
        <v>0</v>
      </c>
      <c r="F1216" s="59">
        <v>921</v>
      </c>
      <c r="G1216" s="59">
        <v>2</v>
      </c>
      <c r="H1216" s="59">
        <f t="shared" si="344"/>
        <v>0</v>
      </c>
      <c r="I1216" s="59">
        <f t="shared" si="345"/>
        <v>1</v>
      </c>
      <c r="J1216" s="59">
        <v>2</v>
      </c>
      <c r="K1216" s="59">
        <v>3</v>
      </c>
      <c r="L1216" s="59">
        <v>1</v>
      </c>
      <c r="M1216" s="59">
        <f t="shared" si="346"/>
        <v>1</v>
      </c>
      <c r="N1216" s="59">
        <f t="shared" si="347"/>
        <v>0</v>
      </c>
      <c r="O1216" s="59">
        <f t="shared" si="348"/>
        <v>0</v>
      </c>
      <c r="P1216" s="59">
        <f t="shared" si="349"/>
        <v>0</v>
      </c>
      <c r="Q1216" s="59">
        <f t="shared" si="350"/>
        <v>0</v>
      </c>
      <c r="R1216" s="59">
        <v>1</v>
      </c>
      <c r="S1216" s="59">
        <v>1703</v>
      </c>
      <c r="T1216" s="59">
        <v>3</v>
      </c>
      <c r="U1216" s="59">
        <v>0</v>
      </c>
      <c r="V1216" s="59">
        <v>96</v>
      </c>
      <c r="W1216" s="59">
        <v>4</v>
      </c>
      <c r="X1216" s="59">
        <v>3</v>
      </c>
      <c r="Y1216" s="59">
        <v>5</v>
      </c>
      <c r="Z1216" s="59">
        <f t="shared" si="351"/>
        <v>0</v>
      </c>
      <c r="AA1216" s="59">
        <f>IF('Updated Dummy'!Y1216=2,1,0)</f>
        <v>0</v>
      </c>
      <c r="AB1216" s="59">
        <f t="shared" si="352"/>
        <v>0</v>
      </c>
      <c r="AC1216" s="59">
        <f t="shared" si="353"/>
        <v>0</v>
      </c>
      <c r="AD1216" s="59">
        <f t="shared" si="354"/>
        <v>1</v>
      </c>
      <c r="AE1216" s="59">
        <f t="shared" si="355"/>
        <v>0</v>
      </c>
      <c r="AF1216" s="59">
        <f t="shared" si="356"/>
        <v>0</v>
      </c>
      <c r="AG1216" s="59">
        <f t="shared" si="357"/>
        <v>0</v>
      </c>
      <c r="AH1216" s="59">
        <v>4</v>
      </c>
      <c r="AI1216" s="59">
        <v>2</v>
      </c>
      <c r="AJ1216" s="59">
        <f t="shared" si="358"/>
        <v>0</v>
      </c>
      <c r="AK1216" s="59">
        <f t="shared" si="359"/>
        <v>1</v>
      </c>
      <c r="AL1216" s="59">
        <v>7879</v>
      </c>
      <c r="AM1216" s="59">
        <v>14810</v>
      </c>
      <c r="AN1216" s="59">
        <v>1</v>
      </c>
      <c r="AO1216" s="59">
        <v>1</v>
      </c>
      <c r="AP1216" s="59">
        <v>19</v>
      </c>
      <c r="AQ1216" s="59">
        <v>3</v>
      </c>
      <c r="AR1216" s="59">
        <v>2</v>
      </c>
      <c r="AS1216" s="59">
        <v>80</v>
      </c>
      <c r="AT1216" s="59">
        <v>1</v>
      </c>
      <c r="AU1216" s="59">
        <v>9</v>
      </c>
      <c r="AV1216" s="59">
        <v>2</v>
      </c>
      <c r="AW1216" s="59">
        <v>3</v>
      </c>
      <c r="AX1216" s="59">
        <v>8</v>
      </c>
      <c r="AY1216" s="59">
        <v>7</v>
      </c>
      <c r="AZ1216" s="59">
        <v>6</v>
      </c>
      <c r="BA1216" s="59">
        <v>7</v>
      </c>
      <c r="BB1216" s="57">
        <f t="shared" si="360"/>
        <v>23637</v>
      </c>
    </row>
    <row r="1217" spans="1:54" x14ac:dyDescent="0.25">
      <c r="A1217" s="58">
        <v>35</v>
      </c>
      <c r="B1217" s="59">
        <v>0</v>
      </c>
      <c r="C1217" s="59">
        <v>2</v>
      </c>
      <c r="D1217" s="59">
        <f t="shared" si="342"/>
        <v>0</v>
      </c>
      <c r="E1217" s="59">
        <f t="shared" si="343"/>
        <v>1</v>
      </c>
      <c r="F1217" s="59">
        <v>146</v>
      </c>
      <c r="G1217" s="59">
        <v>2</v>
      </c>
      <c r="H1217" s="59">
        <f t="shared" si="344"/>
        <v>0</v>
      </c>
      <c r="I1217" s="59">
        <f t="shared" si="345"/>
        <v>1</v>
      </c>
      <c r="J1217" s="59">
        <v>2</v>
      </c>
      <c r="K1217" s="59">
        <v>4</v>
      </c>
      <c r="L1217" s="59">
        <v>3</v>
      </c>
      <c r="M1217" s="59">
        <f t="shared" si="346"/>
        <v>0</v>
      </c>
      <c r="N1217" s="59">
        <f t="shared" si="347"/>
        <v>0</v>
      </c>
      <c r="O1217" s="59">
        <f t="shared" si="348"/>
        <v>1</v>
      </c>
      <c r="P1217" s="59">
        <f t="shared" si="349"/>
        <v>0</v>
      </c>
      <c r="Q1217" s="59">
        <f t="shared" si="350"/>
        <v>0</v>
      </c>
      <c r="R1217" s="59">
        <v>1</v>
      </c>
      <c r="S1217" s="59">
        <v>1704</v>
      </c>
      <c r="T1217" s="59">
        <v>1</v>
      </c>
      <c r="U1217" s="59">
        <v>1</v>
      </c>
      <c r="V1217" s="59">
        <v>79</v>
      </c>
      <c r="W1217" s="59">
        <v>2</v>
      </c>
      <c r="X1217" s="59">
        <v>1</v>
      </c>
      <c r="Y1217" s="59">
        <v>2</v>
      </c>
      <c r="Z1217" s="59">
        <f t="shared" si="351"/>
        <v>0</v>
      </c>
      <c r="AA1217" s="59">
        <f>IF('Updated Dummy'!Y1217=2,1,0)</f>
        <v>1</v>
      </c>
      <c r="AB1217" s="59">
        <f t="shared" si="352"/>
        <v>0</v>
      </c>
      <c r="AC1217" s="59">
        <f t="shared" si="353"/>
        <v>0</v>
      </c>
      <c r="AD1217" s="59">
        <f t="shared" si="354"/>
        <v>0</v>
      </c>
      <c r="AE1217" s="59">
        <f t="shared" si="355"/>
        <v>0</v>
      </c>
      <c r="AF1217" s="59">
        <f t="shared" si="356"/>
        <v>0</v>
      </c>
      <c r="AG1217" s="59">
        <f t="shared" si="357"/>
        <v>0</v>
      </c>
      <c r="AH1217" s="59">
        <v>4</v>
      </c>
      <c r="AI1217" s="59">
        <v>1</v>
      </c>
      <c r="AJ1217" s="59">
        <f t="shared" si="358"/>
        <v>1</v>
      </c>
      <c r="AK1217" s="59">
        <f t="shared" si="359"/>
        <v>0</v>
      </c>
      <c r="AL1217" s="59">
        <v>4930</v>
      </c>
      <c r="AM1217" s="59">
        <v>13970</v>
      </c>
      <c r="AN1217" s="59">
        <v>0</v>
      </c>
      <c r="AO1217" s="59">
        <v>1</v>
      </c>
      <c r="AP1217" s="59">
        <v>14</v>
      </c>
      <c r="AQ1217" s="59">
        <v>3</v>
      </c>
      <c r="AR1217" s="59">
        <v>3</v>
      </c>
      <c r="AS1217" s="59">
        <v>80</v>
      </c>
      <c r="AT1217" s="59">
        <v>0</v>
      </c>
      <c r="AU1217" s="59">
        <v>6</v>
      </c>
      <c r="AV1217" s="59">
        <v>2</v>
      </c>
      <c r="AW1217" s="59">
        <v>4</v>
      </c>
      <c r="AX1217" s="59">
        <v>5</v>
      </c>
      <c r="AY1217" s="59">
        <v>4</v>
      </c>
      <c r="AZ1217" s="59">
        <v>1</v>
      </c>
      <c r="BA1217" s="59">
        <v>4</v>
      </c>
      <c r="BB1217" s="57">
        <f t="shared" si="360"/>
        <v>4930</v>
      </c>
    </row>
    <row r="1218" spans="1:54" x14ac:dyDescent="0.25">
      <c r="A1218" s="58">
        <v>43</v>
      </c>
      <c r="B1218" s="59">
        <v>0</v>
      </c>
      <c r="C1218" s="59">
        <v>1</v>
      </c>
      <c r="D1218" s="59">
        <f t="shared" si="342"/>
        <v>1</v>
      </c>
      <c r="E1218" s="59">
        <f t="shared" si="343"/>
        <v>0</v>
      </c>
      <c r="F1218" s="59">
        <v>1179</v>
      </c>
      <c r="G1218" s="59">
        <v>1</v>
      </c>
      <c r="H1218" s="59">
        <f t="shared" si="344"/>
        <v>1</v>
      </c>
      <c r="I1218" s="59">
        <f t="shared" si="345"/>
        <v>0</v>
      </c>
      <c r="J1218" s="59">
        <v>2</v>
      </c>
      <c r="K1218" s="59">
        <v>3</v>
      </c>
      <c r="L1218" s="59">
        <v>3</v>
      </c>
      <c r="M1218" s="59">
        <f t="shared" si="346"/>
        <v>0</v>
      </c>
      <c r="N1218" s="59">
        <f t="shared" si="347"/>
        <v>0</v>
      </c>
      <c r="O1218" s="59">
        <f t="shared" si="348"/>
        <v>1</v>
      </c>
      <c r="P1218" s="59">
        <f t="shared" si="349"/>
        <v>0</v>
      </c>
      <c r="Q1218" s="59">
        <f t="shared" si="350"/>
        <v>0</v>
      </c>
      <c r="R1218" s="59">
        <v>1</v>
      </c>
      <c r="S1218" s="59">
        <v>1706</v>
      </c>
      <c r="T1218" s="59">
        <v>4</v>
      </c>
      <c r="U1218" s="59">
        <v>1</v>
      </c>
      <c r="V1218" s="59">
        <v>73</v>
      </c>
      <c r="W1218" s="59">
        <v>3</v>
      </c>
      <c r="X1218" s="59">
        <v>2</v>
      </c>
      <c r="Y1218" s="59">
        <v>1</v>
      </c>
      <c r="Z1218" s="59">
        <f t="shared" si="351"/>
        <v>1</v>
      </c>
      <c r="AA1218" s="59">
        <f>IF('Updated Dummy'!Y1218=2,1,0)</f>
        <v>0</v>
      </c>
      <c r="AB1218" s="59">
        <f t="shared" si="352"/>
        <v>0</v>
      </c>
      <c r="AC1218" s="59">
        <f t="shared" si="353"/>
        <v>0</v>
      </c>
      <c r="AD1218" s="59">
        <f t="shared" si="354"/>
        <v>0</v>
      </c>
      <c r="AE1218" s="59">
        <f t="shared" si="355"/>
        <v>0</v>
      </c>
      <c r="AF1218" s="59">
        <f t="shared" si="356"/>
        <v>0</v>
      </c>
      <c r="AG1218" s="59">
        <f t="shared" si="357"/>
        <v>0</v>
      </c>
      <c r="AH1218" s="59">
        <v>4</v>
      </c>
      <c r="AI1218" s="59">
        <v>2</v>
      </c>
      <c r="AJ1218" s="59">
        <f t="shared" si="358"/>
        <v>0</v>
      </c>
      <c r="AK1218" s="59">
        <f t="shared" si="359"/>
        <v>1</v>
      </c>
      <c r="AL1218" s="59">
        <v>7847</v>
      </c>
      <c r="AM1218" s="59">
        <v>6069</v>
      </c>
      <c r="AN1218" s="59">
        <v>1</v>
      </c>
      <c r="AO1218" s="59">
        <v>1</v>
      </c>
      <c r="AP1218" s="59">
        <v>17</v>
      </c>
      <c r="AQ1218" s="59">
        <v>3</v>
      </c>
      <c r="AR1218" s="59">
        <v>1</v>
      </c>
      <c r="AS1218" s="59">
        <v>80</v>
      </c>
      <c r="AT1218" s="59">
        <v>1</v>
      </c>
      <c r="AU1218" s="59">
        <v>10</v>
      </c>
      <c r="AV1218" s="59">
        <v>3</v>
      </c>
      <c r="AW1218" s="59">
        <v>3</v>
      </c>
      <c r="AX1218" s="59">
        <v>10</v>
      </c>
      <c r="AY1218" s="59">
        <v>9</v>
      </c>
      <c r="AZ1218" s="59">
        <v>8</v>
      </c>
      <c r="BA1218" s="59">
        <v>8</v>
      </c>
      <c r="BB1218" s="57">
        <f t="shared" si="360"/>
        <v>15694</v>
      </c>
    </row>
    <row r="1219" spans="1:54" x14ac:dyDescent="0.25">
      <c r="A1219" s="58">
        <v>24</v>
      </c>
      <c r="B1219" s="59">
        <v>0</v>
      </c>
      <c r="C1219" s="59">
        <v>1</v>
      </c>
      <c r="D1219" s="59">
        <f t="shared" ref="D1219:D1282" si="361">IF(C1219=1,1,0)</f>
        <v>1</v>
      </c>
      <c r="E1219" s="59">
        <f t="shared" ref="E1219:E1282" si="362">IF(C1219=2,1,0)</f>
        <v>0</v>
      </c>
      <c r="F1219" s="59">
        <v>581</v>
      </c>
      <c r="G1219" s="59">
        <v>2</v>
      </c>
      <c r="H1219" s="59">
        <f t="shared" ref="H1219:H1282" si="363">IF(G1219=1,1,0)</f>
        <v>0</v>
      </c>
      <c r="I1219" s="59">
        <f t="shared" ref="I1219:I1282" si="364">IF(G1219=2,1,0)</f>
        <v>1</v>
      </c>
      <c r="J1219" s="59">
        <v>9</v>
      </c>
      <c r="K1219" s="59">
        <v>3</v>
      </c>
      <c r="L1219" s="59">
        <v>3</v>
      </c>
      <c r="M1219" s="59">
        <f t="shared" ref="M1219:M1282" si="365">IF(L1219=1,1,0)</f>
        <v>0</v>
      </c>
      <c r="N1219" s="59">
        <f t="shared" ref="N1219:N1282" si="366">IF(L1219=2,1,0)</f>
        <v>0</v>
      </c>
      <c r="O1219" s="59">
        <f t="shared" ref="O1219:O1282" si="367">IF(L1219=3,1,0)</f>
        <v>1</v>
      </c>
      <c r="P1219" s="59">
        <f t="shared" ref="P1219:P1282" si="368">IF(L1219=4,1,0)</f>
        <v>0</v>
      </c>
      <c r="Q1219" s="59">
        <f t="shared" ref="Q1219:Q1282" si="369">IF(L1219=5,1,0)</f>
        <v>0</v>
      </c>
      <c r="R1219" s="59">
        <v>1</v>
      </c>
      <c r="S1219" s="59">
        <v>1707</v>
      </c>
      <c r="T1219" s="59">
        <v>3</v>
      </c>
      <c r="U1219" s="59">
        <v>1</v>
      </c>
      <c r="V1219" s="59">
        <v>62</v>
      </c>
      <c r="W1219" s="59">
        <v>4</v>
      </c>
      <c r="X1219" s="59">
        <v>1</v>
      </c>
      <c r="Y1219" s="59">
        <v>2</v>
      </c>
      <c r="Z1219" s="59">
        <f t="shared" ref="Z1219:Z1282" si="370">IF(Y1219=1,1,0)</f>
        <v>0</v>
      </c>
      <c r="AA1219" s="59">
        <f>IF('Updated Dummy'!Y1219=2,1,0)</f>
        <v>1</v>
      </c>
      <c r="AB1219" s="59">
        <f t="shared" ref="AB1219:AB1282" si="371">IF(Y1219=3,1,0)</f>
        <v>0</v>
      </c>
      <c r="AC1219" s="59">
        <f t="shared" ref="AC1219:AC1282" si="372">IF(Y1219=4,1,0)</f>
        <v>0</v>
      </c>
      <c r="AD1219" s="59">
        <f t="shared" ref="AD1219:AD1282" si="373">IF(Y1219=5,1,0)</f>
        <v>0</v>
      </c>
      <c r="AE1219" s="59">
        <f t="shared" ref="AE1219:AE1282" si="374">IF(Y1219=6,1,0)</f>
        <v>0</v>
      </c>
      <c r="AF1219" s="59">
        <f t="shared" ref="AF1219:AF1282" si="375">IF(Y1219=7,1,0)</f>
        <v>0</v>
      </c>
      <c r="AG1219" s="59">
        <f t="shared" ref="AG1219:AG1282" si="376">IF(Y1219=8,1,0)</f>
        <v>0</v>
      </c>
      <c r="AH1219" s="59">
        <v>3</v>
      </c>
      <c r="AI1219" s="59">
        <v>2</v>
      </c>
      <c r="AJ1219" s="59">
        <f t="shared" ref="AJ1219:AJ1282" si="377">IF(AI1219=1,1,0)</f>
        <v>0</v>
      </c>
      <c r="AK1219" s="59">
        <f t="shared" ref="AK1219:AK1282" si="378">IF(AI1219=2,1,0)</f>
        <v>1</v>
      </c>
      <c r="AL1219" s="59">
        <v>4401</v>
      </c>
      <c r="AM1219" s="59">
        <v>17616</v>
      </c>
      <c r="AN1219" s="59">
        <v>1</v>
      </c>
      <c r="AO1219" s="59">
        <v>0</v>
      </c>
      <c r="AP1219" s="59">
        <v>16</v>
      </c>
      <c r="AQ1219" s="59">
        <v>3</v>
      </c>
      <c r="AR1219" s="59">
        <v>4</v>
      </c>
      <c r="AS1219" s="59">
        <v>80</v>
      </c>
      <c r="AT1219" s="59">
        <v>1</v>
      </c>
      <c r="AU1219" s="59">
        <v>5</v>
      </c>
      <c r="AV1219" s="59">
        <v>1</v>
      </c>
      <c r="AW1219" s="59">
        <v>3</v>
      </c>
      <c r="AX1219" s="59">
        <v>5</v>
      </c>
      <c r="AY1219" s="59">
        <v>3</v>
      </c>
      <c r="AZ1219" s="59">
        <v>0</v>
      </c>
      <c r="BA1219" s="59">
        <v>4</v>
      </c>
      <c r="BB1219" s="57">
        <f t="shared" ref="BB1219:BB1282" si="379">X1219*AL1219</f>
        <v>4401</v>
      </c>
    </row>
    <row r="1220" spans="1:54" x14ac:dyDescent="0.25">
      <c r="A1220" s="58">
        <v>41</v>
      </c>
      <c r="B1220" s="59">
        <v>0</v>
      </c>
      <c r="C1220" s="59">
        <v>1</v>
      </c>
      <c r="D1220" s="59">
        <f t="shared" si="361"/>
        <v>1</v>
      </c>
      <c r="E1220" s="59">
        <f t="shared" si="362"/>
        <v>0</v>
      </c>
      <c r="F1220" s="59">
        <v>918</v>
      </c>
      <c r="G1220" s="59">
        <v>1</v>
      </c>
      <c r="H1220" s="59">
        <f t="shared" si="363"/>
        <v>1</v>
      </c>
      <c r="I1220" s="59">
        <f t="shared" si="364"/>
        <v>0</v>
      </c>
      <c r="J1220" s="59">
        <v>6</v>
      </c>
      <c r="K1220" s="59">
        <v>3</v>
      </c>
      <c r="L1220" s="59">
        <v>4</v>
      </c>
      <c r="M1220" s="59">
        <f t="shared" si="365"/>
        <v>0</v>
      </c>
      <c r="N1220" s="59">
        <f t="shared" si="366"/>
        <v>0</v>
      </c>
      <c r="O1220" s="59">
        <f t="shared" si="367"/>
        <v>0</v>
      </c>
      <c r="P1220" s="59">
        <f t="shared" si="368"/>
        <v>1</v>
      </c>
      <c r="Q1220" s="59">
        <f t="shared" si="369"/>
        <v>0</v>
      </c>
      <c r="R1220" s="59">
        <v>1</v>
      </c>
      <c r="S1220" s="59">
        <v>1708</v>
      </c>
      <c r="T1220" s="59">
        <v>4</v>
      </c>
      <c r="U1220" s="59">
        <v>1</v>
      </c>
      <c r="V1220" s="59">
        <v>35</v>
      </c>
      <c r="W1220" s="59">
        <v>3</v>
      </c>
      <c r="X1220" s="59">
        <v>3</v>
      </c>
      <c r="Y1220" s="59">
        <v>1</v>
      </c>
      <c r="Z1220" s="59">
        <f t="shared" si="370"/>
        <v>1</v>
      </c>
      <c r="AA1220" s="59">
        <f>IF('Updated Dummy'!Y1220=2,1,0)</f>
        <v>0</v>
      </c>
      <c r="AB1220" s="59">
        <f t="shared" si="371"/>
        <v>0</v>
      </c>
      <c r="AC1220" s="59">
        <f t="shared" si="372"/>
        <v>0</v>
      </c>
      <c r="AD1220" s="59">
        <f t="shared" si="373"/>
        <v>0</v>
      </c>
      <c r="AE1220" s="59">
        <f t="shared" si="374"/>
        <v>0</v>
      </c>
      <c r="AF1220" s="59">
        <f t="shared" si="375"/>
        <v>0</v>
      </c>
      <c r="AG1220" s="59">
        <f t="shared" si="376"/>
        <v>0</v>
      </c>
      <c r="AH1220" s="59">
        <v>3</v>
      </c>
      <c r="AI1220" s="59">
        <v>1</v>
      </c>
      <c r="AJ1220" s="59">
        <f t="shared" si="377"/>
        <v>1</v>
      </c>
      <c r="AK1220" s="59">
        <f t="shared" si="378"/>
        <v>0</v>
      </c>
      <c r="AL1220" s="59">
        <v>9241</v>
      </c>
      <c r="AM1220" s="59">
        <v>15869</v>
      </c>
      <c r="AN1220" s="59">
        <v>1</v>
      </c>
      <c r="AO1220" s="59">
        <v>0</v>
      </c>
      <c r="AP1220" s="59">
        <v>12</v>
      </c>
      <c r="AQ1220" s="59">
        <v>3</v>
      </c>
      <c r="AR1220" s="59">
        <v>2</v>
      </c>
      <c r="AS1220" s="59">
        <v>80</v>
      </c>
      <c r="AT1220" s="59">
        <v>0</v>
      </c>
      <c r="AU1220" s="59">
        <v>10</v>
      </c>
      <c r="AV1220" s="59">
        <v>3</v>
      </c>
      <c r="AW1220" s="59">
        <v>3</v>
      </c>
      <c r="AX1220" s="59">
        <v>10</v>
      </c>
      <c r="AY1220" s="59">
        <v>8</v>
      </c>
      <c r="AZ1220" s="59">
        <v>8</v>
      </c>
      <c r="BA1220" s="59">
        <v>7</v>
      </c>
      <c r="BB1220" s="57">
        <f t="shared" si="379"/>
        <v>27723</v>
      </c>
    </row>
    <row r="1221" spans="1:54" x14ac:dyDescent="0.25">
      <c r="A1221" s="58">
        <v>29</v>
      </c>
      <c r="B1221" s="59">
        <v>0</v>
      </c>
      <c r="C1221" s="59">
        <v>1</v>
      </c>
      <c r="D1221" s="59">
        <f t="shared" si="361"/>
        <v>1</v>
      </c>
      <c r="E1221" s="59">
        <f t="shared" si="362"/>
        <v>0</v>
      </c>
      <c r="F1221" s="59">
        <v>1082</v>
      </c>
      <c r="G1221" s="59">
        <v>2</v>
      </c>
      <c r="H1221" s="59">
        <f t="shared" si="363"/>
        <v>0</v>
      </c>
      <c r="I1221" s="59">
        <f t="shared" si="364"/>
        <v>1</v>
      </c>
      <c r="J1221" s="59">
        <v>9</v>
      </c>
      <c r="K1221" s="59">
        <v>4</v>
      </c>
      <c r="L1221" s="59">
        <v>3</v>
      </c>
      <c r="M1221" s="59">
        <f t="shared" si="365"/>
        <v>0</v>
      </c>
      <c r="N1221" s="59">
        <f t="shared" si="366"/>
        <v>0</v>
      </c>
      <c r="O1221" s="59">
        <f t="shared" si="367"/>
        <v>1</v>
      </c>
      <c r="P1221" s="59">
        <f t="shared" si="368"/>
        <v>0</v>
      </c>
      <c r="Q1221" s="59">
        <f t="shared" si="369"/>
        <v>0</v>
      </c>
      <c r="R1221" s="59">
        <v>1</v>
      </c>
      <c r="S1221" s="59">
        <v>1709</v>
      </c>
      <c r="T1221" s="59">
        <v>4</v>
      </c>
      <c r="U1221" s="59">
        <v>0</v>
      </c>
      <c r="V1221" s="59">
        <v>43</v>
      </c>
      <c r="W1221" s="59">
        <v>3</v>
      </c>
      <c r="X1221" s="59">
        <v>1</v>
      </c>
      <c r="Y1221" s="59">
        <v>3</v>
      </c>
      <c r="Z1221" s="59">
        <f t="shared" si="370"/>
        <v>0</v>
      </c>
      <c r="AA1221" s="59">
        <f>IF('Updated Dummy'!Y1221=2,1,0)</f>
        <v>0</v>
      </c>
      <c r="AB1221" s="59">
        <f t="shared" si="371"/>
        <v>1</v>
      </c>
      <c r="AC1221" s="59">
        <f t="shared" si="372"/>
        <v>0</v>
      </c>
      <c r="AD1221" s="59">
        <f t="shared" si="373"/>
        <v>0</v>
      </c>
      <c r="AE1221" s="59">
        <f t="shared" si="374"/>
        <v>0</v>
      </c>
      <c r="AF1221" s="59">
        <f t="shared" si="375"/>
        <v>0</v>
      </c>
      <c r="AG1221" s="59">
        <f t="shared" si="376"/>
        <v>0</v>
      </c>
      <c r="AH1221" s="59">
        <v>3</v>
      </c>
      <c r="AI1221" s="59">
        <v>2</v>
      </c>
      <c r="AJ1221" s="59">
        <f t="shared" si="377"/>
        <v>0</v>
      </c>
      <c r="AK1221" s="59">
        <f t="shared" si="378"/>
        <v>1</v>
      </c>
      <c r="AL1221" s="59">
        <v>2974</v>
      </c>
      <c r="AM1221" s="59">
        <v>25412</v>
      </c>
      <c r="AN1221" s="59">
        <v>9</v>
      </c>
      <c r="AO1221" s="59">
        <v>0</v>
      </c>
      <c r="AP1221" s="59">
        <v>17</v>
      </c>
      <c r="AQ1221" s="59">
        <v>3</v>
      </c>
      <c r="AR1221" s="59">
        <v>3</v>
      </c>
      <c r="AS1221" s="59">
        <v>80</v>
      </c>
      <c r="AT1221" s="59">
        <v>1</v>
      </c>
      <c r="AU1221" s="59">
        <v>9</v>
      </c>
      <c r="AV1221" s="59">
        <v>2</v>
      </c>
      <c r="AW1221" s="59">
        <v>3</v>
      </c>
      <c r="AX1221" s="59">
        <v>5</v>
      </c>
      <c r="AY1221" s="59">
        <v>3</v>
      </c>
      <c r="AZ1221" s="59">
        <v>1</v>
      </c>
      <c r="BA1221" s="59">
        <v>2</v>
      </c>
      <c r="BB1221" s="57">
        <f t="shared" si="379"/>
        <v>2974</v>
      </c>
    </row>
    <row r="1222" spans="1:54" x14ac:dyDescent="0.25">
      <c r="A1222" s="58">
        <v>36</v>
      </c>
      <c r="B1222" s="59">
        <v>0</v>
      </c>
      <c r="C1222" s="59">
        <v>1</v>
      </c>
      <c r="D1222" s="59">
        <f t="shared" si="361"/>
        <v>1</v>
      </c>
      <c r="E1222" s="59">
        <f t="shared" si="362"/>
        <v>0</v>
      </c>
      <c r="F1222" s="59">
        <v>530</v>
      </c>
      <c r="G1222" s="59">
        <v>1</v>
      </c>
      <c r="H1222" s="59">
        <f t="shared" si="363"/>
        <v>1</v>
      </c>
      <c r="I1222" s="59">
        <f t="shared" si="364"/>
        <v>0</v>
      </c>
      <c r="J1222" s="59">
        <v>2</v>
      </c>
      <c r="K1222" s="59">
        <v>4</v>
      </c>
      <c r="L1222" s="59">
        <v>1</v>
      </c>
      <c r="M1222" s="59">
        <f t="shared" si="365"/>
        <v>1</v>
      </c>
      <c r="N1222" s="59">
        <f t="shared" si="366"/>
        <v>0</v>
      </c>
      <c r="O1222" s="59">
        <f t="shared" si="367"/>
        <v>0</v>
      </c>
      <c r="P1222" s="59">
        <f t="shared" si="368"/>
        <v>0</v>
      </c>
      <c r="Q1222" s="59">
        <f t="shared" si="369"/>
        <v>0</v>
      </c>
      <c r="R1222" s="59">
        <v>1</v>
      </c>
      <c r="S1222" s="59">
        <v>1710</v>
      </c>
      <c r="T1222" s="59">
        <v>3</v>
      </c>
      <c r="U1222" s="59">
        <v>0</v>
      </c>
      <c r="V1222" s="59">
        <v>51</v>
      </c>
      <c r="W1222" s="59">
        <v>3</v>
      </c>
      <c r="X1222" s="59">
        <v>2</v>
      </c>
      <c r="Y1222" s="59">
        <v>7</v>
      </c>
      <c r="Z1222" s="59">
        <f t="shared" si="370"/>
        <v>0</v>
      </c>
      <c r="AA1222" s="59">
        <f>IF('Updated Dummy'!Y1222=2,1,0)</f>
        <v>0</v>
      </c>
      <c r="AB1222" s="59">
        <f t="shared" si="371"/>
        <v>0</v>
      </c>
      <c r="AC1222" s="59">
        <f t="shared" si="372"/>
        <v>0</v>
      </c>
      <c r="AD1222" s="59">
        <f t="shared" si="373"/>
        <v>0</v>
      </c>
      <c r="AE1222" s="59">
        <f t="shared" si="374"/>
        <v>0</v>
      </c>
      <c r="AF1222" s="59">
        <f t="shared" si="375"/>
        <v>1</v>
      </c>
      <c r="AG1222" s="59">
        <f t="shared" si="376"/>
        <v>0</v>
      </c>
      <c r="AH1222" s="59">
        <v>4</v>
      </c>
      <c r="AI1222" s="59">
        <v>1</v>
      </c>
      <c r="AJ1222" s="59">
        <f t="shared" si="377"/>
        <v>1</v>
      </c>
      <c r="AK1222" s="59">
        <f t="shared" si="378"/>
        <v>0</v>
      </c>
      <c r="AL1222" s="59">
        <v>4502</v>
      </c>
      <c r="AM1222" s="59">
        <v>7439</v>
      </c>
      <c r="AN1222" s="59">
        <v>3</v>
      </c>
      <c r="AO1222" s="59">
        <v>0</v>
      </c>
      <c r="AP1222" s="59">
        <v>15</v>
      </c>
      <c r="AQ1222" s="59">
        <v>3</v>
      </c>
      <c r="AR1222" s="59">
        <v>3</v>
      </c>
      <c r="AS1222" s="59">
        <v>80</v>
      </c>
      <c r="AT1222" s="59">
        <v>0</v>
      </c>
      <c r="AU1222" s="59">
        <v>17</v>
      </c>
      <c r="AV1222" s="59">
        <v>2</v>
      </c>
      <c r="AW1222" s="59">
        <v>2</v>
      </c>
      <c r="AX1222" s="59">
        <v>13</v>
      </c>
      <c r="AY1222" s="59">
        <v>7</v>
      </c>
      <c r="AZ1222" s="59">
        <v>6</v>
      </c>
      <c r="BA1222" s="59">
        <v>7</v>
      </c>
      <c r="BB1222" s="57">
        <f t="shared" si="379"/>
        <v>9004</v>
      </c>
    </row>
    <row r="1223" spans="1:54" x14ac:dyDescent="0.25">
      <c r="A1223" s="58">
        <v>45</v>
      </c>
      <c r="B1223" s="59">
        <v>0</v>
      </c>
      <c r="C1223" s="59">
        <v>3</v>
      </c>
      <c r="D1223" s="59">
        <f t="shared" si="361"/>
        <v>0</v>
      </c>
      <c r="E1223" s="59">
        <f t="shared" si="362"/>
        <v>0</v>
      </c>
      <c r="F1223" s="59">
        <v>1238</v>
      </c>
      <c r="G1223" s="59">
        <v>2</v>
      </c>
      <c r="H1223" s="59">
        <f t="shared" si="363"/>
        <v>0</v>
      </c>
      <c r="I1223" s="59">
        <f t="shared" si="364"/>
        <v>1</v>
      </c>
      <c r="J1223" s="59">
        <v>1</v>
      </c>
      <c r="K1223" s="59">
        <v>1</v>
      </c>
      <c r="L1223" s="59">
        <v>1</v>
      </c>
      <c r="M1223" s="59">
        <f t="shared" si="365"/>
        <v>1</v>
      </c>
      <c r="N1223" s="59">
        <f t="shared" si="366"/>
        <v>0</v>
      </c>
      <c r="O1223" s="59">
        <f t="shared" si="367"/>
        <v>0</v>
      </c>
      <c r="P1223" s="59">
        <f t="shared" si="368"/>
        <v>0</v>
      </c>
      <c r="Q1223" s="59">
        <f t="shared" si="369"/>
        <v>0</v>
      </c>
      <c r="R1223" s="59">
        <v>1</v>
      </c>
      <c r="S1223" s="59">
        <v>1712</v>
      </c>
      <c r="T1223" s="59">
        <v>3</v>
      </c>
      <c r="U1223" s="59">
        <v>1</v>
      </c>
      <c r="V1223" s="59">
        <v>74</v>
      </c>
      <c r="W1223" s="59">
        <v>2</v>
      </c>
      <c r="X1223" s="59">
        <v>3</v>
      </c>
      <c r="Y1223" s="59">
        <v>5</v>
      </c>
      <c r="Z1223" s="59">
        <f t="shared" si="370"/>
        <v>0</v>
      </c>
      <c r="AA1223" s="59">
        <f>IF('Updated Dummy'!Y1223=2,1,0)</f>
        <v>0</v>
      </c>
      <c r="AB1223" s="59">
        <f t="shared" si="371"/>
        <v>0</v>
      </c>
      <c r="AC1223" s="59">
        <f t="shared" si="372"/>
        <v>0</v>
      </c>
      <c r="AD1223" s="59">
        <f t="shared" si="373"/>
        <v>1</v>
      </c>
      <c r="AE1223" s="59">
        <f t="shared" si="374"/>
        <v>0</v>
      </c>
      <c r="AF1223" s="59">
        <f t="shared" si="375"/>
        <v>0</v>
      </c>
      <c r="AG1223" s="59">
        <f t="shared" si="376"/>
        <v>0</v>
      </c>
      <c r="AH1223" s="59">
        <v>3</v>
      </c>
      <c r="AI1223" s="59">
        <v>2</v>
      </c>
      <c r="AJ1223" s="59">
        <f t="shared" si="377"/>
        <v>0</v>
      </c>
      <c r="AK1223" s="59">
        <f t="shared" si="378"/>
        <v>1</v>
      </c>
      <c r="AL1223" s="59">
        <v>10748</v>
      </c>
      <c r="AM1223" s="59">
        <v>3395</v>
      </c>
      <c r="AN1223" s="59">
        <v>3</v>
      </c>
      <c r="AO1223" s="59">
        <v>0</v>
      </c>
      <c r="AP1223" s="59">
        <v>23</v>
      </c>
      <c r="AQ1223" s="59">
        <v>4</v>
      </c>
      <c r="AR1223" s="59">
        <v>4</v>
      </c>
      <c r="AS1223" s="59">
        <v>80</v>
      </c>
      <c r="AT1223" s="59">
        <v>1</v>
      </c>
      <c r="AU1223" s="59">
        <v>25</v>
      </c>
      <c r="AV1223" s="59">
        <v>3</v>
      </c>
      <c r="AW1223" s="59">
        <v>2</v>
      </c>
      <c r="AX1223" s="59">
        <v>23</v>
      </c>
      <c r="AY1223" s="59">
        <v>15</v>
      </c>
      <c r="AZ1223" s="59">
        <v>14</v>
      </c>
      <c r="BA1223" s="59">
        <v>4</v>
      </c>
      <c r="BB1223" s="57">
        <f t="shared" si="379"/>
        <v>32244</v>
      </c>
    </row>
    <row r="1224" spans="1:54" x14ac:dyDescent="0.25">
      <c r="A1224" s="58">
        <v>24</v>
      </c>
      <c r="B1224" s="59">
        <v>1</v>
      </c>
      <c r="C1224" s="59">
        <v>1</v>
      </c>
      <c r="D1224" s="59">
        <f t="shared" si="361"/>
        <v>1</v>
      </c>
      <c r="E1224" s="59">
        <f t="shared" si="362"/>
        <v>0</v>
      </c>
      <c r="F1224" s="59">
        <v>240</v>
      </c>
      <c r="G1224" s="59">
        <v>3</v>
      </c>
      <c r="H1224" s="59">
        <f t="shared" si="363"/>
        <v>0</v>
      </c>
      <c r="I1224" s="59">
        <f t="shared" si="364"/>
        <v>0</v>
      </c>
      <c r="J1224" s="59">
        <v>22</v>
      </c>
      <c r="K1224" s="59">
        <v>1</v>
      </c>
      <c r="L1224" s="59">
        <v>2</v>
      </c>
      <c r="M1224" s="59">
        <f t="shared" si="365"/>
        <v>0</v>
      </c>
      <c r="N1224" s="59">
        <f t="shared" si="366"/>
        <v>1</v>
      </c>
      <c r="O1224" s="59">
        <f t="shared" si="367"/>
        <v>0</v>
      </c>
      <c r="P1224" s="59">
        <f t="shared" si="368"/>
        <v>0</v>
      </c>
      <c r="Q1224" s="59">
        <f t="shared" si="369"/>
        <v>0</v>
      </c>
      <c r="R1224" s="59">
        <v>1</v>
      </c>
      <c r="S1224" s="59">
        <v>1714</v>
      </c>
      <c r="T1224" s="59">
        <v>4</v>
      </c>
      <c r="U1224" s="59">
        <v>1</v>
      </c>
      <c r="V1224" s="59">
        <v>58</v>
      </c>
      <c r="W1224" s="59">
        <v>1</v>
      </c>
      <c r="X1224" s="59">
        <v>1</v>
      </c>
      <c r="Y1224" s="59">
        <v>9</v>
      </c>
      <c r="Z1224" s="59">
        <f t="shared" si="370"/>
        <v>0</v>
      </c>
      <c r="AA1224" s="59">
        <f>IF('Updated Dummy'!Y1224=2,1,0)</f>
        <v>0</v>
      </c>
      <c r="AB1224" s="59">
        <f t="shared" si="371"/>
        <v>0</v>
      </c>
      <c r="AC1224" s="59">
        <f t="shared" si="372"/>
        <v>0</v>
      </c>
      <c r="AD1224" s="59">
        <f t="shared" si="373"/>
        <v>0</v>
      </c>
      <c r="AE1224" s="59">
        <f t="shared" si="374"/>
        <v>0</v>
      </c>
      <c r="AF1224" s="59">
        <f t="shared" si="375"/>
        <v>0</v>
      </c>
      <c r="AG1224" s="59">
        <f t="shared" si="376"/>
        <v>0</v>
      </c>
      <c r="AH1224" s="59">
        <v>3</v>
      </c>
      <c r="AI1224" s="59">
        <v>2</v>
      </c>
      <c r="AJ1224" s="59">
        <f t="shared" si="377"/>
        <v>0</v>
      </c>
      <c r="AK1224" s="59">
        <f t="shared" si="378"/>
        <v>1</v>
      </c>
      <c r="AL1224" s="59">
        <v>1555</v>
      </c>
      <c r="AM1224" s="59">
        <v>11585</v>
      </c>
      <c r="AN1224" s="59">
        <v>1</v>
      </c>
      <c r="AO1224" s="59">
        <v>0</v>
      </c>
      <c r="AP1224" s="59">
        <v>11</v>
      </c>
      <c r="AQ1224" s="59">
        <v>3</v>
      </c>
      <c r="AR1224" s="59">
        <v>3</v>
      </c>
      <c r="AS1224" s="59">
        <v>80</v>
      </c>
      <c r="AT1224" s="59">
        <v>1</v>
      </c>
      <c r="AU1224" s="59">
        <v>1</v>
      </c>
      <c r="AV1224" s="59">
        <v>2</v>
      </c>
      <c r="AW1224" s="59">
        <v>3</v>
      </c>
      <c r="AX1224" s="59">
        <v>1</v>
      </c>
      <c r="AY1224" s="59">
        <v>0</v>
      </c>
      <c r="AZ1224" s="59">
        <v>0</v>
      </c>
      <c r="BA1224" s="59">
        <v>0</v>
      </c>
      <c r="BB1224" s="57">
        <f t="shared" si="379"/>
        <v>1555</v>
      </c>
    </row>
    <row r="1225" spans="1:54" x14ac:dyDescent="0.25">
      <c r="A1225" s="58">
        <v>47</v>
      </c>
      <c r="B1225" s="59">
        <v>1</v>
      </c>
      <c r="C1225" s="59">
        <v>2</v>
      </c>
      <c r="D1225" s="59">
        <f t="shared" si="361"/>
        <v>0</v>
      </c>
      <c r="E1225" s="59">
        <f t="shared" si="362"/>
        <v>1</v>
      </c>
      <c r="F1225" s="59">
        <v>1093</v>
      </c>
      <c r="G1225" s="59">
        <v>1</v>
      </c>
      <c r="H1225" s="59">
        <f t="shared" si="363"/>
        <v>1</v>
      </c>
      <c r="I1225" s="59">
        <f t="shared" si="364"/>
        <v>0</v>
      </c>
      <c r="J1225" s="59">
        <v>9</v>
      </c>
      <c r="K1225" s="59">
        <v>3</v>
      </c>
      <c r="L1225" s="59">
        <v>1</v>
      </c>
      <c r="M1225" s="59">
        <f t="shared" si="365"/>
        <v>1</v>
      </c>
      <c r="N1225" s="59">
        <f t="shared" si="366"/>
        <v>0</v>
      </c>
      <c r="O1225" s="59">
        <f t="shared" si="367"/>
        <v>0</v>
      </c>
      <c r="P1225" s="59">
        <f t="shared" si="368"/>
        <v>0</v>
      </c>
      <c r="Q1225" s="59">
        <f t="shared" si="369"/>
        <v>0</v>
      </c>
      <c r="R1225" s="59">
        <v>1</v>
      </c>
      <c r="S1225" s="59">
        <v>1716</v>
      </c>
      <c r="T1225" s="59">
        <v>3</v>
      </c>
      <c r="U1225" s="59">
        <v>1</v>
      </c>
      <c r="V1225" s="59">
        <v>82</v>
      </c>
      <c r="W1225" s="59">
        <v>1</v>
      </c>
      <c r="X1225" s="59">
        <v>4</v>
      </c>
      <c r="Y1225" s="59">
        <v>1</v>
      </c>
      <c r="Z1225" s="59">
        <f t="shared" si="370"/>
        <v>1</v>
      </c>
      <c r="AA1225" s="59">
        <f>IF('Updated Dummy'!Y1225=2,1,0)</f>
        <v>0</v>
      </c>
      <c r="AB1225" s="59">
        <f t="shared" si="371"/>
        <v>0</v>
      </c>
      <c r="AC1225" s="59">
        <f t="shared" si="372"/>
        <v>0</v>
      </c>
      <c r="AD1225" s="59">
        <f t="shared" si="373"/>
        <v>0</v>
      </c>
      <c r="AE1225" s="59">
        <f t="shared" si="374"/>
        <v>0</v>
      </c>
      <c r="AF1225" s="59">
        <f t="shared" si="375"/>
        <v>0</v>
      </c>
      <c r="AG1225" s="59">
        <f t="shared" si="376"/>
        <v>0</v>
      </c>
      <c r="AH1225" s="59">
        <v>3</v>
      </c>
      <c r="AI1225" s="59">
        <v>2</v>
      </c>
      <c r="AJ1225" s="59">
        <f t="shared" si="377"/>
        <v>0</v>
      </c>
      <c r="AK1225" s="59">
        <f t="shared" si="378"/>
        <v>1</v>
      </c>
      <c r="AL1225" s="59">
        <v>12936</v>
      </c>
      <c r="AM1225" s="59">
        <v>24164</v>
      </c>
      <c r="AN1225" s="59">
        <v>7</v>
      </c>
      <c r="AO1225" s="59">
        <v>0</v>
      </c>
      <c r="AP1225" s="59">
        <v>11</v>
      </c>
      <c r="AQ1225" s="59">
        <v>3</v>
      </c>
      <c r="AR1225" s="59">
        <v>3</v>
      </c>
      <c r="AS1225" s="59">
        <v>80</v>
      </c>
      <c r="AT1225" s="59">
        <v>0</v>
      </c>
      <c r="AU1225" s="59">
        <v>25</v>
      </c>
      <c r="AV1225" s="59">
        <v>3</v>
      </c>
      <c r="AW1225" s="59">
        <v>1</v>
      </c>
      <c r="AX1225" s="59">
        <v>23</v>
      </c>
      <c r="AY1225" s="59">
        <v>5</v>
      </c>
      <c r="AZ1225" s="59">
        <v>14</v>
      </c>
      <c r="BA1225" s="59">
        <v>10</v>
      </c>
      <c r="BB1225" s="57">
        <f t="shared" si="379"/>
        <v>51744</v>
      </c>
    </row>
    <row r="1226" spans="1:54" x14ac:dyDescent="0.25">
      <c r="A1226" s="58">
        <v>26</v>
      </c>
      <c r="B1226" s="59">
        <v>0</v>
      </c>
      <c r="C1226" s="59">
        <v>1</v>
      </c>
      <c r="D1226" s="59">
        <f t="shared" si="361"/>
        <v>1</v>
      </c>
      <c r="E1226" s="59">
        <f t="shared" si="362"/>
        <v>0</v>
      </c>
      <c r="F1226" s="59">
        <v>390</v>
      </c>
      <c r="G1226" s="59">
        <v>2</v>
      </c>
      <c r="H1226" s="59">
        <f t="shared" si="363"/>
        <v>0</v>
      </c>
      <c r="I1226" s="59">
        <f t="shared" si="364"/>
        <v>1</v>
      </c>
      <c r="J1226" s="59">
        <v>17</v>
      </c>
      <c r="K1226" s="59">
        <v>4</v>
      </c>
      <c r="L1226" s="59">
        <v>3</v>
      </c>
      <c r="M1226" s="59">
        <f t="shared" si="365"/>
        <v>0</v>
      </c>
      <c r="N1226" s="59">
        <f t="shared" si="366"/>
        <v>0</v>
      </c>
      <c r="O1226" s="59">
        <f t="shared" si="367"/>
        <v>1</v>
      </c>
      <c r="P1226" s="59">
        <f t="shared" si="368"/>
        <v>0</v>
      </c>
      <c r="Q1226" s="59">
        <f t="shared" si="369"/>
        <v>0</v>
      </c>
      <c r="R1226" s="59">
        <v>1</v>
      </c>
      <c r="S1226" s="59">
        <v>1718</v>
      </c>
      <c r="T1226" s="59">
        <v>4</v>
      </c>
      <c r="U1226" s="59">
        <v>1</v>
      </c>
      <c r="V1226" s="59">
        <v>62</v>
      </c>
      <c r="W1226" s="59">
        <v>1</v>
      </c>
      <c r="X1226" s="59">
        <v>1</v>
      </c>
      <c r="Y1226" s="59">
        <v>3</v>
      </c>
      <c r="Z1226" s="59">
        <f t="shared" si="370"/>
        <v>0</v>
      </c>
      <c r="AA1226" s="59">
        <f>IF('Updated Dummy'!Y1226=2,1,0)</f>
        <v>0</v>
      </c>
      <c r="AB1226" s="59">
        <f t="shared" si="371"/>
        <v>1</v>
      </c>
      <c r="AC1226" s="59">
        <f t="shared" si="372"/>
        <v>0</v>
      </c>
      <c r="AD1226" s="59">
        <f t="shared" si="373"/>
        <v>0</v>
      </c>
      <c r="AE1226" s="59">
        <f t="shared" si="374"/>
        <v>0</v>
      </c>
      <c r="AF1226" s="59">
        <f t="shared" si="375"/>
        <v>0</v>
      </c>
      <c r="AG1226" s="59">
        <f t="shared" si="376"/>
        <v>0</v>
      </c>
      <c r="AH1226" s="59">
        <v>3</v>
      </c>
      <c r="AI1226" s="59">
        <v>2</v>
      </c>
      <c r="AJ1226" s="59">
        <f t="shared" si="377"/>
        <v>0</v>
      </c>
      <c r="AK1226" s="59">
        <f t="shared" si="378"/>
        <v>1</v>
      </c>
      <c r="AL1226" s="59">
        <v>2305</v>
      </c>
      <c r="AM1226" s="59">
        <v>6217</v>
      </c>
      <c r="AN1226" s="59">
        <v>1</v>
      </c>
      <c r="AO1226" s="59">
        <v>0</v>
      </c>
      <c r="AP1226" s="59">
        <v>15</v>
      </c>
      <c r="AQ1226" s="59">
        <v>3</v>
      </c>
      <c r="AR1226" s="59">
        <v>3</v>
      </c>
      <c r="AS1226" s="59">
        <v>80</v>
      </c>
      <c r="AT1226" s="59">
        <v>3</v>
      </c>
      <c r="AU1226" s="59">
        <v>3</v>
      </c>
      <c r="AV1226" s="59">
        <v>3</v>
      </c>
      <c r="AW1226" s="59">
        <v>4</v>
      </c>
      <c r="AX1226" s="59">
        <v>3</v>
      </c>
      <c r="AY1226" s="59">
        <v>2</v>
      </c>
      <c r="AZ1226" s="59">
        <v>0</v>
      </c>
      <c r="BA1226" s="59">
        <v>2</v>
      </c>
      <c r="BB1226" s="57">
        <f t="shared" si="379"/>
        <v>2305</v>
      </c>
    </row>
    <row r="1227" spans="1:54" x14ac:dyDescent="0.25">
      <c r="A1227" s="58">
        <v>45</v>
      </c>
      <c r="B1227" s="59">
        <v>0</v>
      </c>
      <c r="C1227" s="59">
        <v>1</v>
      </c>
      <c r="D1227" s="59">
        <f t="shared" si="361"/>
        <v>1</v>
      </c>
      <c r="E1227" s="59">
        <f t="shared" si="362"/>
        <v>0</v>
      </c>
      <c r="F1227" s="59">
        <v>1005</v>
      </c>
      <c r="G1227" s="59">
        <v>2</v>
      </c>
      <c r="H1227" s="59">
        <f t="shared" si="363"/>
        <v>0</v>
      </c>
      <c r="I1227" s="59">
        <f t="shared" si="364"/>
        <v>1</v>
      </c>
      <c r="J1227" s="59">
        <v>28</v>
      </c>
      <c r="K1227" s="59">
        <v>2</v>
      </c>
      <c r="L1227" s="59">
        <v>5</v>
      </c>
      <c r="M1227" s="59">
        <f t="shared" si="365"/>
        <v>0</v>
      </c>
      <c r="N1227" s="59">
        <f t="shared" si="366"/>
        <v>0</v>
      </c>
      <c r="O1227" s="59">
        <f t="shared" si="367"/>
        <v>0</v>
      </c>
      <c r="P1227" s="59">
        <f t="shared" si="368"/>
        <v>0</v>
      </c>
      <c r="Q1227" s="59">
        <f t="shared" si="369"/>
        <v>1</v>
      </c>
      <c r="R1227" s="59">
        <v>1</v>
      </c>
      <c r="S1227" s="59">
        <v>1719</v>
      </c>
      <c r="T1227" s="59">
        <v>4</v>
      </c>
      <c r="U1227" s="59">
        <v>0</v>
      </c>
      <c r="V1227" s="59">
        <v>48</v>
      </c>
      <c r="W1227" s="59">
        <v>2</v>
      </c>
      <c r="X1227" s="59">
        <v>4</v>
      </c>
      <c r="Y1227" s="59">
        <v>8</v>
      </c>
      <c r="Z1227" s="59">
        <f t="shared" si="370"/>
        <v>0</v>
      </c>
      <c r="AA1227" s="59">
        <f>IF('Updated Dummy'!Y1227=2,1,0)</f>
        <v>0</v>
      </c>
      <c r="AB1227" s="59">
        <f t="shared" si="371"/>
        <v>0</v>
      </c>
      <c r="AC1227" s="59">
        <f t="shared" si="372"/>
        <v>0</v>
      </c>
      <c r="AD1227" s="59">
        <f t="shared" si="373"/>
        <v>0</v>
      </c>
      <c r="AE1227" s="59">
        <f t="shared" si="374"/>
        <v>0</v>
      </c>
      <c r="AF1227" s="59">
        <f t="shared" si="375"/>
        <v>0</v>
      </c>
      <c r="AG1227" s="59">
        <f t="shared" si="376"/>
        <v>1</v>
      </c>
      <c r="AH1227" s="59">
        <v>2</v>
      </c>
      <c r="AI1227" s="59">
        <v>1</v>
      </c>
      <c r="AJ1227" s="59">
        <f t="shared" si="377"/>
        <v>1</v>
      </c>
      <c r="AK1227" s="59">
        <f t="shared" si="378"/>
        <v>0</v>
      </c>
      <c r="AL1227" s="59">
        <v>16704</v>
      </c>
      <c r="AM1227" s="59">
        <v>17119</v>
      </c>
      <c r="AN1227" s="59">
        <v>1</v>
      </c>
      <c r="AO1227" s="59">
        <v>0</v>
      </c>
      <c r="AP1227" s="59">
        <v>11</v>
      </c>
      <c r="AQ1227" s="59">
        <v>3</v>
      </c>
      <c r="AR1227" s="59">
        <v>3</v>
      </c>
      <c r="AS1227" s="59">
        <v>80</v>
      </c>
      <c r="AT1227" s="59">
        <v>0</v>
      </c>
      <c r="AU1227" s="59">
        <v>21</v>
      </c>
      <c r="AV1227" s="59">
        <v>2</v>
      </c>
      <c r="AW1227" s="59">
        <v>3</v>
      </c>
      <c r="AX1227" s="59">
        <v>21</v>
      </c>
      <c r="AY1227" s="59">
        <v>6</v>
      </c>
      <c r="AZ1227" s="59">
        <v>8</v>
      </c>
      <c r="BA1227" s="59">
        <v>6</v>
      </c>
      <c r="BB1227" s="57">
        <f t="shared" si="379"/>
        <v>66816</v>
      </c>
    </row>
    <row r="1228" spans="1:54" x14ac:dyDescent="0.25">
      <c r="A1228" s="58">
        <v>32</v>
      </c>
      <c r="B1228" s="59">
        <v>0</v>
      </c>
      <c r="C1228" s="59">
        <v>2</v>
      </c>
      <c r="D1228" s="59">
        <f t="shared" si="361"/>
        <v>0</v>
      </c>
      <c r="E1228" s="59">
        <f t="shared" si="362"/>
        <v>1</v>
      </c>
      <c r="F1228" s="59">
        <v>585</v>
      </c>
      <c r="G1228" s="59">
        <v>2</v>
      </c>
      <c r="H1228" s="59">
        <f t="shared" si="363"/>
        <v>0</v>
      </c>
      <c r="I1228" s="59">
        <f t="shared" si="364"/>
        <v>1</v>
      </c>
      <c r="J1228" s="59">
        <v>10</v>
      </c>
      <c r="K1228" s="59">
        <v>3</v>
      </c>
      <c r="L1228" s="59">
        <v>1</v>
      </c>
      <c r="M1228" s="59">
        <f t="shared" si="365"/>
        <v>1</v>
      </c>
      <c r="N1228" s="59">
        <f t="shared" si="366"/>
        <v>0</v>
      </c>
      <c r="O1228" s="59">
        <f t="shared" si="367"/>
        <v>0</v>
      </c>
      <c r="P1228" s="59">
        <f t="shared" si="368"/>
        <v>0</v>
      </c>
      <c r="Q1228" s="59">
        <f t="shared" si="369"/>
        <v>0</v>
      </c>
      <c r="R1228" s="59">
        <v>1</v>
      </c>
      <c r="S1228" s="59">
        <v>1720</v>
      </c>
      <c r="T1228" s="59">
        <v>1</v>
      </c>
      <c r="U1228" s="59">
        <v>1</v>
      </c>
      <c r="V1228" s="59">
        <v>56</v>
      </c>
      <c r="W1228" s="59">
        <v>3</v>
      </c>
      <c r="X1228" s="59">
        <v>1</v>
      </c>
      <c r="Y1228" s="59">
        <v>2</v>
      </c>
      <c r="Z1228" s="59">
        <f t="shared" si="370"/>
        <v>0</v>
      </c>
      <c r="AA1228" s="59">
        <f>IF('Updated Dummy'!Y1228=2,1,0)</f>
        <v>1</v>
      </c>
      <c r="AB1228" s="59">
        <f t="shared" si="371"/>
        <v>0</v>
      </c>
      <c r="AC1228" s="59">
        <f t="shared" si="372"/>
        <v>0</v>
      </c>
      <c r="AD1228" s="59">
        <f t="shared" si="373"/>
        <v>0</v>
      </c>
      <c r="AE1228" s="59">
        <f t="shared" si="374"/>
        <v>0</v>
      </c>
      <c r="AF1228" s="59">
        <f t="shared" si="375"/>
        <v>0</v>
      </c>
      <c r="AG1228" s="59">
        <f t="shared" si="376"/>
        <v>0</v>
      </c>
      <c r="AH1228" s="59">
        <v>3</v>
      </c>
      <c r="AI1228" s="59">
        <v>2</v>
      </c>
      <c r="AJ1228" s="59">
        <f t="shared" si="377"/>
        <v>0</v>
      </c>
      <c r="AK1228" s="59">
        <f t="shared" si="378"/>
        <v>1</v>
      </c>
      <c r="AL1228" s="59">
        <v>3433</v>
      </c>
      <c r="AM1228" s="59">
        <v>17360</v>
      </c>
      <c r="AN1228" s="59">
        <v>6</v>
      </c>
      <c r="AO1228" s="59">
        <v>0</v>
      </c>
      <c r="AP1228" s="59">
        <v>13</v>
      </c>
      <c r="AQ1228" s="59">
        <v>3</v>
      </c>
      <c r="AR1228" s="59">
        <v>1</v>
      </c>
      <c r="AS1228" s="59">
        <v>80</v>
      </c>
      <c r="AT1228" s="59">
        <v>1</v>
      </c>
      <c r="AU1228" s="59">
        <v>10</v>
      </c>
      <c r="AV1228" s="59">
        <v>3</v>
      </c>
      <c r="AW1228" s="59">
        <v>2</v>
      </c>
      <c r="AX1228" s="59">
        <v>5</v>
      </c>
      <c r="AY1228" s="59">
        <v>2</v>
      </c>
      <c r="AZ1228" s="59">
        <v>1</v>
      </c>
      <c r="BA1228" s="59">
        <v>3</v>
      </c>
      <c r="BB1228" s="57">
        <f t="shared" si="379"/>
        <v>3433</v>
      </c>
    </row>
    <row r="1229" spans="1:54" x14ac:dyDescent="0.25">
      <c r="A1229" s="58">
        <v>31</v>
      </c>
      <c r="B1229" s="59">
        <v>0</v>
      </c>
      <c r="C1229" s="59">
        <v>1</v>
      </c>
      <c r="D1229" s="59">
        <f t="shared" si="361"/>
        <v>1</v>
      </c>
      <c r="E1229" s="59">
        <f t="shared" si="362"/>
        <v>0</v>
      </c>
      <c r="F1229" s="59">
        <v>741</v>
      </c>
      <c r="G1229" s="59">
        <v>2</v>
      </c>
      <c r="H1229" s="59">
        <f t="shared" si="363"/>
        <v>0</v>
      </c>
      <c r="I1229" s="59">
        <f t="shared" si="364"/>
        <v>1</v>
      </c>
      <c r="J1229" s="59">
        <v>2</v>
      </c>
      <c r="K1229" s="59">
        <v>4</v>
      </c>
      <c r="L1229" s="59">
        <v>1</v>
      </c>
      <c r="M1229" s="59">
        <f t="shared" si="365"/>
        <v>1</v>
      </c>
      <c r="N1229" s="59">
        <f t="shared" si="366"/>
        <v>0</v>
      </c>
      <c r="O1229" s="59">
        <f t="shared" si="367"/>
        <v>0</v>
      </c>
      <c r="P1229" s="59">
        <f t="shared" si="368"/>
        <v>0</v>
      </c>
      <c r="Q1229" s="59">
        <f t="shared" si="369"/>
        <v>0</v>
      </c>
      <c r="R1229" s="59">
        <v>1</v>
      </c>
      <c r="S1229" s="59">
        <v>1721</v>
      </c>
      <c r="T1229" s="59">
        <v>2</v>
      </c>
      <c r="U1229" s="59">
        <v>1</v>
      </c>
      <c r="V1229" s="59">
        <v>69</v>
      </c>
      <c r="W1229" s="59">
        <v>3</v>
      </c>
      <c r="X1229" s="59">
        <v>1</v>
      </c>
      <c r="Y1229" s="59">
        <v>3</v>
      </c>
      <c r="Z1229" s="59">
        <f t="shared" si="370"/>
        <v>0</v>
      </c>
      <c r="AA1229" s="59">
        <f>IF('Updated Dummy'!Y1229=2,1,0)</f>
        <v>0</v>
      </c>
      <c r="AB1229" s="59">
        <f t="shared" si="371"/>
        <v>1</v>
      </c>
      <c r="AC1229" s="59">
        <f t="shared" si="372"/>
        <v>0</v>
      </c>
      <c r="AD1229" s="59">
        <f t="shared" si="373"/>
        <v>0</v>
      </c>
      <c r="AE1229" s="59">
        <f t="shared" si="374"/>
        <v>0</v>
      </c>
      <c r="AF1229" s="59">
        <f t="shared" si="375"/>
        <v>0</v>
      </c>
      <c r="AG1229" s="59">
        <f t="shared" si="376"/>
        <v>0</v>
      </c>
      <c r="AH1229" s="59">
        <v>3</v>
      </c>
      <c r="AI1229" s="59">
        <v>2</v>
      </c>
      <c r="AJ1229" s="59">
        <f t="shared" si="377"/>
        <v>0</v>
      </c>
      <c r="AK1229" s="59">
        <f t="shared" si="378"/>
        <v>1</v>
      </c>
      <c r="AL1229" s="59">
        <v>3477</v>
      </c>
      <c r="AM1229" s="59">
        <v>18103</v>
      </c>
      <c r="AN1229" s="59">
        <v>1</v>
      </c>
      <c r="AO1229" s="59">
        <v>0</v>
      </c>
      <c r="AP1229" s="59">
        <v>14</v>
      </c>
      <c r="AQ1229" s="59">
        <v>3</v>
      </c>
      <c r="AR1229" s="59">
        <v>4</v>
      </c>
      <c r="AS1229" s="59">
        <v>80</v>
      </c>
      <c r="AT1229" s="59">
        <v>1</v>
      </c>
      <c r="AU1229" s="59">
        <v>6</v>
      </c>
      <c r="AV1229" s="59">
        <v>2</v>
      </c>
      <c r="AW1229" s="59">
        <v>4</v>
      </c>
      <c r="AX1229" s="59">
        <v>5</v>
      </c>
      <c r="AY1229" s="59">
        <v>2</v>
      </c>
      <c r="AZ1229" s="59">
        <v>0</v>
      </c>
      <c r="BA1229" s="59">
        <v>3</v>
      </c>
      <c r="BB1229" s="57">
        <f t="shared" si="379"/>
        <v>3477</v>
      </c>
    </row>
    <row r="1230" spans="1:54" x14ac:dyDescent="0.25">
      <c r="A1230" s="58">
        <v>41</v>
      </c>
      <c r="B1230" s="59">
        <v>0</v>
      </c>
      <c r="C1230" s="59">
        <v>3</v>
      </c>
      <c r="D1230" s="59">
        <f t="shared" si="361"/>
        <v>0</v>
      </c>
      <c r="E1230" s="59">
        <f t="shared" si="362"/>
        <v>0</v>
      </c>
      <c r="F1230" s="59">
        <v>552</v>
      </c>
      <c r="G1230" s="59">
        <v>3</v>
      </c>
      <c r="H1230" s="59">
        <f t="shared" si="363"/>
        <v>0</v>
      </c>
      <c r="I1230" s="59">
        <f t="shared" si="364"/>
        <v>0</v>
      </c>
      <c r="J1230" s="59">
        <v>4</v>
      </c>
      <c r="K1230" s="59">
        <v>3</v>
      </c>
      <c r="L1230" s="59">
        <v>2</v>
      </c>
      <c r="M1230" s="59">
        <f t="shared" si="365"/>
        <v>0</v>
      </c>
      <c r="N1230" s="59">
        <f t="shared" si="366"/>
        <v>1</v>
      </c>
      <c r="O1230" s="59">
        <f t="shared" si="367"/>
        <v>0</v>
      </c>
      <c r="P1230" s="59">
        <f t="shared" si="368"/>
        <v>0</v>
      </c>
      <c r="Q1230" s="59">
        <f t="shared" si="369"/>
        <v>0</v>
      </c>
      <c r="R1230" s="59">
        <v>1</v>
      </c>
      <c r="S1230" s="59">
        <v>1722</v>
      </c>
      <c r="T1230" s="59">
        <v>3</v>
      </c>
      <c r="U1230" s="59">
        <v>1</v>
      </c>
      <c r="V1230" s="59">
        <v>60</v>
      </c>
      <c r="W1230" s="59">
        <v>1</v>
      </c>
      <c r="X1230" s="59">
        <v>2</v>
      </c>
      <c r="Y1230" s="59">
        <v>9</v>
      </c>
      <c r="Z1230" s="59">
        <f t="shared" si="370"/>
        <v>0</v>
      </c>
      <c r="AA1230" s="59">
        <f>IF('Updated Dummy'!Y1230=2,1,0)</f>
        <v>0</v>
      </c>
      <c r="AB1230" s="59">
        <f t="shared" si="371"/>
        <v>0</v>
      </c>
      <c r="AC1230" s="59">
        <f t="shared" si="372"/>
        <v>0</v>
      </c>
      <c r="AD1230" s="59">
        <f t="shared" si="373"/>
        <v>0</v>
      </c>
      <c r="AE1230" s="59">
        <f t="shared" si="374"/>
        <v>0</v>
      </c>
      <c r="AF1230" s="59">
        <f t="shared" si="375"/>
        <v>0</v>
      </c>
      <c r="AG1230" s="59">
        <f t="shared" si="376"/>
        <v>0</v>
      </c>
      <c r="AH1230" s="59">
        <v>2</v>
      </c>
      <c r="AI1230" s="59">
        <v>2</v>
      </c>
      <c r="AJ1230" s="59">
        <f t="shared" si="377"/>
        <v>0</v>
      </c>
      <c r="AK1230" s="59">
        <f t="shared" si="378"/>
        <v>1</v>
      </c>
      <c r="AL1230" s="59">
        <v>6430</v>
      </c>
      <c r="AM1230" s="59">
        <v>20794</v>
      </c>
      <c r="AN1230" s="59">
        <v>6</v>
      </c>
      <c r="AO1230" s="59">
        <v>0</v>
      </c>
      <c r="AP1230" s="59">
        <v>19</v>
      </c>
      <c r="AQ1230" s="59">
        <v>3</v>
      </c>
      <c r="AR1230" s="59">
        <v>2</v>
      </c>
      <c r="AS1230" s="59">
        <v>80</v>
      </c>
      <c r="AT1230" s="59">
        <v>1</v>
      </c>
      <c r="AU1230" s="59">
        <v>10</v>
      </c>
      <c r="AV1230" s="59">
        <v>4</v>
      </c>
      <c r="AW1230" s="59">
        <v>3</v>
      </c>
      <c r="AX1230" s="59">
        <v>3</v>
      </c>
      <c r="AY1230" s="59">
        <v>2</v>
      </c>
      <c r="AZ1230" s="59">
        <v>1</v>
      </c>
      <c r="BA1230" s="59">
        <v>2</v>
      </c>
      <c r="BB1230" s="57">
        <f t="shared" si="379"/>
        <v>12860</v>
      </c>
    </row>
    <row r="1231" spans="1:54" x14ac:dyDescent="0.25">
      <c r="A1231" s="58">
        <v>40</v>
      </c>
      <c r="B1231" s="59">
        <v>0</v>
      </c>
      <c r="C1231" s="59">
        <v>1</v>
      </c>
      <c r="D1231" s="59">
        <f t="shared" si="361"/>
        <v>1</v>
      </c>
      <c r="E1231" s="59">
        <f t="shared" si="362"/>
        <v>0</v>
      </c>
      <c r="F1231" s="59">
        <v>369</v>
      </c>
      <c r="G1231" s="59">
        <v>2</v>
      </c>
      <c r="H1231" s="59">
        <f t="shared" si="363"/>
        <v>0</v>
      </c>
      <c r="I1231" s="59">
        <f t="shared" si="364"/>
        <v>1</v>
      </c>
      <c r="J1231" s="59">
        <v>8</v>
      </c>
      <c r="K1231" s="59">
        <v>2</v>
      </c>
      <c r="L1231" s="59">
        <v>1</v>
      </c>
      <c r="M1231" s="59">
        <f t="shared" si="365"/>
        <v>1</v>
      </c>
      <c r="N1231" s="59">
        <f t="shared" si="366"/>
        <v>0</v>
      </c>
      <c r="O1231" s="59">
        <f t="shared" si="367"/>
        <v>0</v>
      </c>
      <c r="P1231" s="59">
        <f t="shared" si="368"/>
        <v>0</v>
      </c>
      <c r="Q1231" s="59">
        <f t="shared" si="369"/>
        <v>0</v>
      </c>
      <c r="R1231" s="59">
        <v>1</v>
      </c>
      <c r="S1231" s="59">
        <v>1724</v>
      </c>
      <c r="T1231" s="59">
        <v>2</v>
      </c>
      <c r="U1231" s="59">
        <v>0</v>
      </c>
      <c r="V1231" s="59">
        <v>92</v>
      </c>
      <c r="W1231" s="59">
        <v>3</v>
      </c>
      <c r="X1231" s="59">
        <v>2</v>
      </c>
      <c r="Y1231" s="59">
        <v>4</v>
      </c>
      <c r="Z1231" s="59">
        <f t="shared" si="370"/>
        <v>0</v>
      </c>
      <c r="AA1231" s="59">
        <f>IF('Updated Dummy'!Y1231=2,1,0)</f>
        <v>0</v>
      </c>
      <c r="AB1231" s="59">
        <f t="shared" si="371"/>
        <v>0</v>
      </c>
      <c r="AC1231" s="59">
        <f t="shared" si="372"/>
        <v>1</v>
      </c>
      <c r="AD1231" s="59">
        <f t="shared" si="373"/>
        <v>0</v>
      </c>
      <c r="AE1231" s="59">
        <f t="shared" si="374"/>
        <v>0</v>
      </c>
      <c r="AF1231" s="59">
        <f t="shared" si="375"/>
        <v>0</v>
      </c>
      <c r="AG1231" s="59">
        <f t="shared" si="376"/>
        <v>0</v>
      </c>
      <c r="AH1231" s="59">
        <v>1</v>
      </c>
      <c r="AI1231" s="59">
        <v>2</v>
      </c>
      <c r="AJ1231" s="59">
        <f t="shared" si="377"/>
        <v>0</v>
      </c>
      <c r="AK1231" s="59">
        <f t="shared" si="378"/>
        <v>1</v>
      </c>
      <c r="AL1231" s="59">
        <v>6516</v>
      </c>
      <c r="AM1231" s="59">
        <v>5041</v>
      </c>
      <c r="AN1231" s="59">
        <v>2</v>
      </c>
      <c r="AO1231" s="59">
        <v>1</v>
      </c>
      <c r="AP1231" s="59">
        <v>16</v>
      </c>
      <c r="AQ1231" s="59">
        <v>3</v>
      </c>
      <c r="AR1231" s="59">
        <v>2</v>
      </c>
      <c r="AS1231" s="59">
        <v>80</v>
      </c>
      <c r="AT1231" s="59">
        <v>1</v>
      </c>
      <c r="AU1231" s="59">
        <v>18</v>
      </c>
      <c r="AV1231" s="59">
        <v>3</v>
      </c>
      <c r="AW1231" s="59">
        <v>3</v>
      </c>
      <c r="AX1231" s="59">
        <v>1</v>
      </c>
      <c r="AY1231" s="59">
        <v>0</v>
      </c>
      <c r="AZ1231" s="59">
        <v>0</v>
      </c>
      <c r="BA1231" s="59">
        <v>0</v>
      </c>
      <c r="BB1231" s="57">
        <f t="shared" si="379"/>
        <v>13032</v>
      </c>
    </row>
    <row r="1232" spans="1:54" x14ac:dyDescent="0.25">
      <c r="A1232" s="58">
        <v>24</v>
      </c>
      <c r="B1232" s="59">
        <v>0</v>
      </c>
      <c r="C1232" s="59">
        <v>1</v>
      </c>
      <c r="D1232" s="59">
        <f t="shared" si="361"/>
        <v>1</v>
      </c>
      <c r="E1232" s="59">
        <f t="shared" si="362"/>
        <v>0</v>
      </c>
      <c r="F1232" s="59">
        <v>506</v>
      </c>
      <c r="G1232" s="59">
        <v>2</v>
      </c>
      <c r="H1232" s="59">
        <f t="shared" si="363"/>
        <v>0</v>
      </c>
      <c r="I1232" s="59">
        <f t="shared" si="364"/>
        <v>1</v>
      </c>
      <c r="J1232" s="59">
        <v>29</v>
      </c>
      <c r="K1232" s="59">
        <v>1</v>
      </c>
      <c r="L1232" s="59">
        <v>3</v>
      </c>
      <c r="M1232" s="59">
        <f t="shared" si="365"/>
        <v>0</v>
      </c>
      <c r="N1232" s="59">
        <f t="shared" si="366"/>
        <v>0</v>
      </c>
      <c r="O1232" s="59">
        <f t="shared" si="367"/>
        <v>1</v>
      </c>
      <c r="P1232" s="59">
        <f t="shared" si="368"/>
        <v>0</v>
      </c>
      <c r="Q1232" s="59">
        <f t="shared" si="369"/>
        <v>0</v>
      </c>
      <c r="R1232" s="59">
        <v>1</v>
      </c>
      <c r="S1232" s="59">
        <v>1725</v>
      </c>
      <c r="T1232" s="59">
        <v>2</v>
      </c>
      <c r="U1232" s="59">
        <v>1</v>
      </c>
      <c r="V1232" s="59">
        <v>91</v>
      </c>
      <c r="W1232" s="59">
        <v>3</v>
      </c>
      <c r="X1232" s="59">
        <v>1</v>
      </c>
      <c r="Y1232" s="59">
        <v>3</v>
      </c>
      <c r="Z1232" s="59">
        <f t="shared" si="370"/>
        <v>0</v>
      </c>
      <c r="AA1232" s="59">
        <f>IF('Updated Dummy'!Y1232=2,1,0)</f>
        <v>0</v>
      </c>
      <c r="AB1232" s="59">
        <f t="shared" si="371"/>
        <v>1</v>
      </c>
      <c r="AC1232" s="59">
        <f t="shared" si="372"/>
        <v>0</v>
      </c>
      <c r="AD1232" s="59">
        <f t="shared" si="373"/>
        <v>0</v>
      </c>
      <c r="AE1232" s="59">
        <f t="shared" si="374"/>
        <v>0</v>
      </c>
      <c r="AF1232" s="59">
        <f t="shared" si="375"/>
        <v>0</v>
      </c>
      <c r="AG1232" s="59">
        <f t="shared" si="376"/>
        <v>0</v>
      </c>
      <c r="AH1232" s="59">
        <v>1</v>
      </c>
      <c r="AI1232" s="59">
        <v>3</v>
      </c>
      <c r="AJ1232" s="59">
        <f t="shared" si="377"/>
        <v>0</v>
      </c>
      <c r="AK1232" s="59">
        <f t="shared" si="378"/>
        <v>0</v>
      </c>
      <c r="AL1232" s="59">
        <v>3907</v>
      </c>
      <c r="AM1232" s="59">
        <v>3622</v>
      </c>
      <c r="AN1232" s="59">
        <v>1</v>
      </c>
      <c r="AO1232" s="59">
        <v>0</v>
      </c>
      <c r="AP1232" s="59">
        <v>13</v>
      </c>
      <c r="AQ1232" s="59">
        <v>3</v>
      </c>
      <c r="AR1232" s="59">
        <v>2</v>
      </c>
      <c r="AS1232" s="59">
        <v>80</v>
      </c>
      <c r="AT1232" s="59">
        <v>3</v>
      </c>
      <c r="AU1232" s="59">
        <v>6</v>
      </c>
      <c r="AV1232" s="59">
        <v>2</v>
      </c>
      <c r="AW1232" s="59">
        <v>4</v>
      </c>
      <c r="AX1232" s="59">
        <v>6</v>
      </c>
      <c r="AY1232" s="59">
        <v>2</v>
      </c>
      <c r="AZ1232" s="59">
        <v>1</v>
      </c>
      <c r="BA1232" s="59">
        <v>2</v>
      </c>
      <c r="BB1232" s="57">
        <f t="shared" si="379"/>
        <v>3907</v>
      </c>
    </row>
    <row r="1233" spans="1:54" x14ac:dyDescent="0.25">
      <c r="A1233" s="58">
        <v>46</v>
      </c>
      <c r="B1233" s="59">
        <v>0</v>
      </c>
      <c r="C1233" s="59">
        <v>1</v>
      </c>
      <c r="D1233" s="59">
        <f t="shared" si="361"/>
        <v>1</v>
      </c>
      <c r="E1233" s="59">
        <f t="shared" si="362"/>
        <v>0</v>
      </c>
      <c r="F1233" s="59">
        <v>717</v>
      </c>
      <c r="G1233" s="59">
        <v>2</v>
      </c>
      <c r="H1233" s="59">
        <f t="shared" si="363"/>
        <v>0</v>
      </c>
      <c r="I1233" s="59">
        <f t="shared" si="364"/>
        <v>1</v>
      </c>
      <c r="J1233" s="59">
        <v>13</v>
      </c>
      <c r="K1233" s="59">
        <v>4</v>
      </c>
      <c r="L1233" s="59">
        <v>1</v>
      </c>
      <c r="M1233" s="59">
        <f t="shared" si="365"/>
        <v>1</v>
      </c>
      <c r="N1233" s="59">
        <f t="shared" si="366"/>
        <v>0</v>
      </c>
      <c r="O1233" s="59">
        <f t="shared" si="367"/>
        <v>0</v>
      </c>
      <c r="P1233" s="59">
        <f t="shared" si="368"/>
        <v>0</v>
      </c>
      <c r="Q1233" s="59">
        <f t="shared" si="369"/>
        <v>0</v>
      </c>
      <c r="R1233" s="59">
        <v>1</v>
      </c>
      <c r="S1233" s="59">
        <v>1727</v>
      </c>
      <c r="T1233" s="59">
        <v>3</v>
      </c>
      <c r="U1233" s="59">
        <v>1</v>
      </c>
      <c r="V1233" s="59">
        <v>34</v>
      </c>
      <c r="W1233" s="59">
        <v>3</v>
      </c>
      <c r="X1233" s="59">
        <v>2</v>
      </c>
      <c r="Y1233" s="59">
        <v>5</v>
      </c>
      <c r="Z1233" s="59">
        <f t="shared" si="370"/>
        <v>0</v>
      </c>
      <c r="AA1233" s="59">
        <f>IF('Updated Dummy'!Y1233=2,1,0)</f>
        <v>0</v>
      </c>
      <c r="AB1233" s="59">
        <f t="shared" si="371"/>
        <v>0</v>
      </c>
      <c r="AC1233" s="59">
        <f t="shared" si="372"/>
        <v>0</v>
      </c>
      <c r="AD1233" s="59">
        <f t="shared" si="373"/>
        <v>1</v>
      </c>
      <c r="AE1233" s="59">
        <f t="shared" si="374"/>
        <v>0</v>
      </c>
      <c r="AF1233" s="59">
        <f t="shared" si="375"/>
        <v>0</v>
      </c>
      <c r="AG1233" s="59">
        <f t="shared" si="376"/>
        <v>0</v>
      </c>
      <c r="AH1233" s="59">
        <v>2</v>
      </c>
      <c r="AI1233" s="59">
        <v>1</v>
      </c>
      <c r="AJ1233" s="59">
        <f t="shared" si="377"/>
        <v>1</v>
      </c>
      <c r="AK1233" s="59">
        <f t="shared" si="378"/>
        <v>0</v>
      </c>
      <c r="AL1233" s="59">
        <v>5562</v>
      </c>
      <c r="AM1233" s="59">
        <v>9697</v>
      </c>
      <c r="AN1233" s="59">
        <v>6</v>
      </c>
      <c r="AO1233" s="59">
        <v>0</v>
      </c>
      <c r="AP1233" s="59">
        <v>14</v>
      </c>
      <c r="AQ1233" s="59">
        <v>3</v>
      </c>
      <c r="AR1233" s="59">
        <v>4</v>
      </c>
      <c r="AS1233" s="59">
        <v>80</v>
      </c>
      <c r="AT1233" s="59">
        <v>0</v>
      </c>
      <c r="AU1233" s="59">
        <v>19</v>
      </c>
      <c r="AV1233" s="59">
        <v>3</v>
      </c>
      <c r="AW1233" s="59">
        <v>3</v>
      </c>
      <c r="AX1233" s="59">
        <v>10</v>
      </c>
      <c r="AY1233" s="59">
        <v>7</v>
      </c>
      <c r="AZ1233" s="59">
        <v>0</v>
      </c>
      <c r="BA1233" s="59">
        <v>9</v>
      </c>
      <c r="BB1233" s="57">
        <f t="shared" si="379"/>
        <v>11124</v>
      </c>
    </row>
    <row r="1234" spans="1:54" x14ac:dyDescent="0.25">
      <c r="A1234" s="58">
        <v>35</v>
      </c>
      <c r="B1234" s="59">
        <v>0</v>
      </c>
      <c r="C1234" s="59">
        <v>1</v>
      </c>
      <c r="D1234" s="59">
        <f t="shared" si="361"/>
        <v>1</v>
      </c>
      <c r="E1234" s="59">
        <f t="shared" si="362"/>
        <v>0</v>
      </c>
      <c r="F1234" s="59">
        <v>1370</v>
      </c>
      <c r="G1234" s="59">
        <v>2</v>
      </c>
      <c r="H1234" s="59">
        <f t="shared" si="363"/>
        <v>0</v>
      </c>
      <c r="I1234" s="59">
        <f t="shared" si="364"/>
        <v>1</v>
      </c>
      <c r="J1234" s="59">
        <v>27</v>
      </c>
      <c r="K1234" s="59">
        <v>4</v>
      </c>
      <c r="L1234" s="59">
        <v>1</v>
      </c>
      <c r="M1234" s="59">
        <f t="shared" si="365"/>
        <v>1</v>
      </c>
      <c r="N1234" s="59">
        <f t="shared" si="366"/>
        <v>0</v>
      </c>
      <c r="O1234" s="59">
        <f t="shared" si="367"/>
        <v>0</v>
      </c>
      <c r="P1234" s="59">
        <f t="shared" si="368"/>
        <v>0</v>
      </c>
      <c r="Q1234" s="59">
        <f t="shared" si="369"/>
        <v>0</v>
      </c>
      <c r="R1234" s="59">
        <v>1</v>
      </c>
      <c r="S1234" s="59">
        <v>1728</v>
      </c>
      <c r="T1234" s="59">
        <v>4</v>
      </c>
      <c r="U1234" s="59">
        <v>1</v>
      </c>
      <c r="V1234" s="59">
        <v>49</v>
      </c>
      <c r="W1234" s="59">
        <v>3</v>
      </c>
      <c r="X1234" s="59">
        <v>2</v>
      </c>
      <c r="Y1234" s="59">
        <v>4</v>
      </c>
      <c r="Z1234" s="59">
        <f t="shared" si="370"/>
        <v>0</v>
      </c>
      <c r="AA1234" s="59">
        <f>IF('Updated Dummy'!Y1234=2,1,0)</f>
        <v>0</v>
      </c>
      <c r="AB1234" s="59">
        <f t="shared" si="371"/>
        <v>0</v>
      </c>
      <c r="AC1234" s="59">
        <f t="shared" si="372"/>
        <v>1</v>
      </c>
      <c r="AD1234" s="59">
        <f t="shared" si="373"/>
        <v>0</v>
      </c>
      <c r="AE1234" s="59">
        <f t="shared" si="374"/>
        <v>0</v>
      </c>
      <c r="AF1234" s="59">
        <f t="shared" si="375"/>
        <v>0</v>
      </c>
      <c r="AG1234" s="59">
        <f t="shared" si="376"/>
        <v>0</v>
      </c>
      <c r="AH1234" s="59">
        <v>3</v>
      </c>
      <c r="AI1234" s="59">
        <v>2</v>
      </c>
      <c r="AJ1234" s="59">
        <f t="shared" si="377"/>
        <v>0</v>
      </c>
      <c r="AK1234" s="59">
        <f t="shared" si="378"/>
        <v>1</v>
      </c>
      <c r="AL1234" s="59">
        <v>6883</v>
      </c>
      <c r="AM1234" s="59">
        <v>5151</v>
      </c>
      <c r="AN1234" s="59">
        <v>2</v>
      </c>
      <c r="AO1234" s="59">
        <v>0</v>
      </c>
      <c r="AP1234" s="59">
        <v>16</v>
      </c>
      <c r="AQ1234" s="59">
        <v>3</v>
      </c>
      <c r="AR1234" s="59">
        <v>2</v>
      </c>
      <c r="AS1234" s="59">
        <v>80</v>
      </c>
      <c r="AT1234" s="59">
        <v>1</v>
      </c>
      <c r="AU1234" s="59">
        <v>17</v>
      </c>
      <c r="AV1234" s="59">
        <v>3</v>
      </c>
      <c r="AW1234" s="59">
        <v>3</v>
      </c>
      <c r="AX1234" s="59">
        <v>7</v>
      </c>
      <c r="AY1234" s="59">
        <v>7</v>
      </c>
      <c r="AZ1234" s="59">
        <v>0</v>
      </c>
      <c r="BA1234" s="59">
        <v>7</v>
      </c>
      <c r="BB1234" s="57">
        <f t="shared" si="379"/>
        <v>13766</v>
      </c>
    </row>
    <row r="1235" spans="1:54" x14ac:dyDescent="0.25">
      <c r="A1235" s="58">
        <v>30</v>
      </c>
      <c r="B1235" s="59">
        <v>0</v>
      </c>
      <c r="C1235" s="59">
        <v>1</v>
      </c>
      <c r="D1235" s="59">
        <f t="shared" si="361"/>
        <v>1</v>
      </c>
      <c r="E1235" s="59">
        <f t="shared" si="362"/>
        <v>0</v>
      </c>
      <c r="F1235" s="59">
        <v>793</v>
      </c>
      <c r="G1235" s="59">
        <v>2</v>
      </c>
      <c r="H1235" s="59">
        <f t="shared" si="363"/>
        <v>0</v>
      </c>
      <c r="I1235" s="59">
        <f t="shared" si="364"/>
        <v>1</v>
      </c>
      <c r="J1235" s="59">
        <v>16</v>
      </c>
      <c r="K1235" s="59">
        <v>1</v>
      </c>
      <c r="L1235" s="59">
        <v>1</v>
      </c>
      <c r="M1235" s="59">
        <f t="shared" si="365"/>
        <v>1</v>
      </c>
      <c r="N1235" s="59">
        <f t="shared" si="366"/>
        <v>0</v>
      </c>
      <c r="O1235" s="59">
        <f t="shared" si="367"/>
        <v>0</v>
      </c>
      <c r="P1235" s="59">
        <f t="shared" si="368"/>
        <v>0</v>
      </c>
      <c r="Q1235" s="59">
        <f t="shared" si="369"/>
        <v>0</v>
      </c>
      <c r="R1235" s="59">
        <v>1</v>
      </c>
      <c r="S1235" s="59">
        <v>1729</v>
      </c>
      <c r="T1235" s="59">
        <v>2</v>
      </c>
      <c r="U1235" s="59">
        <v>1</v>
      </c>
      <c r="V1235" s="59">
        <v>33</v>
      </c>
      <c r="W1235" s="59">
        <v>3</v>
      </c>
      <c r="X1235" s="59">
        <v>1</v>
      </c>
      <c r="Y1235" s="59">
        <v>2</v>
      </c>
      <c r="Z1235" s="59">
        <f t="shared" si="370"/>
        <v>0</v>
      </c>
      <c r="AA1235" s="59">
        <f>IF('Updated Dummy'!Y1235=2,1,0)</f>
        <v>1</v>
      </c>
      <c r="AB1235" s="59">
        <f t="shared" si="371"/>
        <v>0</v>
      </c>
      <c r="AC1235" s="59">
        <f t="shared" si="372"/>
        <v>0</v>
      </c>
      <c r="AD1235" s="59">
        <f t="shared" si="373"/>
        <v>0</v>
      </c>
      <c r="AE1235" s="59">
        <f t="shared" si="374"/>
        <v>0</v>
      </c>
      <c r="AF1235" s="59">
        <f t="shared" si="375"/>
        <v>0</v>
      </c>
      <c r="AG1235" s="59">
        <f t="shared" si="376"/>
        <v>0</v>
      </c>
      <c r="AH1235" s="59">
        <v>4</v>
      </c>
      <c r="AI1235" s="59">
        <v>2</v>
      </c>
      <c r="AJ1235" s="59">
        <f t="shared" si="377"/>
        <v>0</v>
      </c>
      <c r="AK1235" s="59">
        <f t="shared" si="378"/>
        <v>1</v>
      </c>
      <c r="AL1235" s="59">
        <v>2862</v>
      </c>
      <c r="AM1235" s="59">
        <v>3811</v>
      </c>
      <c r="AN1235" s="59">
        <v>1</v>
      </c>
      <c r="AO1235" s="59">
        <v>0</v>
      </c>
      <c r="AP1235" s="59">
        <v>12</v>
      </c>
      <c r="AQ1235" s="59">
        <v>3</v>
      </c>
      <c r="AR1235" s="59">
        <v>2</v>
      </c>
      <c r="AS1235" s="59">
        <v>80</v>
      </c>
      <c r="AT1235" s="59">
        <v>1</v>
      </c>
      <c r="AU1235" s="59">
        <v>10</v>
      </c>
      <c r="AV1235" s="59">
        <v>2</v>
      </c>
      <c r="AW1235" s="59">
        <v>2</v>
      </c>
      <c r="AX1235" s="59">
        <v>10</v>
      </c>
      <c r="AY1235" s="59">
        <v>0</v>
      </c>
      <c r="AZ1235" s="59">
        <v>0</v>
      </c>
      <c r="BA1235" s="59">
        <v>8</v>
      </c>
      <c r="BB1235" s="57">
        <f t="shared" si="379"/>
        <v>2862</v>
      </c>
    </row>
    <row r="1236" spans="1:54" x14ac:dyDescent="0.25">
      <c r="A1236" s="58">
        <v>47</v>
      </c>
      <c r="B1236" s="59">
        <v>0</v>
      </c>
      <c r="C1236" s="59">
        <v>3</v>
      </c>
      <c r="D1236" s="59">
        <f t="shared" si="361"/>
        <v>0</v>
      </c>
      <c r="E1236" s="59">
        <f t="shared" si="362"/>
        <v>0</v>
      </c>
      <c r="F1236" s="59">
        <v>543</v>
      </c>
      <c r="G1236" s="59">
        <v>1</v>
      </c>
      <c r="H1236" s="59">
        <f t="shared" si="363"/>
        <v>1</v>
      </c>
      <c r="I1236" s="59">
        <f t="shared" si="364"/>
        <v>0</v>
      </c>
      <c r="J1236" s="59">
        <v>2</v>
      </c>
      <c r="K1236" s="59">
        <v>4</v>
      </c>
      <c r="L1236" s="59">
        <v>4</v>
      </c>
      <c r="M1236" s="59">
        <f t="shared" si="365"/>
        <v>0</v>
      </c>
      <c r="N1236" s="59">
        <f t="shared" si="366"/>
        <v>0</v>
      </c>
      <c r="O1236" s="59">
        <f t="shared" si="367"/>
        <v>0</v>
      </c>
      <c r="P1236" s="59">
        <f t="shared" si="368"/>
        <v>1</v>
      </c>
      <c r="Q1236" s="59">
        <f t="shared" si="369"/>
        <v>0</v>
      </c>
      <c r="R1236" s="59">
        <v>1</v>
      </c>
      <c r="S1236" s="59">
        <v>1731</v>
      </c>
      <c r="T1236" s="59">
        <v>3</v>
      </c>
      <c r="U1236" s="59">
        <v>1</v>
      </c>
      <c r="V1236" s="59">
        <v>87</v>
      </c>
      <c r="W1236" s="59">
        <v>3</v>
      </c>
      <c r="X1236" s="59">
        <v>2</v>
      </c>
      <c r="Y1236" s="59">
        <v>1</v>
      </c>
      <c r="Z1236" s="59">
        <f t="shared" si="370"/>
        <v>1</v>
      </c>
      <c r="AA1236" s="59">
        <f>IF('Updated Dummy'!Y1236=2,1,0)</f>
        <v>0</v>
      </c>
      <c r="AB1236" s="59">
        <f t="shared" si="371"/>
        <v>0</v>
      </c>
      <c r="AC1236" s="59">
        <f t="shared" si="372"/>
        <v>0</v>
      </c>
      <c r="AD1236" s="59">
        <f t="shared" si="373"/>
        <v>0</v>
      </c>
      <c r="AE1236" s="59">
        <f t="shared" si="374"/>
        <v>0</v>
      </c>
      <c r="AF1236" s="59">
        <f t="shared" si="375"/>
        <v>0</v>
      </c>
      <c r="AG1236" s="59">
        <f t="shared" si="376"/>
        <v>0</v>
      </c>
      <c r="AH1236" s="59">
        <v>2</v>
      </c>
      <c r="AI1236" s="59">
        <v>2</v>
      </c>
      <c r="AJ1236" s="59">
        <f t="shared" si="377"/>
        <v>0</v>
      </c>
      <c r="AK1236" s="59">
        <f t="shared" si="378"/>
        <v>1</v>
      </c>
      <c r="AL1236" s="59">
        <v>4978</v>
      </c>
      <c r="AM1236" s="59">
        <v>3536</v>
      </c>
      <c r="AN1236" s="59">
        <v>7</v>
      </c>
      <c r="AO1236" s="59">
        <v>0</v>
      </c>
      <c r="AP1236" s="59">
        <v>11</v>
      </c>
      <c r="AQ1236" s="59">
        <v>3</v>
      </c>
      <c r="AR1236" s="59">
        <v>4</v>
      </c>
      <c r="AS1236" s="59">
        <v>80</v>
      </c>
      <c r="AT1236" s="59">
        <v>1</v>
      </c>
      <c r="AU1236" s="59">
        <v>4</v>
      </c>
      <c r="AV1236" s="59">
        <v>3</v>
      </c>
      <c r="AW1236" s="59">
        <v>1</v>
      </c>
      <c r="AX1236" s="59">
        <v>1</v>
      </c>
      <c r="AY1236" s="59">
        <v>0</v>
      </c>
      <c r="AZ1236" s="59">
        <v>0</v>
      </c>
      <c r="BA1236" s="59">
        <v>0</v>
      </c>
      <c r="BB1236" s="57">
        <f t="shared" si="379"/>
        <v>9956</v>
      </c>
    </row>
    <row r="1237" spans="1:54" x14ac:dyDescent="0.25">
      <c r="A1237" s="58">
        <v>46</v>
      </c>
      <c r="B1237" s="59">
        <v>0</v>
      </c>
      <c r="C1237" s="59">
        <v>1</v>
      </c>
      <c r="D1237" s="59">
        <f t="shared" si="361"/>
        <v>1</v>
      </c>
      <c r="E1237" s="59">
        <f t="shared" si="362"/>
        <v>0</v>
      </c>
      <c r="F1237" s="59">
        <v>1277</v>
      </c>
      <c r="G1237" s="59">
        <v>1</v>
      </c>
      <c r="H1237" s="59">
        <f t="shared" si="363"/>
        <v>1</v>
      </c>
      <c r="I1237" s="59">
        <f t="shared" si="364"/>
        <v>0</v>
      </c>
      <c r="J1237" s="59">
        <v>2</v>
      </c>
      <c r="K1237" s="59">
        <v>3</v>
      </c>
      <c r="L1237" s="59">
        <v>1</v>
      </c>
      <c r="M1237" s="59">
        <f t="shared" si="365"/>
        <v>1</v>
      </c>
      <c r="N1237" s="59">
        <f t="shared" si="366"/>
        <v>0</v>
      </c>
      <c r="O1237" s="59">
        <f t="shared" si="367"/>
        <v>0</v>
      </c>
      <c r="P1237" s="59">
        <f t="shared" si="368"/>
        <v>0</v>
      </c>
      <c r="Q1237" s="59">
        <f t="shared" si="369"/>
        <v>0</v>
      </c>
      <c r="R1237" s="59">
        <v>1</v>
      </c>
      <c r="S1237" s="59">
        <v>1732</v>
      </c>
      <c r="T1237" s="59">
        <v>3</v>
      </c>
      <c r="U1237" s="59">
        <v>1</v>
      </c>
      <c r="V1237" s="59">
        <v>74</v>
      </c>
      <c r="W1237" s="59">
        <v>3</v>
      </c>
      <c r="X1237" s="59">
        <v>3</v>
      </c>
      <c r="Y1237" s="59">
        <v>1</v>
      </c>
      <c r="Z1237" s="59">
        <f t="shared" si="370"/>
        <v>1</v>
      </c>
      <c r="AA1237" s="59">
        <f>IF('Updated Dummy'!Y1237=2,1,0)</f>
        <v>0</v>
      </c>
      <c r="AB1237" s="59">
        <f t="shared" si="371"/>
        <v>0</v>
      </c>
      <c r="AC1237" s="59">
        <f t="shared" si="372"/>
        <v>0</v>
      </c>
      <c r="AD1237" s="59">
        <f t="shared" si="373"/>
        <v>0</v>
      </c>
      <c r="AE1237" s="59">
        <f t="shared" si="374"/>
        <v>0</v>
      </c>
      <c r="AF1237" s="59">
        <f t="shared" si="375"/>
        <v>0</v>
      </c>
      <c r="AG1237" s="59">
        <f t="shared" si="376"/>
        <v>0</v>
      </c>
      <c r="AH1237" s="59">
        <v>4</v>
      </c>
      <c r="AI1237" s="59">
        <v>3</v>
      </c>
      <c r="AJ1237" s="59">
        <f t="shared" si="377"/>
        <v>0</v>
      </c>
      <c r="AK1237" s="59">
        <f t="shared" si="378"/>
        <v>0</v>
      </c>
      <c r="AL1237" s="59">
        <v>10368</v>
      </c>
      <c r="AM1237" s="59">
        <v>5596</v>
      </c>
      <c r="AN1237" s="59">
        <v>4</v>
      </c>
      <c r="AO1237" s="59">
        <v>1</v>
      </c>
      <c r="AP1237" s="59">
        <v>12</v>
      </c>
      <c r="AQ1237" s="59">
        <v>3</v>
      </c>
      <c r="AR1237" s="59">
        <v>2</v>
      </c>
      <c r="AS1237" s="59">
        <v>80</v>
      </c>
      <c r="AT1237" s="59">
        <v>1</v>
      </c>
      <c r="AU1237" s="59">
        <v>13</v>
      </c>
      <c r="AV1237" s="59">
        <v>5</v>
      </c>
      <c r="AW1237" s="59">
        <v>2</v>
      </c>
      <c r="AX1237" s="59">
        <v>10</v>
      </c>
      <c r="AY1237" s="59">
        <v>6</v>
      </c>
      <c r="AZ1237" s="59">
        <v>0</v>
      </c>
      <c r="BA1237" s="59">
        <v>3</v>
      </c>
      <c r="BB1237" s="57">
        <f t="shared" si="379"/>
        <v>31104</v>
      </c>
    </row>
    <row r="1238" spans="1:54" x14ac:dyDescent="0.25">
      <c r="A1238" s="58">
        <v>36</v>
      </c>
      <c r="B1238" s="59">
        <v>1</v>
      </c>
      <c r="C1238" s="59">
        <v>1</v>
      </c>
      <c r="D1238" s="59">
        <f t="shared" si="361"/>
        <v>1</v>
      </c>
      <c r="E1238" s="59">
        <f t="shared" si="362"/>
        <v>0</v>
      </c>
      <c r="F1238" s="59">
        <v>1456</v>
      </c>
      <c r="G1238" s="59">
        <v>1</v>
      </c>
      <c r="H1238" s="59">
        <f t="shared" si="363"/>
        <v>1</v>
      </c>
      <c r="I1238" s="59">
        <f t="shared" si="364"/>
        <v>0</v>
      </c>
      <c r="J1238" s="59">
        <v>13</v>
      </c>
      <c r="K1238" s="59">
        <v>5</v>
      </c>
      <c r="L1238" s="59">
        <v>4</v>
      </c>
      <c r="M1238" s="59">
        <f t="shared" si="365"/>
        <v>0</v>
      </c>
      <c r="N1238" s="59">
        <f t="shared" si="366"/>
        <v>0</v>
      </c>
      <c r="O1238" s="59">
        <f t="shared" si="367"/>
        <v>0</v>
      </c>
      <c r="P1238" s="59">
        <f t="shared" si="368"/>
        <v>1</v>
      </c>
      <c r="Q1238" s="59">
        <f t="shared" si="369"/>
        <v>0</v>
      </c>
      <c r="R1238" s="59">
        <v>1</v>
      </c>
      <c r="S1238" s="59">
        <v>1733</v>
      </c>
      <c r="T1238" s="59">
        <v>2</v>
      </c>
      <c r="U1238" s="59">
        <v>1</v>
      </c>
      <c r="V1238" s="59">
        <v>96</v>
      </c>
      <c r="W1238" s="59">
        <v>2</v>
      </c>
      <c r="X1238" s="59">
        <v>2</v>
      </c>
      <c r="Y1238" s="59">
        <v>1</v>
      </c>
      <c r="Z1238" s="59">
        <f t="shared" si="370"/>
        <v>1</v>
      </c>
      <c r="AA1238" s="59">
        <f>IF('Updated Dummy'!Y1238=2,1,0)</f>
        <v>0</v>
      </c>
      <c r="AB1238" s="59">
        <f t="shared" si="371"/>
        <v>0</v>
      </c>
      <c r="AC1238" s="59">
        <f t="shared" si="372"/>
        <v>0</v>
      </c>
      <c r="AD1238" s="59">
        <f t="shared" si="373"/>
        <v>0</v>
      </c>
      <c r="AE1238" s="59">
        <f t="shared" si="374"/>
        <v>0</v>
      </c>
      <c r="AF1238" s="59">
        <f t="shared" si="375"/>
        <v>0</v>
      </c>
      <c r="AG1238" s="59">
        <f t="shared" si="376"/>
        <v>0</v>
      </c>
      <c r="AH1238" s="59">
        <v>1</v>
      </c>
      <c r="AI1238" s="59">
        <v>3</v>
      </c>
      <c r="AJ1238" s="59">
        <f t="shared" si="377"/>
        <v>0</v>
      </c>
      <c r="AK1238" s="59">
        <f t="shared" si="378"/>
        <v>0</v>
      </c>
      <c r="AL1238" s="59">
        <v>6134</v>
      </c>
      <c r="AM1238" s="59">
        <v>8658</v>
      </c>
      <c r="AN1238" s="59">
        <v>5</v>
      </c>
      <c r="AO1238" s="59">
        <v>1</v>
      </c>
      <c r="AP1238" s="59">
        <v>13</v>
      </c>
      <c r="AQ1238" s="59">
        <v>3</v>
      </c>
      <c r="AR1238" s="59">
        <v>2</v>
      </c>
      <c r="AS1238" s="59">
        <v>80</v>
      </c>
      <c r="AT1238" s="59">
        <v>3</v>
      </c>
      <c r="AU1238" s="59">
        <v>16</v>
      </c>
      <c r="AV1238" s="59">
        <v>3</v>
      </c>
      <c r="AW1238" s="59">
        <v>3</v>
      </c>
      <c r="AX1238" s="59">
        <v>2</v>
      </c>
      <c r="AY1238" s="59">
        <v>2</v>
      </c>
      <c r="AZ1238" s="59">
        <v>2</v>
      </c>
      <c r="BA1238" s="59">
        <v>2</v>
      </c>
      <c r="BB1238" s="57">
        <f t="shared" si="379"/>
        <v>12268</v>
      </c>
    </row>
    <row r="1239" spans="1:54" x14ac:dyDescent="0.25">
      <c r="A1239" s="58">
        <v>32</v>
      </c>
      <c r="B1239" s="59">
        <v>1</v>
      </c>
      <c r="C1239" s="59">
        <v>1</v>
      </c>
      <c r="D1239" s="59">
        <f t="shared" si="361"/>
        <v>1</v>
      </c>
      <c r="E1239" s="59">
        <f t="shared" si="362"/>
        <v>0</v>
      </c>
      <c r="F1239" s="59">
        <v>964</v>
      </c>
      <c r="G1239" s="59">
        <v>1</v>
      </c>
      <c r="H1239" s="59">
        <f t="shared" si="363"/>
        <v>1</v>
      </c>
      <c r="I1239" s="59">
        <f t="shared" si="364"/>
        <v>0</v>
      </c>
      <c r="J1239" s="59">
        <v>1</v>
      </c>
      <c r="K1239" s="59">
        <v>2</v>
      </c>
      <c r="L1239" s="59">
        <v>1</v>
      </c>
      <c r="M1239" s="59">
        <f t="shared" si="365"/>
        <v>1</v>
      </c>
      <c r="N1239" s="59">
        <f t="shared" si="366"/>
        <v>0</v>
      </c>
      <c r="O1239" s="59">
        <f t="shared" si="367"/>
        <v>0</v>
      </c>
      <c r="P1239" s="59">
        <f t="shared" si="368"/>
        <v>0</v>
      </c>
      <c r="Q1239" s="59">
        <f t="shared" si="369"/>
        <v>0</v>
      </c>
      <c r="R1239" s="59">
        <v>1</v>
      </c>
      <c r="S1239" s="59">
        <v>1734</v>
      </c>
      <c r="T1239" s="59">
        <v>1</v>
      </c>
      <c r="U1239" s="59">
        <v>1</v>
      </c>
      <c r="V1239" s="59">
        <v>34</v>
      </c>
      <c r="W1239" s="59">
        <v>1</v>
      </c>
      <c r="X1239" s="59">
        <v>2</v>
      </c>
      <c r="Y1239" s="59">
        <v>1</v>
      </c>
      <c r="Z1239" s="59">
        <f t="shared" si="370"/>
        <v>1</v>
      </c>
      <c r="AA1239" s="59">
        <f>IF('Updated Dummy'!Y1239=2,1,0)</f>
        <v>0</v>
      </c>
      <c r="AB1239" s="59">
        <f t="shared" si="371"/>
        <v>0</v>
      </c>
      <c r="AC1239" s="59">
        <f t="shared" si="372"/>
        <v>0</v>
      </c>
      <c r="AD1239" s="59">
        <f t="shared" si="373"/>
        <v>0</v>
      </c>
      <c r="AE1239" s="59">
        <f t="shared" si="374"/>
        <v>0</v>
      </c>
      <c r="AF1239" s="59">
        <f t="shared" si="375"/>
        <v>0</v>
      </c>
      <c r="AG1239" s="59">
        <f t="shared" si="376"/>
        <v>0</v>
      </c>
      <c r="AH1239" s="59">
        <v>2</v>
      </c>
      <c r="AI1239" s="59">
        <v>1</v>
      </c>
      <c r="AJ1239" s="59">
        <f t="shared" si="377"/>
        <v>1</v>
      </c>
      <c r="AK1239" s="59">
        <f t="shared" si="378"/>
        <v>0</v>
      </c>
      <c r="AL1239" s="59">
        <v>6735</v>
      </c>
      <c r="AM1239" s="59">
        <v>12147</v>
      </c>
      <c r="AN1239" s="59">
        <v>6</v>
      </c>
      <c r="AO1239" s="59">
        <v>0</v>
      </c>
      <c r="AP1239" s="59">
        <v>15</v>
      </c>
      <c r="AQ1239" s="59">
        <v>3</v>
      </c>
      <c r="AR1239" s="59">
        <v>2</v>
      </c>
      <c r="AS1239" s="59">
        <v>80</v>
      </c>
      <c r="AT1239" s="59">
        <v>0</v>
      </c>
      <c r="AU1239" s="59">
        <v>10</v>
      </c>
      <c r="AV1239" s="59">
        <v>2</v>
      </c>
      <c r="AW1239" s="59">
        <v>3</v>
      </c>
      <c r="AX1239" s="59">
        <v>0</v>
      </c>
      <c r="AY1239" s="59">
        <v>0</v>
      </c>
      <c r="AZ1239" s="59">
        <v>0</v>
      </c>
      <c r="BA1239" s="59">
        <v>0</v>
      </c>
      <c r="BB1239" s="57">
        <f t="shared" si="379"/>
        <v>13470</v>
      </c>
    </row>
    <row r="1240" spans="1:54" x14ac:dyDescent="0.25">
      <c r="A1240" s="58">
        <v>23</v>
      </c>
      <c r="B1240" s="59">
        <v>0</v>
      </c>
      <c r="C1240" s="59">
        <v>1</v>
      </c>
      <c r="D1240" s="59">
        <f t="shared" si="361"/>
        <v>1</v>
      </c>
      <c r="E1240" s="59">
        <f t="shared" si="362"/>
        <v>0</v>
      </c>
      <c r="F1240" s="59">
        <v>160</v>
      </c>
      <c r="G1240" s="59">
        <v>2</v>
      </c>
      <c r="H1240" s="59">
        <f t="shared" si="363"/>
        <v>0</v>
      </c>
      <c r="I1240" s="59">
        <f t="shared" si="364"/>
        <v>1</v>
      </c>
      <c r="J1240" s="59">
        <v>4</v>
      </c>
      <c r="K1240" s="59">
        <v>1</v>
      </c>
      <c r="L1240" s="59">
        <v>3</v>
      </c>
      <c r="M1240" s="59">
        <f t="shared" si="365"/>
        <v>0</v>
      </c>
      <c r="N1240" s="59">
        <f t="shared" si="366"/>
        <v>0</v>
      </c>
      <c r="O1240" s="59">
        <f t="shared" si="367"/>
        <v>1</v>
      </c>
      <c r="P1240" s="59">
        <f t="shared" si="368"/>
        <v>0</v>
      </c>
      <c r="Q1240" s="59">
        <f t="shared" si="369"/>
        <v>0</v>
      </c>
      <c r="R1240" s="59">
        <v>1</v>
      </c>
      <c r="S1240" s="59">
        <v>1735</v>
      </c>
      <c r="T1240" s="59">
        <v>3</v>
      </c>
      <c r="U1240" s="59">
        <v>0</v>
      </c>
      <c r="V1240" s="59">
        <v>51</v>
      </c>
      <c r="W1240" s="59">
        <v>3</v>
      </c>
      <c r="X1240" s="59">
        <v>1</v>
      </c>
      <c r="Y1240" s="59">
        <v>3</v>
      </c>
      <c r="Z1240" s="59">
        <f t="shared" si="370"/>
        <v>0</v>
      </c>
      <c r="AA1240" s="59">
        <f>IF('Updated Dummy'!Y1240=2,1,0)</f>
        <v>0</v>
      </c>
      <c r="AB1240" s="59">
        <f t="shared" si="371"/>
        <v>1</v>
      </c>
      <c r="AC1240" s="59">
        <f t="shared" si="372"/>
        <v>0</v>
      </c>
      <c r="AD1240" s="59">
        <f t="shared" si="373"/>
        <v>0</v>
      </c>
      <c r="AE1240" s="59">
        <f t="shared" si="374"/>
        <v>0</v>
      </c>
      <c r="AF1240" s="59">
        <f t="shared" si="375"/>
        <v>0</v>
      </c>
      <c r="AG1240" s="59">
        <f t="shared" si="376"/>
        <v>0</v>
      </c>
      <c r="AH1240" s="59">
        <v>2</v>
      </c>
      <c r="AI1240" s="59">
        <v>1</v>
      </c>
      <c r="AJ1240" s="59">
        <f t="shared" si="377"/>
        <v>1</v>
      </c>
      <c r="AK1240" s="59">
        <f t="shared" si="378"/>
        <v>0</v>
      </c>
      <c r="AL1240" s="59">
        <v>3295</v>
      </c>
      <c r="AM1240" s="59">
        <v>12862</v>
      </c>
      <c r="AN1240" s="59">
        <v>1</v>
      </c>
      <c r="AO1240" s="59">
        <v>0</v>
      </c>
      <c r="AP1240" s="59">
        <v>13</v>
      </c>
      <c r="AQ1240" s="59">
        <v>3</v>
      </c>
      <c r="AR1240" s="59">
        <v>3</v>
      </c>
      <c r="AS1240" s="59">
        <v>80</v>
      </c>
      <c r="AT1240" s="59">
        <v>0</v>
      </c>
      <c r="AU1240" s="59">
        <v>3</v>
      </c>
      <c r="AV1240" s="59">
        <v>3</v>
      </c>
      <c r="AW1240" s="59">
        <v>1</v>
      </c>
      <c r="AX1240" s="59">
        <v>3</v>
      </c>
      <c r="AY1240" s="59">
        <v>2</v>
      </c>
      <c r="AZ1240" s="59">
        <v>1</v>
      </c>
      <c r="BA1240" s="59">
        <v>2</v>
      </c>
      <c r="BB1240" s="57">
        <f t="shared" si="379"/>
        <v>3295</v>
      </c>
    </row>
    <row r="1241" spans="1:54" x14ac:dyDescent="0.25">
      <c r="A1241" s="58">
        <v>31</v>
      </c>
      <c r="B1241" s="59">
        <v>0</v>
      </c>
      <c r="C1241" s="59">
        <v>2</v>
      </c>
      <c r="D1241" s="59">
        <f t="shared" si="361"/>
        <v>0</v>
      </c>
      <c r="E1241" s="59">
        <f t="shared" si="362"/>
        <v>1</v>
      </c>
      <c r="F1241" s="59">
        <v>163</v>
      </c>
      <c r="G1241" s="59">
        <v>2</v>
      </c>
      <c r="H1241" s="59">
        <f t="shared" si="363"/>
        <v>0</v>
      </c>
      <c r="I1241" s="59">
        <f t="shared" si="364"/>
        <v>1</v>
      </c>
      <c r="J1241" s="59">
        <v>24</v>
      </c>
      <c r="K1241" s="59">
        <v>1</v>
      </c>
      <c r="L1241" s="59">
        <v>5</v>
      </c>
      <c r="M1241" s="59">
        <f t="shared" si="365"/>
        <v>0</v>
      </c>
      <c r="N1241" s="59">
        <f t="shared" si="366"/>
        <v>0</v>
      </c>
      <c r="O1241" s="59">
        <f t="shared" si="367"/>
        <v>0</v>
      </c>
      <c r="P1241" s="59">
        <f t="shared" si="368"/>
        <v>0</v>
      </c>
      <c r="Q1241" s="59">
        <f t="shared" si="369"/>
        <v>1</v>
      </c>
      <c r="R1241" s="59">
        <v>1</v>
      </c>
      <c r="S1241" s="59">
        <v>1736</v>
      </c>
      <c r="T1241" s="59">
        <v>4</v>
      </c>
      <c r="U1241" s="59">
        <v>0</v>
      </c>
      <c r="V1241" s="59">
        <v>30</v>
      </c>
      <c r="W1241" s="59">
        <v>3</v>
      </c>
      <c r="X1241" s="59">
        <v>2</v>
      </c>
      <c r="Y1241" s="59">
        <v>4</v>
      </c>
      <c r="Z1241" s="59">
        <f t="shared" si="370"/>
        <v>0</v>
      </c>
      <c r="AA1241" s="59">
        <f>IF('Updated Dummy'!Y1241=2,1,0)</f>
        <v>0</v>
      </c>
      <c r="AB1241" s="59">
        <f t="shared" si="371"/>
        <v>0</v>
      </c>
      <c r="AC1241" s="59">
        <f t="shared" si="372"/>
        <v>1</v>
      </c>
      <c r="AD1241" s="59">
        <f t="shared" si="373"/>
        <v>0</v>
      </c>
      <c r="AE1241" s="59">
        <f t="shared" si="374"/>
        <v>0</v>
      </c>
      <c r="AF1241" s="59">
        <f t="shared" si="375"/>
        <v>0</v>
      </c>
      <c r="AG1241" s="59">
        <f t="shared" si="376"/>
        <v>0</v>
      </c>
      <c r="AH1241" s="59">
        <v>4</v>
      </c>
      <c r="AI1241" s="59">
        <v>1</v>
      </c>
      <c r="AJ1241" s="59">
        <f t="shared" si="377"/>
        <v>1</v>
      </c>
      <c r="AK1241" s="59">
        <f t="shared" si="378"/>
        <v>0</v>
      </c>
      <c r="AL1241" s="59">
        <v>5238</v>
      </c>
      <c r="AM1241" s="59">
        <v>6670</v>
      </c>
      <c r="AN1241" s="59">
        <v>2</v>
      </c>
      <c r="AO1241" s="59">
        <v>0</v>
      </c>
      <c r="AP1241" s="59">
        <v>20</v>
      </c>
      <c r="AQ1241" s="59">
        <v>4</v>
      </c>
      <c r="AR1241" s="59">
        <v>4</v>
      </c>
      <c r="AS1241" s="59">
        <v>80</v>
      </c>
      <c r="AT1241" s="59">
        <v>0</v>
      </c>
      <c r="AU1241" s="59">
        <v>9</v>
      </c>
      <c r="AV1241" s="59">
        <v>3</v>
      </c>
      <c r="AW1241" s="59">
        <v>2</v>
      </c>
      <c r="AX1241" s="59">
        <v>5</v>
      </c>
      <c r="AY1241" s="59">
        <v>4</v>
      </c>
      <c r="AZ1241" s="59">
        <v>1</v>
      </c>
      <c r="BA1241" s="59">
        <v>4</v>
      </c>
      <c r="BB1241" s="57">
        <f t="shared" si="379"/>
        <v>10476</v>
      </c>
    </row>
    <row r="1242" spans="1:54" x14ac:dyDescent="0.25">
      <c r="A1242" s="58">
        <v>39</v>
      </c>
      <c r="B1242" s="59">
        <v>0</v>
      </c>
      <c r="C1242" s="59">
        <v>3</v>
      </c>
      <c r="D1242" s="59">
        <f t="shared" si="361"/>
        <v>0</v>
      </c>
      <c r="E1242" s="59">
        <f t="shared" si="362"/>
        <v>0</v>
      </c>
      <c r="F1242" s="59">
        <v>792</v>
      </c>
      <c r="G1242" s="59">
        <v>2</v>
      </c>
      <c r="H1242" s="59">
        <f t="shared" si="363"/>
        <v>0</v>
      </c>
      <c r="I1242" s="59">
        <f t="shared" si="364"/>
        <v>1</v>
      </c>
      <c r="J1242" s="59">
        <v>1</v>
      </c>
      <c r="K1242" s="59">
        <v>3</v>
      </c>
      <c r="L1242" s="59">
        <v>1</v>
      </c>
      <c r="M1242" s="59">
        <f t="shared" si="365"/>
        <v>1</v>
      </c>
      <c r="N1242" s="59">
        <f t="shared" si="366"/>
        <v>0</v>
      </c>
      <c r="O1242" s="59">
        <f t="shared" si="367"/>
        <v>0</v>
      </c>
      <c r="P1242" s="59">
        <f t="shared" si="368"/>
        <v>0</v>
      </c>
      <c r="Q1242" s="59">
        <f t="shared" si="369"/>
        <v>0</v>
      </c>
      <c r="R1242" s="59">
        <v>1</v>
      </c>
      <c r="S1242" s="59">
        <v>1737</v>
      </c>
      <c r="T1242" s="59">
        <v>4</v>
      </c>
      <c r="U1242" s="59">
        <v>1</v>
      </c>
      <c r="V1242" s="59">
        <v>77</v>
      </c>
      <c r="W1242" s="59">
        <v>3</v>
      </c>
      <c r="X1242" s="59">
        <v>2</v>
      </c>
      <c r="Y1242" s="59">
        <v>3</v>
      </c>
      <c r="Z1242" s="59">
        <f t="shared" si="370"/>
        <v>0</v>
      </c>
      <c r="AA1242" s="59">
        <f>IF('Updated Dummy'!Y1242=2,1,0)</f>
        <v>0</v>
      </c>
      <c r="AB1242" s="59">
        <f t="shared" si="371"/>
        <v>1</v>
      </c>
      <c r="AC1242" s="59">
        <f t="shared" si="372"/>
        <v>0</v>
      </c>
      <c r="AD1242" s="59">
        <f t="shared" si="373"/>
        <v>0</v>
      </c>
      <c r="AE1242" s="59">
        <f t="shared" si="374"/>
        <v>0</v>
      </c>
      <c r="AF1242" s="59">
        <f t="shared" si="375"/>
        <v>0</v>
      </c>
      <c r="AG1242" s="59">
        <f t="shared" si="376"/>
        <v>0</v>
      </c>
      <c r="AH1242" s="59">
        <v>4</v>
      </c>
      <c r="AI1242" s="59">
        <v>2</v>
      </c>
      <c r="AJ1242" s="59">
        <f t="shared" si="377"/>
        <v>0</v>
      </c>
      <c r="AK1242" s="59">
        <f t="shared" si="378"/>
        <v>1</v>
      </c>
      <c r="AL1242" s="59">
        <v>6472</v>
      </c>
      <c r="AM1242" s="59">
        <v>8989</v>
      </c>
      <c r="AN1242" s="59">
        <v>1</v>
      </c>
      <c r="AO1242" s="59">
        <v>1</v>
      </c>
      <c r="AP1242" s="59">
        <v>15</v>
      </c>
      <c r="AQ1242" s="59">
        <v>3</v>
      </c>
      <c r="AR1242" s="59">
        <v>4</v>
      </c>
      <c r="AS1242" s="59">
        <v>80</v>
      </c>
      <c r="AT1242" s="59">
        <v>1</v>
      </c>
      <c r="AU1242" s="59">
        <v>9</v>
      </c>
      <c r="AV1242" s="59">
        <v>2</v>
      </c>
      <c r="AW1242" s="59">
        <v>3</v>
      </c>
      <c r="AX1242" s="59">
        <v>9</v>
      </c>
      <c r="AY1242" s="59">
        <v>8</v>
      </c>
      <c r="AZ1242" s="59">
        <v>5</v>
      </c>
      <c r="BA1242" s="59">
        <v>8</v>
      </c>
      <c r="BB1242" s="57">
        <f t="shared" si="379"/>
        <v>12944</v>
      </c>
    </row>
    <row r="1243" spans="1:54" x14ac:dyDescent="0.25">
      <c r="A1243" s="58">
        <v>32</v>
      </c>
      <c r="B1243" s="59">
        <v>0</v>
      </c>
      <c r="C1243" s="59">
        <v>1</v>
      </c>
      <c r="D1243" s="59">
        <f t="shared" si="361"/>
        <v>1</v>
      </c>
      <c r="E1243" s="59">
        <f t="shared" si="362"/>
        <v>0</v>
      </c>
      <c r="F1243" s="59">
        <v>371</v>
      </c>
      <c r="G1243" s="59">
        <v>1</v>
      </c>
      <c r="H1243" s="59">
        <f t="shared" si="363"/>
        <v>1</v>
      </c>
      <c r="I1243" s="59">
        <f t="shared" si="364"/>
        <v>0</v>
      </c>
      <c r="J1243" s="59">
        <v>19</v>
      </c>
      <c r="K1243" s="59">
        <v>3</v>
      </c>
      <c r="L1243" s="59">
        <v>1</v>
      </c>
      <c r="M1243" s="59">
        <f t="shared" si="365"/>
        <v>1</v>
      </c>
      <c r="N1243" s="59">
        <f t="shared" si="366"/>
        <v>0</v>
      </c>
      <c r="O1243" s="59">
        <f t="shared" si="367"/>
        <v>0</v>
      </c>
      <c r="P1243" s="59">
        <f t="shared" si="368"/>
        <v>0</v>
      </c>
      <c r="Q1243" s="59">
        <f t="shared" si="369"/>
        <v>0</v>
      </c>
      <c r="R1243" s="59">
        <v>1</v>
      </c>
      <c r="S1243" s="59">
        <v>1739</v>
      </c>
      <c r="T1243" s="59">
        <v>4</v>
      </c>
      <c r="U1243" s="59">
        <v>1</v>
      </c>
      <c r="V1243" s="59">
        <v>80</v>
      </c>
      <c r="W1243" s="59">
        <v>1</v>
      </c>
      <c r="X1243" s="59">
        <v>3</v>
      </c>
      <c r="Y1243" s="59">
        <v>1</v>
      </c>
      <c r="Z1243" s="59">
        <f t="shared" si="370"/>
        <v>1</v>
      </c>
      <c r="AA1243" s="59">
        <f>IF('Updated Dummy'!Y1243=2,1,0)</f>
        <v>0</v>
      </c>
      <c r="AB1243" s="59">
        <f t="shared" si="371"/>
        <v>0</v>
      </c>
      <c r="AC1243" s="59">
        <f t="shared" si="372"/>
        <v>0</v>
      </c>
      <c r="AD1243" s="59">
        <f t="shared" si="373"/>
        <v>0</v>
      </c>
      <c r="AE1243" s="59">
        <f t="shared" si="374"/>
        <v>0</v>
      </c>
      <c r="AF1243" s="59">
        <f t="shared" si="375"/>
        <v>0</v>
      </c>
      <c r="AG1243" s="59">
        <f t="shared" si="376"/>
        <v>0</v>
      </c>
      <c r="AH1243" s="59">
        <v>3</v>
      </c>
      <c r="AI1243" s="59">
        <v>2</v>
      </c>
      <c r="AJ1243" s="59">
        <f t="shared" si="377"/>
        <v>0</v>
      </c>
      <c r="AK1243" s="59">
        <f t="shared" si="378"/>
        <v>1</v>
      </c>
      <c r="AL1243" s="59">
        <v>9610</v>
      </c>
      <c r="AM1243" s="59">
        <v>3840</v>
      </c>
      <c r="AN1243" s="59">
        <v>3</v>
      </c>
      <c r="AO1243" s="59">
        <v>0</v>
      </c>
      <c r="AP1243" s="59">
        <v>13</v>
      </c>
      <c r="AQ1243" s="59">
        <v>3</v>
      </c>
      <c r="AR1243" s="59">
        <v>3</v>
      </c>
      <c r="AS1243" s="59">
        <v>80</v>
      </c>
      <c r="AT1243" s="59">
        <v>1</v>
      </c>
      <c r="AU1243" s="59">
        <v>10</v>
      </c>
      <c r="AV1243" s="59">
        <v>2</v>
      </c>
      <c r="AW1243" s="59">
        <v>1</v>
      </c>
      <c r="AX1243" s="59">
        <v>4</v>
      </c>
      <c r="AY1243" s="59">
        <v>3</v>
      </c>
      <c r="AZ1243" s="59">
        <v>0</v>
      </c>
      <c r="BA1243" s="59">
        <v>2</v>
      </c>
      <c r="BB1243" s="57">
        <f t="shared" si="379"/>
        <v>28830</v>
      </c>
    </row>
    <row r="1244" spans="1:54" x14ac:dyDescent="0.25">
      <c r="A1244" s="58">
        <v>40</v>
      </c>
      <c r="B1244" s="59">
        <v>0</v>
      </c>
      <c r="C1244" s="59">
        <v>1</v>
      </c>
      <c r="D1244" s="59">
        <f t="shared" si="361"/>
        <v>1</v>
      </c>
      <c r="E1244" s="59">
        <f t="shared" si="362"/>
        <v>0</v>
      </c>
      <c r="F1244" s="59">
        <v>611</v>
      </c>
      <c r="G1244" s="59">
        <v>1</v>
      </c>
      <c r="H1244" s="59">
        <f t="shared" si="363"/>
        <v>1</v>
      </c>
      <c r="I1244" s="59">
        <f t="shared" si="364"/>
        <v>0</v>
      </c>
      <c r="J1244" s="59">
        <v>7</v>
      </c>
      <c r="K1244" s="59">
        <v>4</v>
      </c>
      <c r="L1244" s="59">
        <v>3</v>
      </c>
      <c r="M1244" s="59">
        <f t="shared" si="365"/>
        <v>0</v>
      </c>
      <c r="N1244" s="59">
        <f t="shared" si="366"/>
        <v>0</v>
      </c>
      <c r="O1244" s="59">
        <f t="shared" si="367"/>
        <v>1</v>
      </c>
      <c r="P1244" s="59">
        <f t="shared" si="368"/>
        <v>0</v>
      </c>
      <c r="Q1244" s="59">
        <f t="shared" si="369"/>
        <v>0</v>
      </c>
      <c r="R1244" s="59">
        <v>1</v>
      </c>
      <c r="S1244" s="59">
        <v>1740</v>
      </c>
      <c r="T1244" s="59">
        <v>2</v>
      </c>
      <c r="U1244" s="59">
        <v>1</v>
      </c>
      <c r="V1244" s="59">
        <v>88</v>
      </c>
      <c r="W1244" s="59">
        <v>3</v>
      </c>
      <c r="X1244" s="59">
        <v>5</v>
      </c>
      <c r="Y1244" s="59">
        <v>6</v>
      </c>
      <c r="Z1244" s="59">
        <f t="shared" si="370"/>
        <v>0</v>
      </c>
      <c r="AA1244" s="59">
        <f>IF('Updated Dummy'!Y1244=2,1,0)</f>
        <v>0</v>
      </c>
      <c r="AB1244" s="59">
        <f t="shared" si="371"/>
        <v>0</v>
      </c>
      <c r="AC1244" s="59">
        <f t="shared" si="372"/>
        <v>0</v>
      </c>
      <c r="AD1244" s="59">
        <f t="shared" si="373"/>
        <v>0</v>
      </c>
      <c r="AE1244" s="59">
        <f t="shared" si="374"/>
        <v>1</v>
      </c>
      <c r="AF1244" s="59">
        <f t="shared" si="375"/>
        <v>0</v>
      </c>
      <c r="AG1244" s="59">
        <f t="shared" si="376"/>
        <v>0</v>
      </c>
      <c r="AH1244" s="59">
        <v>2</v>
      </c>
      <c r="AI1244" s="59">
        <v>1</v>
      </c>
      <c r="AJ1244" s="59">
        <f t="shared" si="377"/>
        <v>1</v>
      </c>
      <c r="AK1244" s="59">
        <f t="shared" si="378"/>
        <v>0</v>
      </c>
      <c r="AL1244" s="59">
        <v>19833</v>
      </c>
      <c r="AM1244" s="59">
        <v>4349</v>
      </c>
      <c r="AN1244" s="59">
        <v>1</v>
      </c>
      <c r="AO1244" s="59">
        <v>0</v>
      </c>
      <c r="AP1244" s="59">
        <v>14</v>
      </c>
      <c r="AQ1244" s="59">
        <v>3</v>
      </c>
      <c r="AR1244" s="59">
        <v>2</v>
      </c>
      <c r="AS1244" s="59">
        <v>80</v>
      </c>
      <c r="AT1244" s="59">
        <v>0</v>
      </c>
      <c r="AU1244" s="59">
        <v>21</v>
      </c>
      <c r="AV1244" s="59">
        <v>3</v>
      </c>
      <c r="AW1244" s="59">
        <v>2</v>
      </c>
      <c r="AX1244" s="59">
        <v>21</v>
      </c>
      <c r="AY1244" s="59">
        <v>8</v>
      </c>
      <c r="AZ1244" s="59">
        <v>12</v>
      </c>
      <c r="BA1244" s="59">
        <v>8</v>
      </c>
      <c r="BB1244" s="57">
        <f t="shared" si="379"/>
        <v>99165</v>
      </c>
    </row>
    <row r="1245" spans="1:54" x14ac:dyDescent="0.25">
      <c r="A1245" s="58">
        <v>45</v>
      </c>
      <c r="B1245" s="59">
        <v>0</v>
      </c>
      <c r="C1245" s="59">
        <v>1</v>
      </c>
      <c r="D1245" s="59">
        <f t="shared" si="361"/>
        <v>1</v>
      </c>
      <c r="E1245" s="59">
        <f t="shared" si="362"/>
        <v>0</v>
      </c>
      <c r="F1245" s="59">
        <v>176</v>
      </c>
      <c r="G1245" s="59">
        <v>3</v>
      </c>
      <c r="H1245" s="59">
        <f t="shared" si="363"/>
        <v>0</v>
      </c>
      <c r="I1245" s="59">
        <f t="shared" si="364"/>
        <v>0</v>
      </c>
      <c r="J1245" s="59">
        <v>4</v>
      </c>
      <c r="K1245" s="59">
        <v>3</v>
      </c>
      <c r="L1245" s="59">
        <v>1</v>
      </c>
      <c r="M1245" s="59">
        <f t="shared" si="365"/>
        <v>1</v>
      </c>
      <c r="N1245" s="59">
        <f t="shared" si="366"/>
        <v>0</v>
      </c>
      <c r="O1245" s="59">
        <f t="shared" si="367"/>
        <v>0</v>
      </c>
      <c r="P1245" s="59">
        <f t="shared" si="368"/>
        <v>0</v>
      </c>
      <c r="Q1245" s="59">
        <f t="shared" si="369"/>
        <v>0</v>
      </c>
      <c r="R1245" s="59">
        <v>1</v>
      </c>
      <c r="S1245" s="59">
        <v>1744</v>
      </c>
      <c r="T1245" s="59">
        <v>3</v>
      </c>
      <c r="U1245" s="59">
        <v>0</v>
      </c>
      <c r="V1245" s="59">
        <v>56</v>
      </c>
      <c r="W1245" s="59">
        <v>1</v>
      </c>
      <c r="X1245" s="59">
        <v>3</v>
      </c>
      <c r="Y1245" s="59">
        <v>9</v>
      </c>
      <c r="Z1245" s="59">
        <f t="shared" si="370"/>
        <v>0</v>
      </c>
      <c r="AA1245" s="59">
        <f>IF('Updated Dummy'!Y1245=2,1,0)</f>
        <v>0</v>
      </c>
      <c r="AB1245" s="59">
        <f t="shared" si="371"/>
        <v>0</v>
      </c>
      <c r="AC1245" s="59">
        <f t="shared" si="372"/>
        <v>0</v>
      </c>
      <c r="AD1245" s="59">
        <f t="shared" si="373"/>
        <v>0</v>
      </c>
      <c r="AE1245" s="59">
        <f t="shared" si="374"/>
        <v>0</v>
      </c>
      <c r="AF1245" s="59">
        <f t="shared" si="375"/>
        <v>0</v>
      </c>
      <c r="AG1245" s="59">
        <f t="shared" si="376"/>
        <v>0</v>
      </c>
      <c r="AH1245" s="59">
        <v>3</v>
      </c>
      <c r="AI1245" s="59">
        <v>2</v>
      </c>
      <c r="AJ1245" s="59">
        <f t="shared" si="377"/>
        <v>0</v>
      </c>
      <c r="AK1245" s="59">
        <f t="shared" si="378"/>
        <v>1</v>
      </c>
      <c r="AL1245" s="59">
        <v>9756</v>
      </c>
      <c r="AM1245" s="59">
        <v>6595</v>
      </c>
      <c r="AN1245" s="59">
        <v>4</v>
      </c>
      <c r="AO1245" s="59">
        <v>0</v>
      </c>
      <c r="AP1245" s="59">
        <v>21</v>
      </c>
      <c r="AQ1245" s="59">
        <v>4</v>
      </c>
      <c r="AR1245" s="59">
        <v>3</v>
      </c>
      <c r="AS1245" s="59">
        <v>80</v>
      </c>
      <c r="AT1245" s="59">
        <v>2</v>
      </c>
      <c r="AU1245" s="59">
        <v>9</v>
      </c>
      <c r="AV1245" s="59">
        <v>2</v>
      </c>
      <c r="AW1245" s="59">
        <v>4</v>
      </c>
      <c r="AX1245" s="59">
        <v>5</v>
      </c>
      <c r="AY1245" s="59">
        <v>0</v>
      </c>
      <c r="AZ1245" s="59">
        <v>0</v>
      </c>
      <c r="BA1245" s="59">
        <v>3</v>
      </c>
      <c r="BB1245" s="57">
        <f t="shared" si="379"/>
        <v>29268</v>
      </c>
    </row>
    <row r="1246" spans="1:54" x14ac:dyDescent="0.25">
      <c r="A1246" s="58">
        <v>30</v>
      </c>
      <c r="B1246" s="59">
        <v>0</v>
      </c>
      <c r="C1246" s="59">
        <v>2</v>
      </c>
      <c r="D1246" s="59">
        <f t="shared" si="361"/>
        <v>0</v>
      </c>
      <c r="E1246" s="59">
        <f t="shared" si="362"/>
        <v>1</v>
      </c>
      <c r="F1246" s="59">
        <v>1312</v>
      </c>
      <c r="G1246" s="59">
        <v>2</v>
      </c>
      <c r="H1246" s="59">
        <f t="shared" si="363"/>
        <v>0</v>
      </c>
      <c r="I1246" s="59">
        <f t="shared" si="364"/>
        <v>1</v>
      </c>
      <c r="J1246" s="59">
        <v>2</v>
      </c>
      <c r="K1246" s="59">
        <v>4</v>
      </c>
      <c r="L1246" s="59">
        <v>5</v>
      </c>
      <c r="M1246" s="59">
        <f t="shared" si="365"/>
        <v>0</v>
      </c>
      <c r="N1246" s="59">
        <f t="shared" si="366"/>
        <v>0</v>
      </c>
      <c r="O1246" s="59">
        <f t="shared" si="367"/>
        <v>0</v>
      </c>
      <c r="P1246" s="59">
        <f t="shared" si="368"/>
        <v>0</v>
      </c>
      <c r="Q1246" s="59">
        <f t="shared" si="369"/>
        <v>1</v>
      </c>
      <c r="R1246" s="59">
        <v>1</v>
      </c>
      <c r="S1246" s="59">
        <v>1745</v>
      </c>
      <c r="T1246" s="59">
        <v>4</v>
      </c>
      <c r="U1246" s="59">
        <v>0</v>
      </c>
      <c r="V1246" s="59">
        <v>78</v>
      </c>
      <c r="W1246" s="59">
        <v>2</v>
      </c>
      <c r="X1246" s="59">
        <v>1</v>
      </c>
      <c r="Y1246" s="59">
        <v>2</v>
      </c>
      <c r="Z1246" s="59">
        <f t="shared" si="370"/>
        <v>0</v>
      </c>
      <c r="AA1246" s="59">
        <f>IF('Updated Dummy'!Y1246=2,1,0)</f>
        <v>1</v>
      </c>
      <c r="AB1246" s="59">
        <f t="shared" si="371"/>
        <v>0</v>
      </c>
      <c r="AC1246" s="59">
        <f t="shared" si="372"/>
        <v>0</v>
      </c>
      <c r="AD1246" s="59">
        <f t="shared" si="373"/>
        <v>0</v>
      </c>
      <c r="AE1246" s="59">
        <f t="shared" si="374"/>
        <v>0</v>
      </c>
      <c r="AF1246" s="59">
        <f t="shared" si="375"/>
        <v>0</v>
      </c>
      <c r="AG1246" s="59">
        <f t="shared" si="376"/>
        <v>0</v>
      </c>
      <c r="AH1246" s="59">
        <v>1</v>
      </c>
      <c r="AI1246" s="59">
        <v>1</v>
      </c>
      <c r="AJ1246" s="59">
        <f t="shared" si="377"/>
        <v>1</v>
      </c>
      <c r="AK1246" s="59">
        <f t="shared" si="378"/>
        <v>0</v>
      </c>
      <c r="AL1246" s="59">
        <v>4968</v>
      </c>
      <c r="AM1246" s="59">
        <v>26427</v>
      </c>
      <c r="AN1246" s="59">
        <v>0</v>
      </c>
      <c r="AO1246" s="59">
        <v>0</v>
      </c>
      <c r="AP1246" s="59">
        <v>16</v>
      </c>
      <c r="AQ1246" s="59">
        <v>3</v>
      </c>
      <c r="AR1246" s="59">
        <v>4</v>
      </c>
      <c r="AS1246" s="59">
        <v>80</v>
      </c>
      <c r="AT1246" s="59">
        <v>0</v>
      </c>
      <c r="AU1246" s="59">
        <v>10</v>
      </c>
      <c r="AV1246" s="59">
        <v>2</v>
      </c>
      <c r="AW1246" s="59">
        <v>3</v>
      </c>
      <c r="AX1246" s="59">
        <v>9</v>
      </c>
      <c r="AY1246" s="59">
        <v>7</v>
      </c>
      <c r="AZ1246" s="59">
        <v>0</v>
      </c>
      <c r="BA1246" s="59">
        <v>7</v>
      </c>
      <c r="BB1246" s="57">
        <f t="shared" si="379"/>
        <v>4968</v>
      </c>
    </row>
    <row r="1247" spans="1:54" x14ac:dyDescent="0.25">
      <c r="A1247" s="58">
        <v>24</v>
      </c>
      <c r="B1247" s="59">
        <v>0</v>
      </c>
      <c r="C1247" s="59">
        <v>2</v>
      </c>
      <c r="D1247" s="59">
        <f t="shared" si="361"/>
        <v>0</v>
      </c>
      <c r="E1247" s="59">
        <f t="shared" si="362"/>
        <v>1</v>
      </c>
      <c r="F1247" s="59">
        <v>897</v>
      </c>
      <c r="G1247" s="59">
        <v>3</v>
      </c>
      <c r="H1247" s="59">
        <f t="shared" si="363"/>
        <v>0</v>
      </c>
      <c r="I1247" s="59">
        <f t="shared" si="364"/>
        <v>0</v>
      </c>
      <c r="J1247" s="59">
        <v>10</v>
      </c>
      <c r="K1247" s="59">
        <v>3</v>
      </c>
      <c r="L1247" s="59">
        <v>3</v>
      </c>
      <c r="M1247" s="59">
        <f t="shared" si="365"/>
        <v>0</v>
      </c>
      <c r="N1247" s="59">
        <f t="shared" si="366"/>
        <v>0</v>
      </c>
      <c r="O1247" s="59">
        <f t="shared" si="367"/>
        <v>1</v>
      </c>
      <c r="P1247" s="59">
        <f t="shared" si="368"/>
        <v>0</v>
      </c>
      <c r="Q1247" s="59">
        <f t="shared" si="369"/>
        <v>0</v>
      </c>
      <c r="R1247" s="59">
        <v>1</v>
      </c>
      <c r="S1247" s="59">
        <v>1746</v>
      </c>
      <c r="T1247" s="59">
        <v>1</v>
      </c>
      <c r="U1247" s="59">
        <v>1</v>
      </c>
      <c r="V1247" s="59">
        <v>59</v>
      </c>
      <c r="W1247" s="59">
        <v>3</v>
      </c>
      <c r="X1247" s="59">
        <v>1</v>
      </c>
      <c r="Y1247" s="59">
        <v>9</v>
      </c>
      <c r="Z1247" s="59">
        <f t="shared" si="370"/>
        <v>0</v>
      </c>
      <c r="AA1247" s="59">
        <f>IF('Updated Dummy'!Y1247=2,1,0)</f>
        <v>0</v>
      </c>
      <c r="AB1247" s="59">
        <f t="shared" si="371"/>
        <v>0</v>
      </c>
      <c r="AC1247" s="59">
        <f t="shared" si="372"/>
        <v>0</v>
      </c>
      <c r="AD1247" s="59">
        <f t="shared" si="373"/>
        <v>0</v>
      </c>
      <c r="AE1247" s="59">
        <f t="shared" si="374"/>
        <v>0</v>
      </c>
      <c r="AF1247" s="59">
        <f t="shared" si="375"/>
        <v>0</v>
      </c>
      <c r="AG1247" s="59">
        <f t="shared" si="376"/>
        <v>0</v>
      </c>
      <c r="AH1247" s="59">
        <v>4</v>
      </c>
      <c r="AI1247" s="59">
        <v>2</v>
      </c>
      <c r="AJ1247" s="59">
        <f t="shared" si="377"/>
        <v>0</v>
      </c>
      <c r="AK1247" s="59">
        <f t="shared" si="378"/>
        <v>1</v>
      </c>
      <c r="AL1247" s="59">
        <v>2145</v>
      </c>
      <c r="AM1247" s="59">
        <v>2097</v>
      </c>
      <c r="AN1247" s="59">
        <v>0</v>
      </c>
      <c r="AO1247" s="59">
        <v>0</v>
      </c>
      <c r="AP1247" s="59">
        <v>14</v>
      </c>
      <c r="AQ1247" s="59">
        <v>3</v>
      </c>
      <c r="AR1247" s="59">
        <v>4</v>
      </c>
      <c r="AS1247" s="59">
        <v>80</v>
      </c>
      <c r="AT1247" s="59">
        <v>1</v>
      </c>
      <c r="AU1247" s="59">
        <v>3</v>
      </c>
      <c r="AV1247" s="59">
        <v>2</v>
      </c>
      <c r="AW1247" s="59">
        <v>3</v>
      </c>
      <c r="AX1247" s="59">
        <v>2</v>
      </c>
      <c r="AY1247" s="59">
        <v>2</v>
      </c>
      <c r="AZ1247" s="59">
        <v>2</v>
      </c>
      <c r="BA1247" s="59">
        <v>1</v>
      </c>
      <c r="BB1247" s="57">
        <f t="shared" si="379"/>
        <v>2145</v>
      </c>
    </row>
    <row r="1248" spans="1:54" x14ac:dyDescent="0.25">
      <c r="A1248" s="58">
        <v>30</v>
      </c>
      <c r="B1248" s="59">
        <v>1</v>
      </c>
      <c r="C1248" s="59">
        <v>2</v>
      </c>
      <c r="D1248" s="59">
        <f t="shared" si="361"/>
        <v>0</v>
      </c>
      <c r="E1248" s="59">
        <f t="shared" si="362"/>
        <v>1</v>
      </c>
      <c r="F1248" s="59">
        <v>600</v>
      </c>
      <c r="G1248" s="59">
        <v>3</v>
      </c>
      <c r="H1248" s="59">
        <f t="shared" si="363"/>
        <v>0</v>
      </c>
      <c r="I1248" s="59">
        <f t="shared" si="364"/>
        <v>0</v>
      </c>
      <c r="J1248" s="59">
        <v>8</v>
      </c>
      <c r="K1248" s="59">
        <v>3</v>
      </c>
      <c r="L1248" s="59">
        <v>2</v>
      </c>
      <c r="M1248" s="59">
        <f t="shared" si="365"/>
        <v>0</v>
      </c>
      <c r="N1248" s="59">
        <f t="shared" si="366"/>
        <v>1</v>
      </c>
      <c r="O1248" s="59">
        <f t="shared" si="367"/>
        <v>0</v>
      </c>
      <c r="P1248" s="59">
        <f t="shared" si="368"/>
        <v>0</v>
      </c>
      <c r="Q1248" s="59">
        <f t="shared" si="369"/>
        <v>0</v>
      </c>
      <c r="R1248" s="59">
        <v>1</v>
      </c>
      <c r="S1248" s="59">
        <v>1747</v>
      </c>
      <c r="T1248" s="59">
        <v>3</v>
      </c>
      <c r="U1248" s="59">
        <v>0</v>
      </c>
      <c r="V1248" s="59">
        <v>66</v>
      </c>
      <c r="W1248" s="59">
        <v>2</v>
      </c>
      <c r="X1248" s="59">
        <v>1</v>
      </c>
      <c r="Y1248" s="59">
        <v>9</v>
      </c>
      <c r="Z1248" s="59">
        <f t="shared" si="370"/>
        <v>0</v>
      </c>
      <c r="AA1248" s="59">
        <f>IF('Updated Dummy'!Y1248=2,1,0)</f>
        <v>0</v>
      </c>
      <c r="AB1248" s="59">
        <f t="shared" si="371"/>
        <v>0</v>
      </c>
      <c r="AC1248" s="59">
        <f t="shared" si="372"/>
        <v>0</v>
      </c>
      <c r="AD1248" s="59">
        <f t="shared" si="373"/>
        <v>0</v>
      </c>
      <c r="AE1248" s="59">
        <f t="shared" si="374"/>
        <v>0</v>
      </c>
      <c r="AF1248" s="59">
        <f t="shared" si="375"/>
        <v>0</v>
      </c>
      <c r="AG1248" s="59">
        <f t="shared" si="376"/>
        <v>0</v>
      </c>
      <c r="AH1248" s="59">
        <v>4</v>
      </c>
      <c r="AI1248" s="59">
        <v>3</v>
      </c>
      <c r="AJ1248" s="59">
        <f t="shared" si="377"/>
        <v>0</v>
      </c>
      <c r="AK1248" s="59">
        <f t="shared" si="378"/>
        <v>0</v>
      </c>
      <c r="AL1248" s="59">
        <v>2180</v>
      </c>
      <c r="AM1248" s="59">
        <v>9732</v>
      </c>
      <c r="AN1248" s="59">
        <v>6</v>
      </c>
      <c r="AO1248" s="59">
        <v>0</v>
      </c>
      <c r="AP1248" s="59">
        <v>11</v>
      </c>
      <c r="AQ1248" s="59">
        <v>3</v>
      </c>
      <c r="AR1248" s="59">
        <v>3</v>
      </c>
      <c r="AS1248" s="59">
        <v>80</v>
      </c>
      <c r="AT1248" s="59">
        <v>1</v>
      </c>
      <c r="AU1248" s="59">
        <v>6</v>
      </c>
      <c r="AV1248" s="59">
        <v>0</v>
      </c>
      <c r="AW1248" s="59">
        <v>2</v>
      </c>
      <c r="AX1248" s="59">
        <v>4</v>
      </c>
      <c r="AY1248" s="59">
        <v>2</v>
      </c>
      <c r="AZ1248" s="59">
        <v>1</v>
      </c>
      <c r="BA1248" s="59">
        <v>2</v>
      </c>
      <c r="BB1248" s="57">
        <f t="shared" si="379"/>
        <v>2180</v>
      </c>
    </row>
    <row r="1249" spans="1:54" x14ac:dyDescent="0.25">
      <c r="A1249" s="58">
        <v>31</v>
      </c>
      <c r="B1249" s="59">
        <v>0</v>
      </c>
      <c r="C1249" s="59">
        <v>1</v>
      </c>
      <c r="D1249" s="59">
        <f t="shared" si="361"/>
        <v>1</v>
      </c>
      <c r="E1249" s="59">
        <f t="shared" si="362"/>
        <v>0</v>
      </c>
      <c r="F1249" s="59">
        <v>1003</v>
      </c>
      <c r="G1249" s="59">
        <v>1</v>
      </c>
      <c r="H1249" s="59">
        <f t="shared" si="363"/>
        <v>1</v>
      </c>
      <c r="I1249" s="59">
        <f t="shared" si="364"/>
        <v>0</v>
      </c>
      <c r="J1249" s="59">
        <v>5</v>
      </c>
      <c r="K1249" s="59">
        <v>3</v>
      </c>
      <c r="L1249" s="59">
        <v>5</v>
      </c>
      <c r="M1249" s="59">
        <f t="shared" si="365"/>
        <v>0</v>
      </c>
      <c r="N1249" s="59">
        <f t="shared" si="366"/>
        <v>0</v>
      </c>
      <c r="O1249" s="59">
        <f t="shared" si="367"/>
        <v>0</v>
      </c>
      <c r="P1249" s="59">
        <f t="shared" si="368"/>
        <v>0</v>
      </c>
      <c r="Q1249" s="59">
        <f t="shared" si="369"/>
        <v>1</v>
      </c>
      <c r="R1249" s="59">
        <v>1</v>
      </c>
      <c r="S1249" s="59">
        <v>1749</v>
      </c>
      <c r="T1249" s="59">
        <v>1</v>
      </c>
      <c r="U1249" s="59">
        <v>1</v>
      </c>
      <c r="V1249" s="59">
        <v>51</v>
      </c>
      <c r="W1249" s="59">
        <v>3</v>
      </c>
      <c r="X1249" s="59">
        <v>2</v>
      </c>
      <c r="Y1249" s="59">
        <v>1</v>
      </c>
      <c r="Z1249" s="59">
        <f t="shared" si="370"/>
        <v>1</v>
      </c>
      <c r="AA1249" s="59">
        <f>IF('Updated Dummy'!Y1249=2,1,0)</f>
        <v>0</v>
      </c>
      <c r="AB1249" s="59">
        <f t="shared" si="371"/>
        <v>0</v>
      </c>
      <c r="AC1249" s="59">
        <f t="shared" si="372"/>
        <v>0</v>
      </c>
      <c r="AD1249" s="59">
        <f t="shared" si="373"/>
        <v>0</v>
      </c>
      <c r="AE1249" s="59">
        <f t="shared" si="374"/>
        <v>0</v>
      </c>
      <c r="AF1249" s="59">
        <f t="shared" si="375"/>
        <v>0</v>
      </c>
      <c r="AG1249" s="59">
        <f t="shared" si="376"/>
        <v>0</v>
      </c>
      <c r="AH1249" s="59">
        <v>3</v>
      </c>
      <c r="AI1249" s="59">
        <v>2</v>
      </c>
      <c r="AJ1249" s="59">
        <f t="shared" si="377"/>
        <v>0</v>
      </c>
      <c r="AK1249" s="59">
        <f t="shared" si="378"/>
        <v>1</v>
      </c>
      <c r="AL1249" s="59">
        <v>8346</v>
      </c>
      <c r="AM1249" s="59">
        <v>20943</v>
      </c>
      <c r="AN1249" s="59">
        <v>1</v>
      </c>
      <c r="AO1249" s="59">
        <v>0</v>
      </c>
      <c r="AP1249" s="59">
        <v>19</v>
      </c>
      <c r="AQ1249" s="59">
        <v>3</v>
      </c>
      <c r="AR1249" s="59">
        <v>3</v>
      </c>
      <c r="AS1249" s="59">
        <v>80</v>
      </c>
      <c r="AT1249" s="59">
        <v>1</v>
      </c>
      <c r="AU1249" s="59">
        <v>6</v>
      </c>
      <c r="AV1249" s="59">
        <v>3</v>
      </c>
      <c r="AW1249" s="59">
        <v>3</v>
      </c>
      <c r="AX1249" s="59">
        <v>5</v>
      </c>
      <c r="AY1249" s="59">
        <v>2</v>
      </c>
      <c r="AZ1249" s="59">
        <v>0</v>
      </c>
      <c r="BA1249" s="59">
        <v>2</v>
      </c>
      <c r="BB1249" s="57">
        <f t="shared" si="379"/>
        <v>16692</v>
      </c>
    </row>
    <row r="1250" spans="1:54" x14ac:dyDescent="0.25">
      <c r="A1250" s="58">
        <v>27</v>
      </c>
      <c r="B1250" s="59">
        <v>0</v>
      </c>
      <c r="C1250" s="59">
        <v>1</v>
      </c>
      <c r="D1250" s="59">
        <f t="shared" si="361"/>
        <v>1</v>
      </c>
      <c r="E1250" s="59">
        <f t="shared" si="362"/>
        <v>0</v>
      </c>
      <c r="F1250" s="59">
        <v>1054</v>
      </c>
      <c r="G1250" s="59">
        <v>2</v>
      </c>
      <c r="H1250" s="59">
        <f t="shared" si="363"/>
        <v>0</v>
      </c>
      <c r="I1250" s="59">
        <f t="shared" si="364"/>
        <v>1</v>
      </c>
      <c r="J1250" s="59">
        <v>8</v>
      </c>
      <c r="K1250" s="59">
        <v>3</v>
      </c>
      <c r="L1250" s="59">
        <v>3</v>
      </c>
      <c r="M1250" s="59">
        <f t="shared" si="365"/>
        <v>0</v>
      </c>
      <c r="N1250" s="59">
        <f t="shared" si="366"/>
        <v>0</v>
      </c>
      <c r="O1250" s="59">
        <f t="shared" si="367"/>
        <v>1</v>
      </c>
      <c r="P1250" s="59">
        <f t="shared" si="368"/>
        <v>0</v>
      </c>
      <c r="Q1250" s="59">
        <f t="shared" si="369"/>
        <v>0</v>
      </c>
      <c r="R1250" s="59">
        <v>1</v>
      </c>
      <c r="S1250" s="59">
        <v>1751</v>
      </c>
      <c r="T1250" s="59">
        <v>3</v>
      </c>
      <c r="U1250" s="59">
        <v>0</v>
      </c>
      <c r="V1250" s="59">
        <v>67</v>
      </c>
      <c r="W1250" s="59">
        <v>3</v>
      </c>
      <c r="X1250" s="59">
        <v>1</v>
      </c>
      <c r="Y1250" s="59">
        <v>2</v>
      </c>
      <c r="Z1250" s="59">
        <f t="shared" si="370"/>
        <v>0</v>
      </c>
      <c r="AA1250" s="59">
        <f>IF('Updated Dummy'!Y1250=2,1,0)</f>
        <v>1</v>
      </c>
      <c r="AB1250" s="59">
        <f t="shared" si="371"/>
        <v>0</v>
      </c>
      <c r="AC1250" s="59">
        <f t="shared" si="372"/>
        <v>0</v>
      </c>
      <c r="AD1250" s="59">
        <f t="shared" si="373"/>
        <v>0</v>
      </c>
      <c r="AE1250" s="59">
        <f t="shared" si="374"/>
        <v>0</v>
      </c>
      <c r="AF1250" s="59">
        <f t="shared" si="375"/>
        <v>0</v>
      </c>
      <c r="AG1250" s="59">
        <f t="shared" si="376"/>
        <v>0</v>
      </c>
      <c r="AH1250" s="59">
        <v>4</v>
      </c>
      <c r="AI1250" s="59">
        <v>1</v>
      </c>
      <c r="AJ1250" s="59">
        <f t="shared" si="377"/>
        <v>1</v>
      </c>
      <c r="AK1250" s="59">
        <f t="shared" si="378"/>
        <v>0</v>
      </c>
      <c r="AL1250" s="59">
        <v>3445</v>
      </c>
      <c r="AM1250" s="59">
        <v>6152</v>
      </c>
      <c r="AN1250" s="59">
        <v>1</v>
      </c>
      <c r="AO1250" s="59">
        <v>0</v>
      </c>
      <c r="AP1250" s="59">
        <v>11</v>
      </c>
      <c r="AQ1250" s="59">
        <v>3</v>
      </c>
      <c r="AR1250" s="59">
        <v>3</v>
      </c>
      <c r="AS1250" s="59">
        <v>80</v>
      </c>
      <c r="AT1250" s="59">
        <v>0</v>
      </c>
      <c r="AU1250" s="59">
        <v>6</v>
      </c>
      <c r="AV1250" s="59">
        <v>5</v>
      </c>
      <c r="AW1250" s="59">
        <v>2</v>
      </c>
      <c r="AX1250" s="59">
        <v>6</v>
      </c>
      <c r="AY1250" s="59">
        <v>2</v>
      </c>
      <c r="AZ1250" s="59">
        <v>1</v>
      </c>
      <c r="BA1250" s="59">
        <v>4</v>
      </c>
      <c r="BB1250" s="57">
        <f t="shared" si="379"/>
        <v>3445</v>
      </c>
    </row>
    <row r="1251" spans="1:54" x14ac:dyDescent="0.25">
      <c r="A1251" s="58">
        <v>29</v>
      </c>
      <c r="B1251" s="59">
        <v>1</v>
      </c>
      <c r="C1251" s="59">
        <v>1</v>
      </c>
      <c r="D1251" s="59">
        <f t="shared" si="361"/>
        <v>1</v>
      </c>
      <c r="E1251" s="59">
        <f t="shared" si="362"/>
        <v>0</v>
      </c>
      <c r="F1251" s="59">
        <v>428</v>
      </c>
      <c r="G1251" s="59">
        <v>1</v>
      </c>
      <c r="H1251" s="59">
        <f t="shared" si="363"/>
        <v>1</v>
      </c>
      <c r="I1251" s="59">
        <f t="shared" si="364"/>
        <v>0</v>
      </c>
      <c r="J1251" s="59">
        <v>9</v>
      </c>
      <c r="K1251" s="59">
        <v>3</v>
      </c>
      <c r="L1251" s="59">
        <v>4</v>
      </c>
      <c r="M1251" s="59">
        <f t="shared" si="365"/>
        <v>0</v>
      </c>
      <c r="N1251" s="59">
        <f t="shared" si="366"/>
        <v>0</v>
      </c>
      <c r="O1251" s="59">
        <f t="shared" si="367"/>
        <v>0</v>
      </c>
      <c r="P1251" s="59">
        <f t="shared" si="368"/>
        <v>1</v>
      </c>
      <c r="Q1251" s="59">
        <f t="shared" si="369"/>
        <v>0</v>
      </c>
      <c r="R1251" s="59">
        <v>1</v>
      </c>
      <c r="S1251" s="59">
        <v>1752</v>
      </c>
      <c r="T1251" s="59">
        <v>2</v>
      </c>
      <c r="U1251" s="59">
        <v>0</v>
      </c>
      <c r="V1251" s="59">
        <v>52</v>
      </c>
      <c r="W1251" s="59">
        <v>1</v>
      </c>
      <c r="X1251" s="59">
        <v>1</v>
      </c>
      <c r="Y1251" s="59">
        <v>7</v>
      </c>
      <c r="Z1251" s="59">
        <f t="shared" si="370"/>
        <v>0</v>
      </c>
      <c r="AA1251" s="59">
        <f>IF('Updated Dummy'!Y1251=2,1,0)</f>
        <v>0</v>
      </c>
      <c r="AB1251" s="59">
        <f t="shared" si="371"/>
        <v>0</v>
      </c>
      <c r="AC1251" s="59">
        <f t="shared" si="372"/>
        <v>0</v>
      </c>
      <c r="AD1251" s="59">
        <f t="shared" si="373"/>
        <v>0</v>
      </c>
      <c r="AE1251" s="59">
        <f t="shared" si="374"/>
        <v>0</v>
      </c>
      <c r="AF1251" s="59">
        <f t="shared" si="375"/>
        <v>1</v>
      </c>
      <c r="AG1251" s="59">
        <f t="shared" si="376"/>
        <v>0</v>
      </c>
      <c r="AH1251" s="59">
        <v>2</v>
      </c>
      <c r="AI1251" s="59">
        <v>1</v>
      </c>
      <c r="AJ1251" s="59">
        <f t="shared" si="377"/>
        <v>1</v>
      </c>
      <c r="AK1251" s="59">
        <f t="shared" si="378"/>
        <v>0</v>
      </c>
      <c r="AL1251" s="59">
        <v>2760</v>
      </c>
      <c r="AM1251" s="59">
        <v>14630</v>
      </c>
      <c r="AN1251" s="59">
        <v>1</v>
      </c>
      <c r="AO1251" s="59">
        <v>0</v>
      </c>
      <c r="AP1251" s="59">
        <v>13</v>
      </c>
      <c r="AQ1251" s="59">
        <v>3</v>
      </c>
      <c r="AR1251" s="59">
        <v>3</v>
      </c>
      <c r="AS1251" s="59">
        <v>80</v>
      </c>
      <c r="AT1251" s="59">
        <v>0</v>
      </c>
      <c r="AU1251" s="59">
        <v>2</v>
      </c>
      <c r="AV1251" s="59">
        <v>3</v>
      </c>
      <c r="AW1251" s="59">
        <v>3</v>
      </c>
      <c r="AX1251" s="59">
        <v>2</v>
      </c>
      <c r="AY1251" s="59">
        <v>2</v>
      </c>
      <c r="AZ1251" s="59">
        <v>2</v>
      </c>
      <c r="BA1251" s="59">
        <v>2</v>
      </c>
      <c r="BB1251" s="57">
        <f t="shared" si="379"/>
        <v>2760</v>
      </c>
    </row>
    <row r="1252" spans="1:54" x14ac:dyDescent="0.25">
      <c r="A1252" s="58">
        <v>29</v>
      </c>
      <c r="B1252" s="59">
        <v>0</v>
      </c>
      <c r="C1252" s="59">
        <v>2</v>
      </c>
      <c r="D1252" s="59">
        <f t="shared" si="361"/>
        <v>0</v>
      </c>
      <c r="E1252" s="59">
        <f t="shared" si="362"/>
        <v>1</v>
      </c>
      <c r="F1252" s="59">
        <v>461</v>
      </c>
      <c r="G1252" s="59">
        <v>2</v>
      </c>
      <c r="H1252" s="59">
        <f t="shared" si="363"/>
        <v>0</v>
      </c>
      <c r="I1252" s="59">
        <f t="shared" si="364"/>
        <v>1</v>
      </c>
      <c r="J1252" s="59">
        <v>1</v>
      </c>
      <c r="K1252" s="59">
        <v>3</v>
      </c>
      <c r="L1252" s="59">
        <v>1</v>
      </c>
      <c r="M1252" s="59">
        <f t="shared" si="365"/>
        <v>1</v>
      </c>
      <c r="N1252" s="59">
        <f t="shared" si="366"/>
        <v>0</v>
      </c>
      <c r="O1252" s="59">
        <f t="shared" si="367"/>
        <v>0</v>
      </c>
      <c r="P1252" s="59">
        <f t="shared" si="368"/>
        <v>0</v>
      </c>
      <c r="Q1252" s="59">
        <f t="shared" si="369"/>
        <v>0</v>
      </c>
      <c r="R1252" s="59">
        <v>1</v>
      </c>
      <c r="S1252" s="59">
        <v>1753</v>
      </c>
      <c r="T1252" s="59">
        <v>4</v>
      </c>
      <c r="U1252" s="59">
        <v>1</v>
      </c>
      <c r="V1252" s="59">
        <v>70</v>
      </c>
      <c r="W1252" s="59">
        <v>4</v>
      </c>
      <c r="X1252" s="59">
        <v>2</v>
      </c>
      <c r="Y1252" s="59">
        <v>5</v>
      </c>
      <c r="Z1252" s="59">
        <f t="shared" si="370"/>
        <v>0</v>
      </c>
      <c r="AA1252" s="59">
        <f>IF('Updated Dummy'!Y1252=2,1,0)</f>
        <v>0</v>
      </c>
      <c r="AB1252" s="59">
        <f t="shared" si="371"/>
        <v>0</v>
      </c>
      <c r="AC1252" s="59">
        <f t="shared" si="372"/>
        <v>0</v>
      </c>
      <c r="AD1252" s="59">
        <f t="shared" si="373"/>
        <v>1</v>
      </c>
      <c r="AE1252" s="59">
        <f t="shared" si="374"/>
        <v>0</v>
      </c>
      <c r="AF1252" s="59">
        <f t="shared" si="375"/>
        <v>0</v>
      </c>
      <c r="AG1252" s="59">
        <f t="shared" si="376"/>
        <v>0</v>
      </c>
      <c r="AH1252" s="59">
        <v>3</v>
      </c>
      <c r="AI1252" s="59">
        <v>1</v>
      </c>
      <c r="AJ1252" s="59">
        <f t="shared" si="377"/>
        <v>1</v>
      </c>
      <c r="AK1252" s="59">
        <f t="shared" si="378"/>
        <v>0</v>
      </c>
      <c r="AL1252" s="59">
        <v>6294</v>
      </c>
      <c r="AM1252" s="59">
        <v>23060</v>
      </c>
      <c r="AN1252" s="59">
        <v>8</v>
      </c>
      <c r="AO1252" s="59">
        <v>1</v>
      </c>
      <c r="AP1252" s="59">
        <v>12</v>
      </c>
      <c r="AQ1252" s="59">
        <v>3</v>
      </c>
      <c r="AR1252" s="59">
        <v>4</v>
      </c>
      <c r="AS1252" s="59">
        <v>80</v>
      </c>
      <c r="AT1252" s="59">
        <v>0</v>
      </c>
      <c r="AU1252" s="59">
        <v>10</v>
      </c>
      <c r="AV1252" s="59">
        <v>5</v>
      </c>
      <c r="AW1252" s="59">
        <v>4</v>
      </c>
      <c r="AX1252" s="59">
        <v>3</v>
      </c>
      <c r="AY1252" s="59">
        <v>2</v>
      </c>
      <c r="AZ1252" s="59">
        <v>0</v>
      </c>
      <c r="BA1252" s="59">
        <v>2</v>
      </c>
      <c r="BB1252" s="57">
        <f t="shared" si="379"/>
        <v>12588</v>
      </c>
    </row>
    <row r="1253" spans="1:54" x14ac:dyDescent="0.25">
      <c r="A1253" s="58">
        <v>30</v>
      </c>
      <c r="B1253" s="59">
        <v>0</v>
      </c>
      <c r="C1253" s="59">
        <v>1</v>
      </c>
      <c r="D1253" s="59">
        <f t="shared" si="361"/>
        <v>1</v>
      </c>
      <c r="E1253" s="59">
        <f t="shared" si="362"/>
        <v>0</v>
      </c>
      <c r="F1253" s="59">
        <v>979</v>
      </c>
      <c r="G1253" s="59">
        <v>1</v>
      </c>
      <c r="H1253" s="59">
        <f t="shared" si="363"/>
        <v>1</v>
      </c>
      <c r="I1253" s="59">
        <f t="shared" si="364"/>
        <v>0</v>
      </c>
      <c r="J1253" s="59">
        <v>15</v>
      </c>
      <c r="K1253" s="59">
        <v>2</v>
      </c>
      <c r="L1253" s="59">
        <v>4</v>
      </c>
      <c r="M1253" s="59">
        <f t="shared" si="365"/>
        <v>0</v>
      </c>
      <c r="N1253" s="59">
        <f t="shared" si="366"/>
        <v>0</v>
      </c>
      <c r="O1253" s="59">
        <f t="shared" si="367"/>
        <v>0</v>
      </c>
      <c r="P1253" s="59">
        <f t="shared" si="368"/>
        <v>1</v>
      </c>
      <c r="Q1253" s="59">
        <f t="shared" si="369"/>
        <v>0</v>
      </c>
      <c r="R1253" s="59">
        <v>1</v>
      </c>
      <c r="S1253" s="59">
        <v>1754</v>
      </c>
      <c r="T1253" s="59">
        <v>3</v>
      </c>
      <c r="U1253" s="59">
        <v>1</v>
      </c>
      <c r="V1253" s="59">
        <v>94</v>
      </c>
      <c r="W1253" s="59">
        <v>2</v>
      </c>
      <c r="X1253" s="59">
        <v>3</v>
      </c>
      <c r="Y1253" s="59">
        <v>1</v>
      </c>
      <c r="Z1253" s="59">
        <f t="shared" si="370"/>
        <v>1</v>
      </c>
      <c r="AA1253" s="59">
        <f>IF('Updated Dummy'!Y1253=2,1,0)</f>
        <v>0</v>
      </c>
      <c r="AB1253" s="59">
        <f t="shared" si="371"/>
        <v>0</v>
      </c>
      <c r="AC1253" s="59">
        <f t="shared" si="372"/>
        <v>0</v>
      </c>
      <c r="AD1253" s="59">
        <f t="shared" si="373"/>
        <v>0</v>
      </c>
      <c r="AE1253" s="59">
        <f t="shared" si="374"/>
        <v>0</v>
      </c>
      <c r="AF1253" s="59">
        <f t="shared" si="375"/>
        <v>0</v>
      </c>
      <c r="AG1253" s="59">
        <f t="shared" si="376"/>
        <v>0</v>
      </c>
      <c r="AH1253" s="59">
        <v>1</v>
      </c>
      <c r="AI1253" s="59">
        <v>3</v>
      </c>
      <c r="AJ1253" s="59">
        <f t="shared" si="377"/>
        <v>0</v>
      </c>
      <c r="AK1253" s="59">
        <f t="shared" si="378"/>
        <v>0</v>
      </c>
      <c r="AL1253" s="59">
        <v>7140</v>
      </c>
      <c r="AM1253" s="59">
        <v>3088</v>
      </c>
      <c r="AN1253" s="59">
        <v>2</v>
      </c>
      <c r="AO1253" s="59">
        <v>0</v>
      </c>
      <c r="AP1253" s="59">
        <v>11</v>
      </c>
      <c r="AQ1253" s="59">
        <v>3</v>
      </c>
      <c r="AR1253" s="59">
        <v>1</v>
      </c>
      <c r="AS1253" s="59">
        <v>80</v>
      </c>
      <c r="AT1253" s="59">
        <v>1</v>
      </c>
      <c r="AU1253" s="59">
        <v>12</v>
      </c>
      <c r="AV1253" s="59">
        <v>2</v>
      </c>
      <c r="AW1253" s="59">
        <v>3</v>
      </c>
      <c r="AX1253" s="59">
        <v>7</v>
      </c>
      <c r="AY1253" s="59">
        <v>7</v>
      </c>
      <c r="AZ1253" s="59">
        <v>1</v>
      </c>
      <c r="BA1253" s="59">
        <v>7</v>
      </c>
      <c r="BB1253" s="57">
        <f t="shared" si="379"/>
        <v>21420</v>
      </c>
    </row>
    <row r="1254" spans="1:54" x14ac:dyDescent="0.25">
      <c r="A1254" s="58">
        <v>34</v>
      </c>
      <c r="B1254" s="59">
        <v>0</v>
      </c>
      <c r="C1254" s="59">
        <v>1</v>
      </c>
      <c r="D1254" s="59">
        <f t="shared" si="361"/>
        <v>1</v>
      </c>
      <c r="E1254" s="59">
        <f t="shared" si="362"/>
        <v>0</v>
      </c>
      <c r="F1254" s="59">
        <v>181</v>
      </c>
      <c r="G1254" s="59">
        <v>2</v>
      </c>
      <c r="H1254" s="59">
        <f t="shared" si="363"/>
        <v>0</v>
      </c>
      <c r="I1254" s="59">
        <f t="shared" si="364"/>
        <v>1</v>
      </c>
      <c r="J1254" s="59">
        <v>2</v>
      </c>
      <c r="K1254" s="59">
        <v>4</v>
      </c>
      <c r="L1254" s="59">
        <v>3</v>
      </c>
      <c r="M1254" s="59">
        <f t="shared" si="365"/>
        <v>0</v>
      </c>
      <c r="N1254" s="59">
        <f t="shared" si="366"/>
        <v>0</v>
      </c>
      <c r="O1254" s="59">
        <f t="shared" si="367"/>
        <v>1</v>
      </c>
      <c r="P1254" s="59">
        <f t="shared" si="368"/>
        <v>0</v>
      </c>
      <c r="Q1254" s="59">
        <f t="shared" si="369"/>
        <v>0</v>
      </c>
      <c r="R1254" s="59">
        <v>1</v>
      </c>
      <c r="S1254" s="59">
        <v>1755</v>
      </c>
      <c r="T1254" s="59">
        <v>4</v>
      </c>
      <c r="U1254" s="59">
        <v>1</v>
      </c>
      <c r="V1254" s="59">
        <v>97</v>
      </c>
      <c r="W1254" s="59">
        <v>4</v>
      </c>
      <c r="X1254" s="59">
        <v>1</v>
      </c>
      <c r="Y1254" s="59">
        <v>2</v>
      </c>
      <c r="Z1254" s="59">
        <f t="shared" si="370"/>
        <v>0</v>
      </c>
      <c r="AA1254" s="59">
        <f>IF('Updated Dummy'!Y1254=2,1,0)</f>
        <v>1</v>
      </c>
      <c r="AB1254" s="59">
        <f t="shared" si="371"/>
        <v>0</v>
      </c>
      <c r="AC1254" s="59">
        <f t="shared" si="372"/>
        <v>0</v>
      </c>
      <c r="AD1254" s="59">
        <f t="shared" si="373"/>
        <v>0</v>
      </c>
      <c r="AE1254" s="59">
        <f t="shared" si="374"/>
        <v>0</v>
      </c>
      <c r="AF1254" s="59">
        <f t="shared" si="375"/>
        <v>0</v>
      </c>
      <c r="AG1254" s="59">
        <f t="shared" si="376"/>
        <v>0</v>
      </c>
      <c r="AH1254" s="59">
        <v>4</v>
      </c>
      <c r="AI1254" s="59">
        <v>2</v>
      </c>
      <c r="AJ1254" s="59">
        <f t="shared" si="377"/>
        <v>0</v>
      </c>
      <c r="AK1254" s="59">
        <f t="shared" si="378"/>
        <v>1</v>
      </c>
      <c r="AL1254" s="59">
        <v>2932</v>
      </c>
      <c r="AM1254" s="59">
        <v>5586</v>
      </c>
      <c r="AN1254" s="59">
        <v>0</v>
      </c>
      <c r="AO1254" s="59">
        <v>1</v>
      </c>
      <c r="AP1254" s="59">
        <v>14</v>
      </c>
      <c r="AQ1254" s="59">
        <v>3</v>
      </c>
      <c r="AR1254" s="59">
        <v>1</v>
      </c>
      <c r="AS1254" s="59">
        <v>80</v>
      </c>
      <c r="AT1254" s="59">
        <v>3</v>
      </c>
      <c r="AU1254" s="59">
        <v>6</v>
      </c>
      <c r="AV1254" s="59">
        <v>3</v>
      </c>
      <c r="AW1254" s="59">
        <v>3</v>
      </c>
      <c r="AX1254" s="59">
        <v>5</v>
      </c>
      <c r="AY1254" s="59">
        <v>0</v>
      </c>
      <c r="AZ1254" s="59">
        <v>1</v>
      </c>
      <c r="BA1254" s="59">
        <v>2</v>
      </c>
      <c r="BB1254" s="57">
        <f t="shared" si="379"/>
        <v>2932</v>
      </c>
    </row>
    <row r="1255" spans="1:54" x14ac:dyDescent="0.25">
      <c r="A1255" s="58">
        <v>33</v>
      </c>
      <c r="B1255" s="59">
        <v>0</v>
      </c>
      <c r="C1255" s="59">
        <v>3</v>
      </c>
      <c r="D1255" s="59">
        <f t="shared" si="361"/>
        <v>0</v>
      </c>
      <c r="E1255" s="59">
        <f t="shared" si="362"/>
        <v>0</v>
      </c>
      <c r="F1255" s="59">
        <v>1283</v>
      </c>
      <c r="G1255" s="59">
        <v>1</v>
      </c>
      <c r="H1255" s="59">
        <f t="shared" si="363"/>
        <v>1</v>
      </c>
      <c r="I1255" s="59">
        <f t="shared" si="364"/>
        <v>0</v>
      </c>
      <c r="J1255" s="59">
        <v>2</v>
      </c>
      <c r="K1255" s="59">
        <v>3</v>
      </c>
      <c r="L1255" s="59">
        <v>4</v>
      </c>
      <c r="M1255" s="59">
        <f t="shared" si="365"/>
        <v>0</v>
      </c>
      <c r="N1255" s="59">
        <f t="shared" si="366"/>
        <v>0</v>
      </c>
      <c r="O1255" s="59">
        <f t="shared" si="367"/>
        <v>0</v>
      </c>
      <c r="P1255" s="59">
        <f t="shared" si="368"/>
        <v>1</v>
      </c>
      <c r="Q1255" s="59">
        <f t="shared" si="369"/>
        <v>0</v>
      </c>
      <c r="R1255" s="59">
        <v>1</v>
      </c>
      <c r="S1255" s="59">
        <v>1756</v>
      </c>
      <c r="T1255" s="59">
        <v>4</v>
      </c>
      <c r="U1255" s="59">
        <v>0</v>
      </c>
      <c r="V1255" s="59">
        <v>62</v>
      </c>
      <c r="W1255" s="59">
        <v>3</v>
      </c>
      <c r="X1255" s="59">
        <v>2</v>
      </c>
      <c r="Y1255" s="59">
        <v>1</v>
      </c>
      <c r="Z1255" s="59">
        <f t="shared" si="370"/>
        <v>1</v>
      </c>
      <c r="AA1255" s="59">
        <f>IF('Updated Dummy'!Y1255=2,1,0)</f>
        <v>0</v>
      </c>
      <c r="AB1255" s="59">
        <f t="shared" si="371"/>
        <v>0</v>
      </c>
      <c r="AC1255" s="59">
        <f t="shared" si="372"/>
        <v>0</v>
      </c>
      <c r="AD1255" s="59">
        <f t="shared" si="373"/>
        <v>0</v>
      </c>
      <c r="AE1255" s="59">
        <f t="shared" si="374"/>
        <v>0</v>
      </c>
      <c r="AF1255" s="59">
        <f t="shared" si="375"/>
        <v>0</v>
      </c>
      <c r="AG1255" s="59">
        <f t="shared" si="376"/>
        <v>0</v>
      </c>
      <c r="AH1255" s="59">
        <v>2</v>
      </c>
      <c r="AI1255" s="59">
        <v>1</v>
      </c>
      <c r="AJ1255" s="59">
        <f t="shared" si="377"/>
        <v>1</v>
      </c>
      <c r="AK1255" s="59">
        <f t="shared" si="378"/>
        <v>0</v>
      </c>
      <c r="AL1255" s="59">
        <v>5147</v>
      </c>
      <c r="AM1255" s="59">
        <v>10697</v>
      </c>
      <c r="AN1255" s="59">
        <v>8</v>
      </c>
      <c r="AO1255" s="59">
        <v>0</v>
      </c>
      <c r="AP1255" s="59">
        <v>15</v>
      </c>
      <c r="AQ1255" s="59">
        <v>3</v>
      </c>
      <c r="AR1255" s="59">
        <v>4</v>
      </c>
      <c r="AS1255" s="59">
        <v>80</v>
      </c>
      <c r="AT1255" s="59">
        <v>0</v>
      </c>
      <c r="AU1255" s="59">
        <v>13</v>
      </c>
      <c r="AV1255" s="59">
        <v>2</v>
      </c>
      <c r="AW1255" s="59">
        <v>2</v>
      </c>
      <c r="AX1255" s="59">
        <v>11</v>
      </c>
      <c r="AY1255" s="59">
        <v>7</v>
      </c>
      <c r="AZ1255" s="59">
        <v>1</v>
      </c>
      <c r="BA1255" s="59">
        <v>7</v>
      </c>
      <c r="BB1255" s="57">
        <f t="shared" si="379"/>
        <v>10294</v>
      </c>
    </row>
    <row r="1256" spans="1:54" x14ac:dyDescent="0.25">
      <c r="A1256" s="58">
        <v>49</v>
      </c>
      <c r="B1256" s="59">
        <v>0</v>
      </c>
      <c r="C1256" s="59">
        <v>1</v>
      </c>
      <c r="D1256" s="59">
        <f t="shared" si="361"/>
        <v>1</v>
      </c>
      <c r="E1256" s="59">
        <f t="shared" si="362"/>
        <v>0</v>
      </c>
      <c r="F1256" s="59">
        <v>1313</v>
      </c>
      <c r="G1256" s="59">
        <v>1</v>
      </c>
      <c r="H1256" s="59">
        <f t="shared" si="363"/>
        <v>1</v>
      </c>
      <c r="I1256" s="59">
        <f t="shared" si="364"/>
        <v>0</v>
      </c>
      <c r="J1256" s="59">
        <v>11</v>
      </c>
      <c r="K1256" s="59">
        <v>4</v>
      </c>
      <c r="L1256" s="59">
        <v>4</v>
      </c>
      <c r="M1256" s="59">
        <f t="shared" si="365"/>
        <v>0</v>
      </c>
      <c r="N1256" s="59">
        <f t="shared" si="366"/>
        <v>0</v>
      </c>
      <c r="O1256" s="59">
        <f t="shared" si="367"/>
        <v>0</v>
      </c>
      <c r="P1256" s="59">
        <f t="shared" si="368"/>
        <v>1</v>
      </c>
      <c r="Q1256" s="59">
        <f t="shared" si="369"/>
        <v>0</v>
      </c>
      <c r="R1256" s="59">
        <v>1</v>
      </c>
      <c r="S1256" s="59">
        <v>1757</v>
      </c>
      <c r="T1256" s="59">
        <v>4</v>
      </c>
      <c r="U1256" s="59">
        <v>0</v>
      </c>
      <c r="V1256" s="59">
        <v>80</v>
      </c>
      <c r="W1256" s="59">
        <v>3</v>
      </c>
      <c r="X1256" s="59">
        <v>2</v>
      </c>
      <c r="Y1256" s="59">
        <v>1</v>
      </c>
      <c r="Z1256" s="59">
        <f t="shared" si="370"/>
        <v>1</v>
      </c>
      <c r="AA1256" s="59">
        <f>IF('Updated Dummy'!Y1256=2,1,0)</f>
        <v>0</v>
      </c>
      <c r="AB1256" s="59">
        <f t="shared" si="371"/>
        <v>0</v>
      </c>
      <c r="AC1256" s="59">
        <f t="shared" si="372"/>
        <v>0</v>
      </c>
      <c r="AD1256" s="59">
        <f t="shared" si="373"/>
        <v>0</v>
      </c>
      <c r="AE1256" s="59">
        <f t="shared" si="374"/>
        <v>0</v>
      </c>
      <c r="AF1256" s="59">
        <f t="shared" si="375"/>
        <v>0</v>
      </c>
      <c r="AG1256" s="59">
        <f t="shared" si="376"/>
        <v>0</v>
      </c>
      <c r="AH1256" s="59">
        <v>4</v>
      </c>
      <c r="AI1256" s="59">
        <v>1</v>
      </c>
      <c r="AJ1256" s="59">
        <f t="shared" si="377"/>
        <v>1</v>
      </c>
      <c r="AK1256" s="59">
        <f t="shared" si="378"/>
        <v>0</v>
      </c>
      <c r="AL1256" s="59">
        <v>4507</v>
      </c>
      <c r="AM1256" s="59">
        <v>8191</v>
      </c>
      <c r="AN1256" s="59">
        <v>3</v>
      </c>
      <c r="AO1256" s="59">
        <v>0</v>
      </c>
      <c r="AP1256" s="59">
        <v>12</v>
      </c>
      <c r="AQ1256" s="59">
        <v>3</v>
      </c>
      <c r="AR1256" s="59">
        <v>3</v>
      </c>
      <c r="AS1256" s="59">
        <v>80</v>
      </c>
      <c r="AT1256" s="59">
        <v>0</v>
      </c>
      <c r="AU1256" s="59">
        <v>8</v>
      </c>
      <c r="AV1256" s="59">
        <v>1</v>
      </c>
      <c r="AW1256" s="59">
        <v>4</v>
      </c>
      <c r="AX1256" s="59">
        <v>5</v>
      </c>
      <c r="AY1256" s="59">
        <v>1</v>
      </c>
      <c r="AZ1256" s="59">
        <v>0</v>
      </c>
      <c r="BA1256" s="59">
        <v>4</v>
      </c>
      <c r="BB1256" s="57">
        <f t="shared" si="379"/>
        <v>9014</v>
      </c>
    </row>
    <row r="1257" spans="1:54" x14ac:dyDescent="0.25">
      <c r="A1257" s="58">
        <v>33</v>
      </c>
      <c r="B1257" s="59">
        <v>1</v>
      </c>
      <c r="C1257" s="59">
        <v>1</v>
      </c>
      <c r="D1257" s="59">
        <f t="shared" si="361"/>
        <v>1</v>
      </c>
      <c r="E1257" s="59">
        <f t="shared" si="362"/>
        <v>0</v>
      </c>
      <c r="F1257" s="59">
        <v>211</v>
      </c>
      <c r="G1257" s="59">
        <v>1</v>
      </c>
      <c r="H1257" s="59">
        <f t="shared" si="363"/>
        <v>1</v>
      </c>
      <c r="I1257" s="59">
        <f t="shared" si="364"/>
        <v>0</v>
      </c>
      <c r="J1257" s="59">
        <v>16</v>
      </c>
      <c r="K1257" s="59">
        <v>3</v>
      </c>
      <c r="L1257" s="59">
        <v>1</v>
      </c>
      <c r="M1257" s="59">
        <f t="shared" si="365"/>
        <v>1</v>
      </c>
      <c r="N1257" s="59">
        <f t="shared" si="366"/>
        <v>0</v>
      </c>
      <c r="O1257" s="59">
        <f t="shared" si="367"/>
        <v>0</v>
      </c>
      <c r="P1257" s="59">
        <f t="shared" si="368"/>
        <v>0</v>
      </c>
      <c r="Q1257" s="59">
        <f t="shared" si="369"/>
        <v>0</v>
      </c>
      <c r="R1257" s="59">
        <v>1</v>
      </c>
      <c r="S1257" s="59">
        <v>1758</v>
      </c>
      <c r="T1257" s="59">
        <v>1</v>
      </c>
      <c r="U1257" s="59">
        <v>0</v>
      </c>
      <c r="V1257" s="59">
        <v>74</v>
      </c>
      <c r="W1257" s="59">
        <v>3</v>
      </c>
      <c r="X1257" s="59">
        <v>3</v>
      </c>
      <c r="Y1257" s="59">
        <v>1</v>
      </c>
      <c r="Z1257" s="59">
        <f t="shared" si="370"/>
        <v>1</v>
      </c>
      <c r="AA1257" s="59">
        <f>IF('Updated Dummy'!Y1257=2,1,0)</f>
        <v>0</v>
      </c>
      <c r="AB1257" s="59">
        <f t="shared" si="371"/>
        <v>0</v>
      </c>
      <c r="AC1257" s="59">
        <f t="shared" si="372"/>
        <v>0</v>
      </c>
      <c r="AD1257" s="59">
        <f t="shared" si="373"/>
        <v>0</v>
      </c>
      <c r="AE1257" s="59">
        <f t="shared" si="374"/>
        <v>0</v>
      </c>
      <c r="AF1257" s="59">
        <f t="shared" si="375"/>
        <v>0</v>
      </c>
      <c r="AG1257" s="59">
        <f t="shared" si="376"/>
        <v>0</v>
      </c>
      <c r="AH1257" s="59">
        <v>1</v>
      </c>
      <c r="AI1257" s="59">
        <v>1</v>
      </c>
      <c r="AJ1257" s="59">
        <f t="shared" si="377"/>
        <v>1</v>
      </c>
      <c r="AK1257" s="59">
        <f t="shared" si="378"/>
        <v>0</v>
      </c>
      <c r="AL1257" s="59">
        <v>8564</v>
      </c>
      <c r="AM1257" s="59">
        <v>10092</v>
      </c>
      <c r="AN1257" s="59">
        <v>2</v>
      </c>
      <c r="AO1257" s="59">
        <v>1</v>
      </c>
      <c r="AP1257" s="59">
        <v>20</v>
      </c>
      <c r="AQ1257" s="59">
        <v>4</v>
      </c>
      <c r="AR1257" s="59">
        <v>3</v>
      </c>
      <c r="AS1257" s="59">
        <v>80</v>
      </c>
      <c r="AT1257" s="59">
        <v>0</v>
      </c>
      <c r="AU1257" s="59">
        <v>11</v>
      </c>
      <c r="AV1257" s="59">
        <v>2</v>
      </c>
      <c r="AW1257" s="59">
        <v>2</v>
      </c>
      <c r="AX1257" s="59">
        <v>0</v>
      </c>
      <c r="AY1257" s="59">
        <v>0</v>
      </c>
      <c r="AZ1257" s="59">
        <v>0</v>
      </c>
      <c r="BA1257" s="59">
        <v>0</v>
      </c>
      <c r="BB1257" s="57">
        <f t="shared" si="379"/>
        <v>25692</v>
      </c>
    </row>
    <row r="1258" spans="1:54" x14ac:dyDescent="0.25">
      <c r="A1258" s="58">
        <v>38</v>
      </c>
      <c r="B1258" s="59">
        <v>0</v>
      </c>
      <c r="C1258" s="59">
        <v>2</v>
      </c>
      <c r="D1258" s="59">
        <f t="shared" si="361"/>
        <v>0</v>
      </c>
      <c r="E1258" s="59">
        <f t="shared" si="362"/>
        <v>1</v>
      </c>
      <c r="F1258" s="59">
        <v>594</v>
      </c>
      <c r="G1258" s="59">
        <v>2</v>
      </c>
      <c r="H1258" s="59">
        <f t="shared" si="363"/>
        <v>0</v>
      </c>
      <c r="I1258" s="59">
        <f t="shared" si="364"/>
        <v>1</v>
      </c>
      <c r="J1258" s="59">
        <v>2</v>
      </c>
      <c r="K1258" s="59">
        <v>2</v>
      </c>
      <c r="L1258" s="59">
        <v>3</v>
      </c>
      <c r="M1258" s="59">
        <f t="shared" si="365"/>
        <v>0</v>
      </c>
      <c r="N1258" s="59">
        <f t="shared" si="366"/>
        <v>0</v>
      </c>
      <c r="O1258" s="59">
        <f t="shared" si="367"/>
        <v>1</v>
      </c>
      <c r="P1258" s="59">
        <f t="shared" si="368"/>
        <v>0</v>
      </c>
      <c r="Q1258" s="59">
        <f t="shared" si="369"/>
        <v>0</v>
      </c>
      <c r="R1258" s="59">
        <v>1</v>
      </c>
      <c r="S1258" s="59">
        <v>1760</v>
      </c>
      <c r="T1258" s="59">
        <v>3</v>
      </c>
      <c r="U1258" s="59">
        <v>0</v>
      </c>
      <c r="V1258" s="59">
        <v>75</v>
      </c>
      <c r="W1258" s="59">
        <v>2</v>
      </c>
      <c r="X1258" s="59">
        <v>1</v>
      </c>
      <c r="Y1258" s="59">
        <v>3</v>
      </c>
      <c r="Z1258" s="59">
        <f t="shared" si="370"/>
        <v>0</v>
      </c>
      <c r="AA1258" s="59">
        <f>IF('Updated Dummy'!Y1258=2,1,0)</f>
        <v>0</v>
      </c>
      <c r="AB1258" s="59">
        <f t="shared" si="371"/>
        <v>1</v>
      </c>
      <c r="AC1258" s="59">
        <f t="shared" si="372"/>
        <v>0</v>
      </c>
      <c r="AD1258" s="59">
        <f t="shared" si="373"/>
        <v>0</v>
      </c>
      <c r="AE1258" s="59">
        <f t="shared" si="374"/>
        <v>0</v>
      </c>
      <c r="AF1258" s="59">
        <f t="shared" si="375"/>
        <v>0</v>
      </c>
      <c r="AG1258" s="59">
        <f t="shared" si="376"/>
        <v>0</v>
      </c>
      <c r="AH1258" s="59">
        <v>2</v>
      </c>
      <c r="AI1258" s="59">
        <v>2</v>
      </c>
      <c r="AJ1258" s="59">
        <f t="shared" si="377"/>
        <v>0</v>
      </c>
      <c r="AK1258" s="59">
        <f t="shared" si="378"/>
        <v>1</v>
      </c>
      <c r="AL1258" s="59">
        <v>2468</v>
      </c>
      <c r="AM1258" s="59">
        <v>15963</v>
      </c>
      <c r="AN1258" s="59">
        <v>4</v>
      </c>
      <c r="AO1258" s="59">
        <v>0</v>
      </c>
      <c r="AP1258" s="59">
        <v>14</v>
      </c>
      <c r="AQ1258" s="59">
        <v>3</v>
      </c>
      <c r="AR1258" s="59">
        <v>2</v>
      </c>
      <c r="AS1258" s="59">
        <v>80</v>
      </c>
      <c r="AT1258" s="59">
        <v>1</v>
      </c>
      <c r="AU1258" s="59">
        <v>9</v>
      </c>
      <c r="AV1258" s="59">
        <v>4</v>
      </c>
      <c r="AW1258" s="59">
        <v>2</v>
      </c>
      <c r="AX1258" s="59">
        <v>6</v>
      </c>
      <c r="AY1258" s="59">
        <v>1</v>
      </c>
      <c r="AZ1258" s="59">
        <v>0</v>
      </c>
      <c r="BA1258" s="59">
        <v>5</v>
      </c>
      <c r="BB1258" s="57">
        <f t="shared" si="379"/>
        <v>2468</v>
      </c>
    </row>
    <row r="1259" spans="1:54" x14ac:dyDescent="0.25">
      <c r="A1259" s="58">
        <v>31</v>
      </c>
      <c r="B1259" s="59">
        <v>1</v>
      </c>
      <c r="C1259" s="59">
        <v>1</v>
      </c>
      <c r="D1259" s="59">
        <f t="shared" si="361"/>
        <v>1</v>
      </c>
      <c r="E1259" s="59">
        <f t="shared" si="362"/>
        <v>0</v>
      </c>
      <c r="F1259" s="59">
        <v>1079</v>
      </c>
      <c r="G1259" s="59">
        <v>1</v>
      </c>
      <c r="H1259" s="59">
        <f t="shared" si="363"/>
        <v>1</v>
      </c>
      <c r="I1259" s="59">
        <f t="shared" si="364"/>
        <v>0</v>
      </c>
      <c r="J1259" s="59">
        <v>16</v>
      </c>
      <c r="K1259" s="59">
        <v>4</v>
      </c>
      <c r="L1259" s="59">
        <v>4</v>
      </c>
      <c r="M1259" s="59">
        <f t="shared" si="365"/>
        <v>0</v>
      </c>
      <c r="N1259" s="59">
        <f t="shared" si="366"/>
        <v>0</v>
      </c>
      <c r="O1259" s="59">
        <f t="shared" si="367"/>
        <v>0</v>
      </c>
      <c r="P1259" s="59">
        <f t="shared" si="368"/>
        <v>1</v>
      </c>
      <c r="Q1259" s="59">
        <f t="shared" si="369"/>
        <v>0</v>
      </c>
      <c r="R1259" s="59">
        <v>1</v>
      </c>
      <c r="S1259" s="59">
        <v>1761</v>
      </c>
      <c r="T1259" s="59">
        <v>1</v>
      </c>
      <c r="U1259" s="59">
        <v>1</v>
      </c>
      <c r="V1259" s="59">
        <v>70</v>
      </c>
      <c r="W1259" s="59">
        <v>3</v>
      </c>
      <c r="X1259" s="59">
        <v>3</v>
      </c>
      <c r="Y1259" s="59">
        <v>1</v>
      </c>
      <c r="Z1259" s="59">
        <f t="shared" si="370"/>
        <v>1</v>
      </c>
      <c r="AA1259" s="59">
        <f>IF('Updated Dummy'!Y1259=2,1,0)</f>
        <v>0</v>
      </c>
      <c r="AB1259" s="59">
        <f t="shared" si="371"/>
        <v>0</v>
      </c>
      <c r="AC1259" s="59">
        <f t="shared" si="372"/>
        <v>0</v>
      </c>
      <c r="AD1259" s="59">
        <f t="shared" si="373"/>
        <v>0</v>
      </c>
      <c r="AE1259" s="59">
        <f t="shared" si="374"/>
        <v>0</v>
      </c>
      <c r="AF1259" s="59">
        <f t="shared" si="375"/>
        <v>0</v>
      </c>
      <c r="AG1259" s="59">
        <f t="shared" si="376"/>
        <v>0</v>
      </c>
      <c r="AH1259" s="59">
        <v>3</v>
      </c>
      <c r="AI1259" s="59">
        <v>2</v>
      </c>
      <c r="AJ1259" s="59">
        <f t="shared" si="377"/>
        <v>0</v>
      </c>
      <c r="AK1259" s="59">
        <f t="shared" si="378"/>
        <v>1</v>
      </c>
      <c r="AL1259" s="59">
        <v>8161</v>
      </c>
      <c r="AM1259" s="59">
        <v>19002</v>
      </c>
      <c r="AN1259" s="59">
        <v>2</v>
      </c>
      <c r="AO1259" s="59">
        <v>0</v>
      </c>
      <c r="AP1259" s="59">
        <v>13</v>
      </c>
      <c r="AQ1259" s="59">
        <v>3</v>
      </c>
      <c r="AR1259" s="59">
        <v>1</v>
      </c>
      <c r="AS1259" s="59">
        <v>80</v>
      </c>
      <c r="AT1259" s="59">
        <v>3</v>
      </c>
      <c r="AU1259" s="59">
        <v>10</v>
      </c>
      <c r="AV1259" s="59">
        <v>2</v>
      </c>
      <c r="AW1259" s="59">
        <v>3</v>
      </c>
      <c r="AX1259" s="59">
        <v>1</v>
      </c>
      <c r="AY1259" s="59">
        <v>0</v>
      </c>
      <c r="AZ1259" s="59">
        <v>0</v>
      </c>
      <c r="BA1259" s="59">
        <v>0</v>
      </c>
      <c r="BB1259" s="57">
        <f t="shared" si="379"/>
        <v>24483</v>
      </c>
    </row>
    <row r="1260" spans="1:54" x14ac:dyDescent="0.25">
      <c r="A1260" s="58">
        <v>29</v>
      </c>
      <c r="B1260" s="59">
        <v>0</v>
      </c>
      <c r="C1260" s="59">
        <v>1</v>
      </c>
      <c r="D1260" s="59">
        <f t="shared" si="361"/>
        <v>1</v>
      </c>
      <c r="E1260" s="59">
        <f t="shared" si="362"/>
        <v>0</v>
      </c>
      <c r="F1260" s="59">
        <v>590</v>
      </c>
      <c r="G1260" s="59">
        <v>2</v>
      </c>
      <c r="H1260" s="59">
        <f t="shared" si="363"/>
        <v>0</v>
      </c>
      <c r="I1260" s="59">
        <f t="shared" si="364"/>
        <v>1</v>
      </c>
      <c r="J1260" s="59">
        <v>4</v>
      </c>
      <c r="K1260" s="59">
        <v>3</v>
      </c>
      <c r="L1260" s="59">
        <v>5</v>
      </c>
      <c r="M1260" s="59">
        <f t="shared" si="365"/>
        <v>0</v>
      </c>
      <c r="N1260" s="59">
        <f t="shared" si="366"/>
        <v>0</v>
      </c>
      <c r="O1260" s="59">
        <f t="shared" si="367"/>
        <v>0</v>
      </c>
      <c r="P1260" s="59">
        <f t="shared" si="368"/>
        <v>0</v>
      </c>
      <c r="Q1260" s="59">
        <f t="shared" si="369"/>
        <v>1</v>
      </c>
      <c r="R1260" s="59">
        <v>1</v>
      </c>
      <c r="S1260" s="59">
        <v>1762</v>
      </c>
      <c r="T1260" s="59">
        <v>4</v>
      </c>
      <c r="U1260" s="59">
        <v>0</v>
      </c>
      <c r="V1260" s="59">
        <v>91</v>
      </c>
      <c r="W1260" s="59">
        <v>2</v>
      </c>
      <c r="X1260" s="59">
        <v>1</v>
      </c>
      <c r="Y1260" s="59">
        <v>2</v>
      </c>
      <c r="Z1260" s="59">
        <f t="shared" si="370"/>
        <v>0</v>
      </c>
      <c r="AA1260" s="59">
        <f>IF('Updated Dummy'!Y1260=2,1,0)</f>
        <v>1</v>
      </c>
      <c r="AB1260" s="59">
        <f t="shared" si="371"/>
        <v>0</v>
      </c>
      <c r="AC1260" s="59">
        <f t="shared" si="372"/>
        <v>0</v>
      </c>
      <c r="AD1260" s="59">
        <f t="shared" si="373"/>
        <v>0</v>
      </c>
      <c r="AE1260" s="59">
        <f t="shared" si="374"/>
        <v>0</v>
      </c>
      <c r="AF1260" s="59">
        <f t="shared" si="375"/>
        <v>0</v>
      </c>
      <c r="AG1260" s="59">
        <f t="shared" si="376"/>
        <v>0</v>
      </c>
      <c r="AH1260" s="59">
        <v>1</v>
      </c>
      <c r="AI1260" s="59">
        <v>3</v>
      </c>
      <c r="AJ1260" s="59">
        <f t="shared" si="377"/>
        <v>0</v>
      </c>
      <c r="AK1260" s="59">
        <f t="shared" si="378"/>
        <v>0</v>
      </c>
      <c r="AL1260" s="59">
        <v>2109</v>
      </c>
      <c r="AM1260" s="59">
        <v>10007</v>
      </c>
      <c r="AN1260" s="59">
        <v>1</v>
      </c>
      <c r="AO1260" s="59">
        <v>0</v>
      </c>
      <c r="AP1260" s="59">
        <v>13</v>
      </c>
      <c r="AQ1260" s="59">
        <v>3</v>
      </c>
      <c r="AR1260" s="59">
        <v>3</v>
      </c>
      <c r="AS1260" s="59">
        <v>80</v>
      </c>
      <c r="AT1260" s="59">
        <v>1</v>
      </c>
      <c r="AU1260" s="59">
        <v>1</v>
      </c>
      <c r="AV1260" s="59">
        <v>2</v>
      </c>
      <c r="AW1260" s="59">
        <v>3</v>
      </c>
      <c r="AX1260" s="59">
        <v>1</v>
      </c>
      <c r="AY1260" s="59">
        <v>0</v>
      </c>
      <c r="AZ1260" s="59">
        <v>0</v>
      </c>
      <c r="BA1260" s="59">
        <v>0</v>
      </c>
      <c r="BB1260" s="57">
        <f t="shared" si="379"/>
        <v>2109</v>
      </c>
    </row>
    <row r="1261" spans="1:54" x14ac:dyDescent="0.25">
      <c r="A1261" s="58">
        <v>30</v>
      </c>
      <c r="B1261" s="59">
        <v>0</v>
      </c>
      <c r="C1261" s="59">
        <v>1</v>
      </c>
      <c r="D1261" s="59">
        <f t="shared" si="361"/>
        <v>1</v>
      </c>
      <c r="E1261" s="59">
        <f t="shared" si="362"/>
        <v>0</v>
      </c>
      <c r="F1261" s="59">
        <v>305</v>
      </c>
      <c r="G1261" s="59">
        <v>2</v>
      </c>
      <c r="H1261" s="59">
        <f t="shared" si="363"/>
        <v>0</v>
      </c>
      <c r="I1261" s="59">
        <f t="shared" si="364"/>
        <v>1</v>
      </c>
      <c r="J1261" s="59">
        <v>16</v>
      </c>
      <c r="K1261" s="59">
        <v>3</v>
      </c>
      <c r="L1261" s="59">
        <v>1</v>
      </c>
      <c r="M1261" s="59">
        <f t="shared" si="365"/>
        <v>1</v>
      </c>
      <c r="N1261" s="59">
        <f t="shared" si="366"/>
        <v>0</v>
      </c>
      <c r="O1261" s="59">
        <f t="shared" si="367"/>
        <v>0</v>
      </c>
      <c r="P1261" s="59">
        <f t="shared" si="368"/>
        <v>0</v>
      </c>
      <c r="Q1261" s="59">
        <f t="shared" si="369"/>
        <v>0</v>
      </c>
      <c r="R1261" s="59">
        <v>1</v>
      </c>
      <c r="S1261" s="59">
        <v>1763</v>
      </c>
      <c r="T1261" s="59">
        <v>3</v>
      </c>
      <c r="U1261" s="59">
        <v>1</v>
      </c>
      <c r="V1261" s="59">
        <v>58</v>
      </c>
      <c r="W1261" s="59">
        <v>4</v>
      </c>
      <c r="X1261" s="59">
        <v>2</v>
      </c>
      <c r="Y1261" s="59">
        <v>5</v>
      </c>
      <c r="Z1261" s="59">
        <f t="shared" si="370"/>
        <v>0</v>
      </c>
      <c r="AA1261" s="59">
        <f>IF('Updated Dummy'!Y1261=2,1,0)</f>
        <v>0</v>
      </c>
      <c r="AB1261" s="59">
        <f t="shared" si="371"/>
        <v>0</v>
      </c>
      <c r="AC1261" s="59">
        <f t="shared" si="372"/>
        <v>0</v>
      </c>
      <c r="AD1261" s="59">
        <f t="shared" si="373"/>
        <v>1</v>
      </c>
      <c r="AE1261" s="59">
        <f t="shared" si="374"/>
        <v>0</v>
      </c>
      <c r="AF1261" s="59">
        <f t="shared" si="375"/>
        <v>0</v>
      </c>
      <c r="AG1261" s="59">
        <f t="shared" si="376"/>
        <v>0</v>
      </c>
      <c r="AH1261" s="59">
        <v>3</v>
      </c>
      <c r="AI1261" s="59">
        <v>2</v>
      </c>
      <c r="AJ1261" s="59">
        <f t="shared" si="377"/>
        <v>0</v>
      </c>
      <c r="AK1261" s="59">
        <f t="shared" si="378"/>
        <v>1</v>
      </c>
      <c r="AL1261" s="59">
        <v>5294</v>
      </c>
      <c r="AM1261" s="59">
        <v>9128</v>
      </c>
      <c r="AN1261" s="59">
        <v>3</v>
      </c>
      <c r="AO1261" s="59">
        <v>0</v>
      </c>
      <c r="AP1261" s="59">
        <v>16</v>
      </c>
      <c r="AQ1261" s="59">
        <v>3</v>
      </c>
      <c r="AR1261" s="59">
        <v>3</v>
      </c>
      <c r="AS1261" s="59">
        <v>80</v>
      </c>
      <c r="AT1261" s="59">
        <v>1</v>
      </c>
      <c r="AU1261" s="59">
        <v>10</v>
      </c>
      <c r="AV1261" s="59">
        <v>3</v>
      </c>
      <c r="AW1261" s="59">
        <v>3</v>
      </c>
      <c r="AX1261" s="59">
        <v>7</v>
      </c>
      <c r="AY1261" s="59">
        <v>0</v>
      </c>
      <c r="AZ1261" s="59">
        <v>1</v>
      </c>
      <c r="BA1261" s="59">
        <v>7</v>
      </c>
      <c r="BB1261" s="57">
        <f t="shared" si="379"/>
        <v>10588</v>
      </c>
    </row>
    <row r="1262" spans="1:54" x14ac:dyDescent="0.25">
      <c r="A1262" s="58">
        <v>32</v>
      </c>
      <c r="B1262" s="59">
        <v>0</v>
      </c>
      <c r="C1262" s="59">
        <v>3</v>
      </c>
      <c r="D1262" s="59">
        <f t="shared" si="361"/>
        <v>0</v>
      </c>
      <c r="E1262" s="59">
        <f t="shared" si="362"/>
        <v>0</v>
      </c>
      <c r="F1262" s="59">
        <v>953</v>
      </c>
      <c r="G1262" s="59">
        <v>2</v>
      </c>
      <c r="H1262" s="59">
        <f t="shared" si="363"/>
        <v>0</v>
      </c>
      <c r="I1262" s="59">
        <f t="shared" si="364"/>
        <v>1</v>
      </c>
      <c r="J1262" s="59">
        <v>5</v>
      </c>
      <c r="K1262" s="59">
        <v>4</v>
      </c>
      <c r="L1262" s="59">
        <v>5</v>
      </c>
      <c r="M1262" s="59">
        <f t="shared" si="365"/>
        <v>0</v>
      </c>
      <c r="N1262" s="59">
        <f t="shared" si="366"/>
        <v>0</v>
      </c>
      <c r="O1262" s="59">
        <f t="shared" si="367"/>
        <v>0</v>
      </c>
      <c r="P1262" s="59">
        <f t="shared" si="368"/>
        <v>0</v>
      </c>
      <c r="Q1262" s="59">
        <f t="shared" si="369"/>
        <v>1</v>
      </c>
      <c r="R1262" s="59">
        <v>1</v>
      </c>
      <c r="S1262" s="59">
        <v>1764</v>
      </c>
      <c r="T1262" s="59">
        <v>2</v>
      </c>
      <c r="U1262" s="59">
        <v>1</v>
      </c>
      <c r="V1262" s="59">
        <v>65</v>
      </c>
      <c r="W1262" s="59">
        <v>3</v>
      </c>
      <c r="X1262" s="59">
        <v>1</v>
      </c>
      <c r="Y1262" s="59">
        <v>2</v>
      </c>
      <c r="Z1262" s="59">
        <f t="shared" si="370"/>
        <v>0</v>
      </c>
      <c r="AA1262" s="59">
        <f>IF('Updated Dummy'!Y1262=2,1,0)</f>
        <v>1</v>
      </c>
      <c r="AB1262" s="59">
        <f t="shared" si="371"/>
        <v>0</v>
      </c>
      <c r="AC1262" s="59">
        <f t="shared" si="372"/>
        <v>0</v>
      </c>
      <c r="AD1262" s="59">
        <f t="shared" si="373"/>
        <v>0</v>
      </c>
      <c r="AE1262" s="59">
        <f t="shared" si="374"/>
        <v>0</v>
      </c>
      <c r="AF1262" s="59">
        <f t="shared" si="375"/>
        <v>0</v>
      </c>
      <c r="AG1262" s="59">
        <f t="shared" si="376"/>
        <v>0</v>
      </c>
      <c r="AH1262" s="59">
        <v>2</v>
      </c>
      <c r="AI1262" s="59">
        <v>1</v>
      </c>
      <c r="AJ1262" s="59">
        <f t="shared" si="377"/>
        <v>1</v>
      </c>
      <c r="AK1262" s="59">
        <f t="shared" si="378"/>
        <v>0</v>
      </c>
      <c r="AL1262" s="59">
        <v>2718</v>
      </c>
      <c r="AM1262" s="59">
        <v>17674</v>
      </c>
      <c r="AN1262" s="59">
        <v>2</v>
      </c>
      <c r="AO1262" s="59">
        <v>0</v>
      </c>
      <c r="AP1262" s="59">
        <v>14</v>
      </c>
      <c r="AQ1262" s="59">
        <v>3</v>
      </c>
      <c r="AR1262" s="59">
        <v>2</v>
      </c>
      <c r="AS1262" s="59">
        <v>80</v>
      </c>
      <c r="AT1262" s="59">
        <v>0</v>
      </c>
      <c r="AU1262" s="59">
        <v>12</v>
      </c>
      <c r="AV1262" s="59">
        <v>3</v>
      </c>
      <c r="AW1262" s="59">
        <v>3</v>
      </c>
      <c r="AX1262" s="59">
        <v>7</v>
      </c>
      <c r="AY1262" s="59">
        <v>7</v>
      </c>
      <c r="AZ1262" s="59">
        <v>0</v>
      </c>
      <c r="BA1262" s="59">
        <v>7</v>
      </c>
      <c r="BB1262" s="57">
        <f t="shared" si="379"/>
        <v>2718</v>
      </c>
    </row>
    <row r="1263" spans="1:54" x14ac:dyDescent="0.25">
      <c r="A1263" s="58">
        <v>38</v>
      </c>
      <c r="B1263" s="59">
        <v>0</v>
      </c>
      <c r="C1263" s="59">
        <v>1</v>
      </c>
      <c r="D1263" s="59">
        <f t="shared" si="361"/>
        <v>1</v>
      </c>
      <c r="E1263" s="59">
        <f t="shared" si="362"/>
        <v>0</v>
      </c>
      <c r="F1263" s="59">
        <v>833</v>
      </c>
      <c r="G1263" s="59">
        <v>2</v>
      </c>
      <c r="H1263" s="59">
        <f t="shared" si="363"/>
        <v>0</v>
      </c>
      <c r="I1263" s="59">
        <f t="shared" si="364"/>
        <v>1</v>
      </c>
      <c r="J1263" s="59">
        <v>18</v>
      </c>
      <c r="K1263" s="59">
        <v>3</v>
      </c>
      <c r="L1263" s="59">
        <v>3</v>
      </c>
      <c r="M1263" s="59">
        <f t="shared" si="365"/>
        <v>0</v>
      </c>
      <c r="N1263" s="59">
        <f t="shared" si="366"/>
        <v>0</v>
      </c>
      <c r="O1263" s="59">
        <f t="shared" si="367"/>
        <v>1</v>
      </c>
      <c r="P1263" s="59">
        <f t="shared" si="368"/>
        <v>0</v>
      </c>
      <c r="Q1263" s="59">
        <f t="shared" si="369"/>
        <v>0</v>
      </c>
      <c r="R1263" s="59">
        <v>1</v>
      </c>
      <c r="S1263" s="59">
        <v>1766</v>
      </c>
      <c r="T1263" s="59">
        <v>2</v>
      </c>
      <c r="U1263" s="59">
        <v>1</v>
      </c>
      <c r="V1263" s="59">
        <v>60</v>
      </c>
      <c r="W1263" s="59">
        <v>1</v>
      </c>
      <c r="X1263" s="59">
        <v>2</v>
      </c>
      <c r="Y1263" s="59">
        <v>5</v>
      </c>
      <c r="Z1263" s="59">
        <f t="shared" si="370"/>
        <v>0</v>
      </c>
      <c r="AA1263" s="59">
        <f>IF('Updated Dummy'!Y1263=2,1,0)</f>
        <v>0</v>
      </c>
      <c r="AB1263" s="59">
        <f t="shared" si="371"/>
        <v>0</v>
      </c>
      <c r="AC1263" s="59">
        <f t="shared" si="372"/>
        <v>0</v>
      </c>
      <c r="AD1263" s="59">
        <f t="shared" si="373"/>
        <v>1</v>
      </c>
      <c r="AE1263" s="59">
        <f t="shared" si="374"/>
        <v>0</v>
      </c>
      <c r="AF1263" s="59">
        <f t="shared" si="375"/>
        <v>0</v>
      </c>
      <c r="AG1263" s="59">
        <f t="shared" si="376"/>
        <v>0</v>
      </c>
      <c r="AH1263" s="59">
        <v>4</v>
      </c>
      <c r="AI1263" s="59">
        <v>2</v>
      </c>
      <c r="AJ1263" s="59">
        <f t="shared" si="377"/>
        <v>0</v>
      </c>
      <c r="AK1263" s="59">
        <f t="shared" si="378"/>
        <v>1</v>
      </c>
      <c r="AL1263" s="59">
        <v>5811</v>
      </c>
      <c r="AM1263" s="59">
        <v>24539</v>
      </c>
      <c r="AN1263" s="59">
        <v>3</v>
      </c>
      <c r="AO1263" s="59">
        <v>1</v>
      </c>
      <c r="AP1263" s="59">
        <v>16</v>
      </c>
      <c r="AQ1263" s="59">
        <v>3</v>
      </c>
      <c r="AR1263" s="59">
        <v>3</v>
      </c>
      <c r="AS1263" s="59">
        <v>80</v>
      </c>
      <c r="AT1263" s="59">
        <v>1</v>
      </c>
      <c r="AU1263" s="59">
        <v>15</v>
      </c>
      <c r="AV1263" s="59">
        <v>2</v>
      </c>
      <c r="AW1263" s="59">
        <v>3</v>
      </c>
      <c r="AX1263" s="59">
        <v>1</v>
      </c>
      <c r="AY1263" s="59">
        <v>0</v>
      </c>
      <c r="AZ1263" s="59">
        <v>1</v>
      </c>
      <c r="BA1263" s="59">
        <v>0</v>
      </c>
      <c r="BB1263" s="57">
        <f t="shared" si="379"/>
        <v>11622</v>
      </c>
    </row>
    <row r="1264" spans="1:54" x14ac:dyDescent="0.25">
      <c r="A1264" s="58">
        <v>43</v>
      </c>
      <c r="B1264" s="59">
        <v>1</v>
      </c>
      <c r="C1264" s="59">
        <v>2</v>
      </c>
      <c r="D1264" s="59">
        <f t="shared" si="361"/>
        <v>0</v>
      </c>
      <c r="E1264" s="59">
        <f t="shared" si="362"/>
        <v>1</v>
      </c>
      <c r="F1264" s="59">
        <v>807</v>
      </c>
      <c r="G1264" s="59">
        <v>2</v>
      </c>
      <c r="H1264" s="59">
        <f t="shared" si="363"/>
        <v>0</v>
      </c>
      <c r="I1264" s="59">
        <f t="shared" si="364"/>
        <v>1</v>
      </c>
      <c r="J1264" s="59">
        <v>17</v>
      </c>
      <c r="K1264" s="59">
        <v>3</v>
      </c>
      <c r="L1264" s="59">
        <v>5</v>
      </c>
      <c r="M1264" s="59">
        <f t="shared" si="365"/>
        <v>0</v>
      </c>
      <c r="N1264" s="59">
        <f t="shared" si="366"/>
        <v>0</v>
      </c>
      <c r="O1264" s="59">
        <f t="shared" si="367"/>
        <v>0</v>
      </c>
      <c r="P1264" s="59">
        <f t="shared" si="368"/>
        <v>0</v>
      </c>
      <c r="Q1264" s="59">
        <f t="shared" si="369"/>
        <v>1</v>
      </c>
      <c r="R1264" s="59">
        <v>1</v>
      </c>
      <c r="S1264" s="59">
        <v>1767</v>
      </c>
      <c r="T1264" s="59">
        <v>3</v>
      </c>
      <c r="U1264" s="59">
        <v>1</v>
      </c>
      <c r="V1264" s="59">
        <v>38</v>
      </c>
      <c r="W1264" s="59">
        <v>2</v>
      </c>
      <c r="X1264" s="59">
        <v>1</v>
      </c>
      <c r="Y1264" s="59">
        <v>2</v>
      </c>
      <c r="Z1264" s="59">
        <f t="shared" si="370"/>
        <v>0</v>
      </c>
      <c r="AA1264" s="59">
        <f>IF('Updated Dummy'!Y1264=2,1,0)</f>
        <v>1</v>
      </c>
      <c r="AB1264" s="59">
        <f t="shared" si="371"/>
        <v>0</v>
      </c>
      <c r="AC1264" s="59">
        <f t="shared" si="372"/>
        <v>0</v>
      </c>
      <c r="AD1264" s="59">
        <f t="shared" si="373"/>
        <v>0</v>
      </c>
      <c r="AE1264" s="59">
        <f t="shared" si="374"/>
        <v>0</v>
      </c>
      <c r="AF1264" s="59">
        <f t="shared" si="375"/>
        <v>0</v>
      </c>
      <c r="AG1264" s="59">
        <f t="shared" si="376"/>
        <v>0</v>
      </c>
      <c r="AH1264" s="59">
        <v>3</v>
      </c>
      <c r="AI1264" s="59">
        <v>2</v>
      </c>
      <c r="AJ1264" s="59">
        <f t="shared" si="377"/>
        <v>0</v>
      </c>
      <c r="AK1264" s="59">
        <f t="shared" si="378"/>
        <v>1</v>
      </c>
      <c r="AL1264" s="59">
        <v>2437</v>
      </c>
      <c r="AM1264" s="59">
        <v>15587</v>
      </c>
      <c r="AN1264" s="59">
        <v>9</v>
      </c>
      <c r="AO1264" s="59">
        <v>1</v>
      </c>
      <c r="AP1264" s="59">
        <v>16</v>
      </c>
      <c r="AQ1264" s="59">
        <v>3</v>
      </c>
      <c r="AR1264" s="59">
        <v>4</v>
      </c>
      <c r="AS1264" s="59">
        <v>80</v>
      </c>
      <c r="AT1264" s="59">
        <v>1</v>
      </c>
      <c r="AU1264" s="59">
        <v>6</v>
      </c>
      <c r="AV1264" s="59">
        <v>4</v>
      </c>
      <c r="AW1264" s="59">
        <v>3</v>
      </c>
      <c r="AX1264" s="59">
        <v>1</v>
      </c>
      <c r="AY1264" s="59">
        <v>0</v>
      </c>
      <c r="AZ1264" s="59">
        <v>0</v>
      </c>
      <c r="BA1264" s="59">
        <v>0</v>
      </c>
      <c r="BB1264" s="57">
        <f t="shared" si="379"/>
        <v>2437</v>
      </c>
    </row>
    <row r="1265" spans="1:54" x14ac:dyDescent="0.25">
      <c r="A1265" s="58">
        <v>42</v>
      </c>
      <c r="B1265" s="59">
        <v>0</v>
      </c>
      <c r="C1265" s="59">
        <v>1</v>
      </c>
      <c r="D1265" s="59">
        <f t="shared" si="361"/>
        <v>1</v>
      </c>
      <c r="E1265" s="59">
        <f t="shared" si="362"/>
        <v>0</v>
      </c>
      <c r="F1265" s="59">
        <v>855</v>
      </c>
      <c r="G1265" s="59">
        <v>2</v>
      </c>
      <c r="H1265" s="59">
        <f t="shared" si="363"/>
        <v>0</v>
      </c>
      <c r="I1265" s="59">
        <f t="shared" si="364"/>
        <v>1</v>
      </c>
      <c r="J1265" s="59">
        <v>12</v>
      </c>
      <c r="K1265" s="59">
        <v>3</v>
      </c>
      <c r="L1265" s="59">
        <v>3</v>
      </c>
      <c r="M1265" s="59">
        <f t="shared" si="365"/>
        <v>0</v>
      </c>
      <c r="N1265" s="59">
        <f t="shared" si="366"/>
        <v>0</v>
      </c>
      <c r="O1265" s="59">
        <f t="shared" si="367"/>
        <v>1</v>
      </c>
      <c r="P1265" s="59">
        <f t="shared" si="368"/>
        <v>0</v>
      </c>
      <c r="Q1265" s="59">
        <f t="shared" si="369"/>
        <v>0</v>
      </c>
      <c r="R1265" s="59">
        <v>1</v>
      </c>
      <c r="S1265" s="59">
        <v>1768</v>
      </c>
      <c r="T1265" s="59">
        <v>2</v>
      </c>
      <c r="U1265" s="59">
        <v>1</v>
      </c>
      <c r="V1265" s="59">
        <v>57</v>
      </c>
      <c r="W1265" s="59">
        <v>3</v>
      </c>
      <c r="X1265" s="59">
        <v>1</v>
      </c>
      <c r="Y1265" s="59">
        <v>3</v>
      </c>
      <c r="Z1265" s="59">
        <f t="shared" si="370"/>
        <v>0</v>
      </c>
      <c r="AA1265" s="59">
        <f>IF('Updated Dummy'!Y1265=2,1,0)</f>
        <v>0</v>
      </c>
      <c r="AB1265" s="59">
        <f t="shared" si="371"/>
        <v>1</v>
      </c>
      <c r="AC1265" s="59">
        <f t="shared" si="372"/>
        <v>0</v>
      </c>
      <c r="AD1265" s="59">
        <f t="shared" si="373"/>
        <v>0</v>
      </c>
      <c r="AE1265" s="59">
        <f t="shared" si="374"/>
        <v>0</v>
      </c>
      <c r="AF1265" s="59">
        <f t="shared" si="375"/>
        <v>0</v>
      </c>
      <c r="AG1265" s="59">
        <f t="shared" si="376"/>
        <v>0</v>
      </c>
      <c r="AH1265" s="59">
        <v>2</v>
      </c>
      <c r="AI1265" s="59">
        <v>3</v>
      </c>
      <c r="AJ1265" s="59">
        <f t="shared" si="377"/>
        <v>0</v>
      </c>
      <c r="AK1265" s="59">
        <f t="shared" si="378"/>
        <v>0</v>
      </c>
      <c r="AL1265" s="59">
        <v>2766</v>
      </c>
      <c r="AM1265" s="59">
        <v>8952</v>
      </c>
      <c r="AN1265" s="59">
        <v>8</v>
      </c>
      <c r="AO1265" s="59">
        <v>0</v>
      </c>
      <c r="AP1265" s="59">
        <v>22</v>
      </c>
      <c r="AQ1265" s="59">
        <v>4</v>
      </c>
      <c r="AR1265" s="59">
        <v>2</v>
      </c>
      <c r="AS1265" s="59">
        <v>80</v>
      </c>
      <c r="AT1265" s="59">
        <v>3</v>
      </c>
      <c r="AU1265" s="59">
        <v>7</v>
      </c>
      <c r="AV1265" s="59">
        <v>6</v>
      </c>
      <c r="AW1265" s="59">
        <v>2</v>
      </c>
      <c r="AX1265" s="59">
        <v>5</v>
      </c>
      <c r="AY1265" s="59">
        <v>3</v>
      </c>
      <c r="AZ1265" s="59">
        <v>0</v>
      </c>
      <c r="BA1265" s="59">
        <v>4</v>
      </c>
      <c r="BB1265" s="57">
        <f t="shared" si="379"/>
        <v>2766</v>
      </c>
    </row>
    <row r="1266" spans="1:54" x14ac:dyDescent="0.25">
      <c r="A1266" s="58">
        <v>55</v>
      </c>
      <c r="B1266" s="59">
        <v>0</v>
      </c>
      <c r="C1266" s="59">
        <v>1</v>
      </c>
      <c r="D1266" s="59">
        <f t="shared" si="361"/>
        <v>1</v>
      </c>
      <c r="E1266" s="59">
        <f t="shared" si="362"/>
        <v>0</v>
      </c>
      <c r="F1266" s="59">
        <v>478</v>
      </c>
      <c r="G1266" s="59">
        <v>2</v>
      </c>
      <c r="H1266" s="59">
        <f t="shared" si="363"/>
        <v>0</v>
      </c>
      <c r="I1266" s="59">
        <f t="shared" si="364"/>
        <v>1</v>
      </c>
      <c r="J1266" s="59">
        <v>2</v>
      </c>
      <c r="K1266" s="59">
        <v>3</v>
      </c>
      <c r="L1266" s="59">
        <v>3</v>
      </c>
      <c r="M1266" s="59">
        <f t="shared" si="365"/>
        <v>0</v>
      </c>
      <c r="N1266" s="59">
        <f t="shared" si="366"/>
        <v>0</v>
      </c>
      <c r="O1266" s="59">
        <f t="shared" si="367"/>
        <v>1</v>
      </c>
      <c r="P1266" s="59">
        <f t="shared" si="368"/>
        <v>0</v>
      </c>
      <c r="Q1266" s="59">
        <f t="shared" si="369"/>
        <v>0</v>
      </c>
      <c r="R1266" s="59">
        <v>1</v>
      </c>
      <c r="S1266" s="59">
        <v>1770</v>
      </c>
      <c r="T1266" s="59">
        <v>3</v>
      </c>
      <c r="U1266" s="59">
        <v>1</v>
      </c>
      <c r="V1266" s="59">
        <v>60</v>
      </c>
      <c r="W1266" s="59">
        <v>2</v>
      </c>
      <c r="X1266" s="59">
        <v>5</v>
      </c>
      <c r="Y1266" s="59">
        <v>8</v>
      </c>
      <c r="Z1266" s="59">
        <f t="shared" si="370"/>
        <v>0</v>
      </c>
      <c r="AA1266" s="59">
        <f>IF('Updated Dummy'!Y1266=2,1,0)</f>
        <v>0</v>
      </c>
      <c r="AB1266" s="59">
        <f t="shared" si="371"/>
        <v>0</v>
      </c>
      <c r="AC1266" s="59">
        <f t="shared" si="372"/>
        <v>0</v>
      </c>
      <c r="AD1266" s="59">
        <f t="shared" si="373"/>
        <v>0</v>
      </c>
      <c r="AE1266" s="59">
        <f t="shared" si="374"/>
        <v>0</v>
      </c>
      <c r="AF1266" s="59">
        <f t="shared" si="375"/>
        <v>0</v>
      </c>
      <c r="AG1266" s="59">
        <f t="shared" si="376"/>
        <v>1</v>
      </c>
      <c r="AH1266" s="59">
        <v>1</v>
      </c>
      <c r="AI1266" s="59">
        <v>2</v>
      </c>
      <c r="AJ1266" s="59">
        <f t="shared" si="377"/>
        <v>0</v>
      </c>
      <c r="AK1266" s="59">
        <f t="shared" si="378"/>
        <v>1</v>
      </c>
      <c r="AL1266" s="59">
        <v>19038</v>
      </c>
      <c r="AM1266" s="59">
        <v>19805</v>
      </c>
      <c r="AN1266" s="59">
        <v>8</v>
      </c>
      <c r="AO1266" s="59">
        <v>0</v>
      </c>
      <c r="AP1266" s="59">
        <v>12</v>
      </c>
      <c r="AQ1266" s="59">
        <v>3</v>
      </c>
      <c r="AR1266" s="59">
        <v>2</v>
      </c>
      <c r="AS1266" s="59">
        <v>80</v>
      </c>
      <c r="AT1266" s="59">
        <v>3</v>
      </c>
      <c r="AU1266" s="59">
        <v>34</v>
      </c>
      <c r="AV1266" s="59">
        <v>2</v>
      </c>
      <c r="AW1266" s="59">
        <v>3</v>
      </c>
      <c r="AX1266" s="59">
        <v>1</v>
      </c>
      <c r="AY1266" s="59">
        <v>0</v>
      </c>
      <c r="AZ1266" s="59">
        <v>0</v>
      </c>
      <c r="BA1266" s="59">
        <v>0</v>
      </c>
      <c r="BB1266" s="57">
        <f t="shared" si="379"/>
        <v>95190</v>
      </c>
    </row>
    <row r="1267" spans="1:54" x14ac:dyDescent="0.25">
      <c r="A1267" s="58">
        <v>33</v>
      </c>
      <c r="B1267" s="59">
        <v>0</v>
      </c>
      <c r="C1267" s="59">
        <v>3</v>
      </c>
      <c r="D1267" s="59">
        <f t="shared" si="361"/>
        <v>0</v>
      </c>
      <c r="E1267" s="59">
        <f t="shared" si="362"/>
        <v>0</v>
      </c>
      <c r="F1267" s="59">
        <v>775</v>
      </c>
      <c r="G1267" s="59">
        <v>2</v>
      </c>
      <c r="H1267" s="59">
        <f t="shared" si="363"/>
        <v>0</v>
      </c>
      <c r="I1267" s="59">
        <f t="shared" si="364"/>
        <v>1</v>
      </c>
      <c r="J1267" s="59">
        <v>4</v>
      </c>
      <c r="K1267" s="59">
        <v>3</v>
      </c>
      <c r="L1267" s="59">
        <v>5</v>
      </c>
      <c r="M1267" s="59">
        <f t="shared" si="365"/>
        <v>0</v>
      </c>
      <c r="N1267" s="59">
        <f t="shared" si="366"/>
        <v>0</v>
      </c>
      <c r="O1267" s="59">
        <f t="shared" si="367"/>
        <v>0</v>
      </c>
      <c r="P1267" s="59">
        <f t="shared" si="368"/>
        <v>0</v>
      </c>
      <c r="Q1267" s="59">
        <f t="shared" si="369"/>
        <v>1</v>
      </c>
      <c r="R1267" s="59">
        <v>1</v>
      </c>
      <c r="S1267" s="59">
        <v>1771</v>
      </c>
      <c r="T1267" s="59">
        <v>4</v>
      </c>
      <c r="U1267" s="59">
        <v>1</v>
      </c>
      <c r="V1267" s="59">
        <v>90</v>
      </c>
      <c r="W1267" s="59">
        <v>3</v>
      </c>
      <c r="X1267" s="59">
        <v>2</v>
      </c>
      <c r="Y1267" s="59">
        <v>2</v>
      </c>
      <c r="Z1267" s="59">
        <f t="shared" si="370"/>
        <v>0</v>
      </c>
      <c r="AA1267" s="59">
        <f>IF('Updated Dummy'!Y1267=2,1,0)</f>
        <v>1</v>
      </c>
      <c r="AB1267" s="59">
        <f t="shared" si="371"/>
        <v>0</v>
      </c>
      <c r="AC1267" s="59">
        <f t="shared" si="372"/>
        <v>0</v>
      </c>
      <c r="AD1267" s="59">
        <f t="shared" si="373"/>
        <v>0</v>
      </c>
      <c r="AE1267" s="59">
        <f t="shared" si="374"/>
        <v>0</v>
      </c>
      <c r="AF1267" s="59">
        <f t="shared" si="375"/>
        <v>0</v>
      </c>
      <c r="AG1267" s="59">
        <f t="shared" si="376"/>
        <v>0</v>
      </c>
      <c r="AH1267" s="59">
        <v>2</v>
      </c>
      <c r="AI1267" s="59">
        <v>3</v>
      </c>
      <c r="AJ1267" s="59">
        <f t="shared" si="377"/>
        <v>0</v>
      </c>
      <c r="AK1267" s="59">
        <f t="shared" si="378"/>
        <v>0</v>
      </c>
      <c r="AL1267" s="59">
        <v>3055</v>
      </c>
      <c r="AM1267" s="59">
        <v>6194</v>
      </c>
      <c r="AN1267" s="59">
        <v>5</v>
      </c>
      <c r="AO1267" s="59">
        <v>0</v>
      </c>
      <c r="AP1267" s="59">
        <v>15</v>
      </c>
      <c r="AQ1267" s="59">
        <v>3</v>
      </c>
      <c r="AR1267" s="59">
        <v>4</v>
      </c>
      <c r="AS1267" s="59">
        <v>80</v>
      </c>
      <c r="AT1267" s="59">
        <v>2</v>
      </c>
      <c r="AU1267" s="59">
        <v>11</v>
      </c>
      <c r="AV1267" s="59">
        <v>2</v>
      </c>
      <c r="AW1267" s="59">
        <v>2</v>
      </c>
      <c r="AX1267" s="59">
        <v>9</v>
      </c>
      <c r="AY1267" s="59">
        <v>8</v>
      </c>
      <c r="AZ1267" s="59">
        <v>1</v>
      </c>
      <c r="BA1267" s="59">
        <v>7</v>
      </c>
      <c r="BB1267" s="57">
        <f t="shared" si="379"/>
        <v>6110</v>
      </c>
    </row>
    <row r="1268" spans="1:54" x14ac:dyDescent="0.25">
      <c r="A1268" s="58">
        <v>41</v>
      </c>
      <c r="B1268" s="59">
        <v>0</v>
      </c>
      <c r="C1268" s="59">
        <v>1</v>
      </c>
      <c r="D1268" s="59">
        <f t="shared" si="361"/>
        <v>1</v>
      </c>
      <c r="E1268" s="59">
        <f t="shared" si="362"/>
        <v>0</v>
      </c>
      <c r="F1268" s="59">
        <v>548</v>
      </c>
      <c r="G1268" s="59">
        <v>2</v>
      </c>
      <c r="H1268" s="59">
        <f t="shared" si="363"/>
        <v>0</v>
      </c>
      <c r="I1268" s="59">
        <f t="shared" si="364"/>
        <v>1</v>
      </c>
      <c r="J1268" s="59">
        <v>9</v>
      </c>
      <c r="K1268" s="59">
        <v>4</v>
      </c>
      <c r="L1268" s="59">
        <v>1</v>
      </c>
      <c r="M1268" s="59">
        <f t="shared" si="365"/>
        <v>1</v>
      </c>
      <c r="N1268" s="59">
        <f t="shared" si="366"/>
        <v>0</v>
      </c>
      <c r="O1268" s="59">
        <f t="shared" si="367"/>
        <v>0</v>
      </c>
      <c r="P1268" s="59">
        <f t="shared" si="368"/>
        <v>0</v>
      </c>
      <c r="Q1268" s="59">
        <f t="shared" si="369"/>
        <v>0</v>
      </c>
      <c r="R1268" s="59">
        <v>1</v>
      </c>
      <c r="S1268" s="59">
        <v>1772</v>
      </c>
      <c r="T1268" s="59">
        <v>3</v>
      </c>
      <c r="U1268" s="59">
        <v>1</v>
      </c>
      <c r="V1268" s="59">
        <v>94</v>
      </c>
      <c r="W1268" s="59">
        <v>3</v>
      </c>
      <c r="X1268" s="59">
        <v>1</v>
      </c>
      <c r="Y1268" s="59">
        <v>3</v>
      </c>
      <c r="Z1268" s="59">
        <f t="shared" si="370"/>
        <v>0</v>
      </c>
      <c r="AA1268" s="59">
        <f>IF('Updated Dummy'!Y1268=2,1,0)</f>
        <v>0</v>
      </c>
      <c r="AB1268" s="59">
        <f t="shared" si="371"/>
        <v>1</v>
      </c>
      <c r="AC1268" s="59">
        <f t="shared" si="372"/>
        <v>0</v>
      </c>
      <c r="AD1268" s="59">
        <f t="shared" si="373"/>
        <v>0</v>
      </c>
      <c r="AE1268" s="59">
        <f t="shared" si="374"/>
        <v>0</v>
      </c>
      <c r="AF1268" s="59">
        <f t="shared" si="375"/>
        <v>0</v>
      </c>
      <c r="AG1268" s="59">
        <f t="shared" si="376"/>
        <v>0</v>
      </c>
      <c r="AH1268" s="59">
        <v>1</v>
      </c>
      <c r="AI1268" s="59">
        <v>3</v>
      </c>
      <c r="AJ1268" s="59">
        <f t="shared" si="377"/>
        <v>0</v>
      </c>
      <c r="AK1268" s="59">
        <f t="shared" si="378"/>
        <v>0</v>
      </c>
      <c r="AL1268" s="59">
        <v>2289</v>
      </c>
      <c r="AM1268" s="59">
        <v>20520</v>
      </c>
      <c r="AN1268" s="59">
        <v>1</v>
      </c>
      <c r="AO1268" s="59">
        <v>0</v>
      </c>
      <c r="AP1268" s="59">
        <v>20</v>
      </c>
      <c r="AQ1268" s="59">
        <v>4</v>
      </c>
      <c r="AR1268" s="59">
        <v>2</v>
      </c>
      <c r="AS1268" s="59">
        <v>80</v>
      </c>
      <c r="AT1268" s="59">
        <v>2</v>
      </c>
      <c r="AU1268" s="59">
        <v>5</v>
      </c>
      <c r="AV1268" s="59">
        <v>2</v>
      </c>
      <c r="AW1268" s="59">
        <v>3</v>
      </c>
      <c r="AX1268" s="59">
        <v>5</v>
      </c>
      <c r="AY1268" s="59">
        <v>3</v>
      </c>
      <c r="AZ1268" s="59">
        <v>0</v>
      </c>
      <c r="BA1268" s="59">
        <v>4</v>
      </c>
      <c r="BB1268" s="57">
        <f t="shared" si="379"/>
        <v>2289</v>
      </c>
    </row>
    <row r="1269" spans="1:54" x14ac:dyDescent="0.25">
      <c r="A1269" s="58">
        <v>34</v>
      </c>
      <c r="B1269" s="59">
        <v>0</v>
      </c>
      <c r="C1269" s="59">
        <v>3</v>
      </c>
      <c r="D1269" s="59">
        <f t="shared" si="361"/>
        <v>0</v>
      </c>
      <c r="E1269" s="59">
        <f t="shared" si="362"/>
        <v>0</v>
      </c>
      <c r="F1269" s="59">
        <v>1375</v>
      </c>
      <c r="G1269" s="59">
        <v>1</v>
      </c>
      <c r="H1269" s="59">
        <f t="shared" si="363"/>
        <v>1</v>
      </c>
      <c r="I1269" s="59">
        <f t="shared" si="364"/>
        <v>0</v>
      </c>
      <c r="J1269" s="59">
        <v>10</v>
      </c>
      <c r="K1269" s="59">
        <v>3</v>
      </c>
      <c r="L1269" s="59">
        <v>1</v>
      </c>
      <c r="M1269" s="59">
        <f t="shared" si="365"/>
        <v>1</v>
      </c>
      <c r="N1269" s="59">
        <f t="shared" si="366"/>
        <v>0</v>
      </c>
      <c r="O1269" s="59">
        <f t="shared" si="367"/>
        <v>0</v>
      </c>
      <c r="P1269" s="59">
        <f t="shared" si="368"/>
        <v>0</v>
      </c>
      <c r="Q1269" s="59">
        <f t="shared" si="369"/>
        <v>0</v>
      </c>
      <c r="R1269" s="59">
        <v>1</v>
      </c>
      <c r="S1269" s="59">
        <v>1774</v>
      </c>
      <c r="T1269" s="59">
        <v>4</v>
      </c>
      <c r="U1269" s="59">
        <v>1</v>
      </c>
      <c r="V1269" s="59">
        <v>87</v>
      </c>
      <c r="W1269" s="59">
        <v>3</v>
      </c>
      <c r="X1269" s="59">
        <v>2</v>
      </c>
      <c r="Y1269" s="59">
        <v>1</v>
      </c>
      <c r="Z1269" s="59">
        <f t="shared" si="370"/>
        <v>1</v>
      </c>
      <c r="AA1269" s="59">
        <f>IF('Updated Dummy'!Y1269=2,1,0)</f>
        <v>0</v>
      </c>
      <c r="AB1269" s="59">
        <f t="shared" si="371"/>
        <v>0</v>
      </c>
      <c r="AC1269" s="59">
        <f t="shared" si="372"/>
        <v>0</v>
      </c>
      <c r="AD1269" s="59">
        <f t="shared" si="373"/>
        <v>0</v>
      </c>
      <c r="AE1269" s="59">
        <f t="shared" si="374"/>
        <v>0</v>
      </c>
      <c r="AF1269" s="59">
        <f t="shared" si="375"/>
        <v>0</v>
      </c>
      <c r="AG1269" s="59">
        <f t="shared" si="376"/>
        <v>0</v>
      </c>
      <c r="AH1269" s="59">
        <v>3</v>
      </c>
      <c r="AI1269" s="59">
        <v>3</v>
      </c>
      <c r="AJ1269" s="59">
        <f t="shared" si="377"/>
        <v>0</v>
      </c>
      <c r="AK1269" s="59">
        <f t="shared" si="378"/>
        <v>0</v>
      </c>
      <c r="AL1269" s="59">
        <v>4001</v>
      </c>
      <c r="AM1269" s="59">
        <v>12313</v>
      </c>
      <c r="AN1269" s="59">
        <v>1</v>
      </c>
      <c r="AO1269" s="59">
        <v>1</v>
      </c>
      <c r="AP1269" s="59">
        <v>14</v>
      </c>
      <c r="AQ1269" s="59">
        <v>3</v>
      </c>
      <c r="AR1269" s="59">
        <v>3</v>
      </c>
      <c r="AS1269" s="59">
        <v>80</v>
      </c>
      <c r="AT1269" s="59">
        <v>1</v>
      </c>
      <c r="AU1269" s="59">
        <v>15</v>
      </c>
      <c r="AV1269" s="59">
        <v>3</v>
      </c>
      <c r="AW1269" s="59">
        <v>3</v>
      </c>
      <c r="AX1269" s="59">
        <v>15</v>
      </c>
      <c r="AY1269" s="59">
        <v>14</v>
      </c>
      <c r="AZ1269" s="59">
        <v>0</v>
      </c>
      <c r="BA1269" s="59">
        <v>7</v>
      </c>
      <c r="BB1269" s="57">
        <f t="shared" si="379"/>
        <v>8002</v>
      </c>
    </row>
    <row r="1270" spans="1:54" x14ac:dyDescent="0.25">
      <c r="A1270" s="58">
        <v>53</v>
      </c>
      <c r="B1270" s="59">
        <v>0</v>
      </c>
      <c r="C1270" s="59">
        <v>3</v>
      </c>
      <c r="D1270" s="59">
        <f t="shared" si="361"/>
        <v>0</v>
      </c>
      <c r="E1270" s="59">
        <f t="shared" si="362"/>
        <v>0</v>
      </c>
      <c r="F1270" s="59">
        <v>661</v>
      </c>
      <c r="G1270" s="59">
        <v>2</v>
      </c>
      <c r="H1270" s="59">
        <f t="shared" si="363"/>
        <v>0</v>
      </c>
      <c r="I1270" s="59">
        <f t="shared" si="364"/>
        <v>1</v>
      </c>
      <c r="J1270" s="59">
        <v>1</v>
      </c>
      <c r="K1270" s="59">
        <v>4</v>
      </c>
      <c r="L1270" s="59">
        <v>3</v>
      </c>
      <c r="M1270" s="59">
        <f t="shared" si="365"/>
        <v>0</v>
      </c>
      <c r="N1270" s="59">
        <f t="shared" si="366"/>
        <v>0</v>
      </c>
      <c r="O1270" s="59">
        <f t="shared" si="367"/>
        <v>1</v>
      </c>
      <c r="P1270" s="59">
        <f t="shared" si="368"/>
        <v>0</v>
      </c>
      <c r="Q1270" s="59">
        <f t="shared" si="369"/>
        <v>0</v>
      </c>
      <c r="R1270" s="59">
        <v>1</v>
      </c>
      <c r="S1270" s="59">
        <v>1775</v>
      </c>
      <c r="T1270" s="59">
        <v>1</v>
      </c>
      <c r="U1270" s="59">
        <v>0</v>
      </c>
      <c r="V1270" s="59">
        <v>60</v>
      </c>
      <c r="W1270" s="59">
        <v>2</v>
      </c>
      <c r="X1270" s="59">
        <v>4</v>
      </c>
      <c r="Y1270" s="59">
        <v>4</v>
      </c>
      <c r="Z1270" s="59">
        <f t="shared" si="370"/>
        <v>0</v>
      </c>
      <c r="AA1270" s="59">
        <f>IF('Updated Dummy'!Y1270=2,1,0)</f>
        <v>0</v>
      </c>
      <c r="AB1270" s="59">
        <f t="shared" si="371"/>
        <v>0</v>
      </c>
      <c r="AC1270" s="59">
        <f t="shared" si="372"/>
        <v>1</v>
      </c>
      <c r="AD1270" s="59">
        <f t="shared" si="373"/>
        <v>0</v>
      </c>
      <c r="AE1270" s="59">
        <f t="shared" si="374"/>
        <v>0</v>
      </c>
      <c r="AF1270" s="59">
        <f t="shared" si="375"/>
        <v>0</v>
      </c>
      <c r="AG1270" s="59">
        <f t="shared" si="376"/>
        <v>0</v>
      </c>
      <c r="AH1270" s="59">
        <v>3</v>
      </c>
      <c r="AI1270" s="59">
        <v>2</v>
      </c>
      <c r="AJ1270" s="59">
        <f t="shared" si="377"/>
        <v>0</v>
      </c>
      <c r="AK1270" s="59">
        <f t="shared" si="378"/>
        <v>1</v>
      </c>
      <c r="AL1270" s="59">
        <v>12965</v>
      </c>
      <c r="AM1270" s="59">
        <v>22308</v>
      </c>
      <c r="AN1270" s="59">
        <v>4</v>
      </c>
      <c r="AO1270" s="59">
        <v>1</v>
      </c>
      <c r="AP1270" s="59">
        <v>20</v>
      </c>
      <c r="AQ1270" s="59">
        <v>4</v>
      </c>
      <c r="AR1270" s="59">
        <v>4</v>
      </c>
      <c r="AS1270" s="59">
        <v>80</v>
      </c>
      <c r="AT1270" s="59">
        <v>3</v>
      </c>
      <c r="AU1270" s="59">
        <v>27</v>
      </c>
      <c r="AV1270" s="59">
        <v>2</v>
      </c>
      <c r="AW1270" s="59">
        <v>2</v>
      </c>
      <c r="AX1270" s="59">
        <v>3</v>
      </c>
      <c r="AY1270" s="59">
        <v>2</v>
      </c>
      <c r="AZ1270" s="59">
        <v>0</v>
      </c>
      <c r="BA1270" s="59">
        <v>2</v>
      </c>
      <c r="BB1270" s="57">
        <f t="shared" si="379"/>
        <v>51860</v>
      </c>
    </row>
    <row r="1271" spans="1:54" x14ac:dyDescent="0.25">
      <c r="A1271" s="58">
        <v>43</v>
      </c>
      <c r="B1271" s="59">
        <v>0</v>
      </c>
      <c r="C1271" s="59">
        <v>1</v>
      </c>
      <c r="D1271" s="59">
        <f t="shared" si="361"/>
        <v>1</v>
      </c>
      <c r="E1271" s="59">
        <f t="shared" si="362"/>
        <v>0</v>
      </c>
      <c r="F1271" s="59">
        <v>244</v>
      </c>
      <c r="G1271" s="59">
        <v>3</v>
      </c>
      <c r="H1271" s="59">
        <f t="shared" si="363"/>
        <v>0</v>
      </c>
      <c r="I1271" s="59">
        <f t="shared" si="364"/>
        <v>0</v>
      </c>
      <c r="J1271" s="59">
        <v>2</v>
      </c>
      <c r="K1271" s="59">
        <v>3</v>
      </c>
      <c r="L1271" s="59">
        <v>1</v>
      </c>
      <c r="M1271" s="59">
        <f t="shared" si="365"/>
        <v>1</v>
      </c>
      <c r="N1271" s="59">
        <f t="shared" si="366"/>
        <v>0</v>
      </c>
      <c r="O1271" s="59">
        <f t="shared" si="367"/>
        <v>0</v>
      </c>
      <c r="P1271" s="59">
        <f t="shared" si="368"/>
        <v>0</v>
      </c>
      <c r="Q1271" s="59">
        <f t="shared" si="369"/>
        <v>0</v>
      </c>
      <c r="R1271" s="59">
        <v>1</v>
      </c>
      <c r="S1271" s="59">
        <v>1778</v>
      </c>
      <c r="T1271" s="59">
        <v>2</v>
      </c>
      <c r="U1271" s="59">
        <v>1</v>
      </c>
      <c r="V1271" s="59">
        <v>97</v>
      </c>
      <c r="W1271" s="59">
        <v>3</v>
      </c>
      <c r="X1271" s="59">
        <v>1</v>
      </c>
      <c r="Y1271" s="59">
        <v>9</v>
      </c>
      <c r="Z1271" s="59">
        <f t="shared" si="370"/>
        <v>0</v>
      </c>
      <c r="AA1271" s="59">
        <f>IF('Updated Dummy'!Y1271=2,1,0)</f>
        <v>0</v>
      </c>
      <c r="AB1271" s="59">
        <f t="shared" si="371"/>
        <v>0</v>
      </c>
      <c r="AC1271" s="59">
        <f t="shared" si="372"/>
        <v>0</v>
      </c>
      <c r="AD1271" s="59">
        <f t="shared" si="373"/>
        <v>0</v>
      </c>
      <c r="AE1271" s="59">
        <f t="shared" si="374"/>
        <v>0</v>
      </c>
      <c r="AF1271" s="59">
        <f t="shared" si="375"/>
        <v>0</v>
      </c>
      <c r="AG1271" s="59">
        <f t="shared" si="376"/>
        <v>0</v>
      </c>
      <c r="AH1271" s="59">
        <v>4</v>
      </c>
      <c r="AI1271" s="59">
        <v>1</v>
      </c>
      <c r="AJ1271" s="59">
        <f t="shared" si="377"/>
        <v>1</v>
      </c>
      <c r="AK1271" s="59">
        <f t="shared" si="378"/>
        <v>0</v>
      </c>
      <c r="AL1271" s="59">
        <v>3539</v>
      </c>
      <c r="AM1271" s="59">
        <v>5033</v>
      </c>
      <c r="AN1271" s="59">
        <v>0</v>
      </c>
      <c r="AO1271" s="59">
        <v>0</v>
      </c>
      <c r="AP1271" s="59">
        <v>13</v>
      </c>
      <c r="AQ1271" s="59">
        <v>3</v>
      </c>
      <c r="AR1271" s="59">
        <v>2</v>
      </c>
      <c r="AS1271" s="59">
        <v>80</v>
      </c>
      <c r="AT1271" s="59">
        <v>0</v>
      </c>
      <c r="AU1271" s="59">
        <v>10</v>
      </c>
      <c r="AV1271" s="59">
        <v>5</v>
      </c>
      <c r="AW1271" s="59">
        <v>3</v>
      </c>
      <c r="AX1271" s="59">
        <v>9</v>
      </c>
      <c r="AY1271" s="59">
        <v>7</v>
      </c>
      <c r="AZ1271" s="59">
        <v>1</v>
      </c>
      <c r="BA1271" s="59">
        <v>8</v>
      </c>
      <c r="BB1271" s="57">
        <f t="shared" si="379"/>
        <v>3539</v>
      </c>
    </row>
    <row r="1272" spans="1:54" x14ac:dyDescent="0.25">
      <c r="A1272" s="58">
        <v>34</v>
      </c>
      <c r="B1272" s="59">
        <v>0</v>
      </c>
      <c r="C1272" s="59">
        <v>1</v>
      </c>
      <c r="D1272" s="59">
        <f t="shared" si="361"/>
        <v>1</v>
      </c>
      <c r="E1272" s="59">
        <f t="shared" si="362"/>
        <v>0</v>
      </c>
      <c r="F1272" s="59">
        <v>511</v>
      </c>
      <c r="G1272" s="59">
        <v>1</v>
      </c>
      <c r="H1272" s="59">
        <f t="shared" si="363"/>
        <v>1</v>
      </c>
      <c r="I1272" s="59">
        <f t="shared" si="364"/>
        <v>0</v>
      </c>
      <c r="J1272" s="59">
        <v>3</v>
      </c>
      <c r="K1272" s="59">
        <v>2</v>
      </c>
      <c r="L1272" s="59">
        <v>1</v>
      </c>
      <c r="M1272" s="59">
        <f t="shared" si="365"/>
        <v>1</v>
      </c>
      <c r="N1272" s="59">
        <f t="shared" si="366"/>
        <v>0</v>
      </c>
      <c r="O1272" s="59">
        <f t="shared" si="367"/>
        <v>0</v>
      </c>
      <c r="P1272" s="59">
        <f t="shared" si="368"/>
        <v>0</v>
      </c>
      <c r="Q1272" s="59">
        <f t="shared" si="369"/>
        <v>0</v>
      </c>
      <c r="R1272" s="59">
        <v>1</v>
      </c>
      <c r="S1272" s="59">
        <v>1779</v>
      </c>
      <c r="T1272" s="59">
        <v>4</v>
      </c>
      <c r="U1272" s="59">
        <v>0</v>
      </c>
      <c r="V1272" s="59">
        <v>32</v>
      </c>
      <c r="W1272" s="59">
        <v>1</v>
      </c>
      <c r="X1272" s="59">
        <v>2</v>
      </c>
      <c r="Y1272" s="59">
        <v>1</v>
      </c>
      <c r="Z1272" s="59">
        <f t="shared" si="370"/>
        <v>1</v>
      </c>
      <c r="AA1272" s="59">
        <f>IF('Updated Dummy'!Y1272=2,1,0)</f>
        <v>0</v>
      </c>
      <c r="AB1272" s="59">
        <f t="shared" si="371"/>
        <v>0</v>
      </c>
      <c r="AC1272" s="59">
        <f t="shared" si="372"/>
        <v>0</v>
      </c>
      <c r="AD1272" s="59">
        <f t="shared" si="373"/>
        <v>0</v>
      </c>
      <c r="AE1272" s="59">
        <f t="shared" si="374"/>
        <v>0</v>
      </c>
      <c r="AF1272" s="59">
        <f t="shared" si="375"/>
        <v>0</v>
      </c>
      <c r="AG1272" s="59">
        <f t="shared" si="376"/>
        <v>0</v>
      </c>
      <c r="AH1272" s="59">
        <v>4</v>
      </c>
      <c r="AI1272" s="59">
        <v>1</v>
      </c>
      <c r="AJ1272" s="59">
        <f t="shared" si="377"/>
        <v>1</v>
      </c>
      <c r="AK1272" s="59">
        <f t="shared" si="378"/>
        <v>0</v>
      </c>
      <c r="AL1272" s="59">
        <v>6029</v>
      </c>
      <c r="AM1272" s="59">
        <v>25353</v>
      </c>
      <c r="AN1272" s="59">
        <v>5</v>
      </c>
      <c r="AO1272" s="59">
        <v>0</v>
      </c>
      <c r="AP1272" s="59">
        <v>12</v>
      </c>
      <c r="AQ1272" s="59">
        <v>3</v>
      </c>
      <c r="AR1272" s="59">
        <v>1</v>
      </c>
      <c r="AS1272" s="59">
        <v>80</v>
      </c>
      <c r="AT1272" s="59">
        <v>0</v>
      </c>
      <c r="AU1272" s="59">
        <v>6</v>
      </c>
      <c r="AV1272" s="59">
        <v>3</v>
      </c>
      <c r="AW1272" s="59">
        <v>3</v>
      </c>
      <c r="AX1272" s="59">
        <v>2</v>
      </c>
      <c r="AY1272" s="59">
        <v>2</v>
      </c>
      <c r="AZ1272" s="59">
        <v>2</v>
      </c>
      <c r="BA1272" s="59">
        <v>2</v>
      </c>
      <c r="BB1272" s="57">
        <f t="shared" si="379"/>
        <v>12058</v>
      </c>
    </row>
    <row r="1273" spans="1:54" x14ac:dyDescent="0.25">
      <c r="A1273" s="58">
        <v>21</v>
      </c>
      <c r="B1273" s="59">
        <v>1</v>
      </c>
      <c r="C1273" s="59">
        <v>1</v>
      </c>
      <c r="D1273" s="59">
        <f t="shared" si="361"/>
        <v>1</v>
      </c>
      <c r="E1273" s="59">
        <f t="shared" si="362"/>
        <v>0</v>
      </c>
      <c r="F1273" s="59">
        <v>337</v>
      </c>
      <c r="G1273" s="59">
        <v>1</v>
      </c>
      <c r="H1273" s="59">
        <f t="shared" si="363"/>
        <v>1</v>
      </c>
      <c r="I1273" s="59">
        <f t="shared" si="364"/>
        <v>0</v>
      </c>
      <c r="J1273" s="59">
        <v>7</v>
      </c>
      <c r="K1273" s="59">
        <v>1</v>
      </c>
      <c r="L1273" s="59">
        <v>4</v>
      </c>
      <c r="M1273" s="59">
        <f t="shared" si="365"/>
        <v>0</v>
      </c>
      <c r="N1273" s="59">
        <f t="shared" si="366"/>
        <v>0</v>
      </c>
      <c r="O1273" s="59">
        <f t="shared" si="367"/>
        <v>0</v>
      </c>
      <c r="P1273" s="59">
        <f t="shared" si="368"/>
        <v>1</v>
      </c>
      <c r="Q1273" s="59">
        <f t="shared" si="369"/>
        <v>0</v>
      </c>
      <c r="R1273" s="59">
        <v>1</v>
      </c>
      <c r="S1273" s="59">
        <v>1780</v>
      </c>
      <c r="T1273" s="59">
        <v>2</v>
      </c>
      <c r="U1273" s="59">
        <v>1</v>
      </c>
      <c r="V1273" s="59">
        <v>31</v>
      </c>
      <c r="W1273" s="59">
        <v>3</v>
      </c>
      <c r="X1273" s="59">
        <v>1</v>
      </c>
      <c r="Y1273" s="59">
        <v>7</v>
      </c>
      <c r="Z1273" s="59">
        <f t="shared" si="370"/>
        <v>0</v>
      </c>
      <c r="AA1273" s="59">
        <f>IF('Updated Dummy'!Y1273=2,1,0)</f>
        <v>0</v>
      </c>
      <c r="AB1273" s="59">
        <f t="shared" si="371"/>
        <v>0</v>
      </c>
      <c r="AC1273" s="59">
        <f t="shared" si="372"/>
        <v>0</v>
      </c>
      <c r="AD1273" s="59">
        <f t="shared" si="373"/>
        <v>0</v>
      </c>
      <c r="AE1273" s="59">
        <f t="shared" si="374"/>
        <v>0</v>
      </c>
      <c r="AF1273" s="59">
        <f t="shared" si="375"/>
        <v>1</v>
      </c>
      <c r="AG1273" s="59">
        <f t="shared" si="376"/>
        <v>0</v>
      </c>
      <c r="AH1273" s="59">
        <v>2</v>
      </c>
      <c r="AI1273" s="59">
        <v>1</v>
      </c>
      <c r="AJ1273" s="59">
        <f t="shared" si="377"/>
        <v>1</v>
      </c>
      <c r="AK1273" s="59">
        <f t="shared" si="378"/>
        <v>0</v>
      </c>
      <c r="AL1273" s="59">
        <v>2679</v>
      </c>
      <c r="AM1273" s="59">
        <v>4567</v>
      </c>
      <c r="AN1273" s="59">
        <v>1</v>
      </c>
      <c r="AO1273" s="59">
        <v>0</v>
      </c>
      <c r="AP1273" s="59">
        <v>13</v>
      </c>
      <c r="AQ1273" s="59">
        <v>3</v>
      </c>
      <c r="AR1273" s="59">
        <v>2</v>
      </c>
      <c r="AS1273" s="59">
        <v>80</v>
      </c>
      <c r="AT1273" s="59">
        <v>0</v>
      </c>
      <c r="AU1273" s="59">
        <v>1</v>
      </c>
      <c r="AV1273" s="59">
        <v>3</v>
      </c>
      <c r="AW1273" s="59">
        <v>3</v>
      </c>
      <c r="AX1273" s="59">
        <v>1</v>
      </c>
      <c r="AY1273" s="59">
        <v>0</v>
      </c>
      <c r="AZ1273" s="59">
        <v>1</v>
      </c>
      <c r="BA1273" s="59">
        <v>0</v>
      </c>
      <c r="BB1273" s="57">
        <f t="shared" si="379"/>
        <v>2679</v>
      </c>
    </row>
    <row r="1274" spans="1:54" x14ac:dyDescent="0.25">
      <c r="A1274" s="58">
        <v>38</v>
      </c>
      <c r="B1274" s="59">
        <v>0</v>
      </c>
      <c r="C1274" s="59">
        <v>1</v>
      </c>
      <c r="D1274" s="59">
        <f t="shared" si="361"/>
        <v>1</v>
      </c>
      <c r="E1274" s="59">
        <f t="shared" si="362"/>
        <v>0</v>
      </c>
      <c r="F1274" s="59">
        <v>1153</v>
      </c>
      <c r="G1274" s="59">
        <v>2</v>
      </c>
      <c r="H1274" s="59">
        <f t="shared" si="363"/>
        <v>0</v>
      </c>
      <c r="I1274" s="59">
        <f t="shared" si="364"/>
        <v>1</v>
      </c>
      <c r="J1274" s="59">
        <v>6</v>
      </c>
      <c r="K1274" s="59">
        <v>2</v>
      </c>
      <c r="L1274" s="59">
        <v>6</v>
      </c>
      <c r="M1274" s="59">
        <f t="shared" si="365"/>
        <v>0</v>
      </c>
      <c r="N1274" s="59">
        <f t="shared" si="366"/>
        <v>0</v>
      </c>
      <c r="O1274" s="59">
        <f t="shared" si="367"/>
        <v>0</v>
      </c>
      <c r="P1274" s="59">
        <f t="shared" si="368"/>
        <v>0</v>
      </c>
      <c r="Q1274" s="59">
        <f t="shared" si="369"/>
        <v>0</v>
      </c>
      <c r="R1274" s="59">
        <v>1</v>
      </c>
      <c r="S1274" s="59">
        <v>1782</v>
      </c>
      <c r="T1274" s="59">
        <v>4</v>
      </c>
      <c r="U1274" s="59">
        <v>0</v>
      </c>
      <c r="V1274" s="59">
        <v>40</v>
      </c>
      <c r="W1274" s="59">
        <v>2</v>
      </c>
      <c r="X1274" s="59">
        <v>1</v>
      </c>
      <c r="Y1274" s="59">
        <v>3</v>
      </c>
      <c r="Z1274" s="59">
        <f t="shared" si="370"/>
        <v>0</v>
      </c>
      <c r="AA1274" s="59">
        <f>IF('Updated Dummy'!Y1274=2,1,0)</f>
        <v>0</v>
      </c>
      <c r="AB1274" s="59">
        <f t="shared" si="371"/>
        <v>1</v>
      </c>
      <c r="AC1274" s="59">
        <f t="shared" si="372"/>
        <v>0</v>
      </c>
      <c r="AD1274" s="59">
        <f t="shared" si="373"/>
        <v>0</v>
      </c>
      <c r="AE1274" s="59">
        <f t="shared" si="374"/>
        <v>0</v>
      </c>
      <c r="AF1274" s="59">
        <f t="shared" si="375"/>
        <v>0</v>
      </c>
      <c r="AG1274" s="59">
        <f t="shared" si="376"/>
        <v>0</v>
      </c>
      <c r="AH1274" s="59">
        <v>3</v>
      </c>
      <c r="AI1274" s="59">
        <v>2</v>
      </c>
      <c r="AJ1274" s="59">
        <f t="shared" si="377"/>
        <v>0</v>
      </c>
      <c r="AK1274" s="59">
        <f t="shared" si="378"/>
        <v>1</v>
      </c>
      <c r="AL1274" s="59">
        <v>3702</v>
      </c>
      <c r="AM1274" s="59">
        <v>16376</v>
      </c>
      <c r="AN1274" s="59">
        <v>1</v>
      </c>
      <c r="AO1274" s="59">
        <v>0</v>
      </c>
      <c r="AP1274" s="59">
        <v>11</v>
      </c>
      <c r="AQ1274" s="59">
        <v>3</v>
      </c>
      <c r="AR1274" s="59">
        <v>2</v>
      </c>
      <c r="AS1274" s="59">
        <v>80</v>
      </c>
      <c r="AT1274" s="59">
        <v>1</v>
      </c>
      <c r="AU1274" s="59">
        <v>5</v>
      </c>
      <c r="AV1274" s="59">
        <v>3</v>
      </c>
      <c r="AW1274" s="59">
        <v>3</v>
      </c>
      <c r="AX1274" s="59">
        <v>5</v>
      </c>
      <c r="AY1274" s="59">
        <v>4</v>
      </c>
      <c r="AZ1274" s="59">
        <v>0</v>
      </c>
      <c r="BA1274" s="59">
        <v>4</v>
      </c>
      <c r="BB1274" s="57">
        <f t="shared" si="379"/>
        <v>3702</v>
      </c>
    </row>
    <row r="1275" spans="1:54" x14ac:dyDescent="0.25">
      <c r="A1275" s="58">
        <v>22</v>
      </c>
      <c r="B1275" s="59">
        <v>1</v>
      </c>
      <c r="C1275" s="59">
        <v>1</v>
      </c>
      <c r="D1275" s="59">
        <f t="shared" si="361"/>
        <v>1</v>
      </c>
      <c r="E1275" s="59">
        <f t="shared" si="362"/>
        <v>0</v>
      </c>
      <c r="F1275" s="59">
        <v>1294</v>
      </c>
      <c r="G1275" s="59">
        <v>2</v>
      </c>
      <c r="H1275" s="59">
        <f t="shared" si="363"/>
        <v>0</v>
      </c>
      <c r="I1275" s="59">
        <f t="shared" si="364"/>
        <v>1</v>
      </c>
      <c r="J1275" s="59">
        <v>8</v>
      </c>
      <c r="K1275" s="59">
        <v>1</v>
      </c>
      <c r="L1275" s="59">
        <v>3</v>
      </c>
      <c r="M1275" s="59">
        <f t="shared" si="365"/>
        <v>0</v>
      </c>
      <c r="N1275" s="59">
        <f t="shared" si="366"/>
        <v>0</v>
      </c>
      <c r="O1275" s="59">
        <f t="shared" si="367"/>
        <v>1</v>
      </c>
      <c r="P1275" s="59">
        <f t="shared" si="368"/>
        <v>0</v>
      </c>
      <c r="Q1275" s="59">
        <f t="shared" si="369"/>
        <v>0</v>
      </c>
      <c r="R1275" s="59">
        <v>1</v>
      </c>
      <c r="S1275" s="59">
        <v>1783</v>
      </c>
      <c r="T1275" s="59">
        <v>3</v>
      </c>
      <c r="U1275" s="59">
        <v>0</v>
      </c>
      <c r="V1275" s="59">
        <v>79</v>
      </c>
      <c r="W1275" s="59">
        <v>3</v>
      </c>
      <c r="X1275" s="59">
        <v>1</v>
      </c>
      <c r="Y1275" s="59">
        <v>3</v>
      </c>
      <c r="Z1275" s="59">
        <f t="shared" si="370"/>
        <v>0</v>
      </c>
      <c r="AA1275" s="59">
        <f>IF('Updated Dummy'!Y1275=2,1,0)</f>
        <v>0</v>
      </c>
      <c r="AB1275" s="59">
        <f t="shared" si="371"/>
        <v>1</v>
      </c>
      <c r="AC1275" s="59">
        <f t="shared" si="372"/>
        <v>0</v>
      </c>
      <c r="AD1275" s="59">
        <f t="shared" si="373"/>
        <v>0</v>
      </c>
      <c r="AE1275" s="59">
        <f t="shared" si="374"/>
        <v>0</v>
      </c>
      <c r="AF1275" s="59">
        <f t="shared" si="375"/>
        <v>0</v>
      </c>
      <c r="AG1275" s="59">
        <f t="shared" si="376"/>
        <v>0</v>
      </c>
      <c r="AH1275" s="59">
        <v>1</v>
      </c>
      <c r="AI1275" s="59">
        <v>2</v>
      </c>
      <c r="AJ1275" s="59">
        <f t="shared" si="377"/>
        <v>0</v>
      </c>
      <c r="AK1275" s="59">
        <f t="shared" si="378"/>
        <v>1</v>
      </c>
      <c r="AL1275" s="59">
        <v>2398</v>
      </c>
      <c r="AM1275" s="59">
        <v>15999</v>
      </c>
      <c r="AN1275" s="59">
        <v>1</v>
      </c>
      <c r="AO1275" s="59">
        <v>1</v>
      </c>
      <c r="AP1275" s="59">
        <v>17</v>
      </c>
      <c r="AQ1275" s="59">
        <v>3</v>
      </c>
      <c r="AR1275" s="59">
        <v>3</v>
      </c>
      <c r="AS1275" s="59">
        <v>80</v>
      </c>
      <c r="AT1275" s="59">
        <v>0</v>
      </c>
      <c r="AU1275" s="59">
        <v>1</v>
      </c>
      <c r="AV1275" s="59">
        <v>6</v>
      </c>
      <c r="AW1275" s="59">
        <v>3</v>
      </c>
      <c r="AX1275" s="59">
        <v>1</v>
      </c>
      <c r="AY1275" s="59">
        <v>0</v>
      </c>
      <c r="AZ1275" s="59">
        <v>0</v>
      </c>
      <c r="BA1275" s="59">
        <v>0</v>
      </c>
      <c r="BB1275" s="57">
        <f t="shared" si="379"/>
        <v>2398</v>
      </c>
    </row>
    <row r="1276" spans="1:54" x14ac:dyDescent="0.25">
      <c r="A1276" s="58">
        <v>31</v>
      </c>
      <c r="B1276" s="59">
        <v>0</v>
      </c>
      <c r="C1276" s="59">
        <v>1</v>
      </c>
      <c r="D1276" s="59">
        <f t="shared" si="361"/>
        <v>1</v>
      </c>
      <c r="E1276" s="59">
        <f t="shared" si="362"/>
        <v>0</v>
      </c>
      <c r="F1276" s="59">
        <v>196</v>
      </c>
      <c r="G1276" s="59">
        <v>1</v>
      </c>
      <c r="H1276" s="59">
        <f t="shared" si="363"/>
        <v>1</v>
      </c>
      <c r="I1276" s="59">
        <f t="shared" si="364"/>
        <v>0</v>
      </c>
      <c r="J1276" s="59">
        <v>29</v>
      </c>
      <c r="K1276" s="59">
        <v>4</v>
      </c>
      <c r="L1276" s="59">
        <v>4</v>
      </c>
      <c r="M1276" s="59">
        <f t="shared" si="365"/>
        <v>0</v>
      </c>
      <c r="N1276" s="59">
        <f t="shared" si="366"/>
        <v>0</v>
      </c>
      <c r="O1276" s="59">
        <f t="shared" si="367"/>
        <v>0</v>
      </c>
      <c r="P1276" s="59">
        <f t="shared" si="368"/>
        <v>1</v>
      </c>
      <c r="Q1276" s="59">
        <f t="shared" si="369"/>
        <v>0</v>
      </c>
      <c r="R1276" s="59">
        <v>1</v>
      </c>
      <c r="S1276" s="59">
        <v>1784</v>
      </c>
      <c r="T1276" s="59">
        <v>1</v>
      </c>
      <c r="U1276" s="59">
        <v>0</v>
      </c>
      <c r="V1276" s="59">
        <v>91</v>
      </c>
      <c r="W1276" s="59">
        <v>2</v>
      </c>
      <c r="X1276" s="59">
        <v>2</v>
      </c>
      <c r="Y1276" s="59">
        <v>1</v>
      </c>
      <c r="Z1276" s="59">
        <f t="shared" si="370"/>
        <v>1</v>
      </c>
      <c r="AA1276" s="59">
        <f>IF('Updated Dummy'!Y1276=2,1,0)</f>
        <v>0</v>
      </c>
      <c r="AB1276" s="59">
        <f t="shared" si="371"/>
        <v>0</v>
      </c>
      <c r="AC1276" s="59">
        <f t="shared" si="372"/>
        <v>0</v>
      </c>
      <c r="AD1276" s="59">
        <f t="shared" si="373"/>
        <v>0</v>
      </c>
      <c r="AE1276" s="59">
        <f t="shared" si="374"/>
        <v>0</v>
      </c>
      <c r="AF1276" s="59">
        <f t="shared" si="375"/>
        <v>0</v>
      </c>
      <c r="AG1276" s="59">
        <f t="shared" si="376"/>
        <v>0</v>
      </c>
      <c r="AH1276" s="59">
        <v>4</v>
      </c>
      <c r="AI1276" s="59">
        <v>2</v>
      </c>
      <c r="AJ1276" s="59">
        <f t="shared" si="377"/>
        <v>0</v>
      </c>
      <c r="AK1276" s="59">
        <f t="shared" si="378"/>
        <v>1</v>
      </c>
      <c r="AL1276" s="59">
        <v>5468</v>
      </c>
      <c r="AM1276" s="59">
        <v>13402</v>
      </c>
      <c r="AN1276" s="59">
        <v>1</v>
      </c>
      <c r="AO1276" s="59">
        <v>0</v>
      </c>
      <c r="AP1276" s="59">
        <v>14</v>
      </c>
      <c r="AQ1276" s="59">
        <v>3</v>
      </c>
      <c r="AR1276" s="59">
        <v>1</v>
      </c>
      <c r="AS1276" s="59">
        <v>80</v>
      </c>
      <c r="AT1276" s="59">
        <v>2</v>
      </c>
      <c r="AU1276" s="59">
        <v>13</v>
      </c>
      <c r="AV1276" s="59">
        <v>3</v>
      </c>
      <c r="AW1276" s="59">
        <v>3</v>
      </c>
      <c r="AX1276" s="59">
        <v>12</v>
      </c>
      <c r="AY1276" s="59">
        <v>7</v>
      </c>
      <c r="AZ1276" s="59">
        <v>5</v>
      </c>
      <c r="BA1276" s="59">
        <v>7</v>
      </c>
      <c r="BB1276" s="57">
        <f t="shared" si="379"/>
        <v>10936</v>
      </c>
    </row>
    <row r="1277" spans="1:54" x14ac:dyDescent="0.25">
      <c r="A1277" s="58">
        <v>51</v>
      </c>
      <c r="B1277" s="59">
        <v>0</v>
      </c>
      <c r="C1277" s="59">
        <v>1</v>
      </c>
      <c r="D1277" s="59">
        <f t="shared" si="361"/>
        <v>1</v>
      </c>
      <c r="E1277" s="59">
        <f t="shared" si="362"/>
        <v>0</v>
      </c>
      <c r="F1277" s="59">
        <v>942</v>
      </c>
      <c r="G1277" s="59">
        <v>2</v>
      </c>
      <c r="H1277" s="59">
        <f t="shared" si="363"/>
        <v>0</v>
      </c>
      <c r="I1277" s="59">
        <f t="shared" si="364"/>
        <v>1</v>
      </c>
      <c r="J1277" s="59">
        <v>3</v>
      </c>
      <c r="K1277" s="59">
        <v>3</v>
      </c>
      <c r="L1277" s="59">
        <v>5</v>
      </c>
      <c r="M1277" s="59">
        <f t="shared" si="365"/>
        <v>0</v>
      </c>
      <c r="N1277" s="59">
        <f t="shared" si="366"/>
        <v>0</v>
      </c>
      <c r="O1277" s="59">
        <f t="shared" si="367"/>
        <v>0</v>
      </c>
      <c r="P1277" s="59">
        <f t="shared" si="368"/>
        <v>0</v>
      </c>
      <c r="Q1277" s="59">
        <f t="shared" si="369"/>
        <v>1</v>
      </c>
      <c r="R1277" s="59">
        <v>1</v>
      </c>
      <c r="S1277" s="59">
        <v>1786</v>
      </c>
      <c r="T1277" s="59">
        <v>1</v>
      </c>
      <c r="U1277" s="59">
        <v>0</v>
      </c>
      <c r="V1277" s="59">
        <v>53</v>
      </c>
      <c r="W1277" s="59">
        <v>3</v>
      </c>
      <c r="X1277" s="59">
        <v>3</v>
      </c>
      <c r="Y1277" s="59">
        <v>6</v>
      </c>
      <c r="Z1277" s="59">
        <f t="shared" si="370"/>
        <v>0</v>
      </c>
      <c r="AA1277" s="59">
        <f>IF('Updated Dummy'!Y1277=2,1,0)</f>
        <v>0</v>
      </c>
      <c r="AB1277" s="59">
        <f t="shared" si="371"/>
        <v>0</v>
      </c>
      <c r="AC1277" s="59">
        <f t="shared" si="372"/>
        <v>0</v>
      </c>
      <c r="AD1277" s="59">
        <f t="shared" si="373"/>
        <v>0</v>
      </c>
      <c r="AE1277" s="59">
        <f t="shared" si="374"/>
        <v>1</v>
      </c>
      <c r="AF1277" s="59">
        <f t="shared" si="375"/>
        <v>0</v>
      </c>
      <c r="AG1277" s="59">
        <f t="shared" si="376"/>
        <v>0</v>
      </c>
      <c r="AH1277" s="59">
        <v>3</v>
      </c>
      <c r="AI1277" s="59">
        <v>2</v>
      </c>
      <c r="AJ1277" s="59">
        <f t="shared" si="377"/>
        <v>0</v>
      </c>
      <c r="AK1277" s="59">
        <f t="shared" si="378"/>
        <v>1</v>
      </c>
      <c r="AL1277" s="59">
        <v>13116</v>
      </c>
      <c r="AM1277" s="59">
        <v>22984</v>
      </c>
      <c r="AN1277" s="59">
        <v>2</v>
      </c>
      <c r="AO1277" s="59">
        <v>0</v>
      </c>
      <c r="AP1277" s="59">
        <v>11</v>
      </c>
      <c r="AQ1277" s="59">
        <v>3</v>
      </c>
      <c r="AR1277" s="59">
        <v>4</v>
      </c>
      <c r="AS1277" s="59">
        <v>80</v>
      </c>
      <c r="AT1277" s="59">
        <v>0</v>
      </c>
      <c r="AU1277" s="59">
        <v>15</v>
      </c>
      <c r="AV1277" s="59">
        <v>2</v>
      </c>
      <c r="AW1277" s="59">
        <v>3</v>
      </c>
      <c r="AX1277" s="59">
        <v>2</v>
      </c>
      <c r="AY1277" s="59">
        <v>2</v>
      </c>
      <c r="AZ1277" s="59">
        <v>2</v>
      </c>
      <c r="BA1277" s="59">
        <v>2</v>
      </c>
      <c r="BB1277" s="57">
        <f t="shared" si="379"/>
        <v>39348</v>
      </c>
    </row>
    <row r="1278" spans="1:54" x14ac:dyDescent="0.25">
      <c r="A1278" s="58">
        <v>37</v>
      </c>
      <c r="B1278" s="59">
        <v>0</v>
      </c>
      <c r="C1278" s="59">
        <v>1</v>
      </c>
      <c r="D1278" s="59">
        <f t="shared" si="361"/>
        <v>1</v>
      </c>
      <c r="E1278" s="59">
        <f t="shared" si="362"/>
        <v>0</v>
      </c>
      <c r="F1278" s="59">
        <v>589</v>
      </c>
      <c r="G1278" s="59">
        <v>1</v>
      </c>
      <c r="H1278" s="59">
        <f t="shared" si="363"/>
        <v>1</v>
      </c>
      <c r="I1278" s="59">
        <f t="shared" si="364"/>
        <v>0</v>
      </c>
      <c r="J1278" s="59">
        <v>9</v>
      </c>
      <c r="K1278" s="59">
        <v>2</v>
      </c>
      <c r="L1278" s="59">
        <v>4</v>
      </c>
      <c r="M1278" s="59">
        <f t="shared" si="365"/>
        <v>0</v>
      </c>
      <c r="N1278" s="59">
        <f t="shared" si="366"/>
        <v>0</v>
      </c>
      <c r="O1278" s="59">
        <f t="shared" si="367"/>
        <v>0</v>
      </c>
      <c r="P1278" s="59">
        <f t="shared" si="368"/>
        <v>1</v>
      </c>
      <c r="Q1278" s="59">
        <f t="shared" si="369"/>
        <v>0</v>
      </c>
      <c r="R1278" s="59">
        <v>1</v>
      </c>
      <c r="S1278" s="59">
        <v>1787</v>
      </c>
      <c r="T1278" s="59">
        <v>2</v>
      </c>
      <c r="U1278" s="59">
        <v>1</v>
      </c>
      <c r="V1278" s="59">
        <v>46</v>
      </c>
      <c r="W1278" s="59">
        <v>2</v>
      </c>
      <c r="X1278" s="59">
        <v>2</v>
      </c>
      <c r="Y1278" s="59">
        <v>1</v>
      </c>
      <c r="Z1278" s="59">
        <f t="shared" si="370"/>
        <v>1</v>
      </c>
      <c r="AA1278" s="59">
        <f>IF('Updated Dummy'!Y1278=2,1,0)</f>
        <v>0</v>
      </c>
      <c r="AB1278" s="59">
        <f t="shared" si="371"/>
        <v>0</v>
      </c>
      <c r="AC1278" s="59">
        <f t="shared" si="372"/>
        <v>0</v>
      </c>
      <c r="AD1278" s="59">
        <f t="shared" si="373"/>
        <v>0</v>
      </c>
      <c r="AE1278" s="59">
        <f t="shared" si="374"/>
        <v>0</v>
      </c>
      <c r="AF1278" s="59">
        <f t="shared" si="375"/>
        <v>0</v>
      </c>
      <c r="AG1278" s="59">
        <f t="shared" si="376"/>
        <v>0</v>
      </c>
      <c r="AH1278" s="59">
        <v>2</v>
      </c>
      <c r="AI1278" s="59">
        <v>2</v>
      </c>
      <c r="AJ1278" s="59">
        <f t="shared" si="377"/>
        <v>0</v>
      </c>
      <c r="AK1278" s="59">
        <f t="shared" si="378"/>
        <v>1</v>
      </c>
      <c r="AL1278" s="59">
        <v>4189</v>
      </c>
      <c r="AM1278" s="59">
        <v>8800</v>
      </c>
      <c r="AN1278" s="59">
        <v>1</v>
      </c>
      <c r="AO1278" s="59">
        <v>0</v>
      </c>
      <c r="AP1278" s="59">
        <v>14</v>
      </c>
      <c r="AQ1278" s="59">
        <v>3</v>
      </c>
      <c r="AR1278" s="59">
        <v>1</v>
      </c>
      <c r="AS1278" s="59">
        <v>80</v>
      </c>
      <c r="AT1278" s="59">
        <v>2</v>
      </c>
      <c r="AU1278" s="59">
        <v>5</v>
      </c>
      <c r="AV1278" s="59">
        <v>2</v>
      </c>
      <c r="AW1278" s="59">
        <v>3</v>
      </c>
      <c r="AX1278" s="59">
        <v>5</v>
      </c>
      <c r="AY1278" s="59">
        <v>2</v>
      </c>
      <c r="AZ1278" s="59">
        <v>0</v>
      </c>
      <c r="BA1278" s="59">
        <v>3</v>
      </c>
      <c r="BB1278" s="57">
        <f t="shared" si="379"/>
        <v>8378</v>
      </c>
    </row>
    <row r="1279" spans="1:54" x14ac:dyDescent="0.25">
      <c r="A1279" s="58">
        <v>46</v>
      </c>
      <c r="B1279" s="59">
        <v>0</v>
      </c>
      <c r="C1279" s="59">
        <v>1</v>
      </c>
      <c r="D1279" s="59">
        <f t="shared" si="361"/>
        <v>1</v>
      </c>
      <c r="E1279" s="59">
        <f t="shared" si="362"/>
        <v>0</v>
      </c>
      <c r="F1279" s="59">
        <v>734</v>
      </c>
      <c r="G1279" s="59">
        <v>2</v>
      </c>
      <c r="H1279" s="59">
        <f t="shared" si="363"/>
        <v>0</v>
      </c>
      <c r="I1279" s="59">
        <f t="shared" si="364"/>
        <v>1</v>
      </c>
      <c r="J1279" s="59">
        <v>2</v>
      </c>
      <c r="K1279" s="59">
        <v>4</v>
      </c>
      <c r="L1279" s="59">
        <v>3</v>
      </c>
      <c r="M1279" s="59">
        <f t="shared" si="365"/>
        <v>0</v>
      </c>
      <c r="N1279" s="59">
        <f t="shared" si="366"/>
        <v>0</v>
      </c>
      <c r="O1279" s="59">
        <f t="shared" si="367"/>
        <v>1</v>
      </c>
      <c r="P1279" s="59">
        <f t="shared" si="368"/>
        <v>0</v>
      </c>
      <c r="Q1279" s="59">
        <f t="shared" si="369"/>
        <v>0</v>
      </c>
      <c r="R1279" s="59">
        <v>1</v>
      </c>
      <c r="S1279" s="59">
        <v>1789</v>
      </c>
      <c r="T1279" s="59">
        <v>3</v>
      </c>
      <c r="U1279" s="59">
        <v>1</v>
      </c>
      <c r="V1279" s="59">
        <v>46</v>
      </c>
      <c r="W1279" s="59">
        <v>3</v>
      </c>
      <c r="X1279" s="59">
        <v>5</v>
      </c>
      <c r="Y1279" s="59">
        <v>8</v>
      </c>
      <c r="Z1279" s="59">
        <f t="shared" si="370"/>
        <v>0</v>
      </c>
      <c r="AA1279" s="59">
        <f>IF('Updated Dummy'!Y1279=2,1,0)</f>
        <v>0</v>
      </c>
      <c r="AB1279" s="59">
        <f t="shared" si="371"/>
        <v>0</v>
      </c>
      <c r="AC1279" s="59">
        <f t="shared" si="372"/>
        <v>0</v>
      </c>
      <c r="AD1279" s="59">
        <f t="shared" si="373"/>
        <v>0</v>
      </c>
      <c r="AE1279" s="59">
        <f t="shared" si="374"/>
        <v>0</v>
      </c>
      <c r="AF1279" s="59">
        <f t="shared" si="375"/>
        <v>0</v>
      </c>
      <c r="AG1279" s="59">
        <f t="shared" si="376"/>
        <v>1</v>
      </c>
      <c r="AH1279" s="59">
        <v>4</v>
      </c>
      <c r="AI1279" s="59">
        <v>3</v>
      </c>
      <c r="AJ1279" s="59">
        <f t="shared" si="377"/>
        <v>0</v>
      </c>
      <c r="AK1279" s="59">
        <f t="shared" si="378"/>
        <v>0</v>
      </c>
      <c r="AL1279" s="59">
        <v>19328</v>
      </c>
      <c r="AM1279" s="59">
        <v>14218</v>
      </c>
      <c r="AN1279" s="59">
        <v>7</v>
      </c>
      <c r="AO1279" s="59">
        <v>1</v>
      </c>
      <c r="AP1279" s="59">
        <v>17</v>
      </c>
      <c r="AQ1279" s="59">
        <v>3</v>
      </c>
      <c r="AR1279" s="59">
        <v>3</v>
      </c>
      <c r="AS1279" s="59">
        <v>80</v>
      </c>
      <c r="AT1279" s="59">
        <v>1</v>
      </c>
      <c r="AU1279" s="59">
        <v>24</v>
      </c>
      <c r="AV1279" s="59">
        <v>3</v>
      </c>
      <c r="AW1279" s="59">
        <v>3</v>
      </c>
      <c r="AX1279" s="59">
        <v>2</v>
      </c>
      <c r="AY1279" s="59">
        <v>1</v>
      </c>
      <c r="AZ1279" s="59">
        <v>2</v>
      </c>
      <c r="BA1279" s="59">
        <v>2</v>
      </c>
      <c r="BB1279" s="57">
        <f t="shared" si="379"/>
        <v>96640</v>
      </c>
    </row>
    <row r="1280" spans="1:54" x14ac:dyDescent="0.25">
      <c r="A1280" s="58">
        <v>36</v>
      </c>
      <c r="B1280" s="59">
        <v>0</v>
      </c>
      <c r="C1280" s="59">
        <v>1</v>
      </c>
      <c r="D1280" s="59">
        <f t="shared" si="361"/>
        <v>1</v>
      </c>
      <c r="E1280" s="59">
        <f t="shared" si="362"/>
        <v>0</v>
      </c>
      <c r="F1280" s="59">
        <v>1383</v>
      </c>
      <c r="G1280" s="59">
        <v>2</v>
      </c>
      <c r="H1280" s="59">
        <f t="shared" si="363"/>
        <v>0</v>
      </c>
      <c r="I1280" s="59">
        <f t="shared" si="364"/>
        <v>1</v>
      </c>
      <c r="J1280" s="59">
        <v>10</v>
      </c>
      <c r="K1280" s="59">
        <v>3</v>
      </c>
      <c r="L1280" s="59">
        <v>1</v>
      </c>
      <c r="M1280" s="59">
        <f t="shared" si="365"/>
        <v>1</v>
      </c>
      <c r="N1280" s="59">
        <f t="shared" si="366"/>
        <v>0</v>
      </c>
      <c r="O1280" s="59">
        <f t="shared" si="367"/>
        <v>0</v>
      </c>
      <c r="P1280" s="59">
        <f t="shared" si="368"/>
        <v>0</v>
      </c>
      <c r="Q1280" s="59">
        <f t="shared" si="369"/>
        <v>0</v>
      </c>
      <c r="R1280" s="59">
        <v>1</v>
      </c>
      <c r="S1280" s="59">
        <v>1790</v>
      </c>
      <c r="T1280" s="59">
        <v>4</v>
      </c>
      <c r="U1280" s="59">
        <v>1</v>
      </c>
      <c r="V1280" s="59">
        <v>90</v>
      </c>
      <c r="W1280" s="59">
        <v>3</v>
      </c>
      <c r="X1280" s="59">
        <v>3</v>
      </c>
      <c r="Y1280" s="59">
        <v>5</v>
      </c>
      <c r="Z1280" s="59">
        <f t="shared" si="370"/>
        <v>0</v>
      </c>
      <c r="AA1280" s="59">
        <f>IF('Updated Dummy'!Y1280=2,1,0)</f>
        <v>0</v>
      </c>
      <c r="AB1280" s="59">
        <f t="shared" si="371"/>
        <v>0</v>
      </c>
      <c r="AC1280" s="59">
        <f t="shared" si="372"/>
        <v>0</v>
      </c>
      <c r="AD1280" s="59">
        <f t="shared" si="373"/>
        <v>1</v>
      </c>
      <c r="AE1280" s="59">
        <f t="shared" si="374"/>
        <v>0</v>
      </c>
      <c r="AF1280" s="59">
        <f t="shared" si="375"/>
        <v>0</v>
      </c>
      <c r="AG1280" s="59">
        <f t="shared" si="376"/>
        <v>0</v>
      </c>
      <c r="AH1280" s="59">
        <v>1</v>
      </c>
      <c r="AI1280" s="59">
        <v>2</v>
      </c>
      <c r="AJ1280" s="59">
        <f t="shared" si="377"/>
        <v>0</v>
      </c>
      <c r="AK1280" s="59">
        <f t="shared" si="378"/>
        <v>1</v>
      </c>
      <c r="AL1280" s="59">
        <v>8321</v>
      </c>
      <c r="AM1280" s="59">
        <v>25949</v>
      </c>
      <c r="AN1280" s="59">
        <v>7</v>
      </c>
      <c r="AO1280" s="59">
        <v>1</v>
      </c>
      <c r="AP1280" s="59">
        <v>13</v>
      </c>
      <c r="AQ1280" s="59">
        <v>3</v>
      </c>
      <c r="AR1280" s="59">
        <v>4</v>
      </c>
      <c r="AS1280" s="59">
        <v>80</v>
      </c>
      <c r="AT1280" s="59">
        <v>1</v>
      </c>
      <c r="AU1280" s="59">
        <v>15</v>
      </c>
      <c r="AV1280" s="59">
        <v>1</v>
      </c>
      <c r="AW1280" s="59">
        <v>3</v>
      </c>
      <c r="AX1280" s="59">
        <v>12</v>
      </c>
      <c r="AY1280" s="59">
        <v>8</v>
      </c>
      <c r="AZ1280" s="59">
        <v>5</v>
      </c>
      <c r="BA1280" s="59">
        <v>7</v>
      </c>
      <c r="BB1280" s="57">
        <f t="shared" si="379"/>
        <v>24963</v>
      </c>
    </row>
    <row r="1281" spans="1:54" x14ac:dyDescent="0.25">
      <c r="A1281" s="58">
        <v>44</v>
      </c>
      <c r="B1281" s="59">
        <v>1</v>
      </c>
      <c r="C1281" s="59">
        <v>2</v>
      </c>
      <c r="D1281" s="59">
        <f t="shared" si="361"/>
        <v>0</v>
      </c>
      <c r="E1281" s="59">
        <f t="shared" si="362"/>
        <v>1</v>
      </c>
      <c r="F1281" s="59">
        <v>429</v>
      </c>
      <c r="G1281" s="59">
        <v>2</v>
      </c>
      <c r="H1281" s="59">
        <f t="shared" si="363"/>
        <v>0</v>
      </c>
      <c r="I1281" s="59">
        <f t="shared" si="364"/>
        <v>1</v>
      </c>
      <c r="J1281" s="59">
        <v>1</v>
      </c>
      <c r="K1281" s="59">
        <v>2</v>
      </c>
      <c r="L1281" s="59">
        <v>3</v>
      </c>
      <c r="M1281" s="59">
        <f t="shared" si="365"/>
        <v>0</v>
      </c>
      <c r="N1281" s="59">
        <f t="shared" si="366"/>
        <v>0</v>
      </c>
      <c r="O1281" s="59">
        <f t="shared" si="367"/>
        <v>1</v>
      </c>
      <c r="P1281" s="59">
        <f t="shared" si="368"/>
        <v>0</v>
      </c>
      <c r="Q1281" s="59">
        <f t="shared" si="369"/>
        <v>0</v>
      </c>
      <c r="R1281" s="59">
        <v>1</v>
      </c>
      <c r="S1281" s="59">
        <v>1792</v>
      </c>
      <c r="T1281" s="59">
        <v>3</v>
      </c>
      <c r="U1281" s="59">
        <v>1</v>
      </c>
      <c r="V1281" s="59">
        <v>99</v>
      </c>
      <c r="W1281" s="59">
        <v>3</v>
      </c>
      <c r="X1281" s="59">
        <v>1</v>
      </c>
      <c r="Y1281" s="59">
        <v>2</v>
      </c>
      <c r="Z1281" s="59">
        <f t="shared" si="370"/>
        <v>0</v>
      </c>
      <c r="AA1281" s="59">
        <f>IF('Updated Dummy'!Y1281=2,1,0)</f>
        <v>1</v>
      </c>
      <c r="AB1281" s="59">
        <f t="shared" si="371"/>
        <v>0</v>
      </c>
      <c r="AC1281" s="59">
        <f t="shared" si="372"/>
        <v>0</v>
      </c>
      <c r="AD1281" s="59">
        <f t="shared" si="373"/>
        <v>0</v>
      </c>
      <c r="AE1281" s="59">
        <f t="shared" si="374"/>
        <v>0</v>
      </c>
      <c r="AF1281" s="59">
        <f t="shared" si="375"/>
        <v>0</v>
      </c>
      <c r="AG1281" s="59">
        <f t="shared" si="376"/>
        <v>0</v>
      </c>
      <c r="AH1281" s="59">
        <v>2</v>
      </c>
      <c r="AI1281" s="59">
        <v>3</v>
      </c>
      <c r="AJ1281" s="59">
        <f t="shared" si="377"/>
        <v>0</v>
      </c>
      <c r="AK1281" s="59">
        <f t="shared" si="378"/>
        <v>0</v>
      </c>
      <c r="AL1281" s="59">
        <v>2342</v>
      </c>
      <c r="AM1281" s="59">
        <v>11092</v>
      </c>
      <c r="AN1281" s="59">
        <v>1</v>
      </c>
      <c r="AO1281" s="59">
        <v>1</v>
      </c>
      <c r="AP1281" s="59">
        <v>12</v>
      </c>
      <c r="AQ1281" s="59">
        <v>3</v>
      </c>
      <c r="AR1281" s="59">
        <v>3</v>
      </c>
      <c r="AS1281" s="59">
        <v>80</v>
      </c>
      <c r="AT1281" s="59">
        <v>3</v>
      </c>
      <c r="AU1281" s="59">
        <v>6</v>
      </c>
      <c r="AV1281" s="59">
        <v>2</v>
      </c>
      <c r="AW1281" s="59">
        <v>2</v>
      </c>
      <c r="AX1281" s="59">
        <v>5</v>
      </c>
      <c r="AY1281" s="59">
        <v>3</v>
      </c>
      <c r="AZ1281" s="59">
        <v>2</v>
      </c>
      <c r="BA1281" s="59">
        <v>3</v>
      </c>
      <c r="BB1281" s="57">
        <f t="shared" si="379"/>
        <v>2342</v>
      </c>
    </row>
    <row r="1282" spans="1:54" x14ac:dyDescent="0.25">
      <c r="A1282" s="58">
        <v>37</v>
      </c>
      <c r="B1282" s="59">
        <v>0</v>
      </c>
      <c r="C1282" s="59">
        <v>1</v>
      </c>
      <c r="D1282" s="59">
        <f t="shared" si="361"/>
        <v>1</v>
      </c>
      <c r="E1282" s="59">
        <f t="shared" si="362"/>
        <v>0</v>
      </c>
      <c r="F1282" s="59">
        <v>1239</v>
      </c>
      <c r="G1282" s="59">
        <v>3</v>
      </c>
      <c r="H1282" s="59">
        <f t="shared" si="363"/>
        <v>0</v>
      </c>
      <c r="I1282" s="59">
        <f t="shared" si="364"/>
        <v>0</v>
      </c>
      <c r="J1282" s="59">
        <v>8</v>
      </c>
      <c r="K1282" s="59">
        <v>2</v>
      </c>
      <c r="L1282" s="59">
        <v>6</v>
      </c>
      <c r="M1282" s="59">
        <f t="shared" si="365"/>
        <v>0</v>
      </c>
      <c r="N1282" s="59">
        <f t="shared" si="366"/>
        <v>0</v>
      </c>
      <c r="O1282" s="59">
        <f t="shared" si="367"/>
        <v>0</v>
      </c>
      <c r="P1282" s="59">
        <f t="shared" si="368"/>
        <v>0</v>
      </c>
      <c r="Q1282" s="59">
        <f t="shared" si="369"/>
        <v>0</v>
      </c>
      <c r="R1282" s="59">
        <v>1</v>
      </c>
      <c r="S1282" s="59">
        <v>1794</v>
      </c>
      <c r="T1282" s="59">
        <v>3</v>
      </c>
      <c r="U1282" s="59">
        <v>1</v>
      </c>
      <c r="V1282" s="59">
        <v>89</v>
      </c>
      <c r="W1282" s="59">
        <v>3</v>
      </c>
      <c r="X1282" s="59">
        <v>2</v>
      </c>
      <c r="Y1282" s="59">
        <v>9</v>
      </c>
      <c r="Z1282" s="59">
        <f t="shared" si="370"/>
        <v>0</v>
      </c>
      <c r="AA1282" s="59">
        <f>IF('Updated Dummy'!Y1282=2,1,0)</f>
        <v>0</v>
      </c>
      <c r="AB1282" s="59">
        <f t="shared" si="371"/>
        <v>0</v>
      </c>
      <c r="AC1282" s="59">
        <f t="shared" si="372"/>
        <v>0</v>
      </c>
      <c r="AD1282" s="59">
        <f t="shared" si="373"/>
        <v>0</v>
      </c>
      <c r="AE1282" s="59">
        <f t="shared" si="374"/>
        <v>0</v>
      </c>
      <c r="AF1282" s="59">
        <f t="shared" si="375"/>
        <v>0</v>
      </c>
      <c r="AG1282" s="59">
        <f t="shared" si="376"/>
        <v>0</v>
      </c>
      <c r="AH1282" s="59">
        <v>2</v>
      </c>
      <c r="AI1282" s="59">
        <v>3</v>
      </c>
      <c r="AJ1282" s="59">
        <f t="shared" si="377"/>
        <v>0</v>
      </c>
      <c r="AK1282" s="59">
        <f t="shared" si="378"/>
        <v>0</v>
      </c>
      <c r="AL1282" s="59">
        <v>4071</v>
      </c>
      <c r="AM1282" s="59">
        <v>12832</v>
      </c>
      <c r="AN1282" s="59">
        <v>2</v>
      </c>
      <c r="AO1282" s="59">
        <v>0</v>
      </c>
      <c r="AP1282" s="59">
        <v>13</v>
      </c>
      <c r="AQ1282" s="59">
        <v>3</v>
      </c>
      <c r="AR1282" s="59">
        <v>3</v>
      </c>
      <c r="AS1282" s="59">
        <v>80</v>
      </c>
      <c r="AT1282" s="59">
        <v>0</v>
      </c>
      <c r="AU1282" s="59">
        <v>19</v>
      </c>
      <c r="AV1282" s="59">
        <v>4</v>
      </c>
      <c r="AW1282" s="59">
        <v>2</v>
      </c>
      <c r="AX1282" s="59">
        <v>10</v>
      </c>
      <c r="AY1282" s="59">
        <v>0</v>
      </c>
      <c r="AZ1282" s="59">
        <v>4</v>
      </c>
      <c r="BA1282" s="59">
        <v>7</v>
      </c>
      <c r="BB1282" s="57">
        <f t="shared" si="379"/>
        <v>8142</v>
      </c>
    </row>
    <row r="1283" spans="1:54" x14ac:dyDescent="0.25">
      <c r="A1283" s="58">
        <v>35</v>
      </c>
      <c r="B1283" s="59">
        <v>1</v>
      </c>
      <c r="C1283" s="59">
        <v>1</v>
      </c>
      <c r="D1283" s="59">
        <f t="shared" ref="D1283:D1346" si="380">IF(C1283=1,1,0)</f>
        <v>1</v>
      </c>
      <c r="E1283" s="59">
        <f t="shared" ref="E1283:E1346" si="381">IF(C1283=2,1,0)</f>
        <v>0</v>
      </c>
      <c r="F1283" s="59">
        <v>303</v>
      </c>
      <c r="G1283" s="59">
        <v>1</v>
      </c>
      <c r="H1283" s="59">
        <f t="shared" ref="H1283:H1346" si="382">IF(G1283=1,1,0)</f>
        <v>1</v>
      </c>
      <c r="I1283" s="59">
        <f t="shared" ref="I1283:I1346" si="383">IF(G1283=2,1,0)</f>
        <v>0</v>
      </c>
      <c r="J1283" s="59">
        <v>27</v>
      </c>
      <c r="K1283" s="59">
        <v>3</v>
      </c>
      <c r="L1283" s="59">
        <v>1</v>
      </c>
      <c r="M1283" s="59">
        <f t="shared" ref="M1283:M1346" si="384">IF(L1283=1,1,0)</f>
        <v>1</v>
      </c>
      <c r="N1283" s="59">
        <f t="shared" ref="N1283:N1346" si="385">IF(L1283=2,1,0)</f>
        <v>0</v>
      </c>
      <c r="O1283" s="59">
        <f t="shared" ref="O1283:O1346" si="386">IF(L1283=3,1,0)</f>
        <v>0</v>
      </c>
      <c r="P1283" s="59">
        <f t="shared" ref="P1283:P1346" si="387">IF(L1283=4,1,0)</f>
        <v>0</v>
      </c>
      <c r="Q1283" s="59">
        <f t="shared" ref="Q1283:Q1346" si="388">IF(L1283=5,1,0)</f>
        <v>0</v>
      </c>
      <c r="R1283" s="59">
        <v>1</v>
      </c>
      <c r="S1283" s="59">
        <v>1797</v>
      </c>
      <c r="T1283" s="59">
        <v>3</v>
      </c>
      <c r="U1283" s="59">
        <v>1</v>
      </c>
      <c r="V1283" s="59">
        <v>84</v>
      </c>
      <c r="W1283" s="59">
        <v>3</v>
      </c>
      <c r="X1283" s="59">
        <v>2</v>
      </c>
      <c r="Y1283" s="59">
        <v>1</v>
      </c>
      <c r="Z1283" s="59">
        <f t="shared" ref="Z1283:Z1346" si="389">IF(Y1283=1,1,0)</f>
        <v>1</v>
      </c>
      <c r="AA1283" s="59">
        <f>IF('Updated Dummy'!Y1283=2,1,0)</f>
        <v>0</v>
      </c>
      <c r="AB1283" s="59">
        <f t="shared" ref="AB1283:AB1346" si="390">IF(Y1283=3,1,0)</f>
        <v>0</v>
      </c>
      <c r="AC1283" s="59">
        <f t="shared" ref="AC1283:AC1346" si="391">IF(Y1283=4,1,0)</f>
        <v>0</v>
      </c>
      <c r="AD1283" s="59">
        <f t="shared" ref="AD1283:AD1346" si="392">IF(Y1283=5,1,0)</f>
        <v>0</v>
      </c>
      <c r="AE1283" s="59">
        <f t="shared" ref="AE1283:AE1346" si="393">IF(Y1283=6,1,0)</f>
        <v>0</v>
      </c>
      <c r="AF1283" s="59">
        <f t="shared" ref="AF1283:AF1346" si="394">IF(Y1283=7,1,0)</f>
        <v>0</v>
      </c>
      <c r="AG1283" s="59">
        <f t="shared" ref="AG1283:AG1346" si="395">IF(Y1283=8,1,0)</f>
        <v>0</v>
      </c>
      <c r="AH1283" s="59">
        <v>4</v>
      </c>
      <c r="AI1283" s="59">
        <v>1</v>
      </c>
      <c r="AJ1283" s="59">
        <f t="shared" ref="AJ1283:AJ1346" si="396">IF(AI1283=1,1,0)</f>
        <v>1</v>
      </c>
      <c r="AK1283" s="59">
        <f t="shared" ref="AK1283:AK1346" si="397">IF(AI1283=2,1,0)</f>
        <v>0</v>
      </c>
      <c r="AL1283" s="59">
        <v>5813</v>
      </c>
      <c r="AM1283" s="59">
        <v>13492</v>
      </c>
      <c r="AN1283" s="59">
        <v>1</v>
      </c>
      <c r="AO1283" s="59">
        <v>1</v>
      </c>
      <c r="AP1283" s="59">
        <v>18</v>
      </c>
      <c r="AQ1283" s="59">
        <v>3</v>
      </c>
      <c r="AR1283" s="59">
        <v>4</v>
      </c>
      <c r="AS1283" s="59">
        <v>80</v>
      </c>
      <c r="AT1283" s="59">
        <v>0</v>
      </c>
      <c r="AU1283" s="59">
        <v>10</v>
      </c>
      <c r="AV1283" s="59">
        <v>2</v>
      </c>
      <c r="AW1283" s="59">
        <v>3</v>
      </c>
      <c r="AX1283" s="59">
        <v>10</v>
      </c>
      <c r="AY1283" s="59">
        <v>7</v>
      </c>
      <c r="AZ1283" s="59">
        <v>7</v>
      </c>
      <c r="BA1283" s="59">
        <v>7</v>
      </c>
      <c r="BB1283" s="57">
        <f t="shared" ref="BB1283:BB1346" si="398">X1283*AL1283</f>
        <v>11626</v>
      </c>
    </row>
    <row r="1284" spans="1:54" x14ac:dyDescent="0.25">
      <c r="A1284" s="58">
        <v>33</v>
      </c>
      <c r="B1284" s="59">
        <v>0</v>
      </c>
      <c r="C1284" s="59">
        <v>1</v>
      </c>
      <c r="D1284" s="59">
        <f t="shared" si="380"/>
        <v>1</v>
      </c>
      <c r="E1284" s="59">
        <f t="shared" si="381"/>
        <v>0</v>
      </c>
      <c r="F1284" s="59">
        <v>867</v>
      </c>
      <c r="G1284" s="59">
        <v>2</v>
      </c>
      <c r="H1284" s="59">
        <f t="shared" si="382"/>
        <v>0</v>
      </c>
      <c r="I1284" s="59">
        <f t="shared" si="383"/>
        <v>1</v>
      </c>
      <c r="J1284" s="59">
        <v>8</v>
      </c>
      <c r="K1284" s="59">
        <v>4</v>
      </c>
      <c r="L1284" s="59">
        <v>1</v>
      </c>
      <c r="M1284" s="59">
        <f t="shared" si="384"/>
        <v>1</v>
      </c>
      <c r="N1284" s="59">
        <f t="shared" si="385"/>
        <v>0</v>
      </c>
      <c r="O1284" s="59">
        <f t="shared" si="386"/>
        <v>0</v>
      </c>
      <c r="P1284" s="59">
        <f t="shared" si="387"/>
        <v>0</v>
      </c>
      <c r="Q1284" s="59">
        <f t="shared" si="388"/>
        <v>0</v>
      </c>
      <c r="R1284" s="59">
        <v>1</v>
      </c>
      <c r="S1284" s="59">
        <v>1798</v>
      </c>
      <c r="T1284" s="59">
        <v>4</v>
      </c>
      <c r="U1284" s="59">
        <v>1</v>
      </c>
      <c r="V1284" s="59">
        <v>90</v>
      </c>
      <c r="W1284" s="59">
        <v>4</v>
      </c>
      <c r="X1284" s="59">
        <v>1</v>
      </c>
      <c r="Y1284" s="59">
        <v>2</v>
      </c>
      <c r="Z1284" s="59">
        <f t="shared" si="389"/>
        <v>0</v>
      </c>
      <c r="AA1284" s="59">
        <f>IF('Updated Dummy'!Y1284=2,1,0)</f>
        <v>1</v>
      </c>
      <c r="AB1284" s="59">
        <f t="shared" si="390"/>
        <v>0</v>
      </c>
      <c r="AC1284" s="59">
        <f t="shared" si="391"/>
        <v>0</v>
      </c>
      <c r="AD1284" s="59">
        <f t="shared" si="392"/>
        <v>0</v>
      </c>
      <c r="AE1284" s="59">
        <f t="shared" si="393"/>
        <v>0</v>
      </c>
      <c r="AF1284" s="59">
        <f t="shared" si="394"/>
        <v>0</v>
      </c>
      <c r="AG1284" s="59">
        <f t="shared" si="395"/>
        <v>0</v>
      </c>
      <c r="AH1284" s="59">
        <v>1</v>
      </c>
      <c r="AI1284" s="59">
        <v>2</v>
      </c>
      <c r="AJ1284" s="59">
        <f t="shared" si="396"/>
        <v>0</v>
      </c>
      <c r="AK1284" s="59">
        <f t="shared" si="397"/>
        <v>1</v>
      </c>
      <c r="AL1284" s="59">
        <v>3143</v>
      </c>
      <c r="AM1284" s="59">
        <v>6076</v>
      </c>
      <c r="AN1284" s="59">
        <v>6</v>
      </c>
      <c r="AO1284" s="59">
        <v>0</v>
      </c>
      <c r="AP1284" s="59">
        <v>19</v>
      </c>
      <c r="AQ1284" s="59">
        <v>3</v>
      </c>
      <c r="AR1284" s="59">
        <v>2</v>
      </c>
      <c r="AS1284" s="59">
        <v>80</v>
      </c>
      <c r="AT1284" s="59">
        <v>1</v>
      </c>
      <c r="AU1284" s="59">
        <v>14</v>
      </c>
      <c r="AV1284" s="59">
        <v>1</v>
      </c>
      <c r="AW1284" s="59">
        <v>3</v>
      </c>
      <c r="AX1284" s="59">
        <v>10</v>
      </c>
      <c r="AY1284" s="59">
        <v>8</v>
      </c>
      <c r="AZ1284" s="59">
        <v>7</v>
      </c>
      <c r="BA1284" s="59">
        <v>6</v>
      </c>
      <c r="BB1284" s="57">
        <f t="shared" si="398"/>
        <v>3143</v>
      </c>
    </row>
    <row r="1285" spans="1:54" x14ac:dyDescent="0.25">
      <c r="A1285" s="58">
        <v>28</v>
      </c>
      <c r="B1285" s="59">
        <v>0</v>
      </c>
      <c r="C1285" s="59">
        <v>1</v>
      </c>
      <c r="D1285" s="59">
        <f t="shared" si="380"/>
        <v>1</v>
      </c>
      <c r="E1285" s="59">
        <f t="shared" si="381"/>
        <v>0</v>
      </c>
      <c r="F1285" s="59">
        <v>1181</v>
      </c>
      <c r="G1285" s="59">
        <v>2</v>
      </c>
      <c r="H1285" s="59">
        <f t="shared" si="382"/>
        <v>0</v>
      </c>
      <c r="I1285" s="59">
        <f t="shared" si="383"/>
        <v>1</v>
      </c>
      <c r="J1285" s="59">
        <v>1</v>
      </c>
      <c r="K1285" s="59">
        <v>3</v>
      </c>
      <c r="L1285" s="59">
        <v>1</v>
      </c>
      <c r="M1285" s="59">
        <f t="shared" si="384"/>
        <v>1</v>
      </c>
      <c r="N1285" s="59">
        <f t="shared" si="385"/>
        <v>0</v>
      </c>
      <c r="O1285" s="59">
        <f t="shared" si="386"/>
        <v>0</v>
      </c>
      <c r="P1285" s="59">
        <f t="shared" si="387"/>
        <v>0</v>
      </c>
      <c r="Q1285" s="59">
        <f t="shared" si="388"/>
        <v>0</v>
      </c>
      <c r="R1285" s="59">
        <v>1</v>
      </c>
      <c r="S1285" s="59">
        <v>1799</v>
      </c>
      <c r="T1285" s="59">
        <v>3</v>
      </c>
      <c r="U1285" s="59">
        <v>1</v>
      </c>
      <c r="V1285" s="59">
        <v>82</v>
      </c>
      <c r="W1285" s="59">
        <v>3</v>
      </c>
      <c r="X1285" s="59">
        <v>1</v>
      </c>
      <c r="Y1285" s="59">
        <v>2</v>
      </c>
      <c r="Z1285" s="59">
        <f t="shared" si="389"/>
        <v>0</v>
      </c>
      <c r="AA1285" s="59">
        <f>IF('Updated Dummy'!Y1285=2,1,0)</f>
        <v>1</v>
      </c>
      <c r="AB1285" s="59">
        <f t="shared" si="390"/>
        <v>0</v>
      </c>
      <c r="AC1285" s="59">
        <f t="shared" si="391"/>
        <v>0</v>
      </c>
      <c r="AD1285" s="59">
        <f t="shared" si="392"/>
        <v>0</v>
      </c>
      <c r="AE1285" s="59">
        <f t="shared" si="393"/>
        <v>0</v>
      </c>
      <c r="AF1285" s="59">
        <f t="shared" si="394"/>
        <v>0</v>
      </c>
      <c r="AG1285" s="59">
        <f t="shared" si="395"/>
        <v>0</v>
      </c>
      <c r="AH1285" s="59">
        <v>4</v>
      </c>
      <c r="AI1285" s="59">
        <v>2</v>
      </c>
      <c r="AJ1285" s="59">
        <f t="shared" si="396"/>
        <v>0</v>
      </c>
      <c r="AK1285" s="59">
        <f t="shared" si="397"/>
        <v>1</v>
      </c>
      <c r="AL1285" s="59">
        <v>2044</v>
      </c>
      <c r="AM1285" s="59">
        <v>5531</v>
      </c>
      <c r="AN1285" s="59">
        <v>1</v>
      </c>
      <c r="AO1285" s="59">
        <v>0</v>
      </c>
      <c r="AP1285" s="59">
        <v>11</v>
      </c>
      <c r="AQ1285" s="59">
        <v>3</v>
      </c>
      <c r="AR1285" s="59">
        <v>3</v>
      </c>
      <c r="AS1285" s="59">
        <v>80</v>
      </c>
      <c r="AT1285" s="59">
        <v>1</v>
      </c>
      <c r="AU1285" s="59">
        <v>5</v>
      </c>
      <c r="AV1285" s="59">
        <v>6</v>
      </c>
      <c r="AW1285" s="59">
        <v>4</v>
      </c>
      <c r="AX1285" s="59">
        <v>5</v>
      </c>
      <c r="AY1285" s="59">
        <v>3</v>
      </c>
      <c r="AZ1285" s="59">
        <v>0</v>
      </c>
      <c r="BA1285" s="59">
        <v>3</v>
      </c>
      <c r="BB1285" s="57">
        <f t="shared" si="398"/>
        <v>2044</v>
      </c>
    </row>
    <row r="1286" spans="1:54" x14ac:dyDescent="0.25">
      <c r="A1286" s="58">
        <v>39</v>
      </c>
      <c r="B1286" s="59">
        <v>0</v>
      </c>
      <c r="C1286" s="59">
        <v>1</v>
      </c>
      <c r="D1286" s="59">
        <f t="shared" si="380"/>
        <v>1</v>
      </c>
      <c r="E1286" s="59">
        <f t="shared" si="381"/>
        <v>0</v>
      </c>
      <c r="F1286" s="59">
        <v>1253</v>
      </c>
      <c r="G1286" s="59">
        <v>2</v>
      </c>
      <c r="H1286" s="59">
        <f t="shared" si="382"/>
        <v>0</v>
      </c>
      <c r="I1286" s="59">
        <f t="shared" si="383"/>
        <v>1</v>
      </c>
      <c r="J1286" s="59">
        <v>10</v>
      </c>
      <c r="K1286" s="59">
        <v>1</v>
      </c>
      <c r="L1286" s="59">
        <v>3</v>
      </c>
      <c r="M1286" s="59">
        <f t="shared" si="384"/>
        <v>0</v>
      </c>
      <c r="N1286" s="59">
        <f t="shared" si="385"/>
        <v>0</v>
      </c>
      <c r="O1286" s="59">
        <f t="shared" si="386"/>
        <v>1</v>
      </c>
      <c r="P1286" s="59">
        <f t="shared" si="387"/>
        <v>0</v>
      </c>
      <c r="Q1286" s="59">
        <f t="shared" si="388"/>
        <v>0</v>
      </c>
      <c r="R1286" s="59">
        <v>1</v>
      </c>
      <c r="S1286" s="59">
        <v>1800</v>
      </c>
      <c r="T1286" s="59">
        <v>3</v>
      </c>
      <c r="U1286" s="59">
        <v>1</v>
      </c>
      <c r="V1286" s="59">
        <v>65</v>
      </c>
      <c r="W1286" s="59">
        <v>3</v>
      </c>
      <c r="X1286" s="59">
        <v>3</v>
      </c>
      <c r="Y1286" s="59">
        <v>8</v>
      </c>
      <c r="Z1286" s="59">
        <f t="shared" si="389"/>
        <v>0</v>
      </c>
      <c r="AA1286" s="59">
        <f>IF('Updated Dummy'!Y1286=2,1,0)</f>
        <v>0</v>
      </c>
      <c r="AB1286" s="59">
        <f t="shared" si="390"/>
        <v>0</v>
      </c>
      <c r="AC1286" s="59">
        <f t="shared" si="391"/>
        <v>0</v>
      </c>
      <c r="AD1286" s="59">
        <f t="shared" si="392"/>
        <v>0</v>
      </c>
      <c r="AE1286" s="59">
        <f t="shared" si="393"/>
        <v>0</v>
      </c>
      <c r="AF1286" s="59">
        <f t="shared" si="394"/>
        <v>0</v>
      </c>
      <c r="AG1286" s="59">
        <f t="shared" si="395"/>
        <v>1</v>
      </c>
      <c r="AH1286" s="59">
        <v>3</v>
      </c>
      <c r="AI1286" s="59">
        <v>1</v>
      </c>
      <c r="AJ1286" s="59">
        <f t="shared" si="396"/>
        <v>1</v>
      </c>
      <c r="AK1286" s="59">
        <f t="shared" si="397"/>
        <v>0</v>
      </c>
      <c r="AL1286" s="59">
        <v>13464</v>
      </c>
      <c r="AM1286" s="59">
        <v>7914</v>
      </c>
      <c r="AN1286" s="59">
        <v>7</v>
      </c>
      <c r="AO1286" s="59">
        <v>0</v>
      </c>
      <c r="AP1286" s="59">
        <v>21</v>
      </c>
      <c r="AQ1286" s="59">
        <v>4</v>
      </c>
      <c r="AR1286" s="59">
        <v>3</v>
      </c>
      <c r="AS1286" s="59">
        <v>80</v>
      </c>
      <c r="AT1286" s="59">
        <v>0</v>
      </c>
      <c r="AU1286" s="59">
        <v>9</v>
      </c>
      <c r="AV1286" s="59">
        <v>3</v>
      </c>
      <c r="AW1286" s="59">
        <v>3</v>
      </c>
      <c r="AX1286" s="59">
        <v>4</v>
      </c>
      <c r="AY1286" s="59">
        <v>3</v>
      </c>
      <c r="AZ1286" s="59">
        <v>2</v>
      </c>
      <c r="BA1286" s="59">
        <v>2</v>
      </c>
      <c r="BB1286" s="57">
        <f t="shared" si="398"/>
        <v>40392</v>
      </c>
    </row>
    <row r="1287" spans="1:54" x14ac:dyDescent="0.25">
      <c r="A1287" s="58">
        <v>46</v>
      </c>
      <c r="B1287" s="59">
        <v>0</v>
      </c>
      <c r="C1287" s="59">
        <v>3</v>
      </c>
      <c r="D1287" s="59">
        <f t="shared" si="380"/>
        <v>0</v>
      </c>
      <c r="E1287" s="59">
        <f t="shared" si="381"/>
        <v>0</v>
      </c>
      <c r="F1287" s="59">
        <v>849</v>
      </c>
      <c r="G1287" s="59">
        <v>1</v>
      </c>
      <c r="H1287" s="59">
        <f t="shared" si="382"/>
        <v>1</v>
      </c>
      <c r="I1287" s="59">
        <f t="shared" si="383"/>
        <v>0</v>
      </c>
      <c r="J1287" s="59">
        <v>26</v>
      </c>
      <c r="K1287" s="59">
        <v>2</v>
      </c>
      <c r="L1287" s="59">
        <v>1</v>
      </c>
      <c r="M1287" s="59">
        <f t="shared" si="384"/>
        <v>1</v>
      </c>
      <c r="N1287" s="59">
        <f t="shared" si="385"/>
        <v>0</v>
      </c>
      <c r="O1287" s="59">
        <f t="shared" si="386"/>
        <v>0</v>
      </c>
      <c r="P1287" s="59">
        <f t="shared" si="387"/>
        <v>0</v>
      </c>
      <c r="Q1287" s="59">
        <f t="shared" si="388"/>
        <v>0</v>
      </c>
      <c r="R1287" s="59">
        <v>1</v>
      </c>
      <c r="S1287" s="59">
        <v>1801</v>
      </c>
      <c r="T1287" s="59">
        <v>2</v>
      </c>
      <c r="U1287" s="59">
        <v>1</v>
      </c>
      <c r="V1287" s="59">
        <v>98</v>
      </c>
      <c r="W1287" s="59">
        <v>2</v>
      </c>
      <c r="X1287" s="59">
        <v>2</v>
      </c>
      <c r="Y1287" s="59">
        <v>1</v>
      </c>
      <c r="Z1287" s="59">
        <f t="shared" si="389"/>
        <v>1</v>
      </c>
      <c r="AA1287" s="59">
        <f>IF('Updated Dummy'!Y1287=2,1,0)</f>
        <v>0</v>
      </c>
      <c r="AB1287" s="59">
        <f t="shared" si="390"/>
        <v>0</v>
      </c>
      <c r="AC1287" s="59">
        <f t="shared" si="391"/>
        <v>0</v>
      </c>
      <c r="AD1287" s="59">
        <f t="shared" si="392"/>
        <v>0</v>
      </c>
      <c r="AE1287" s="59">
        <f t="shared" si="393"/>
        <v>0</v>
      </c>
      <c r="AF1287" s="59">
        <f t="shared" si="394"/>
        <v>0</v>
      </c>
      <c r="AG1287" s="59">
        <f t="shared" si="395"/>
        <v>0</v>
      </c>
      <c r="AH1287" s="59">
        <v>2</v>
      </c>
      <c r="AI1287" s="59">
        <v>1</v>
      </c>
      <c r="AJ1287" s="59">
        <f t="shared" si="396"/>
        <v>1</v>
      </c>
      <c r="AK1287" s="59">
        <f t="shared" si="397"/>
        <v>0</v>
      </c>
      <c r="AL1287" s="59">
        <v>7991</v>
      </c>
      <c r="AM1287" s="59">
        <v>25166</v>
      </c>
      <c r="AN1287" s="59">
        <v>8</v>
      </c>
      <c r="AO1287" s="59">
        <v>0</v>
      </c>
      <c r="AP1287" s="59">
        <v>15</v>
      </c>
      <c r="AQ1287" s="59">
        <v>3</v>
      </c>
      <c r="AR1287" s="59">
        <v>3</v>
      </c>
      <c r="AS1287" s="59">
        <v>80</v>
      </c>
      <c r="AT1287" s="59">
        <v>0</v>
      </c>
      <c r="AU1287" s="59">
        <v>6</v>
      </c>
      <c r="AV1287" s="59">
        <v>3</v>
      </c>
      <c r="AW1287" s="59">
        <v>3</v>
      </c>
      <c r="AX1287" s="59">
        <v>2</v>
      </c>
      <c r="AY1287" s="59">
        <v>2</v>
      </c>
      <c r="AZ1287" s="59">
        <v>2</v>
      </c>
      <c r="BA1287" s="59">
        <v>2</v>
      </c>
      <c r="BB1287" s="57">
        <f t="shared" si="398"/>
        <v>15982</v>
      </c>
    </row>
    <row r="1288" spans="1:54" x14ac:dyDescent="0.25">
      <c r="A1288" s="58">
        <v>40</v>
      </c>
      <c r="B1288" s="59">
        <v>0</v>
      </c>
      <c r="C1288" s="59">
        <v>1</v>
      </c>
      <c r="D1288" s="59">
        <f t="shared" si="380"/>
        <v>1</v>
      </c>
      <c r="E1288" s="59">
        <f t="shared" si="381"/>
        <v>0</v>
      </c>
      <c r="F1288" s="59">
        <v>616</v>
      </c>
      <c r="G1288" s="59">
        <v>2</v>
      </c>
      <c r="H1288" s="59">
        <f t="shared" si="382"/>
        <v>0</v>
      </c>
      <c r="I1288" s="59">
        <f t="shared" si="383"/>
        <v>1</v>
      </c>
      <c r="J1288" s="59">
        <v>2</v>
      </c>
      <c r="K1288" s="59">
        <v>2</v>
      </c>
      <c r="L1288" s="59">
        <v>1</v>
      </c>
      <c r="M1288" s="59">
        <f t="shared" si="384"/>
        <v>1</v>
      </c>
      <c r="N1288" s="59">
        <f t="shared" si="385"/>
        <v>0</v>
      </c>
      <c r="O1288" s="59">
        <f t="shared" si="386"/>
        <v>0</v>
      </c>
      <c r="P1288" s="59">
        <f t="shared" si="387"/>
        <v>0</v>
      </c>
      <c r="Q1288" s="59">
        <f t="shared" si="388"/>
        <v>0</v>
      </c>
      <c r="R1288" s="59">
        <v>1</v>
      </c>
      <c r="S1288" s="59">
        <v>1802</v>
      </c>
      <c r="T1288" s="59">
        <v>3</v>
      </c>
      <c r="U1288" s="59">
        <v>0</v>
      </c>
      <c r="V1288" s="59">
        <v>99</v>
      </c>
      <c r="W1288" s="59">
        <v>3</v>
      </c>
      <c r="X1288" s="59">
        <v>1</v>
      </c>
      <c r="Y1288" s="59">
        <v>3</v>
      </c>
      <c r="Z1288" s="59">
        <f t="shared" si="389"/>
        <v>0</v>
      </c>
      <c r="AA1288" s="59">
        <f>IF('Updated Dummy'!Y1288=2,1,0)</f>
        <v>0</v>
      </c>
      <c r="AB1288" s="59">
        <f t="shared" si="390"/>
        <v>1</v>
      </c>
      <c r="AC1288" s="59">
        <f t="shared" si="391"/>
        <v>0</v>
      </c>
      <c r="AD1288" s="59">
        <f t="shared" si="392"/>
        <v>0</v>
      </c>
      <c r="AE1288" s="59">
        <f t="shared" si="393"/>
        <v>0</v>
      </c>
      <c r="AF1288" s="59">
        <f t="shared" si="394"/>
        <v>0</v>
      </c>
      <c r="AG1288" s="59">
        <f t="shared" si="395"/>
        <v>0</v>
      </c>
      <c r="AH1288" s="59">
        <v>1</v>
      </c>
      <c r="AI1288" s="59">
        <v>2</v>
      </c>
      <c r="AJ1288" s="59">
        <f t="shared" si="396"/>
        <v>0</v>
      </c>
      <c r="AK1288" s="59">
        <f t="shared" si="397"/>
        <v>1</v>
      </c>
      <c r="AL1288" s="59">
        <v>3377</v>
      </c>
      <c r="AM1288" s="59">
        <v>25605</v>
      </c>
      <c r="AN1288" s="59">
        <v>4</v>
      </c>
      <c r="AO1288" s="59">
        <v>0</v>
      </c>
      <c r="AP1288" s="59">
        <v>17</v>
      </c>
      <c r="AQ1288" s="59">
        <v>3</v>
      </c>
      <c r="AR1288" s="59">
        <v>4</v>
      </c>
      <c r="AS1288" s="59">
        <v>80</v>
      </c>
      <c r="AT1288" s="59">
        <v>1</v>
      </c>
      <c r="AU1288" s="59">
        <v>7</v>
      </c>
      <c r="AV1288" s="59">
        <v>5</v>
      </c>
      <c r="AW1288" s="59">
        <v>2</v>
      </c>
      <c r="AX1288" s="59">
        <v>4</v>
      </c>
      <c r="AY1288" s="59">
        <v>3</v>
      </c>
      <c r="AZ1288" s="59">
        <v>0</v>
      </c>
      <c r="BA1288" s="59">
        <v>2</v>
      </c>
      <c r="BB1288" s="57">
        <f t="shared" si="398"/>
        <v>3377</v>
      </c>
    </row>
    <row r="1289" spans="1:54" x14ac:dyDescent="0.25">
      <c r="A1289" s="58">
        <v>42</v>
      </c>
      <c r="B1289" s="59">
        <v>0</v>
      </c>
      <c r="C1289" s="59">
        <v>1</v>
      </c>
      <c r="D1289" s="59">
        <f t="shared" si="380"/>
        <v>1</v>
      </c>
      <c r="E1289" s="59">
        <f t="shared" si="381"/>
        <v>0</v>
      </c>
      <c r="F1289" s="59">
        <v>1128</v>
      </c>
      <c r="G1289" s="59">
        <v>2</v>
      </c>
      <c r="H1289" s="59">
        <f t="shared" si="382"/>
        <v>0</v>
      </c>
      <c r="I1289" s="59">
        <f t="shared" si="383"/>
        <v>1</v>
      </c>
      <c r="J1289" s="59">
        <v>13</v>
      </c>
      <c r="K1289" s="59">
        <v>3</v>
      </c>
      <c r="L1289" s="59">
        <v>3</v>
      </c>
      <c r="M1289" s="59">
        <f t="shared" si="384"/>
        <v>0</v>
      </c>
      <c r="N1289" s="59">
        <f t="shared" si="385"/>
        <v>0</v>
      </c>
      <c r="O1289" s="59">
        <f t="shared" si="386"/>
        <v>1</v>
      </c>
      <c r="P1289" s="59">
        <f t="shared" si="387"/>
        <v>0</v>
      </c>
      <c r="Q1289" s="59">
        <f t="shared" si="388"/>
        <v>0</v>
      </c>
      <c r="R1289" s="59">
        <v>1</v>
      </c>
      <c r="S1289" s="59">
        <v>1803</v>
      </c>
      <c r="T1289" s="59">
        <v>2</v>
      </c>
      <c r="U1289" s="59">
        <v>1</v>
      </c>
      <c r="V1289" s="59">
        <v>95</v>
      </c>
      <c r="W1289" s="59">
        <v>4</v>
      </c>
      <c r="X1289" s="59">
        <v>2</v>
      </c>
      <c r="Y1289" s="59">
        <v>5</v>
      </c>
      <c r="Z1289" s="59">
        <f t="shared" si="389"/>
        <v>0</v>
      </c>
      <c r="AA1289" s="59">
        <f>IF('Updated Dummy'!Y1289=2,1,0)</f>
        <v>0</v>
      </c>
      <c r="AB1289" s="59">
        <f t="shared" si="390"/>
        <v>0</v>
      </c>
      <c r="AC1289" s="59">
        <f t="shared" si="391"/>
        <v>0</v>
      </c>
      <c r="AD1289" s="59">
        <f t="shared" si="392"/>
        <v>1</v>
      </c>
      <c r="AE1289" s="59">
        <f t="shared" si="393"/>
        <v>0</v>
      </c>
      <c r="AF1289" s="59">
        <f t="shared" si="394"/>
        <v>0</v>
      </c>
      <c r="AG1289" s="59">
        <f t="shared" si="395"/>
        <v>0</v>
      </c>
      <c r="AH1289" s="59">
        <v>1</v>
      </c>
      <c r="AI1289" s="59">
        <v>2</v>
      </c>
      <c r="AJ1289" s="59">
        <f t="shared" si="396"/>
        <v>0</v>
      </c>
      <c r="AK1289" s="59">
        <f t="shared" si="397"/>
        <v>1</v>
      </c>
      <c r="AL1289" s="59">
        <v>5538</v>
      </c>
      <c r="AM1289" s="59">
        <v>5696</v>
      </c>
      <c r="AN1289" s="59">
        <v>5</v>
      </c>
      <c r="AO1289" s="59">
        <v>0</v>
      </c>
      <c r="AP1289" s="59">
        <v>18</v>
      </c>
      <c r="AQ1289" s="59">
        <v>3</v>
      </c>
      <c r="AR1289" s="59">
        <v>3</v>
      </c>
      <c r="AS1289" s="59">
        <v>80</v>
      </c>
      <c r="AT1289" s="59">
        <v>2</v>
      </c>
      <c r="AU1289" s="59">
        <v>10</v>
      </c>
      <c r="AV1289" s="59">
        <v>2</v>
      </c>
      <c r="AW1289" s="59">
        <v>2</v>
      </c>
      <c r="AX1289" s="59">
        <v>0</v>
      </c>
      <c r="AY1289" s="59">
        <v>0</v>
      </c>
      <c r="AZ1289" s="59">
        <v>0</v>
      </c>
      <c r="BA1289" s="59">
        <v>0</v>
      </c>
      <c r="BB1289" s="57">
        <f t="shared" si="398"/>
        <v>11076</v>
      </c>
    </row>
    <row r="1290" spans="1:54" x14ac:dyDescent="0.25">
      <c r="A1290" s="58">
        <v>35</v>
      </c>
      <c r="B1290" s="59">
        <v>0</v>
      </c>
      <c r="C1290" s="59">
        <v>3</v>
      </c>
      <c r="D1290" s="59">
        <f t="shared" si="380"/>
        <v>0</v>
      </c>
      <c r="E1290" s="59">
        <f t="shared" si="381"/>
        <v>0</v>
      </c>
      <c r="F1290" s="59">
        <v>1180</v>
      </c>
      <c r="G1290" s="59">
        <v>2</v>
      </c>
      <c r="H1290" s="59">
        <f t="shared" si="382"/>
        <v>0</v>
      </c>
      <c r="I1290" s="59">
        <f t="shared" si="383"/>
        <v>1</v>
      </c>
      <c r="J1290" s="59">
        <v>2</v>
      </c>
      <c r="K1290" s="59">
        <v>2</v>
      </c>
      <c r="L1290" s="59">
        <v>3</v>
      </c>
      <c r="M1290" s="59">
        <f t="shared" si="384"/>
        <v>0</v>
      </c>
      <c r="N1290" s="59">
        <f t="shared" si="385"/>
        <v>0</v>
      </c>
      <c r="O1290" s="59">
        <f t="shared" si="386"/>
        <v>1</v>
      </c>
      <c r="P1290" s="59">
        <f t="shared" si="387"/>
        <v>0</v>
      </c>
      <c r="Q1290" s="59">
        <f t="shared" si="388"/>
        <v>0</v>
      </c>
      <c r="R1290" s="59">
        <v>1</v>
      </c>
      <c r="S1290" s="59">
        <v>1804</v>
      </c>
      <c r="T1290" s="59">
        <v>2</v>
      </c>
      <c r="U1290" s="59">
        <v>1</v>
      </c>
      <c r="V1290" s="59">
        <v>90</v>
      </c>
      <c r="W1290" s="59">
        <v>3</v>
      </c>
      <c r="X1290" s="59">
        <v>2</v>
      </c>
      <c r="Y1290" s="59">
        <v>4</v>
      </c>
      <c r="Z1290" s="59">
        <f t="shared" si="389"/>
        <v>0</v>
      </c>
      <c r="AA1290" s="59">
        <f>IF('Updated Dummy'!Y1290=2,1,0)</f>
        <v>0</v>
      </c>
      <c r="AB1290" s="59">
        <f t="shared" si="390"/>
        <v>0</v>
      </c>
      <c r="AC1290" s="59">
        <f t="shared" si="391"/>
        <v>1</v>
      </c>
      <c r="AD1290" s="59">
        <f t="shared" si="392"/>
        <v>0</v>
      </c>
      <c r="AE1290" s="59">
        <f t="shared" si="393"/>
        <v>0</v>
      </c>
      <c r="AF1290" s="59">
        <f t="shared" si="394"/>
        <v>0</v>
      </c>
      <c r="AG1290" s="59">
        <f t="shared" si="395"/>
        <v>0</v>
      </c>
      <c r="AH1290" s="59">
        <v>4</v>
      </c>
      <c r="AI1290" s="59">
        <v>3</v>
      </c>
      <c r="AJ1290" s="59">
        <f t="shared" si="396"/>
        <v>0</v>
      </c>
      <c r="AK1290" s="59">
        <f t="shared" si="397"/>
        <v>0</v>
      </c>
      <c r="AL1290" s="59">
        <v>5762</v>
      </c>
      <c r="AM1290" s="59">
        <v>24442</v>
      </c>
      <c r="AN1290" s="59">
        <v>2</v>
      </c>
      <c r="AO1290" s="59">
        <v>0</v>
      </c>
      <c r="AP1290" s="59">
        <v>14</v>
      </c>
      <c r="AQ1290" s="59">
        <v>3</v>
      </c>
      <c r="AR1290" s="59">
        <v>3</v>
      </c>
      <c r="AS1290" s="59">
        <v>80</v>
      </c>
      <c r="AT1290" s="59">
        <v>1</v>
      </c>
      <c r="AU1290" s="59">
        <v>15</v>
      </c>
      <c r="AV1290" s="59">
        <v>6</v>
      </c>
      <c r="AW1290" s="59">
        <v>3</v>
      </c>
      <c r="AX1290" s="59">
        <v>7</v>
      </c>
      <c r="AY1290" s="59">
        <v>7</v>
      </c>
      <c r="AZ1290" s="59">
        <v>1</v>
      </c>
      <c r="BA1290" s="59">
        <v>7</v>
      </c>
      <c r="BB1290" s="57">
        <f t="shared" si="398"/>
        <v>11524</v>
      </c>
    </row>
    <row r="1291" spans="1:54" x14ac:dyDescent="0.25">
      <c r="A1291" s="58">
        <v>38</v>
      </c>
      <c r="B1291" s="59">
        <v>0</v>
      </c>
      <c r="C1291" s="59">
        <v>3</v>
      </c>
      <c r="D1291" s="59">
        <f t="shared" si="380"/>
        <v>0</v>
      </c>
      <c r="E1291" s="59">
        <f t="shared" si="381"/>
        <v>0</v>
      </c>
      <c r="F1291" s="59">
        <v>1336</v>
      </c>
      <c r="G1291" s="59">
        <v>3</v>
      </c>
      <c r="H1291" s="59">
        <f t="shared" si="382"/>
        <v>0</v>
      </c>
      <c r="I1291" s="59">
        <f t="shared" si="383"/>
        <v>0</v>
      </c>
      <c r="J1291" s="59">
        <v>2</v>
      </c>
      <c r="K1291" s="59">
        <v>3</v>
      </c>
      <c r="L1291" s="59">
        <v>2</v>
      </c>
      <c r="M1291" s="59">
        <f t="shared" si="384"/>
        <v>0</v>
      </c>
      <c r="N1291" s="59">
        <f t="shared" si="385"/>
        <v>1</v>
      </c>
      <c r="O1291" s="59">
        <f t="shared" si="386"/>
        <v>0</v>
      </c>
      <c r="P1291" s="59">
        <f t="shared" si="387"/>
        <v>0</v>
      </c>
      <c r="Q1291" s="59">
        <f t="shared" si="388"/>
        <v>0</v>
      </c>
      <c r="R1291" s="59">
        <v>1</v>
      </c>
      <c r="S1291" s="59">
        <v>1805</v>
      </c>
      <c r="T1291" s="59">
        <v>1</v>
      </c>
      <c r="U1291" s="59">
        <v>1</v>
      </c>
      <c r="V1291" s="59">
        <v>100</v>
      </c>
      <c r="W1291" s="59">
        <v>3</v>
      </c>
      <c r="X1291" s="59">
        <v>1</v>
      </c>
      <c r="Y1291" s="59">
        <v>9</v>
      </c>
      <c r="Z1291" s="59">
        <f t="shared" si="389"/>
        <v>0</v>
      </c>
      <c r="AA1291" s="59">
        <f>IF('Updated Dummy'!Y1291=2,1,0)</f>
        <v>0</v>
      </c>
      <c r="AB1291" s="59">
        <f t="shared" si="390"/>
        <v>0</v>
      </c>
      <c r="AC1291" s="59">
        <f t="shared" si="391"/>
        <v>0</v>
      </c>
      <c r="AD1291" s="59">
        <f t="shared" si="392"/>
        <v>0</v>
      </c>
      <c r="AE1291" s="59">
        <f t="shared" si="393"/>
        <v>0</v>
      </c>
      <c r="AF1291" s="59">
        <f t="shared" si="394"/>
        <v>0</v>
      </c>
      <c r="AG1291" s="59">
        <f t="shared" si="395"/>
        <v>0</v>
      </c>
      <c r="AH1291" s="59">
        <v>2</v>
      </c>
      <c r="AI1291" s="59">
        <v>3</v>
      </c>
      <c r="AJ1291" s="59">
        <f t="shared" si="396"/>
        <v>0</v>
      </c>
      <c r="AK1291" s="59">
        <f t="shared" si="397"/>
        <v>0</v>
      </c>
      <c r="AL1291" s="59">
        <v>2592</v>
      </c>
      <c r="AM1291" s="59">
        <v>7129</v>
      </c>
      <c r="AN1291" s="59">
        <v>5</v>
      </c>
      <c r="AO1291" s="59">
        <v>0</v>
      </c>
      <c r="AP1291" s="59">
        <v>13</v>
      </c>
      <c r="AQ1291" s="59">
        <v>3</v>
      </c>
      <c r="AR1291" s="59">
        <v>4</v>
      </c>
      <c r="AS1291" s="59">
        <v>80</v>
      </c>
      <c r="AT1291" s="59">
        <v>3</v>
      </c>
      <c r="AU1291" s="59">
        <v>13</v>
      </c>
      <c r="AV1291" s="59">
        <v>3</v>
      </c>
      <c r="AW1291" s="59">
        <v>3</v>
      </c>
      <c r="AX1291" s="59">
        <v>11</v>
      </c>
      <c r="AY1291" s="59">
        <v>10</v>
      </c>
      <c r="AZ1291" s="59">
        <v>3</v>
      </c>
      <c r="BA1291" s="59">
        <v>8</v>
      </c>
      <c r="BB1291" s="57">
        <f t="shared" si="398"/>
        <v>2592</v>
      </c>
    </row>
    <row r="1292" spans="1:54" x14ac:dyDescent="0.25">
      <c r="A1292" s="58">
        <v>34</v>
      </c>
      <c r="B1292" s="59">
        <v>1</v>
      </c>
      <c r="C1292" s="59">
        <v>2</v>
      </c>
      <c r="D1292" s="59">
        <f t="shared" si="380"/>
        <v>0</v>
      </c>
      <c r="E1292" s="59">
        <f t="shared" si="381"/>
        <v>1</v>
      </c>
      <c r="F1292" s="59">
        <v>234</v>
      </c>
      <c r="G1292" s="59">
        <v>2</v>
      </c>
      <c r="H1292" s="59">
        <f t="shared" si="382"/>
        <v>0</v>
      </c>
      <c r="I1292" s="59">
        <f t="shared" si="383"/>
        <v>1</v>
      </c>
      <c r="J1292" s="59">
        <v>9</v>
      </c>
      <c r="K1292" s="59">
        <v>4</v>
      </c>
      <c r="L1292" s="59">
        <v>1</v>
      </c>
      <c r="M1292" s="59">
        <f t="shared" si="384"/>
        <v>1</v>
      </c>
      <c r="N1292" s="59">
        <f t="shared" si="385"/>
        <v>0</v>
      </c>
      <c r="O1292" s="59">
        <f t="shared" si="386"/>
        <v>0</v>
      </c>
      <c r="P1292" s="59">
        <f t="shared" si="387"/>
        <v>0</v>
      </c>
      <c r="Q1292" s="59">
        <f t="shared" si="388"/>
        <v>0</v>
      </c>
      <c r="R1292" s="59">
        <v>1</v>
      </c>
      <c r="S1292" s="59">
        <v>1807</v>
      </c>
      <c r="T1292" s="59">
        <v>4</v>
      </c>
      <c r="U1292" s="59">
        <v>1</v>
      </c>
      <c r="V1292" s="59">
        <v>93</v>
      </c>
      <c r="W1292" s="59">
        <v>3</v>
      </c>
      <c r="X1292" s="59">
        <v>2</v>
      </c>
      <c r="Y1292" s="59">
        <v>3</v>
      </c>
      <c r="Z1292" s="59">
        <f t="shared" si="389"/>
        <v>0</v>
      </c>
      <c r="AA1292" s="59">
        <f>IF('Updated Dummy'!Y1292=2,1,0)</f>
        <v>0</v>
      </c>
      <c r="AB1292" s="59">
        <f t="shared" si="390"/>
        <v>1</v>
      </c>
      <c r="AC1292" s="59">
        <f t="shared" si="391"/>
        <v>0</v>
      </c>
      <c r="AD1292" s="59">
        <f t="shared" si="392"/>
        <v>0</v>
      </c>
      <c r="AE1292" s="59">
        <f t="shared" si="393"/>
        <v>0</v>
      </c>
      <c r="AF1292" s="59">
        <f t="shared" si="394"/>
        <v>0</v>
      </c>
      <c r="AG1292" s="59">
        <f t="shared" si="395"/>
        <v>0</v>
      </c>
      <c r="AH1292" s="59">
        <v>1</v>
      </c>
      <c r="AI1292" s="59">
        <v>2</v>
      </c>
      <c r="AJ1292" s="59">
        <f t="shared" si="396"/>
        <v>0</v>
      </c>
      <c r="AK1292" s="59">
        <f t="shared" si="397"/>
        <v>1</v>
      </c>
      <c r="AL1292" s="59">
        <v>5346</v>
      </c>
      <c r="AM1292" s="59">
        <v>6208</v>
      </c>
      <c r="AN1292" s="59">
        <v>4</v>
      </c>
      <c r="AO1292" s="59">
        <v>0</v>
      </c>
      <c r="AP1292" s="59">
        <v>17</v>
      </c>
      <c r="AQ1292" s="59">
        <v>3</v>
      </c>
      <c r="AR1292" s="59">
        <v>3</v>
      </c>
      <c r="AS1292" s="59">
        <v>80</v>
      </c>
      <c r="AT1292" s="59">
        <v>1</v>
      </c>
      <c r="AU1292" s="59">
        <v>11</v>
      </c>
      <c r="AV1292" s="59">
        <v>3</v>
      </c>
      <c r="AW1292" s="59">
        <v>2</v>
      </c>
      <c r="AX1292" s="59">
        <v>7</v>
      </c>
      <c r="AY1292" s="59">
        <v>1</v>
      </c>
      <c r="AZ1292" s="59">
        <v>0</v>
      </c>
      <c r="BA1292" s="59">
        <v>7</v>
      </c>
      <c r="BB1292" s="57">
        <f t="shared" si="398"/>
        <v>10692</v>
      </c>
    </row>
    <row r="1293" spans="1:54" x14ac:dyDescent="0.25">
      <c r="A1293" s="58">
        <v>37</v>
      </c>
      <c r="B1293" s="59">
        <v>1</v>
      </c>
      <c r="C1293" s="59">
        <v>1</v>
      </c>
      <c r="D1293" s="59">
        <f t="shared" si="380"/>
        <v>1</v>
      </c>
      <c r="E1293" s="59">
        <f t="shared" si="381"/>
        <v>0</v>
      </c>
      <c r="F1293" s="59">
        <v>370</v>
      </c>
      <c r="G1293" s="59">
        <v>2</v>
      </c>
      <c r="H1293" s="59">
        <f t="shared" si="382"/>
        <v>0</v>
      </c>
      <c r="I1293" s="59">
        <f t="shared" si="383"/>
        <v>1</v>
      </c>
      <c r="J1293" s="59">
        <v>10</v>
      </c>
      <c r="K1293" s="59">
        <v>4</v>
      </c>
      <c r="L1293" s="59">
        <v>3</v>
      </c>
      <c r="M1293" s="59">
        <f t="shared" si="384"/>
        <v>0</v>
      </c>
      <c r="N1293" s="59">
        <f t="shared" si="385"/>
        <v>0</v>
      </c>
      <c r="O1293" s="59">
        <f t="shared" si="386"/>
        <v>1</v>
      </c>
      <c r="P1293" s="59">
        <f t="shared" si="387"/>
        <v>0</v>
      </c>
      <c r="Q1293" s="59">
        <f t="shared" si="388"/>
        <v>0</v>
      </c>
      <c r="R1293" s="59">
        <v>1</v>
      </c>
      <c r="S1293" s="59">
        <v>1809</v>
      </c>
      <c r="T1293" s="59">
        <v>4</v>
      </c>
      <c r="U1293" s="59">
        <v>1</v>
      </c>
      <c r="V1293" s="59">
        <v>58</v>
      </c>
      <c r="W1293" s="59">
        <v>3</v>
      </c>
      <c r="X1293" s="59">
        <v>2</v>
      </c>
      <c r="Y1293" s="59">
        <v>4</v>
      </c>
      <c r="Z1293" s="59">
        <f t="shared" si="389"/>
        <v>0</v>
      </c>
      <c r="AA1293" s="59">
        <f>IF('Updated Dummy'!Y1293=2,1,0)</f>
        <v>0</v>
      </c>
      <c r="AB1293" s="59">
        <f t="shared" si="390"/>
        <v>0</v>
      </c>
      <c r="AC1293" s="59">
        <f t="shared" si="391"/>
        <v>1</v>
      </c>
      <c r="AD1293" s="59">
        <f t="shared" si="392"/>
        <v>0</v>
      </c>
      <c r="AE1293" s="59">
        <f t="shared" si="393"/>
        <v>0</v>
      </c>
      <c r="AF1293" s="59">
        <f t="shared" si="394"/>
        <v>0</v>
      </c>
      <c r="AG1293" s="59">
        <f t="shared" si="395"/>
        <v>0</v>
      </c>
      <c r="AH1293" s="59">
        <v>1</v>
      </c>
      <c r="AI1293" s="59">
        <v>1</v>
      </c>
      <c r="AJ1293" s="59">
        <f t="shared" si="396"/>
        <v>1</v>
      </c>
      <c r="AK1293" s="59">
        <f t="shared" si="397"/>
        <v>0</v>
      </c>
      <c r="AL1293" s="59">
        <v>4213</v>
      </c>
      <c r="AM1293" s="59">
        <v>4992</v>
      </c>
      <c r="AN1293" s="59">
        <v>1</v>
      </c>
      <c r="AO1293" s="59">
        <v>0</v>
      </c>
      <c r="AP1293" s="59">
        <v>15</v>
      </c>
      <c r="AQ1293" s="59">
        <v>3</v>
      </c>
      <c r="AR1293" s="59">
        <v>2</v>
      </c>
      <c r="AS1293" s="59">
        <v>80</v>
      </c>
      <c r="AT1293" s="59">
        <v>0</v>
      </c>
      <c r="AU1293" s="59">
        <v>10</v>
      </c>
      <c r="AV1293" s="59">
        <v>4</v>
      </c>
      <c r="AW1293" s="59">
        <v>1</v>
      </c>
      <c r="AX1293" s="59">
        <v>10</v>
      </c>
      <c r="AY1293" s="59">
        <v>3</v>
      </c>
      <c r="AZ1293" s="59">
        <v>0</v>
      </c>
      <c r="BA1293" s="59">
        <v>8</v>
      </c>
      <c r="BB1293" s="57">
        <f t="shared" si="398"/>
        <v>8426</v>
      </c>
    </row>
    <row r="1294" spans="1:54" x14ac:dyDescent="0.25">
      <c r="A1294" s="58">
        <v>39</v>
      </c>
      <c r="B1294" s="59">
        <v>0</v>
      </c>
      <c r="C1294" s="59">
        <v>2</v>
      </c>
      <c r="D1294" s="59">
        <f t="shared" si="380"/>
        <v>0</v>
      </c>
      <c r="E1294" s="59">
        <f t="shared" si="381"/>
        <v>1</v>
      </c>
      <c r="F1294" s="59">
        <v>766</v>
      </c>
      <c r="G1294" s="59">
        <v>1</v>
      </c>
      <c r="H1294" s="59">
        <f t="shared" si="382"/>
        <v>1</v>
      </c>
      <c r="I1294" s="59">
        <f t="shared" si="383"/>
        <v>0</v>
      </c>
      <c r="J1294" s="59">
        <v>20</v>
      </c>
      <c r="K1294" s="59">
        <v>3</v>
      </c>
      <c r="L1294" s="59">
        <v>1</v>
      </c>
      <c r="M1294" s="59">
        <f t="shared" si="384"/>
        <v>1</v>
      </c>
      <c r="N1294" s="59">
        <f t="shared" si="385"/>
        <v>0</v>
      </c>
      <c r="O1294" s="59">
        <f t="shared" si="386"/>
        <v>0</v>
      </c>
      <c r="P1294" s="59">
        <f t="shared" si="387"/>
        <v>0</v>
      </c>
      <c r="Q1294" s="59">
        <f t="shared" si="388"/>
        <v>0</v>
      </c>
      <c r="R1294" s="59">
        <v>1</v>
      </c>
      <c r="S1294" s="59">
        <v>1812</v>
      </c>
      <c r="T1294" s="59">
        <v>3</v>
      </c>
      <c r="U1294" s="59">
        <v>1</v>
      </c>
      <c r="V1294" s="59">
        <v>83</v>
      </c>
      <c r="W1294" s="59">
        <v>3</v>
      </c>
      <c r="X1294" s="59">
        <v>2</v>
      </c>
      <c r="Y1294" s="59">
        <v>1</v>
      </c>
      <c r="Z1294" s="59">
        <f t="shared" si="389"/>
        <v>1</v>
      </c>
      <c r="AA1294" s="59">
        <f>IF('Updated Dummy'!Y1294=2,1,0)</f>
        <v>0</v>
      </c>
      <c r="AB1294" s="59">
        <f t="shared" si="390"/>
        <v>0</v>
      </c>
      <c r="AC1294" s="59">
        <f t="shared" si="391"/>
        <v>0</v>
      </c>
      <c r="AD1294" s="59">
        <f t="shared" si="392"/>
        <v>0</v>
      </c>
      <c r="AE1294" s="59">
        <f t="shared" si="393"/>
        <v>0</v>
      </c>
      <c r="AF1294" s="59">
        <f t="shared" si="394"/>
        <v>0</v>
      </c>
      <c r="AG1294" s="59">
        <f t="shared" si="395"/>
        <v>0</v>
      </c>
      <c r="AH1294" s="59">
        <v>4</v>
      </c>
      <c r="AI1294" s="59">
        <v>3</v>
      </c>
      <c r="AJ1294" s="59">
        <f t="shared" si="396"/>
        <v>0</v>
      </c>
      <c r="AK1294" s="59">
        <f t="shared" si="397"/>
        <v>0</v>
      </c>
      <c r="AL1294" s="59">
        <v>4127</v>
      </c>
      <c r="AM1294" s="59">
        <v>19188</v>
      </c>
      <c r="AN1294" s="59">
        <v>2</v>
      </c>
      <c r="AO1294" s="59">
        <v>0</v>
      </c>
      <c r="AP1294" s="59">
        <v>18</v>
      </c>
      <c r="AQ1294" s="59">
        <v>3</v>
      </c>
      <c r="AR1294" s="59">
        <v>4</v>
      </c>
      <c r="AS1294" s="59">
        <v>80</v>
      </c>
      <c r="AT1294" s="59">
        <v>1</v>
      </c>
      <c r="AU1294" s="59">
        <v>7</v>
      </c>
      <c r="AV1294" s="59">
        <v>6</v>
      </c>
      <c r="AW1294" s="59">
        <v>3</v>
      </c>
      <c r="AX1294" s="59">
        <v>2</v>
      </c>
      <c r="AY1294" s="59">
        <v>1</v>
      </c>
      <c r="AZ1294" s="59">
        <v>2</v>
      </c>
      <c r="BA1294" s="59">
        <v>2</v>
      </c>
      <c r="BB1294" s="57">
        <f t="shared" si="398"/>
        <v>8254</v>
      </c>
    </row>
    <row r="1295" spans="1:54" x14ac:dyDescent="0.25">
      <c r="A1295" s="58">
        <v>43</v>
      </c>
      <c r="B1295" s="59">
        <v>0</v>
      </c>
      <c r="C1295" s="59">
        <v>3</v>
      </c>
      <c r="D1295" s="59">
        <f t="shared" si="380"/>
        <v>0</v>
      </c>
      <c r="E1295" s="59">
        <f t="shared" si="381"/>
        <v>0</v>
      </c>
      <c r="F1295" s="59">
        <v>343</v>
      </c>
      <c r="G1295" s="59">
        <v>2</v>
      </c>
      <c r="H1295" s="59">
        <f t="shared" si="382"/>
        <v>0</v>
      </c>
      <c r="I1295" s="59">
        <f t="shared" si="383"/>
        <v>1</v>
      </c>
      <c r="J1295" s="59">
        <v>9</v>
      </c>
      <c r="K1295" s="59">
        <v>3</v>
      </c>
      <c r="L1295" s="59">
        <v>1</v>
      </c>
      <c r="M1295" s="59">
        <f t="shared" si="384"/>
        <v>1</v>
      </c>
      <c r="N1295" s="59">
        <f t="shared" si="385"/>
        <v>0</v>
      </c>
      <c r="O1295" s="59">
        <f t="shared" si="386"/>
        <v>0</v>
      </c>
      <c r="P1295" s="59">
        <f t="shared" si="387"/>
        <v>0</v>
      </c>
      <c r="Q1295" s="59">
        <f t="shared" si="388"/>
        <v>0</v>
      </c>
      <c r="R1295" s="59">
        <v>1</v>
      </c>
      <c r="S1295" s="59">
        <v>1813</v>
      </c>
      <c r="T1295" s="59">
        <v>1</v>
      </c>
      <c r="U1295" s="59">
        <v>1</v>
      </c>
      <c r="V1295" s="59">
        <v>52</v>
      </c>
      <c r="W1295" s="59">
        <v>3</v>
      </c>
      <c r="X1295" s="59">
        <v>1</v>
      </c>
      <c r="Y1295" s="59">
        <v>2</v>
      </c>
      <c r="Z1295" s="59">
        <f t="shared" si="389"/>
        <v>0</v>
      </c>
      <c r="AA1295" s="59">
        <f>IF('Updated Dummy'!Y1295=2,1,0)</f>
        <v>1</v>
      </c>
      <c r="AB1295" s="59">
        <f t="shared" si="390"/>
        <v>0</v>
      </c>
      <c r="AC1295" s="59">
        <f t="shared" si="391"/>
        <v>0</v>
      </c>
      <c r="AD1295" s="59">
        <f t="shared" si="392"/>
        <v>0</v>
      </c>
      <c r="AE1295" s="59">
        <f t="shared" si="393"/>
        <v>0</v>
      </c>
      <c r="AF1295" s="59">
        <f t="shared" si="394"/>
        <v>0</v>
      </c>
      <c r="AG1295" s="59">
        <f t="shared" si="395"/>
        <v>0</v>
      </c>
      <c r="AH1295" s="59">
        <v>3</v>
      </c>
      <c r="AI1295" s="59">
        <v>1</v>
      </c>
      <c r="AJ1295" s="59">
        <f t="shared" si="396"/>
        <v>1</v>
      </c>
      <c r="AK1295" s="59">
        <f t="shared" si="397"/>
        <v>0</v>
      </c>
      <c r="AL1295" s="59">
        <v>2438</v>
      </c>
      <c r="AM1295" s="59">
        <v>24978</v>
      </c>
      <c r="AN1295" s="59">
        <v>4</v>
      </c>
      <c r="AO1295" s="59">
        <v>0</v>
      </c>
      <c r="AP1295" s="59">
        <v>13</v>
      </c>
      <c r="AQ1295" s="59">
        <v>3</v>
      </c>
      <c r="AR1295" s="59">
        <v>3</v>
      </c>
      <c r="AS1295" s="59">
        <v>80</v>
      </c>
      <c r="AT1295" s="59">
        <v>0</v>
      </c>
      <c r="AU1295" s="59">
        <v>7</v>
      </c>
      <c r="AV1295" s="59">
        <v>2</v>
      </c>
      <c r="AW1295" s="59">
        <v>2</v>
      </c>
      <c r="AX1295" s="59">
        <v>3</v>
      </c>
      <c r="AY1295" s="59">
        <v>2</v>
      </c>
      <c r="AZ1295" s="59">
        <v>1</v>
      </c>
      <c r="BA1295" s="59">
        <v>2</v>
      </c>
      <c r="BB1295" s="57">
        <f t="shared" si="398"/>
        <v>2438</v>
      </c>
    </row>
    <row r="1296" spans="1:54" x14ac:dyDescent="0.25">
      <c r="A1296" s="58">
        <v>41</v>
      </c>
      <c r="B1296" s="59">
        <v>0</v>
      </c>
      <c r="C1296" s="59">
        <v>1</v>
      </c>
      <c r="D1296" s="59">
        <f t="shared" si="380"/>
        <v>1</v>
      </c>
      <c r="E1296" s="59">
        <f t="shared" si="381"/>
        <v>0</v>
      </c>
      <c r="F1296" s="59">
        <v>447</v>
      </c>
      <c r="G1296" s="59">
        <v>2</v>
      </c>
      <c r="H1296" s="59">
        <f t="shared" si="382"/>
        <v>0</v>
      </c>
      <c r="I1296" s="59">
        <f t="shared" si="383"/>
        <v>1</v>
      </c>
      <c r="J1296" s="59">
        <v>5</v>
      </c>
      <c r="K1296" s="59">
        <v>3</v>
      </c>
      <c r="L1296" s="59">
        <v>1</v>
      </c>
      <c r="M1296" s="59">
        <f t="shared" si="384"/>
        <v>1</v>
      </c>
      <c r="N1296" s="59">
        <f t="shared" si="385"/>
        <v>0</v>
      </c>
      <c r="O1296" s="59">
        <f t="shared" si="386"/>
        <v>0</v>
      </c>
      <c r="P1296" s="59">
        <f t="shared" si="387"/>
        <v>0</v>
      </c>
      <c r="Q1296" s="59">
        <f t="shared" si="388"/>
        <v>0</v>
      </c>
      <c r="R1296" s="59">
        <v>1</v>
      </c>
      <c r="S1296" s="59">
        <v>1814</v>
      </c>
      <c r="T1296" s="59">
        <v>2</v>
      </c>
      <c r="U1296" s="59">
        <v>1</v>
      </c>
      <c r="V1296" s="59">
        <v>85</v>
      </c>
      <c r="W1296" s="59">
        <v>4</v>
      </c>
      <c r="X1296" s="59">
        <v>2</v>
      </c>
      <c r="Y1296" s="59">
        <v>5</v>
      </c>
      <c r="Z1296" s="59">
        <f t="shared" si="389"/>
        <v>0</v>
      </c>
      <c r="AA1296" s="59">
        <f>IF('Updated Dummy'!Y1296=2,1,0)</f>
        <v>0</v>
      </c>
      <c r="AB1296" s="59">
        <f t="shared" si="390"/>
        <v>0</v>
      </c>
      <c r="AC1296" s="59">
        <f t="shared" si="391"/>
        <v>0</v>
      </c>
      <c r="AD1296" s="59">
        <f t="shared" si="392"/>
        <v>1</v>
      </c>
      <c r="AE1296" s="59">
        <f t="shared" si="393"/>
        <v>0</v>
      </c>
      <c r="AF1296" s="59">
        <f t="shared" si="394"/>
        <v>0</v>
      </c>
      <c r="AG1296" s="59">
        <f t="shared" si="395"/>
        <v>0</v>
      </c>
      <c r="AH1296" s="59">
        <v>2</v>
      </c>
      <c r="AI1296" s="59">
        <v>1</v>
      </c>
      <c r="AJ1296" s="59">
        <f t="shared" si="396"/>
        <v>1</v>
      </c>
      <c r="AK1296" s="59">
        <f t="shared" si="397"/>
        <v>0</v>
      </c>
      <c r="AL1296" s="59">
        <v>6870</v>
      </c>
      <c r="AM1296" s="59">
        <v>15530</v>
      </c>
      <c r="AN1296" s="59">
        <v>3</v>
      </c>
      <c r="AO1296" s="59">
        <v>0</v>
      </c>
      <c r="AP1296" s="59">
        <v>12</v>
      </c>
      <c r="AQ1296" s="59">
        <v>3</v>
      </c>
      <c r="AR1296" s="59">
        <v>1</v>
      </c>
      <c r="AS1296" s="59">
        <v>80</v>
      </c>
      <c r="AT1296" s="59">
        <v>0</v>
      </c>
      <c r="AU1296" s="59">
        <v>11</v>
      </c>
      <c r="AV1296" s="59">
        <v>3</v>
      </c>
      <c r="AW1296" s="59">
        <v>1</v>
      </c>
      <c r="AX1296" s="59">
        <v>3</v>
      </c>
      <c r="AY1296" s="59">
        <v>2</v>
      </c>
      <c r="AZ1296" s="59">
        <v>1</v>
      </c>
      <c r="BA1296" s="59">
        <v>2</v>
      </c>
      <c r="BB1296" s="57">
        <f t="shared" si="398"/>
        <v>13740</v>
      </c>
    </row>
    <row r="1297" spans="1:54" x14ac:dyDescent="0.25">
      <c r="A1297" s="58">
        <v>41</v>
      </c>
      <c r="B1297" s="59">
        <v>0</v>
      </c>
      <c r="C1297" s="59">
        <v>1</v>
      </c>
      <c r="D1297" s="59">
        <f t="shared" si="380"/>
        <v>1</v>
      </c>
      <c r="E1297" s="59">
        <f t="shared" si="381"/>
        <v>0</v>
      </c>
      <c r="F1297" s="59">
        <v>796</v>
      </c>
      <c r="G1297" s="59">
        <v>1</v>
      </c>
      <c r="H1297" s="59">
        <f t="shared" si="382"/>
        <v>1</v>
      </c>
      <c r="I1297" s="59">
        <f t="shared" si="383"/>
        <v>0</v>
      </c>
      <c r="J1297" s="59">
        <v>4</v>
      </c>
      <c r="K1297" s="59">
        <v>1</v>
      </c>
      <c r="L1297" s="59">
        <v>4</v>
      </c>
      <c r="M1297" s="59">
        <f t="shared" si="384"/>
        <v>0</v>
      </c>
      <c r="N1297" s="59">
        <f t="shared" si="385"/>
        <v>0</v>
      </c>
      <c r="O1297" s="59">
        <f t="shared" si="386"/>
        <v>0</v>
      </c>
      <c r="P1297" s="59">
        <f t="shared" si="387"/>
        <v>1</v>
      </c>
      <c r="Q1297" s="59">
        <f t="shared" si="388"/>
        <v>0</v>
      </c>
      <c r="R1297" s="59">
        <v>1</v>
      </c>
      <c r="S1297" s="59">
        <v>1815</v>
      </c>
      <c r="T1297" s="59">
        <v>3</v>
      </c>
      <c r="U1297" s="59">
        <v>0</v>
      </c>
      <c r="V1297" s="59">
        <v>81</v>
      </c>
      <c r="W1297" s="59">
        <v>3</v>
      </c>
      <c r="X1297" s="59">
        <v>3</v>
      </c>
      <c r="Y1297" s="59">
        <v>1</v>
      </c>
      <c r="Z1297" s="59">
        <f t="shared" si="389"/>
        <v>1</v>
      </c>
      <c r="AA1297" s="59">
        <f>IF('Updated Dummy'!Y1297=2,1,0)</f>
        <v>0</v>
      </c>
      <c r="AB1297" s="59">
        <f t="shared" si="390"/>
        <v>0</v>
      </c>
      <c r="AC1297" s="59">
        <f t="shared" si="391"/>
        <v>0</v>
      </c>
      <c r="AD1297" s="59">
        <f t="shared" si="392"/>
        <v>0</v>
      </c>
      <c r="AE1297" s="59">
        <f t="shared" si="393"/>
        <v>0</v>
      </c>
      <c r="AF1297" s="59">
        <f t="shared" si="394"/>
        <v>0</v>
      </c>
      <c r="AG1297" s="59">
        <f t="shared" si="395"/>
        <v>0</v>
      </c>
      <c r="AH1297" s="59">
        <v>3</v>
      </c>
      <c r="AI1297" s="59">
        <v>3</v>
      </c>
      <c r="AJ1297" s="59">
        <f t="shared" si="396"/>
        <v>0</v>
      </c>
      <c r="AK1297" s="59">
        <f t="shared" si="397"/>
        <v>0</v>
      </c>
      <c r="AL1297" s="59">
        <v>10447</v>
      </c>
      <c r="AM1297" s="59">
        <v>26458</v>
      </c>
      <c r="AN1297" s="59">
        <v>0</v>
      </c>
      <c r="AO1297" s="59">
        <v>1</v>
      </c>
      <c r="AP1297" s="59">
        <v>13</v>
      </c>
      <c r="AQ1297" s="59">
        <v>3</v>
      </c>
      <c r="AR1297" s="59">
        <v>4</v>
      </c>
      <c r="AS1297" s="59">
        <v>80</v>
      </c>
      <c r="AT1297" s="59">
        <v>1</v>
      </c>
      <c r="AU1297" s="59">
        <v>23</v>
      </c>
      <c r="AV1297" s="59">
        <v>3</v>
      </c>
      <c r="AW1297" s="59">
        <v>4</v>
      </c>
      <c r="AX1297" s="59">
        <v>22</v>
      </c>
      <c r="AY1297" s="59">
        <v>14</v>
      </c>
      <c r="AZ1297" s="59">
        <v>13</v>
      </c>
      <c r="BA1297" s="59">
        <v>5</v>
      </c>
      <c r="BB1297" s="57">
        <f t="shared" si="398"/>
        <v>31341</v>
      </c>
    </row>
    <row r="1298" spans="1:54" x14ac:dyDescent="0.25">
      <c r="A1298" s="58">
        <v>30</v>
      </c>
      <c r="B1298" s="59">
        <v>0</v>
      </c>
      <c r="C1298" s="59">
        <v>1</v>
      </c>
      <c r="D1298" s="59">
        <f t="shared" si="380"/>
        <v>1</v>
      </c>
      <c r="E1298" s="59">
        <f t="shared" si="381"/>
        <v>0</v>
      </c>
      <c r="F1298" s="59">
        <v>1092</v>
      </c>
      <c r="G1298" s="59">
        <v>2</v>
      </c>
      <c r="H1298" s="59">
        <f t="shared" si="382"/>
        <v>0</v>
      </c>
      <c r="I1298" s="59">
        <f t="shared" si="383"/>
        <v>1</v>
      </c>
      <c r="J1298" s="59">
        <v>10</v>
      </c>
      <c r="K1298" s="59">
        <v>3</v>
      </c>
      <c r="L1298" s="59">
        <v>3</v>
      </c>
      <c r="M1298" s="59">
        <f t="shared" si="384"/>
        <v>0</v>
      </c>
      <c r="N1298" s="59">
        <f t="shared" si="385"/>
        <v>0</v>
      </c>
      <c r="O1298" s="59">
        <f t="shared" si="386"/>
        <v>1</v>
      </c>
      <c r="P1298" s="59">
        <f t="shared" si="387"/>
        <v>0</v>
      </c>
      <c r="Q1298" s="59">
        <f t="shared" si="388"/>
        <v>0</v>
      </c>
      <c r="R1298" s="59">
        <v>1</v>
      </c>
      <c r="S1298" s="59">
        <v>1816</v>
      </c>
      <c r="T1298" s="59">
        <v>1</v>
      </c>
      <c r="U1298" s="59">
        <v>0</v>
      </c>
      <c r="V1298" s="59">
        <v>64</v>
      </c>
      <c r="W1298" s="59">
        <v>3</v>
      </c>
      <c r="X1298" s="59">
        <v>3</v>
      </c>
      <c r="Y1298" s="59">
        <v>4</v>
      </c>
      <c r="Z1298" s="59">
        <f t="shared" si="389"/>
        <v>0</v>
      </c>
      <c r="AA1298" s="59">
        <f>IF('Updated Dummy'!Y1298=2,1,0)</f>
        <v>0</v>
      </c>
      <c r="AB1298" s="59">
        <f t="shared" si="390"/>
        <v>0</v>
      </c>
      <c r="AC1298" s="59">
        <f t="shared" si="391"/>
        <v>1</v>
      </c>
      <c r="AD1298" s="59">
        <f t="shared" si="392"/>
        <v>0</v>
      </c>
      <c r="AE1298" s="59">
        <f t="shared" si="393"/>
        <v>0</v>
      </c>
      <c r="AF1298" s="59">
        <f t="shared" si="394"/>
        <v>0</v>
      </c>
      <c r="AG1298" s="59">
        <f t="shared" si="395"/>
        <v>0</v>
      </c>
      <c r="AH1298" s="59">
        <v>3</v>
      </c>
      <c r="AI1298" s="59">
        <v>1</v>
      </c>
      <c r="AJ1298" s="59">
        <f t="shared" si="396"/>
        <v>1</v>
      </c>
      <c r="AK1298" s="59">
        <f t="shared" si="397"/>
        <v>0</v>
      </c>
      <c r="AL1298" s="59">
        <v>9667</v>
      </c>
      <c r="AM1298" s="59">
        <v>2739</v>
      </c>
      <c r="AN1298" s="59">
        <v>9</v>
      </c>
      <c r="AO1298" s="59">
        <v>0</v>
      </c>
      <c r="AP1298" s="59">
        <v>14</v>
      </c>
      <c r="AQ1298" s="59">
        <v>3</v>
      </c>
      <c r="AR1298" s="59">
        <v>2</v>
      </c>
      <c r="AS1298" s="59">
        <v>80</v>
      </c>
      <c r="AT1298" s="59">
        <v>0</v>
      </c>
      <c r="AU1298" s="59">
        <v>9</v>
      </c>
      <c r="AV1298" s="59">
        <v>3</v>
      </c>
      <c r="AW1298" s="59">
        <v>3</v>
      </c>
      <c r="AX1298" s="59">
        <v>7</v>
      </c>
      <c r="AY1298" s="59">
        <v>7</v>
      </c>
      <c r="AZ1298" s="59">
        <v>0</v>
      </c>
      <c r="BA1298" s="59">
        <v>2</v>
      </c>
      <c r="BB1298" s="57">
        <f t="shared" si="398"/>
        <v>29001</v>
      </c>
    </row>
    <row r="1299" spans="1:54" x14ac:dyDescent="0.25">
      <c r="A1299" s="58">
        <v>26</v>
      </c>
      <c r="B1299" s="59">
        <v>1</v>
      </c>
      <c r="C1299" s="59">
        <v>1</v>
      </c>
      <c r="D1299" s="59">
        <f t="shared" si="380"/>
        <v>1</v>
      </c>
      <c r="E1299" s="59">
        <f t="shared" si="381"/>
        <v>0</v>
      </c>
      <c r="F1299" s="59">
        <v>920</v>
      </c>
      <c r="G1299" s="59">
        <v>3</v>
      </c>
      <c r="H1299" s="59">
        <f t="shared" si="382"/>
        <v>0</v>
      </c>
      <c r="I1299" s="59">
        <f t="shared" si="383"/>
        <v>0</v>
      </c>
      <c r="J1299" s="59">
        <v>20</v>
      </c>
      <c r="K1299" s="59">
        <v>2</v>
      </c>
      <c r="L1299" s="59">
        <v>3</v>
      </c>
      <c r="M1299" s="59">
        <f t="shared" si="384"/>
        <v>0</v>
      </c>
      <c r="N1299" s="59">
        <f t="shared" si="385"/>
        <v>0</v>
      </c>
      <c r="O1299" s="59">
        <f t="shared" si="386"/>
        <v>1</v>
      </c>
      <c r="P1299" s="59">
        <f t="shared" si="387"/>
        <v>0</v>
      </c>
      <c r="Q1299" s="59">
        <f t="shared" si="388"/>
        <v>0</v>
      </c>
      <c r="R1299" s="59">
        <v>1</v>
      </c>
      <c r="S1299" s="59">
        <v>1818</v>
      </c>
      <c r="T1299" s="59">
        <v>4</v>
      </c>
      <c r="U1299" s="59">
        <v>0</v>
      </c>
      <c r="V1299" s="59">
        <v>69</v>
      </c>
      <c r="W1299" s="59">
        <v>3</v>
      </c>
      <c r="X1299" s="59">
        <v>1</v>
      </c>
      <c r="Y1299" s="59">
        <v>9</v>
      </c>
      <c r="Z1299" s="59">
        <f t="shared" si="389"/>
        <v>0</v>
      </c>
      <c r="AA1299" s="59">
        <f>IF('Updated Dummy'!Y1299=2,1,0)</f>
        <v>0</v>
      </c>
      <c r="AB1299" s="59">
        <f t="shared" si="390"/>
        <v>0</v>
      </c>
      <c r="AC1299" s="59">
        <f t="shared" si="391"/>
        <v>0</v>
      </c>
      <c r="AD1299" s="59">
        <f t="shared" si="392"/>
        <v>0</v>
      </c>
      <c r="AE1299" s="59">
        <f t="shared" si="393"/>
        <v>0</v>
      </c>
      <c r="AF1299" s="59">
        <f t="shared" si="394"/>
        <v>0</v>
      </c>
      <c r="AG1299" s="59">
        <f t="shared" si="395"/>
        <v>0</v>
      </c>
      <c r="AH1299" s="59">
        <v>2</v>
      </c>
      <c r="AI1299" s="59">
        <v>2</v>
      </c>
      <c r="AJ1299" s="59">
        <f t="shared" si="396"/>
        <v>0</v>
      </c>
      <c r="AK1299" s="59">
        <f t="shared" si="397"/>
        <v>1</v>
      </c>
      <c r="AL1299" s="59">
        <v>2148</v>
      </c>
      <c r="AM1299" s="59">
        <v>6889</v>
      </c>
      <c r="AN1299" s="59">
        <v>0</v>
      </c>
      <c r="AO1299" s="59">
        <v>1</v>
      </c>
      <c r="AP1299" s="59">
        <v>11</v>
      </c>
      <c r="AQ1299" s="59">
        <v>3</v>
      </c>
      <c r="AR1299" s="59">
        <v>3</v>
      </c>
      <c r="AS1299" s="59">
        <v>80</v>
      </c>
      <c r="AT1299" s="59">
        <v>0</v>
      </c>
      <c r="AU1299" s="59">
        <v>6</v>
      </c>
      <c r="AV1299" s="59">
        <v>3</v>
      </c>
      <c r="AW1299" s="59">
        <v>3</v>
      </c>
      <c r="AX1299" s="59">
        <v>5</v>
      </c>
      <c r="AY1299" s="59">
        <v>1</v>
      </c>
      <c r="AZ1299" s="59">
        <v>1</v>
      </c>
      <c r="BA1299" s="59">
        <v>4</v>
      </c>
      <c r="BB1299" s="57">
        <f t="shared" si="398"/>
        <v>2148</v>
      </c>
    </row>
    <row r="1300" spans="1:54" x14ac:dyDescent="0.25">
      <c r="A1300" s="58">
        <v>46</v>
      </c>
      <c r="B1300" s="59">
        <v>1</v>
      </c>
      <c r="C1300" s="59">
        <v>1</v>
      </c>
      <c r="D1300" s="59">
        <f t="shared" si="380"/>
        <v>1</v>
      </c>
      <c r="E1300" s="59">
        <f t="shared" si="381"/>
        <v>0</v>
      </c>
      <c r="F1300" s="59">
        <v>261</v>
      </c>
      <c r="G1300" s="59">
        <v>2</v>
      </c>
      <c r="H1300" s="59">
        <f t="shared" si="382"/>
        <v>0</v>
      </c>
      <c r="I1300" s="59">
        <f t="shared" si="383"/>
        <v>1</v>
      </c>
      <c r="J1300" s="59">
        <v>21</v>
      </c>
      <c r="K1300" s="59">
        <v>2</v>
      </c>
      <c r="L1300" s="59">
        <v>3</v>
      </c>
      <c r="M1300" s="59">
        <f t="shared" si="384"/>
        <v>0</v>
      </c>
      <c r="N1300" s="59">
        <f t="shared" si="385"/>
        <v>0</v>
      </c>
      <c r="O1300" s="59">
        <f t="shared" si="386"/>
        <v>1</v>
      </c>
      <c r="P1300" s="59">
        <f t="shared" si="387"/>
        <v>0</v>
      </c>
      <c r="Q1300" s="59">
        <f t="shared" si="388"/>
        <v>0</v>
      </c>
      <c r="R1300" s="59">
        <v>1</v>
      </c>
      <c r="S1300" s="59">
        <v>1821</v>
      </c>
      <c r="T1300" s="59">
        <v>4</v>
      </c>
      <c r="U1300" s="59">
        <v>0</v>
      </c>
      <c r="V1300" s="59">
        <v>66</v>
      </c>
      <c r="W1300" s="59">
        <v>3</v>
      </c>
      <c r="X1300" s="59">
        <v>2</v>
      </c>
      <c r="Y1300" s="59">
        <v>5</v>
      </c>
      <c r="Z1300" s="59">
        <f t="shared" si="389"/>
        <v>0</v>
      </c>
      <c r="AA1300" s="59">
        <f>IF('Updated Dummy'!Y1300=2,1,0)</f>
        <v>0</v>
      </c>
      <c r="AB1300" s="59">
        <f t="shared" si="390"/>
        <v>0</v>
      </c>
      <c r="AC1300" s="59">
        <f t="shared" si="391"/>
        <v>0</v>
      </c>
      <c r="AD1300" s="59">
        <f t="shared" si="392"/>
        <v>1</v>
      </c>
      <c r="AE1300" s="59">
        <f t="shared" si="393"/>
        <v>0</v>
      </c>
      <c r="AF1300" s="59">
        <f t="shared" si="394"/>
        <v>0</v>
      </c>
      <c r="AG1300" s="59">
        <f t="shared" si="395"/>
        <v>0</v>
      </c>
      <c r="AH1300" s="59">
        <v>2</v>
      </c>
      <c r="AI1300" s="59">
        <v>2</v>
      </c>
      <c r="AJ1300" s="59">
        <f t="shared" si="396"/>
        <v>0</v>
      </c>
      <c r="AK1300" s="59">
        <f t="shared" si="397"/>
        <v>1</v>
      </c>
      <c r="AL1300" s="59">
        <v>8926</v>
      </c>
      <c r="AM1300" s="59">
        <v>10842</v>
      </c>
      <c r="AN1300" s="59">
        <v>4</v>
      </c>
      <c r="AO1300" s="59">
        <v>0</v>
      </c>
      <c r="AP1300" s="59">
        <v>22</v>
      </c>
      <c r="AQ1300" s="59">
        <v>4</v>
      </c>
      <c r="AR1300" s="59">
        <v>4</v>
      </c>
      <c r="AS1300" s="59">
        <v>80</v>
      </c>
      <c r="AT1300" s="59">
        <v>1</v>
      </c>
      <c r="AU1300" s="59">
        <v>13</v>
      </c>
      <c r="AV1300" s="59">
        <v>2</v>
      </c>
      <c r="AW1300" s="59">
        <v>4</v>
      </c>
      <c r="AX1300" s="59">
        <v>9</v>
      </c>
      <c r="AY1300" s="59">
        <v>7</v>
      </c>
      <c r="AZ1300" s="59">
        <v>3</v>
      </c>
      <c r="BA1300" s="59">
        <v>7</v>
      </c>
      <c r="BB1300" s="57">
        <f t="shared" si="398"/>
        <v>17852</v>
      </c>
    </row>
    <row r="1301" spans="1:54" x14ac:dyDescent="0.25">
      <c r="A1301" s="58">
        <v>40</v>
      </c>
      <c r="B1301" s="59">
        <v>0</v>
      </c>
      <c r="C1301" s="59">
        <v>1</v>
      </c>
      <c r="D1301" s="59">
        <f t="shared" si="380"/>
        <v>1</v>
      </c>
      <c r="E1301" s="59">
        <f t="shared" si="381"/>
        <v>0</v>
      </c>
      <c r="F1301" s="59">
        <v>1194</v>
      </c>
      <c r="G1301" s="59">
        <v>2</v>
      </c>
      <c r="H1301" s="59">
        <f t="shared" si="382"/>
        <v>0</v>
      </c>
      <c r="I1301" s="59">
        <f t="shared" si="383"/>
        <v>1</v>
      </c>
      <c r="J1301" s="59">
        <v>1</v>
      </c>
      <c r="K1301" s="59">
        <v>3</v>
      </c>
      <c r="L1301" s="59">
        <v>1</v>
      </c>
      <c r="M1301" s="59">
        <f t="shared" si="384"/>
        <v>1</v>
      </c>
      <c r="N1301" s="59">
        <f t="shared" si="385"/>
        <v>0</v>
      </c>
      <c r="O1301" s="59">
        <f t="shared" si="386"/>
        <v>0</v>
      </c>
      <c r="P1301" s="59">
        <f t="shared" si="387"/>
        <v>0</v>
      </c>
      <c r="Q1301" s="59">
        <f t="shared" si="388"/>
        <v>0</v>
      </c>
      <c r="R1301" s="59">
        <v>1</v>
      </c>
      <c r="S1301" s="59">
        <v>1822</v>
      </c>
      <c r="T1301" s="59">
        <v>3</v>
      </c>
      <c r="U1301" s="59">
        <v>0</v>
      </c>
      <c r="V1301" s="59">
        <v>52</v>
      </c>
      <c r="W1301" s="59">
        <v>3</v>
      </c>
      <c r="X1301" s="59">
        <v>2</v>
      </c>
      <c r="Y1301" s="59">
        <v>5</v>
      </c>
      <c r="Z1301" s="59">
        <f t="shared" si="389"/>
        <v>0</v>
      </c>
      <c r="AA1301" s="59">
        <f>IF('Updated Dummy'!Y1301=2,1,0)</f>
        <v>0</v>
      </c>
      <c r="AB1301" s="59">
        <f t="shared" si="390"/>
        <v>0</v>
      </c>
      <c r="AC1301" s="59">
        <f t="shared" si="391"/>
        <v>0</v>
      </c>
      <c r="AD1301" s="59">
        <f t="shared" si="392"/>
        <v>1</v>
      </c>
      <c r="AE1301" s="59">
        <f t="shared" si="393"/>
        <v>0</v>
      </c>
      <c r="AF1301" s="59">
        <f t="shared" si="394"/>
        <v>0</v>
      </c>
      <c r="AG1301" s="59">
        <f t="shared" si="395"/>
        <v>0</v>
      </c>
      <c r="AH1301" s="59">
        <v>4</v>
      </c>
      <c r="AI1301" s="59">
        <v>3</v>
      </c>
      <c r="AJ1301" s="59">
        <f t="shared" si="396"/>
        <v>0</v>
      </c>
      <c r="AK1301" s="59">
        <f t="shared" si="397"/>
        <v>0</v>
      </c>
      <c r="AL1301" s="59">
        <v>6513</v>
      </c>
      <c r="AM1301" s="59">
        <v>9060</v>
      </c>
      <c r="AN1301" s="59">
        <v>4</v>
      </c>
      <c r="AO1301" s="59">
        <v>0</v>
      </c>
      <c r="AP1301" s="59">
        <v>17</v>
      </c>
      <c r="AQ1301" s="59">
        <v>3</v>
      </c>
      <c r="AR1301" s="59">
        <v>4</v>
      </c>
      <c r="AS1301" s="59">
        <v>80</v>
      </c>
      <c r="AT1301" s="59">
        <v>1</v>
      </c>
      <c r="AU1301" s="59">
        <v>12</v>
      </c>
      <c r="AV1301" s="59">
        <v>3</v>
      </c>
      <c r="AW1301" s="59">
        <v>3</v>
      </c>
      <c r="AX1301" s="59">
        <v>5</v>
      </c>
      <c r="AY1301" s="59">
        <v>3</v>
      </c>
      <c r="AZ1301" s="59">
        <v>0</v>
      </c>
      <c r="BA1301" s="59">
        <v>3</v>
      </c>
      <c r="BB1301" s="57">
        <f t="shared" si="398"/>
        <v>13026</v>
      </c>
    </row>
    <row r="1302" spans="1:54" x14ac:dyDescent="0.25">
      <c r="A1302" s="58">
        <v>34</v>
      </c>
      <c r="B1302" s="59">
        <v>0</v>
      </c>
      <c r="C1302" s="59">
        <v>1</v>
      </c>
      <c r="D1302" s="59">
        <f t="shared" si="380"/>
        <v>1</v>
      </c>
      <c r="E1302" s="59">
        <f t="shared" si="381"/>
        <v>0</v>
      </c>
      <c r="F1302" s="59">
        <v>810</v>
      </c>
      <c r="G1302" s="59">
        <v>1</v>
      </c>
      <c r="H1302" s="59">
        <f t="shared" si="382"/>
        <v>1</v>
      </c>
      <c r="I1302" s="59">
        <f t="shared" si="383"/>
        <v>0</v>
      </c>
      <c r="J1302" s="59">
        <v>8</v>
      </c>
      <c r="K1302" s="59">
        <v>2</v>
      </c>
      <c r="L1302" s="59">
        <v>5</v>
      </c>
      <c r="M1302" s="59">
        <f t="shared" si="384"/>
        <v>0</v>
      </c>
      <c r="N1302" s="59">
        <f t="shared" si="385"/>
        <v>0</v>
      </c>
      <c r="O1302" s="59">
        <f t="shared" si="386"/>
        <v>0</v>
      </c>
      <c r="P1302" s="59">
        <f t="shared" si="387"/>
        <v>0</v>
      </c>
      <c r="Q1302" s="59">
        <f t="shared" si="388"/>
        <v>1</v>
      </c>
      <c r="R1302" s="59">
        <v>1</v>
      </c>
      <c r="S1302" s="59">
        <v>1823</v>
      </c>
      <c r="T1302" s="59">
        <v>2</v>
      </c>
      <c r="U1302" s="59">
        <v>1</v>
      </c>
      <c r="V1302" s="59">
        <v>92</v>
      </c>
      <c r="W1302" s="59">
        <v>4</v>
      </c>
      <c r="X1302" s="59">
        <v>2</v>
      </c>
      <c r="Y1302" s="59">
        <v>1</v>
      </c>
      <c r="Z1302" s="59">
        <f t="shared" si="389"/>
        <v>1</v>
      </c>
      <c r="AA1302" s="59">
        <f>IF('Updated Dummy'!Y1302=2,1,0)</f>
        <v>0</v>
      </c>
      <c r="AB1302" s="59">
        <f t="shared" si="390"/>
        <v>0</v>
      </c>
      <c r="AC1302" s="59">
        <f t="shared" si="391"/>
        <v>0</v>
      </c>
      <c r="AD1302" s="59">
        <f t="shared" si="392"/>
        <v>0</v>
      </c>
      <c r="AE1302" s="59">
        <f t="shared" si="393"/>
        <v>0</v>
      </c>
      <c r="AF1302" s="59">
        <f t="shared" si="394"/>
        <v>0</v>
      </c>
      <c r="AG1302" s="59">
        <f t="shared" si="395"/>
        <v>0</v>
      </c>
      <c r="AH1302" s="59">
        <v>3</v>
      </c>
      <c r="AI1302" s="59">
        <v>2</v>
      </c>
      <c r="AJ1302" s="59">
        <f t="shared" si="396"/>
        <v>0</v>
      </c>
      <c r="AK1302" s="59">
        <f t="shared" si="397"/>
        <v>1</v>
      </c>
      <c r="AL1302" s="59">
        <v>6799</v>
      </c>
      <c r="AM1302" s="59">
        <v>22128</v>
      </c>
      <c r="AN1302" s="59">
        <v>1</v>
      </c>
      <c r="AO1302" s="59">
        <v>0</v>
      </c>
      <c r="AP1302" s="59">
        <v>21</v>
      </c>
      <c r="AQ1302" s="59">
        <v>4</v>
      </c>
      <c r="AR1302" s="59">
        <v>3</v>
      </c>
      <c r="AS1302" s="59">
        <v>80</v>
      </c>
      <c r="AT1302" s="59">
        <v>2</v>
      </c>
      <c r="AU1302" s="59">
        <v>10</v>
      </c>
      <c r="AV1302" s="59">
        <v>5</v>
      </c>
      <c r="AW1302" s="59">
        <v>3</v>
      </c>
      <c r="AX1302" s="59">
        <v>10</v>
      </c>
      <c r="AY1302" s="59">
        <v>8</v>
      </c>
      <c r="AZ1302" s="59">
        <v>4</v>
      </c>
      <c r="BA1302" s="59">
        <v>8</v>
      </c>
      <c r="BB1302" s="57">
        <f t="shared" si="398"/>
        <v>13598</v>
      </c>
    </row>
    <row r="1303" spans="1:54" x14ac:dyDescent="0.25">
      <c r="A1303" s="58">
        <v>58</v>
      </c>
      <c r="B1303" s="59">
        <v>0</v>
      </c>
      <c r="C1303" s="59">
        <v>3</v>
      </c>
      <c r="D1303" s="59">
        <f t="shared" si="380"/>
        <v>0</v>
      </c>
      <c r="E1303" s="59">
        <f t="shared" si="381"/>
        <v>0</v>
      </c>
      <c r="F1303" s="59">
        <v>350</v>
      </c>
      <c r="G1303" s="59">
        <v>1</v>
      </c>
      <c r="H1303" s="59">
        <f t="shared" si="382"/>
        <v>1</v>
      </c>
      <c r="I1303" s="59">
        <f t="shared" si="383"/>
        <v>0</v>
      </c>
      <c r="J1303" s="59">
        <v>2</v>
      </c>
      <c r="K1303" s="59">
        <v>3</v>
      </c>
      <c r="L1303" s="59">
        <v>3</v>
      </c>
      <c r="M1303" s="59">
        <f t="shared" si="384"/>
        <v>0</v>
      </c>
      <c r="N1303" s="59">
        <f t="shared" si="385"/>
        <v>0</v>
      </c>
      <c r="O1303" s="59">
        <f t="shared" si="386"/>
        <v>1</v>
      </c>
      <c r="P1303" s="59">
        <f t="shared" si="387"/>
        <v>0</v>
      </c>
      <c r="Q1303" s="59">
        <f t="shared" si="388"/>
        <v>0</v>
      </c>
      <c r="R1303" s="59">
        <v>1</v>
      </c>
      <c r="S1303" s="59">
        <v>1824</v>
      </c>
      <c r="T1303" s="59">
        <v>2</v>
      </c>
      <c r="U1303" s="59">
        <v>1</v>
      </c>
      <c r="V1303" s="59">
        <v>52</v>
      </c>
      <c r="W1303" s="59">
        <v>3</v>
      </c>
      <c r="X1303" s="59">
        <v>4</v>
      </c>
      <c r="Y1303" s="59">
        <v>6</v>
      </c>
      <c r="Z1303" s="59">
        <f t="shared" si="389"/>
        <v>0</v>
      </c>
      <c r="AA1303" s="59">
        <f>IF('Updated Dummy'!Y1303=2,1,0)</f>
        <v>0</v>
      </c>
      <c r="AB1303" s="59">
        <f t="shared" si="390"/>
        <v>0</v>
      </c>
      <c r="AC1303" s="59">
        <f t="shared" si="391"/>
        <v>0</v>
      </c>
      <c r="AD1303" s="59">
        <f t="shared" si="392"/>
        <v>0</v>
      </c>
      <c r="AE1303" s="59">
        <f t="shared" si="393"/>
        <v>1</v>
      </c>
      <c r="AF1303" s="59">
        <f t="shared" si="394"/>
        <v>0</v>
      </c>
      <c r="AG1303" s="59">
        <f t="shared" si="395"/>
        <v>0</v>
      </c>
      <c r="AH1303" s="59">
        <v>2</v>
      </c>
      <c r="AI1303" s="59">
        <v>3</v>
      </c>
      <c r="AJ1303" s="59">
        <f t="shared" si="396"/>
        <v>0</v>
      </c>
      <c r="AK1303" s="59">
        <f t="shared" si="397"/>
        <v>0</v>
      </c>
      <c r="AL1303" s="59">
        <v>16291</v>
      </c>
      <c r="AM1303" s="59">
        <v>22577</v>
      </c>
      <c r="AN1303" s="59">
        <v>4</v>
      </c>
      <c r="AO1303" s="59">
        <v>0</v>
      </c>
      <c r="AP1303" s="59">
        <v>22</v>
      </c>
      <c r="AQ1303" s="59">
        <v>4</v>
      </c>
      <c r="AR1303" s="59">
        <v>4</v>
      </c>
      <c r="AS1303" s="59">
        <v>80</v>
      </c>
      <c r="AT1303" s="59">
        <v>1</v>
      </c>
      <c r="AU1303" s="59">
        <v>37</v>
      </c>
      <c r="AV1303" s="59">
        <v>0</v>
      </c>
      <c r="AW1303" s="59">
        <v>2</v>
      </c>
      <c r="AX1303" s="59">
        <v>16</v>
      </c>
      <c r="AY1303" s="59">
        <v>9</v>
      </c>
      <c r="AZ1303" s="59">
        <v>14</v>
      </c>
      <c r="BA1303" s="59">
        <v>14</v>
      </c>
      <c r="BB1303" s="57">
        <f t="shared" si="398"/>
        <v>65164</v>
      </c>
    </row>
    <row r="1304" spans="1:54" x14ac:dyDescent="0.25">
      <c r="A1304" s="58">
        <v>35</v>
      </c>
      <c r="B1304" s="59">
        <v>0</v>
      </c>
      <c r="C1304" s="59">
        <v>1</v>
      </c>
      <c r="D1304" s="59">
        <f t="shared" si="380"/>
        <v>1</v>
      </c>
      <c r="E1304" s="59">
        <f t="shared" si="381"/>
        <v>0</v>
      </c>
      <c r="F1304" s="59">
        <v>185</v>
      </c>
      <c r="G1304" s="59">
        <v>2</v>
      </c>
      <c r="H1304" s="59">
        <f t="shared" si="382"/>
        <v>0</v>
      </c>
      <c r="I1304" s="59">
        <f t="shared" si="383"/>
        <v>1</v>
      </c>
      <c r="J1304" s="59">
        <v>23</v>
      </c>
      <c r="K1304" s="59">
        <v>4</v>
      </c>
      <c r="L1304" s="59">
        <v>3</v>
      </c>
      <c r="M1304" s="59">
        <f t="shared" si="384"/>
        <v>0</v>
      </c>
      <c r="N1304" s="59">
        <f t="shared" si="385"/>
        <v>0</v>
      </c>
      <c r="O1304" s="59">
        <f t="shared" si="386"/>
        <v>1</v>
      </c>
      <c r="P1304" s="59">
        <f t="shared" si="387"/>
        <v>0</v>
      </c>
      <c r="Q1304" s="59">
        <f t="shared" si="388"/>
        <v>0</v>
      </c>
      <c r="R1304" s="59">
        <v>1</v>
      </c>
      <c r="S1304" s="59">
        <v>1826</v>
      </c>
      <c r="T1304" s="59">
        <v>2</v>
      </c>
      <c r="U1304" s="59">
        <v>1</v>
      </c>
      <c r="V1304" s="59">
        <v>91</v>
      </c>
      <c r="W1304" s="59">
        <v>1</v>
      </c>
      <c r="X1304" s="59">
        <v>1</v>
      </c>
      <c r="Y1304" s="59">
        <v>3</v>
      </c>
      <c r="Z1304" s="59">
        <f t="shared" si="389"/>
        <v>0</v>
      </c>
      <c r="AA1304" s="59">
        <f>IF('Updated Dummy'!Y1304=2,1,0)</f>
        <v>0</v>
      </c>
      <c r="AB1304" s="59">
        <f t="shared" si="390"/>
        <v>1</v>
      </c>
      <c r="AC1304" s="59">
        <f t="shared" si="391"/>
        <v>0</v>
      </c>
      <c r="AD1304" s="59">
        <f t="shared" si="392"/>
        <v>0</v>
      </c>
      <c r="AE1304" s="59">
        <f t="shared" si="393"/>
        <v>0</v>
      </c>
      <c r="AF1304" s="59">
        <f t="shared" si="394"/>
        <v>0</v>
      </c>
      <c r="AG1304" s="59">
        <f t="shared" si="395"/>
        <v>0</v>
      </c>
      <c r="AH1304" s="59">
        <v>3</v>
      </c>
      <c r="AI1304" s="59">
        <v>2</v>
      </c>
      <c r="AJ1304" s="59">
        <f t="shared" si="396"/>
        <v>0</v>
      </c>
      <c r="AK1304" s="59">
        <f t="shared" si="397"/>
        <v>1</v>
      </c>
      <c r="AL1304" s="59">
        <v>2705</v>
      </c>
      <c r="AM1304" s="59">
        <v>9696</v>
      </c>
      <c r="AN1304" s="59">
        <v>0</v>
      </c>
      <c r="AO1304" s="59">
        <v>0</v>
      </c>
      <c r="AP1304" s="59">
        <v>16</v>
      </c>
      <c r="AQ1304" s="59">
        <v>3</v>
      </c>
      <c r="AR1304" s="59">
        <v>2</v>
      </c>
      <c r="AS1304" s="59">
        <v>80</v>
      </c>
      <c r="AT1304" s="59">
        <v>1</v>
      </c>
      <c r="AU1304" s="59">
        <v>6</v>
      </c>
      <c r="AV1304" s="59">
        <v>2</v>
      </c>
      <c r="AW1304" s="59">
        <v>4</v>
      </c>
      <c r="AX1304" s="59">
        <v>5</v>
      </c>
      <c r="AY1304" s="59">
        <v>4</v>
      </c>
      <c r="AZ1304" s="59">
        <v>0</v>
      </c>
      <c r="BA1304" s="59">
        <v>3</v>
      </c>
      <c r="BB1304" s="57">
        <f t="shared" si="398"/>
        <v>2705</v>
      </c>
    </row>
    <row r="1305" spans="1:54" x14ac:dyDescent="0.25">
      <c r="A1305" s="58">
        <v>47</v>
      </c>
      <c r="B1305" s="59">
        <v>0</v>
      </c>
      <c r="C1305" s="59">
        <v>1</v>
      </c>
      <c r="D1305" s="59">
        <f t="shared" si="380"/>
        <v>1</v>
      </c>
      <c r="E1305" s="59">
        <f t="shared" si="381"/>
        <v>0</v>
      </c>
      <c r="F1305" s="59">
        <v>1001</v>
      </c>
      <c r="G1305" s="59">
        <v>2</v>
      </c>
      <c r="H1305" s="59">
        <f t="shared" si="382"/>
        <v>0</v>
      </c>
      <c r="I1305" s="59">
        <f t="shared" si="383"/>
        <v>1</v>
      </c>
      <c r="J1305" s="59">
        <v>4</v>
      </c>
      <c r="K1305" s="59">
        <v>3</v>
      </c>
      <c r="L1305" s="59">
        <v>1</v>
      </c>
      <c r="M1305" s="59">
        <f t="shared" si="384"/>
        <v>1</v>
      </c>
      <c r="N1305" s="59">
        <f t="shared" si="385"/>
        <v>0</v>
      </c>
      <c r="O1305" s="59">
        <f t="shared" si="386"/>
        <v>0</v>
      </c>
      <c r="P1305" s="59">
        <f t="shared" si="387"/>
        <v>0</v>
      </c>
      <c r="Q1305" s="59">
        <f t="shared" si="388"/>
        <v>0</v>
      </c>
      <c r="R1305" s="59">
        <v>1</v>
      </c>
      <c r="S1305" s="59">
        <v>1827</v>
      </c>
      <c r="T1305" s="59">
        <v>3</v>
      </c>
      <c r="U1305" s="59">
        <v>0</v>
      </c>
      <c r="V1305" s="59">
        <v>92</v>
      </c>
      <c r="W1305" s="59">
        <v>2</v>
      </c>
      <c r="X1305" s="59">
        <v>3</v>
      </c>
      <c r="Y1305" s="59">
        <v>4</v>
      </c>
      <c r="Z1305" s="59">
        <f t="shared" si="389"/>
        <v>0</v>
      </c>
      <c r="AA1305" s="59">
        <f>IF('Updated Dummy'!Y1305=2,1,0)</f>
        <v>0</v>
      </c>
      <c r="AB1305" s="59">
        <f t="shared" si="390"/>
        <v>0</v>
      </c>
      <c r="AC1305" s="59">
        <f t="shared" si="391"/>
        <v>1</v>
      </c>
      <c r="AD1305" s="59">
        <f t="shared" si="392"/>
        <v>0</v>
      </c>
      <c r="AE1305" s="59">
        <f t="shared" si="393"/>
        <v>0</v>
      </c>
      <c r="AF1305" s="59">
        <f t="shared" si="394"/>
        <v>0</v>
      </c>
      <c r="AG1305" s="59">
        <f t="shared" si="395"/>
        <v>0</v>
      </c>
      <c r="AH1305" s="59">
        <v>2</v>
      </c>
      <c r="AI1305" s="59">
        <v>3</v>
      </c>
      <c r="AJ1305" s="59">
        <f t="shared" si="396"/>
        <v>0</v>
      </c>
      <c r="AK1305" s="59">
        <f t="shared" si="397"/>
        <v>0</v>
      </c>
      <c r="AL1305" s="59">
        <v>10333</v>
      </c>
      <c r="AM1305" s="59">
        <v>19271</v>
      </c>
      <c r="AN1305" s="59">
        <v>8</v>
      </c>
      <c r="AO1305" s="59">
        <v>1</v>
      </c>
      <c r="AP1305" s="59">
        <v>12</v>
      </c>
      <c r="AQ1305" s="59">
        <v>3</v>
      </c>
      <c r="AR1305" s="59">
        <v>3</v>
      </c>
      <c r="AS1305" s="59">
        <v>80</v>
      </c>
      <c r="AT1305" s="59">
        <v>1</v>
      </c>
      <c r="AU1305" s="59">
        <v>28</v>
      </c>
      <c r="AV1305" s="59">
        <v>4</v>
      </c>
      <c r="AW1305" s="59">
        <v>3</v>
      </c>
      <c r="AX1305" s="59">
        <v>22</v>
      </c>
      <c r="AY1305" s="59">
        <v>11</v>
      </c>
      <c r="AZ1305" s="59">
        <v>14</v>
      </c>
      <c r="BA1305" s="59">
        <v>10</v>
      </c>
      <c r="BB1305" s="57">
        <f t="shared" si="398"/>
        <v>30999</v>
      </c>
    </row>
    <row r="1306" spans="1:54" x14ac:dyDescent="0.25">
      <c r="A1306" s="58">
        <v>40</v>
      </c>
      <c r="B1306" s="59">
        <v>0</v>
      </c>
      <c r="C1306" s="59">
        <v>1</v>
      </c>
      <c r="D1306" s="59">
        <f t="shared" si="380"/>
        <v>1</v>
      </c>
      <c r="E1306" s="59">
        <f t="shared" si="381"/>
        <v>0</v>
      </c>
      <c r="F1306" s="59">
        <v>750</v>
      </c>
      <c r="G1306" s="59">
        <v>2</v>
      </c>
      <c r="H1306" s="59">
        <f t="shared" si="382"/>
        <v>0</v>
      </c>
      <c r="I1306" s="59">
        <f t="shared" si="383"/>
        <v>1</v>
      </c>
      <c r="J1306" s="59">
        <v>12</v>
      </c>
      <c r="K1306" s="59">
        <v>3</v>
      </c>
      <c r="L1306" s="59">
        <v>1</v>
      </c>
      <c r="M1306" s="59">
        <f t="shared" si="384"/>
        <v>1</v>
      </c>
      <c r="N1306" s="59">
        <f t="shared" si="385"/>
        <v>0</v>
      </c>
      <c r="O1306" s="59">
        <f t="shared" si="386"/>
        <v>0</v>
      </c>
      <c r="P1306" s="59">
        <f t="shared" si="387"/>
        <v>0</v>
      </c>
      <c r="Q1306" s="59">
        <f t="shared" si="388"/>
        <v>0</v>
      </c>
      <c r="R1306" s="59">
        <v>1</v>
      </c>
      <c r="S1306" s="59">
        <v>1829</v>
      </c>
      <c r="T1306" s="59">
        <v>2</v>
      </c>
      <c r="U1306" s="59">
        <v>0</v>
      </c>
      <c r="V1306" s="59">
        <v>47</v>
      </c>
      <c r="W1306" s="59">
        <v>3</v>
      </c>
      <c r="X1306" s="59">
        <v>2</v>
      </c>
      <c r="Y1306" s="59">
        <v>5</v>
      </c>
      <c r="Z1306" s="59">
        <f t="shared" si="389"/>
        <v>0</v>
      </c>
      <c r="AA1306" s="59">
        <f>IF('Updated Dummy'!Y1306=2,1,0)</f>
        <v>0</v>
      </c>
      <c r="AB1306" s="59">
        <f t="shared" si="390"/>
        <v>0</v>
      </c>
      <c r="AC1306" s="59">
        <f t="shared" si="391"/>
        <v>0</v>
      </c>
      <c r="AD1306" s="59">
        <f t="shared" si="392"/>
        <v>1</v>
      </c>
      <c r="AE1306" s="59">
        <f t="shared" si="393"/>
        <v>0</v>
      </c>
      <c r="AF1306" s="59">
        <f t="shared" si="394"/>
        <v>0</v>
      </c>
      <c r="AG1306" s="59">
        <f t="shared" si="395"/>
        <v>0</v>
      </c>
      <c r="AH1306" s="59">
        <v>1</v>
      </c>
      <c r="AI1306" s="59">
        <v>3</v>
      </c>
      <c r="AJ1306" s="59">
        <f t="shared" si="396"/>
        <v>0</v>
      </c>
      <c r="AK1306" s="59">
        <f t="shared" si="397"/>
        <v>0</v>
      </c>
      <c r="AL1306" s="59">
        <v>4448</v>
      </c>
      <c r="AM1306" s="59">
        <v>10748</v>
      </c>
      <c r="AN1306" s="59">
        <v>2</v>
      </c>
      <c r="AO1306" s="59">
        <v>0</v>
      </c>
      <c r="AP1306" s="59">
        <v>12</v>
      </c>
      <c r="AQ1306" s="59">
        <v>3</v>
      </c>
      <c r="AR1306" s="59">
        <v>2</v>
      </c>
      <c r="AS1306" s="59">
        <v>80</v>
      </c>
      <c r="AT1306" s="59">
        <v>1</v>
      </c>
      <c r="AU1306" s="59">
        <v>15</v>
      </c>
      <c r="AV1306" s="59">
        <v>3</v>
      </c>
      <c r="AW1306" s="59">
        <v>3</v>
      </c>
      <c r="AX1306" s="59">
        <v>7</v>
      </c>
      <c r="AY1306" s="59">
        <v>4</v>
      </c>
      <c r="AZ1306" s="59">
        <v>7</v>
      </c>
      <c r="BA1306" s="59">
        <v>7</v>
      </c>
      <c r="BB1306" s="57">
        <f t="shared" si="398"/>
        <v>8896</v>
      </c>
    </row>
    <row r="1307" spans="1:54" x14ac:dyDescent="0.25">
      <c r="A1307" s="58">
        <v>54</v>
      </c>
      <c r="B1307" s="59">
        <v>0</v>
      </c>
      <c r="C1307" s="59">
        <v>1</v>
      </c>
      <c r="D1307" s="59">
        <f t="shared" si="380"/>
        <v>1</v>
      </c>
      <c r="E1307" s="59">
        <f t="shared" si="381"/>
        <v>0</v>
      </c>
      <c r="F1307" s="59">
        <v>431</v>
      </c>
      <c r="G1307" s="59">
        <v>2</v>
      </c>
      <c r="H1307" s="59">
        <f t="shared" si="382"/>
        <v>0</v>
      </c>
      <c r="I1307" s="59">
        <f t="shared" si="383"/>
        <v>1</v>
      </c>
      <c r="J1307" s="59">
        <v>7</v>
      </c>
      <c r="K1307" s="59">
        <v>4</v>
      </c>
      <c r="L1307" s="59">
        <v>3</v>
      </c>
      <c r="M1307" s="59">
        <f t="shared" si="384"/>
        <v>0</v>
      </c>
      <c r="N1307" s="59">
        <f t="shared" si="385"/>
        <v>0</v>
      </c>
      <c r="O1307" s="59">
        <f t="shared" si="386"/>
        <v>1</v>
      </c>
      <c r="P1307" s="59">
        <f t="shared" si="387"/>
        <v>0</v>
      </c>
      <c r="Q1307" s="59">
        <f t="shared" si="388"/>
        <v>0</v>
      </c>
      <c r="R1307" s="59">
        <v>1</v>
      </c>
      <c r="S1307" s="59">
        <v>1830</v>
      </c>
      <c r="T1307" s="59">
        <v>4</v>
      </c>
      <c r="U1307" s="59">
        <v>0</v>
      </c>
      <c r="V1307" s="59">
        <v>68</v>
      </c>
      <c r="W1307" s="59">
        <v>3</v>
      </c>
      <c r="X1307" s="59">
        <v>2</v>
      </c>
      <c r="Y1307" s="59">
        <v>2</v>
      </c>
      <c r="Z1307" s="59">
        <f t="shared" si="389"/>
        <v>0</v>
      </c>
      <c r="AA1307" s="59">
        <f>IF('Updated Dummy'!Y1307=2,1,0)</f>
        <v>1</v>
      </c>
      <c r="AB1307" s="59">
        <f t="shared" si="390"/>
        <v>0</v>
      </c>
      <c r="AC1307" s="59">
        <f t="shared" si="391"/>
        <v>0</v>
      </c>
      <c r="AD1307" s="59">
        <f t="shared" si="392"/>
        <v>0</v>
      </c>
      <c r="AE1307" s="59">
        <f t="shared" si="393"/>
        <v>0</v>
      </c>
      <c r="AF1307" s="59">
        <f t="shared" si="394"/>
        <v>0</v>
      </c>
      <c r="AG1307" s="59">
        <f t="shared" si="395"/>
        <v>0</v>
      </c>
      <c r="AH1307" s="59">
        <v>4</v>
      </c>
      <c r="AI1307" s="59">
        <v>2</v>
      </c>
      <c r="AJ1307" s="59">
        <f t="shared" si="396"/>
        <v>0</v>
      </c>
      <c r="AK1307" s="59">
        <f t="shared" si="397"/>
        <v>1</v>
      </c>
      <c r="AL1307" s="59">
        <v>6854</v>
      </c>
      <c r="AM1307" s="59">
        <v>15696</v>
      </c>
      <c r="AN1307" s="59">
        <v>4</v>
      </c>
      <c r="AO1307" s="59">
        <v>0</v>
      </c>
      <c r="AP1307" s="59">
        <v>15</v>
      </c>
      <c r="AQ1307" s="59">
        <v>3</v>
      </c>
      <c r="AR1307" s="59">
        <v>2</v>
      </c>
      <c r="AS1307" s="59">
        <v>80</v>
      </c>
      <c r="AT1307" s="59">
        <v>1</v>
      </c>
      <c r="AU1307" s="59">
        <v>14</v>
      </c>
      <c r="AV1307" s="59">
        <v>2</v>
      </c>
      <c r="AW1307" s="59">
        <v>2</v>
      </c>
      <c r="AX1307" s="59">
        <v>7</v>
      </c>
      <c r="AY1307" s="59">
        <v>1</v>
      </c>
      <c r="AZ1307" s="59">
        <v>1</v>
      </c>
      <c r="BA1307" s="59">
        <v>7</v>
      </c>
      <c r="BB1307" s="57">
        <f t="shared" si="398"/>
        <v>13708</v>
      </c>
    </row>
    <row r="1308" spans="1:54" x14ac:dyDescent="0.25">
      <c r="A1308" s="58">
        <v>31</v>
      </c>
      <c r="B1308" s="59">
        <v>0</v>
      </c>
      <c r="C1308" s="59">
        <v>2</v>
      </c>
      <c r="D1308" s="59">
        <f t="shared" si="380"/>
        <v>0</v>
      </c>
      <c r="E1308" s="59">
        <f t="shared" si="381"/>
        <v>1</v>
      </c>
      <c r="F1308" s="59">
        <v>1125</v>
      </c>
      <c r="G1308" s="59">
        <v>1</v>
      </c>
      <c r="H1308" s="59">
        <f t="shared" si="382"/>
        <v>1</v>
      </c>
      <c r="I1308" s="59">
        <f t="shared" si="383"/>
        <v>0</v>
      </c>
      <c r="J1308" s="59">
        <v>7</v>
      </c>
      <c r="K1308" s="59">
        <v>4</v>
      </c>
      <c r="L1308" s="59">
        <v>4</v>
      </c>
      <c r="M1308" s="59">
        <f t="shared" si="384"/>
        <v>0</v>
      </c>
      <c r="N1308" s="59">
        <f t="shared" si="385"/>
        <v>0</v>
      </c>
      <c r="O1308" s="59">
        <f t="shared" si="386"/>
        <v>0</v>
      </c>
      <c r="P1308" s="59">
        <f t="shared" si="387"/>
        <v>1</v>
      </c>
      <c r="Q1308" s="59">
        <f t="shared" si="388"/>
        <v>0</v>
      </c>
      <c r="R1308" s="59">
        <v>1</v>
      </c>
      <c r="S1308" s="59">
        <v>1833</v>
      </c>
      <c r="T1308" s="59">
        <v>1</v>
      </c>
      <c r="U1308" s="59">
        <v>0</v>
      </c>
      <c r="V1308" s="59">
        <v>68</v>
      </c>
      <c r="W1308" s="59">
        <v>3</v>
      </c>
      <c r="X1308" s="59">
        <v>3</v>
      </c>
      <c r="Y1308" s="59">
        <v>1</v>
      </c>
      <c r="Z1308" s="59">
        <f t="shared" si="389"/>
        <v>1</v>
      </c>
      <c r="AA1308" s="59">
        <f>IF('Updated Dummy'!Y1308=2,1,0)</f>
        <v>0</v>
      </c>
      <c r="AB1308" s="59">
        <f t="shared" si="390"/>
        <v>0</v>
      </c>
      <c r="AC1308" s="59">
        <f t="shared" si="391"/>
        <v>0</v>
      </c>
      <c r="AD1308" s="59">
        <f t="shared" si="392"/>
        <v>0</v>
      </c>
      <c r="AE1308" s="59">
        <f t="shared" si="393"/>
        <v>0</v>
      </c>
      <c r="AF1308" s="59">
        <f t="shared" si="394"/>
        <v>0</v>
      </c>
      <c r="AG1308" s="59">
        <f t="shared" si="395"/>
        <v>0</v>
      </c>
      <c r="AH1308" s="59">
        <v>1</v>
      </c>
      <c r="AI1308" s="59">
        <v>2</v>
      </c>
      <c r="AJ1308" s="59">
        <f t="shared" si="396"/>
        <v>0</v>
      </c>
      <c r="AK1308" s="59">
        <f t="shared" si="397"/>
        <v>1</v>
      </c>
      <c r="AL1308" s="59">
        <v>9637</v>
      </c>
      <c r="AM1308" s="59">
        <v>8277</v>
      </c>
      <c r="AN1308" s="59">
        <v>2</v>
      </c>
      <c r="AO1308" s="59">
        <v>0</v>
      </c>
      <c r="AP1308" s="59">
        <v>14</v>
      </c>
      <c r="AQ1308" s="59">
        <v>3</v>
      </c>
      <c r="AR1308" s="59">
        <v>4</v>
      </c>
      <c r="AS1308" s="59">
        <v>80</v>
      </c>
      <c r="AT1308" s="59">
        <v>2</v>
      </c>
      <c r="AU1308" s="59">
        <v>9</v>
      </c>
      <c r="AV1308" s="59">
        <v>3</v>
      </c>
      <c r="AW1308" s="59">
        <v>3</v>
      </c>
      <c r="AX1308" s="59">
        <v>3</v>
      </c>
      <c r="AY1308" s="59">
        <v>2</v>
      </c>
      <c r="AZ1308" s="59">
        <v>2</v>
      </c>
      <c r="BA1308" s="59">
        <v>2</v>
      </c>
      <c r="BB1308" s="57">
        <f t="shared" si="398"/>
        <v>28911</v>
      </c>
    </row>
    <row r="1309" spans="1:54" x14ac:dyDescent="0.25">
      <c r="A1309" s="58">
        <v>28</v>
      </c>
      <c r="B1309" s="59">
        <v>0</v>
      </c>
      <c r="C1309" s="59">
        <v>1</v>
      </c>
      <c r="D1309" s="59">
        <f t="shared" si="380"/>
        <v>1</v>
      </c>
      <c r="E1309" s="59">
        <f t="shared" si="381"/>
        <v>0</v>
      </c>
      <c r="F1309" s="59">
        <v>1217</v>
      </c>
      <c r="G1309" s="59">
        <v>2</v>
      </c>
      <c r="H1309" s="59">
        <f t="shared" si="382"/>
        <v>0</v>
      </c>
      <c r="I1309" s="59">
        <f t="shared" si="383"/>
        <v>1</v>
      </c>
      <c r="J1309" s="59">
        <v>1</v>
      </c>
      <c r="K1309" s="59">
        <v>3</v>
      </c>
      <c r="L1309" s="59">
        <v>3</v>
      </c>
      <c r="M1309" s="59">
        <f t="shared" si="384"/>
        <v>0</v>
      </c>
      <c r="N1309" s="59">
        <f t="shared" si="385"/>
        <v>0</v>
      </c>
      <c r="O1309" s="59">
        <f t="shared" si="386"/>
        <v>1</v>
      </c>
      <c r="P1309" s="59">
        <f t="shared" si="387"/>
        <v>0</v>
      </c>
      <c r="Q1309" s="59">
        <f t="shared" si="388"/>
        <v>0</v>
      </c>
      <c r="R1309" s="59">
        <v>1</v>
      </c>
      <c r="S1309" s="59">
        <v>1834</v>
      </c>
      <c r="T1309" s="59">
        <v>3</v>
      </c>
      <c r="U1309" s="59">
        <v>0</v>
      </c>
      <c r="V1309" s="59">
        <v>67</v>
      </c>
      <c r="W1309" s="59">
        <v>3</v>
      </c>
      <c r="X1309" s="59">
        <v>1</v>
      </c>
      <c r="Y1309" s="59">
        <v>2</v>
      </c>
      <c r="Z1309" s="59">
        <f t="shared" si="389"/>
        <v>0</v>
      </c>
      <c r="AA1309" s="59">
        <f>IF('Updated Dummy'!Y1309=2,1,0)</f>
        <v>1</v>
      </c>
      <c r="AB1309" s="59">
        <f t="shared" si="390"/>
        <v>0</v>
      </c>
      <c r="AC1309" s="59">
        <f t="shared" si="391"/>
        <v>0</v>
      </c>
      <c r="AD1309" s="59">
        <f t="shared" si="392"/>
        <v>0</v>
      </c>
      <c r="AE1309" s="59">
        <f t="shared" si="393"/>
        <v>0</v>
      </c>
      <c r="AF1309" s="59">
        <f t="shared" si="394"/>
        <v>0</v>
      </c>
      <c r="AG1309" s="59">
        <f t="shared" si="395"/>
        <v>0</v>
      </c>
      <c r="AH1309" s="59">
        <v>1</v>
      </c>
      <c r="AI1309" s="59">
        <v>2</v>
      </c>
      <c r="AJ1309" s="59">
        <f t="shared" si="396"/>
        <v>0</v>
      </c>
      <c r="AK1309" s="59">
        <f t="shared" si="397"/>
        <v>1</v>
      </c>
      <c r="AL1309" s="59">
        <v>3591</v>
      </c>
      <c r="AM1309" s="59">
        <v>12719</v>
      </c>
      <c r="AN1309" s="59">
        <v>1</v>
      </c>
      <c r="AO1309" s="59">
        <v>0</v>
      </c>
      <c r="AP1309" s="59">
        <v>25</v>
      </c>
      <c r="AQ1309" s="59">
        <v>4</v>
      </c>
      <c r="AR1309" s="59">
        <v>3</v>
      </c>
      <c r="AS1309" s="59">
        <v>80</v>
      </c>
      <c r="AT1309" s="59">
        <v>1</v>
      </c>
      <c r="AU1309" s="59">
        <v>3</v>
      </c>
      <c r="AV1309" s="59">
        <v>3</v>
      </c>
      <c r="AW1309" s="59">
        <v>3</v>
      </c>
      <c r="AX1309" s="59">
        <v>3</v>
      </c>
      <c r="AY1309" s="59">
        <v>2</v>
      </c>
      <c r="AZ1309" s="59">
        <v>1</v>
      </c>
      <c r="BA1309" s="59">
        <v>2</v>
      </c>
      <c r="BB1309" s="57">
        <f t="shared" si="398"/>
        <v>3591</v>
      </c>
    </row>
    <row r="1310" spans="1:54" x14ac:dyDescent="0.25">
      <c r="A1310" s="58">
        <v>38</v>
      </c>
      <c r="B1310" s="59">
        <v>0</v>
      </c>
      <c r="C1310" s="59">
        <v>1</v>
      </c>
      <c r="D1310" s="59">
        <f t="shared" si="380"/>
        <v>1</v>
      </c>
      <c r="E1310" s="59">
        <f t="shared" si="381"/>
        <v>0</v>
      </c>
      <c r="F1310" s="59">
        <v>723</v>
      </c>
      <c r="G1310" s="59">
        <v>1</v>
      </c>
      <c r="H1310" s="59">
        <f t="shared" si="382"/>
        <v>1</v>
      </c>
      <c r="I1310" s="59">
        <f t="shared" si="383"/>
        <v>0</v>
      </c>
      <c r="J1310" s="59">
        <v>2</v>
      </c>
      <c r="K1310" s="59">
        <v>4</v>
      </c>
      <c r="L1310" s="59">
        <v>4</v>
      </c>
      <c r="M1310" s="59">
        <f t="shared" si="384"/>
        <v>0</v>
      </c>
      <c r="N1310" s="59">
        <f t="shared" si="385"/>
        <v>0</v>
      </c>
      <c r="O1310" s="59">
        <f t="shared" si="386"/>
        <v>0</v>
      </c>
      <c r="P1310" s="59">
        <f t="shared" si="387"/>
        <v>1</v>
      </c>
      <c r="Q1310" s="59">
        <f t="shared" si="388"/>
        <v>0</v>
      </c>
      <c r="R1310" s="59">
        <v>1</v>
      </c>
      <c r="S1310" s="59">
        <v>1835</v>
      </c>
      <c r="T1310" s="59">
        <v>2</v>
      </c>
      <c r="U1310" s="59">
        <v>0</v>
      </c>
      <c r="V1310" s="59">
        <v>77</v>
      </c>
      <c r="W1310" s="59">
        <v>1</v>
      </c>
      <c r="X1310" s="59">
        <v>2</v>
      </c>
      <c r="Y1310" s="59">
        <v>7</v>
      </c>
      <c r="Z1310" s="59">
        <f t="shared" si="389"/>
        <v>0</v>
      </c>
      <c r="AA1310" s="59">
        <f>IF('Updated Dummy'!Y1310=2,1,0)</f>
        <v>0</v>
      </c>
      <c r="AB1310" s="59">
        <f t="shared" si="390"/>
        <v>0</v>
      </c>
      <c r="AC1310" s="59">
        <f t="shared" si="391"/>
        <v>0</v>
      </c>
      <c r="AD1310" s="59">
        <f t="shared" si="392"/>
        <v>0</v>
      </c>
      <c r="AE1310" s="59">
        <f t="shared" si="393"/>
        <v>0</v>
      </c>
      <c r="AF1310" s="59">
        <f t="shared" si="394"/>
        <v>1</v>
      </c>
      <c r="AG1310" s="59">
        <f t="shared" si="395"/>
        <v>0</v>
      </c>
      <c r="AH1310" s="59">
        <v>4</v>
      </c>
      <c r="AI1310" s="59">
        <v>2</v>
      </c>
      <c r="AJ1310" s="59">
        <f t="shared" si="396"/>
        <v>0</v>
      </c>
      <c r="AK1310" s="59">
        <f t="shared" si="397"/>
        <v>1</v>
      </c>
      <c r="AL1310" s="59">
        <v>5405</v>
      </c>
      <c r="AM1310" s="59">
        <v>4244</v>
      </c>
      <c r="AN1310" s="59">
        <v>2</v>
      </c>
      <c r="AO1310" s="59">
        <v>1</v>
      </c>
      <c r="AP1310" s="59">
        <v>20</v>
      </c>
      <c r="AQ1310" s="59">
        <v>4</v>
      </c>
      <c r="AR1310" s="59">
        <v>1</v>
      </c>
      <c r="AS1310" s="59">
        <v>80</v>
      </c>
      <c r="AT1310" s="59">
        <v>2</v>
      </c>
      <c r="AU1310" s="59">
        <v>20</v>
      </c>
      <c r="AV1310" s="59">
        <v>4</v>
      </c>
      <c r="AW1310" s="59">
        <v>2</v>
      </c>
      <c r="AX1310" s="59">
        <v>4</v>
      </c>
      <c r="AY1310" s="59">
        <v>2</v>
      </c>
      <c r="AZ1310" s="59">
        <v>0</v>
      </c>
      <c r="BA1310" s="59">
        <v>3</v>
      </c>
      <c r="BB1310" s="57">
        <f t="shared" si="398"/>
        <v>10810</v>
      </c>
    </row>
    <row r="1311" spans="1:54" x14ac:dyDescent="0.25">
      <c r="A1311" s="58">
        <v>26</v>
      </c>
      <c r="B1311" s="59">
        <v>0</v>
      </c>
      <c r="C1311" s="59">
        <v>1</v>
      </c>
      <c r="D1311" s="59">
        <f t="shared" si="380"/>
        <v>1</v>
      </c>
      <c r="E1311" s="59">
        <f t="shared" si="381"/>
        <v>0</v>
      </c>
      <c r="F1311" s="59">
        <v>572</v>
      </c>
      <c r="G1311" s="59">
        <v>1</v>
      </c>
      <c r="H1311" s="59">
        <f t="shared" si="382"/>
        <v>1</v>
      </c>
      <c r="I1311" s="59">
        <f t="shared" si="383"/>
        <v>0</v>
      </c>
      <c r="J1311" s="59">
        <v>10</v>
      </c>
      <c r="K1311" s="59">
        <v>3</v>
      </c>
      <c r="L1311" s="59">
        <v>3</v>
      </c>
      <c r="M1311" s="59">
        <f t="shared" si="384"/>
        <v>0</v>
      </c>
      <c r="N1311" s="59">
        <f t="shared" si="385"/>
        <v>0</v>
      </c>
      <c r="O1311" s="59">
        <f t="shared" si="386"/>
        <v>1</v>
      </c>
      <c r="P1311" s="59">
        <f t="shared" si="387"/>
        <v>0</v>
      </c>
      <c r="Q1311" s="59">
        <f t="shared" si="388"/>
        <v>0</v>
      </c>
      <c r="R1311" s="59">
        <v>1</v>
      </c>
      <c r="S1311" s="59">
        <v>1836</v>
      </c>
      <c r="T1311" s="59">
        <v>3</v>
      </c>
      <c r="U1311" s="59">
        <v>1</v>
      </c>
      <c r="V1311" s="59">
        <v>46</v>
      </c>
      <c r="W1311" s="59">
        <v>3</v>
      </c>
      <c r="X1311" s="59">
        <v>2</v>
      </c>
      <c r="Y1311" s="59">
        <v>1</v>
      </c>
      <c r="Z1311" s="59">
        <f t="shared" si="389"/>
        <v>1</v>
      </c>
      <c r="AA1311" s="59">
        <f>IF('Updated Dummy'!Y1311=2,1,0)</f>
        <v>0</v>
      </c>
      <c r="AB1311" s="59">
        <f t="shared" si="390"/>
        <v>0</v>
      </c>
      <c r="AC1311" s="59">
        <f t="shared" si="391"/>
        <v>0</v>
      </c>
      <c r="AD1311" s="59">
        <f t="shared" si="392"/>
        <v>0</v>
      </c>
      <c r="AE1311" s="59">
        <f t="shared" si="393"/>
        <v>0</v>
      </c>
      <c r="AF1311" s="59">
        <f t="shared" si="394"/>
        <v>0</v>
      </c>
      <c r="AG1311" s="59">
        <f t="shared" si="395"/>
        <v>0</v>
      </c>
      <c r="AH1311" s="59">
        <v>4</v>
      </c>
      <c r="AI1311" s="59">
        <v>1</v>
      </c>
      <c r="AJ1311" s="59">
        <f t="shared" si="396"/>
        <v>1</v>
      </c>
      <c r="AK1311" s="59">
        <f t="shared" si="397"/>
        <v>0</v>
      </c>
      <c r="AL1311" s="59">
        <v>4684</v>
      </c>
      <c r="AM1311" s="59">
        <v>9125</v>
      </c>
      <c r="AN1311" s="59">
        <v>1</v>
      </c>
      <c r="AO1311" s="59">
        <v>0</v>
      </c>
      <c r="AP1311" s="59">
        <v>13</v>
      </c>
      <c r="AQ1311" s="59">
        <v>3</v>
      </c>
      <c r="AR1311" s="59">
        <v>1</v>
      </c>
      <c r="AS1311" s="59">
        <v>80</v>
      </c>
      <c r="AT1311" s="59">
        <v>0</v>
      </c>
      <c r="AU1311" s="59">
        <v>5</v>
      </c>
      <c r="AV1311" s="59">
        <v>4</v>
      </c>
      <c r="AW1311" s="59">
        <v>3</v>
      </c>
      <c r="AX1311" s="59">
        <v>5</v>
      </c>
      <c r="AY1311" s="59">
        <v>3</v>
      </c>
      <c r="AZ1311" s="59">
        <v>1</v>
      </c>
      <c r="BA1311" s="59">
        <v>2</v>
      </c>
      <c r="BB1311" s="57">
        <f t="shared" si="398"/>
        <v>9368</v>
      </c>
    </row>
    <row r="1312" spans="1:54" x14ac:dyDescent="0.25">
      <c r="A1312" s="58">
        <v>58</v>
      </c>
      <c r="B1312" s="59">
        <v>0</v>
      </c>
      <c r="C1312" s="59">
        <v>2</v>
      </c>
      <c r="D1312" s="59">
        <f t="shared" si="380"/>
        <v>0</v>
      </c>
      <c r="E1312" s="59">
        <f t="shared" si="381"/>
        <v>1</v>
      </c>
      <c r="F1312" s="59">
        <v>1216</v>
      </c>
      <c r="G1312" s="59">
        <v>2</v>
      </c>
      <c r="H1312" s="59">
        <f t="shared" si="382"/>
        <v>0</v>
      </c>
      <c r="I1312" s="59">
        <f t="shared" si="383"/>
        <v>1</v>
      </c>
      <c r="J1312" s="59">
        <v>15</v>
      </c>
      <c r="K1312" s="59">
        <v>4</v>
      </c>
      <c r="L1312" s="59">
        <v>1</v>
      </c>
      <c r="M1312" s="59">
        <f t="shared" si="384"/>
        <v>1</v>
      </c>
      <c r="N1312" s="59">
        <f t="shared" si="385"/>
        <v>0</v>
      </c>
      <c r="O1312" s="59">
        <f t="shared" si="386"/>
        <v>0</v>
      </c>
      <c r="P1312" s="59">
        <f t="shared" si="387"/>
        <v>0</v>
      </c>
      <c r="Q1312" s="59">
        <f t="shared" si="388"/>
        <v>0</v>
      </c>
      <c r="R1312" s="59">
        <v>1</v>
      </c>
      <c r="S1312" s="59">
        <v>1837</v>
      </c>
      <c r="T1312" s="59">
        <v>1</v>
      </c>
      <c r="U1312" s="59">
        <v>1</v>
      </c>
      <c r="V1312" s="59">
        <v>87</v>
      </c>
      <c r="W1312" s="59">
        <v>3</v>
      </c>
      <c r="X1312" s="59">
        <v>4</v>
      </c>
      <c r="Y1312" s="59">
        <v>8</v>
      </c>
      <c r="Z1312" s="59">
        <f t="shared" si="389"/>
        <v>0</v>
      </c>
      <c r="AA1312" s="59">
        <f>IF('Updated Dummy'!Y1312=2,1,0)</f>
        <v>0</v>
      </c>
      <c r="AB1312" s="59">
        <f t="shared" si="390"/>
        <v>0</v>
      </c>
      <c r="AC1312" s="59">
        <f t="shared" si="391"/>
        <v>0</v>
      </c>
      <c r="AD1312" s="59">
        <f t="shared" si="392"/>
        <v>0</v>
      </c>
      <c r="AE1312" s="59">
        <f t="shared" si="393"/>
        <v>0</v>
      </c>
      <c r="AF1312" s="59">
        <f t="shared" si="394"/>
        <v>0</v>
      </c>
      <c r="AG1312" s="59">
        <f t="shared" si="395"/>
        <v>1</v>
      </c>
      <c r="AH1312" s="59">
        <v>3</v>
      </c>
      <c r="AI1312" s="59">
        <v>2</v>
      </c>
      <c r="AJ1312" s="59">
        <f t="shared" si="396"/>
        <v>0</v>
      </c>
      <c r="AK1312" s="59">
        <f t="shared" si="397"/>
        <v>1</v>
      </c>
      <c r="AL1312" s="59">
        <v>15787</v>
      </c>
      <c r="AM1312" s="59">
        <v>21624</v>
      </c>
      <c r="AN1312" s="59">
        <v>2</v>
      </c>
      <c r="AO1312" s="59">
        <v>1</v>
      </c>
      <c r="AP1312" s="59">
        <v>14</v>
      </c>
      <c r="AQ1312" s="59">
        <v>3</v>
      </c>
      <c r="AR1312" s="59">
        <v>2</v>
      </c>
      <c r="AS1312" s="59">
        <v>80</v>
      </c>
      <c r="AT1312" s="59">
        <v>0</v>
      </c>
      <c r="AU1312" s="59">
        <v>23</v>
      </c>
      <c r="AV1312" s="59">
        <v>3</v>
      </c>
      <c r="AW1312" s="59">
        <v>3</v>
      </c>
      <c r="AX1312" s="59">
        <v>2</v>
      </c>
      <c r="AY1312" s="59">
        <v>2</v>
      </c>
      <c r="AZ1312" s="59">
        <v>2</v>
      </c>
      <c r="BA1312" s="59">
        <v>2</v>
      </c>
      <c r="BB1312" s="57">
        <f t="shared" si="398"/>
        <v>63148</v>
      </c>
    </row>
    <row r="1313" spans="1:54" x14ac:dyDescent="0.25">
      <c r="A1313" s="58">
        <v>18</v>
      </c>
      <c r="B1313" s="59">
        <v>0</v>
      </c>
      <c r="C1313" s="59">
        <v>3</v>
      </c>
      <c r="D1313" s="59">
        <f t="shared" si="380"/>
        <v>0</v>
      </c>
      <c r="E1313" s="59">
        <f t="shared" si="381"/>
        <v>0</v>
      </c>
      <c r="F1313" s="59">
        <v>1431</v>
      </c>
      <c r="G1313" s="59">
        <v>2</v>
      </c>
      <c r="H1313" s="59">
        <f t="shared" si="382"/>
        <v>0</v>
      </c>
      <c r="I1313" s="59">
        <f t="shared" si="383"/>
        <v>1</v>
      </c>
      <c r="J1313" s="59">
        <v>14</v>
      </c>
      <c r="K1313" s="59">
        <v>3</v>
      </c>
      <c r="L1313" s="59">
        <v>3</v>
      </c>
      <c r="M1313" s="59">
        <f t="shared" si="384"/>
        <v>0</v>
      </c>
      <c r="N1313" s="59">
        <f t="shared" si="385"/>
        <v>0</v>
      </c>
      <c r="O1313" s="59">
        <f t="shared" si="386"/>
        <v>1</v>
      </c>
      <c r="P1313" s="59">
        <f t="shared" si="387"/>
        <v>0</v>
      </c>
      <c r="Q1313" s="59">
        <f t="shared" si="388"/>
        <v>0</v>
      </c>
      <c r="R1313" s="59">
        <v>1</v>
      </c>
      <c r="S1313" s="59">
        <v>1839</v>
      </c>
      <c r="T1313" s="59">
        <v>2</v>
      </c>
      <c r="U1313" s="59">
        <v>0</v>
      </c>
      <c r="V1313" s="59">
        <v>33</v>
      </c>
      <c r="W1313" s="59">
        <v>3</v>
      </c>
      <c r="X1313" s="59">
        <v>1</v>
      </c>
      <c r="Y1313" s="59">
        <v>2</v>
      </c>
      <c r="Z1313" s="59">
        <f t="shared" si="389"/>
        <v>0</v>
      </c>
      <c r="AA1313" s="59">
        <f>IF('Updated Dummy'!Y1313=2,1,0)</f>
        <v>1</v>
      </c>
      <c r="AB1313" s="59">
        <f t="shared" si="390"/>
        <v>0</v>
      </c>
      <c r="AC1313" s="59">
        <f t="shared" si="391"/>
        <v>0</v>
      </c>
      <c r="AD1313" s="59">
        <f t="shared" si="392"/>
        <v>0</v>
      </c>
      <c r="AE1313" s="59">
        <f t="shared" si="393"/>
        <v>0</v>
      </c>
      <c r="AF1313" s="59">
        <f t="shared" si="394"/>
        <v>0</v>
      </c>
      <c r="AG1313" s="59">
        <f t="shared" si="395"/>
        <v>0</v>
      </c>
      <c r="AH1313" s="59">
        <v>3</v>
      </c>
      <c r="AI1313" s="59">
        <v>1</v>
      </c>
      <c r="AJ1313" s="59">
        <f t="shared" si="396"/>
        <v>1</v>
      </c>
      <c r="AK1313" s="59">
        <f t="shared" si="397"/>
        <v>0</v>
      </c>
      <c r="AL1313" s="59">
        <v>1514</v>
      </c>
      <c r="AM1313" s="59">
        <v>8018</v>
      </c>
      <c r="AN1313" s="59">
        <v>1</v>
      </c>
      <c r="AO1313" s="59">
        <v>0</v>
      </c>
      <c r="AP1313" s="59">
        <v>16</v>
      </c>
      <c r="AQ1313" s="59">
        <v>3</v>
      </c>
      <c r="AR1313" s="59">
        <v>3</v>
      </c>
      <c r="AS1313" s="59">
        <v>80</v>
      </c>
      <c r="AT1313" s="59">
        <v>0</v>
      </c>
      <c r="AU1313" s="59">
        <v>0</v>
      </c>
      <c r="AV1313" s="59">
        <v>4</v>
      </c>
      <c r="AW1313" s="59">
        <v>1</v>
      </c>
      <c r="AX1313" s="59">
        <v>0</v>
      </c>
      <c r="AY1313" s="59">
        <v>0</v>
      </c>
      <c r="AZ1313" s="59">
        <v>0</v>
      </c>
      <c r="BA1313" s="59">
        <v>0</v>
      </c>
      <c r="BB1313" s="57">
        <f t="shared" si="398"/>
        <v>1514</v>
      </c>
    </row>
    <row r="1314" spans="1:54" x14ac:dyDescent="0.25">
      <c r="A1314" s="58">
        <v>31</v>
      </c>
      <c r="B1314" s="59">
        <v>1</v>
      </c>
      <c r="C1314" s="59">
        <v>1</v>
      </c>
      <c r="D1314" s="59">
        <f t="shared" si="380"/>
        <v>1</v>
      </c>
      <c r="E1314" s="59">
        <f t="shared" si="381"/>
        <v>0</v>
      </c>
      <c r="F1314" s="59">
        <v>359</v>
      </c>
      <c r="G1314" s="59">
        <v>3</v>
      </c>
      <c r="H1314" s="59">
        <f t="shared" si="382"/>
        <v>0</v>
      </c>
      <c r="I1314" s="59">
        <f t="shared" si="383"/>
        <v>0</v>
      </c>
      <c r="J1314" s="59">
        <v>18</v>
      </c>
      <c r="K1314" s="59">
        <v>5</v>
      </c>
      <c r="L1314" s="59">
        <v>2</v>
      </c>
      <c r="M1314" s="59">
        <f t="shared" si="384"/>
        <v>0</v>
      </c>
      <c r="N1314" s="59">
        <f t="shared" si="385"/>
        <v>1</v>
      </c>
      <c r="O1314" s="59">
        <f t="shared" si="386"/>
        <v>0</v>
      </c>
      <c r="P1314" s="59">
        <f t="shared" si="387"/>
        <v>0</v>
      </c>
      <c r="Q1314" s="59">
        <f t="shared" si="388"/>
        <v>0</v>
      </c>
      <c r="R1314" s="59">
        <v>1</v>
      </c>
      <c r="S1314" s="59">
        <v>1842</v>
      </c>
      <c r="T1314" s="59">
        <v>4</v>
      </c>
      <c r="U1314" s="59">
        <v>1</v>
      </c>
      <c r="V1314" s="59">
        <v>89</v>
      </c>
      <c r="W1314" s="59">
        <v>4</v>
      </c>
      <c r="X1314" s="59">
        <v>1</v>
      </c>
      <c r="Y1314" s="59">
        <v>9</v>
      </c>
      <c r="Z1314" s="59">
        <f t="shared" si="389"/>
        <v>0</v>
      </c>
      <c r="AA1314" s="59">
        <f>IF('Updated Dummy'!Y1314=2,1,0)</f>
        <v>0</v>
      </c>
      <c r="AB1314" s="59">
        <f t="shared" si="390"/>
        <v>0</v>
      </c>
      <c r="AC1314" s="59">
        <f t="shared" si="391"/>
        <v>0</v>
      </c>
      <c r="AD1314" s="59">
        <f t="shared" si="392"/>
        <v>0</v>
      </c>
      <c r="AE1314" s="59">
        <f t="shared" si="393"/>
        <v>0</v>
      </c>
      <c r="AF1314" s="59">
        <f t="shared" si="394"/>
        <v>0</v>
      </c>
      <c r="AG1314" s="59">
        <f t="shared" si="395"/>
        <v>0</v>
      </c>
      <c r="AH1314" s="59">
        <v>1</v>
      </c>
      <c r="AI1314" s="59">
        <v>2</v>
      </c>
      <c r="AJ1314" s="59">
        <f t="shared" si="396"/>
        <v>0</v>
      </c>
      <c r="AK1314" s="59">
        <f t="shared" si="397"/>
        <v>1</v>
      </c>
      <c r="AL1314" s="59">
        <v>2956</v>
      </c>
      <c r="AM1314" s="59">
        <v>21495</v>
      </c>
      <c r="AN1314" s="59">
        <v>0</v>
      </c>
      <c r="AO1314" s="59">
        <v>0</v>
      </c>
      <c r="AP1314" s="59">
        <v>17</v>
      </c>
      <c r="AQ1314" s="59">
        <v>3</v>
      </c>
      <c r="AR1314" s="59">
        <v>3</v>
      </c>
      <c r="AS1314" s="59">
        <v>80</v>
      </c>
      <c r="AT1314" s="59">
        <v>0</v>
      </c>
      <c r="AU1314" s="59">
        <v>2</v>
      </c>
      <c r="AV1314" s="59">
        <v>4</v>
      </c>
      <c r="AW1314" s="59">
        <v>3</v>
      </c>
      <c r="AX1314" s="59">
        <v>1</v>
      </c>
      <c r="AY1314" s="59">
        <v>0</v>
      </c>
      <c r="AZ1314" s="59">
        <v>0</v>
      </c>
      <c r="BA1314" s="59">
        <v>0</v>
      </c>
      <c r="BB1314" s="57">
        <f t="shared" si="398"/>
        <v>2956</v>
      </c>
    </row>
    <row r="1315" spans="1:54" x14ac:dyDescent="0.25">
      <c r="A1315" s="58">
        <v>29</v>
      </c>
      <c r="B1315" s="59">
        <v>1</v>
      </c>
      <c r="C1315" s="59">
        <v>1</v>
      </c>
      <c r="D1315" s="59">
        <f t="shared" si="380"/>
        <v>1</v>
      </c>
      <c r="E1315" s="59">
        <f t="shared" si="381"/>
        <v>0</v>
      </c>
      <c r="F1315" s="59">
        <v>350</v>
      </c>
      <c r="G1315" s="59">
        <v>3</v>
      </c>
      <c r="H1315" s="59">
        <f t="shared" si="382"/>
        <v>0</v>
      </c>
      <c r="I1315" s="59">
        <f t="shared" si="383"/>
        <v>0</v>
      </c>
      <c r="J1315" s="59">
        <v>13</v>
      </c>
      <c r="K1315" s="59">
        <v>3</v>
      </c>
      <c r="L1315" s="59">
        <v>2</v>
      </c>
      <c r="M1315" s="59">
        <f t="shared" si="384"/>
        <v>0</v>
      </c>
      <c r="N1315" s="59">
        <f t="shared" si="385"/>
        <v>1</v>
      </c>
      <c r="O1315" s="59">
        <f t="shared" si="386"/>
        <v>0</v>
      </c>
      <c r="P1315" s="59">
        <f t="shared" si="387"/>
        <v>0</v>
      </c>
      <c r="Q1315" s="59">
        <f t="shared" si="388"/>
        <v>0</v>
      </c>
      <c r="R1315" s="59">
        <v>1</v>
      </c>
      <c r="S1315" s="59">
        <v>1844</v>
      </c>
      <c r="T1315" s="59">
        <v>1</v>
      </c>
      <c r="U1315" s="59">
        <v>1</v>
      </c>
      <c r="V1315" s="59">
        <v>56</v>
      </c>
      <c r="W1315" s="59">
        <v>2</v>
      </c>
      <c r="X1315" s="59">
        <v>1</v>
      </c>
      <c r="Y1315" s="59">
        <v>9</v>
      </c>
      <c r="Z1315" s="59">
        <f t="shared" si="389"/>
        <v>0</v>
      </c>
      <c r="AA1315" s="59">
        <f>IF('Updated Dummy'!Y1315=2,1,0)</f>
        <v>0</v>
      </c>
      <c r="AB1315" s="59">
        <f t="shared" si="390"/>
        <v>0</v>
      </c>
      <c r="AC1315" s="59">
        <f t="shared" si="391"/>
        <v>0</v>
      </c>
      <c r="AD1315" s="59">
        <f t="shared" si="392"/>
        <v>0</v>
      </c>
      <c r="AE1315" s="59">
        <f t="shared" si="393"/>
        <v>0</v>
      </c>
      <c r="AF1315" s="59">
        <f t="shared" si="394"/>
        <v>0</v>
      </c>
      <c r="AG1315" s="59">
        <f t="shared" si="395"/>
        <v>0</v>
      </c>
      <c r="AH1315" s="59">
        <v>1</v>
      </c>
      <c r="AI1315" s="59">
        <v>3</v>
      </c>
      <c r="AJ1315" s="59">
        <f t="shared" si="396"/>
        <v>0</v>
      </c>
      <c r="AK1315" s="59">
        <f t="shared" si="397"/>
        <v>0</v>
      </c>
      <c r="AL1315" s="59">
        <v>2335</v>
      </c>
      <c r="AM1315" s="59">
        <v>3157</v>
      </c>
      <c r="AN1315" s="59">
        <v>4</v>
      </c>
      <c r="AO1315" s="59">
        <v>1</v>
      </c>
      <c r="AP1315" s="59">
        <v>15</v>
      </c>
      <c r="AQ1315" s="59">
        <v>3</v>
      </c>
      <c r="AR1315" s="59">
        <v>4</v>
      </c>
      <c r="AS1315" s="59">
        <v>80</v>
      </c>
      <c r="AT1315" s="59">
        <v>3</v>
      </c>
      <c r="AU1315" s="59">
        <v>4</v>
      </c>
      <c r="AV1315" s="59">
        <v>3</v>
      </c>
      <c r="AW1315" s="59">
        <v>3</v>
      </c>
      <c r="AX1315" s="59">
        <v>2</v>
      </c>
      <c r="AY1315" s="59">
        <v>2</v>
      </c>
      <c r="AZ1315" s="59">
        <v>2</v>
      </c>
      <c r="BA1315" s="59">
        <v>0</v>
      </c>
      <c r="BB1315" s="57">
        <f t="shared" si="398"/>
        <v>2335</v>
      </c>
    </row>
    <row r="1316" spans="1:54" x14ac:dyDescent="0.25">
      <c r="A1316" s="58">
        <v>45</v>
      </c>
      <c r="B1316" s="59">
        <v>0</v>
      </c>
      <c r="C1316" s="59">
        <v>3</v>
      </c>
      <c r="D1316" s="59">
        <f t="shared" si="380"/>
        <v>0</v>
      </c>
      <c r="E1316" s="59">
        <f t="shared" si="381"/>
        <v>0</v>
      </c>
      <c r="F1316" s="59">
        <v>589</v>
      </c>
      <c r="G1316" s="59">
        <v>1</v>
      </c>
      <c r="H1316" s="59">
        <f t="shared" si="382"/>
        <v>1</v>
      </c>
      <c r="I1316" s="59">
        <f t="shared" si="383"/>
        <v>0</v>
      </c>
      <c r="J1316" s="59">
        <v>2</v>
      </c>
      <c r="K1316" s="59">
        <v>4</v>
      </c>
      <c r="L1316" s="59">
        <v>1</v>
      </c>
      <c r="M1316" s="59">
        <f t="shared" si="384"/>
        <v>1</v>
      </c>
      <c r="N1316" s="59">
        <f t="shared" si="385"/>
        <v>0</v>
      </c>
      <c r="O1316" s="59">
        <f t="shared" si="386"/>
        <v>0</v>
      </c>
      <c r="P1316" s="59">
        <f t="shared" si="387"/>
        <v>0</v>
      </c>
      <c r="Q1316" s="59">
        <f t="shared" si="388"/>
        <v>0</v>
      </c>
      <c r="R1316" s="59">
        <v>1</v>
      </c>
      <c r="S1316" s="59">
        <v>1845</v>
      </c>
      <c r="T1316" s="59">
        <v>3</v>
      </c>
      <c r="U1316" s="59">
        <v>0</v>
      </c>
      <c r="V1316" s="59">
        <v>67</v>
      </c>
      <c r="W1316" s="59">
        <v>3</v>
      </c>
      <c r="X1316" s="59">
        <v>2</v>
      </c>
      <c r="Y1316" s="59">
        <v>1</v>
      </c>
      <c r="Z1316" s="59">
        <f t="shared" si="389"/>
        <v>1</v>
      </c>
      <c r="AA1316" s="59">
        <f>IF('Updated Dummy'!Y1316=2,1,0)</f>
        <v>0</v>
      </c>
      <c r="AB1316" s="59">
        <f t="shared" si="390"/>
        <v>0</v>
      </c>
      <c r="AC1316" s="59">
        <f t="shared" si="391"/>
        <v>0</v>
      </c>
      <c r="AD1316" s="59">
        <f t="shared" si="392"/>
        <v>0</v>
      </c>
      <c r="AE1316" s="59">
        <f t="shared" si="393"/>
        <v>0</v>
      </c>
      <c r="AF1316" s="59">
        <f t="shared" si="394"/>
        <v>0</v>
      </c>
      <c r="AG1316" s="59">
        <f t="shared" si="395"/>
        <v>0</v>
      </c>
      <c r="AH1316" s="59">
        <v>3</v>
      </c>
      <c r="AI1316" s="59">
        <v>2</v>
      </c>
      <c r="AJ1316" s="59">
        <f t="shared" si="396"/>
        <v>0</v>
      </c>
      <c r="AK1316" s="59">
        <f t="shared" si="397"/>
        <v>1</v>
      </c>
      <c r="AL1316" s="59">
        <v>5154</v>
      </c>
      <c r="AM1316" s="59">
        <v>19665</v>
      </c>
      <c r="AN1316" s="59">
        <v>4</v>
      </c>
      <c r="AO1316" s="59">
        <v>0</v>
      </c>
      <c r="AP1316" s="59">
        <v>22</v>
      </c>
      <c r="AQ1316" s="59">
        <v>4</v>
      </c>
      <c r="AR1316" s="59">
        <v>2</v>
      </c>
      <c r="AS1316" s="59">
        <v>80</v>
      </c>
      <c r="AT1316" s="59">
        <v>2</v>
      </c>
      <c r="AU1316" s="59">
        <v>10</v>
      </c>
      <c r="AV1316" s="59">
        <v>3</v>
      </c>
      <c r="AW1316" s="59">
        <v>4</v>
      </c>
      <c r="AX1316" s="59">
        <v>8</v>
      </c>
      <c r="AY1316" s="59">
        <v>7</v>
      </c>
      <c r="AZ1316" s="59">
        <v>5</v>
      </c>
      <c r="BA1316" s="59">
        <v>7</v>
      </c>
      <c r="BB1316" s="57">
        <f t="shared" si="398"/>
        <v>10308</v>
      </c>
    </row>
    <row r="1317" spans="1:54" x14ac:dyDescent="0.25">
      <c r="A1317" s="58">
        <v>36</v>
      </c>
      <c r="B1317" s="59">
        <v>0</v>
      </c>
      <c r="C1317" s="59">
        <v>1</v>
      </c>
      <c r="D1317" s="59">
        <f t="shared" si="380"/>
        <v>1</v>
      </c>
      <c r="E1317" s="59">
        <f t="shared" si="381"/>
        <v>0</v>
      </c>
      <c r="F1317" s="59">
        <v>430</v>
      </c>
      <c r="G1317" s="59">
        <v>2</v>
      </c>
      <c r="H1317" s="59">
        <f t="shared" si="382"/>
        <v>0</v>
      </c>
      <c r="I1317" s="59">
        <f t="shared" si="383"/>
        <v>1</v>
      </c>
      <c r="J1317" s="59">
        <v>2</v>
      </c>
      <c r="K1317" s="59">
        <v>4</v>
      </c>
      <c r="L1317" s="59">
        <v>6</v>
      </c>
      <c r="M1317" s="59">
        <f t="shared" si="384"/>
        <v>0</v>
      </c>
      <c r="N1317" s="59">
        <f t="shared" si="385"/>
        <v>0</v>
      </c>
      <c r="O1317" s="59">
        <f t="shared" si="386"/>
        <v>0</v>
      </c>
      <c r="P1317" s="59">
        <f t="shared" si="387"/>
        <v>0</v>
      </c>
      <c r="Q1317" s="59">
        <f t="shared" si="388"/>
        <v>0</v>
      </c>
      <c r="R1317" s="59">
        <v>1</v>
      </c>
      <c r="S1317" s="59">
        <v>1847</v>
      </c>
      <c r="T1317" s="59">
        <v>4</v>
      </c>
      <c r="U1317" s="59">
        <v>0</v>
      </c>
      <c r="V1317" s="59">
        <v>73</v>
      </c>
      <c r="W1317" s="59">
        <v>3</v>
      </c>
      <c r="X1317" s="59">
        <v>2</v>
      </c>
      <c r="Y1317" s="59">
        <v>2</v>
      </c>
      <c r="Z1317" s="59">
        <f t="shared" si="389"/>
        <v>0</v>
      </c>
      <c r="AA1317" s="59">
        <f>IF('Updated Dummy'!Y1317=2,1,0)</f>
        <v>1</v>
      </c>
      <c r="AB1317" s="59">
        <f t="shared" si="390"/>
        <v>0</v>
      </c>
      <c r="AC1317" s="59">
        <f t="shared" si="391"/>
        <v>0</v>
      </c>
      <c r="AD1317" s="59">
        <f t="shared" si="392"/>
        <v>0</v>
      </c>
      <c r="AE1317" s="59">
        <f t="shared" si="393"/>
        <v>0</v>
      </c>
      <c r="AF1317" s="59">
        <f t="shared" si="394"/>
        <v>0</v>
      </c>
      <c r="AG1317" s="59">
        <f t="shared" si="395"/>
        <v>0</v>
      </c>
      <c r="AH1317" s="59">
        <v>2</v>
      </c>
      <c r="AI1317" s="59">
        <v>2</v>
      </c>
      <c r="AJ1317" s="59">
        <f t="shared" si="396"/>
        <v>0</v>
      </c>
      <c r="AK1317" s="59">
        <f t="shared" si="397"/>
        <v>1</v>
      </c>
      <c r="AL1317" s="59">
        <v>6962</v>
      </c>
      <c r="AM1317" s="59">
        <v>19573</v>
      </c>
      <c r="AN1317" s="59">
        <v>4</v>
      </c>
      <c r="AO1317" s="59">
        <v>1</v>
      </c>
      <c r="AP1317" s="59">
        <v>22</v>
      </c>
      <c r="AQ1317" s="59">
        <v>4</v>
      </c>
      <c r="AR1317" s="59">
        <v>4</v>
      </c>
      <c r="AS1317" s="59">
        <v>80</v>
      </c>
      <c r="AT1317" s="59">
        <v>1</v>
      </c>
      <c r="AU1317" s="59">
        <v>15</v>
      </c>
      <c r="AV1317" s="59">
        <v>2</v>
      </c>
      <c r="AW1317" s="59">
        <v>3</v>
      </c>
      <c r="AX1317" s="59">
        <v>1</v>
      </c>
      <c r="AY1317" s="59">
        <v>0</v>
      </c>
      <c r="AZ1317" s="59">
        <v>0</v>
      </c>
      <c r="BA1317" s="59">
        <v>0</v>
      </c>
      <c r="BB1317" s="57">
        <f t="shared" si="398"/>
        <v>13924</v>
      </c>
    </row>
    <row r="1318" spans="1:54" x14ac:dyDescent="0.25">
      <c r="A1318" s="58">
        <v>43</v>
      </c>
      <c r="B1318" s="59">
        <v>0</v>
      </c>
      <c r="C1318" s="59">
        <v>2</v>
      </c>
      <c r="D1318" s="59">
        <f t="shared" si="380"/>
        <v>0</v>
      </c>
      <c r="E1318" s="59">
        <f t="shared" si="381"/>
        <v>1</v>
      </c>
      <c r="F1318" s="59">
        <v>1422</v>
      </c>
      <c r="G1318" s="59">
        <v>1</v>
      </c>
      <c r="H1318" s="59">
        <f t="shared" si="382"/>
        <v>1</v>
      </c>
      <c r="I1318" s="59">
        <f t="shared" si="383"/>
        <v>0</v>
      </c>
      <c r="J1318" s="59">
        <v>2</v>
      </c>
      <c r="K1318" s="59">
        <v>4</v>
      </c>
      <c r="L1318" s="59">
        <v>1</v>
      </c>
      <c r="M1318" s="59">
        <f t="shared" si="384"/>
        <v>1</v>
      </c>
      <c r="N1318" s="59">
        <f t="shared" si="385"/>
        <v>0</v>
      </c>
      <c r="O1318" s="59">
        <f t="shared" si="386"/>
        <v>0</v>
      </c>
      <c r="P1318" s="59">
        <f t="shared" si="387"/>
        <v>0</v>
      </c>
      <c r="Q1318" s="59">
        <f t="shared" si="388"/>
        <v>0</v>
      </c>
      <c r="R1318" s="59">
        <v>1</v>
      </c>
      <c r="S1318" s="59">
        <v>1849</v>
      </c>
      <c r="T1318" s="59">
        <v>1</v>
      </c>
      <c r="U1318" s="59">
        <v>1</v>
      </c>
      <c r="V1318" s="59">
        <v>92</v>
      </c>
      <c r="W1318" s="59">
        <v>3</v>
      </c>
      <c r="X1318" s="59">
        <v>2</v>
      </c>
      <c r="Y1318" s="59">
        <v>1</v>
      </c>
      <c r="Z1318" s="59">
        <f t="shared" si="389"/>
        <v>1</v>
      </c>
      <c r="AA1318" s="59">
        <f>IF('Updated Dummy'!Y1318=2,1,0)</f>
        <v>0</v>
      </c>
      <c r="AB1318" s="59">
        <f t="shared" si="390"/>
        <v>0</v>
      </c>
      <c r="AC1318" s="59">
        <f t="shared" si="391"/>
        <v>0</v>
      </c>
      <c r="AD1318" s="59">
        <f t="shared" si="392"/>
        <v>0</v>
      </c>
      <c r="AE1318" s="59">
        <f t="shared" si="393"/>
        <v>0</v>
      </c>
      <c r="AF1318" s="59">
        <f t="shared" si="394"/>
        <v>0</v>
      </c>
      <c r="AG1318" s="59">
        <f t="shared" si="395"/>
        <v>0</v>
      </c>
      <c r="AH1318" s="59">
        <v>4</v>
      </c>
      <c r="AI1318" s="59">
        <v>2</v>
      </c>
      <c r="AJ1318" s="59">
        <f t="shared" si="396"/>
        <v>0</v>
      </c>
      <c r="AK1318" s="59">
        <f t="shared" si="397"/>
        <v>1</v>
      </c>
      <c r="AL1318" s="59">
        <v>5675</v>
      </c>
      <c r="AM1318" s="59">
        <v>19246</v>
      </c>
      <c r="AN1318" s="59">
        <v>1</v>
      </c>
      <c r="AO1318" s="59">
        <v>0</v>
      </c>
      <c r="AP1318" s="59">
        <v>20</v>
      </c>
      <c r="AQ1318" s="59">
        <v>4</v>
      </c>
      <c r="AR1318" s="59">
        <v>3</v>
      </c>
      <c r="AS1318" s="59">
        <v>80</v>
      </c>
      <c r="AT1318" s="59">
        <v>1</v>
      </c>
      <c r="AU1318" s="59">
        <v>7</v>
      </c>
      <c r="AV1318" s="59">
        <v>5</v>
      </c>
      <c r="AW1318" s="59">
        <v>3</v>
      </c>
      <c r="AX1318" s="59">
        <v>7</v>
      </c>
      <c r="AY1318" s="59">
        <v>7</v>
      </c>
      <c r="AZ1318" s="59">
        <v>7</v>
      </c>
      <c r="BA1318" s="59">
        <v>7</v>
      </c>
      <c r="BB1318" s="57">
        <f t="shared" si="398"/>
        <v>11350</v>
      </c>
    </row>
    <row r="1319" spans="1:54" x14ac:dyDescent="0.25">
      <c r="A1319" s="58">
        <v>27</v>
      </c>
      <c r="B1319" s="59">
        <v>0</v>
      </c>
      <c r="C1319" s="59">
        <v>2</v>
      </c>
      <c r="D1319" s="59">
        <f t="shared" si="380"/>
        <v>0</v>
      </c>
      <c r="E1319" s="59">
        <f t="shared" si="381"/>
        <v>1</v>
      </c>
      <c r="F1319" s="59">
        <v>1297</v>
      </c>
      <c r="G1319" s="59">
        <v>2</v>
      </c>
      <c r="H1319" s="59">
        <f t="shared" si="382"/>
        <v>0</v>
      </c>
      <c r="I1319" s="59">
        <f t="shared" si="383"/>
        <v>1</v>
      </c>
      <c r="J1319" s="59">
        <v>5</v>
      </c>
      <c r="K1319" s="59">
        <v>2</v>
      </c>
      <c r="L1319" s="59">
        <v>1</v>
      </c>
      <c r="M1319" s="59">
        <f t="shared" si="384"/>
        <v>1</v>
      </c>
      <c r="N1319" s="59">
        <f t="shared" si="385"/>
        <v>0</v>
      </c>
      <c r="O1319" s="59">
        <f t="shared" si="386"/>
        <v>0</v>
      </c>
      <c r="P1319" s="59">
        <f t="shared" si="387"/>
        <v>0</v>
      </c>
      <c r="Q1319" s="59">
        <f t="shared" si="388"/>
        <v>0</v>
      </c>
      <c r="R1319" s="59">
        <v>1</v>
      </c>
      <c r="S1319" s="59">
        <v>1850</v>
      </c>
      <c r="T1319" s="59">
        <v>4</v>
      </c>
      <c r="U1319" s="59">
        <v>0</v>
      </c>
      <c r="V1319" s="59">
        <v>53</v>
      </c>
      <c r="W1319" s="59">
        <v>3</v>
      </c>
      <c r="X1319" s="59">
        <v>1</v>
      </c>
      <c r="Y1319" s="59">
        <v>3</v>
      </c>
      <c r="Z1319" s="59">
        <f t="shared" si="389"/>
        <v>0</v>
      </c>
      <c r="AA1319" s="59">
        <f>IF('Updated Dummy'!Y1319=2,1,0)</f>
        <v>0</v>
      </c>
      <c r="AB1319" s="59">
        <f t="shared" si="390"/>
        <v>1</v>
      </c>
      <c r="AC1319" s="59">
        <f t="shared" si="391"/>
        <v>0</v>
      </c>
      <c r="AD1319" s="59">
        <f t="shared" si="392"/>
        <v>0</v>
      </c>
      <c r="AE1319" s="59">
        <f t="shared" si="393"/>
        <v>0</v>
      </c>
      <c r="AF1319" s="59">
        <f t="shared" si="394"/>
        <v>0</v>
      </c>
      <c r="AG1319" s="59">
        <f t="shared" si="395"/>
        <v>0</v>
      </c>
      <c r="AH1319" s="59">
        <v>4</v>
      </c>
      <c r="AI1319" s="59">
        <v>1</v>
      </c>
      <c r="AJ1319" s="59">
        <f t="shared" si="396"/>
        <v>1</v>
      </c>
      <c r="AK1319" s="59">
        <f t="shared" si="397"/>
        <v>0</v>
      </c>
      <c r="AL1319" s="59">
        <v>2379</v>
      </c>
      <c r="AM1319" s="59">
        <v>19826</v>
      </c>
      <c r="AN1319" s="59">
        <v>0</v>
      </c>
      <c r="AO1319" s="59">
        <v>1</v>
      </c>
      <c r="AP1319" s="59">
        <v>14</v>
      </c>
      <c r="AQ1319" s="59">
        <v>3</v>
      </c>
      <c r="AR1319" s="59">
        <v>3</v>
      </c>
      <c r="AS1319" s="59">
        <v>80</v>
      </c>
      <c r="AT1319" s="59">
        <v>0</v>
      </c>
      <c r="AU1319" s="59">
        <v>6</v>
      </c>
      <c r="AV1319" s="59">
        <v>3</v>
      </c>
      <c r="AW1319" s="59">
        <v>2</v>
      </c>
      <c r="AX1319" s="59">
        <v>5</v>
      </c>
      <c r="AY1319" s="59">
        <v>4</v>
      </c>
      <c r="AZ1319" s="59">
        <v>0</v>
      </c>
      <c r="BA1319" s="59">
        <v>2</v>
      </c>
      <c r="BB1319" s="57">
        <f t="shared" si="398"/>
        <v>2379</v>
      </c>
    </row>
    <row r="1320" spans="1:54" x14ac:dyDescent="0.25">
      <c r="A1320" s="58">
        <v>29</v>
      </c>
      <c r="B1320" s="59">
        <v>0</v>
      </c>
      <c r="C1320" s="59">
        <v>2</v>
      </c>
      <c r="D1320" s="59">
        <f t="shared" si="380"/>
        <v>0</v>
      </c>
      <c r="E1320" s="59">
        <f t="shared" si="381"/>
        <v>1</v>
      </c>
      <c r="F1320" s="59">
        <v>574</v>
      </c>
      <c r="G1320" s="59">
        <v>2</v>
      </c>
      <c r="H1320" s="59">
        <f t="shared" si="382"/>
        <v>0</v>
      </c>
      <c r="I1320" s="59">
        <f t="shared" si="383"/>
        <v>1</v>
      </c>
      <c r="J1320" s="59">
        <v>20</v>
      </c>
      <c r="K1320" s="59">
        <v>1</v>
      </c>
      <c r="L1320" s="59">
        <v>3</v>
      </c>
      <c r="M1320" s="59">
        <f t="shared" si="384"/>
        <v>0</v>
      </c>
      <c r="N1320" s="59">
        <f t="shared" si="385"/>
        <v>0</v>
      </c>
      <c r="O1320" s="59">
        <f t="shared" si="386"/>
        <v>1</v>
      </c>
      <c r="P1320" s="59">
        <f t="shared" si="387"/>
        <v>0</v>
      </c>
      <c r="Q1320" s="59">
        <f t="shared" si="388"/>
        <v>0</v>
      </c>
      <c r="R1320" s="59">
        <v>1</v>
      </c>
      <c r="S1320" s="59">
        <v>1852</v>
      </c>
      <c r="T1320" s="59">
        <v>4</v>
      </c>
      <c r="U1320" s="59">
        <v>1</v>
      </c>
      <c r="V1320" s="59">
        <v>40</v>
      </c>
      <c r="W1320" s="59">
        <v>3</v>
      </c>
      <c r="X1320" s="59">
        <v>1</v>
      </c>
      <c r="Y1320" s="59">
        <v>3</v>
      </c>
      <c r="Z1320" s="59">
        <f t="shared" si="389"/>
        <v>0</v>
      </c>
      <c r="AA1320" s="59">
        <f>IF('Updated Dummy'!Y1320=2,1,0)</f>
        <v>0</v>
      </c>
      <c r="AB1320" s="59">
        <f t="shared" si="390"/>
        <v>1</v>
      </c>
      <c r="AC1320" s="59">
        <f t="shared" si="391"/>
        <v>0</v>
      </c>
      <c r="AD1320" s="59">
        <f t="shared" si="392"/>
        <v>0</v>
      </c>
      <c r="AE1320" s="59">
        <f t="shared" si="393"/>
        <v>0</v>
      </c>
      <c r="AF1320" s="59">
        <f t="shared" si="394"/>
        <v>0</v>
      </c>
      <c r="AG1320" s="59">
        <f t="shared" si="395"/>
        <v>0</v>
      </c>
      <c r="AH1320" s="59">
        <v>4</v>
      </c>
      <c r="AI1320" s="59">
        <v>2</v>
      </c>
      <c r="AJ1320" s="59">
        <f t="shared" si="396"/>
        <v>0</v>
      </c>
      <c r="AK1320" s="59">
        <f t="shared" si="397"/>
        <v>1</v>
      </c>
      <c r="AL1320" s="59">
        <v>3812</v>
      </c>
      <c r="AM1320" s="59">
        <v>7003</v>
      </c>
      <c r="AN1320" s="59">
        <v>1</v>
      </c>
      <c r="AO1320" s="59">
        <v>0</v>
      </c>
      <c r="AP1320" s="59">
        <v>13</v>
      </c>
      <c r="AQ1320" s="59">
        <v>3</v>
      </c>
      <c r="AR1320" s="59">
        <v>2</v>
      </c>
      <c r="AS1320" s="59">
        <v>80</v>
      </c>
      <c r="AT1320" s="59">
        <v>0</v>
      </c>
      <c r="AU1320" s="59">
        <v>11</v>
      </c>
      <c r="AV1320" s="59">
        <v>3</v>
      </c>
      <c r="AW1320" s="59">
        <v>4</v>
      </c>
      <c r="AX1320" s="59">
        <v>11</v>
      </c>
      <c r="AY1320" s="59">
        <v>8</v>
      </c>
      <c r="AZ1320" s="59">
        <v>3</v>
      </c>
      <c r="BA1320" s="59">
        <v>10</v>
      </c>
      <c r="BB1320" s="57">
        <f t="shared" si="398"/>
        <v>3812</v>
      </c>
    </row>
    <row r="1321" spans="1:54" x14ac:dyDescent="0.25">
      <c r="A1321" s="58">
        <v>32</v>
      </c>
      <c r="B1321" s="59">
        <v>0</v>
      </c>
      <c r="C1321" s="59">
        <v>2</v>
      </c>
      <c r="D1321" s="59">
        <f t="shared" si="380"/>
        <v>0</v>
      </c>
      <c r="E1321" s="59">
        <f t="shared" si="381"/>
        <v>1</v>
      </c>
      <c r="F1321" s="59">
        <v>1318</v>
      </c>
      <c r="G1321" s="59">
        <v>1</v>
      </c>
      <c r="H1321" s="59">
        <f t="shared" si="382"/>
        <v>1</v>
      </c>
      <c r="I1321" s="59">
        <f t="shared" si="383"/>
        <v>0</v>
      </c>
      <c r="J1321" s="59">
        <v>10</v>
      </c>
      <c r="K1321" s="59">
        <v>4</v>
      </c>
      <c r="L1321" s="59">
        <v>4</v>
      </c>
      <c r="M1321" s="59">
        <f t="shared" si="384"/>
        <v>0</v>
      </c>
      <c r="N1321" s="59">
        <f t="shared" si="385"/>
        <v>0</v>
      </c>
      <c r="O1321" s="59">
        <f t="shared" si="386"/>
        <v>0</v>
      </c>
      <c r="P1321" s="59">
        <f t="shared" si="387"/>
        <v>1</v>
      </c>
      <c r="Q1321" s="59">
        <f t="shared" si="388"/>
        <v>0</v>
      </c>
      <c r="R1321" s="59">
        <v>1</v>
      </c>
      <c r="S1321" s="59">
        <v>1853</v>
      </c>
      <c r="T1321" s="59">
        <v>4</v>
      </c>
      <c r="U1321" s="59">
        <v>1</v>
      </c>
      <c r="V1321" s="59">
        <v>79</v>
      </c>
      <c r="W1321" s="59">
        <v>3</v>
      </c>
      <c r="X1321" s="59">
        <v>2</v>
      </c>
      <c r="Y1321" s="59">
        <v>1</v>
      </c>
      <c r="Z1321" s="59">
        <f t="shared" si="389"/>
        <v>1</v>
      </c>
      <c r="AA1321" s="59">
        <f>IF('Updated Dummy'!Y1321=2,1,0)</f>
        <v>0</v>
      </c>
      <c r="AB1321" s="59">
        <f t="shared" si="390"/>
        <v>0</v>
      </c>
      <c r="AC1321" s="59">
        <f t="shared" si="391"/>
        <v>0</v>
      </c>
      <c r="AD1321" s="59">
        <f t="shared" si="392"/>
        <v>0</v>
      </c>
      <c r="AE1321" s="59">
        <f t="shared" si="393"/>
        <v>0</v>
      </c>
      <c r="AF1321" s="59">
        <f t="shared" si="394"/>
        <v>0</v>
      </c>
      <c r="AG1321" s="59">
        <f t="shared" si="395"/>
        <v>0</v>
      </c>
      <c r="AH1321" s="59">
        <v>4</v>
      </c>
      <c r="AI1321" s="59">
        <v>1</v>
      </c>
      <c r="AJ1321" s="59">
        <f t="shared" si="396"/>
        <v>1</v>
      </c>
      <c r="AK1321" s="59">
        <f t="shared" si="397"/>
        <v>0</v>
      </c>
      <c r="AL1321" s="59">
        <v>4648</v>
      </c>
      <c r="AM1321" s="59">
        <v>26075</v>
      </c>
      <c r="AN1321" s="59">
        <v>8</v>
      </c>
      <c r="AO1321" s="59">
        <v>0</v>
      </c>
      <c r="AP1321" s="59">
        <v>13</v>
      </c>
      <c r="AQ1321" s="59">
        <v>3</v>
      </c>
      <c r="AR1321" s="59">
        <v>3</v>
      </c>
      <c r="AS1321" s="59">
        <v>80</v>
      </c>
      <c r="AT1321" s="59">
        <v>0</v>
      </c>
      <c r="AU1321" s="59">
        <v>4</v>
      </c>
      <c r="AV1321" s="59">
        <v>2</v>
      </c>
      <c r="AW1321" s="59">
        <v>4</v>
      </c>
      <c r="AX1321" s="59">
        <v>0</v>
      </c>
      <c r="AY1321" s="59">
        <v>0</v>
      </c>
      <c r="AZ1321" s="59">
        <v>0</v>
      </c>
      <c r="BA1321" s="59">
        <v>0</v>
      </c>
      <c r="BB1321" s="57">
        <f t="shared" si="398"/>
        <v>9296</v>
      </c>
    </row>
    <row r="1322" spans="1:54" x14ac:dyDescent="0.25">
      <c r="A1322" s="58">
        <v>42</v>
      </c>
      <c r="B1322" s="59">
        <v>0</v>
      </c>
      <c r="C1322" s="59">
        <v>3</v>
      </c>
      <c r="D1322" s="59">
        <f t="shared" si="380"/>
        <v>0</v>
      </c>
      <c r="E1322" s="59">
        <f t="shared" si="381"/>
        <v>0</v>
      </c>
      <c r="F1322" s="59">
        <v>355</v>
      </c>
      <c r="G1322" s="59">
        <v>2</v>
      </c>
      <c r="H1322" s="59">
        <f t="shared" si="382"/>
        <v>0</v>
      </c>
      <c r="I1322" s="59">
        <f t="shared" si="383"/>
        <v>1</v>
      </c>
      <c r="J1322" s="59">
        <v>10</v>
      </c>
      <c r="K1322" s="59">
        <v>4</v>
      </c>
      <c r="L1322" s="59">
        <v>5</v>
      </c>
      <c r="M1322" s="59">
        <f t="shared" si="384"/>
        <v>0</v>
      </c>
      <c r="N1322" s="59">
        <f t="shared" si="385"/>
        <v>0</v>
      </c>
      <c r="O1322" s="59">
        <f t="shared" si="386"/>
        <v>0</v>
      </c>
      <c r="P1322" s="59">
        <f t="shared" si="387"/>
        <v>0</v>
      </c>
      <c r="Q1322" s="59">
        <f t="shared" si="388"/>
        <v>1</v>
      </c>
      <c r="R1322" s="59">
        <v>1</v>
      </c>
      <c r="S1322" s="59">
        <v>1854</v>
      </c>
      <c r="T1322" s="59">
        <v>3</v>
      </c>
      <c r="U1322" s="59">
        <v>1</v>
      </c>
      <c r="V1322" s="59">
        <v>38</v>
      </c>
      <c r="W1322" s="59">
        <v>3</v>
      </c>
      <c r="X1322" s="59">
        <v>1</v>
      </c>
      <c r="Y1322" s="59">
        <v>2</v>
      </c>
      <c r="Z1322" s="59">
        <f t="shared" si="389"/>
        <v>0</v>
      </c>
      <c r="AA1322" s="59">
        <f>IF('Updated Dummy'!Y1322=2,1,0)</f>
        <v>1</v>
      </c>
      <c r="AB1322" s="59">
        <f t="shared" si="390"/>
        <v>0</v>
      </c>
      <c r="AC1322" s="59">
        <f t="shared" si="391"/>
        <v>0</v>
      </c>
      <c r="AD1322" s="59">
        <f t="shared" si="392"/>
        <v>0</v>
      </c>
      <c r="AE1322" s="59">
        <f t="shared" si="393"/>
        <v>0</v>
      </c>
      <c r="AF1322" s="59">
        <f t="shared" si="394"/>
        <v>0</v>
      </c>
      <c r="AG1322" s="59">
        <f t="shared" si="395"/>
        <v>0</v>
      </c>
      <c r="AH1322" s="59">
        <v>3</v>
      </c>
      <c r="AI1322" s="59">
        <v>2</v>
      </c>
      <c r="AJ1322" s="59">
        <f t="shared" si="396"/>
        <v>0</v>
      </c>
      <c r="AK1322" s="59">
        <f t="shared" si="397"/>
        <v>1</v>
      </c>
      <c r="AL1322" s="59">
        <v>2936</v>
      </c>
      <c r="AM1322" s="59">
        <v>6161</v>
      </c>
      <c r="AN1322" s="59">
        <v>3</v>
      </c>
      <c r="AO1322" s="59">
        <v>0</v>
      </c>
      <c r="AP1322" s="59">
        <v>22</v>
      </c>
      <c r="AQ1322" s="59">
        <v>4</v>
      </c>
      <c r="AR1322" s="59">
        <v>2</v>
      </c>
      <c r="AS1322" s="59">
        <v>80</v>
      </c>
      <c r="AT1322" s="59">
        <v>2</v>
      </c>
      <c r="AU1322" s="59">
        <v>10</v>
      </c>
      <c r="AV1322" s="59">
        <v>1</v>
      </c>
      <c r="AW1322" s="59">
        <v>2</v>
      </c>
      <c r="AX1322" s="59">
        <v>6</v>
      </c>
      <c r="AY1322" s="59">
        <v>3</v>
      </c>
      <c r="AZ1322" s="59">
        <v>3</v>
      </c>
      <c r="BA1322" s="59">
        <v>3</v>
      </c>
      <c r="BB1322" s="57">
        <f t="shared" si="398"/>
        <v>2936</v>
      </c>
    </row>
    <row r="1323" spans="1:54" x14ac:dyDescent="0.25">
      <c r="A1323" s="58">
        <v>47</v>
      </c>
      <c r="B1323" s="59">
        <v>0</v>
      </c>
      <c r="C1323" s="59">
        <v>1</v>
      </c>
      <c r="D1323" s="59">
        <f t="shared" si="380"/>
        <v>1</v>
      </c>
      <c r="E1323" s="59">
        <f t="shared" si="381"/>
        <v>0</v>
      </c>
      <c r="F1323" s="59">
        <v>207</v>
      </c>
      <c r="G1323" s="59">
        <v>2</v>
      </c>
      <c r="H1323" s="59">
        <f t="shared" si="382"/>
        <v>0</v>
      </c>
      <c r="I1323" s="59">
        <f t="shared" si="383"/>
        <v>1</v>
      </c>
      <c r="J1323" s="59">
        <v>9</v>
      </c>
      <c r="K1323" s="59">
        <v>4</v>
      </c>
      <c r="L1323" s="59">
        <v>1</v>
      </c>
      <c r="M1323" s="59">
        <f t="shared" si="384"/>
        <v>1</v>
      </c>
      <c r="N1323" s="59">
        <f t="shared" si="385"/>
        <v>0</v>
      </c>
      <c r="O1323" s="59">
        <f t="shared" si="386"/>
        <v>0</v>
      </c>
      <c r="P1323" s="59">
        <f t="shared" si="387"/>
        <v>0</v>
      </c>
      <c r="Q1323" s="59">
        <f t="shared" si="388"/>
        <v>0</v>
      </c>
      <c r="R1323" s="59">
        <v>1</v>
      </c>
      <c r="S1323" s="59">
        <v>1856</v>
      </c>
      <c r="T1323" s="59">
        <v>2</v>
      </c>
      <c r="U1323" s="59">
        <v>0</v>
      </c>
      <c r="V1323" s="59">
        <v>64</v>
      </c>
      <c r="W1323" s="59">
        <v>3</v>
      </c>
      <c r="X1323" s="59">
        <v>1</v>
      </c>
      <c r="Y1323" s="59">
        <v>3</v>
      </c>
      <c r="Z1323" s="59">
        <f t="shared" si="389"/>
        <v>0</v>
      </c>
      <c r="AA1323" s="59">
        <f>IF('Updated Dummy'!Y1323=2,1,0)</f>
        <v>0</v>
      </c>
      <c r="AB1323" s="59">
        <f t="shared" si="390"/>
        <v>1</v>
      </c>
      <c r="AC1323" s="59">
        <f t="shared" si="391"/>
        <v>0</v>
      </c>
      <c r="AD1323" s="59">
        <f t="shared" si="392"/>
        <v>0</v>
      </c>
      <c r="AE1323" s="59">
        <f t="shared" si="393"/>
        <v>0</v>
      </c>
      <c r="AF1323" s="59">
        <f t="shared" si="394"/>
        <v>0</v>
      </c>
      <c r="AG1323" s="59">
        <f t="shared" si="395"/>
        <v>0</v>
      </c>
      <c r="AH1323" s="59">
        <v>3</v>
      </c>
      <c r="AI1323" s="59">
        <v>1</v>
      </c>
      <c r="AJ1323" s="59">
        <f t="shared" si="396"/>
        <v>1</v>
      </c>
      <c r="AK1323" s="59">
        <f t="shared" si="397"/>
        <v>0</v>
      </c>
      <c r="AL1323" s="59">
        <v>2105</v>
      </c>
      <c r="AM1323" s="59">
        <v>5411</v>
      </c>
      <c r="AN1323" s="59">
        <v>4</v>
      </c>
      <c r="AO1323" s="59">
        <v>0</v>
      </c>
      <c r="AP1323" s="59">
        <v>12</v>
      </c>
      <c r="AQ1323" s="59">
        <v>3</v>
      </c>
      <c r="AR1323" s="59">
        <v>3</v>
      </c>
      <c r="AS1323" s="59">
        <v>80</v>
      </c>
      <c r="AT1323" s="59">
        <v>0</v>
      </c>
      <c r="AU1323" s="59">
        <v>7</v>
      </c>
      <c r="AV1323" s="59">
        <v>2</v>
      </c>
      <c r="AW1323" s="59">
        <v>3</v>
      </c>
      <c r="AX1323" s="59">
        <v>2</v>
      </c>
      <c r="AY1323" s="59">
        <v>2</v>
      </c>
      <c r="AZ1323" s="59">
        <v>2</v>
      </c>
      <c r="BA1323" s="59">
        <v>0</v>
      </c>
      <c r="BB1323" s="57">
        <f t="shared" si="398"/>
        <v>2105</v>
      </c>
    </row>
    <row r="1324" spans="1:54" x14ac:dyDescent="0.25">
      <c r="A1324" s="58">
        <v>46</v>
      </c>
      <c r="B1324" s="59">
        <v>0</v>
      </c>
      <c r="C1324" s="59">
        <v>1</v>
      </c>
      <c r="D1324" s="59">
        <f t="shared" si="380"/>
        <v>1</v>
      </c>
      <c r="E1324" s="59">
        <f t="shared" si="381"/>
        <v>0</v>
      </c>
      <c r="F1324" s="59">
        <v>706</v>
      </c>
      <c r="G1324" s="59">
        <v>2</v>
      </c>
      <c r="H1324" s="59">
        <f t="shared" si="382"/>
        <v>0</v>
      </c>
      <c r="I1324" s="59">
        <f t="shared" si="383"/>
        <v>1</v>
      </c>
      <c r="J1324" s="59">
        <v>2</v>
      </c>
      <c r="K1324" s="59">
        <v>2</v>
      </c>
      <c r="L1324" s="59">
        <v>1</v>
      </c>
      <c r="M1324" s="59">
        <f t="shared" si="384"/>
        <v>1</v>
      </c>
      <c r="N1324" s="59">
        <f t="shared" si="385"/>
        <v>0</v>
      </c>
      <c r="O1324" s="59">
        <f t="shared" si="386"/>
        <v>0</v>
      </c>
      <c r="P1324" s="59">
        <f t="shared" si="387"/>
        <v>0</v>
      </c>
      <c r="Q1324" s="59">
        <f t="shared" si="388"/>
        <v>0</v>
      </c>
      <c r="R1324" s="59">
        <v>1</v>
      </c>
      <c r="S1324" s="59">
        <v>1857</v>
      </c>
      <c r="T1324" s="59">
        <v>4</v>
      </c>
      <c r="U1324" s="59">
        <v>1</v>
      </c>
      <c r="V1324" s="59">
        <v>82</v>
      </c>
      <c r="W1324" s="59">
        <v>3</v>
      </c>
      <c r="X1324" s="59">
        <v>3</v>
      </c>
      <c r="Y1324" s="59">
        <v>4</v>
      </c>
      <c r="Z1324" s="59">
        <f t="shared" si="389"/>
        <v>0</v>
      </c>
      <c r="AA1324" s="59">
        <f>IF('Updated Dummy'!Y1324=2,1,0)</f>
        <v>0</v>
      </c>
      <c r="AB1324" s="59">
        <f t="shared" si="390"/>
        <v>0</v>
      </c>
      <c r="AC1324" s="59">
        <f t="shared" si="391"/>
        <v>1</v>
      </c>
      <c r="AD1324" s="59">
        <f t="shared" si="392"/>
        <v>0</v>
      </c>
      <c r="AE1324" s="59">
        <f t="shared" si="393"/>
        <v>0</v>
      </c>
      <c r="AF1324" s="59">
        <f t="shared" si="394"/>
        <v>0</v>
      </c>
      <c r="AG1324" s="59">
        <f t="shared" si="395"/>
        <v>0</v>
      </c>
      <c r="AH1324" s="59">
        <v>4</v>
      </c>
      <c r="AI1324" s="59">
        <v>3</v>
      </c>
      <c r="AJ1324" s="59">
        <f t="shared" si="396"/>
        <v>0</v>
      </c>
      <c r="AK1324" s="59">
        <f t="shared" si="397"/>
        <v>0</v>
      </c>
      <c r="AL1324" s="59">
        <v>8578</v>
      </c>
      <c r="AM1324" s="59">
        <v>19989</v>
      </c>
      <c r="AN1324" s="59">
        <v>3</v>
      </c>
      <c r="AO1324" s="59">
        <v>0</v>
      </c>
      <c r="AP1324" s="59">
        <v>14</v>
      </c>
      <c r="AQ1324" s="59">
        <v>3</v>
      </c>
      <c r="AR1324" s="59">
        <v>3</v>
      </c>
      <c r="AS1324" s="59">
        <v>80</v>
      </c>
      <c r="AT1324" s="59">
        <v>1</v>
      </c>
      <c r="AU1324" s="59">
        <v>12</v>
      </c>
      <c r="AV1324" s="59">
        <v>4</v>
      </c>
      <c r="AW1324" s="59">
        <v>2</v>
      </c>
      <c r="AX1324" s="59">
        <v>9</v>
      </c>
      <c r="AY1324" s="59">
        <v>8</v>
      </c>
      <c r="AZ1324" s="59">
        <v>4</v>
      </c>
      <c r="BA1324" s="59">
        <v>7</v>
      </c>
      <c r="BB1324" s="57">
        <f t="shared" si="398"/>
        <v>25734</v>
      </c>
    </row>
    <row r="1325" spans="1:54" x14ac:dyDescent="0.25">
      <c r="A1325" s="58">
        <v>28</v>
      </c>
      <c r="B1325" s="59">
        <v>0</v>
      </c>
      <c r="C1325" s="59">
        <v>3</v>
      </c>
      <c r="D1325" s="59">
        <f t="shared" si="380"/>
        <v>0</v>
      </c>
      <c r="E1325" s="59">
        <f t="shared" si="381"/>
        <v>0</v>
      </c>
      <c r="F1325" s="59">
        <v>280</v>
      </c>
      <c r="G1325" s="59">
        <v>3</v>
      </c>
      <c r="H1325" s="59">
        <f t="shared" si="382"/>
        <v>0</v>
      </c>
      <c r="I1325" s="59">
        <f t="shared" si="383"/>
        <v>0</v>
      </c>
      <c r="J1325" s="59">
        <v>1</v>
      </c>
      <c r="K1325" s="59">
        <v>2</v>
      </c>
      <c r="L1325" s="59">
        <v>1</v>
      </c>
      <c r="M1325" s="59">
        <f t="shared" si="384"/>
        <v>1</v>
      </c>
      <c r="N1325" s="59">
        <f t="shared" si="385"/>
        <v>0</v>
      </c>
      <c r="O1325" s="59">
        <f t="shared" si="386"/>
        <v>0</v>
      </c>
      <c r="P1325" s="59">
        <f t="shared" si="387"/>
        <v>0</v>
      </c>
      <c r="Q1325" s="59">
        <f t="shared" si="388"/>
        <v>0</v>
      </c>
      <c r="R1325" s="59">
        <v>1</v>
      </c>
      <c r="S1325" s="59">
        <v>1858</v>
      </c>
      <c r="T1325" s="59">
        <v>3</v>
      </c>
      <c r="U1325" s="59">
        <v>1</v>
      </c>
      <c r="V1325" s="59">
        <v>43</v>
      </c>
      <c r="W1325" s="59">
        <v>3</v>
      </c>
      <c r="X1325" s="59">
        <v>1</v>
      </c>
      <c r="Y1325" s="59">
        <v>9</v>
      </c>
      <c r="Z1325" s="59">
        <f t="shared" si="389"/>
        <v>0</v>
      </c>
      <c r="AA1325" s="59">
        <f>IF('Updated Dummy'!Y1325=2,1,0)</f>
        <v>0</v>
      </c>
      <c r="AB1325" s="59">
        <f t="shared" si="390"/>
        <v>0</v>
      </c>
      <c r="AC1325" s="59">
        <f t="shared" si="391"/>
        <v>0</v>
      </c>
      <c r="AD1325" s="59">
        <f t="shared" si="392"/>
        <v>0</v>
      </c>
      <c r="AE1325" s="59">
        <f t="shared" si="393"/>
        <v>0</v>
      </c>
      <c r="AF1325" s="59">
        <f t="shared" si="394"/>
        <v>0</v>
      </c>
      <c r="AG1325" s="59">
        <f t="shared" si="395"/>
        <v>0</v>
      </c>
      <c r="AH1325" s="59">
        <v>4</v>
      </c>
      <c r="AI1325" s="59">
        <v>3</v>
      </c>
      <c r="AJ1325" s="59">
        <f t="shared" si="396"/>
        <v>0</v>
      </c>
      <c r="AK1325" s="59">
        <f t="shared" si="397"/>
        <v>0</v>
      </c>
      <c r="AL1325" s="59">
        <v>2706</v>
      </c>
      <c r="AM1325" s="59">
        <v>10494</v>
      </c>
      <c r="AN1325" s="59">
        <v>1</v>
      </c>
      <c r="AO1325" s="59">
        <v>0</v>
      </c>
      <c r="AP1325" s="59">
        <v>15</v>
      </c>
      <c r="AQ1325" s="59">
        <v>3</v>
      </c>
      <c r="AR1325" s="59">
        <v>2</v>
      </c>
      <c r="AS1325" s="59">
        <v>80</v>
      </c>
      <c r="AT1325" s="59">
        <v>1</v>
      </c>
      <c r="AU1325" s="59">
        <v>3</v>
      </c>
      <c r="AV1325" s="59">
        <v>2</v>
      </c>
      <c r="AW1325" s="59">
        <v>3</v>
      </c>
      <c r="AX1325" s="59">
        <v>3</v>
      </c>
      <c r="AY1325" s="59">
        <v>2</v>
      </c>
      <c r="AZ1325" s="59">
        <v>2</v>
      </c>
      <c r="BA1325" s="59">
        <v>2</v>
      </c>
      <c r="BB1325" s="57">
        <f t="shared" si="398"/>
        <v>2706</v>
      </c>
    </row>
    <row r="1326" spans="1:54" x14ac:dyDescent="0.25">
      <c r="A1326" s="58">
        <v>29</v>
      </c>
      <c r="B1326" s="59">
        <v>0</v>
      </c>
      <c r="C1326" s="59">
        <v>1</v>
      </c>
      <c r="D1326" s="59">
        <f t="shared" si="380"/>
        <v>1</v>
      </c>
      <c r="E1326" s="59">
        <f t="shared" si="381"/>
        <v>0</v>
      </c>
      <c r="F1326" s="59">
        <v>726</v>
      </c>
      <c r="G1326" s="59">
        <v>2</v>
      </c>
      <c r="H1326" s="59">
        <f t="shared" si="382"/>
        <v>0</v>
      </c>
      <c r="I1326" s="59">
        <f t="shared" si="383"/>
        <v>1</v>
      </c>
      <c r="J1326" s="59">
        <v>29</v>
      </c>
      <c r="K1326" s="59">
        <v>1</v>
      </c>
      <c r="L1326" s="59">
        <v>1</v>
      </c>
      <c r="M1326" s="59">
        <f t="shared" si="384"/>
        <v>1</v>
      </c>
      <c r="N1326" s="59">
        <f t="shared" si="385"/>
        <v>0</v>
      </c>
      <c r="O1326" s="59">
        <f t="shared" si="386"/>
        <v>0</v>
      </c>
      <c r="P1326" s="59">
        <f t="shared" si="387"/>
        <v>0</v>
      </c>
      <c r="Q1326" s="59">
        <f t="shared" si="388"/>
        <v>0</v>
      </c>
      <c r="R1326" s="59">
        <v>1</v>
      </c>
      <c r="S1326" s="59">
        <v>1859</v>
      </c>
      <c r="T1326" s="59">
        <v>4</v>
      </c>
      <c r="U1326" s="59">
        <v>1</v>
      </c>
      <c r="V1326" s="59">
        <v>93</v>
      </c>
      <c r="W1326" s="59">
        <v>1</v>
      </c>
      <c r="X1326" s="59">
        <v>2</v>
      </c>
      <c r="Y1326" s="59">
        <v>5</v>
      </c>
      <c r="Z1326" s="59">
        <f t="shared" si="389"/>
        <v>0</v>
      </c>
      <c r="AA1326" s="59">
        <f>IF('Updated Dummy'!Y1326=2,1,0)</f>
        <v>0</v>
      </c>
      <c r="AB1326" s="59">
        <f t="shared" si="390"/>
        <v>0</v>
      </c>
      <c r="AC1326" s="59">
        <f t="shared" si="391"/>
        <v>0</v>
      </c>
      <c r="AD1326" s="59">
        <f t="shared" si="392"/>
        <v>1</v>
      </c>
      <c r="AE1326" s="59">
        <f t="shared" si="393"/>
        <v>0</v>
      </c>
      <c r="AF1326" s="59">
        <f t="shared" si="394"/>
        <v>0</v>
      </c>
      <c r="AG1326" s="59">
        <f t="shared" si="395"/>
        <v>0</v>
      </c>
      <c r="AH1326" s="59">
        <v>3</v>
      </c>
      <c r="AI1326" s="59">
        <v>3</v>
      </c>
      <c r="AJ1326" s="59">
        <f t="shared" si="396"/>
        <v>0</v>
      </c>
      <c r="AK1326" s="59">
        <f t="shared" si="397"/>
        <v>0</v>
      </c>
      <c r="AL1326" s="59">
        <v>6384</v>
      </c>
      <c r="AM1326" s="59">
        <v>21143</v>
      </c>
      <c r="AN1326" s="59">
        <v>8</v>
      </c>
      <c r="AO1326" s="59">
        <v>0</v>
      </c>
      <c r="AP1326" s="59">
        <v>17</v>
      </c>
      <c r="AQ1326" s="59">
        <v>3</v>
      </c>
      <c r="AR1326" s="59">
        <v>4</v>
      </c>
      <c r="AS1326" s="59">
        <v>80</v>
      </c>
      <c r="AT1326" s="59">
        <v>2</v>
      </c>
      <c r="AU1326" s="59">
        <v>11</v>
      </c>
      <c r="AV1326" s="59">
        <v>3</v>
      </c>
      <c r="AW1326" s="59">
        <v>3</v>
      </c>
      <c r="AX1326" s="59">
        <v>7</v>
      </c>
      <c r="AY1326" s="59">
        <v>0</v>
      </c>
      <c r="AZ1326" s="59">
        <v>1</v>
      </c>
      <c r="BA1326" s="59">
        <v>6</v>
      </c>
      <c r="BB1326" s="57">
        <f t="shared" si="398"/>
        <v>12768</v>
      </c>
    </row>
    <row r="1327" spans="1:54" x14ac:dyDescent="0.25">
      <c r="A1327" s="58">
        <v>42</v>
      </c>
      <c r="B1327" s="59">
        <v>0</v>
      </c>
      <c r="C1327" s="59">
        <v>1</v>
      </c>
      <c r="D1327" s="59">
        <f t="shared" si="380"/>
        <v>1</v>
      </c>
      <c r="E1327" s="59">
        <f t="shared" si="381"/>
        <v>0</v>
      </c>
      <c r="F1327" s="59">
        <v>1142</v>
      </c>
      <c r="G1327" s="59">
        <v>2</v>
      </c>
      <c r="H1327" s="59">
        <f t="shared" si="382"/>
        <v>0</v>
      </c>
      <c r="I1327" s="59">
        <f t="shared" si="383"/>
        <v>1</v>
      </c>
      <c r="J1327" s="59">
        <v>8</v>
      </c>
      <c r="K1327" s="59">
        <v>3</v>
      </c>
      <c r="L1327" s="59">
        <v>1</v>
      </c>
      <c r="M1327" s="59">
        <f t="shared" si="384"/>
        <v>1</v>
      </c>
      <c r="N1327" s="59">
        <f t="shared" si="385"/>
        <v>0</v>
      </c>
      <c r="O1327" s="59">
        <f t="shared" si="386"/>
        <v>0</v>
      </c>
      <c r="P1327" s="59">
        <f t="shared" si="387"/>
        <v>0</v>
      </c>
      <c r="Q1327" s="59">
        <f t="shared" si="388"/>
        <v>0</v>
      </c>
      <c r="R1327" s="59">
        <v>1</v>
      </c>
      <c r="S1327" s="59">
        <v>1860</v>
      </c>
      <c r="T1327" s="59">
        <v>4</v>
      </c>
      <c r="U1327" s="59">
        <v>1</v>
      </c>
      <c r="V1327" s="59">
        <v>81</v>
      </c>
      <c r="W1327" s="59">
        <v>3</v>
      </c>
      <c r="X1327" s="59">
        <v>1</v>
      </c>
      <c r="Y1327" s="59">
        <v>3</v>
      </c>
      <c r="Z1327" s="59">
        <f t="shared" si="389"/>
        <v>0</v>
      </c>
      <c r="AA1327" s="59">
        <f>IF('Updated Dummy'!Y1327=2,1,0)</f>
        <v>0</v>
      </c>
      <c r="AB1327" s="59">
        <f t="shared" si="390"/>
        <v>1</v>
      </c>
      <c r="AC1327" s="59">
        <f t="shared" si="391"/>
        <v>0</v>
      </c>
      <c r="AD1327" s="59">
        <f t="shared" si="392"/>
        <v>0</v>
      </c>
      <c r="AE1327" s="59">
        <f t="shared" si="393"/>
        <v>0</v>
      </c>
      <c r="AF1327" s="59">
        <f t="shared" si="394"/>
        <v>0</v>
      </c>
      <c r="AG1327" s="59">
        <f t="shared" si="395"/>
        <v>0</v>
      </c>
      <c r="AH1327" s="59">
        <v>3</v>
      </c>
      <c r="AI1327" s="59">
        <v>1</v>
      </c>
      <c r="AJ1327" s="59">
        <f t="shared" si="396"/>
        <v>1</v>
      </c>
      <c r="AK1327" s="59">
        <f t="shared" si="397"/>
        <v>0</v>
      </c>
      <c r="AL1327" s="59">
        <v>3968</v>
      </c>
      <c r="AM1327" s="59">
        <v>13624</v>
      </c>
      <c r="AN1327" s="59">
        <v>4</v>
      </c>
      <c r="AO1327" s="59">
        <v>0</v>
      </c>
      <c r="AP1327" s="59">
        <v>13</v>
      </c>
      <c r="AQ1327" s="59">
        <v>3</v>
      </c>
      <c r="AR1327" s="59">
        <v>4</v>
      </c>
      <c r="AS1327" s="59">
        <v>80</v>
      </c>
      <c r="AT1327" s="59">
        <v>0</v>
      </c>
      <c r="AU1327" s="59">
        <v>8</v>
      </c>
      <c r="AV1327" s="59">
        <v>3</v>
      </c>
      <c r="AW1327" s="59">
        <v>3</v>
      </c>
      <c r="AX1327" s="59">
        <v>0</v>
      </c>
      <c r="AY1327" s="59">
        <v>0</v>
      </c>
      <c r="AZ1327" s="59">
        <v>0</v>
      </c>
      <c r="BA1327" s="59">
        <v>0</v>
      </c>
      <c r="BB1327" s="57">
        <f t="shared" si="398"/>
        <v>3968</v>
      </c>
    </row>
    <row r="1328" spans="1:54" x14ac:dyDescent="0.25">
      <c r="A1328" s="58">
        <v>32</v>
      </c>
      <c r="B1328" s="59">
        <v>1</v>
      </c>
      <c r="C1328" s="59">
        <v>1</v>
      </c>
      <c r="D1328" s="59">
        <f t="shared" si="380"/>
        <v>1</v>
      </c>
      <c r="E1328" s="59">
        <f t="shared" si="381"/>
        <v>0</v>
      </c>
      <c r="F1328" s="59">
        <v>414</v>
      </c>
      <c r="G1328" s="59">
        <v>1</v>
      </c>
      <c r="H1328" s="59">
        <f t="shared" si="382"/>
        <v>1</v>
      </c>
      <c r="I1328" s="59">
        <f t="shared" si="383"/>
        <v>0</v>
      </c>
      <c r="J1328" s="59">
        <v>2</v>
      </c>
      <c r="K1328" s="59">
        <v>4</v>
      </c>
      <c r="L1328" s="59">
        <v>4</v>
      </c>
      <c r="M1328" s="59">
        <f t="shared" si="384"/>
        <v>0</v>
      </c>
      <c r="N1328" s="59">
        <f t="shared" si="385"/>
        <v>0</v>
      </c>
      <c r="O1328" s="59">
        <f t="shared" si="386"/>
        <v>0</v>
      </c>
      <c r="P1328" s="59">
        <f t="shared" si="387"/>
        <v>1</v>
      </c>
      <c r="Q1328" s="59">
        <f t="shared" si="388"/>
        <v>0</v>
      </c>
      <c r="R1328" s="59">
        <v>1</v>
      </c>
      <c r="S1328" s="59">
        <v>1862</v>
      </c>
      <c r="T1328" s="59">
        <v>3</v>
      </c>
      <c r="U1328" s="59">
        <v>1</v>
      </c>
      <c r="V1328" s="59">
        <v>82</v>
      </c>
      <c r="W1328" s="59">
        <v>2</v>
      </c>
      <c r="X1328" s="59">
        <v>2</v>
      </c>
      <c r="Y1328" s="59">
        <v>1</v>
      </c>
      <c r="Z1328" s="59">
        <f t="shared" si="389"/>
        <v>1</v>
      </c>
      <c r="AA1328" s="59">
        <f>IF('Updated Dummy'!Y1328=2,1,0)</f>
        <v>0</v>
      </c>
      <c r="AB1328" s="59">
        <f t="shared" si="390"/>
        <v>0</v>
      </c>
      <c r="AC1328" s="59">
        <f t="shared" si="391"/>
        <v>0</v>
      </c>
      <c r="AD1328" s="59">
        <f t="shared" si="392"/>
        <v>0</v>
      </c>
      <c r="AE1328" s="59">
        <f t="shared" si="393"/>
        <v>0</v>
      </c>
      <c r="AF1328" s="59">
        <f t="shared" si="394"/>
        <v>0</v>
      </c>
      <c r="AG1328" s="59">
        <f t="shared" si="395"/>
        <v>0</v>
      </c>
      <c r="AH1328" s="59">
        <v>2</v>
      </c>
      <c r="AI1328" s="59">
        <v>1</v>
      </c>
      <c r="AJ1328" s="59">
        <f t="shared" si="396"/>
        <v>1</v>
      </c>
      <c r="AK1328" s="59">
        <f t="shared" si="397"/>
        <v>0</v>
      </c>
      <c r="AL1328" s="59">
        <v>9907</v>
      </c>
      <c r="AM1328" s="59">
        <v>26186</v>
      </c>
      <c r="AN1328" s="59">
        <v>7</v>
      </c>
      <c r="AO1328" s="59">
        <v>1</v>
      </c>
      <c r="AP1328" s="59">
        <v>12</v>
      </c>
      <c r="AQ1328" s="59">
        <v>3</v>
      </c>
      <c r="AR1328" s="59">
        <v>3</v>
      </c>
      <c r="AS1328" s="59">
        <v>80</v>
      </c>
      <c r="AT1328" s="59">
        <v>0</v>
      </c>
      <c r="AU1328" s="59">
        <v>7</v>
      </c>
      <c r="AV1328" s="59">
        <v>3</v>
      </c>
      <c r="AW1328" s="59">
        <v>2</v>
      </c>
      <c r="AX1328" s="59">
        <v>2</v>
      </c>
      <c r="AY1328" s="59">
        <v>2</v>
      </c>
      <c r="AZ1328" s="59">
        <v>2</v>
      </c>
      <c r="BA1328" s="59">
        <v>2</v>
      </c>
      <c r="BB1328" s="57">
        <f t="shared" si="398"/>
        <v>19814</v>
      </c>
    </row>
    <row r="1329" spans="1:54" x14ac:dyDescent="0.25">
      <c r="A1329" s="58">
        <v>46</v>
      </c>
      <c r="B1329" s="59">
        <v>0</v>
      </c>
      <c r="C1329" s="59">
        <v>1</v>
      </c>
      <c r="D1329" s="59">
        <f t="shared" si="380"/>
        <v>1</v>
      </c>
      <c r="E1329" s="59">
        <f t="shared" si="381"/>
        <v>0</v>
      </c>
      <c r="F1329" s="59">
        <v>1319</v>
      </c>
      <c r="G1329" s="59">
        <v>1</v>
      </c>
      <c r="H1329" s="59">
        <f t="shared" si="382"/>
        <v>1</v>
      </c>
      <c r="I1329" s="59">
        <f t="shared" si="383"/>
        <v>0</v>
      </c>
      <c r="J1329" s="59">
        <v>3</v>
      </c>
      <c r="K1329" s="59">
        <v>3</v>
      </c>
      <c r="L1329" s="59">
        <v>5</v>
      </c>
      <c r="M1329" s="59">
        <f t="shared" si="384"/>
        <v>0</v>
      </c>
      <c r="N1329" s="59">
        <f t="shared" si="385"/>
        <v>0</v>
      </c>
      <c r="O1329" s="59">
        <f t="shared" si="386"/>
        <v>0</v>
      </c>
      <c r="P1329" s="59">
        <f t="shared" si="387"/>
        <v>0</v>
      </c>
      <c r="Q1329" s="59">
        <f t="shared" si="388"/>
        <v>1</v>
      </c>
      <c r="R1329" s="59">
        <v>1</v>
      </c>
      <c r="S1329" s="59">
        <v>1863</v>
      </c>
      <c r="T1329" s="59">
        <v>1</v>
      </c>
      <c r="U1329" s="59">
        <v>0</v>
      </c>
      <c r="V1329" s="59">
        <v>45</v>
      </c>
      <c r="W1329" s="59">
        <v>4</v>
      </c>
      <c r="X1329" s="59">
        <v>4</v>
      </c>
      <c r="Y1329" s="59">
        <v>1</v>
      </c>
      <c r="Z1329" s="59">
        <f t="shared" si="389"/>
        <v>1</v>
      </c>
      <c r="AA1329" s="59">
        <f>IF('Updated Dummy'!Y1329=2,1,0)</f>
        <v>0</v>
      </c>
      <c r="AB1329" s="59">
        <f t="shared" si="390"/>
        <v>0</v>
      </c>
      <c r="AC1329" s="59">
        <f t="shared" si="391"/>
        <v>0</v>
      </c>
      <c r="AD1329" s="59">
        <f t="shared" si="392"/>
        <v>0</v>
      </c>
      <c r="AE1329" s="59">
        <f t="shared" si="393"/>
        <v>0</v>
      </c>
      <c r="AF1329" s="59">
        <f t="shared" si="394"/>
        <v>0</v>
      </c>
      <c r="AG1329" s="59">
        <f t="shared" si="395"/>
        <v>0</v>
      </c>
      <c r="AH1329" s="59">
        <v>1</v>
      </c>
      <c r="AI1329" s="59">
        <v>3</v>
      </c>
      <c r="AJ1329" s="59">
        <f t="shared" si="396"/>
        <v>0</v>
      </c>
      <c r="AK1329" s="59">
        <f t="shared" si="397"/>
        <v>0</v>
      </c>
      <c r="AL1329" s="59">
        <v>13225</v>
      </c>
      <c r="AM1329" s="59">
        <v>7739</v>
      </c>
      <c r="AN1329" s="59">
        <v>2</v>
      </c>
      <c r="AO1329" s="59">
        <v>0</v>
      </c>
      <c r="AP1329" s="59">
        <v>12</v>
      </c>
      <c r="AQ1329" s="59">
        <v>3</v>
      </c>
      <c r="AR1329" s="59">
        <v>4</v>
      </c>
      <c r="AS1329" s="59">
        <v>80</v>
      </c>
      <c r="AT1329" s="59">
        <v>1</v>
      </c>
      <c r="AU1329" s="59">
        <v>25</v>
      </c>
      <c r="AV1329" s="59">
        <v>5</v>
      </c>
      <c r="AW1329" s="59">
        <v>3</v>
      </c>
      <c r="AX1329" s="59">
        <v>19</v>
      </c>
      <c r="AY1329" s="59">
        <v>17</v>
      </c>
      <c r="AZ1329" s="59">
        <v>2</v>
      </c>
      <c r="BA1329" s="59">
        <v>8</v>
      </c>
      <c r="BB1329" s="57">
        <f t="shared" si="398"/>
        <v>52900</v>
      </c>
    </row>
    <row r="1330" spans="1:54" x14ac:dyDescent="0.25">
      <c r="A1330" s="58">
        <v>27</v>
      </c>
      <c r="B1330" s="59">
        <v>0</v>
      </c>
      <c r="C1330" s="59">
        <v>1</v>
      </c>
      <c r="D1330" s="59">
        <f t="shared" si="380"/>
        <v>1</v>
      </c>
      <c r="E1330" s="59">
        <f t="shared" si="381"/>
        <v>0</v>
      </c>
      <c r="F1330" s="59">
        <v>728</v>
      </c>
      <c r="G1330" s="59">
        <v>1</v>
      </c>
      <c r="H1330" s="59">
        <f t="shared" si="382"/>
        <v>1</v>
      </c>
      <c r="I1330" s="59">
        <f t="shared" si="383"/>
        <v>0</v>
      </c>
      <c r="J1330" s="59">
        <v>23</v>
      </c>
      <c r="K1330" s="59">
        <v>1</v>
      </c>
      <c r="L1330" s="59">
        <v>3</v>
      </c>
      <c r="M1330" s="59">
        <f t="shared" si="384"/>
        <v>0</v>
      </c>
      <c r="N1330" s="59">
        <f t="shared" si="385"/>
        <v>0</v>
      </c>
      <c r="O1330" s="59">
        <f t="shared" si="386"/>
        <v>1</v>
      </c>
      <c r="P1330" s="59">
        <f t="shared" si="387"/>
        <v>0</v>
      </c>
      <c r="Q1330" s="59">
        <f t="shared" si="388"/>
        <v>0</v>
      </c>
      <c r="R1330" s="59">
        <v>1</v>
      </c>
      <c r="S1330" s="59">
        <v>1864</v>
      </c>
      <c r="T1330" s="59">
        <v>2</v>
      </c>
      <c r="U1330" s="59">
        <v>0</v>
      </c>
      <c r="V1330" s="59">
        <v>36</v>
      </c>
      <c r="W1330" s="59">
        <v>2</v>
      </c>
      <c r="X1330" s="59">
        <v>2</v>
      </c>
      <c r="Y1330" s="59">
        <v>7</v>
      </c>
      <c r="Z1330" s="59">
        <f t="shared" si="389"/>
        <v>0</v>
      </c>
      <c r="AA1330" s="59">
        <f>IF('Updated Dummy'!Y1330=2,1,0)</f>
        <v>0</v>
      </c>
      <c r="AB1330" s="59">
        <f t="shared" si="390"/>
        <v>0</v>
      </c>
      <c r="AC1330" s="59">
        <f t="shared" si="391"/>
        <v>0</v>
      </c>
      <c r="AD1330" s="59">
        <f t="shared" si="392"/>
        <v>0</v>
      </c>
      <c r="AE1330" s="59">
        <f t="shared" si="393"/>
        <v>0</v>
      </c>
      <c r="AF1330" s="59">
        <f t="shared" si="394"/>
        <v>1</v>
      </c>
      <c r="AG1330" s="59">
        <f t="shared" si="395"/>
        <v>0</v>
      </c>
      <c r="AH1330" s="59">
        <v>3</v>
      </c>
      <c r="AI1330" s="59">
        <v>2</v>
      </c>
      <c r="AJ1330" s="59">
        <f t="shared" si="396"/>
        <v>0</v>
      </c>
      <c r="AK1330" s="59">
        <f t="shared" si="397"/>
        <v>1</v>
      </c>
      <c r="AL1330" s="59">
        <v>3540</v>
      </c>
      <c r="AM1330" s="59">
        <v>7018</v>
      </c>
      <c r="AN1330" s="59">
        <v>1</v>
      </c>
      <c r="AO1330" s="59">
        <v>0</v>
      </c>
      <c r="AP1330" s="59">
        <v>21</v>
      </c>
      <c r="AQ1330" s="59">
        <v>4</v>
      </c>
      <c r="AR1330" s="59">
        <v>4</v>
      </c>
      <c r="AS1330" s="59">
        <v>80</v>
      </c>
      <c r="AT1330" s="59">
        <v>1</v>
      </c>
      <c r="AU1330" s="59">
        <v>9</v>
      </c>
      <c r="AV1330" s="59">
        <v>5</v>
      </c>
      <c r="AW1330" s="59">
        <v>3</v>
      </c>
      <c r="AX1330" s="59">
        <v>9</v>
      </c>
      <c r="AY1330" s="59">
        <v>8</v>
      </c>
      <c r="AZ1330" s="59">
        <v>5</v>
      </c>
      <c r="BA1330" s="59">
        <v>8</v>
      </c>
      <c r="BB1330" s="57">
        <f t="shared" si="398"/>
        <v>7080</v>
      </c>
    </row>
    <row r="1331" spans="1:54" x14ac:dyDescent="0.25">
      <c r="A1331" s="58">
        <v>29</v>
      </c>
      <c r="B1331" s="59">
        <v>0</v>
      </c>
      <c r="C1331" s="59">
        <v>1</v>
      </c>
      <c r="D1331" s="59">
        <f t="shared" si="380"/>
        <v>1</v>
      </c>
      <c r="E1331" s="59">
        <f t="shared" si="381"/>
        <v>0</v>
      </c>
      <c r="F1331" s="59">
        <v>352</v>
      </c>
      <c r="G1331" s="59">
        <v>3</v>
      </c>
      <c r="H1331" s="59">
        <f t="shared" si="382"/>
        <v>0</v>
      </c>
      <c r="I1331" s="59">
        <f t="shared" si="383"/>
        <v>0</v>
      </c>
      <c r="J1331" s="59">
        <v>6</v>
      </c>
      <c r="K1331" s="59">
        <v>1</v>
      </c>
      <c r="L1331" s="59">
        <v>3</v>
      </c>
      <c r="M1331" s="59">
        <f t="shared" si="384"/>
        <v>0</v>
      </c>
      <c r="N1331" s="59">
        <f t="shared" si="385"/>
        <v>0</v>
      </c>
      <c r="O1331" s="59">
        <f t="shared" si="386"/>
        <v>1</v>
      </c>
      <c r="P1331" s="59">
        <f t="shared" si="387"/>
        <v>0</v>
      </c>
      <c r="Q1331" s="59">
        <f t="shared" si="388"/>
        <v>0</v>
      </c>
      <c r="R1331" s="59">
        <v>1</v>
      </c>
      <c r="S1331" s="59">
        <v>1865</v>
      </c>
      <c r="T1331" s="59">
        <v>4</v>
      </c>
      <c r="U1331" s="59">
        <v>1</v>
      </c>
      <c r="V1331" s="59">
        <v>87</v>
      </c>
      <c r="W1331" s="59">
        <v>2</v>
      </c>
      <c r="X1331" s="59">
        <v>1</v>
      </c>
      <c r="Y1331" s="59">
        <v>9</v>
      </c>
      <c r="Z1331" s="59">
        <f t="shared" si="389"/>
        <v>0</v>
      </c>
      <c r="AA1331" s="59">
        <f>IF('Updated Dummy'!Y1331=2,1,0)</f>
        <v>0</v>
      </c>
      <c r="AB1331" s="59">
        <f t="shared" si="390"/>
        <v>0</v>
      </c>
      <c r="AC1331" s="59">
        <f t="shared" si="391"/>
        <v>0</v>
      </c>
      <c r="AD1331" s="59">
        <f t="shared" si="392"/>
        <v>0</v>
      </c>
      <c r="AE1331" s="59">
        <f t="shared" si="393"/>
        <v>0</v>
      </c>
      <c r="AF1331" s="59">
        <f t="shared" si="394"/>
        <v>0</v>
      </c>
      <c r="AG1331" s="59">
        <f t="shared" si="395"/>
        <v>0</v>
      </c>
      <c r="AH1331" s="59">
        <v>2</v>
      </c>
      <c r="AI1331" s="59">
        <v>2</v>
      </c>
      <c r="AJ1331" s="59">
        <f t="shared" si="396"/>
        <v>0</v>
      </c>
      <c r="AK1331" s="59">
        <f t="shared" si="397"/>
        <v>1</v>
      </c>
      <c r="AL1331" s="59">
        <v>2804</v>
      </c>
      <c r="AM1331" s="59">
        <v>15434</v>
      </c>
      <c r="AN1331" s="59">
        <v>1</v>
      </c>
      <c r="AO1331" s="59">
        <v>0</v>
      </c>
      <c r="AP1331" s="59">
        <v>11</v>
      </c>
      <c r="AQ1331" s="59">
        <v>3</v>
      </c>
      <c r="AR1331" s="59">
        <v>4</v>
      </c>
      <c r="AS1331" s="59">
        <v>80</v>
      </c>
      <c r="AT1331" s="59">
        <v>0</v>
      </c>
      <c r="AU1331" s="59">
        <v>1</v>
      </c>
      <c r="AV1331" s="59">
        <v>3</v>
      </c>
      <c r="AW1331" s="59">
        <v>3</v>
      </c>
      <c r="AX1331" s="59">
        <v>1</v>
      </c>
      <c r="AY1331" s="59">
        <v>0</v>
      </c>
      <c r="AZ1331" s="59">
        <v>0</v>
      </c>
      <c r="BA1331" s="59">
        <v>0</v>
      </c>
      <c r="BB1331" s="57">
        <f t="shared" si="398"/>
        <v>2804</v>
      </c>
    </row>
    <row r="1332" spans="1:54" x14ac:dyDescent="0.25">
      <c r="A1332" s="58">
        <v>43</v>
      </c>
      <c r="B1332" s="59">
        <v>0</v>
      </c>
      <c r="C1332" s="59">
        <v>1</v>
      </c>
      <c r="D1332" s="59">
        <f t="shared" si="380"/>
        <v>1</v>
      </c>
      <c r="E1332" s="59">
        <f t="shared" si="381"/>
        <v>0</v>
      </c>
      <c r="F1332" s="59">
        <v>823</v>
      </c>
      <c r="G1332" s="59">
        <v>2</v>
      </c>
      <c r="H1332" s="59">
        <f t="shared" si="382"/>
        <v>0</v>
      </c>
      <c r="I1332" s="59">
        <f t="shared" si="383"/>
        <v>1</v>
      </c>
      <c r="J1332" s="59">
        <v>6</v>
      </c>
      <c r="K1332" s="59">
        <v>3</v>
      </c>
      <c r="L1332" s="59">
        <v>3</v>
      </c>
      <c r="M1332" s="59">
        <f t="shared" si="384"/>
        <v>0</v>
      </c>
      <c r="N1332" s="59">
        <f t="shared" si="385"/>
        <v>0</v>
      </c>
      <c r="O1332" s="59">
        <f t="shared" si="386"/>
        <v>1</v>
      </c>
      <c r="P1332" s="59">
        <f t="shared" si="387"/>
        <v>0</v>
      </c>
      <c r="Q1332" s="59">
        <f t="shared" si="388"/>
        <v>0</v>
      </c>
      <c r="R1332" s="59">
        <v>1</v>
      </c>
      <c r="S1332" s="59">
        <v>1866</v>
      </c>
      <c r="T1332" s="59">
        <v>1</v>
      </c>
      <c r="U1332" s="59">
        <v>0</v>
      </c>
      <c r="V1332" s="59">
        <v>81</v>
      </c>
      <c r="W1332" s="59">
        <v>2</v>
      </c>
      <c r="X1332" s="59">
        <v>5</v>
      </c>
      <c r="Y1332" s="59">
        <v>6</v>
      </c>
      <c r="Z1332" s="59">
        <f t="shared" si="389"/>
        <v>0</v>
      </c>
      <c r="AA1332" s="59">
        <f>IF('Updated Dummy'!Y1332=2,1,0)</f>
        <v>0</v>
      </c>
      <c r="AB1332" s="59">
        <f t="shared" si="390"/>
        <v>0</v>
      </c>
      <c r="AC1332" s="59">
        <f t="shared" si="391"/>
        <v>0</v>
      </c>
      <c r="AD1332" s="59">
        <f t="shared" si="392"/>
        <v>0</v>
      </c>
      <c r="AE1332" s="59">
        <f t="shared" si="393"/>
        <v>1</v>
      </c>
      <c r="AF1332" s="59">
        <f t="shared" si="394"/>
        <v>0</v>
      </c>
      <c r="AG1332" s="59">
        <f t="shared" si="395"/>
        <v>0</v>
      </c>
      <c r="AH1332" s="59">
        <v>3</v>
      </c>
      <c r="AI1332" s="59">
        <v>2</v>
      </c>
      <c r="AJ1332" s="59">
        <f t="shared" si="396"/>
        <v>0</v>
      </c>
      <c r="AK1332" s="59">
        <f t="shared" si="397"/>
        <v>1</v>
      </c>
      <c r="AL1332" s="59">
        <v>19392</v>
      </c>
      <c r="AM1332" s="59">
        <v>22539</v>
      </c>
      <c r="AN1332" s="59">
        <v>7</v>
      </c>
      <c r="AO1332" s="59">
        <v>0</v>
      </c>
      <c r="AP1332" s="59">
        <v>13</v>
      </c>
      <c r="AQ1332" s="59">
        <v>3</v>
      </c>
      <c r="AR1332" s="59">
        <v>4</v>
      </c>
      <c r="AS1332" s="59">
        <v>80</v>
      </c>
      <c r="AT1332" s="59">
        <v>0</v>
      </c>
      <c r="AU1332" s="59">
        <v>21</v>
      </c>
      <c r="AV1332" s="59">
        <v>2</v>
      </c>
      <c r="AW1332" s="59">
        <v>3</v>
      </c>
      <c r="AX1332" s="59">
        <v>16</v>
      </c>
      <c r="AY1332" s="59">
        <v>12</v>
      </c>
      <c r="AZ1332" s="59">
        <v>6</v>
      </c>
      <c r="BA1332" s="59">
        <v>14</v>
      </c>
      <c r="BB1332" s="57">
        <f t="shared" si="398"/>
        <v>96960</v>
      </c>
    </row>
    <row r="1333" spans="1:54" x14ac:dyDescent="0.25">
      <c r="A1333" s="58">
        <v>48</v>
      </c>
      <c r="B1333" s="59">
        <v>0</v>
      </c>
      <c r="C1333" s="59">
        <v>1</v>
      </c>
      <c r="D1333" s="59">
        <f t="shared" si="380"/>
        <v>1</v>
      </c>
      <c r="E1333" s="59">
        <f t="shared" si="381"/>
        <v>0</v>
      </c>
      <c r="F1333" s="59">
        <v>1224</v>
      </c>
      <c r="G1333" s="59">
        <v>2</v>
      </c>
      <c r="H1333" s="59">
        <f t="shared" si="382"/>
        <v>0</v>
      </c>
      <c r="I1333" s="59">
        <f t="shared" si="383"/>
        <v>1</v>
      </c>
      <c r="J1333" s="59">
        <v>10</v>
      </c>
      <c r="K1333" s="59">
        <v>3</v>
      </c>
      <c r="L1333" s="59">
        <v>1</v>
      </c>
      <c r="M1333" s="59">
        <f t="shared" si="384"/>
        <v>1</v>
      </c>
      <c r="N1333" s="59">
        <f t="shared" si="385"/>
        <v>0</v>
      </c>
      <c r="O1333" s="59">
        <f t="shared" si="386"/>
        <v>0</v>
      </c>
      <c r="P1333" s="59">
        <f t="shared" si="387"/>
        <v>0</v>
      </c>
      <c r="Q1333" s="59">
        <f t="shared" si="388"/>
        <v>0</v>
      </c>
      <c r="R1333" s="59">
        <v>1</v>
      </c>
      <c r="S1333" s="59">
        <v>1867</v>
      </c>
      <c r="T1333" s="59">
        <v>4</v>
      </c>
      <c r="U1333" s="59">
        <v>1</v>
      </c>
      <c r="V1333" s="59">
        <v>91</v>
      </c>
      <c r="W1333" s="59">
        <v>2</v>
      </c>
      <c r="X1333" s="59">
        <v>5</v>
      </c>
      <c r="Y1333" s="59">
        <v>8</v>
      </c>
      <c r="Z1333" s="59">
        <f t="shared" si="389"/>
        <v>0</v>
      </c>
      <c r="AA1333" s="59">
        <f>IF('Updated Dummy'!Y1333=2,1,0)</f>
        <v>0</v>
      </c>
      <c r="AB1333" s="59">
        <f t="shared" si="390"/>
        <v>0</v>
      </c>
      <c r="AC1333" s="59">
        <f t="shared" si="391"/>
        <v>0</v>
      </c>
      <c r="AD1333" s="59">
        <f t="shared" si="392"/>
        <v>0</v>
      </c>
      <c r="AE1333" s="59">
        <f t="shared" si="393"/>
        <v>0</v>
      </c>
      <c r="AF1333" s="59">
        <f t="shared" si="394"/>
        <v>0</v>
      </c>
      <c r="AG1333" s="59">
        <f t="shared" si="395"/>
        <v>1</v>
      </c>
      <c r="AH1333" s="59">
        <v>2</v>
      </c>
      <c r="AI1333" s="59">
        <v>2</v>
      </c>
      <c r="AJ1333" s="59">
        <f t="shared" si="396"/>
        <v>0</v>
      </c>
      <c r="AK1333" s="59">
        <f t="shared" si="397"/>
        <v>1</v>
      </c>
      <c r="AL1333" s="59">
        <v>19665</v>
      </c>
      <c r="AM1333" s="59">
        <v>13583</v>
      </c>
      <c r="AN1333" s="59">
        <v>4</v>
      </c>
      <c r="AO1333" s="59">
        <v>0</v>
      </c>
      <c r="AP1333" s="59">
        <v>12</v>
      </c>
      <c r="AQ1333" s="59">
        <v>3</v>
      </c>
      <c r="AR1333" s="59">
        <v>4</v>
      </c>
      <c r="AS1333" s="59">
        <v>80</v>
      </c>
      <c r="AT1333" s="59">
        <v>0</v>
      </c>
      <c r="AU1333" s="59">
        <v>29</v>
      </c>
      <c r="AV1333" s="59">
        <v>3</v>
      </c>
      <c r="AW1333" s="59">
        <v>3</v>
      </c>
      <c r="AX1333" s="59">
        <v>22</v>
      </c>
      <c r="AY1333" s="59">
        <v>10</v>
      </c>
      <c r="AZ1333" s="59">
        <v>12</v>
      </c>
      <c r="BA1333" s="59">
        <v>9</v>
      </c>
      <c r="BB1333" s="57">
        <f t="shared" si="398"/>
        <v>98325</v>
      </c>
    </row>
    <row r="1334" spans="1:54" x14ac:dyDescent="0.25">
      <c r="A1334" s="58">
        <v>29</v>
      </c>
      <c r="B1334" s="59">
        <v>1</v>
      </c>
      <c r="C1334" s="59">
        <v>2</v>
      </c>
      <c r="D1334" s="59">
        <f t="shared" si="380"/>
        <v>0</v>
      </c>
      <c r="E1334" s="59">
        <f t="shared" si="381"/>
        <v>1</v>
      </c>
      <c r="F1334" s="59">
        <v>459</v>
      </c>
      <c r="G1334" s="59">
        <v>2</v>
      </c>
      <c r="H1334" s="59">
        <f t="shared" si="382"/>
        <v>0</v>
      </c>
      <c r="I1334" s="59">
        <f t="shared" si="383"/>
        <v>1</v>
      </c>
      <c r="J1334" s="59">
        <v>24</v>
      </c>
      <c r="K1334" s="59">
        <v>2</v>
      </c>
      <c r="L1334" s="59">
        <v>1</v>
      </c>
      <c r="M1334" s="59">
        <f t="shared" si="384"/>
        <v>1</v>
      </c>
      <c r="N1334" s="59">
        <f t="shared" si="385"/>
        <v>0</v>
      </c>
      <c r="O1334" s="59">
        <f t="shared" si="386"/>
        <v>0</v>
      </c>
      <c r="P1334" s="59">
        <f t="shared" si="387"/>
        <v>0</v>
      </c>
      <c r="Q1334" s="59">
        <f t="shared" si="388"/>
        <v>0</v>
      </c>
      <c r="R1334" s="59">
        <v>1</v>
      </c>
      <c r="S1334" s="59">
        <v>1868</v>
      </c>
      <c r="T1334" s="59">
        <v>4</v>
      </c>
      <c r="U1334" s="59">
        <v>1</v>
      </c>
      <c r="V1334" s="59">
        <v>73</v>
      </c>
      <c r="W1334" s="59">
        <v>2</v>
      </c>
      <c r="X1334" s="59">
        <v>1</v>
      </c>
      <c r="Y1334" s="59">
        <v>2</v>
      </c>
      <c r="Z1334" s="59">
        <f t="shared" si="389"/>
        <v>0</v>
      </c>
      <c r="AA1334" s="59">
        <f>IF('Updated Dummy'!Y1334=2,1,0)</f>
        <v>1</v>
      </c>
      <c r="AB1334" s="59">
        <f t="shared" si="390"/>
        <v>0</v>
      </c>
      <c r="AC1334" s="59">
        <f t="shared" si="391"/>
        <v>0</v>
      </c>
      <c r="AD1334" s="59">
        <f t="shared" si="392"/>
        <v>0</v>
      </c>
      <c r="AE1334" s="59">
        <f t="shared" si="393"/>
        <v>0</v>
      </c>
      <c r="AF1334" s="59">
        <f t="shared" si="394"/>
        <v>0</v>
      </c>
      <c r="AG1334" s="59">
        <f t="shared" si="395"/>
        <v>0</v>
      </c>
      <c r="AH1334" s="59">
        <v>4</v>
      </c>
      <c r="AI1334" s="59">
        <v>1</v>
      </c>
      <c r="AJ1334" s="59">
        <f t="shared" si="396"/>
        <v>1</v>
      </c>
      <c r="AK1334" s="59">
        <f t="shared" si="397"/>
        <v>0</v>
      </c>
      <c r="AL1334" s="59">
        <v>2439</v>
      </c>
      <c r="AM1334" s="59">
        <v>14753</v>
      </c>
      <c r="AN1334" s="59">
        <v>1</v>
      </c>
      <c r="AO1334" s="59">
        <v>1</v>
      </c>
      <c r="AP1334" s="59">
        <v>24</v>
      </c>
      <c r="AQ1334" s="59">
        <v>4</v>
      </c>
      <c r="AR1334" s="59">
        <v>2</v>
      </c>
      <c r="AS1334" s="59">
        <v>80</v>
      </c>
      <c r="AT1334" s="59">
        <v>0</v>
      </c>
      <c r="AU1334" s="59">
        <v>1</v>
      </c>
      <c r="AV1334" s="59">
        <v>3</v>
      </c>
      <c r="AW1334" s="59">
        <v>2</v>
      </c>
      <c r="AX1334" s="59">
        <v>1</v>
      </c>
      <c r="AY1334" s="59">
        <v>0</v>
      </c>
      <c r="AZ1334" s="59">
        <v>1</v>
      </c>
      <c r="BA1334" s="59">
        <v>0</v>
      </c>
      <c r="BB1334" s="57">
        <f t="shared" si="398"/>
        <v>2439</v>
      </c>
    </row>
    <row r="1335" spans="1:54" x14ac:dyDescent="0.25">
      <c r="A1335" s="58">
        <v>46</v>
      </c>
      <c r="B1335" s="59">
        <v>1</v>
      </c>
      <c r="C1335" s="59">
        <v>1</v>
      </c>
      <c r="D1335" s="59">
        <f t="shared" si="380"/>
        <v>1</v>
      </c>
      <c r="E1335" s="59">
        <f t="shared" si="381"/>
        <v>0</v>
      </c>
      <c r="F1335" s="59">
        <v>1254</v>
      </c>
      <c r="G1335" s="59">
        <v>1</v>
      </c>
      <c r="H1335" s="59">
        <f t="shared" si="382"/>
        <v>1</v>
      </c>
      <c r="I1335" s="59">
        <f t="shared" si="383"/>
        <v>0</v>
      </c>
      <c r="J1335" s="59">
        <v>10</v>
      </c>
      <c r="K1335" s="59">
        <v>3</v>
      </c>
      <c r="L1335" s="59">
        <v>1</v>
      </c>
      <c r="M1335" s="59">
        <f t="shared" si="384"/>
        <v>1</v>
      </c>
      <c r="N1335" s="59">
        <f t="shared" si="385"/>
        <v>0</v>
      </c>
      <c r="O1335" s="59">
        <f t="shared" si="386"/>
        <v>0</v>
      </c>
      <c r="P1335" s="59">
        <f t="shared" si="387"/>
        <v>0</v>
      </c>
      <c r="Q1335" s="59">
        <f t="shared" si="388"/>
        <v>0</v>
      </c>
      <c r="R1335" s="59">
        <v>1</v>
      </c>
      <c r="S1335" s="59">
        <v>1869</v>
      </c>
      <c r="T1335" s="59">
        <v>3</v>
      </c>
      <c r="U1335" s="59">
        <v>0</v>
      </c>
      <c r="V1335" s="59">
        <v>64</v>
      </c>
      <c r="W1335" s="59">
        <v>3</v>
      </c>
      <c r="X1335" s="59">
        <v>3</v>
      </c>
      <c r="Y1335" s="59">
        <v>1</v>
      </c>
      <c r="Z1335" s="59">
        <f t="shared" si="389"/>
        <v>1</v>
      </c>
      <c r="AA1335" s="59">
        <f>IF('Updated Dummy'!Y1335=2,1,0)</f>
        <v>0</v>
      </c>
      <c r="AB1335" s="59">
        <f t="shared" si="390"/>
        <v>0</v>
      </c>
      <c r="AC1335" s="59">
        <f t="shared" si="391"/>
        <v>0</v>
      </c>
      <c r="AD1335" s="59">
        <f t="shared" si="392"/>
        <v>0</v>
      </c>
      <c r="AE1335" s="59">
        <f t="shared" si="393"/>
        <v>0</v>
      </c>
      <c r="AF1335" s="59">
        <f t="shared" si="394"/>
        <v>0</v>
      </c>
      <c r="AG1335" s="59">
        <f t="shared" si="395"/>
        <v>0</v>
      </c>
      <c r="AH1335" s="59">
        <v>2</v>
      </c>
      <c r="AI1335" s="59">
        <v>2</v>
      </c>
      <c r="AJ1335" s="59">
        <f t="shared" si="396"/>
        <v>0</v>
      </c>
      <c r="AK1335" s="59">
        <f t="shared" si="397"/>
        <v>1</v>
      </c>
      <c r="AL1335" s="59">
        <v>7314</v>
      </c>
      <c r="AM1335" s="59">
        <v>14011</v>
      </c>
      <c r="AN1335" s="59">
        <v>5</v>
      </c>
      <c r="AO1335" s="59">
        <v>0</v>
      </c>
      <c r="AP1335" s="59">
        <v>21</v>
      </c>
      <c r="AQ1335" s="59">
        <v>4</v>
      </c>
      <c r="AR1335" s="59">
        <v>3</v>
      </c>
      <c r="AS1335" s="59">
        <v>80</v>
      </c>
      <c r="AT1335" s="59">
        <v>3</v>
      </c>
      <c r="AU1335" s="59">
        <v>14</v>
      </c>
      <c r="AV1335" s="59">
        <v>2</v>
      </c>
      <c r="AW1335" s="59">
        <v>3</v>
      </c>
      <c r="AX1335" s="59">
        <v>8</v>
      </c>
      <c r="AY1335" s="59">
        <v>7</v>
      </c>
      <c r="AZ1335" s="59">
        <v>0</v>
      </c>
      <c r="BA1335" s="59">
        <v>7</v>
      </c>
      <c r="BB1335" s="57">
        <f t="shared" si="398"/>
        <v>21942</v>
      </c>
    </row>
    <row r="1336" spans="1:54" x14ac:dyDescent="0.25">
      <c r="A1336" s="58">
        <v>27</v>
      </c>
      <c r="B1336" s="59">
        <v>0</v>
      </c>
      <c r="C1336" s="59">
        <v>2</v>
      </c>
      <c r="D1336" s="59">
        <f t="shared" si="380"/>
        <v>0</v>
      </c>
      <c r="E1336" s="59">
        <f t="shared" si="381"/>
        <v>1</v>
      </c>
      <c r="F1336" s="59">
        <v>1131</v>
      </c>
      <c r="G1336" s="59">
        <v>2</v>
      </c>
      <c r="H1336" s="59">
        <f t="shared" si="382"/>
        <v>0</v>
      </c>
      <c r="I1336" s="59">
        <f t="shared" si="383"/>
        <v>1</v>
      </c>
      <c r="J1336" s="59">
        <v>15</v>
      </c>
      <c r="K1336" s="59">
        <v>3</v>
      </c>
      <c r="L1336" s="59">
        <v>1</v>
      </c>
      <c r="M1336" s="59">
        <f t="shared" si="384"/>
        <v>1</v>
      </c>
      <c r="N1336" s="59">
        <f t="shared" si="385"/>
        <v>0</v>
      </c>
      <c r="O1336" s="59">
        <f t="shared" si="386"/>
        <v>0</v>
      </c>
      <c r="P1336" s="59">
        <f t="shared" si="387"/>
        <v>0</v>
      </c>
      <c r="Q1336" s="59">
        <f t="shared" si="388"/>
        <v>0</v>
      </c>
      <c r="R1336" s="59">
        <v>1</v>
      </c>
      <c r="S1336" s="59">
        <v>1870</v>
      </c>
      <c r="T1336" s="59">
        <v>4</v>
      </c>
      <c r="U1336" s="59">
        <v>0</v>
      </c>
      <c r="V1336" s="59">
        <v>77</v>
      </c>
      <c r="W1336" s="59">
        <v>2</v>
      </c>
      <c r="X1336" s="59">
        <v>1</v>
      </c>
      <c r="Y1336" s="59">
        <v>2</v>
      </c>
      <c r="Z1336" s="59">
        <f t="shared" si="389"/>
        <v>0</v>
      </c>
      <c r="AA1336" s="59">
        <f>IF('Updated Dummy'!Y1336=2,1,0)</f>
        <v>1</v>
      </c>
      <c r="AB1336" s="59">
        <f t="shared" si="390"/>
        <v>0</v>
      </c>
      <c r="AC1336" s="59">
        <f t="shared" si="391"/>
        <v>0</v>
      </c>
      <c r="AD1336" s="59">
        <f t="shared" si="392"/>
        <v>0</v>
      </c>
      <c r="AE1336" s="59">
        <f t="shared" si="393"/>
        <v>0</v>
      </c>
      <c r="AF1336" s="59">
        <f t="shared" si="394"/>
        <v>0</v>
      </c>
      <c r="AG1336" s="59">
        <f t="shared" si="395"/>
        <v>0</v>
      </c>
      <c r="AH1336" s="59">
        <v>1</v>
      </c>
      <c r="AI1336" s="59">
        <v>2</v>
      </c>
      <c r="AJ1336" s="59">
        <f t="shared" si="396"/>
        <v>0</v>
      </c>
      <c r="AK1336" s="59">
        <f t="shared" si="397"/>
        <v>1</v>
      </c>
      <c r="AL1336" s="59">
        <v>4774</v>
      </c>
      <c r="AM1336" s="59">
        <v>23844</v>
      </c>
      <c r="AN1336" s="59">
        <v>0</v>
      </c>
      <c r="AO1336" s="59">
        <v>0</v>
      </c>
      <c r="AP1336" s="59">
        <v>19</v>
      </c>
      <c r="AQ1336" s="59">
        <v>3</v>
      </c>
      <c r="AR1336" s="59">
        <v>4</v>
      </c>
      <c r="AS1336" s="59">
        <v>80</v>
      </c>
      <c r="AT1336" s="59">
        <v>1</v>
      </c>
      <c r="AU1336" s="59">
        <v>8</v>
      </c>
      <c r="AV1336" s="59">
        <v>2</v>
      </c>
      <c r="AW1336" s="59">
        <v>2</v>
      </c>
      <c r="AX1336" s="59">
        <v>7</v>
      </c>
      <c r="AY1336" s="59">
        <v>6</v>
      </c>
      <c r="AZ1336" s="59">
        <v>7</v>
      </c>
      <c r="BA1336" s="59">
        <v>3</v>
      </c>
      <c r="BB1336" s="57">
        <f t="shared" si="398"/>
        <v>4774</v>
      </c>
    </row>
    <row r="1337" spans="1:54" x14ac:dyDescent="0.25">
      <c r="A1337" s="58">
        <v>39</v>
      </c>
      <c r="B1337" s="59">
        <v>0</v>
      </c>
      <c r="C1337" s="59">
        <v>1</v>
      </c>
      <c r="D1337" s="59">
        <f t="shared" si="380"/>
        <v>1</v>
      </c>
      <c r="E1337" s="59">
        <f t="shared" si="381"/>
        <v>0</v>
      </c>
      <c r="F1337" s="59">
        <v>835</v>
      </c>
      <c r="G1337" s="59">
        <v>2</v>
      </c>
      <c r="H1337" s="59">
        <f t="shared" si="382"/>
        <v>0</v>
      </c>
      <c r="I1337" s="59">
        <f t="shared" si="383"/>
        <v>1</v>
      </c>
      <c r="J1337" s="59">
        <v>19</v>
      </c>
      <c r="K1337" s="59">
        <v>4</v>
      </c>
      <c r="L1337" s="59">
        <v>6</v>
      </c>
      <c r="M1337" s="59">
        <f t="shared" si="384"/>
        <v>0</v>
      </c>
      <c r="N1337" s="59">
        <f t="shared" si="385"/>
        <v>0</v>
      </c>
      <c r="O1337" s="59">
        <f t="shared" si="386"/>
        <v>0</v>
      </c>
      <c r="P1337" s="59">
        <f t="shared" si="387"/>
        <v>0</v>
      </c>
      <c r="Q1337" s="59">
        <f t="shared" si="388"/>
        <v>0</v>
      </c>
      <c r="R1337" s="59">
        <v>1</v>
      </c>
      <c r="S1337" s="59">
        <v>1871</v>
      </c>
      <c r="T1337" s="59">
        <v>4</v>
      </c>
      <c r="U1337" s="59">
        <v>1</v>
      </c>
      <c r="V1337" s="59">
        <v>41</v>
      </c>
      <c r="W1337" s="59">
        <v>3</v>
      </c>
      <c r="X1337" s="59">
        <v>2</v>
      </c>
      <c r="Y1337" s="59">
        <v>2</v>
      </c>
      <c r="Z1337" s="59">
        <f t="shared" si="389"/>
        <v>0</v>
      </c>
      <c r="AA1337" s="59">
        <f>IF('Updated Dummy'!Y1337=2,1,0)</f>
        <v>1</v>
      </c>
      <c r="AB1337" s="59">
        <f t="shared" si="390"/>
        <v>0</v>
      </c>
      <c r="AC1337" s="59">
        <f t="shared" si="391"/>
        <v>0</v>
      </c>
      <c r="AD1337" s="59">
        <f t="shared" si="392"/>
        <v>0</v>
      </c>
      <c r="AE1337" s="59">
        <f t="shared" si="393"/>
        <v>0</v>
      </c>
      <c r="AF1337" s="59">
        <f t="shared" si="394"/>
        <v>0</v>
      </c>
      <c r="AG1337" s="59">
        <f t="shared" si="395"/>
        <v>0</v>
      </c>
      <c r="AH1337" s="59">
        <v>4</v>
      </c>
      <c r="AI1337" s="59">
        <v>3</v>
      </c>
      <c r="AJ1337" s="59">
        <f t="shared" si="396"/>
        <v>0</v>
      </c>
      <c r="AK1337" s="59">
        <f t="shared" si="397"/>
        <v>0</v>
      </c>
      <c r="AL1337" s="59">
        <v>3902</v>
      </c>
      <c r="AM1337" s="59">
        <v>5141</v>
      </c>
      <c r="AN1337" s="59">
        <v>8</v>
      </c>
      <c r="AO1337" s="59">
        <v>0</v>
      </c>
      <c r="AP1337" s="59">
        <v>14</v>
      </c>
      <c r="AQ1337" s="59">
        <v>3</v>
      </c>
      <c r="AR1337" s="59">
        <v>2</v>
      </c>
      <c r="AS1337" s="59">
        <v>80</v>
      </c>
      <c r="AT1337" s="59">
        <v>3</v>
      </c>
      <c r="AU1337" s="59">
        <v>7</v>
      </c>
      <c r="AV1337" s="59">
        <v>2</v>
      </c>
      <c r="AW1337" s="59">
        <v>3</v>
      </c>
      <c r="AX1337" s="59">
        <v>2</v>
      </c>
      <c r="AY1337" s="59">
        <v>2</v>
      </c>
      <c r="AZ1337" s="59">
        <v>2</v>
      </c>
      <c r="BA1337" s="59">
        <v>2</v>
      </c>
      <c r="BB1337" s="57">
        <f t="shared" si="398"/>
        <v>7804</v>
      </c>
    </row>
    <row r="1338" spans="1:54" x14ac:dyDescent="0.25">
      <c r="A1338" s="58">
        <v>55</v>
      </c>
      <c r="B1338" s="59">
        <v>0</v>
      </c>
      <c r="C1338" s="59">
        <v>1</v>
      </c>
      <c r="D1338" s="59">
        <f t="shared" si="380"/>
        <v>1</v>
      </c>
      <c r="E1338" s="59">
        <f t="shared" si="381"/>
        <v>0</v>
      </c>
      <c r="F1338" s="59">
        <v>836</v>
      </c>
      <c r="G1338" s="59">
        <v>2</v>
      </c>
      <c r="H1338" s="59">
        <f t="shared" si="382"/>
        <v>0</v>
      </c>
      <c r="I1338" s="59">
        <f t="shared" si="383"/>
        <v>1</v>
      </c>
      <c r="J1338" s="59">
        <v>2</v>
      </c>
      <c r="K1338" s="59">
        <v>4</v>
      </c>
      <c r="L1338" s="59">
        <v>5</v>
      </c>
      <c r="M1338" s="59">
        <f t="shared" si="384"/>
        <v>0</v>
      </c>
      <c r="N1338" s="59">
        <f t="shared" si="385"/>
        <v>0</v>
      </c>
      <c r="O1338" s="59">
        <f t="shared" si="386"/>
        <v>0</v>
      </c>
      <c r="P1338" s="59">
        <f t="shared" si="387"/>
        <v>0</v>
      </c>
      <c r="Q1338" s="59">
        <f t="shared" si="388"/>
        <v>1</v>
      </c>
      <c r="R1338" s="59">
        <v>1</v>
      </c>
      <c r="S1338" s="59">
        <v>1873</v>
      </c>
      <c r="T1338" s="59">
        <v>2</v>
      </c>
      <c r="U1338" s="59">
        <v>1</v>
      </c>
      <c r="V1338" s="59">
        <v>98</v>
      </c>
      <c r="W1338" s="59">
        <v>2</v>
      </c>
      <c r="X1338" s="59">
        <v>1</v>
      </c>
      <c r="Y1338" s="59">
        <v>2</v>
      </c>
      <c r="Z1338" s="59">
        <f t="shared" si="389"/>
        <v>0</v>
      </c>
      <c r="AA1338" s="59">
        <f>IF('Updated Dummy'!Y1338=2,1,0)</f>
        <v>1</v>
      </c>
      <c r="AB1338" s="59">
        <f t="shared" si="390"/>
        <v>0</v>
      </c>
      <c r="AC1338" s="59">
        <f t="shared" si="391"/>
        <v>0</v>
      </c>
      <c r="AD1338" s="59">
        <f t="shared" si="392"/>
        <v>0</v>
      </c>
      <c r="AE1338" s="59">
        <f t="shared" si="393"/>
        <v>0</v>
      </c>
      <c r="AF1338" s="59">
        <f t="shared" si="394"/>
        <v>0</v>
      </c>
      <c r="AG1338" s="59">
        <f t="shared" si="395"/>
        <v>0</v>
      </c>
      <c r="AH1338" s="59">
        <v>4</v>
      </c>
      <c r="AI1338" s="59">
        <v>2</v>
      </c>
      <c r="AJ1338" s="59">
        <f t="shared" si="396"/>
        <v>0</v>
      </c>
      <c r="AK1338" s="59">
        <f t="shared" si="397"/>
        <v>1</v>
      </c>
      <c r="AL1338" s="59">
        <v>2662</v>
      </c>
      <c r="AM1338" s="59">
        <v>7975</v>
      </c>
      <c r="AN1338" s="59">
        <v>8</v>
      </c>
      <c r="AO1338" s="59">
        <v>0</v>
      </c>
      <c r="AP1338" s="59">
        <v>20</v>
      </c>
      <c r="AQ1338" s="59">
        <v>4</v>
      </c>
      <c r="AR1338" s="59">
        <v>2</v>
      </c>
      <c r="AS1338" s="59">
        <v>80</v>
      </c>
      <c r="AT1338" s="59">
        <v>1</v>
      </c>
      <c r="AU1338" s="59">
        <v>19</v>
      </c>
      <c r="AV1338" s="59">
        <v>2</v>
      </c>
      <c r="AW1338" s="59">
        <v>4</v>
      </c>
      <c r="AX1338" s="59">
        <v>5</v>
      </c>
      <c r="AY1338" s="59">
        <v>2</v>
      </c>
      <c r="AZ1338" s="59">
        <v>0</v>
      </c>
      <c r="BA1338" s="59">
        <v>4</v>
      </c>
      <c r="BB1338" s="57">
        <f t="shared" si="398"/>
        <v>2662</v>
      </c>
    </row>
    <row r="1339" spans="1:54" x14ac:dyDescent="0.25">
      <c r="A1339" s="58">
        <v>28</v>
      </c>
      <c r="B1339" s="59">
        <v>0</v>
      </c>
      <c r="C1339" s="59">
        <v>1</v>
      </c>
      <c r="D1339" s="59">
        <f t="shared" si="380"/>
        <v>1</v>
      </c>
      <c r="E1339" s="59">
        <f t="shared" si="381"/>
        <v>0</v>
      </c>
      <c r="F1339" s="59">
        <v>1172</v>
      </c>
      <c r="G1339" s="59">
        <v>1</v>
      </c>
      <c r="H1339" s="59">
        <f t="shared" si="382"/>
        <v>1</v>
      </c>
      <c r="I1339" s="59">
        <f t="shared" si="383"/>
        <v>0</v>
      </c>
      <c r="J1339" s="59">
        <v>3</v>
      </c>
      <c r="K1339" s="59">
        <v>3</v>
      </c>
      <c r="L1339" s="59">
        <v>3</v>
      </c>
      <c r="M1339" s="59">
        <f t="shared" si="384"/>
        <v>0</v>
      </c>
      <c r="N1339" s="59">
        <f t="shared" si="385"/>
        <v>0</v>
      </c>
      <c r="O1339" s="59">
        <f t="shared" si="386"/>
        <v>1</v>
      </c>
      <c r="P1339" s="59">
        <f t="shared" si="387"/>
        <v>0</v>
      </c>
      <c r="Q1339" s="59">
        <f t="shared" si="388"/>
        <v>0</v>
      </c>
      <c r="R1339" s="59">
        <v>1</v>
      </c>
      <c r="S1339" s="59">
        <v>1875</v>
      </c>
      <c r="T1339" s="59">
        <v>2</v>
      </c>
      <c r="U1339" s="59">
        <v>0</v>
      </c>
      <c r="V1339" s="59">
        <v>78</v>
      </c>
      <c r="W1339" s="59">
        <v>3</v>
      </c>
      <c r="X1339" s="59">
        <v>1</v>
      </c>
      <c r="Y1339" s="59">
        <v>7</v>
      </c>
      <c r="Z1339" s="59">
        <f t="shared" si="389"/>
        <v>0</v>
      </c>
      <c r="AA1339" s="59">
        <f>IF('Updated Dummy'!Y1339=2,1,0)</f>
        <v>0</v>
      </c>
      <c r="AB1339" s="59">
        <f t="shared" si="390"/>
        <v>0</v>
      </c>
      <c r="AC1339" s="59">
        <f t="shared" si="391"/>
        <v>0</v>
      </c>
      <c r="AD1339" s="59">
        <f t="shared" si="392"/>
        <v>0</v>
      </c>
      <c r="AE1339" s="59">
        <f t="shared" si="393"/>
        <v>0</v>
      </c>
      <c r="AF1339" s="59">
        <f t="shared" si="394"/>
        <v>1</v>
      </c>
      <c r="AG1339" s="59">
        <f t="shared" si="395"/>
        <v>0</v>
      </c>
      <c r="AH1339" s="59">
        <v>2</v>
      </c>
      <c r="AI1339" s="59">
        <v>2</v>
      </c>
      <c r="AJ1339" s="59">
        <f t="shared" si="396"/>
        <v>0</v>
      </c>
      <c r="AK1339" s="59">
        <f t="shared" si="397"/>
        <v>1</v>
      </c>
      <c r="AL1339" s="59">
        <v>2856</v>
      </c>
      <c r="AM1339" s="59">
        <v>3692</v>
      </c>
      <c r="AN1339" s="59">
        <v>1</v>
      </c>
      <c r="AO1339" s="59">
        <v>0</v>
      </c>
      <c r="AP1339" s="59">
        <v>19</v>
      </c>
      <c r="AQ1339" s="59">
        <v>3</v>
      </c>
      <c r="AR1339" s="59">
        <v>4</v>
      </c>
      <c r="AS1339" s="59">
        <v>80</v>
      </c>
      <c r="AT1339" s="59">
        <v>1</v>
      </c>
      <c r="AU1339" s="59">
        <v>1</v>
      </c>
      <c r="AV1339" s="59">
        <v>3</v>
      </c>
      <c r="AW1339" s="59">
        <v>3</v>
      </c>
      <c r="AX1339" s="59">
        <v>1</v>
      </c>
      <c r="AY1339" s="59">
        <v>0</v>
      </c>
      <c r="AZ1339" s="59">
        <v>0</v>
      </c>
      <c r="BA1339" s="59">
        <v>0</v>
      </c>
      <c r="BB1339" s="57">
        <f t="shared" si="398"/>
        <v>2856</v>
      </c>
    </row>
    <row r="1340" spans="1:54" x14ac:dyDescent="0.25">
      <c r="A1340" s="58">
        <v>30</v>
      </c>
      <c r="B1340" s="59">
        <v>1</v>
      </c>
      <c r="C1340" s="59">
        <v>1</v>
      </c>
      <c r="D1340" s="59">
        <f t="shared" si="380"/>
        <v>1</v>
      </c>
      <c r="E1340" s="59">
        <f t="shared" si="381"/>
        <v>0</v>
      </c>
      <c r="F1340" s="59">
        <v>945</v>
      </c>
      <c r="G1340" s="59">
        <v>1</v>
      </c>
      <c r="H1340" s="59">
        <f t="shared" si="382"/>
        <v>1</v>
      </c>
      <c r="I1340" s="59">
        <f t="shared" si="383"/>
        <v>0</v>
      </c>
      <c r="J1340" s="59">
        <v>9</v>
      </c>
      <c r="K1340" s="59">
        <v>3</v>
      </c>
      <c r="L1340" s="59">
        <v>3</v>
      </c>
      <c r="M1340" s="59">
        <f t="shared" si="384"/>
        <v>0</v>
      </c>
      <c r="N1340" s="59">
        <f t="shared" si="385"/>
        <v>0</v>
      </c>
      <c r="O1340" s="59">
        <f t="shared" si="386"/>
        <v>1</v>
      </c>
      <c r="P1340" s="59">
        <f t="shared" si="387"/>
        <v>0</v>
      </c>
      <c r="Q1340" s="59">
        <f t="shared" si="388"/>
        <v>0</v>
      </c>
      <c r="R1340" s="59">
        <v>1</v>
      </c>
      <c r="S1340" s="59">
        <v>1876</v>
      </c>
      <c r="T1340" s="59">
        <v>2</v>
      </c>
      <c r="U1340" s="59">
        <v>1</v>
      </c>
      <c r="V1340" s="59">
        <v>89</v>
      </c>
      <c r="W1340" s="59">
        <v>3</v>
      </c>
      <c r="X1340" s="59">
        <v>1</v>
      </c>
      <c r="Y1340" s="59">
        <v>7</v>
      </c>
      <c r="Z1340" s="59">
        <f t="shared" si="389"/>
        <v>0</v>
      </c>
      <c r="AA1340" s="59">
        <f>IF('Updated Dummy'!Y1340=2,1,0)</f>
        <v>0</v>
      </c>
      <c r="AB1340" s="59">
        <f t="shared" si="390"/>
        <v>0</v>
      </c>
      <c r="AC1340" s="59">
        <f t="shared" si="391"/>
        <v>0</v>
      </c>
      <c r="AD1340" s="59">
        <f t="shared" si="392"/>
        <v>0</v>
      </c>
      <c r="AE1340" s="59">
        <f t="shared" si="393"/>
        <v>0</v>
      </c>
      <c r="AF1340" s="59">
        <f t="shared" si="394"/>
        <v>1</v>
      </c>
      <c r="AG1340" s="59">
        <f t="shared" si="395"/>
        <v>0</v>
      </c>
      <c r="AH1340" s="59">
        <v>4</v>
      </c>
      <c r="AI1340" s="59">
        <v>1</v>
      </c>
      <c r="AJ1340" s="59">
        <f t="shared" si="396"/>
        <v>1</v>
      </c>
      <c r="AK1340" s="59">
        <f t="shared" si="397"/>
        <v>0</v>
      </c>
      <c r="AL1340" s="59">
        <v>1081</v>
      </c>
      <c r="AM1340" s="59">
        <v>16019</v>
      </c>
      <c r="AN1340" s="59">
        <v>1</v>
      </c>
      <c r="AO1340" s="59">
        <v>0</v>
      </c>
      <c r="AP1340" s="59">
        <v>13</v>
      </c>
      <c r="AQ1340" s="59">
        <v>3</v>
      </c>
      <c r="AR1340" s="59">
        <v>3</v>
      </c>
      <c r="AS1340" s="59">
        <v>80</v>
      </c>
      <c r="AT1340" s="59">
        <v>0</v>
      </c>
      <c r="AU1340" s="59">
        <v>1</v>
      </c>
      <c r="AV1340" s="59">
        <v>3</v>
      </c>
      <c r="AW1340" s="59">
        <v>2</v>
      </c>
      <c r="AX1340" s="59">
        <v>1</v>
      </c>
      <c r="AY1340" s="59">
        <v>0</v>
      </c>
      <c r="AZ1340" s="59">
        <v>0</v>
      </c>
      <c r="BA1340" s="59">
        <v>0</v>
      </c>
      <c r="BB1340" s="57">
        <f t="shared" si="398"/>
        <v>1081</v>
      </c>
    </row>
    <row r="1341" spans="1:54" x14ac:dyDescent="0.25">
      <c r="A1341" s="58">
        <v>22</v>
      </c>
      <c r="B1341" s="59">
        <v>1</v>
      </c>
      <c r="C1341" s="59">
        <v>1</v>
      </c>
      <c r="D1341" s="59">
        <f t="shared" si="380"/>
        <v>1</v>
      </c>
      <c r="E1341" s="59">
        <f t="shared" si="381"/>
        <v>0</v>
      </c>
      <c r="F1341" s="59">
        <v>391</v>
      </c>
      <c r="G1341" s="59">
        <v>2</v>
      </c>
      <c r="H1341" s="59">
        <f t="shared" si="382"/>
        <v>0</v>
      </c>
      <c r="I1341" s="59">
        <f t="shared" si="383"/>
        <v>1</v>
      </c>
      <c r="J1341" s="59">
        <v>7</v>
      </c>
      <c r="K1341" s="59">
        <v>1</v>
      </c>
      <c r="L1341" s="59">
        <v>1</v>
      </c>
      <c r="M1341" s="59">
        <f t="shared" si="384"/>
        <v>1</v>
      </c>
      <c r="N1341" s="59">
        <f t="shared" si="385"/>
        <v>0</v>
      </c>
      <c r="O1341" s="59">
        <f t="shared" si="386"/>
        <v>0</v>
      </c>
      <c r="P1341" s="59">
        <f t="shared" si="387"/>
        <v>0</v>
      </c>
      <c r="Q1341" s="59">
        <f t="shared" si="388"/>
        <v>0</v>
      </c>
      <c r="R1341" s="59">
        <v>1</v>
      </c>
      <c r="S1341" s="59">
        <v>1878</v>
      </c>
      <c r="T1341" s="59">
        <v>4</v>
      </c>
      <c r="U1341" s="59">
        <v>1</v>
      </c>
      <c r="V1341" s="59">
        <v>75</v>
      </c>
      <c r="W1341" s="59">
        <v>3</v>
      </c>
      <c r="X1341" s="59">
        <v>1</v>
      </c>
      <c r="Y1341" s="59">
        <v>2</v>
      </c>
      <c r="Z1341" s="59">
        <f t="shared" si="389"/>
        <v>0</v>
      </c>
      <c r="AA1341" s="59">
        <f>IF('Updated Dummy'!Y1341=2,1,0)</f>
        <v>1</v>
      </c>
      <c r="AB1341" s="59">
        <f t="shared" si="390"/>
        <v>0</v>
      </c>
      <c r="AC1341" s="59">
        <f t="shared" si="391"/>
        <v>0</v>
      </c>
      <c r="AD1341" s="59">
        <f t="shared" si="392"/>
        <v>0</v>
      </c>
      <c r="AE1341" s="59">
        <f t="shared" si="393"/>
        <v>0</v>
      </c>
      <c r="AF1341" s="59">
        <f t="shared" si="394"/>
        <v>0</v>
      </c>
      <c r="AG1341" s="59">
        <f t="shared" si="395"/>
        <v>0</v>
      </c>
      <c r="AH1341" s="59">
        <v>2</v>
      </c>
      <c r="AI1341" s="59">
        <v>1</v>
      </c>
      <c r="AJ1341" s="59">
        <f t="shared" si="396"/>
        <v>1</v>
      </c>
      <c r="AK1341" s="59">
        <f t="shared" si="397"/>
        <v>0</v>
      </c>
      <c r="AL1341" s="59">
        <v>2472</v>
      </c>
      <c r="AM1341" s="59">
        <v>26092</v>
      </c>
      <c r="AN1341" s="59">
        <v>1</v>
      </c>
      <c r="AO1341" s="59">
        <v>1</v>
      </c>
      <c r="AP1341" s="59">
        <v>23</v>
      </c>
      <c r="AQ1341" s="59">
        <v>4</v>
      </c>
      <c r="AR1341" s="59">
        <v>1</v>
      </c>
      <c r="AS1341" s="59">
        <v>80</v>
      </c>
      <c r="AT1341" s="59">
        <v>0</v>
      </c>
      <c r="AU1341" s="59">
        <v>1</v>
      </c>
      <c r="AV1341" s="59">
        <v>2</v>
      </c>
      <c r="AW1341" s="59">
        <v>3</v>
      </c>
      <c r="AX1341" s="59">
        <v>1</v>
      </c>
      <c r="AY1341" s="59">
        <v>0</v>
      </c>
      <c r="AZ1341" s="59">
        <v>0</v>
      </c>
      <c r="BA1341" s="59">
        <v>0</v>
      </c>
      <c r="BB1341" s="57">
        <f t="shared" si="398"/>
        <v>2472</v>
      </c>
    </row>
    <row r="1342" spans="1:54" x14ac:dyDescent="0.25">
      <c r="A1342" s="58">
        <v>36</v>
      </c>
      <c r="B1342" s="59">
        <v>0</v>
      </c>
      <c r="C1342" s="59">
        <v>1</v>
      </c>
      <c r="D1342" s="59">
        <f t="shared" si="380"/>
        <v>1</v>
      </c>
      <c r="E1342" s="59">
        <f t="shared" si="381"/>
        <v>0</v>
      </c>
      <c r="F1342" s="59">
        <v>1266</v>
      </c>
      <c r="G1342" s="59">
        <v>1</v>
      </c>
      <c r="H1342" s="59">
        <f t="shared" si="382"/>
        <v>1</v>
      </c>
      <c r="I1342" s="59">
        <f t="shared" si="383"/>
        <v>0</v>
      </c>
      <c r="J1342" s="59">
        <v>10</v>
      </c>
      <c r="K1342" s="59">
        <v>4</v>
      </c>
      <c r="L1342" s="59">
        <v>5</v>
      </c>
      <c r="M1342" s="59">
        <f t="shared" si="384"/>
        <v>0</v>
      </c>
      <c r="N1342" s="59">
        <f t="shared" si="385"/>
        <v>0</v>
      </c>
      <c r="O1342" s="59">
        <f t="shared" si="386"/>
        <v>0</v>
      </c>
      <c r="P1342" s="59">
        <f t="shared" si="387"/>
        <v>0</v>
      </c>
      <c r="Q1342" s="59">
        <f t="shared" si="388"/>
        <v>1</v>
      </c>
      <c r="R1342" s="59">
        <v>1</v>
      </c>
      <c r="S1342" s="59">
        <v>1880</v>
      </c>
      <c r="T1342" s="59">
        <v>2</v>
      </c>
      <c r="U1342" s="59">
        <v>0</v>
      </c>
      <c r="V1342" s="59">
        <v>63</v>
      </c>
      <c r="W1342" s="59">
        <v>2</v>
      </c>
      <c r="X1342" s="59">
        <v>2</v>
      </c>
      <c r="Y1342" s="59">
        <v>1</v>
      </c>
      <c r="Z1342" s="59">
        <f t="shared" si="389"/>
        <v>1</v>
      </c>
      <c r="AA1342" s="59">
        <f>IF('Updated Dummy'!Y1342=2,1,0)</f>
        <v>0</v>
      </c>
      <c r="AB1342" s="59">
        <f t="shared" si="390"/>
        <v>0</v>
      </c>
      <c r="AC1342" s="59">
        <f t="shared" si="391"/>
        <v>0</v>
      </c>
      <c r="AD1342" s="59">
        <f t="shared" si="392"/>
        <v>0</v>
      </c>
      <c r="AE1342" s="59">
        <f t="shared" si="393"/>
        <v>0</v>
      </c>
      <c r="AF1342" s="59">
        <f t="shared" si="394"/>
        <v>0</v>
      </c>
      <c r="AG1342" s="59">
        <f t="shared" si="395"/>
        <v>0</v>
      </c>
      <c r="AH1342" s="59">
        <v>3</v>
      </c>
      <c r="AI1342" s="59">
        <v>2</v>
      </c>
      <c r="AJ1342" s="59">
        <f t="shared" si="396"/>
        <v>0</v>
      </c>
      <c r="AK1342" s="59">
        <f t="shared" si="397"/>
        <v>1</v>
      </c>
      <c r="AL1342" s="59">
        <v>5673</v>
      </c>
      <c r="AM1342" s="59">
        <v>6060</v>
      </c>
      <c r="AN1342" s="59">
        <v>1</v>
      </c>
      <c r="AO1342" s="59">
        <v>1</v>
      </c>
      <c r="AP1342" s="59">
        <v>13</v>
      </c>
      <c r="AQ1342" s="59">
        <v>3</v>
      </c>
      <c r="AR1342" s="59">
        <v>1</v>
      </c>
      <c r="AS1342" s="59">
        <v>80</v>
      </c>
      <c r="AT1342" s="59">
        <v>1</v>
      </c>
      <c r="AU1342" s="59">
        <v>10</v>
      </c>
      <c r="AV1342" s="59">
        <v>4</v>
      </c>
      <c r="AW1342" s="59">
        <v>3</v>
      </c>
      <c r="AX1342" s="59">
        <v>10</v>
      </c>
      <c r="AY1342" s="59">
        <v>9</v>
      </c>
      <c r="AZ1342" s="59">
        <v>1</v>
      </c>
      <c r="BA1342" s="59">
        <v>7</v>
      </c>
      <c r="BB1342" s="57">
        <f t="shared" si="398"/>
        <v>11346</v>
      </c>
    </row>
    <row r="1343" spans="1:54" x14ac:dyDescent="0.25">
      <c r="A1343" s="58">
        <v>31</v>
      </c>
      <c r="B1343" s="59">
        <v>0</v>
      </c>
      <c r="C1343" s="59">
        <v>1</v>
      </c>
      <c r="D1343" s="59">
        <f t="shared" si="380"/>
        <v>1</v>
      </c>
      <c r="E1343" s="59">
        <f t="shared" si="381"/>
        <v>0</v>
      </c>
      <c r="F1343" s="59">
        <v>311</v>
      </c>
      <c r="G1343" s="59">
        <v>2</v>
      </c>
      <c r="H1343" s="59">
        <f t="shared" si="382"/>
        <v>0</v>
      </c>
      <c r="I1343" s="59">
        <f t="shared" si="383"/>
        <v>1</v>
      </c>
      <c r="J1343" s="59">
        <v>20</v>
      </c>
      <c r="K1343" s="59">
        <v>3</v>
      </c>
      <c r="L1343" s="59">
        <v>1</v>
      </c>
      <c r="M1343" s="59">
        <f t="shared" si="384"/>
        <v>1</v>
      </c>
      <c r="N1343" s="59">
        <f t="shared" si="385"/>
        <v>0</v>
      </c>
      <c r="O1343" s="59">
        <f t="shared" si="386"/>
        <v>0</v>
      </c>
      <c r="P1343" s="59">
        <f t="shared" si="387"/>
        <v>0</v>
      </c>
      <c r="Q1343" s="59">
        <f t="shared" si="388"/>
        <v>0</v>
      </c>
      <c r="R1343" s="59">
        <v>1</v>
      </c>
      <c r="S1343" s="59">
        <v>1881</v>
      </c>
      <c r="T1343" s="59">
        <v>2</v>
      </c>
      <c r="U1343" s="59">
        <v>1</v>
      </c>
      <c r="V1343" s="59">
        <v>89</v>
      </c>
      <c r="W1343" s="59">
        <v>3</v>
      </c>
      <c r="X1343" s="59">
        <v>2</v>
      </c>
      <c r="Y1343" s="59">
        <v>3</v>
      </c>
      <c r="Z1343" s="59">
        <f t="shared" si="389"/>
        <v>0</v>
      </c>
      <c r="AA1343" s="59">
        <f>IF('Updated Dummy'!Y1343=2,1,0)</f>
        <v>0</v>
      </c>
      <c r="AB1343" s="59">
        <f t="shared" si="390"/>
        <v>1</v>
      </c>
      <c r="AC1343" s="59">
        <f t="shared" si="391"/>
        <v>0</v>
      </c>
      <c r="AD1343" s="59">
        <f t="shared" si="392"/>
        <v>0</v>
      </c>
      <c r="AE1343" s="59">
        <f t="shared" si="393"/>
        <v>0</v>
      </c>
      <c r="AF1343" s="59">
        <f t="shared" si="394"/>
        <v>0</v>
      </c>
      <c r="AG1343" s="59">
        <f t="shared" si="395"/>
        <v>0</v>
      </c>
      <c r="AH1343" s="59">
        <v>3</v>
      </c>
      <c r="AI1343" s="59">
        <v>3</v>
      </c>
      <c r="AJ1343" s="59">
        <f t="shared" si="396"/>
        <v>0</v>
      </c>
      <c r="AK1343" s="59">
        <f t="shared" si="397"/>
        <v>0</v>
      </c>
      <c r="AL1343" s="59">
        <v>4197</v>
      </c>
      <c r="AM1343" s="59">
        <v>18624</v>
      </c>
      <c r="AN1343" s="59">
        <v>1</v>
      </c>
      <c r="AO1343" s="59">
        <v>0</v>
      </c>
      <c r="AP1343" s="59">
        <v>11</v>
      </c>
      <c r="AQ1343" s="59">
        <v>3</v>
      </c>
      <c r="AR1343" s="59">
        <v>1</v>
      </c>
      <c r="AS1343" s="59">
        <v>80</v>
      </c>
      <c r="AT1343" s="59">
        <v>1</v>
      </c>
      <c r="AU1343" s="59">
        <v>10</v>
      </c>
      <c r="AV1343" s="59">
        <v>2</v>
      </c>
      <c r="AW1343" s="59">
        <v>3</v>
      </c>
      <c r="AX1343" s="59">
        <v>10</v>
      </c>
      <c r="AY1343" s="59">
        <v>8</v>
      </c>
      <c r="AZ1343" s="59">
        <v>0</v>
      </c>
      <c r="BA1343" s="59">
        <v>2</v>
      </c>
      <c r="BB1343" s="57">
        <f t="shared" si="398"/>
        <v>8394</v>
      </c>
    </row>
    <row r="1344" spans="1:54" x14ac:dyDescent="0.25">
      <c r="A1344" s="58">
        <v>34</v>
      </c>
      <c r="B1344" s="59">
        <v>0</v>
      </c>
      <c r="C1344" s="59">
        <v>1</v>
      </c>
      <c r="D1344" s="59">
        <f t="shared" si="380"/>
        <v>1</v>
      </c>
      <c r="E1344" s="59">
        <f t="shared" si="381"/>
        <v>0</v>
      </c>
      <c r="F1344" s="59">
        <v>1480</v>
      </c>
      <c r="G1344" s="59">
        <v>1</v>
      </c>
      <c r="H1344" s="59">
        <f t="shared" si="382"/>
        <v>1</v>
      </c>
      <c r="I1344" s="59">
        <f t="shared" si="383"/>
        <v>0</v>
      </c>
      <c r="J1344" s="59">
        <v>4</v>
      </c>
      <c r="K1344" s="59">
        <v>3</v>
      </c>
      <c r="L1344" s="59">
        <v>1</v>
      </c>
      <c r="M1344" s="59">
        <f t="shared" si="384"/>
        <v>1</v>
      </c>
      <c r="N1344" s="59">
        <f t="shared" si="385"/>
        <v>0</v>
      </c>
      <c r="O1344" s="59">
        <f t="shared" si="386"/>
        <v>0</v>
      </c>
      <c r="P1344" s="59">
        <f t="shared" si="387"/>
        <v>0</v>
      </c>
      <c r="Q1344" s="59">
        <f t="shared" si="388"/>
        <v>0</v>
      </c>
      <c r="R1344" s="59">
        <v>1</v>
      </c>
      <c r="S1344" s="59">
        <v>1882</v>
      </c>
      <c r="T1344" s="59">
        <v>3</v>
      </c>
      <c r="U1344" s="59">
        <v>1</v>
      </c>
      <c r="V1344" s="59">
        <v>64</v>
      </c>
      <c r="W1344" s="59">
        <v>3</v>
      </c>
      <c r="X1344" s="59">
        <v>3</v>
      </c>
      <c r="Y1344" s="59">
        <v>1</v>
      </c>
      <c r="Z1344" s="59">
        <f t="shared" si="389"/>
        <v>1</v>
      </c>
      <c r="AA1344" s="59">
        <f>IF('Updated Dummy'!Y1344=2,1,0)</f>
        <v>0</v>
      </c>
      <c r="AB1344" s="59">
        <f t="shared" si="390"/>
        <v>0</v>
      </c>
      <c r="AC1344" s="59">
        <f t="shared" si="391"/>
        <v>0</v>
      </c>
      <c r="AD1344" s="59">
        <f t="shared" si="392"/>
        <v>0</v>
      </c>
      <c r="AE1344" s="59">
        <f t="shared" si="393"/>
        <v>0</v>
      </c>
      <c r="AF1344" s="59">
        <f t="shared" si="394"/>
        <v>0</v>
      </c>
      <c r="AG1344" s="59">
        <f t="shared" si="395"/>
        <v>0</v>
      </c>
      <c r="AH1344" s="59">
        <v>4</v>
      </c>
      <c r="AI1344" s="59">
        <v>2</v>
      </c>
      <c r="AJ1344" s="59">
        <f t="shared" si="396"/>
        <v>0</v>
      </c>
      <c r="AK1344" s="59">
        <f t="shared" si="397"/>
        <v>1</v>
      </c>
      <c r="AL1344" s="59">
        <v>9713</v>
      </c>
      <c r="AM1344" s="59">
        <v>24444</v>
      </c>
      <c r="AN1344" s="59">
        <v>2</v>
      </c>
      <c r="AO1344" s="59">
        <v>1</v>
      </c>
      <c r="AP1344" s="59">
        <v>13</v>
      </c>
      <c r="AQ1344" s="59">
        <v>3</v>
      </c>
      <c r="AR1344" s="59">
        <v>4</v>
      </c>
      <c r="AS1344" s="59">
        <v>80</v>
      </c>
      <c r="AT1344" s="59">
        <v>3</v>
      </c>
      <c r="AU1344" s="59">
        <v>9</v>
      </c>
      <c r="AV1344" s="59">
        <v>3</v>
      </c>
      <c r="AW1344" s="59">
        <v>3</v>
      </c>
      <c r="AX1344" s="59">
        <v>5</v>
      </c>
      <c r="AY1344" s="59">
        <v>3</v>
      </c>
      <c r="AZ1344" s="59">
        <v>1</v>
      </c>
      <c r="BA1344" s="59">
        <v>0</v>
      </c>
      <c r="BB1344" s="57">
        <f t="shared" si="398"/>
        <v>29139</v>
      </c>
    </row>
    <row r="1345" spans="1:54" x14ac:dyDescent="0.25">
      <c r="A1345" s="58">
        <v>29</v>
      </c>
      <c r="B1345" s="59">
        <v>0</v>
      </c>
      <c r="C1345" s="59">
        <v>1</v>
      </c>
      <c r="D1345" s="59">
        <f t="shared" si="380"/>
        <v>1</v>
      </c>
      <c r="E1345" s="59">
        <f t="shared" si="381"/>
        <v>0</v>
      </c>
      <c r="F1345" s="59">
        <v>592</v>
      </c>
      <c r="G1345" s="59">
        <v>2</v>
      </c>
      <c r="H1345" s="59">
        <f t="shared" si="382"/>
        <v>0</v>
      </c>
      <c r="I1345" s="59">
        <f t="shared" si="383"/>
        <v>1</v>
      </c>
      <c r="J1345" s="59">
        <v>7</v>
      </c>
      <c r="K1345" s="59">
        <v>3</v>
      </c>
      <c r="L1345" s="59">
        <v>1</v>
      </c>
      <c r="M1345" s="59">
        <f t="shared" si="384"/>
        <v>1</v>
      </c>
      <c r="N1345" s="59">
        <f t="shared" si="385"/>
        <v>0</v>
      </c>
      <c r="O1345" s="59">
        <f t="shared" si="386"/>
        <v>0</v>
      </c>
      <c r="P1345" s="59">
        <f t="shared" si="387"/>
        <v>0</v>
      </c>
      <c r="Q1345" s="59">
        <f t="shared" si="388"/>
        <v>0</v>
      </c>
      <c r="R1345" s="59">
        <v>1</v>
      </c>
      <c r="S1345" s="59">
        <v>1883</v>
      </c>
      <c r="T1345" s="59">
        <v>4</v>
      </c>
      <c r="U1345" s="59">
        <v>1</v>
      </c>
      <c r="V1345" s="59">
        <v>59</v>
      </c>
      <c r="W1345" s="59">
        <v>3</v>
      </c>
      <c r="X1345" s="59">
        <v>1</v>
      </c>
      <c r="Y1345" s="59">
        <v>3</v>
      </c>
      <c r="Z1345" s="59">
        <f t="shared" si="389"/>
        <v>0</v>
      </c>
      <c r="AA1345" s="59">
        <f>IF('Updated Dummy'!Y1345=2,1,0)</f>
        <v>0</v>
      </c>
      <c r="AB1345" s="59">
        <f t="shared" si="390"/>
        <v>1</v>
      </c>
      <c r="AC1345" s="59">
        <f t="shared" si="391"/>
        <v>0</v>
      </c>
      <c r="AD1345" s="59">
        <f t="shared" si="392"/>
        <v>0</v>
      </c>
      <c r="AE1345" s="59">
        <f t="shared" si="393"/>
        <v>0</v>
      </c>
      <c r="AF1345" s="59">
        <f t="shared" si="394"/>
        <v>0</v>
      </c>
      <c r="AG1345" s="59">
        <f t="shared" si="395"/>
        <v>0</v>
      </c>
      <c r="AH1345" s="59">
        <v>1</v>
      </c>
      <c r="AI1345" s="59">
        <v>1</v>
      </c>
      <c r="AJ1345" s="59">
        <f t="shared" si="396"/>
        <v>1</v>
      </c>
      <c r="AK1345" s="59">
        <f t="shared" si="397"/>
        <v>0</v>
      </c>
      <c r="AL1345" s="59">
        <v>2062</v>
      </c>
      <c r="AM1345" s="59">
        <v>19384</v>
      </c>
      <c r="AN1345" s="59">
        <v>3</v>
      </c>
      <c r="AO1345" s="59">
        <v>0</v>
      </c>
      <c r="AP1345" s="59">
        <v>14</v>
      </c>
      <c r="AQ1345" s="59">
        <v>3</v>
      </c>
      <c r="AR1345" s="59">
        <v>2</v>
      </c>
      <c r="AS1345" s="59">
        <v>80</v>
      </c>
      <c r="AT1345" s="59">
        <v>0</v>
      </c>
      <c r="AU1345" s="59">
        <v>11</v>
      </c>
      <c r="AV1345" s="59">
        <v>2</v>
      </c>
      <c r="AW1345" s="59">
        <v>3</v>
      </c>
      <c r="AX1345" s="59">
        <v>3</v>
      </c>
      <c r="AY1345" s="59">
        <v>2</v>
      </c>
      <c r="AZ1345" s="59">
        <v>1</v>
      </c>
      <c r="BA1345" s="59">
        <v>2</v>
      </c>
      <c r="BB1345" s="57">
        <f t="shared" si="398"/>
        <v>2062</v>
      </c>
    </row>
    <row r="1346" spans="1:54" x14ac:dyDescent="0.25">
      <c r="A1346" s="58">
        <v>37</v>
      </c>
      <c r="B1346" s="59">
        <v>0</v>
      </c>
      <c r="C1346" s="59">
        <v>1</v>
      </c>
      <c r="D1346" s="59">
        <f t="shared" si="380"/>
        <v>1</v>
      </c>
      <c r="E1346" s="59">
        <f t="shared" si="381"/>
        <v>0</v>
      </c>
      <c r="F1346" s="59">
        <v>783</v>
      </c>
      <c r="G1346" s="59">
        <v>2</v>
      </c>
      <c r="H1346" s="59">
        <f t="shared" si="382"/>
        <v>0</v>
      </c>
      <c r="I1346" s="59">
        <f t="shared" si="383"/>
        <v>1</v>
      </c>
      <c r="J1346" s="59">
        <v>7</v>
      </c>
      <c r="K1346" s="59">
        <v>4</v>
      </c>
      <c r="L1346" s="59">
        <v>3</v>
      </c>
      <c r="M1346" s="59">
        <f t="shared" si="384"/>
        <v>0</v>
      </c>
      <c r="N1346" s="59">
        <f t="shared" si="385"/>
        <v>0</v>
      </c>
      <c r="O1346" s="59">
        <f t="shared" si="386"/>
        <v>1</v>
      </c>
      <c r="P1346" s="59">
        <f t="shared" si="387"/>
        <v>0</v>
      </c>
      <c r="Q1346" s="59">
        <f t="shared" si="388"/>
        <v>0</v>
      </c>
      <c r="R1346" s="59">
        <v>1</v>
      </c>
      <c r="S1346" s="59">
        <v>1885</v>
      </c>
      <c r="T1346" s="59">
        <v>4</v>
      </c>
      <c r="U1346" s="59">
        <v>1</v>
      </c>
      <c r="V1346" s="59">
        <v>78</v>
      </c>
      <c r="W1346" s="59">
        <v>3</v>
      </c>
      <c r="X1346" s="59">
        <v>2</v>
      </c>
      <c r="Y1346" s="59">
        <v>2</v>
      </c>
      <c r="Z1346" s="59">
        <f t="shared" si="389"/>
        <v>0</v>
      </c>
      <c r="AA1346" s="59">
        <f>IF('Updated Dummy'!Y1346=2,1,0)</f>
        <v>1</v>
      </c>
      <c r="AB1346" s="59">
        <f t="shared" si="390"/>
        <v>0</v>
      </c>
      <c r="AC1346" s="59">
        <f t="shared" si="391"/>
        <v>0</v>
      </c>
      <c r="AD1346" s="59">
        <f t="shared" si="392"/>
        <v>0</v>
      </c>
      <c r="AE1346" s="59">
        <f t="shared" si="393"/>
        <v>0</v>
      </c>
      <c r="AF1346" s="59">
        <f t="shared" si="394"/>
        <v>0</v>
      </c>
      <c r="AG1346" s="59">
        <f t="shared" si="395"/>
        <v>0</v>
      </c>
      <c r="AH1346" s="59">
        <v>1</v>
      </c>
      <c r="AI1346" s="59">
        <v>2</v>
      </c>
      <c r="AJ1346" s="59">
        <f t="shared" si="396"/>
        <v>0</v>
      </c>
      <c r="AK1346" s="59">
        <f t="shared" si="397"/>
        <v>1</v>
      </c>
      <c r="AL1346" s="59">
        <v>4284</v>
      </c>
      <c r="AM1346" s="59">
        <v>13588</v>
      </c>
      <c r="AN1346" s="59">
        <v>5</v>
      </c>
      <c r="AO1346" s="59">
        <v>1</v>
      </c>
      <c r="AP1346" s="59">
        <v>22</v>
      </c>
      <c r="AQ1346" s="59">
        <v>4</v>
      </c>
      <c r="AR1346" s="59">
        <v>3</v>
      </c>
      <c r="AS1346" s="59">
        <v>80</v>
      </c>
      <c r="AT1346" s="59">
        <v>1</v>
      </c>
      <c r="AU1346" s="59">
        <v>16</v>
      </c>
      <c r="AV1346" s="59">
        <v>2</v>
      </c>
      <c r="AW1346" s="59">
        <v>3</v>
      </c>
      <c r="AX1346" s="59">
        <v>5</v>
      </c>
      <c r="AY1346" s="59">
        <v>3</v>
      </c>
      <c r="AZ1346" s="59">
        <v>0</v>
      </c>
      <c r="BA1346" s="59">
        <v>4</v>
      </c>
      <c r="BB1346" s="57">
        <f t="shared" si="398"/>
        <v>8568</v>
      </c>
    </row>
    <row r="1347" spans="1:54" x14ac:dyDescent="0.25">
      <c r="A1347" s="58">
        <v>35</v>
      </c>
      <c r="B1347" s="59">
        <v>0</v>
      </c>
      <c r="C1347" s="59">
        <v>1</v>
      </c>
      <c r="D1347" s="59">
        <f t="shared" ref="D1347:D1410" si="399">IF(C1347=1,1,0)</f>
        <v>1</v>
      </c>
      <c r="E1347" s="59">
        <f t="shared" ref="E1347:E1410" si="400">IF(C1347=2,1,0)</f>
        <v>0</v>
      </c>
      <c r="F1347" s="59">
        <v>219</v>
      </c>
      <c r="G1347" s="59">
        <v>2</v>
      </c>
      <c r="H1347" s="59">
        <f t="shared" ref="H1347:H1410" si="401">IF(G1347=1,1,0)</f>
        <v>0</v>
      </c>
      <c r="I1347" s="59">
        <f t="shared" ref="I1347:I1410" si="402">IF(G1347=2,1,0)</f>
        <v>1</v>
      </c>
      <c r="J1347" s="59">
        <v>16</v>
      </c>
      <c r="K1347" s="59">
        <v>2</v>
      </c>
      <c r="L1347" s="59">
        <v>6</v>
      </c>
      <c r="M1347" s="59">
        <f t="shared" ref="M1347:M1410" si="403">IF(L1347=1,1,0)</f>
        <v>0</v>
      </c>
      <c r="N1347" s="59">
        <f t="shared" ref="N1347:N1410" si="404">IF(L1347=2,1,0)</f>
        <v>0</v>
      </c>
      <c r="O1347" s="59">
        <f t="shared" ref="O1347:O1410" si="405">IF(L1347=3,1,0)</f>
        <v>0</v>
      </c>
      <c r="P1347" s="59">
        <f t="shared" ref="P1347:P1410" si="406">IF(L1347=4,1,0)</f>
        <v>0</v>
      </c>
      <c r="Q1347" s="59">
        <f t="shared" ref="Q1347:Q1410" si="407">IF(L1347=5,1,0)</f>
        <v>0</v>
      </c>
      <c r="R1347" s="59">
        <v>1</v>
      </c>
      <c r="S1347" s="59">
        <v>1886</v>
      </c>
      <c r="T1347" s="59">
        <v>4</v>
      </c>
      <c r="U1347" s="59">
        <v>0</v>
      </c>
      <c r="V1347" s="59">
        <v>44</v>
      </c>
      <c r="W1347" s="59">
        <v>2</v>
      </c>
      <c r="X1347" s="59">
        <v>2</v>
      </c>
      <c r="Y1347" s="59">
        <v>4</v>
      </c>
      <c r="Z1347" s="59">
        <f t="shared" ref="Z1347:Z1410" si="408">IF(Y1347=1,1,0)</f>
        <v>0</v>
      </c>
      <c r="AA1347" s="59">
        <f>IF('Updated Dummy'!Y1347=2,1,0)</f>
        <v>0</v>
      </c>
      <c r="AB1347" s="59">
        <f t="shared" ref="AB1347:AB1410" si="409">IF(Y1347=3,1,0)</f>
        <v>0</v>
      </c>
      <c r="AC1347" s="59">
        <f t="shared" ref="AC1347:AC1410" si="410">IF(Y1347=4,1,0)</f>
        <v>1</v>
      </c>
      <c r="AD1347" s="59">
        <f t="shared" ref="AD1347:AD1410" si="411">IF(Y1347=5,1,0)</f>
        <v>0</v>
      </c>
      <c r="AE1347" s="59">
        <f t="shared" ref="AE1347:AE1410" si="412">IF(Y1347=6,1,0)</f>
        <v>0</v>
      </c>
      <c r="AF1347" s="59">
        <f t="shared" ref="AF1347:AF1410" si="413">IF(Y1347=7,1,0)</f>
        <v>0</v>
      </c>
      <c r="AG1347" s="59">
        <f t="shared" ref="AG1347:AG1410" si="414">IF(Y1347=8,1,0)</f>
        <v>0</v>
      </c>
      <c r="AH1347" s="59">
        <v>2</v>
      </c>
      <c r="AI1347" s="59">
        <v>2</v>
      </c>
      <c r="AJ1347" s="59">
        <f t="shared" ref="AJ1347:AJ1410" si="415">IF(AI1347=1,1,0)</f>
        <v>0</v>
      </c>
      <c r="AK1347" s="59">
        <f t="shared" ref="AK1347:AK1410" si="416">IF(AI1347=2,1,0)</f>
        <v>1</v>
      </c>
      <c r="AL1347" s="59">
        <v>4788</v>
      </c>
      <c r="AM1347" s="59">
        <v>25388</v>
      </c>
      <c r="AN1347" s="59">
        <v>0</v>
      </c>
      <c r="AO1347" s="59">
        <v>1</v>
      </c>
      <c r="AP1347" s="59">
        <v>11</v>
      </c>
      <c r="AQ1347" s="59">
        <v>3</v>
      </c>
      <c r="AR1347" s="59">
        <v>4</v>
      </c>
      <c r="AS1347" s="59">
        <v>80</v>
      </c>
      <c r="AT1347" s="59">
        <v>0</v>
      </c>
      <c r="AU1347" s="59">
        <v>4</v>
      </c>
      <c r="AV1347" s="59">
        <v>2</v>
      </c>
      <c r="AW1347" s="59">
        <v>3</v>
      </c>
      <c r="AX1347" s="59">
        <v>3</v>
      </c>
      <c r="AY1347" s="59">
        <v>2</v>
      </c>
      <c r="AZ1347" s="59">
        <v>0</v>
      </c>
      <c r="BA1347" s="59">
        <v>2</v>
      </c>
      <c r="BB1347" s="57">
        <f t="shared" ref="BB1347:BB1410" si="417">X1347*AL1347</f>
        <v>9576</v>
      </c>
    </row>
    <row r="1348" spans="1:54" x14ac:dyDescent="0.25">
      <c r="A1348" s="58">
        <v>45</v>
      </c>
      <c r="B1348" s="59">
        <v>0</v>
      </c>
      <c r="C1348" s="59">
        <v>1</v>
      </c>
      <c r="D1348" s="59">
        <f t="shared" si="399"/>
        <v>1</v>
      </c>
      <c r="E1348" s="59">
        <f t="shared" si="400"/>
        <v>0</v>
      </c>
      <c r="F1348" s="59">
        <v>556</v>
      </c>
      <c r="G1348" s="59">
        <v>2</v>
      </c>
      <c r="H1348" s="59">
        <f t="shared" si="401"/>
        <v>0</v>
      </c>
      <c r="I1348" s="59">
        <f t="shared" si="402"/>
        <v>1</v>
      </c>
      <c r="J1348" s="59">
        <v>25</v>
      </c>
      <c r="K1348" s="59">
        <v>2</v>
      </c>
      <c r="L1348" s="59">
        <v>1</v>
      </c>
      <c r="M1348" s="59">
        <f t="shared" si="403"/>
        <v>1</v>
      </c>
      <c r="N1348" s="59">
        <f t="shared" si="404"/>
        <v>0</v>
      </c>
      <c r="O1348" s="59">
        <f t="shared" si="405"/>
        <v>0</v>
      </c>
      <c r="P1348" s="59">
        <f t="shared" si="406"/>
        <v>0</v>
      </c>
      <c r="Q1348" s="59">
        <f t="shared" si="407"/>
        <v>0</v>
      </c>
      <c r="R1348" s="59">
        <v>1</v>
      </c>
      <c r="S1348" s="59">
        <v>1888</v>
      </c>
      <c r="T1348" s="59">
        <v>2</v>
      </c>
      <c r="U1348" s="59">
        <v>0</v>
      </c>
      <c r="V1348" s="59">
        <v>93</v>
      </c>
      <c r="W1348" s="59">
        <v>2</v>
      </c>
      <c r="X1348" s="59">
        <v>2</v>
      </c>
      <c r="Y1348" s="59">
        <v>4</v>
      </c>
      <c r="Z1348" s="59">
        <f t="shared" si="408"/>
        <v>0</v>
      </c>
      <c r="AA1348" s="59">
        <f>IF('Updated Dummy'!Y1348=2,1,0)</f>
        <v>0</v>
      </c>
      <c r="AB1348" s="59">
        <f t="shared" si="409"/>
        <v>0</v>
      </c>
      <c r="AC1348" s="59">
        <f t="shared" si="410"/>
        <v>1</v>
      </c>
      <c r="AD1348" s="59">
        <f t="shared" si="411"/>
        <v>0</v>
      </c>
      <c r="AE1348" s="59">
        <f t="shared" si="412"/>
        <v>0</v>
      </c>
      <c r="AF1348" s="59">
        <f t="shared" si="413"/>
        <v>0</v>
      </c>
      <c r="AG1348" s="59">
        <f t="shared" si="414"/>
        <v>0</v>
      </c>
      <c r="AH1348" s="59">
        <v>4</v>
      </c>
      <c r="AI1348" s="59">
        <v>2</v>
      </c>
      <c r="AJ1348" s="59">
        <f t="shared" si="415"/>
        <v>0</v>
      </c>
      <c r="AK1348" s="59">
        <f t="shared" si="416"/>
        <v>1</v>
      </c>
      <c r="AL1348" s="59">
        <v>5906</v>
      </c>
      <c r="AM1348" s="59">
        <v>23888</v>
      </c>
      <c r="AN1348" s="59">
        <v>0</v>
      </c>
      <c r="AO1348" s="59">
        <v>0</v>
      </c>
      <c r="AP1348" s="59">
        <v>13</v>
      </c>
      <c r="AQ1348" s="59">
        <v>3</v>
      </c>
      <c r="AR1348" s="59">
        <v>4</v>
      </c>
      <c r="AS1348" s="59">
        <v>80</v>
      </c>
      <c r="AT1348" s="59">
        <v>2</v>
      </c>
      <c r="AU1348" s="59">
        <v>10</v>
      </c>
      <c r="AV1348" s="59">
        <v>2</v>
      </c>
      <c r="AW1348" s="59">
        <v>2</v>
      </c>
      <c r="AX1348" s="59">
        <v>9</v>
      </c>
      <c r="AY1348" s="59">
        <v>8</v>
      </c>
      <c r="AZ1348" s="59">
        <v>3</v>
      </c>
      <c r="BA1348" s="59">
        <v>8</v>
      </c>
      <c r="BB1348" s="57">
        <f t="shared" si="417"/>
        <v>11812</v>
      </c>
    </row>
    <row r="1349" spans="1:54" x14ac:dyDescent="0.25">
      <c r="A1349" s="58">
        <v>36</v>
      </c>
      <c r="B1349" s="59">
        <v>0</v>
      </c>
      <c r="C1349" s="59">
        <v>2</v>
      </c>
      <c r="D1349" s="59">
        <f t="shared" si="399"/>
        <v>0</v>
      </c>
      <c r="E1349" s="59">
        <f t="shared" si="400"/>
        <v>1</v>
      </c>
      <c r="F1349" s="59">
        <v>1213</v>
      </c>
      <c r="G1349" s="59">
        <v>3</v>
      </c>
      <c r="H1349" s="59">
        <f t="shared" si="401"/>
        <v>0</v>
      </c>
      <c r="I1349" s="59">
        <f t="shared" si="402"/>
        <v>0</v>
      </c>
      <c r="J1349" s="59">
        <v>2</v>
      </c>
      <c r="K1349" s="59">
        <v>1</v>
      </c>
      <c r="L1349" s="59">
        <v>2</v>
      </c>
      <c r="M1349" s="59">
        <f t="shared" si="403"/>
        <v>0</v>
      </c>
      <c r="N1349" s="59">
        <f t="shared" si="404"/>
        <v>1</v>
      </c>
      <c r="O1349" s="59">
        <f t="shared" si="405"/>
        <v>0</v>
      </c>
      <c r="P1349" s="59">
        <f t="shared" si="406"/>
        <v>0</v>
      </c>
      <c r="Q1349" s="59">
        <f t="shared" si="407"/>
        <v>0</v>
      </c>
      <c r="R1349" s="59">
        <v>1</v>
      </c>
      <c r="S1349" s="59">
        <v>1890</v>
      </c>
      <c r="T1349" s="59">
        <v>2</v>
      </c>
      <c r="U1349" s="59">
        <v>1</v>
      </c>
      <c r="V1349" s="59">
        <v>94</v>
      </c>
      <c r="W1349" s="59">
        <v>2</v>
      </c>
      <c r="X1349" s="59">
        <v>2</v>
      </c>
      <c r="Y1349" s="59">
        <v>9</v>
      </c>
      <c r="Z1349" s="59">
        <f t="shared" si="408"/>
        <v>0</v>
      </c>
      <c r="AA1349" s="59">
        <f>IF('Updated Dummy'!Y1349=2,1,0)</f>
        <v>0</v>
      </c>
      <c r="AB1349" s="59">
        <f t="shared" si="409"/>
        <v>0</v>
      </c>
      <c r="AC1349" s="59">
        <f t="shared" si="410"/>
        <v>0</v>
      </c>
      <c r="AD1349" s="59">
        <f t="shared" si="411"/>
        <v>0</v>
      </c>
      <c r="AE1349" s="59">
        <f t="shared" si="412"/>
        <v>0</v>
      </c>
      <c r="AF1349" s="59">
        <f t="shared" si="413"/>
        <v>0</v>
      </c>
      <c r="AG1349" s="59">
        <f t="shared" si="414"/>
        <v>0</v>
      </c>
      <c r="AH1349" s="59">
        <v>4</v>
      </c>
      <c r="AI1349" s="59">
        <v>1</v>
      </c>
      <c r="AJ1349" s="59">
        <f t="shared" si="415"/>
        <v>1</v>
      </c>
      <c r="AK1349" s="59">
        <f t="shared" si="416"/>
        <v>0</v>
      </c>
      <c r="AL1349" s="59">
        <v>3886</v>
      </c>
      <c r="AM1349" s="59">
        <v>4223</v>
      </c>
      <c r="AN1349" s="59">
        <v>1</v>
      </c>
      <c r="AO1349" s="59">
        <v>0</v>
      </c>
      <c r="AP1349" s="59">
        <v>21</v>
      </c>
      <c r="AQ1349" s="59">
        <v>4</v>
      </c>
      <c r="AR1349" s="59">
        <v>4</v>
      </c>
      <c r="AS1349" s="59">
        <v>80</v>
      </c>
      <c r="AT1349" s="59">
        <v>0</v>
      </c>
      <c r="AU1349" s="59">
        <v>10</v>
      </c>
      <c r="AV1349" s="59">
        <v>2</v>
      </c>
      <c r="AW1349" s="59">
        <v>2</v>
      </c>
      <c r="AX1349" s="59">
        <v>10</v>
      </c>
      <c r="AY1349" s="59">
        <v>1</v>
      </c>
      <c r="AZ1349" s="59">
        <v>0</v>
      </c>
      <c r="BA1349" s="59">
        <v>8</v>
      </c>
      <c r="BB1349" s="57">
        <f t="shared" si="417"/>
        <v>7772</v>
      </c>
    </row>
    <row r="1350" spans="1:54" x14ac:dyDescent="0.25">
      <c r="A1350" s="58">
        <v>40</v>
      </c>
      <c r="B1350" s="59">
        <v>0</v>
      </c>
      <c r="C1350" s="59">
        <v>1</v>
      </c>
      <c r="D1350" s="59">
        <f t="shared" si="399"/>
        <v>1</v>
      </c>
      <c r="E1350" s="59">
        <f t="shared" si="400"/>
        <v>0</v>
      </c>
      <c r="F1350" s="59">
        <v>1137</v>
      </c>
      <c r="G1350" s="59">
        <v>2</v>
      </c>
      <c r="H1350" s="59">
        <f t="shared" si="401"/>
        <v>0</v>
      </c>
      <c r="I1350" s="59">
        <f t="shared" si="402"/>
        <v>1</v>
      </c>
      <c r="J1350" s="59">
        <v>1</v>
      </c>
      <c r="K1350" s="59">
        <v>4</v>
      </c>
      <c r="L1350" s="59">
        <v>1</v>
      </c>
      <c r="M1350" s="59">
        <f t="shared" si="403"/>
        <v>1</v>
      </c>
      <c r="N1350" s="59">
        <f t="shared" si="404"/>
        <v>0</v>
      </c>
      <c r="O1350" s="59">
        <f t="shared" si="405"/>
        <v>0</v>
      </c>
      <c r="P1350" s="59">
        <f t="shared" si="406"/>
        <v>0</v>
      </c>
      <c r="Q1350" s="59">
        <f t="shared" si="407"/>
        <v>0</v>
      </c>
      <c r="R1350" s="59">
        <v>1</v>
      </c>
      <c r="S1350" s="59">
        <v>1892</v>
      </c>
      <c r="T1350" s="59">
        <v>1</v>
      </c>
      <c r="U1350" s="59">
        <v>1</v>
      </c>
      <c r="V1350" s="59">
        <v>98</v>
      </c>
      <c r="W1350" s="59">
        <v>3</v>
      </c>
      <c r="X1350" s="59">
        <v>4</v>
      </c>
      <c r="Y1350" s="59">
        <v>6</v>
      </c>
      <c r="Z1350" s="59">
        <f t="shared" si="408"/>
        <v>0</v>
      </c>
      <c r="AA1350" s="59">
        <f>IF('Updated Dummy'!Y1350=2,1,0)</f>
        <v>0</v>
      </c>
      <c r="AB1350" s="59">
        <f t="shared" si="409"/>
        <v>0</v>
      </c>
      <c r="AC1350" s="59">
        <f t="shared" si="410"/>
        <v>0</v>
      </c>
      <c r="AD1350" s="59">
        <f t="shared" si="411"/>
        <v>0</v>
      </c>
      <c r="AE1350" s="59">
        <f t="shared" si="412"/>
        <v>1</v>
      </c>
      <c r="AF1350" s="59">
        <f t="shared" si="413"/>
        <v>0</v>
      </c>
      <c r="AG1350" s="59">
        <f t="shared" si="414"/>
        <v>0</v>
      </c>
      <c r="AH1350" s="59">
        <v>1</v>
      </c>
      <c r="AI1350" s="59">
        <v>3</v>
      </c>
      <c r="AJ1350" s="59">
        <f t="shared" si="415"/>
        <v>0</v>
      </c>
      <c r="AK1350" s="59">
        <f t="shared" si="416"/>
        <v>0</v>
      </c>
      <c r="AL1350" s="59">
        <v>16823</v>
      </c>
      <c r="AM1350" s="59">
        <v>18991</v>
      </c>
      <c r="AN1350" s="59">
        <v>2</v>
      </c>
      <c r="AO1350" s="59">
        <v>0</v>
      </c>
      <c r="AP1350" s="59">
        <v>11</v>
      </c>
      <c r="AQ1350" s="59">
        <v>3</v>
      </c>
      <c r="AR1350" s="59">
        <v>1</v>
      </c>
      <c r="AS1350" s="59">
        <v>80</v>
      </c>
      <c r="AT1350" s="59">
        <v>1</v>
      </c>
      <c r="AU1350" s="59">
        <v>22</v>
      </c>
      <c r="AV1350" s="59">
        <v>3</v>
      </c>
      <c r="AW1350" s="59">
        <v>3</v>
      </c>
      <c r="AX1350" s="59">
        <v>19</v>
      </c>
      <c r="AY1350" s="59">
        <v>7</v>
      </c>
      <c r="AZ1350" s="59">
        <v>11</v>
      </c>
      <c r="BA1350" s="59">
        <v>16</v>
      </c>
      <c r="BB1350" s="57">
        <f t="shared" si="417"/>
        <v>67292</v>
      </c>
    </row>
    <row r="1351" spans="1:54" x14ac:dyDescent="0.25">
      <c r="A1351" s="58">
        <v>26</v>
      </c>
      <c r="B1351" s="59">
        <v>0</v>
      </c>
      <c r="C1351" s="59">
        <v>1</v>
      </c>
      <c r="D1351" s="59">
        <f t="shared" si="399"/>
        <v>1</v>
      </c>
      <c r="E1351" s="59">
        <f t="shared" si="400"/>
        <v>0</v>
      </c>
      <c r="F1351" s="59">
        <v>482</v>
      </c>
      <c r="G1351" s="59">
        <v>2</v>
      </c>
      <c r="H1351" s="59">
        <f t="shared" si="401"/>
        <v>0</v>
      </c>
      <c r="I1351" s="59">
        <f t="shared" si="402"/>
        <v>1</v>
      </c>
      <c r="J1351" s="59">
        <v>1</v>
      </c>
      <c r="K1351" s="59">
        <v>2</v>
      </c>
      <c r="L1351" s="59">
        <v>1</v>
      </c>
      <c r="M1351" s="59">
        <f t="shared" si="403"/>
        <v>1</v>
      </c>
      <c r="N1351" s="59">
        <f t="shared" si="404"/>
        <v>0</v>
      </c>
      <c r="O1351" s="59">
        <f t="shared" si="405"/>
        <v>0</v>
      </c>
      <c r="P1351" s="59">
        <f t="shared" si="406"/>
        <v>0</v>
      </c>
      <c r="Q1351" s="59">
        <f t="shared" si="407"/>
        <v>0</v>
      </c>
      <c r="R1351" s="59">
        <v>1</v>
      </c>
      <c r="S1351" s="59">
        <v>1893</v>
      </c>
      <c r="T1351" s="59">
        <v>2</v>
      </c>
      <c r="U1351" s="59">
        <v>0</v>
      </c>
      <c r="V1351" s="59">
        <v>90</v>
      </c>
      <c r="W1351" s="59">
        <v>2</v>
      </c>
      <c r="X1351" s="59">
        <v>1</v>
      </c>
      <c r="Y1351" s="59">
        <v>2</v>
      </c>
      <c r="Z1351" s="59">
        <f t="shared" si="408"/>
        <v>0</v>
      </c>
      <c r="AA1351" s="59">
        <f>IF('Updated Dummy'!Y1351=2,1,0)</f>
        <v>1</v>
      </c>
      <c r="AB1351" s="59">
        <f t="shared" si="409"/>
        <v>0</v>
      </c>
      <c r="AC1351" s="59">
        <f t="shared" si="410"/>
        <v>0</v>
      </c>
      <c r="AD1351" s="59">
        <f t="shared" si="411"/>
        <v>0</v>
      </c>
      <c r="AE1351" s="59">
        <f t="shared" si="412"/>
        <v>0</v>
      </c>
      <c r="AF1351" s="59">
        <f t="shared" si="413"/>
        <v>0</v>
      </c>
      <c r="AG1351" s="59">
        <f t="shared" si="414"/>
        <v>0</v>
      </c>
      <c r="AH1351" s="59">
        <v>3</v>
      </c>
      <c r="AI1351" s="59">
        <v>2</v>
      </c>
      <c r="AJ1351" s="59">
        <f t="shared" si="415"/>
        <v>0</v>
      </c>
      <c r="AK1351" s="59">
        <f t="shared" si="416"/>
        <v>1</v>
      </c>
      <c r="AL1351" s="59">
        <v>2933</v>
      </c>
      <c r="AM1351" s="59">
        <v>14908</v>
      </c>
      <c r="AN1351" s="59">
        <v>1</v>
      </c>
      <c r="AO1351" s="59">
        <v>1</v>
      </c>
      <c r="AP1351" s="59">
        <v>13</v>
      </c>
      <c r="AQ1351" s="59">
        <v>3</v>
      </c>
      <c r="AR1351" s="59">
        <v>3</v>
      </c>
      <c r="AS1351" s="59">
        <v>80</v>
      </c>
      <c r="AT1351" s="59">
        <v>1</v>
      </c>
      <c r="AU1351" s="59">
        <v>1</v>
      </c>
      <c r="AV1351" s="59">
        <v>3</v>
      </c>
      <c r="AW1351" s="59">
        <v>2</v>
      </c>
      <c r="AX1351" s="59">
        <v>1</v>
      </c>
      <c r="AY1351" s="59">
        <v>0</v>
      </c>
      <c r="AZ1351" s="59">
        <v>1</v>
      </c>
      <c r="BA1351" s="59">
        <v>0</v>
      </c>
      <c r="BB1351" s="57">
        <f t="shared" si="417"/>
        <v>2933</v>
      </c>
    </row>
    <row r="1352" spans="1:54" x14ac:dyDescent="0.25">
      <c r="A1352" s="58">
        <v>27</v>
      </c>
      <c r="B1352" s="59">
        <v>0</v>
      </c>
      <c r="C1352" s="59">
        <v>1</v>
      </c>
      <c r="D1352" s="59">
        <f t="shared" si="399"/>
        <v>1</v>
      </c>
      <c r="E1352" s="59">
        <f t="shared" si="400"/>
        <v>0</v>
      </c>
      <c r="F1352" s="59">
        <v>511</v>
      </c>
      <c r="G1352" s="59">
        <v>1</v>
      </c>
      <c r="H1352" s="59">
        <f t="shared" si="401"/>
        <v>1</v>
      </c>
      <c r="I1352" s="59">
        <f t="shared" si="402"/>
        <v>0</v>
      </c>
      <c r="J1352" s="59">
        <v>2</v>
      </c>
      <c r="K1352" s="59">
        <v>2</v>
      </c>
      <c r="L1352" s="59">
        <v>3</v>
      </c>
      <c r="M1352" s="59">
        <f t="shared" si="403"/>
        <v>0</v>
      </c>
      <c r="N1352" s="59">
        <f t="shared" si="404"/>
        <v>0</v>
      </c>
      <c r="O1352" s="59">
        <f t="shared" si="405"/>
        <v>1</v>
      </c>
      <c r="P1352" s="59">
        <f t="shared" si="406"/>
        <v>0</v>
      </c>
      <c r="Q1352" s="59">
        <f t="shared" si="407"/>
        <v>0</v>
      </c>
      <c r="R1352" s="59">
        <v>1</v>
      </c>
      <c r="S1352" s="59">
        <v>1898</v>
      </c>
      <c r="T1352" s="59">
        <v>1</v>
      </c>
      <c r="U1352" s="59">
        <v>0</v>
      </c>
      <c r="V1352" s="59">
        <v>89</v>
      </c>
      <c r="W1352" s="59">
        <v>4</v>
      </c>
      <c r="X1352" s="59">
        <v>2</v>
      </c>
      <c r="Y1352" s="59">
        <v>1</v>
      </c>
      <c r="Z1352" s="59">
        <f t="shared" si="408"/>
        <v>1</v>
      </c>
      <c r="AA1352" s="59">
        <f>IF('Updated Dummy'!Y1352=2,1,0)</f>
        <v>0</v>
      </c>
      <c r="AB1352" s="59">
        <f t="shared" si="409"/>
        <v>0</v>
      </c>
      <c r="AC1352" s="59">
        <f t="shared" si="410"/>
        <v>0</v>
      </c>
      <c r="AD1352" s="59">
        <f t="shared" si="411"/>
        <v>0</v>
      </c>
      <c r="AE1352" s="59">
        <f t="shared" si="412"/>
        <v>0</v>
      </c>
      <c r="AF1352" s="59">
        <f t="shared" si="413"/>
        <v>0</v>
      </c>
      <c r="AG1352" s="59">
        <f t="shared" si="414"/>
        <v>0</v>
      </c>
      <c r="AH1352" s="59">
        <v>3</v>
      </c>
      <c r="AI1352" s="59">
        <v>1</v>
      </c>
      <c r="AJ1352" s="59">
        <f t="shared" si="415"/>
        <v>1</v>
      </c>
      <c r="AK1352" s="59">
        <f t="shared" si="416"/>
        <v>0</v>
      </c>
      <c r="AL1352" s="59">
        <v>6500</v>
      </c>
      <c r="AM1352" s="59">
        <v>26997</v>
      </c>
      <c r="AN1352" s="59">
        <v>0</v>
      </c>
      <c r="AO1352" s="59">
        <v>0</v>
      </c>
      <c r="AP1352" s="59">
        <v>14</v>
      </c>
      <c r="AQ1352" s="59">
        <v>3</v>
      </c>
      <c r="AR1352" s="59">
        <v>2</v>
      </c>
      <c r="AS1352" s="59">
        <v>80</v>
      </c>
      <c r="AT1352" s="59">
        <v>0</v>
      </c>
      <c r="AU1352" s="59">
        <v>9</v>
      </c>
      <c r="AV1352" s="59">
        <v>5</v>
      </c>
      <c r="AW1352" s="59">
        <v>2</v>
      </c>
      <c r="AX1352" s="59">
        <v>8</v>
      </c>
      <c r="AY1352" s="59">
        <v>7</v>
      </c>
      <c r="AZ1352" s="59">
        <v>0</v>
      </c>
      <c r="BA1352" s="59">
        <v>7</v>
      </c>
      <c r="BB1352" s="57">
        <f t="shared" si="417"/>
        <v>13000</v>
      </c>
    </row>
    <row r="1353" spans="1:54" x14ac:dyDescent="0.25">
      <c r="A1353" s="58">
        <v>48</v>
      </c>
      <c r="B1353" s="59">
        <v>0</v>
      </c>
      <c r="C1353" s="59">
        <v>2</v>
      </c>
      <c r="D1353" s="59">
        <f t="shared" si="399"/>
        <v>0</v>
      </c>
      <c r="E1353" s="59">
        <f t="shared" si="400"/>
        <v>1</v>
      </c>
      <c r="F1353" s="59">
        <v>117</v>
      </c>
      <c r="G1353" s="59">
        <v>2</v>
      </c>
      <c r="H1353" s="59">
        <f t="shared" si="401"/>
        <v>0</v>
      </c>
      <c r="I1353" s="59">
        <f t="shared" si="402"/>
        <v>1</v>
      </c>
      <c r="J1353" s="59">
        <v>22</v>
      </c>
      <c r="K1353" s="59">
        <v>3</v>
      </c>
      <c r="L1353" s="59">
        <v>3</v>
      </c>
      <c r="M1353" s="59">
        <f t="shared" si="403"/>
        <v>0</v>
      </c>
      <c r="N1353" s="59">
        <f t="shared" si="404"/>
        <v>0</v>
      </c>
      <c r="O1353" s="59">
        <f t="shared" si="405"/>
        <v>1</v>
      </c>
      <c r="P1353" s="59">
        <f t="shared" si="406"/>
        <v>0</v>
      </c>
      <c r="Q1353" s="59">
        <f t="shared" si="407"/>
        <v>0</v>
      </c>
      <c r="R1353" s="59">
        <v>1</v>
      </c>
      <c r="S1353" s="59">
        <v>1900</v>
      </c>
      <c r="T1353" s="59">
        <v>4</v>
      </c>
      <c r="U1353" s="59">
        <v>0</v>
      </c>
      <c r="V1353" s="59">
        <v>58</v>
      </c>
      <c r="W1353" s="59">
        <v>3</v>
      </c>
      <c r="X1353" s="59">
        <v>4</v>
      </c>
      <c r="Y1353" s="59">
        <v>6</v>
      </c>
      <c r="Z1353" s="59">
        <f t="shared" si="408"/>
        <v>0</v>
      </c>
      <c r="AA1353" s="59">
        <f>IF('Updated Dummy'!Y1353=2,1,0)</f>
        <v>0</v>
      </c>
      <c r="AB1353" s="59">
        <f t="shared" si="409"/>
        <v>0</v>
      </c>
      <c r="AC1353" s="59">
        <f t="shared" si="410"/>
        <v>0</v>
      </c>
      <c r="AD1353" s="59">
        <f t="shared" si="411"/>
        <v>0</v>
      </c>
      <c r="AE1353" s="59">
        <f t="shared" si="412"/>
        <v>1</v>
      </c>
      <c r="AF1353" s="59">
        <f t="shared" si="413"/>
        <v>0</v>
      </c>
      <c r="AG1353" s="59">
        <f t="shared" si="414"/>
        <v>0</v>
      </c>
      <c r="AH1353" s="59">
        <v>4</v>
      </c>
      <c r="AI1353" s="59">
        <v>3</v>
      </c>
      <c r="AJ1353" s="59">
        <f t="shared" si="415"/>
        <v>0</v>
      </c>
      <c r="AK1353" s="59">
        <f t="shared" si="416"/>
        <v>0</v>
      </c>
      <c r="AL1353" s="59">
        <v>17174</v>
      </c>
      <c r="AM1353" s="59">
        <v>2437</v>
      </c>
      <c r="AN1353" s="59">
        <v>3</v>
      </c>
      <c r="AO1353" s="59">
        <v>0</v>
      </c>
      <c r="AP1353" s="59">
        <v>11</v>
      </c>
      <c r="AQ1353" s="59">
        <v>3</v>
      </c>
      <c r="AR1353" s="59">
        <v>2</v>
      </c>
      <c r="AS1353" s="59">
        <v>80</v>
      </c>
      <c r="AT1353" s="59">
        <v>1</v>
      </c>
      <c r="AU1353" s="59">
        <v>24</v>
      </c>
      <c r="AV1353" s="59">
        <v>3</v>
      </c>
      <c r="AW1353" s="59">
        <v>3</v>
      </c>
      <c r="AX1353" s="59">
        <v>22</v>
      </c>
      <c r="AY1353" s="59">
        <v>17</v>
      </c>
      <c r="AZ1353" s="59">
        <v>4</v>
      </c>
      <c r="BA1353" s="59">
        <v>7</v>
      </c>
      <c r="BB1353" s="57">
        <f t="shared" si="417"/>
        <v>68696</v>
      </c>
    </row>
    <row r="1354" spans="1:54" x14ac:dyDescent="0.25">
      <c r="A1354" s="58">
        <v>44</v>
      </c>
      <c r="B1354" s="59">
        <v>0</v>
      </c>
      <c r="C1354" s="59">
        <v>1</v>
      </c>
      <c r="D1354" s="59">
        <f t="shared" si="399"/>
        <v>1</v>
      </c>
      <c r="E1354" s="59">
        <f t="shared" si="400"/>
        <v>0</v>
      </c>
      <c r="F1354" s="59">
        <v>170</v>
      </c>
      <c r="G1354" s="59">
        <v>2</v>
      </c>
      <c r="H1354" s="59">
        <f t="shared" si="401"/>
        <v>0</v>
      </c>
      <c r="I1354" s="59">
        <f t="shared" si="402"/>
        <v>1</v>
      </c>
      <c r="J1354" s="59">
        <v>1</v>
      </c>
      <c r="K1354" s="59">
        <v>4</v>
      </c>
      <c r="L1354" s="59">
        <v>1</v>
      </c>
      <c r="M1354" s="59">
        <f t="shared" si="403"/>
        <v>1</v>
      </c>
      <c r="N1354" s="59">
        <f t="shared" si="404"/>
        <v>0</v>
      </c>
      <c r="O1354" s="59">
        <f t="shared" si="405"/>
        <v>0</v>
      </c>
      <c r="P1354" s="59">
        <f t="shared" si="406"/>
        <v>0</v>
      </c>
      <c r="Q1354" s="59">
        <f t="shared" si="407"/>
        <v>0</v>
      </c>
      <c r="R1354" s="59">
        <v>1</v>
      </c>
      <c r="S1354" s="59">
        <v>1903</v>
      </c>
      <c r="T1354" s="59">
        <v>2</v>
      </c>
      <c r="U1354" s="59">
        <v>1</v>
      </c>
      <c r="V1354" s="59">
        <v>78</v>
      </c>
      <c r="W1354" s="59">
        <v>4</v>
      </c>
      <c r="X1354" s="59">
        <v>2</v>
      </c>
      <c r="Y1354" s="59">
        <v>5</v>
      </c>
      <c r="Z1354" s="59">
        <f t="shared" si="408"/>
        <v>0</v>
      </c>
      <c r="AA1354" s="59">
        <f>IF('Updated Dummy'!Y1354=2,1,0)</f>
        <v>0</v>
      </c>
      <c r="AB1354" s="59">
        <f t="shared" si="409"/>
        <v>0</v>
      </c>
      <c r="AC1354" s="59">
        <f t="shared" si="410"/>
        <v>0</v>
      </c>
      <c r="AD1354" s="59">
        <f t="shared" si="411"/>
        <v>1</v>
      </c>
      <c r="AE1354" s="59">
        <f t="shared" si="412"/>
        <v>0</v>
      </c>
      <c r="AF1354" s="59">
        <f t="shared" si="413"/>
        <v>0</v>
      </c>
      <c r="AG1354" s="59">
        <f t="shared" si="414"/>
        <v>0</v>
      </c>
      <c r="AH1354" s="59">
        <v>1</v>
      </c>
      <c r="AI1354" s="59">
        <v>2</v>
      </c>
      <c r="AJ1354" s="59">
        <f t="shared" si="415"/>
        <v>0</v>
      </c>
      <c r="AK1354" s="59">
        <f t="shared" si="416"/>
        <v>1</v>
      </c>
      <c r="AL1354" s="59">
        <v>5033</v>
      </c>
      <c r="AM1354" s="59">
        <v>9364</v>
      </c>
      <c r="AN1354" s="59">
        <v>2</v>
      </c>
      <c r="AO1354" s="59">
        <v>0</v>
      </c>
      <c r="AP1354" s="59">
        <v>15</v>
      </c>
      <c r="AQ1354" s="59">
        <v>3</v>
      </c>
      <c r="AR1354" s="59">
        <v>4</v>
      </c>
      <c r="AS1354" s="59">
        <v>80</v>
      </c>
      <c r="AT1354" s="59">
        <v>1</v>
      </c>
      <c r="AU1354" s="59">
        <v>10</v>
      </c>
      <c r="AV1354" s="59">
        <v>5</v>
      </c>
      <c r="AW1354" s="59">
        <v>3</v>
      </c>
      <c r="AX1354" s="59">
        <v>2</v>
      </c>
      <c r="AY1354" s="59">
        <v>0</v>
      </c>
      <c r="AZ1354" s="59">
        <v>2</v>
      </c>
      <c r="BA1354" s="59">
        <v>2</v>
      </c>
      <c r="BB1354" s="57">
        <f t="shared" si="417"/>
        <v>10066</v>
      </c>
    </row>
    <row r="1355" spans="1:54" x14ac:dyDescent="0.25">
      <c r="A1355" s="58">
        <v>34</v>
      </c>
      <c r="B1355" s="59">
        <v>1</v>
      </c>
      <c r="C1355" s="59">
        <v>3</v>
      </c>
      <c r="D1355" s="59">
        <f t="shared" si="399"/>
        <v>0</v>
      </c>
      <c r="E1355" s="59">
        <f t="shared" si="400"/>
        <v>0</v>
      </c>
      <c r="F1355" s="59">
        <v>967</v>
      </c>
      <c r="G1355" s="59">
        <v>2</v>
      </c>
      <c r="H1355" s="59">
        <f t="shared" si="401"/>
        <v>0</v>
      </c>
      <c r="I1355" s="59">
        <f t="shared" si="402"/>
        <v>1</v>
      </c>
      <c r="J1355" s="59">
        <v>16</v>
      </c>
      <c r="K1355" s="59">
        <v>4</v>
      </c>
      <c r="L1355" s="59">
        <v>5</v>
      </c>
      <c r="M1355" s="59">
        <f t="shared" si="403"/>
        <v>0</v>
      </c>
      <c r="N1355" s="59">
        <f t="shared" si="404"/>
        <v>0</v>
      </c>
      <c r="O1355" s="59">
        <f t="shared" si="405"/>
        <v>0</v>
      </c>
      <c r="P1355" s="59">
        <f t="shared" si="406"/>
        <v>0</v>
      </c>
      <c r="Q1355" s="59">
        <f t="shared" si="407"/>
        <v>1</v>
      </c>
      <c r="R1355" s="59">
        <v>1</v>
      </c>
      <c r="S1355" s="59">
        <v>1905</v>
      </c>
      <c r="T1355" s="59">
        <v>4</v>
      </c>
      <c r="U1355" s="59">
        <v>1</v>
      </c>
      <c r="V1355" s="59">
        <v>85</v>
      </c>
      <c r="W1355" s="59">
        <v>1</v>
      </c>
      <c r="X1355" s="59">
        <v>1</v>
      </c>
      <c r="Y1355" s="59">
        <v>2</v>
      </c>
      <c r="Z1355" s="59">
        <f t="shared" si="408"/>
        <v>0</v>
      </c>
      <c r="AA1355" s="59">
        <f>IF('Updated Dummy'!Y1355=2,1,0)</f>
        <v>1</v>
      </c>
      <c r="AB1355" s="59">
        <f t="shared" si="409"/>
        <v>0</v>
      </c>
      <c r="AC1355" s="59">
        <f t="shared" si="410"/>
        <v>0</v>
      </c>
      <c r="AD1355" s="59">
        <f t="shared" si="411"/>
        <v>0</v>
      </c>
      <c r="AE1355" s="59">
        <f t="shared" si="412"/>
        <v>0</v>
      </c>
      <c r="AF1355" s="59">
        <f t="shared" si="413"/>
        <v>0</v>
      </c>
      <c r="AG1355" s="59">
        <f t="shared" si="414"/>
        <v>0</v>
      </c>
      <c r="AH1355" s="59">
        <v>1</v>
      </c>
      <c r="AI1355" s="59">
        <v>2</v>
      </c>
      <c r="AJ1355" s="59">
        <f t="shared" si="415"/>
        <v>0</v>
      </c>
      <c r="AK1355" s="59">
        <f t="shared" si="416"/>
        <v>1</v>
      </c>
      <c r="AL1355" s="59">
        <v>2307</v>
      </c>
      <c r="AM1355" s="59">
        <v>14460</v>
      </c>
      <c r="AN1355" s="59">
        <v>1</v>
      </c>
      <c r="AO1355" s="59">
        <v>1</v>
      </c>
      <c r="AP1355" s="59">
        <v>23</v>
      </c>
      <c r="AQ1355" s="59">
        <v>4</v>
      </c>
      <c r="AR1355" s="59">
        <v>2</v>
      </c>
      <c r="AS1355" s="59">
        <v>80</v>
      </c>
      <c r="AT1355" s="59">
        <v>1</v>
      </c>
      <c r="AU1355" s="59">
        <v>5</v>
      </c>
      <c r="AV1355" s="59">
        <v>2</v>
      </c>
      <c r="AW1355" s="59">
        <v>3</v>
      </c>
      <c r="AX1355" s="59">
        <v>5</v>
      </c>
      <c r="AY1355" s="59">
        <v>2</v>
      </c>
      <c r="AZ1355" s="59">
        <v>3</v>
      </c>
      <c r="BA1355" s="59">
        <v>0</v>
      </c>
      <c r="BB1355" s="57">
        <f t="shared" si="417"/>
        <v>2307</v>
      </c>
    </row>
    <row r="1356" spans="1:54" x14ac:dyDescent="0.25">
      <c r="A1356" s="58">
        <v>56</v>
      </c>
      <c r="B1356" s="59">
        <v>1</v>
      </c>
      <c r="C1356" s="59">
        <v>1</v>
      </c>
      <c r="D1356" s="59">
        <f t="shared" si="399"/>
        <v>1</v>
      </c>
      <c r="E1356" s="59">
        <f t="shared" si="400"/>
        <v>0</v>
      </c>
      <c r="F1356" s="59">
        <v>1162</v>
      </c>
      <c r="G1356" s="59">
        <v>2</v>
      </c>
      <c r="H1356" s="59">
        <f t="shared" si="401"/>
        <v>0</v>
      </c>
      <c r="I1356" s="59">
        <f t="shared" si="402"/>
        <v>1</v>
      </c>
      <c r="J1356" s="59">
        <v>24</v>
      </c>
      <c r="K1356" s="59">
        <v>2</v>
      </c>
      <c r="L1356" s="59">
        <v>1</v>
      </c>
      <c r="M1356" s="59">
        <f t="shared" si="403"/>
        <v>1</v>
      </c>
      <c r="N1356" s="59">
        <f t="shared" si="404"/>
        <v>0</v>
      </c>
      <c r="O1356" s="59">
        <f t="shared" si="405"/>
        <v>0</v>
      </c>
      <c r="P1356" s="59">
        <f t="shared" si="406"/>
        <v>0</v>
      </c>
      <c r="Q1356" s="59">
        <f t="shared" si="407"/>
        <v>0</v>
      </c>
      <c r="R1356" s="59">
        <v>1</v>
      </c>
      <c r="S1356" s="59">
        <v>1907</v>
      </c>
      <c r="T1356" s="59">
        <v>1</v>
      </c>
      <c r="U1356" s="59">
        <v>1</v>
      </c>
      <c r="V1356" s="59">
        <v>97</v>
      </c>
      <c r="W1356" s="59">
        <v>3</v>
      </c>
      <c r="X1356" s="59">
        <v>1</v>
      </c>
      <c r="Y1356" s="59">
        <v>3</v>
      </c>
      <c r="Z1356" s="59">
        <f t="shared" si="408"/>
        <v>0</v>
      </c>
      <c r="AA1356" s="59">
        <f>IF('Updated Dummy'!Y1356=2,1,0)</f>
        <v>0</v>
      </c>
      <c r="AB1356" s="59">
        <f t="shared" si="409"/>
        <v>1</v>
      </c>
      <c r="AC1356" s="59">
        <f t="shared" si="410"/>
        <v>0</v>
      </c>
      <c r="AD1356" s="59">
        <f t="shared" si="411"/>
        <v>0</v>
      </c>
      <c r="AE1356" s="59">
        <f t="shared" si="412"/>
        <v>0</v>
      </c>
      <c r="AF1356" s="59">
        <f t="shared" si="413"/>
        <v>0</v>
      </c>
      <c r="AG1356" s="59">
        <f t="shared" si="414"/>
        <v>0</v>
      </c>
      <c r="AH1356" s="59">
        <v>4</v>
      </c>
      <c r="AI1356" s="59">
        <v>1</v>
      </c>
      <c r="AJ1356" s="59">
        <f t="shared" si="415"/>
        <v>1</v>
      </c>
      <c r="AK1356" s="59">
        <f t="shared" si="416"/>
        <v>0</v>
      </c>
      <c r="AL1356" s="59">
        <v>2587</v>
      </c>
      <c r="AM1356" s="59">
        <v>10261</v>
      </c>
      <c r="AN1356" s="59">
        <v>1</v>
      </c>
      <c r="AO1356" s="59">
        <v>0</v>
      </c>
      <c r="AP1356" s="59">
        <v>16</v>
      </c>
      <c r="AQ1356" s="59">
        <v>3</v>
      </c>
      <c r="AR1356" s="59">
        <v>4</v>
      </c>
      <c r="AS1356" s="59">
        <v>80</v>
      </c>
      <c r="AT1356" s="59">
        <v>0</v>
      </c>
      <c r="AU1356" s="59">
        <v>5</v>
      </c>
      <c r="AV1356" s="59">
        <v>3</v>
      </c>
      <c r="AW1356" s="59">
        <v>3</v>
      </c>
      <c r="AX1356" s="59">
        <v>4</v>
      </c>
      <c r="AY1356" s="59">
        <v>2</v>
      </c>
      <c r="AZ1356" s="59">
        <v>1</v>
      </c>
      <c r="BA1356" s="59">
        <v>0</v>
      </c>
      <c r="BB1356" s="57">
        <f t="shared" si="417"/>
        <v>2587</v>
      </c>
    </row>
    <row r="1357" spans="1:54" x14ac:dyDescent="0.25">
      <c r="A1357" s="58">
        <v>36</v>
      </c>
      <c r="B1357" s="59">
        <v>0</v>
      </c>
      <c r="C1357" s="59">
        <v>1</v>
      </c>
      <c r="D1357" s="59">
        <f t="shared" si="399"/>
        <v>1</v>
      </c>
      <c r="E1357" s="59">
        <f t="shared" si="400"/>
        <v>0</v>
      </c>
      <c r="F1357" s="59">
        <v>335</v>
      </c>
      <c r="G1357" s="59">
        <v>1</v>
      </c>
      <c r="H1357" s="59">
        <f t="shared" si="401"/>
        <v>1</v>
      </c>
      <c r="I1357" s="59">
        <f t="shared" si="402"/>
        <v>0</v>
      </c>
      <c r="J1357" s="59">
        <v>17</v>
      </c>
      <c r="K1357" s="59">
        <v>2</v>
      </c>
      <c r="L1357" s="59">
        <v>4</v>
      </c>
      <c r="M1357" s="59">
        <f t="shared" si="403"/>
        <v>0</v>
      </c>
      <c r="N1357" s="59">
        <f t="shared" si="404"/>
        <v>0</v>
      </c>
      <c r="O1357" s="59">
        <f t="shared" si="405"/>
        <v>0</v>
      </c>
      <c r="P1357" s="59">
        <f t="shared" si="406"/>
        <v>1</v>
      </c>
      <c r="Q1357" s="59">
        <f t="shared" si="407"/>
        <v>0</v>
      </c>
      <c r="R1357" s="59">
        <v>1</v>
      </c>
      <c r="S1357" s="59">
        <v>1908</v>
      </c>
      <c r="T1357" s="59">
        <v>3</v>
      </c>
      <c r="U1357" s="59">
        <v>1</v>
      </c>
      <c r="V1357" s="59">
        <v>33</v>
      </c>
      <c r="W1357" s="59">
        <v>2</v>
      </c>
      <c r="X1357" s="59">
        <v>2</v>
      </c>
      <c r="Y1357" s="59">
        <v>1</v>
      </c>
      <c r="Z1357" s="59">
        <f t="shared" si="408"/>
        <v>1</v>
      </c>
      <c r="AA1357" s="59">
        <f>IF('Updated Dummy'!Y1357=2,1,0)</f>
        <v>0</v>
      </c>
      <c r="AB1357" s="59">
        <f t="shared" si="409"/>
        <v>0</v>
      </c>
      <c r="AC1357" s="59">
        <f t="shared" si="410"/>
        <v>0</v>
      </c>
      <c r="AD1357" s="59">
        <f t="shared" si="411"/>
        <v>0</v>
      </c>
      <c r="AE1357" s="59">
        <f t="shared" si="412"/>
        <v>0</v>
      </c>
      <c r="AF1357" s="59">
        <f t="shared" si="413"/>
        <v>0</v>
      </c>
      <c r="AG1357" s="59">
        <f t="shared" si="414"/>
        <v>0</v>
      </c>
      <c r="AH1357" s="59">
        <v>2</v>
      </c>
      <c r="AI1357" s="59">
        <v>2</v>
      </c>
      <c r="AJ1357" s="59">
        <f t="shared" si="415"/>
        <v>0</v>
      </c>
      <c r="AK1357" s="59">
        <f t="shared" si="416"/>
        <v>1</v>
      </c>
      <c r="AL1357" s="59">
        <v>5507</v>
      </c>
      <c r="AM1357" s="59">
        <v>16822</v>
      </c>
      <c r="AN1357" s="59">
        <v>2</v>
      </c>
      <c r="AO1357" s="59">
        <v>0</v>
      </c>
      <c r="AP1357" s="59">
        <v>16</v>
      </c>
      <c r="AQ1357" s="59">
        <v>3</v>
      </c>
      <c r="AR1357" s="59">
        <v>3</v>
      </c>
      <c r="AS1357" s="59">
        <v>80</v>
      </c>
      <c r="AT1357" s="59">
        <v>2</v>
      </c>
      <c r="AU1357" s="59">
        <v>12</v>
      </c>
      <c r="AV1357" s="59">
        <v>1</v>
      </c>
      <c r="AW1357" s="59">
        <v>1</v>
      </c>
      <c r="AX1357" s="59">
        <v>4</v>
      </c>
      <c r="AY1357" s="59">
        <v>2</v>
      </c>
      <c r="AZ1357" s="59">
        <v>1</v>
      </c>
      <c r="BA1357" s="59">
        <v>3</v>
      </c>
      <c r="BB1357" s="57">
        <f t="shared" si="417"/>
        <v>11014</v>
      </c>
    </row>
    <row r="1358" spans="1:54" x14ac:dyDescent="0.25">
      <c r="A1358" s="58">
        <v>41</v>
      </c>
      <c r="B1358" s="59">
        <v>0</v>
      </c>
      <c r="C1358" s="59">
        <v>1</v>
      </c>
      <c r="D1358" s="59">
        <f t="shared" si="399"/>
        <v>1</v>
      </c>
      <c r="E1358" s="59">
        <f t="shared" si="400"/>
        <v>0</v>
      </c>
      <c r="F1358" s="59">
        <v>337</v>
      </c>
      <c r="G1358" s="59">
        <v>1</v>
      </c>
      <c r="H1358" s="59">
        <f t="shared" si="401"/>
        <v>1</v>
      </c>
      <c r="I1358" s="59">
        <f t="shared" si="402"/>
        <v>0</v>
      </c>
      <c r="J1358" s="59">
        <v>8</v>
      </c>
      <c r="K1358" s="59">
        <v>3</v>
      </c>
      <c r="L1358" s="59">
        <v>4</v>
      </c>
      <c r="M1358" s="59">
        <f t="shared" si="403"/>
        <v>0</v>
      </c>
      <c r="N1358" s="59">
        <f t="shared" si="404"/>
        <v>0</v>
      </c>
      <c r="O1358" s="59">
        <f t="shared" si="405"/>
        <v>0</v>
      </c>
      <c r="P1358" s="59">
        <f t="shared" si="406"/>
        <v>1</v>
      </c>
      <c r="Q1358" s="59">
        <f t="shared" si="407"/>
        <v>0</v>
      </c>
      <c r="R1358" s="59">
        <v>1</v>
      </c>
      <c r="S1358" s="59">
        <v>1909</v>
      </c>
      <c r="T1358" s="59">
        <v>3</v>
      </c>
      <c r="U1358" s="59">
        <v>0</v>
      </c>
      <c r="V1358" s="59">
        <v>54</v>
      </c>
      <c r="W1358" s="59">
        <v>3</v>
      </c>
      <c r="X1358" s="59">
        <v>2</v>
      </c>
      <c r="Y1358" s="59">
        <v>1</v>
      </c>
      <c r="Z1358" s="59">
        <f t="shared" si="408"/>
        <v>1</v>
      </c>
      <c r="AA1358" s="59">
        <f>IF('Updated Dummy'!Y1358=2,1,0)</f>
        <v>0</v>
      </c>
      <c r="AB1358" s="59">
        <f t="shared" si="409"/>
        <v>0</v>
      </c>
      <c r="AC1358" s="59">
        <f t="shared" si="410"/>
        <v>0</v>
      </c>
      <c r="AD1358" s="59">
        <f t="shared" si="411"/>
        <v>0</v>
      </c>
      <c r="AE1358" s="59">
        <f t="shared" si="412"/>
        <v>0</v>
      </c>
      <c r="AF1358" s="59">
        <f t="shared" si="413"/>
        <v>0</v>
      </c>
      <c r="AG1358" s="59">
        <f t="shared" si="414"/>
        <v>0</v>
      </c>
      <c r="AH1358" s="59">
        <v>2</v>
      </c>
      <c r="AI1358" s="59">
        <v>2</v>
      </c>
      <c r="AJ1358" s="59">
        <f t="shared" si="415"/>
        <v>0</v>
      </c>
      <c r="AK1358" s="59">
        <f t="shared" si="416"/>
        <v>1</v>
      </c>
      <c r="AL1358" s="59">
        <v>4393</v>
      </c>
      <c r="AM1358" s="59">
        <v>26841</v>
      </c>
      <c r="AN1358" s="59">
        <v>5</v>
      </c>
      <c r="AO1358" s="59">
        <v>0</v>
      </c>
      <c r="AP1358" s="59">
        <v>21</v>
      </c>
      <c r="AQ1358" s="59">
        <v>4</v>
      </c>
      <c r="AR1358" s="59">
        <v>3</v>
      </c>
      <c r="AS1358" s="59">
        <v>80</v>
      </c>
      <c r="AT1358" s="59">
        <v>1</v>
      </c>
      <c r="AU1358" s="59">
        <v>14</v>
      </c>
      <c r="AV1358" s="59">
        <v>3</v>
      </c>
      <c r="AW1358" s="59">
        <v>3</v>
      </c>
      <c r="AX1358" s="59">
        <v>5</v>
      </c>
      <c r="AY1358" s="59">
        <v>4</v>
      </c>
      <c r="AZ1358" s="59">
        <v>1</v>
      </c>
      <c r="BA1358" s="59">
        <v>4</v>
      </c>
      <c r="BB1358" s="57">
        <f t="shared" si="417"/>
        <v>8786</v>
      </c>
    </row>
    <row r="1359" spans="1:54" x14ac:dyDescent="0.25">
      <c r="A1359" s="58">
        <v>42</v>
      </c>
      <c r="B1359" s="59">
        <v>0</v>
      </c>
      <c r="C1359" s="59">
        <v>1</v>
      </c>
      <c r="D1359" s="59">
        <f t="shared" si="399"/>
        <v>1</v>
      </c>
      <c r="E1359" s="59">
        <f t="shared" si="400"/>
        <v>0</v>
      </c>
      <c r="F1359" s="59">
        <v>1396</v>
      </c>
      <c r="G1359" s="59">
        <v>2</v>
      </c>
      <c r="H1359" s="59">
        <f t="shared" si="401"/>
        <v>0</v>
      </c>
      <c r="I1359" s="59">
        <f t="shared" si="402"/>
        <v>1</v>
      </c>
      <c r="J1359" s="59">
        <v>6</v>
      </c>
      <c r="K1359" s="59">
        <v>3</v>
      </c>
      <c r="L1359" s="59">
        <v>3</v>
      </c>
      <c r="M1359" s="59">
        <f t="shared" si="403"/>
        <v>0</v>
      </c>
      <c r="N1359" s="59">
        <f t="shared" si="404"/>
        <v>0</v>
      </c>
      <c r="O1359" s="59">
        <f t="shared" si="405"/>
        <v>1</v>
      </c>
      <c r="P1359" s="59">
        <f t="shared" si="406"/>
        <v>0</v>
      </c>
      <c r="Q1359" s="59">
        <f t="shared" si="407"/>
        <v>0</v>
      </c>
      <c r="R1359" s="59">
        <v>1</v>
      </c>
      <c r="S1359" s="59">
        <v>1911</v>
      </c>
      <c r="T1359" s="59">
        <v>3</v>
      </c>
      <c r="U1359" s="59">
        <v>1</v>
      </c>
      <c r="V1359" s="59">
        <v>83</v>
      </c>
      <c r="W1359" s="59">
        <v>3</v>
      </c>
      <c r="X1359" s="59">
        <v>3</v>
      </c>
      <c r="Y1359" s="59">
        <v>8</v>
      </c>
      <c r="Z1359" s="59">
        <f t="shared" si="408"/>
        <v>0</v>
      </c>
      <c r="AA1359" s="59">
        <f>IF('Updated Dummy'!Y1359=2,1,0)</f>
        <v>0</v>
      </c>
      <c r="AB1359" s="59">
        <f t="shared" si="409"/>
        <v>0</v>
      </c>
      <c r="AC1359" s="59">
        <f t="shared" si="410"/>
        <v>0</v>
      </c>
      <c r="AD1359" s="59">
        <f t="shared" si="411"/>
        <v>0</v>
      </c>
      <c r="AE1359" s="59">
        <f t="shared" si="412"/>
        <v>0</v>
      </c>
      <c r="AF1359" s="59">
        <f t="shared" si="413"/>
        <v>0</v>
      </c>
      <c r="AG1359" s="59">
        <f t="shared" si="414"/>
        <v>1</v>
      </c>
      <c r="AH1359" s="59">
        <v>1</v>
      </c>
      <c r="AI1359" s="59">
        <v>2</v>
      </c>
      <c r="AJ1359" s="59">
        <f t="shared" si="415"/>
        <v>0</v>
      </c>
      <c r="AK1359" s="59">
        <f t="shared" si="416"/>
        <v>1</v>
      </c>
      <c r="AL1359" s="59">
        <v>13348</v>
      </c>
      <c r="AM1359" s="59">
        <v>14842</v>
      </c>
      <c r="AN1359" s="59">
        <v>9</v>
      </c>
      <c r="AO1359" s="59">
        <v>0</v>
      </c>
      <c r="AP1359" s="59">
        <v>13</v>
      </c>
      <c r="AQ1359" s="59">
        <v>3</v>
      </c>
      <c r="AR1359" s="59">
        <v>2</v>
      </c>
      <c r="AS1359" s="59">
        <v>80</v>
      </c>
      <c r="AT1359" s="59">
        <v>1</v>
      </c>
      <c r="AU1359" s="59">
        <v>18</v>
      </c>
      <c r="AV1359" s="59">
        <v>3</v>
      </c>
      <c r="AW1359" s="59">
        <v>4</v>
      </c>
      <c r="AX1359" s="59">
        <v>13</v>
      </c>
      <c r="AY1359" s="59">
        <v>7</v>
      </c>
      <c r="AZ1359" s="59">
        <v>5</v>
      </c>
      <c r="BA1359" s="59">
        <v>7</v>
      </c>
      <c r="BB1359" s="57">
        <f t="shared" si="417"/>
        <v>40044</v>
      </c>
    </row>
    <row r="1360" spans="1:54" x14ac:dyDescent="0.25">
      <c r="A1360" s="58">
        <v>31</v>
      </c>
      <c r="B1360" s="59">
        <v>0</v>
      </c>
      <c r="C1360" s="59">
        <v>1</v>
      </c>
      <c r="D1360" s="59">
        <f t="shared" si="399"/>
        <v>1</v>
      </c>
      <c r="E1360" s="59">
        <f t="shared" si="400"/>
        <v>0</v>
      </c>
      <c r="F1360" s="59">
        <v>1079</v>
      </c>
      <c r="G1360" s="59">
        <v>1</v>
      </c>
      <c r="H1360" s="59">
        <f t="shared" si="401"/>
        <v>1</v>
      </c>
      <c r="I1360" s="59">
        <f t="shared" si="402"/>
        <v>0</v>
      </c>
      <c r="J1360" s="59">
        <v>10</v>
      </c>
      <c r="K1360" s="59">
        <v>2</v>
      </c>
      <c r="L1360" s="59">
        <v>3</v>
      </c>
      <c r="M1360" s="59">
        <f t="shared" si="403"/>
        <v>0</v>
      </c>
      <c r="N1360" s="59">
        <f t="shared" si="404"/>
        <v>0</v>
      </c>
      <c r="O1360" s="59">
        <f t="shared" si="405"/>
        <v>1</v>
      </c>
      <c r="P1360" s="59">
        <f t="shared" si="406"/>
        <v>0</v>
      </c>
      <c r="Q1360" s="59">
        <f t="shared" si="407"/>
        <v>0</v>
      </c>
      <c r="R1360" s="59">
        <v>1</v>
      </c>
      <c r="S1360" s="59">
        <v>1912</v>
      </c>
      <c r="T1360" s="59">
        <v>3</v>
      </c>
      <c r="U1360" s="59">
        <v>0</v>
      </c>
      <c r="V1360" s="59">
        <v>86</v>
      </c>
      <c r="W1360" s="59">
        <v>3</v>
      </c>
      <c r="X1360" s="59">
        <v>2</v>
      </c>
      <c r="Y1360" s="59">
        <v>1</v>
      </c>
      <c r="Z1360" s="59">
        <f t="shared" si="408"/>
        <v>1</v>
      </c>
      <c r="AA1360" s="59">
        <f>IF('Updated Dummy'!Y1360=2,1,0)</f>
        <v>0</v>
      </c>
      <c r="AB1360" s="59">
        <f t="shared" si="409"/>
        <v>0</v>
      </c>
      <c r="AC1360" s="59">
        <f t="shared" si="410"/>
        <v>0</v>
      </c>
      <c r="AD1360" s="59">
        <f t="shared" si="411"/>
        <v>0</v>
      </c>
      <c r="AE1360" s="59">
        <f t="shared" si="412"/>
        <v>0</v>
      </c>
      <c r="AF1360" s="59">
        <f t="shared" si="413"/>
        <v>0</v>
      </c>
      <c r="AG1360" s="59">
        <f t="shared" si="414"/>
        <v>0</v>
      </c>
      <c r="AH1360" s="59">
        <v>4</v>
      </c>
      <c r="AI1360" s="59">
        <v>3</v>
      </c>
      <c r="AJ1360" s="59">
        <f t="shared" si="415"/>
        <v>0</v>
      </c>
      <c r="AK1360" s="59">
        <f t="shared" si="416"/>
        <v>0</v>
      </c>
      <c r="AL1360" s="59">
        <v>6583</v>
      </c>
      <c r="AM1360" s="59">
        <v>20115</v>
      </c>
      <c r="AN1360" s="59">
        <v>2</v>
      </c>
      <c r="AO1360" s="59">
        <v>1</v>
      </c>
      <c r="AP1360" s="59">
        <v>11</v>
      </c>
      <c r="AQ1360" s="59">
        <v>3</v>
      </c>
      <c r="AR1360" s="59">
        <v>4</v>
      </c>
      <c r="AS1360" s="59">
        <v>80</v>
      </c>
      <c r="AT1360" s="59">
        <v>1</v>
      </c>
      <c r="AU1360" s="59">
        <v>8</v>
      </c>
      <c r="AV1360" s="59">
        <v>2</v>
      </c>
      <c r="AW1360" s="59">
        <v>3</v>
      </c>
      <c r="AX1360" s="59">
        <v>5</v>
      </c>
      <c r="AY1360" s="59">
        <v>2</v>
      </c>
      <c r="AZ1360" s="59">
        <v>1</v>
      </c>
      <c r="BA1360" s="59">
        <v>4</v>
      </c>
      <c r="BB1360" s="57">
        <f t="shared" si="417"/>
        <v>13166</v>
      </c>
    </row>
    <row r="1361" spans="1:54" x14ac:dyDescent="0.25">
      <c r="A1361" s="58">
        <v>34</v>
      </c>
      <c r="B1361" s="59">
        <v>0</v>
      </c>
      <c r="C1361" s="59">
        <v>1</v>
      </c>
      <c r="D1361" s="59">
        <f t="shared" si="399"/>
        <v>1</v>
      </c>
      <c r="E1361" s="59">
        <f t="shared" si="400"/>
        <v>0</v>
      </c>
      <c r="F1361" s="59">
        <v>735</v>
      </c>
      <c r="G1361" s="59">
        <v>1</v>
      </c>
      <c r="H1361" s="59">
        <f t="shared" si="401"/>
        <v>1</v>
      </c>
      <c r="I1361" s="59">
        <f t="shared" si="402"/>
        <v>0</v>
      </c>
      <c r="J1361" s="59">
        <v>3</v>
      </c>
      <c r="K1361" s="59">
        <v>1</v>
      </c>
      <c r="L1361" s="59">
        <v>3</v>
      </c>
      <c r="M1361" s="59">
        <f t="shared" si="403"/>
        <v>0</v>
      </c>
      <c r="N1361" s="59">
        <f t="shared" si="404"/>
        <v>0</v>
      </c>
      <c r="O1361" s="59">
        <f t="shared" si="405"/>
        <v>1</v>
      </c>
      <c r="P1361" s="59">
        <f t="shared" si="406"/>
        <v>0</v>
      </c>
      <c r="Q1361" s="59">
        <f t="shared" si="407"/>
        <v>0</v>
      </c>
      <c r="R1361" s="59">
        <v>1</v>
      </c>
      <c r="S1361" s="59">
        <v>1915</v>
      </c>
      <c r="T1361" s="59">
        <v>4</v>
      </c>
      <c r="U1361" s="59">
        <v>0</v>
      </c>
      <c r="V1361" s="59">
        <v>75</v>
      </c>
      <c r="W1361" s="59">
        <v>2</v>
      </c>
      <c r="X1361" s="59">
        <v>2</v>
      </c>
      <c r="Y1361" s="59">
        <v>1</v>
      </c>
      <c r="Z1361" s="59">
        <f t="shared" si="408"/>
        <v>1</v>
      </c>
      <c r="AA1361" s="59">
        <f>IF('Updated Dummy'!Y1361=2,1,0)</f>
        <v>0</v>
      </c>
      <c r="AB1361" s="59">
        <f t="shared" si="409"/>
        <v>0</v>
      </c>
      <c r="AC1361" s="59">
        <f t="shared" si="410"/>
        <v>0</v>
      </c>
      <c r="AD1361" s="59">
        <f t="shared" si="411"/>
        <v>0</v>
      </c>
      <c r="AE1361" s="59">
        <f t="shared" si="412"/>
        <v>0</v>
      </c>
      <c r="AF1361" s="59">
        <f t="shared" si="413"/>
        <v>0</v>
      </c>
      <c r="AG1361" s="59">
        <f t="shared" si="414"/>
        <v>0</v>
      </c>
      <c r="AH1361" s="59">
        <v>4</v>
      </c>
      <c r="AI1361" s="59">
        <v>2</v>
      </c>
      <c r="AJ1361" s="59">
        <f t="shared" si="415"/>
        <v>0</v>
      </c>
      <c r="AK1361" s="59">
        <f t="shared" si="416"/>
        <v>1</v>
      </c>
      <c r="AL1361" s="59">
        <v>8103</v>
      </c>
      <c r="AM1361" s="59">
        <v>16495</v>
      </c>
      <c r="AN1361" s="59">
        <v>3</v>
      </c>
      <c r="AO1361" s="59">
        <v>1</v>
      </c>
      <c r="AP1361" s="59">
        <v>12</v>
      </c>
      <c r="AQ1361" s="59">
        <v>3</v>
      </c>
      <c r="AR1361" s="59">
        <v>3</v>
      </c>
      <c r="AS1361" s="59">
        <v>80</v>
      </c>
      <c r="AT1361" s="59">
        <v>0</v>
      </c>
      <c r="AU1361" s="59">
        <v>9</v>
      </c>
      <c r="AV1361" s="59">
        <v>3</v>
      </c>
      <c r="AW1361" s="59">
        <v>2</v>
      </c>
      <c r="AX1361" s="59">
        <v>4</v>
      </c>
      <c r="AY1361" s="59">
        <v>2</v>
      </c>
      <c r="AZ1361" s="59">
        <v>0</v>
      </c>
      <c r="BA1361" s="59">
        <v>1</v>
      </c>
      <c r="BB1361" s="57">
        <f t="shared" si="417"/>
        <v>16206</v>
      </c>
    </row>
    <row r="1362" spans="1:54" x14ac:dyDescent="0.25">
      <c r="A1362" s="58">
        <v>31</v>
      </c>
      <c r="B1362" s="59">
        <v>0</v>
      </c>
      <c r="C1362" s="59">
        <v>1</v>
      </c>
      <c r="D1362" s="59">
        <f t="shared" si="399"/>
        <v>1</v>
      </c>
      <c r="E1362" s="59">
        <f t="shared" si="400"/>
        <v>0</v>
      </c>
      <c r="F1362" s="59">
        <v>471</v>
      </c>
      <c r="G1362" s="59">
        <v>2</v>
      </c>
      <c r="H1362" s="59">
        <f t="shared" si="401"/>
        <v>0</v>
      </c>
      <c r="I1362" s="59">
        <f t="shared" si="402"/>
        <v>1</v>
      </c>
      <c r="J1362" s="59">
        <v>4</v>
      </c>
      <c r="K1362" s="59">
        <v>3</v>
      </c>
      <c r="L1362" s="59">
        <v>3</v>
      </c>
      <c r="M1362" s="59">
        <f t="shared" si="403"/>
        <v>0</v>
      </c>
      <c r="N1362" s="59">
        <f t="shared" si="404"/>
        <v>0</v>
      </c>
      <c r="O1362" s="59">
        <f t="shared" si="405"/>
        <v>1</v>
      </c>
      <c r="P1362" s="59">
        <f t="shared" si="406"/>
        <v>0</v>
      </c>
      <c r="Q1362" s="59">
        <f t="shared" si="407"/>
        <v>0</v>
      </c>
      <c r="R1362" s="59">
        <v>1</v>
      </c>
      <c r="S1362" s="59">
        <v>1916</v>
      </c>
      <c r="T1362" s="59">
        <v>1</v>
      </c>
      <c r="U1362" s="59">
        <v>0</v>
      </c>
      <c r="V1362" s="59">
        <v>62</v>
      </c>
      <c r="W1362" s="59">
        <v>4</v>
      </c>
      <c r="X1362" s="59">
        <v>1</v>
      </c>
      <c r="Y1362" s="59">
        <v>3</v>
      </c>
      <c r="Z1362" s="59">
        <f t="shared" si="408"/>
        <v>0</v>
      </c>
      <c r="AA1362" s="59">
        <f>IF('Updated Dummy'!Y1362=2,1,0)</f>
        <v>0</v>
      </c>
      <c r="AB1362" s="59">
        <f t="shared" si="409"/>
        <v>1</v>
      </c>
      <c r="AC1362" s="59">
        <f t="shared" si="410"/>
        <v>0</v>
      </c>
      <c r="AD1362" s="59">
        <f t="shared" si="411"/>
        <v>0</v>
      </c>
      <c r="AE1362" s="59">
        <f t="shared" si="412"/>
        <v>0</v>
      </c>
      <c r="AF1362" s="59">
        <f t="shared" si="413"/>
        <v>0</v>
      </c>
      <c r="AG1362" s="59">
        <f t="shared" si="414"/>
        <v>0</v>
      </c>
      <c r="AH1362" s="59">
        <v>3</v>
      </c>
      <c r="AI1362" s="59">
        <v>3</v>
      </c>
      <c r="AJ1362" s="59">
        <f t="shared" si="415"/>
        <v>0</v>
      </c>
      <c r="AK1362" s="59">
        <f t="shared" si="416"/>
        <v>0</v>
      </c>
      <c r="AL1362" s="59">
        <v>3978</v>
      </c>
      <c r="AM1362" s="59">
        <v>16031</v>
      </c>
      <c r="AN1362" s="59">
        <v>8</v>
      </c>
      <c r="AO1362" s="59">
        <v>0</v>
      </c>
      <c r="AP1362" s="59">
        <v>12</v>
      </c>
      <c r="AQ1362" s="59">
        <v>3</v>
      </c>
      <c r="AR1362" s="59">
        <v>2</v>
      </c>
      <c r="AS1362" s="59">
        <v>80</v>
      </c>
      <c r="AT1362" s="59">
        <v>1</v>
      </c>
      <c r="AU1362" s="59">
        <v>4</v>
      </c>
      <c r="AV1362" s="59">
        <v>0</v>
      </c>
      <c r="AW1362" s="59">
        <v>2</v>
      </c>
      <c r="AX1362" s="59">
        <v>2</v>
      </c>
      <c r="AY1362" s="59">
        <v>2</v>
      </c>
      <c r="AZ1362" s="59">
        <v>2</v>
      </c>
      <c r="BA1362" s="59">
        <v>2</v>
      </c>
      <c r="BB1362" s="57">
        <f t="shared" si="417"/>
        <v>3978</v>
      </c>
    </row>
    <row r="1363" spans="1:54" x14ac:dyDescent="0.25">
      <c r="A1363" s="58">
        <v>26</v>
      </c>
      <c r="B1363" s="59">
        <v>0</v>
      </c>
      <c r="C1363" s="59">
        <v>2</v>
      </c>
      <c r="D1363" s="59">
        <f t="shared" si="399"/>
        <v>0</v>
      </c>
      <c r="E1363" s="59">
        <f t="shared" si="400"/>
        <v>1</v>
      </c>
      <c r="F1363" s="59">
        <v>1096</v>
      </c>
      <c r="G1363" s="59">
        <v>2</v>
      </c>
      <c r="H1363" s="59">
        <f t="shared" si="401"/>
        <v>0</v>
      </c>
      <c r="I1363" s="59">
        <f t="shared" si="402"/>
        <v>1</v>
      </c>
      <c r="J1363" s="59">
        <v>6</v>
      </c>
      <c r="K1363" s="59">
        <v>3</v>
      </c>
      <c r="L1363" s="59">
        <v>6</v>
      </c>
      <c r="M1363" s="59">
        <f t="shared" si="403"/>
        <v>0</v>
      </c>
      <c r="N1363" s="59">
        <f t="shared" si="404"/>
        <v>0</v>
      </c>
      <c r="O1363" s="59">
        <f t="shared" si="405"/>
        <v>0</v>
      </c>
      <c r="P1363" s="59">
        <f t="shared" si="406"/>
        <v>0</v>
      </c>
      <c r="Q1363" s="59">
        <f t="shared" si="407"/>
        <v>0</v>
      </c>
      <c r="R1363" s="59">
        <v>1</v>
      </c>
      <c r="S1363" s="59">
        <v>1918</v>
      </c>
      <c r="T1363" s="59">
        <v>3</v>
      </c>
      <c r="U1363" s="59">
        <v>1</v>
      </c>
      <c r="V1363" s="59">
        <v>61</v>
      </c>
      <c r="W1363" s="59">
        <v>4</v>
      </c>
      <c r="X1363" s="59">
        <v>1</v>
      </c>
      <c r="Y1363" s="59">
        <v>3</v>
      </c>
      <c r="Z1363" s="59">
        <f t="shared" si="408"/>
        <v>0</v>
      </c>
      <c r="AA1363" s="59">
        <f>IF('Updated Dummy'!Y1363=2,1,0)</f>
        <v>0</v>
      </c>
      <c r="AB1363" s="59">
        <f t="shared" si="409"/>
        <v>1</v>
      </c>
      <c r="AC1363" s="59">
        <f t="shared" si="410"/>
        <v>0</v>
      </c>
      <c r="AD1363" s="59">
        <f t="shared" si="411"/>
        <v>0</v>
      </c>
      <c r="AE1363" s="59">
        <f t="shared" si="412"/>
        <v>0</v>
      </c>
      <c r="AF1363" s="59">
        <f t="shared" si="413"/>
        <v>0</v>
      </c>
      <c r="AG1363" s="59">
        <f t="shared" si="414"/>
        <v>0</v>
      </c>
      <c r="AH1363" s="59">
        <v>4</v>
      </c>
      <c r="AI1363" s="59">
        <v>2</v>
      </c>
      <c r="AJ1363" s="59">
        <f t="shared" si="415"/>
        <v>0</v>
      </c>
      <c r="AK1363" s="59">
        <f t="shared" si="416"/>
        <v>1</v>
      </c>
      <c r="AL1363" s="59">
        <v>2544</v>
      </c>
      <c r="AM1363" s="59">
        <v>7102</v>
      </c>
      <c r="AN1363" s="59">
        <v>0</v>
      </c>
      <c r="AO1363" s="59">
        <v>0</v>
      </c>
      <c r="AP1363" s="59">
        <v>18</v>
      </c>
      <c r="AQ1363" s="59">
        <v>3</v>
      </c>
      <c r="AR1363" s="59">
        <v>1</v>
      </c>
      <c r="AS1363" s="59">
        <v>80</v>
      </c>
      <c r="AT1363" s="59">
        <v>1</v>
      </c>
      <c r="AU1363" s="59">
        <v>8</v>
      </c>
      <c r="AV1363" s="59">
        <v>3</v>
      </c>
      <c r="AW1363" s="59">
        <v>3</v>
      </c>
      <c r="AX1363" s="59">
        <v>7</v>
      </c>
      <c r="AY1363" s="59">
        <v>7</v>
      </c>
      <c r="AZ1363" s="59">
        <v>7</v>
      </c>
      <c r="BA1363" s="59">
        <v>7</v>
      </c>
      <c r="BB1363" s="57">
        <f t="shared" si="417"/>
        <v>2544</v>
      </c>
    </row>
    <row r="1364" spans="1:54" x14ac:dyDescent="0.25">
      <c r="A1364" s="58">
        <v>45</v>
      </c>
      <c r="B1364" s="59">
        <v>0</v>
      </c>
      <c r="C1364" s="59">
        <v>2</v>
      </c>
      <c r="D1364" s="59">
        <f t="shared" si="399"/>
        <v>0</v>
      </c>
      <c r="E1364" s="59">
        <f t="shared" si="400"/>
        <v>1</v>
      </c>
      <c r="F1364" s="59">
        <v>1297</v>
      </c>
      <c r="G1364" s="59">
        <v>2</v>
      </c>
      <c r="H1364" s="59">
        <f t="shared" si="401"/>
        <v>0</v>
      </c>
      <c r="I1364" s="59">
        <f t="shared" si="402"/>
        <v>1</v>
      </c>
      <c r="J1364" s="59">
        <v>1</v>
      </c>
      <c r="K1364" s="59">
        <v>4</v>
      </c>
      <c r="L1364" s="59">
        <v>3</v>
      </c>
      <c r="M1364" s="59">
        <f t="shared" si="403"/>
        <v>0</v>
      </c>
      <c r="N1364" s="59">
        <f t="shared" si="404"/>
        <v>0</v>
      </c>
      <c r="O1364" s="59">
        <f t="shared" si="405"/>
        <v>1</v>
      </c>
      <c r="P1364" s="59">
        <f t="shared" si="406"/>
        <v>0</v>
      </c>
      <c r="Q1364" s="59">
        <f t="shared" si="407"/>
        <v>0</v>
      </c>
      <c r="R1364" s="59">
        <v>1</v>
      </c>
      <c r="S1364" s="59">
        <v>1922</v>
      </c>
      <c r="T1364" s="59">
        <v>2</v>
      </c>
      <c r="U1364" s="59">
        <v>1</v>
      </c>
      <c r="V1364" s="59">
        <v>44</v>
      </c>
      <c r="W1364" s="59">
        <v>3</v>
      </c>
      <c r="X1364" s="59">
        <v>2</v>
      </c>
      <c r="Y1364" s="59">
        <v>5</v>
      </c>
      <c r="Z1364" s="59">
        <f t="shared" si="408"/>
        <v>0</v>
      </c>
      <c r="AA1364" s="59">
        <f>IF('Updated Dummy'!Y1364=2,1,0)</f>
        <v>0</v>
      </c>
      <c r="AB1364" s="59">
        <f t="shared" si="409"/>
        <v>0</v>
      </c>
      <c r="AC1364" s="59">
        <f t="shared" si="410"/>
        <v>0</v>
      </c>
      <c r="AD1364" s="59">
        <f t="shared" si="411"/>
        <v>1</v>
      </c>
      <c r="AE1364" s="59">
        <f t="shared" si="412"/>
        <v>0</v>
      </c>
      <c r="AF1364" s="59">
        <f t="shared" si="413"/>
        <v>0</v>
      </c>
      <c r="AG1364" s="59">
        <f t="shared" si="414"/>
        <v>0</v>
      </c>
      <c r="AH1364" s="59">
        <v>3</v>
      </c>
      <c r="AI1364" s="59">
        <v>1</v>
      </c>
      <c r="AJ1364" s="59">
        <f t="shared" si="415"/>
        <v>1</v>
      </c>
      <c r="AK1364" s="59">
        <f t="shared" si="416"/>
        <v>0</v>
      </c>
      <c r="AL1364" s="59">
        <v>5399</v>
      </c>
      <c r="AM1364" s="59">
        <v>14511</v>
      </c>
      <c r="AN1364" s="59">
        <v>4</v>
      </c>
      <c r="AO1364" s="59">
        <v>0</v>
      </c>
      <c r="AP1364" s="59">
        <v>12</v>
      </c>
      <c r="AQ1364" s="59">
        <v>3</v>
      </c>
      <c r="AR1364" s="59">
        <v>3</v>
      </c>
      <c r="AS1364" s="59">
        <v>80</v>
      </c>
      <c r="AT1364" s="59">
        <v>0</v>
      </c>
      <c r="AU1364" s="59">
        <v>12</v>
      </c>
      <c r="AV1364" s="59">
        <v>3</v>
      </c>
      <c r="AW1364" s="59">
        <v>3</v>
      </c>
      <c r="AX1364" s="59">
        <v>4</v>
      </c>
      <c r="AY1364" s="59">
        <v>2</v>
      </c>
      <c r="AZ1364" s="59">
        <v>0</v>
      </c>
      <c r="BA1364" s="59">
        <v>3</v>
      </c>
      <c r="BB1364" s="57">
        <f t="shared" si="417"/>
        <v>10798</v>
      </c>
    </row>
    <row r="1365" spans="1:54" x14ac:dyDescent="0.25">
      <c r="A1365" s="58">
        <v>33</v>
      </c>
      <c r="B1365" s="59">
        <v>0</v>
      </c>
      <c r="C1365" s="59">
        <v>1</v>
      </c>
      <c r="D1365" s="59">
        <f t="shared" si="399"/>
        <v>1</v>
      </c>
      <c r="E1365" s="59">
        <f t="shared" si="400"/>
        <v>0</v>
      </c>
      <c r="F1365" s="59">
        <v>217</v>
      </c>
      <c r="G1365" s="59">
        <v>1</v>
      </c>
      <c r="H1365" s="59">
        <f t="shared" si="401"/>
        <v>1</v>
      </c>
      <c r="I1365" s="59">
        <f t="shared" si="402"/>
        <v>0</v>
      </c>
      <c r="J1365" s="59">
        <v>10</v>
      </c>
      <c r="K1365" s="59">
        <v>4</v>
      </c>
      <c r="L1365" s="59">
        <v>4</v>
      </c>
      <c r="M1365" s="59">
        <f t="shared" si="403"/>
        <v>0</v>
      </c>
      <c r="N1365" s="59">
        <f t="shared" si="404"/>
        <v>0</v>
      </c>
      <c r="O1365" s="59">
        <f t="shared" si="405"/>
        <v>0</v>
      </c>
      <c r="P1365" s="59">
        <f t="shared" si="406"/>
        <v>1</v>
      </c>
      <c r="Q1365" s="59">
        <f t="shared" si="407"/>
        <v>0</v>
      </c>
      <c r="R1365" s="59">
        <v>1</v>
      </c>
      <c r="S1365" s="59">
        <v>1924</v>
      </c>
      <c r="T1365" s="59">
        <v>2</v>
      </c>
      <c r="U1365" s="59">
        <v>1</v>
      </c>
      <c r="V1365" s="59">
        <v>43</v>
      </c>
      <c r="W1365" s="59">
        <v>3</v>
      </c>
      <c r="X1365" s="59">
        <v>2</v>
      </c>
      <c r="Y1365" s="59">
        <v>1</v>
      </c>
      <c r="Z1365" s="59">
        <f t="shared" si="408"/>
        <v>1</v>
      </c>
      <c r="AA1365" s="59">
        <f>IF('Updated Dummy'!Y1365=2,1,0)</f>
        <v>0</v>
      </c>
      <c r="AB1365" s="59">
        <f t="shared" si="409"/>
        <v>0</v>
      </c>
      <c r="AC1365" s="59">
        <f t="shared" si="410"/>
        <v>0</v>
      </c>
      <c r="AD1365" s="59">
        <f t="shared" si="411"/>
        <v>0</v>
      </c>
      <c r="AE1365" s="59">
        <f t="shared" si="412"/>
        <v>0</v>
      </c>
      <c r="AF1365" s="59">
        <f t="shared" si="413"/>
        <v>0</v>
      </c>
      <c r="AG1365" s="59">
        <f t="shared" si="414"/>
        <v>0</v>
      </c>
      <c r="AH1365" s="59">
        <v>3</v>
      </c>
      <c r="AI1365" s="59">
        <v>1</v>
      </c>
      <c r="AJ1365" s="59">
        <f t="shared" si="415"/>
        <v>1</v>
      </c>
      <c r="AK1365" s="59">
        <f t="shared" si="416"/>
        <v>0</v>
      </c>
      <c r="AL1365" s="59">
        <v>5487</v>
      </c>
      <c r="AM1365" s="59">
        <v>10410</v>
      </c>
      <c r="AN1365" s="59">
        <v>1</v>
      </c>
      <c r="AO1365" s="59">
        <v>0</v>
      </c>
      <c r="AP1365" s="59">
        <v>14</v>
      </c>
      <c r="AQ1365" s="59">
        <v>3</v>
      </c>
      <c r="AR1365" s="59">
        <v>2</v>
      </c>
      <c r="AS1365" s="59">
        <v>80</v>
      </c>
      <c r="AT1365" s="59">
        <v>0</v>
      </c>
      <c r="AU1365" s="59">
        <v>10</v>
      </c>
      <c r="AV1365" s="59">
        <v>2</v>
      </c>
      <c r="AW1365" s="59">
        <v>2</v>
      </c>
      <c r="AX1365" s="59">
        <v>10</v>
      </c>
      <c r="AY1365" s="59">
        <v>4</v>
      </c>
      <c r="AZ1365" s="59">
        <v>0</v>
      </c>
      <c r="BA1365" s="59">
        <v>9</v>
      </c>
      <c r="BB1365" s="57">
        <f t="shared" si="417"/>
        <v>10974</v>
      </c>
    </row>
    <row r="1366" spans="1:54" x14ac:dyDescent="0.25">
      <c r="A1366" s="58">
        <v>28</v>
      </c>
      <c r="B1366" s="59">
        <v>0</v>
      </c>
      <c r="C1366" s="59">
        <v>2</v>
      </c>
      <c r="D1366" s="59">
        <f t="shared" si="399"/>
        <v>0</v>
      </c>
      <c r="E1366" s="59">
        <f t="shared" si="400"/>
        <v>1</v>
      </c>
      <c r="F1366" s="59">
        <v>783</v>
      </c>
      <c r="G1366" s="59">
        <v>1</v>
      </c>
      <c r="H1366" s="59">
        <f t="shared" si="401"/>
        <v>1</v>
      </c>
      <c r="I1366" s="59">
        <f t="shared" si="402"/>
        <v>0</v>
      </c>
      <c r="J1366" s="59">
        <v>1</v>
      </c>
      <c r="K1366" s="59">
        <v>2</v>
      </c>
      <c r="L1366" s="59">
        <v>1</v>
      </c>
      <c r="M1366" s="59">
        <f t="shared" si="403"/>
        <v>1</v>
      </c>
      <c r="N1366" s="59">
        <f t="shared" si="404"/>
        <v>0</v>
      </c>
      <c r="O1366" s="59">
        <f t="shared" si="405"/>
        <v>0</v>
      </c>
      <c r="P1366" s="59">
        <f t="shared" si="406"/>
        <v>0</v>
      </c>
      <c r="Q1366" s="59">
        <f t="shared" si="407"/>
        <v>0</v>
      </c>
      <c r="R1366" s="59">
        <v>1</v>
      </c>
      <c r="S1366" s="59">
        <v>1927</v>
      </c>
      <c r="T1366" s="59">
        <v>3</v>
      </c>
      <c r="U1366" s="59">
        <v>1</v>
      </c>
      <c r="V1366" s="59">
        <v>42</v>
      </c>
      <c r="W1366" s="59">
        <v>2</v>
      </c>
      <c r="X1366" s="59">
        <v>2</v>
      </c>
      <c r="Y1366" s="59">
        <v>1</v>
      </c>
      <c r="Z1366" s="59">
        <f t="shared" si="408"/>
        <v>1</v>
      </c>
      <c r="AA1366" s="59">
        <f>IF('Updated Dummy'!Y1366=2,1,0)</f>
        <v>0</v>
      </c>
      <c r="AB1366" s="59">
        <f t="shared" si="409"/>
        <v>0</v>
      </c>
      <c r="AC1366" s="59">
        <f t="shared" si="410"/>
        <v>0</v>
      </c>
      <c r="AD1366" s="59">
        <f t="shared" si="411"/>
        <v>0</v>
      </c>
      <c r="AE1366" s="59">
        <f t="shared" si="412"/>
        <v>0</v>
      </c>
      <c r="AF1366" s="59">
        <f t="shared" si="413"/>
        <v>0</v>
      </c>
      <c r="AG1366" s="59">
        <f t="shared" si="414"/>
        <v>0</v>
      </c>
      <c r="AH1366" s="59">
        <v>4</v>
      </c>
      <c r="AI1366" s="59">
        <v>2</v>
      </c>
      <c r="AJ1366" s="59">
        <f t="shared" si="415"/>
        <v>0</v>
      </c>
      <c r="AK1366" s="59">
        <f t="shared" si="416"/>
        <v>1</v>
      </c>
      <c r="AL1366" s="59">
        <v>6834</v>
      </c>
      <c r="AM1366" s="59">
        <v>19255</v>
      </c>
      <c r="AN1366" s="59">
        <v>1</v>
      </c>
      <c r="AO1366" s="59">
        <v>1</v>
      </c>
      <c r="AP1366" s="59">
        <v>12</v>
      </c>
      <c r="AQ1366" s="59">
        <v>3</v>
      </c>
      <c r="AR1366" s="59">
        <v>3</v>
      </c>
      <c r="AS1366" s="59">
        <v>80</v>
      </c>
      <c r="AT1366" s="59">
        <v>1</v>
      </c>
      <c r="AU1366" s="59">
        <v>7</v>
      </c>
      <c r="AV1366" s="59">
        <v>2</v>
      </c>
      <c r="AW1366" s="59">
        <v>3</v>
      </c>
      <c r="AX1366" s="59">
        <v>7</v>
      </c>
      <c r="AY1366" s="59">
        <v>7</v>
      </c>
      <c r="AZ1366" s="59">
        <v>0</v>
      </c>
      <c r="BA1366" s="59">
        <v>7</v>
      </c>
      <c r="BB1366" s="57">
        <f t="shared" si="417"/>
        <v>13668</v>
      </c>
    </row>
    <row r="1367" spans="1:54" x14ac:dyDescent="0.25">
      <c r="A1367" s="58">
        <v>29</v>
      </c>
      <c r="B1367" s="59">
        <v>1</v>
      </c>
      <c r="C1367" s="59">
        <v>2</v>
      </c>
      <c r="D1367" s="59">
        <f t="shared" si="399"/>
        <v>0</v>
      </c>
      <c r="E1367" s="59">
        <f t="shared" si="400"/>
        <v>1</v>
      </c>
      <c r="F1367" s="59">
        <v>746</v>
      </c>
      <c r="G1367" s="59">
        <v>1</v>
      </c>
      <c r="H1367" s="59">
        <f t="shared" si="401"/>
        <v>1</v>
      </c>
      <c r="I1367" s="59">
        <f t="shared" si="402"/>
        <v>0</v>
      </c>
      <c r="J1367" s="59">
        <v>24</v>
      </c>
      <c r="K1367" s="59">
        <v>3</v>
      </c>
      <c r="L1367" s="59">
        <v>5</v>
      </c>
      <c r="M1367" s="59">
        <f t="shared" si="403"/>
        <v>0</v>
      </c>
      <c r="N1367" s="59">
        <f t="shared" si="404"/>
        <v>0</v>
      </c>
      <c r="O1367" s="59">
        <f t="shared" si="405"/>
        <v>0</v>
      </c>
      <c r="P1367" s="59">
        <f t="shared" si="406"/>
        <v>0</v>
      </c>
      <c r="Q1367" s="59">
        <f t="shared" si="407"/>
        <v>1</v>
      </c>
      <c r="R1367" s="59">
        <v>1</v>
      </c>
      <c r="S1367" s="59">
        <v>1928</v>
      </c>
      <c r="T1367" s="59">
        <v>3</v>
      </c>
      <c r="U1367" s="59">
        <v>1</v>
      </c>
      <c r="V1367" s="59">
        <v>45</v>
      </c>
      <c r="W1367" s="59">
        <v>4</v>
      </c>
      <c r="X1367" s="59">
        <v>1</v>
      </c>
      <c r="Y1367" s="59">
        <v>7</v>
      </c>
      <c r="Z1367" s="59">
        <f t="shared" si="408"/>
        <v>0</v>
      </c>
      <c r="AA1367" s="59">
        <f>IF('Updated Dummy'!Y1367=2,1,0)</f>
        <v>0</v>
      </c>
      <c r="AB1367" s="59">
        <f t="shared" si="409"/>
        <v>0</v>
      </c>
      <c r="AC1367" s="59">
        <f t="shared" si="410"/>
        <v>0</v>
      </c>
      <c r="AD1367" s="59">
        <f t="shared" si="411"/>
        <v>0</v>
      </c>
      <c r="AE1367" s="59">
        <f t="shared" si="412"/>
        <v>0</v>
      </c>
      <c r="AF1367" s="59">
        <f t="shared" si="413"/>
        <v>1</v>
      </c>
      <c r="AG1367" s="59">
        <f t="shared" si="414"/>
        <v>0</v>
      </c>
      <c r="AH1367" s="59">
        <v>1</v>
      </c>
      <c r="AI1367" s="59">
        <v>1</v>
      </c>
      <c r="AJ1367" s="59">
        <f t="shared" si="415"/>
        <v>1</v>
      </c>
      <c r="AK1367" s="59">
        <f t="shared" si="416"/>
        <v>0</v>
      </c>
      <c r="AL1367" s="59">
        <v>1091</v>
      </c>
      <c r="AM1367" s="59">
        <v>10642</v>
      </c>
      <c r="AN1367" s="59">
        <v>1</v>
      </c>
      <c r="AO1367" s="59">
        <v>0</v>
      </c>
      <c r="AP1367" s="59">
        <v>17</v>
      </c>
      <c r="AQ1367" s="59">
        <v>3</v>
      </c>
      <c r="AR1367" s="59">
        <v>4</v>
      </c>
      <c r="AS1367" s="59">
        <v>80</v>
      </c>
      <c r="AT1367" s="59">
        <v>0</v>
      </c>
      <c r="AU1367" s="59">
        <v>1</v>
      </c>
      <c r="AV1367" s="59">
        <v>3</v>
      </c>
      <c r="AW1367" s="59">
        <v>3</v>
      </c>
      <c r="AX1367" s="59">
        <v>1</v>
      </c>
      <c r="AY1367" s="59">
        <v>0</v>
      </c>
      <c r="AZ1367" s="59">
        <v>0</v>
      </c>
      <c r="BA1367" s="59">
        <v>0</v>
      </c>
      <c r="BB1367" s="57">
        <f t="shared" si="417"/>
        <v>1091</v>
      </c>
    </row>
    <row r="1368" spans="1:54" x14ac:dyDescent="0.25">
      <c r="A1368" s="58">
        <v>39</v>
      </c>
      <c r="B1368" s="59">
        <v>0</v>
      </c>
      <c r="C1368" s="59">
        <v>3</v>
      </c>
      <c r="D1368" s="59">
        <f t="shared" si="399"/>
        <v>0</v>
      </c>
      <c r="E1368" s="59">
        <f t="shared" si="400"/>
        <v>0</v>
      </c>
      <c r="F1368" s="59">
        <v>1251</v>
      </c>
      <c r="G1368" s="59">
        <v>1</v>
      </c>
      <c r="H1368" s="59">
        <f t="shared" si="401"/>
        <v>1</v>
      </c>
      <c r="I1368" s="59">
        <f t="shared" si="402"/>
        <v>0</v>
      </c>
      <c r="J1368" s="59">
        <v>21</v>
      </c>
      <c r="K1368" s="59">
        <v>4</v>
      </c>
      <c r="L1368" s="59">
        <v>1</v>
      </c>
      <c r="M1368" s="59">
        <f t="shared" si="403"/>
        <v>1</v>
      </c>
      <c r="N1368" s="59">
        <f t="shared" si="404"/>
        <v>0</v>
      </c>
      <c r="O1368" s="59">
        <f t="shared" si="405"/>
        <v>0</v>
      </c>
      <c r="P1368" s="59">
        <f t="shared" si="406"/>
        <v>0</v>
      </c>
      <c r="Q1368" s="59">
        <f t="shared" si="407"/>
        <v>0</v>
      </c>
      <c r="R1368" s="59">
        <v>1</v>
      </c>
      <c r="S1368" s="59">
        <v>1929</v>
      </c>
      <c r="T1368" s="59">
        <v>1</v>
      </c>
      <c r="U1368" s="59">
        <v>0</v>
      </c>
      <c r="V1368" s="59">
        <v>32</v>
      </c>
      <c r="W1368" s="59">
        <v>1</v>
      </c>
      <c r="X1368" s="59">
        <v>2</v>
      </c>
      <c r="Y1368" s="59">
        <v>1</v>
      </c>
      <c r="Z1368" s="59">
        <f t="shared" si="408"/>
        <v>1</v>
      </c>
      <c r="AA1368" s="59">
        <f>IF('Updated Dummy'!Y1368=2,1,0)</f>
        <v>0</v>
      </c>
      <c r="AB1368" s="59">
        <f t="shared" si="409"/>
        <v>0</v>
      </c>
      <c r="AC1368" s="59">
        <f t="shared" si="410"/>
        <v>0</v>
      </c>
      <c r="AD1368" s="59">
        <f t="shared" si="411"/>
        <v>0</v>
      </c>
      <c r="AE1368" s="59">
        <f t="shared" si="412"/>
        <v>0</v>
      </c>
      <c r="AF1368" s="59">
        <f t="shared" si="413"/>
        <v>0</v>
      </c>
      <c r="AG1368" s="59">
        <f t="shared" si="414"/>
        <v>0</v>
      </c>
      <c r="AH1368" s="59">
        <v>3</v>
      </c>
      <c r="AI1368" s="59">
        <v>2</v>
      </c>
      <c r="AJ1368" s="59">
        <f t="shared" si="415"/>
        <v>0</v>
      </c>
      <c r="AK1368" s="59">
        <f t="shared" si="416"/>
        <v>1</v>
      </c>
      <c r="AL1368" s="59">
        <v>5736</v>
      </c>
      <c r="AM1368" s="59">
        <v>3987</v>
      </c>
      <c r="AN1368" s="59">
        <v>6</v>
      </c>
      <c r="AO1368" s="59">
        <v>0</v>
      </c>
      <c r="AP1368" s="59">
        <v>19</v>
      </c>
      <c r="AQ1368" s="59">
        <v>3</v>
      </c>
      <c r="AR1368" s="59">
        <v>3</v>
      </c>
      <c r="AS1368" s="59">
        <v>80</v>
      </c>
      <c r="AT1368" s="59">
        <v>1</v>
      </c>
      <c r="AU1368" s="59">
        <v>10</v>
      </c>
      <c r="AV1368" s="59">
        <v>1</v>
      </c>
      <c r="AW1368" s="59">
        <v>3</v>
      </c>
      <c r="AX1368" s="59">
        <v>3</v>
      </c>
      <c r="AY1368" s="59">
        <v>2</v>
      </c>
      <c r="AZ1368" s="59">
        <v>1</v>
      </c>
      <c r="BA1368" s="59">
        <v>2</v>
      </c>
      <c r="BB1368" s="57">
        <f t="shared" si="417"/>
        <v>11472</v>
      </c>
    </row>
    <row r="1369" spans="1:54" x14ac:dyDescent="0.25">
      <c r="A1369" s="58">
        <v>27</v>
      </c>
      <c r="B1369" s="59">
        <v>0</v>
      </c>
      <c r="C1369" s="59">
        <v>1</v>
      </c>
      <c r="D1369" s="59">
        <f t="shared" si="399"/>
        <v>1</v>
      </c>
      <c r="E1369" s="59">
        <f t="shared" si="400"/>
        <v>0</v>
      </c>
      <c r="F1369" s="59">
        <v>1354</v>
      </c>
      <c r="G1369" s="59">
        <v>2</v>
      </c>
      <c r="H1369" s="59">
        <f t="shared" si="401"/>
        <v>0</v>
      </c>
      <c r="I1369" s="59">
        <f t="shared" si="402"/>
        <v>1</v>
      </c>
      <c r="J1369" s="59">
        <v>2</v>
      </c>
      <c r="K1369" s="59">
        <v>4</v>
      </c>
      <c r="L1369" s="59">
        <v>5</v>
      </c>
      <c r="M1369" s="59">
        <f t="shared" si="403"/>
        <v>0</v>
      </c>
      <c r="N1369" s="59">
        <f t="shared" si="404"/>
        <v>0</v>
      </c>
      <c r="O1369" s="59">
        <f t="shared" si="405"/>
        <v>0</v>
      </c>
      <c r="P1369" s="59">
        <f t="shared" si="406"/>
        <v>0</v>
      </c>
      <c r="Q1369" s="59">
        <f t="shared" si="407"/>
        <v>1</v>
      </c>
      <c r="R1369" s="59">
        <v>1</v>
      </c>
      <c r="S1369" s="59">
        <v>1931</v>
      </c>
      <c r="T1369" s="59">
        <v>2</v>
      </c>
      <c r="U1369" s="59">
        <v>1</v>
      </c>
      <c r="V1369" s="59">
        <v>41</v>
      </c>
      <c r="W1369" s="59">
        <v>3</v>
      </c>
      <c r="X1369" s="59">
        <v>1</v>
      </c>
      <c r="Y1369" s="59">
        <v>2</v>
      </c>
      <c r="Z1369" s="59">
        <f t="shared" si="408"/>
        <v>0</v>
      </c>
      <c r="AA1369" s="59">
        <f>IF('Updated Dummy'!Y1369=2,1,0)</f>
        <v>1</v>
      </c>
      <c r="AB1369" s="59">
        <f t="shared" si="409"/>
        <v>0</v>
      </c>
      <c r="AC1369" s="59">
        <f t="shared" si="410"/>
        <v>0</v>
      </c>
      <c r="AD1369" s="59">
        <f t="shared" si="411"/>
        <v>0</v>
      </c>
      <c r="AE1369" s="59">
        <f t="shared" si="412"/>
        <v>0</v>
      </c>
      <c r="AF1369" s="59">
        <f t="shared" si="413"/>
        <v>0</v>
      </c>
      <c r="AG1369" s="59">
        <f t="shared" si="414"/>
        <v>0</v>
      </c>
      <c r="AH1369" s="59">
        <v>2</v>
      </c>
      <c r="AI1369" s="59">
        <v>2</v>
      </c>
      <c r="AJ1369" s="59">
        <f t="shared" si="415"/>
        <v>0</v>
      </c>
      <c r="AK1369" s="59">
        <f t="shared" si="416"/>
        <v>1</v>
      </c>
      <c r="AL1369" s="59">
        <v>2226</v>
      </c>
      <c r="AM1369" s="59">
        <v>6073</v>
      </c>
      <c r="AN1369" s="59">
        <v>1</v>
      </c>
      <c r="AO1369" s="59">
        <v>0</v>
      </c>
      <c r="AP1369" s="59">
        <v>11</v>
      </c>
      <c r="AQ1369" s="59">
        <v>3</v>
      </c>
      <c r="AR1369" s="59">
        <v>3</v>
      </c>
      <c r="AS1369" s="59">
        <v>80</v>
      </c>
      <c r="AT1369" s="59">
        <v>1</v>
      </c>
      <c r="AU1369" s="59">
        <v>6</v>
      </c>
      <c r="AV1369" s="59">
        <v>3</v>
      </c>
      <c r="AW1369" s="59">
        <v>2</v>
      </c>
      <c r="AX1369" s="59">
        <v>5</v>
      </c>
      <c r="AY1369" s="59">
        <v>3</v>
      </c>
      <c r="AZ1369" s="59">
        <v>1</v>
      </c>
      <c r="BA1369" s="59">
        <v>2</v>
      </c>
      <c r="BB1369" s="57">
        <f t="shared" si="417"/>
        <v>2226</v>
      </c>
    </row>
    <row r="1370" spans="1:54" x14ac:dyDescent="0.25">
      <c r="A1370" s="58">
        <v>34</v>
      </c>
      <c r="B1370" s="59">
        <v>0</v>
      </c>
      <c r="C1370" s="59">
        <v>2</v>
      </c>
      <c r="D1370" s="59">
        <f t="shared" si="399"/>
        <v>0</v>
      </c>
      <c r="E1370" s="59">
        <f t="shared" si="400"/>
        <v>1</v>
      </c>
      <c r="F1370" s="59">
        <v>735</v>
      </c>
      <c r="G1370" s="59">
        <v>2</v>
      </c>
      <c r="H1370" s="59">
        <f t="shared" si="401"/>
        <v>0</v>
      </c>
      <c r="I1370" s="59">
        <f t="shared" si="402"/>
        <v>1</v>
      </c>
      <c r="J1370" s="59">
        <v>22</v>
      </c>
      <c r="K1370" s="59">
        <v>4</v>
      </c>
      <c r="L1370" s="59">
        <v>6</v>
      </c>
      <c r="M1370" s="59">
        <f t="shared" si="403"/>
        <v>0</v>
      </c>
      <c r="N1370" s="59">
        <f t="shared" si="404"/>
        <v>0</v>
      </c>
      <c r="O1370" s="59">
        <f t="shared" si="405"/>
        <v>0</v>
      </c>
      <c r="P1370" s="59">
        <f t="shared" si="406"/>
        <v>0</v>
      </c>
      <c r="Q1370" s="59">
        <f t="shared" si="407"/>
        <v>0</v>
      </c>
      <c r="R1370" s="59">
        <v>1</v>
      </c>
      <c r="S1370" s="59">
        <v>1932</v>
      </c>
      <c r="T1370" s="59">
        <v>3</v>
      </c>
      <c r="U1370" s="59">
        <v>1</v>
      </c>
      <c r="V1370" s="59">
        <v>86</v>
      </c>
      <c r="W1370" s="59">
        <v>2</v>
      </c>
      <c r="X1370" s="59">
        <v>2</v>
      </c>
      <c r="Y1370" s="59">
        <v>2</v>
      </c>
      <c r="Z1370" s="59">
        <f t="shared" si="408"/>
        <v>0</v>
      </c>
      <c r="AA1370" s="59">
        <f>IF('Updated Dummy'!Y1370=2,1,0)</f>
        <v>1</v>
      </c>
      <c r="AB1370" s="59">
        <f t="shared" si="409"/>
        <v>0</v>
      </c>
      <c r="AC1370" s="59">
        <f t="shared" si="410"/>
        <v>0</v>
      </c>
      <c r="AD1370" s="59">
        <f t="shared" si="411"/>
        <v>0</v>
      </c>
      <c r="AE1370" s="59">
        <f t="shared" si="412"/>
        <v>0</v>
      </c>
      <c r="AF1370" s="59">
        <f t="shared" si="413"/>
        <v>0</v>
      </c>
      <c r="AG1370" s="59">
        <f t="shared" si="414"/>
        <v>0</v>
      </c>
      <c r="AH1370" s="59">
        <v>4</v>
      </c>
      <c r="AI1370" s="59">
        <v>2</v>
      </c>
      <c r="AJ1370" s="59">
        <f t="shared" si="415"/>
        <v>0</v>
      </c>
      <c r="AK1370" s="59">
        <f t="shared" si="416"/>
        <v>1</v>
      </c>
      <c r="AL1370" s="59">
        <v>5747</v>
      </c>
      <c r="AM1370" s="59">
        <v>26496</v>
      </c>
      <c r="AN1370" s="59">
        <v>1</v>
      </c>
      <c r="AO1370" s="59">
        <v>1</v>
      </c>
      <c r="AP1370" s="59">
        <v>15</v>
      </c>
      <c r="AQ1370" s="59">
        <v>3</v>
      </c>
      <c r="AR1370" s="59">
        <v>2</v>
      </c>
      <c r="AS1370" s="59">
        <v>80</v>
      </c>
      <c r="AT1370" s="59">
        <v>0</v>
      </c>
      <c r="AU1370" s="59">
        <v>16</v>
      </c>
      <c r="AV1370" s="59">
        <v>3</v>
      </c>
      <c r="AW1370" s="59">
        <v>3</v>
      </c>
      <c r="AX1370" s="59">
        <v>15</v>
      </c>
      <c r="AY1370" s="59">
        <v>10</v>
      </c>
      <c r="AZ1370" s="59">
        <v>6</v>
      </c>
      <c r="BA1370" s="59">
        <v>11</v>
      </c>
      <c r="BB1370" s="57">
        <f t="shared" si="417"/>
        <v>11494</v>
      </c>
    </row>
    <row r="1371" spans="1:54" x14ac:dyDescent="0.25">
      <c r="A1371" s="58">
        <v>28</v>
      </c>
      <c r="B1371" s="59">
        <v>1</v>
      </c>
      <c r="C1371" s="59">
        <v>1</v>
      </c>
      <c r="D1371" s="59">
        <f t="shared" si="399"/>
        <v>1</v>
      </c>
      <c r="E1371" s="59">
        <f t="shared" si="400"/>
        <v>0</v>
      </c>
      <c r="F1371" s="59">
        <v>1475</v>
      </c>
      <c r="G1371" s="59">
        <v>1</v>
      </c>
      <c r="H1371" s="59">
        <f t="shared" si="401"/>
        <v>1</v>
      </c>
      <c r="I1371" s="59">
        <f t="shared" si="402"/>
        <v>0</v>
      </c>
      <c r="J1371" s="59">
        <v>13</v>
      </c>
      <c r="K1371" s="59">
        <v>2</v>
      </c>
      <c r="L1371" s="59">
        <v>4</v>
      </c>
      <c r="M1371" s="59">
        <f t="shared" si="403"/>
        <v>0</v>
      </c>
      <c r="N1371" s="59">
        <f t="shared" si="404"/>
        <v>0</v>
      </c>
      <c r="O1371" s="59">
        <f t="shared" si="405"/>
        <v>0</v>
      </c>
      <c r="P1371" s="59">
        <f t="shared" si="406"/>
        <v>1</v>
      </c>
      <c r="Q1371" s="59">
        <f t="shared" si="407"/>
        <v>0</v>
      </c>
      <c r="R1371" s="59">
        <v>1</v>
      </c>
      <c r="S1371" s="59">
        <v>1933</v>
      </c>
      <c r="T1371" s="59">
        <v>4</v>
      </c>
      <c r="U1371" s="59">
        <v>0</v>
      </c>
      <c r="V1371" s="59">
        <v>84</v>
      </c>
      <c r="W1371" s="59">
        <v>3</v>
      </c>
      <c r="X1371" s="59">
        <v>2</v>
      </c>
      <c r="Y1371" s="59">
        <v>1</v>
      </c>
      <c r="Z1371" s="59">
        <f t="shared" si="408"/>
        <v>1</v>
      </c>
      <c r="AA1371" s="59">
        <f>IF('Updated Dummy'!Y1371=2,1,0)</f>
        <v>0</v>
      </c>
      <c r="AB1371" s="59">
        <f t="shared" si="409"/>
        <v>0</v>
      </c>
      <c r="AC1371" s="59">
        <f t="shared" si="410"/>
        <v>0</v>
      </c>
      <c r="AD1371" s="59">
        <f t="shared" si="411"/>
        <v>0</v>
      </c>
      <c r="AE1371" s="59">
        <f t="shared" si="412"/>
        <v>0</v>
      </c>
      <c r="AF1371" s="59">
        <f t="shared" si="413"/>
        <v>0</v>
      </c>
      <c r="AG1371" s="59">
        <f t="shared" si="414"/>
        <v>0</v>
      </c>
      <c r="AH1371" s="59">
        <v>3</v>
      </c>
      <c r="AI1371" s="59">
        <v>1</v>
      </c>
      <c r="AJ1371" s="59">
        <f t="shared" si="415"/>
        <v>1</v>
      </c>
      <c r="AK1371" s="59">
        <f t="shared" si="416"/>
        <v>0</v>
      </c>
      <c r="AL1371" s="59">
        <v>9854</v>
      </c>
      <c r="AM1371" s="59">
        <v>23352</v>
      </c>
      <c r="AN1371" s="59">
        <v>3</v>
      </c>
      <c r="AO1371" s="59">
        <v>1</v>
      </c>
      <c r="AP1371" s="59">
        <v>11</v>
      </c>
      <c r="AQ1371" s="59">
        <v>3</v>
      </c>
      <c r="AR1371" s="59">
        <v>4</v>
      </c>
      <c r="AS1371" s="59">
        <v>80</v>
      </c>
      <c r="AT1371" s="59">
        <v>0</v>
      </c>
      <c r="AU1371" s="59">
        <v>6</v>
      </c>
      <c r="AV1371" s="59">
        <v>0</v>
      </c>
      <c r="AW1371" s="59">
        <v>3</v>
      </c>
      <c r="AX1371" s="59">
        <v>2</v>
      </c>
      <c r="AY1371" s="59">
        <v>0</v>
      </c>
      <c r="AZ1371" s="59">
        <v>2</v>
      </c>
      <c r="BA1371" s="59">
        <v>2</v>
      </c>
      <c r="BB1371" s="57">
        <f t="shared" si="417"/>
        <v>19708</v>
      </c>
    </row>
    <row r="1372" spans="1:54" x14ac:dyDescent="0.25">
      <c r="A1372" s="58">
        <v>47</v>
      </c>
      <c r="B1372" s="59">
        <v>0</v>
      </c>
      <c r="C1372" s="59">
        <v>3</v>
      </c>
      <c r="D1372" s="59">
        <f t="shared" si="399"/>
        <v>0</v>
      </c>
      <c r="E1372" s="59">
        <f t="shared" si="400"/>
        <v>0</v>
      </c>
      <c r="F1372" s="59">
        <v>1169</v>
      </c>
      <c r="G1372" s="59">
        <v>2</v>
      </c>
      <c r="H1372" s="59">
        <f t="shared" si="401"/>
        <v>0</v>
      </c>
      <c r="I1372" s="59">
        <f t="shared" si="402"/>
        <v>1</v>
      </c>
      <c r="J1372" s="59">
        <v>14</v>
      </c>
      <c r="K1372" s="59">
        <v>4</v>
      </c>
      <c r="L1372" s="59">
        <v>5</v>
      </c>
      <c r="M1372" s="59">
        <f t="shared" si="403"/>
        <v>0</v>
      </c>
      <c r="N1372" s="59">
        <f t="shared" si="404"/>
        <v>0</v>
      </c>
      <c r="O1372" s="59">
        <f t="shared" si="405"/>
        <v>0</v>
      </c>
      <c r="P1372" s="59">
        <f t="shared" si="406"/>
        <v>0</v>
      </c>
      <c r="Q1372" s="59">
        <f t="shared" si="407"/>
        <v>1</v>
      </c>
      <c r="R1372" s="59">
        <v>1</v>
      </c>
      <c r="S1372" s="59">
        <v>1934</v>
      </c>
      <c r="T1372" s="59">
        <v>3</v>
      </c>
      <c r="U1372" s="59">
        <v>1</v>
      </c>
      <c r="V1372" s="59">
        <v>64</v>
      </c>
      <c r="W1372" s="59">
        <v>3</v>
      </c>
      <c r="X1372" s="59">
        <v>2</v>
      </c>
      <c r="Y1372" s="59">
        <v>2</v>
      </c>
      <c r="Z1372" s="59">
        <f t="shared" si="408"/>
        <v>0</v>
      </c>
      <c r="AA1372" s="59">
        <f>IF('Updated Dummy'!Y1372=2,1,0)</f>
        <v>1</v>
      </c>
      <c r="AB1372" s="59">
        <f t="shared" si="409"/>
        <v>0</v>
      </c>
      <c r="AC1372" s="59">
        <f t="shared" si="410"/>
        <v>0</v>
      </c>
      <c r="AD1372" s="59">
        <f t="shared" si="411"/>
        <v>0</v>
      </c>
      <c r="AE1372" s="59">
        <f t="shared" si="412"/>
        <v>0</v>
      </c>
      <c r="AF1372" s="59">
        <f t="shared" si="413"/>
        <v>0</v>
      </c>
      <c r="AG1372" s="59">
        <f t="shared" si="414"/>
        <v>0</v>
      </c>
      <c r="AH1372" s="59">
        <v>2</v>
      </c>
      <c r="AI1372" s="59">
        <v>2</v>
      </c>
      <c r="AJ1372" s="59">
        <f t="shared" si="415"/>
        <v>0</v>
      </c>
      <c r="AK1372" s="59">
        <f t="shared" si="416"/>
        <v>1</v>
      </c>
      <c r="AL1372" s="59">
        <v>5467</v>
      </c>
      <c r="AM1372" s="59">
        <v>2125</v>
      </c>
      <c r="AN1372" s="59">
        <v>8</v>
      </c>
      <c r="AO1372" s="59">
        <v>0</v>
      </c>
      <c r="AP1372" s="59">
        <v>18</v>
      </c>
      <c r="AQ1372" s="59">
        <v>3</v>
      </c>
      <c r="AR1372" s="59">
        <v>3</v>
      </c>
      <c r="AS1372" s="59">
        <v>80</v>
      </c>
      <c r="AT1372" s="59">
        <v>1</v>
      </c>
      <c r="AU1372" s="59">
        <v>16</v>
      </c>
      <c r="AV1372" s="59">
        <v>4</v>
      </c>
      <c r="AW1372" s="59">
        <v>4</v>
      </c>
      <c r="AX1372" s="59">
        <v>8</v>
      </c>
      <c r="AY1372" s="59">
        <v>7</v>
      </c>
      <c r="AZ1372" s="59">
        <v>1</v>
      </c>
      <c r="BA1372" s="59">
        <v>7</v>
      </c>
      <c r="BB1372" s="57">
        <f t="shared" si="417"/>
        <v>10934</v>
      </c>
    </row>
    <row r="1373" spans="1:54" x14ac:dyDescent="0.25">
      <c r="A1373" s="58">
        <v>56</v>
      </c>
      <c r="B1373" s="59">
        <v>0</v>
      </c>
      <c r="C1373" s="59">
        <v>1</v>
      </c>
      <c r="D1373" s="59">
        <f t="shared" si="399"/>
        <v>1</v>
      </c>
      <c r="E1373" s="59">
        <f t="shared" si="400"/>
        <v>0</v>
      </c>
      <c r="F1373" s="59">
        <v>1443</v>
      </c>
      <c r="G1373" s="59">
        <v>1</v>
      </c>
      <c r="H1373" s="59">
        <f t="shared" si="401"/>
        <v>1</v>
      </c>
      <c r="I1373" s="59">
        <f t="shared" si="402"/>
        <v>0</v>
      </c>
      <c r="J1373" s="59">
        <v>11</v>
      </c>
      <c r="K1373" s="59">
        <v>5</v>
      </c>
      <c r="L1373" s="59">
        <v>4</v>
      </c>
      <c r="M1373" s="59">
        <f t="shared" si="403"/>
        <v>0</v>
      </c>
      <c r="N1373" s="59">
        <f t="shared" si="404"/>
        <v>0</v>
      </c>
      <c r="O1373" s="59">
        <f t="shared" si="405"/>
        <v>0</v>
      </c>
      <c r="P1373" s="59">
        <f t="shared" si="406"/>
        <v>1</v>
      </c>
      <c r="Q1373" s="59">
        <f t="shared" si="407"/>
        <v>0</v>
      </c>
      <c r="R1373" s="59">
        <v>1</v>
      </c>
      <c r="S1373" s="59">
        <v>1935</v>
      </c>
      <c r="T1373" s="59">
        <v>4</v>
      </c>
      <c r="U1373" s="59">
        <v>0</v>
      </c>
      <c r="V1373" s="59">
        <v>89</v>
      </c>
      <c r="W1373" s="59">
        <v>2</v>
      </c>
      <c r="X1373" s="59">
        <v>2</v>
      </c>
      <c r="Y1373" s="59">
        <v>1</v>
      </c>
      <c r="Z1373" s="59">
        <f t="shared" si="408"/>
        <v>1</v>
      </c>
      <c r="AA1373" s="59">
        <f>IF('Updated Dummy'!Y1373=2,1,0)</f>
        <v>0</v>
      </c>
      <c r="AB1373" s="59">
        <f t="shared" si="409"/>
        <v>0</v>
      </c>
      <c r="AC1373" s="59">
        <f t="shared" si="410"/>
        <v>0</v>
      </c>
      <c r="AD1373" s="59">
        <f t="shared" si="411"/>
        <v>0</v>
      </c>
      <c r="AE1373" s="59">
        <f t="shared" si="412"/>
        <v>0</v>
      </c>
      <c r="AF1373" s="59">
        <f t="shared" si="413"/>
        <v>0</v>
      </c>
      <c r="AG1373" s="59">
        <f t="shared" si="414"/>
        <v>0</v>
      </c>
      <c r="AH1373" s="59">
        <v>1</v>
      </c>
      <c r="AI1373" s="59">
        <v>2</v>
      </c>
      <c r="AJ1373" s="59">
        <f t="shared" si="415"/>
        <v>0</v>
      </c>
      <c r="AK1373" s="59">
        <f t="shared" si="416"/>
        <v>1</v>
      </c>
      <c r="AL1373" s="59">
        <v>5380</v>
      </c>
      <c r="AM1373" s="59">
        <v>20328</v>
      </c>
      <c r="AN1373" s="59">
        <v>4</v>
      </c>
      <c r="AO1373" s="59">
        <v>0</v>
      </c>
      <c r="AP1373" s="59">
        <v>16</v>
      </c>
      <c r="AQ1373" s="59">
        <v>3</v>
      </c>
      <c r="AR1373" s="59">
        <v>3</v>
      </c>
      <c r="AS1373" s="59">
        <v>80</v>
      </c>
      <c r="AT1373" s="59">
        <v>1</v>
      </c>
      <c r="AU1373" s="59">
        <v>6</v>
      </c>
      <c r="AV1373" s="59">
        <v>3</v>
      </c>
      <c r="AW1373" s="59">
        <v>3</v>
      </c>
      <c r="AX1373" s="59">
        <v>0</v>
      </c>
      <c r="AY1373" s="59">
        <v>0</v>
      </c>
      <c r="AZ1373" s="59">
        <v>0</v>
      </c>
      <c r="BA1373" s="59">
        <v>0</v>
      </c>
      <c r="BB1373" s="57">
        <f t="shared" si="417"/>
        <v>10760</v>
      </c>
    </row>
    <row r="1374" spans="1:54" x14ac:dyDescent="0.25">
      <c r="A1374" s="58">
        <v>39</v>
      </c>
      <c r="B1374" s="59">
        <v>0</v>
      </c>
      <c r="C1374" s="59">
        <v>1</v>
      </c>
      <c r="D1374" s="59">
        <f t="shared" si="399"/>
        <v>1</v>
      </c>
      <c r="E1374" s="59">
        <f t="shared" si="400"/>
        <v>0</v>
      </c>
      <c r="F1374" s="59">
        <v>867</v>
      </c>
      <c r="G1374" s="59">
        <v>2</v>
      </c>
      <c r="H1374" s="59">
        <f t="shared" si="401"/>
        <v>0</v>
      </c>
      <c r="I1374" s="59">
        <f t="shared" si="402"/>
        <v>1</v>
      </c>
      <c r="J1374" s="59">
        <v>9</v>
      </c>
      <c r="K1374" s="59">
        <v>2</v>
      </c>
      <c r="L1374" s="59">
        <v>3</v>
      </c>
      <c r="M1374" s="59">
        <f t="shared" si="403"/>
        <v>0</v>
      </c>
      <c r="N1374" s="59">
        <f t="shared" si="404"/>
        <v>0</v>
      </c>
      <c r="O1374" s="59">
        <f t="shared" si="405"/>
        <v>1</v>
      </c>
      <c r="P1374" s="59">
        <f t="shared" si="406"/>
        <v>0</v>
      </c>
      <c r="Q1374" s="59">
        <f t="shared" si="407"/>
        <v>0</v>
      </c>
      <c r="R1374" s="59">
        <v>1</v>
      </c>
      <c r="S1374" s="59">
        <v>1936</v>
      </c>
      <c r="T1374" s="59">
        <v>1</v>
      </c>
      <c r="U1374" s="59">
        <v>1</v>
      </c>
      <c r="V1374" s="59">
        <v>87</v>
      </c>
      <c r="W1374" s="59">
        <v>3</v>
      </c>
      <c r="X1374" s="59">
        <v>2</v>
      </c>
      <c r="Y1374" s="59">
        <v>4</v>
      </c>
      <c r="Z1374" s="59">
        <f t="shared" si="408"/>
        <v>0</v>
      </c>
      <c r="AA1374" s="59">
        <f>IF('Updated Dummy'!Y1374=2,1,0)</f>
        <v>0</v>
      </c>
      <c r="AB1374" s="59">
        <f t="shared" si="409"/>
        <v>0</v>
      </c>
      <c r="AC1374" s="59">
        <f t="shared" si="410"/>
        <v>1</v>
      </c>
      <c r="AD1374" s="59">
        <f t="shared" si="411"/>
        <v>0</v>
      </c>
      <c r="AE1374" s="59">
        <f t="shared" si="412"/>
        <v>0</v>
      </c>
      <c r="AF1374" s="59">
        <f t="shared" si="413"/>
        <v>0</v>
      </c>
      <c r="AG1374" s="59">
        <f t="shared" si="414"/>
        <v>0</v>
      </c>
      <c r="AH1374" s="59">
        <v>1</v>
      </c>
      <c r="AI1374" s="59">
        <v>2</v>
      </c>
      <c r="AJ1374" s="59">
        <f t="shared" si="415"/>
        <v>0</v>
      </c>
      <c r="AK1374" s="59">
        <f t="shared" si="416"/>
        <v>1</v>
      </c>
      <c r="AL1374" s="59">
        <v>5151</v>
      </c>
      <c r="AM1374" s="59">
        <v>12315</v>
      </c>
      <c r="AN1374" s="59">
        <v>1</v>
      </c>
      <c r="AO1374" s="59">
        <v>0</v>
      </c>
      <c r="AP1374" s="59">
        <v>25</v>
      </c>
      <c r="AQ1374" s="59">
        <v>4</v>
      </c>
      <c r="AR1374" s="59">
        <v>4</v>
      </c>
      <c r="AS1374" s="59">
        <v>80</v>
      </c>
      <c r="AT1374" s="59">
        <v>1</v>
      </c>
      <c r="AU1374" s="59">
        <v>10</v>
      </c>
      <c r="AV1374" s="59">
        <v>3</v>
      </c>
      <c r="AW1374" s="59">
        <v>3</v>
      </c>
      <c r="AX1374" s="59">
        <v>10</v>
      </c>
      <c r="AY1374" s="59">
        <v>0</v>
      </c>
      <c r="AZ1374" s="59">
        <v>7</v>
      </c>
      <c r="BA1374" s="59">
        <v>9</v>
      </c>
      <c r="BB1374" s="57">
        <f t="shared" si="417"/>
        <v>10302</v>
      </c>
    </row>
    <row r="1375" spans="1:54" x14ac:dyDescent="0.25">
      <c r="A1375" s="58">
        <v>38</v>
      </c>
      <c r="B1375" s="59">
        <v>0</v>
      </c>
      <c r="C1375" s="59">
        <v>2</v>
      </c>
      <c r="D1375" s="59">
        <f t="shared" si="399"/>
        <v>0</v>
      </c>
      <c r="E1375" s="59">
        <f t="shared" si="400"/>
        <v>1</v>
      </c>
      <c r="F1375" s="59">
        <v>1394</v>
      </c>
      <c r="G1375" s="59">
        <v>2</v>
      </c>
      <c r="H1375" s="59">
        <f t="shared" si="401"/>
        <v>0</v>
      </c>
      <c r="I1375" s="59">
        <f t="shared" si="402"/>
        <v>1</v>
      </c>
      <c r="J1375" s="59">
        <v>8</v>
      </c>
      <c r="K1375" s="59">
        <v>3</v>
      </c>
      <c r="L1375" s="59">
        <v>3</v>
      </c>
      <c r="M1375" s="59">
        <f t="shared" si="403"/>
        <v>0</v>
      </c>
      <c r="N1375" s="59">
        <f t="shared" si="404"/>
        <v>0</v>
      </c>
      <c r="O1375" s="59">
        <f t="shared" si="405"/>
        <v>1</v>
      </c>
      <c r="P1375" s="59">
        <f t="shared" si="406"/>
        <v>0</v>
      </c>
      <c r="Q1375" s="59">
        <f t="shared" si="407"/>
        <v>0</v>
      </c>
      <c r="R1375" s="59">
        <v>1</v>
      </c>
      <c r="S1375" s="59">
        <v>1937</v>
      </c>
      <c r="T1375" s="59">
        <v>4</v>
      </c>
      <c r="U1375" s="59">
        <v>0</v>
      </c>
      <c r="V1375" s="59">
        <v>58</v>
      </c>
      <c r="W1375" s="59">
        <v>2</v>
      </c>
      <c r="X1375" s="59">
        <v>2</v>
      </c>
      <c r="Y1375" s="59">
        <v>2</v>
      </c>
      <c r="Z1375" s="59">
        <f t="shared" si="408"/>
        <v>0</v>
      </c>
      <c r="AA1375" s="59">
        <f>IF('Updated Dummy'!Y1375=2,1,0)</f>
        <v>1</v>
      </c>
      <c r="AB1375" s="59">
        <f t="shared" si="409"/>
        <v>0</v>
      </c>
      <c r="AC1375" s="59">
        <f t="shared" si="410"/>
        <v>0</v>
      </c>
      <c r="AD1375" s="59">
        <f t="shared" si="411"/>
        <v>0</v>
      </c>
      <c r="AE1375" s="59">
        <f t="shared" si="412"/>
        <v>0</v>
      </c>
      <c r="AF1375" s="59">
        <f t="shared" si="413"/>
        <v>0</v>
      </c>
      <c r="AG1375" s="59">
        <f t="shared" si="414"/>
        <v>0</v>
      </c>
      <c r="AH1375" s="59">
        <v>2</v>
      </c>
      <c r="AI1375" s="59">
        <v>3</v>
      </c>
      <c r="AJ1375" s="59">
        <f t="shared" si="415"/>
        <v>0</v>
      </c>
      <c r="AK1375" s="59">
        <f t="shared" si="416"/>
        <v>0</v>
      </c>
      <c r="AL1375" s="59">
        <v>2133</v>
      </c>
      <c r="AM1375" s="59">
        <v>18115</v>
      </c>
      <c r="AN1375" s="59">
        <v>1</v>
      </c>
      <c r="AO1375" s="59">
        <v>1</v>
      </c>
      <c r="AP1375" s="59">
        <v>16</v>
      </c>
      <c r="AQ1375" s="59">
        <v>3</v>
      </c>
      <c r="AR1375" s="59">
        <v>3</v>
      </c>
      <c r="AS1375" s="59">
        <v>80</v>
      </c>
      <c r="AT1375" s="59">
        <v>1</v>
      </c>
      <c r="AU1375" s="59">
        <v>20</v>
      </c>
      <c r="AV1375" s="59">
        <v>3</v>
      </c>
      <c r="AW1375" s="59">
        <v>3</v>
      </c>
      <c r="AX1375" s="59">
        <v>20</v>
      </c>
      <c r="AY1375" s="59">
        <v>11</v>
      </c>
      <c r="AZ1375" s="59">
        <v>0</v>
      </c>
      <c r="BA1375" s="59">
        <v>7</v>
      </c>
      <c r="BB1375" s="57">
        <f t="shared" si="417"/>
        <v>4266</v>
      </c>
    </row>
    <row r="1376" spans="1:54" x14ac:dyDescent="0.25">
      <c r="A1376" s="58">
        <v>58</v>
      </c>
      <c r="B1376" s="59">
        <v>0</v>
      </c>
      <c r="C1376" s="59">
        <v>1</v>
      </c>
      <c r="D1376" s="59">
        <f t="shared" si="399"/>
        <v>1</v>
      </c>
      <c r="E1376" s="59">
        <f t="shared" si="400"/>
        <v>0</v>
      </c>
      <c r="F1376" s="59">
        <v>605</v>
      </c>
      <c r="G1376" s="59">
        <v>1</v>
      </c>
      <c r="H1376" s="59">
        <f t="shared" si="401"/>
        <v>1</v>
      </c>
      <c r="I1376" s="59">
        <f t="shared" si="402"/>
        <v>0</v>
      </c>
      <c r="J1376" s="59">
        <v>21</v>
      </c>
      <c r="K1376" s="59">
        <v>3</v>
      </c>
      <c r="L1376" s="59">
        <v>1</v>
      </c>
      <c r="M1376" s="59">
        <f t="shared" si="403"/>
        <v>1</v>
      </c>
      <c r="N1376" s="59">
        <f t="shared" si="404"/>
        <v>0</v>
      </c>
      <c r="O1376" s="59">
        <f t="shared" si="405"/>
        <v>0</v>
      </c>
      <c r="P1376" s="59">
        <f t="shared" si="406"/>
        <v>0</v>
      </c>
      <c r="Q1376" s="59">
        <f t="shared" si="407"/>
        <v>0</v>
      </c>
      <c r="R1376" s="59">
        <v>1</v>
      </c>
      <c r="S1376" s="59">
        <v>1938</v>
      </c>
      <c r="T1376" s="59">
        <v>4</v>
      </c>
      <c r="U1376" s="59">
        <v>0</v>
      </c>
      <c r="V1376" s="59">
        <v>72</v>
      </c>
      <c r="W1376" s="59">
        <v>3</v>
      </c>
      <c r="X1376" s="59">
        <v>4</v>
      </c>
      <c r="Y1376" s="59">
        <v>6</v>
      </c>
      <c r="Z1376" s="59">
        <f t="shared" si="408"/>
        <v>0</v>
      </c>
      <c r="AA1376" s="59">
        <f>IF('Updated Dummy'!Y1376=2,1,0)</f>
        <v>0</v>
      </c>
      <c r="AB1376" s="59">
        <f t="shared" si="409"/>
        <v>0</v>
      </c>
      <c r="AC1376" s="59">
        <f t="shared" si="410"/>
        <v>0</v>
      </c>
      <c r="AD1376" s="59">
        <f t="shared" si="411"/>
        <v>0</v>
      </c>
      <c r="AE1376" s="59">
        <f t="shared" si="412"/>
        <v>1</v>
      </c>
      <c r="AF1376" s="59">
        <f t="shared" si="413"/>
        <v>0</v>
      </c>
      <c r="AG1376" s="59">
        <f t="shared" si="414"/>
        <v>0</v>
      </c>
      <c r="AH1376" s="59">
        <v>4</v>
      </c>
      <c r="AI1376" s="59">
        <v>2</v>
      </c>
      <c r="AJ1376" s="59">
        <f t="shared" si="415"/>
        <v>0</v>
      </c>
      <c r="AK1376" s="59">
        <f t="shared" si="416"/>
        <v>1</v>
      </c>
      <c r="AL1376" s="59">
        <v>17875</v>
      </c>
      <c r="AM1376" s="59">
        <v>11761</v>
      </c>
      <c r="AN1376" s="59">
        <v>4</v>
      </c>
      <c r="AO1376" s="59">
        <v>1</v>
      </c>
      <c r="AP1376" s="59">
        <v>13</v>
      </c>
      <c r="AQ1376" s="59">
        <v>3</v>
      </c>
      <c r="AR1376" s="59">
        <v>3</v>
      </c>
      <c r="AS1376" s="59">
        <v>80</v>
      </c>
      <c r="AT1376" s="59">
        <v>1</v>
      </c>
      <c r="AU1376" s="59">
        <v>29</v>
      </c>
      <c r="AV1376" s="59">
        <v>2</v>
      </c>
      <c r="AW1376" s="59">
        <v>2</v>
      </c>
      <c r="AX1376" s="59">
        <v>1</v>
      </c>
      <c r="AY1376" s="59">
        <v>0</v>
      </c>
      <c r="AZ1376" s="59">
        <v>0</v>
      </c>
      <c r="BA1376" s="59">
        <v>0</v>
      </c>
      <c r="BB1376" s="57">
        <f t="shared" si="417"/>
        <v>71500</v>
      </c>
    </row>
    <row r="1377" spans="1:54" x14ac:dyDescent="0.25">
      <c r="A1377" s="58">
        <v>32</v>
      </c>
      <c r="B1377" s="59">
        <v>1</v>
      </c>
      <c r="C1377" s="59">
        <v>2</v>
      </c>
      <c r="D1377" s="59">
        <f t="shared" si="399"/>
        <v>0</v>
      </c>
      <c r="E1377" s="59">
        <f t="shared" si="400"/>
        <v>1</v>
      </c>
      <c r="F1377" s="59">
        <v>238</v>
      </c>
      <c r="G1377" s="59">
        <v>2</v>
      </c>
      <c r="H1377" s="59">
        <f t="shared" si="401"/>
        <v>0</v>
      </c>
      <c r="I1377" s="59">
        <f t="shared" si="402"/>
        <v>1</v>
      </c>
      <c r="J1377" s="59">
        <v>5</v>
      </c>
      <c r="K1377" s="59">
        <v>2</v>
      </c>
      <c r="L1377" s="59">
        <v>1</v>
      </c>
      <c r="M1377" s="59">
        <f t="shared" si="403"/>
        <v>1</v>
      </c>
      <c r="N1377" s="59">
        <f t="shared" si="404"/>
        <v>0</v>
      </c>
      <c r="O1377" s="59">
        <f t="shared" si="405"/>
        <v>0</v>
      </c>
      <c r="P1377" s="59">
        <f t="shared" si="406"/>
        <v>0</v>
      </c>
      <c r="Q1377" s="59">
        <f t="shared" si="407"/>
        <v>0</v>
      </c>
      <c r="R1377" s="59">
        <v>1</v>
      </c>
      <c r="S1377" s="59">
        <v>1939</v>
      </c>
      <c r="T1377" s="59">
        <v>1</v>
      </c>
      <c r="U1377" s="59">
        <v>0</v>
      </c>
      <c r="V1377" s="59">
        <v>47</v>
      </c>
      <c r="W1377" s="59">
        <v>4</v>
      </c>
      <c r="X1377" s="59">
        <v>1</v>
      </c>
      <c r="Y1377" s="59">
        <v>2</v>
      </c>
      <c r="Z1377" s="59">
        <f t="shared" si="408"/>
        <v>0</v>
      </c>
      <c r="AA1377" s="59">
        <f>IF('Updated Dummy'!Y1377=2,1,0)</f>
        <v>1</v>
      </c>
      <c r="AB1377" s="59">
        <f t="shared" si="409"/>
        <v>0</v>
      </c>
      <c r="AC1377" s="59">
        <f t="shared" si="410"/>
        <v>0</v>
      </c>
      <c r="AD1377" s="59">
        <f t="shared" si="411"/>
        <v>0</v>
      </c>
      <c r="AE1377" s="59">
        <f t="shared" si="412"/>
        <v>0</v>
      </c>
      <c r="AF1377" s="59">
        <f t="shared" si="413"/>
        <v>0</v>
      </c>
      <c r="AG1377" s="59">
        <f t="shared" si="414"/>
        <v>0</v>
      </c>
      <c r="AH1377" s="59">
        <v>3</v>
      </c>
      <c r="AI1377" s="59">
        <v>1</v>
      </c>
      <c r="AJ1377" s="59">
        <f t="shared" si="415"/>
        <v>1</v>
      </c>
      <c r="AK1377" s="59">
        <f t="shared" si="416"/>
        <v>0</v>
      </c>
      <c r="AL1377" s="59">
        <v>2432</v>
      </c>
      <c r="AM1377" s="59">
        <v>15318</v>
      </c>
      <c r="AN1377" s="59">
        <v>3</v>
      </c>
      <c r="AO1377" s="59">
        <v>1</v>
      </c>
      <c r="AP1377" s="59">
        <v>14</v>
      </c>
      <c r="AQ1377" s="59">
        <v>3</v>
      </c>
      <c r="AR1377" s="59">
        <v>1</v>
      </c>
      <c r="AS1377" s="59">
        <v>80</v>
      </c>
      <c r="AT1377" s="59">
        <v>0</v>
      </c>
      <c r="AU1377" s="59">
        <v>8</v>
      </c>
      <c r="AV1377" s="59">
        <v>2</v>
      </c>
      <c r="AW1377" s="59">
        <v>3</v>
      </c>
      <c r="AX1377" s="59">
        <v>4</v>
      </c>
      <c r="AY1377" s="59">
        <v>1</v>
      </c>
      <c r="AZ1377" s="59">
        <v>0</v>
      </c>
      <c r="BA1377" s="59">
        <v>3</v>
      </c>
      <c r="BB1377" s="57">
        <f t="shared" si="417"/>
        <v>2432</v>
      </c>
    </row>
    <row r="1378" spans="1:54" x14ac:dyDescent="0.25">
      <c r="A1378" s="58">
        <v>38</v>
      </c>
      <c r="B1378" s="59">
        <v>0</v>
      </c>
      <c r="C1378" s="59">
        <v>1</v>
      </c>
      <c r="D1378" s="59">
        <f t="shared" si="399"/>
        <v>1</v>
      </c>
      <c r="E1378" s="59">
        <f t="shared" si="400"/>
        <v>0</v>
      </c>
      <c r="F1378" s="59">
        <v>1206</v>
      </c>
      <c r="G1378" s="59">
        <v>2</v>
      </c>
      <c r="H1378" s="59">
        <f t="shared" si="401"/>
        <v>0</v>
      </c>
      <c r="I1378" s="59">
        <f t="shared" si="402"/>
        <v>1</v>
      </c>
      <c r="J1378" s="59">
        <v>9</v>
      </c>
      <c r="K1378" s="59">
        <v>2</v>
      </c>
      <c r="L1378" s="59">
        <v>1</v>
      </c>
      <c r="M1378" s="59">
        <f t="shared" si="403"/>
        <v>1</v>
      </c>
      <c r="N1378" s="59">
        <f t="shared" si="404"/>
        <v>0</v>
      </c>
      <c r="O1378" s="59">
        <f t="shared" si="405"/>
        <v>0</v>
      </c>
      <c r="P1378" s="59">
        <f t="shared" si="406"/>
        <v>0</v>
      </c>
      <c r="Q1378" s="59">
        <f t="shared" si="407"/>
        <v>0</v>
      </c>
      <c r="R1378" s="59">
        <v>1</v>
      </c>
      <c r="S1378" s="59">
        <v>1940</v>
      </c>
      <c r="T1378" s="59">
        <v>2</v>
      </c>
      <c r="U1378" s="59">
        <v>1</v>
      </c>
      <c r="V1378" s="59">
        <v>71</v>
      </c>
      <c r="W1378" s="59">
        <v>3</v>
      </c>
      <c r="X1378" s="59">
        <v>1</v>
      </c>
      <c r="Y1378" s="59">
        <v>2</v>
      </c>
      <c r="Z1378" s="59">
        <f t="shared" si="408"/>
        <v>0</v>
      </c>
      <c r="AA1378" s="59">
        <f>IF('Updated Dummy'!Y1378=2,1,0)</f>
        <v>1</v>
      </c>
      <c r="AB1378" s="59">
        <f t="shared" si="409"/>
        <v>0</v>
      </c>
      <c r="AC1378" s="59">
        <f t="shared" si="410"/>
        <v>0</v>
      </c>
      <c r="AD1378" s="59">
        <f t="shared" si="411"/>
        <v>0</v>
      </c>
      <c r="AE1378" s="59">
        <f t="shared" si="412"/>
        <v>0</v>
      </c>
      <c r="AF1378" s="59">
        <f t="shared" si="413"/>
        <v>0</v>
      </c>
      <c r="AG1378" s="59">
        <f t="shared" si="414"/>
        <v>0</v>
      </c>
      <c r="AH1378" s="59">
        <v>4</v>
      </c>
      <c r="AI1378" s="59">
        <v>3</v>
      </c>
      <c r="AJ1378" s="59">
        <f t="shared" si="415"/>
        <v>0</v>
      </c>
      <c r="AK1378" s="59">
        <f t="shared" si="416"/>
        <v>0</v>
      </c>
      <c r="AL1378" s="59">
        <v>4771</v>
      </c>
      <c r="AM1378" s="59">
        <v>14293</v>
      </c>
      <c r="AN1378" s="59">
        <v>2</v>
      </c>
      <c r="AO1378" s="59">
        <v>0</v>
      </c>
      <c r="AP1378" s="59">
        <v>19</v>
      </c>
      <c r="AQ1378" s="59">
        <v>3</v>
      </c>
      <c r="AR1378" s="59">
        <v>4</v>
      </c>
      <c r="AS1378" s="59">
        <v>80</v>
      </c>
      <c r="AT1378" s="59">
        <v>2</v>
      </c>
      <c r="AU1378" s="59">
        <v>10</v>
      </c>
      <c r="AV1378" s="59">
        <v>0</v>
      </c>
      <c r="AW1378" s="59">
        <v>4</v>
      </c>
      <c r="AX1378" s="59">
        <v>5</v>
      </c>
      <c r="AY1378" s="59">
        <v>2</v>
      </c>
      <c r="AZ1378" s="59">
        <v>0</v>
      </c>
      <c r="BA1378" s="59">
        <v>3</v>
      </c>
      <c r="BB1378" s="57">
        <f t="shared" si="417"/>
        <v>4771</v>
      </c>
    </row>
    <row r="1379" spans="1:54" x14ac:dyDescent="0.25">
      <c r="A1379" s="58">
        <v>49</v>
      </c>
      <c r="B1379" s="59">
        <v>0</v>
      </c>
      <c r="C1379" s="59">
        <v>2</v>
      </c>
      <c r="D1379" s="59">
        <f t="shared" si="399"/>
        <v>0</v>
      </c>
      <c r="E1379" s="59">
        <f t="shared" si="400"/>
        <v>1</v>
      </c>
      <c r="F1379" s="59">
        <v>1064</v>
      </c>
      <c r="G1379" s="59">
        <v>2</v>
      </c>
      <c r="H1379" s="59">
        <f t="shared" si="401"/>
        <v>0</v>
      </c>
      <c r="I1379" s="59">
        <f t="shared" si="402"/>
        <v>1</v>
      </c>
      <c r="J1379" s="59">
        <v>2</v>
      </c>
      <c r="K1379" s="59">
        <v>1</v>
      </c>
      <c r="L1379" s="59">
        <v>1</v>
      </c>
      <c r="M1379" s="59">
        <f t="shared" si="403"/>
        <v>1</v>
      </c>
      <c r="N1379" s="59">
        <f t="shared" si="404"/>
        <v>0</v>
      </c>
      <c r="O1379" s="59">
        <f t="shared" si="405"/>
        <v>0</v>
      </c>
      <c r="P1379" s="59">
        <f t="shared" si="406"/>
        <v>0</v>
      </c>
      <c r="Q1379" s="59">
        <f t="shared" si="407"/>
        <v>0</v>
      </c>
      <c r="R1379" s="59">
        <v>1</v>
      </c>
      <c r="S1379" s="59">
        <v>1941</v>
      </c>
      <c r="T1379" s="59">
        <v>2</v>
      </c>
      <c r="U1379" s="59">
        <v>1</v>
      </c>
      <c r="V1379" s="59">
        <v>42</v>
      </c>
      <c r="W1379" s="59">
        <v>3</v>
      </c>
      <c r="X1379" s="59">
        <v>5</v>
      </c>
      <c r="Y1379" s="59">
        <v>8</v>
      </c>
      <c r="Z1379" s="59">
        <f t="shared" si="408"/>
        <v>0</v>
      </c>
      <c r="AA1379" s="59">
        <f>IF('Updated Dummy'!Y1379=2,1,0)</f>
        <v>0</v>
      </c>
      <c r="AB1379" s="59">
        <f t="shared" si="409"/>
        <v>0</v>
      </c>
      <c r="AC1379" s="59">
        <f t="shared" si="410"/>
        <v>0</v>
      </c>
      <c r="AD1379" s="59">
        <f t="shared" si="411"/>
        <v>0</v>
      </c>
      <c r="AE1379" s="59">
        <f t="shared" si="412"/>
        <v>0</v>
      </c>
      <c r="AF1379" s="59">
        <f t="shared" si="413"/>
        <v>0</v>
      </c>
      <c r="AG1379" s="59">
        <f t="shared" si="414"/>
        <v>1</v>
      </c>
      <c r="AH1379" s="59">
        <v>4</v>
      </c>
      <c r="AI1379" s="59">
        <v>2</v>
      </c>
      <c r="AJ1379" s="59">
        <f t="shared" si="415"/>
        <v>0</v>
      </c>
      <c r="AK1379" s="59">
        <f t="shared" si="416"/>
        <v>1</v>
      </c>
      <c r="AL1379" s="59">
        <v>19161</v>
      </c>
      <c r="AM1379" s="59">
        <v>13738</v>
      </c>
      <c r="AN1379" s="59">
        <v>3</v>
      </c>
      <c r="AO1379" s="59">
        <v>0</v>
      </c>
      <c r="AP1379" s="59">
        <v>15</v>
      </c>
      <c r="AQ1379" s="59">
        <v>3</v>
      </c>
      <c r="AR1379" s="59">
        <v>4</v>
      </c>
      <c r="AS1379" s="59">
        <v>80</v>
      </c>
      <c r="AT1379" s="59">
        <v>0</v>
      </c>
      <c r="AU1379" s="59">
        <v>28</v>
      </c>
      <c r="AV1379" s="59">
        <v>3</v>
      </c>
      <c r="AW1379" s="59">
        <v>3</v>
      </c>
      <c r="AX1379" s="59">
        <v>5</v>
      </c>
      <c r="AY1379" s="59">
        <v>4</v>
      </c>
      <c r="AZ1379" s="59">
        <v>4</v>
      </c>
      <c r="BA1379" s="59">
        <v>3</v>
      </c>
      <c r="BB1379" s="57">
        <f t="shared" si="417"/>
        <v>95805</v>
      </c>
    </row>
    <row r="1380" spans="1:54" x14ac:dyDescent="0.25">
      <c r="A1380" s="58">
        <v>42</v>
      </c>
      <c r="B1380" s="59">
        <v>0</v>
      </c>
      <c r="C1380" s="59">
        <v>1</v>
      </c>
      <c r="D1380" s="59">
        <f t="shared" si="399"/>
        <v>1</v>
      </c>
      <c r="E1380" s="59">
        <f t="shared" si="400"/>
        <v>0</v>
      </c>
      <c r="F1380" s="59">
        <v>419</v>
      </c>
      <c r="G1380" s="59">
        <v>1</v>
      </c>
      <c r="H1380" s="59">
        <f t="shared" si="401"/>
        <v>1</v>
      </c>
      <c r="I1380" s="59">
        <f t="shared" si="402"/>
        <v>0</v>
      </c>
      <c r="J1380" s="59">
        <v>12</v>
      </c>
      <c r="K1380" s="59">
        <v>4</v>
      </c>
      <c r="L1380" s="59">
        <v>4</v>
      </c>
      <c r="M1380" s="59">
        <f t="shared" si="403"/>
        <v>0</v>
      </c>
      <c r="N1380" s="59">
        <f t="shared" si="404"/>
        <v>0</v>
      </c>
      <c r="O1380" s="59">
        <f t="shared" si="405"/>
        <v>0</v>
      </c>
      <c r="P1380" s="59">
        <f t="shared" si="406"/>
        <v>1</v>
      </c>
      <c r="Q1380" s="59">
        <f t="shared" si="407"/>
        <v>0</v>
      </c>
      <c r="R1380" s="59">
        <v>1</v>
      </c>
      <c r="S1380" s="59">
        <v>1943</v>
      </c>
      <c r="T1380" s="59">
        <v>2</v>
      </c>
      <c r="U1380" s="59">
        <v>1</v>
      </c>
      <c r="V1380" s="59">
        <v>77</v>
      </c>
      <c r="W1380" s="59">
        <v>3</v>
      </c>
      <c r="X1380" s="59">
        <v>2</v>
      </c>
      <c r="Y1380" s="59">
        <v>1</v>
      </c>
      <c r="Z1380" s="59">
        <f t="shared" si="408"/>
        <v>1</v>
      </c>
      <c r="AA1380" s="59">
        <f>IF('Updated Dummy'!Y1380=2,1,0)</f>
        <v>0</v>
      </c>
      <c r="AB1380" s="59">
        <f t="shared" si="409"/>
        <v>0</v>
      </c>
      <c r="AC1380" s="59">
        <f t="shared" si="410"/>
        <v>0</v>
      </c>
      <c r="AD1380" s="59">
        <f t="shared" si="411"/>
        <v>0</v>
      </c>
      <c r="AE1380" s="59">
        <f t="shared" si="412"/>
        <v>0</v>
      </c>
      <c r="AF1380" s="59">
        <f t="shared" si="413"/>
        <v>0</v>
      </c>
      <c r="AG1380" s="59">
        <f t="shared" si="414"/>
        <v>0</v>
      </c>
      <c r="AH1380" s="59">
        <v>4</v>
      </c>
      <c r="AI1380" s="59">
        <v>3</v>
      </c>
      <c r="AJ1380" s="59">
        <f t="shared" si="415"/>
        <v>0</v>
      </c>
      <c r="AK1380" s="59">
        <f t="shared" si="416"/>
        <v>0</v>
      </c>
      <c r="AL1380" s="59">
        <v>5087</v>
      </c>
      <c r="AM1380" s="59">
        <v>2900</v>
      </c>
      <c r="AN1380" s="59">
        <v>3</v>
      </c>
      <c r="AO1380" s="59">
        <v>1</v>
      </c>
      <c r="AP1380" s="59">
        <v>12</v>
      </c>
      <c r="AQ1380" s="59">
        <v>3</v>
      </c>
      <c r="AR1380" s="59">
        <v>3</v>
      </c>
      <c r="AS1380" s="59">
        <v>80</v>
      </c>
      <c r="AT1380" s="59">
        <v>2</v>
      </c>
      <c r="AU1380" s="59">
        <v>14</v>
      </c>
      <c r="AV1380" s="59">
        <v>4</v>
      </c>
      <c r="AW1380" s="59">
        <v>3</v>
      </c>
      <c r="AX1380" s="59">
        <v>0</v>
      </c>
      <c r="AY1380" s="59">
        <v>0</v>
      </c>
      <c r="AZ1380" s="59">
        <v>0</v>
      </c>
      <c r="BA1380" s="59">
        <v>0</v>
      </c>
      <c r="BB1380" s="57">
        <f t="shared" si="417"/>
        <v>10174</v>
      </c>
    </row>
    <row r="1381" spans="1:54" x14ac:dyDescent="0.25">
      <c r="A1381" s="58">
        <v>27</v>
      </c>
      <c r="B1381" s="59">
        <v>1</v>
      </c>
      <c r="C1381" s="59">
        <v>2</v>
      </c>
      <c r="D1381" s="59">
        <f t="shared" si="399"/>
        <v>0</v>
      </c>
      <c r="E1381" s="59">
        <f t="shared" si="400"/>
        <v>1</v>
      </c>
      <c r="F1381" s="59">
        <v>1337</v>
      </c>
      <c r="G1381" s="59">
        <v>3</v>
      </c>
      <c r="H1381" s="59">
        <f t="shared" si="401"/>
        <v>0</v>
      </c>
      <c r="I1381" s="59">
        <f t="shared" si="402"/>
        <v>0</v>
      </c>
      <c r="J1381" s="59">
        <v>22</v>
      </c>
      <c r="K1381" s="59">
        <v>3</v>
      </c>
      <c r="L1381" s="59">
        <v>2</v>
      </c>
      <c r="M1381" s="59">
        <f t="shared" si="403"/>
        <v>0</v>
      </c>
      <c r="N1381" s="59">
        <f t="shared" si="404"/>
        <v>1</v>
      </c>
      <c r="O1381" s="59">
        <f t="shared" si="405"/>
        <v>0</v>
      </c>
      <c r="P1381" s="59">
        <f t="shared" si="406"/>
        <v>0</v>
      </c>
      <c r="Q1381" s="59">
        <f t="shared" si="407"/>
        <v>0</v>
      </c>
      <c r="R1381" s="59">
        <v>1</v>
      </c>
      <c r="S1381" s="59">
        <v>1944</v>
      </c>
      <c r="T1381" s="59">
        <v>1</v>
      </c>
      <c r="U1381" s="59">
        <v>0</v>
      </c>
      <c r="V1381" s="59">
        <v>58</v>
      </c>
      <c r="W1381" s="59">
        <v>2</v>
      </c>
      <c r="X1381" s="59">
        <v>1</v>
      </c>
      <c r="Y1381" s="59">
        <v>9</v>
      </c>
      <c r="Z1381" s="59">
        <f t="shared" si="408"/>
        <v>0</v>
      </c>
      <c r="AA1381" s="59">
        <f>IF('Updated Dummy'!Y1381=2,1,0)</f>
        <v>0</v>
      </c>
      <c r="AB1381" s="59">
        <f t="shared" si="409"/>
        <v>0</v>
      </c>
      <c r="AC1381" s="59">
        <f t="shared" si="410"/>
        <v>0</v>
      </c>
      <c r="AD1381" s="59">
        <f t="shared" si="411"/>
        <v>0</v>
      </c>
      <c r="AE1381" s="59">
        <f t="shared" si="412"/>
        <v>0</v>
      </c>
      <c r="AF1381" s="59">
        <f t="shared" si="413"/>
        <v>0</v>
      </c>
      <c r="AG1381" s="59">
        <f t="shared" si="414"/>
        <v>0</v>
      </c>
      <c r="AH1381" s="59">
        <v>2</v>
      </c>
      <c r="AI1381" s="59">
        <v>2</v>
      </c>
      <c r="AJ1381" s="59">
        <f t="shared" si="415"/>
        <v>0</v>
      </c>
      <c r="AK1381" s="59">
        <f t="shared" si="416"/>
        <v>1</v>
      </c>
      <c r="AL1381" s="59">
        <v>2863</v>
      </c>
      <c r="AM1381" s="59">
        <v>19555</v>
      </c>
      <c r="AN1381" s="59">
        <v>1</v>
      </c>
      <c r="AO1381" s="59">
        <v>0</v>
      </c>
      <c r="AP1381" s="59">
        <v>12</v>
      </c>
      <c r="AQ1381" s="59">
        <v>3</v>
      </c>
      <c r="AR1381" s="59">
        <v>1</v>
      </c>
      <c r="AS1381" s="59">
        <v>80</v>
      </c>
      <c r="AT1381" s="59">
        <v>0</v>
      </c>
      <c r="AU1381" s="59">
        <v>1</v>
      </c>
      <c r="AV1381" s="59">
        <v>2</v>
      </c>
      <c r="AW1381" s="59">
        <v>3</v>
      </c>
      <c r="AX1381" s="59">
        <v>1</v>
      </c>
      <c r="AY1381" s="59">
        <v>0</v>
      </c>
      <c r="AZ1381" s="59">
        <v>0</v>
      </c>
      <c r="BA1381" s="59">
        <v>0</v>
      </c>
      <c r="BB1381" s="57">
        <f t="shared" si="417"/>
        <v>2863</v>
      </c>
    </row>
    <row r="1382" spans="1:54" x14ac:dyDescent="0.25">
      <c r="A1382" s="58">
        <v>35</v>
      </c>
      <c r="B1382" s="59">
        <v>0</v>
      </c>
      <c r="C1382" s="59">
        <v>1</v>
      </c>
      <c r="D1382" s="59">
        <f t="shared" si="399"/>
        <v>1</v>
      </c>
      <c r="E1382" s="59">
        <f t="shared" si="400"/>
        <v>0</v>
      </c>
      <c r="F1382" s="59">
        <v>682</v>
      </c>
      <c r="G1382" s="59">
        <v>1</v>
      </c>
      <c r="H1382" s="59">
        <f t="shared" si="401"/>
        <v>1</v>
      </c>
      <c r="I1382" s="59">
        <f t="shared" si="402"/>
        <v>0</v>
      </c>
      <c r="J1382" s="59">
        <v>18</v>
      </c>
      <c r="K1382" s="59">
        <v>4</v>
      </c>
      <c r="L1382" s="59">
        <v>3</v>
      </c>
      <c r="M1382" s="59">
        <f t="shared" si="403"/>
        <v>0</v>
      </c>
      <c r="N1382" s="59">
        <f t="shared" si="404"/>
        <v>0</v>
      </c>
      <c r="O1382" s="59">
        <f t="shared" si="405"/>
        <v>1</v>
      </c>
      <c r="P1382" s="59">
        <f t="shared" si="406"/>
        <v>0</v>
      </c>
      <c r="Q1382" s="59">
        <f t="shared" si="407"/>
        <v>0</v>
      </c>
      <c r="R1382" s="59">
        <v>1</v>
      </c>
      <c r="S1382" s="59">
        <v>1945</v>
      </c>
      <c r="T1382" s="59">
        <v>2</v>
      </c>
      <c r="U1382" s="59">
        <v>1</v>
      </c>
      <c r="V1382" s="59">
        <v>71</v>
      </c>
      <c r="W1382" s="59">
        <v>3</v>
      </c>
      <c r="X1382" s="59">
        <v>2</v>
      </c>
      <c r="Y1382" s="59">
        <v>1</v>
      </c>
      <c r="Z1382" s="59">
        <f t="shared" si="408"/>
        <v>1</v>
      </c>
      <c r="AA1382" s="59">
        <f>IF('Updated Dummy'!Y1382=2,1,0)</f>
        <v>0</v>
      </c>
      <c r="AB1382" s="59">
        <f t="shared" si="409"/>
        <v>0</v>
      </c>
      <c r="AC1382" s="59">
        <f t="shared" si="410"/>
        <v>0</v>
      </c>
      <c r="AD1382" s="59">
        <f t="shared" si="411"/>
        <v>0</v>
      </c>
      <c r="AE1382" s="59">
        <f t="shared" si="412"/>
        <v>0</v>
      </c>
      <c r="AF1382" s="59">
        <f t="shared" si="413"/>
        <v>0</v>
      </c>
      <c r="AG1382" s="59">
        <f t="shared" si="414"/>
        <v>0</v>
      </c>
      <c r="AH1382" s="59">
        <v>1</v>
      </c>
      <c r="AI1382" s="59">
        <v>2</v>
      </c>
      <c r="AJ1382" s="59">
        <f t="shared" si="415"/>
        <v>0</v>
      </c>
      <c r="AK1382" s="59">
        <f t="shared" si="416"/>
        <v>1</v>
      </c>
      <c r="AL1382" s="59">
        <v>5561</v>
      </c>
      <c r="AM1382" s="59">
        <v>15975</v>
      </c>
      <c r="AN1382" s="59">
        <v>0</v>
      </c>
      <c r="AO1382" s="59">
        <v>0</v>
      </c>
      <c r="AP1382" s="59">
        <v>16</v>
      </c>
      <c r="AQ1382" s="59">
        <v>3</v>
      </c>
      <c r="AR1382" s="59">
        <v>4</v>
      </c>
      <c r="AS1382" s="59">
        <v>80</v>
      </c>
      <c r="AT1382" s="59">
        <v>1</v>
      </c>
      <c r="AU1382" s="59">
        <v>6</v>
      </c>
      <c r="AV1382" s="59">
        <v>2</v>
      </c>
      <c r="AW1382" s="59">
        <v>1</v>
      </c>
      <c r="AX1382" s="59">
        <v>5</v>
      </c>
      <c r="AY1382" s="59">
        <v>3</v>
      </c>
      <c r="AZ1382" s="59">
        <v>0</v>
      </c>
      <c r="BA1382" s="59">
        <v>4</v>
      </c>
      <c r="BB1382" s="57">
        <f t="shared" si="417"/>
        <v>11122</v>
      </c>
    </row>
    <row r="1383" spans="1:54" x14ac:dyDescent="0.25">
      <c r="A1383" s="58">
        <v>28</v>
      </c>
      <c r="B1383" s="59">
        <v>0</v>
      </c>
      <c r="C1383" s="59">
        <v>3</v>
      </c>
      <c r="D1383" s="59">
        <f t="shared" si="399"/>
        <v>0</v>
      </c>
      <c r="E1383" s="59">
        <f t="shared" si="400"/>
        <v>0</v>
      </c>
      <c r="F1383" s="59">
        <v>1103</v>
      </c>
      <c r="G1383" s="59">
        <v>2</v>
      </c>
      <c r="H1383" s="59">
        <f t="shared" si="401"/>
        <v>0</v>
      </c>
      <c r="I1383" s="59">
        <f t="shared" si="402"/>
        <v>1</v>
      </c>
      <c r="J1383" s="59">
        <v>16</v>
      </c>
      <c r="K1383" s="59">
        <v>3</v>
      </c>
      <c r="L1383" s="59">
        <v>3</v>
      </c>
      <c r="M1383" s="59">
        <f t="shared" si="403"/>
        <v>0</v>
      </c>
      <c r="N1383" s="59">
        <f t="shared" si="404"/>
        <v>0</v>
      </c>
      <c r="O1383" s="59">
        <f t="shared" si="405"/>
        <v>1</v>
      </c>
      <c r="P1383" s="59">
        <f t="shared" si="406"/>
        <v>0</v>
      </c>
      <c r="Q1383" s="59">
        <f t="shared" si="407"/>
        <v>0</v>
      </c>
      <c r="R1383" s="59">
        <v>1</v>
      </c>
      <c r="S1383" s="59">
        <v>1947</v>
      </c>
      <c r="T1383" s="59">
        <v>3</v>
      </c>
      <c r="U1383" s="59">
        <v>1</v>
      </c>
      <c r="V1383" s="59">
        <v>49</v>
      </c>
      <c r="W1383" s="59">
        <v>3</v>
      </c>
      <c r="X1383" s="59">
        <v>1</v>
      </c>
      <c r="Y1383" s="59">
        <v>2</v>
      </c>
      <c r="Z1383" s="59">
        <f t="shared" si="408"/>
        <v>0</v>
      </c>
      <c r="AA1383" s="59">
        <f>IF('Updated Dummy'!Y1383=2,1,0)</f>
        <v>1</v>
      </c>
      <c r="AB1383" s="59">
        <f t="shared" si="409"/>
        <v>0</v>
      </c>
      <c r="AC1383" s="59">
        <f t="shared" si="410"/>
        <v>0</v>
      </c>
      <c r="AD1383" s="59">
        <f t="shared" si="411"/>
        <v>0</v>
      </c>
      <c r="AE1383" s="59">
        <f t="shared" si="412"/>
        <v>0</v>
      </c>
      <c r="AF1383" s="59">
        <f t="shared" si="413"/>
        <v>0</v>
      </c>
      <c r="AG1383" s="59">
        <f t="shared" si="414"/>
        <v>0</v>
      </c>
      <c r="AH1383" s="59">
        <v>3</v>
      </c>
      <c r="AI1383" s="59">
        <v>1</v>
      </c>
      <c r="AJ1383" s="59">
        <f t="shared" si="415"/>
        <v>1</v>
      </c>
      <c r="AK1383" s="59">
        <f t="shared" si="416"/>
        <v>0</v>
      </c>
      <c r="AL1383" s="59">
        <v>2144</v>
      </c>
      <c r="AM1383" s="59">
        <v>2122</v>
      </c>
      <c r="AN1383" s="59">
        <v>1</v>
      </c>
      <c r="AO1383" s="59">
        <v>0</v>
      </c>
      <c r="AP1383" s="59">
        <v>14</v>
      </c>
      <c r="AQ1383" s="59">
        <v>3</v>
      </c>
      <c r="AR1383" s="59">
        <v>3</v>
      </c>
      <c r="AS1383" s="59">
        <v>80</v>
      </c>
      <c r="AT1383" s="59">
        <v>0</v>
      </c>
      <c r="AU1383" s="59">
        <v>5</v>
      </c>
      <c r="AV1383" s="59">
        <v>3</v>
      </c>
      <c r="AW1383" s="59">
        <v>2</v>
      </c>
      <c r="AX1383" s="59">
        <v>5</v>
      </c>
      <c r="AY1383" s="59">
        <v>3</v>
      </c>
      <c r="AZ1383" s="59">
        <v>1</v>
      </c>
      <c r="BA1383" s="59">
        <v>4</v>
      </c>
      <c r="BB1383" s="57">
        <f t="shared" si="417"/>
        <v>2144</v>
      </c>
    </row>
    <row r="1384" spans="1:54" x14ac:dyDescent="0.25">
      <c r="A1384" s="58">
        <v>31</v>
      </c>
      <c r="B1384" s="59">
        <v>0</v>
      </c>
      <c r="C1384" s="59">
        <v>3</v>
      </c>
      <c r="D1384" s="59">
        <f t="shared" si="399"/>
        <v>0</v>
      </c>
      <c r="E1384" s="59">
        <f t="shared" si="400"/>
        <v>0</v>
      </c>
      <c r="F1384" s="59">
        <v>976</v>
      </c>
      <c r="G1384" s="59">
        <v>2</v>
      </c>
      <c r="H1384" s="59">
        <f t="shared" si="401"/>
        <v>0</v>
      </c>
      <c r="I1384" s="59">
        <f t="shared" si="402"/>
        <v>1</v>
      </c>
      <c r="J1384" s="59">
        <v>3</v>
      </c>
      <c r="K1384" s="59">
        <v>2</v>
      </c>
      <c r="L1384" s="59">
        <v>3</v>
      </c>
      <c r="M1384" s="59">
        <f t="shared" si="403"/>
        <v>0</v>
      </c>
      <c r="N1384" s="59">
        <f t="shared" si="404"/>
        <v>0</v>
      </c>
      <c r="O1384" s="59">
        <f t="shared" si="405"/>
        <v>1</v>
      </c>
      <c r="P1384" s="59">
        <f t="shared" si="406"/>
        <v>0</v>
      </c>
      <c r="Q1384" s="59">
        <f t="shared" si="407"/>
        <v>0</v>
      </c>
      <c r="R1384" s="59">
        <v>1</v>
      </c>
      <c r="S1384" s="59">
        <v>1948</v>
      </c>
      <c r="T1384" s="59">
        <v>3</v>
      </c>
      <c r="U1384" s="59">
        <v>1</v>
      </c>
      <c r="V1384" s="59">
        <v>48</v>
      </c>
      <c r="W1384" s="59">
        <v>3</v>
      </c>
      <c r="X1384" s="59">
        <v>1</v>
      </c>
      <c r="Y1384" s="59">
        <v>2</v>
      </c>
      <c r="Z1384" s="59">
        <f t="shared" si="408"/>
        <v>0</v>
      </c>
      <c r="AA1384" s="59">
        <f>IF('Updated Dummy'!Y1384=2,1,0)</f>
        <v>1</v>
      </c>
      <c r="AB1384" s="59">
        <f t="shared" si="409"/>
        <v>0</v>
      </c>
      <c r="AC1384" s="59">
        <f t="shared" si="410"/>
        <v>0</v>
      </c>
      <c r="AD1384" s="59">
        <f t="shared" si="411"/>
        <v>0</v>
      </c>
      <c r="AE1384" s="59">
        <f t="shared" si="412"/>
        <v>0</v>
      </c>
      <c r="AF1384" s="59">
        <f t="shared" si="413"/>
        <v>0</v>
      </c>
      <c r="AG1384" s="59">
        <f t="shared" si="414"/>
        <v>0</v>
      </c>
      <c r="AH1384" s="59">
        <v>1</v>
      </c>
      <c r="AI1384" s="59">
        <v>3</v>
      </c>
      <c r="AJ1384" s="59">
        <f t="shared" si="415"/>
        <v>0</v>
      </c>
      <c r="AK1384" s="59">
        <f t="shared" si="416"/>
        <v>0</v>
      </c>
      <c r="AL1384" s="59">
        <v>3065</v>
      </c>
      <c r="AM1384" s="59">
        <v>3995</v>
      </c>
      <c r="AN1384" s="59">
        <v>1</v>
      </c>
      <c r="AO1384" s="59">
        <v>1</v>
      </c>
      <c r="AP1384" s="59">
        <v>13</v>
      </c>
      <c r="AQ1384" s="59">
        <v>3</v>
      </c>
      <c r="AR1384" s="59">
        <v>4</v>
      </c>
      <c r="AS1384" s="59">
        <v>80</v>
      </c>
      <c r="AT1384" s="59">
        <v>1</v>
      </c>
      <c r="AU1384" s="59">
        <v>4</v>
      </c>
      <c r="AV1384" s="59">
        <v>3</v>
      </c>
      <c r="AW1384" s="59">
        <v>4</v>
      </c>
      <c r="AX1384" s="59">
        <v>4</v>
      </c>
      <c r="AY1384" s="59">
        <v>2</v>
      </c>
      <c r="AZ1384" s="59">
        <v>2</v>
      </c>
      <c r="BA1384" s="59">
        <v>3</v>
      </c>
      <c r="BB1384" s="57">
        <f t="shared" si="417"/>
        <v>3065</v>
      </c>
    </row>
    <row r="1385" spans="1:54" x14ac:dyDescent="0.25">
      <c r="A1385" s="58">
        <v>36</v>
      </c>
      <c r="B1385" s="59">
        <v>0</v>
      </c>
      <c r="C1385" s="59">
        <v>3</v>
      </c>
      <c r="D1385" s="59">
        <f t="shared" si="399"/>
        <v>0</v>
      </c>
      <c r="E1385" s="59">
        <f t="shared" si="400"/>
        <v>0</v>
      </c>
      <c r="F1385" s="59">
        <v>1351</v>
      </c>
      <c r="G1385" s="59">
        <v>2</v>
      </c>
      <c r="H1385" s="59">
        <f t="shared" si="401"/>
        <v>0</v>
      </c>
      <c r="I1385" s="59">
        <f t="shared" si="402"/>
        <v>1</v>
      </c>
      <c r="J1385" s="59">
        <v>9</v>
      </c>
      <c r="K1385" s="59">
        <v>4</v>
      </c>
      <c r="L1385" s="59">
        <v>1</v>
      </c>
      <c r="M1385" s="59">
        <f t="shared" si="403"/>
        <v>1</v>
      </c>
      <c r="N1385" s="59">
        <f t="shared" si="404"/>
        <v>0</v>
      </c>
      <c r="O1385" s="59">
        <f t="shared" si="405"/>
        <v>0</v>
      </c>
      <c r="P1385" s="59">
        <f t="shared" si="406"/>
        <v>0</v>
      </c>
      <c r="Q1385" s="59">
        <f t="shared" si="407"/>
        <v>0</v>
      </c>
      <c r="R1385" s="59">
        <v>1</v>
      </c>
      <c r="S1385" s="59">
        <v>1949</v>
      </c>
      <c r="T1385" s="59">
        <v>1</v>
      </c>
      <c r="U1385" s="59">
        <v>1</v>
      </c>
      <c r="V1385" s="59">
        <v>66</v>
      </c>
      <c r="W1385" s="59">
        <v>4</v>
      </c>
      <c r="X1385" s="59">
        <v>1</v>
      </c>
      <c r="Y1385" s="59">
        <v>3</v>
      </c>
      <c r="Z1385" s="59">
        <f t="shared" si="408"/>
        <v>0</v>
      </c>
      <c r="AA1385" s="59">
        <f>IF('Updated Dummy'!Y1385=2,1,0)</f>
        <v>0</v>
      </c>
      <c r="AB1385" s="59">
        <f t="shared" si="409"/>
        <v>1</v>
      </c>
      <c r="AC1385" s="59">
        <f t="shared" si="410"/>
        <v>0</v>
      </c>
      <c r="AD1385" s="59">
        <f t="shared" si="411"/>
        <v>0</v>
      </c>
      <c r="AE1385" s="59">
        <f t="shared" si="412"/>
        <v>0</v>
      </c>
      <c r="AF1385" s="59">
        <f t="shared" si="413"/>
        <v>0</v>
      </c>
      <c r="AG1385" s="59">
        <f t="shared" si="414"/>
        <v>0</v>
      </c>
      <c r="AH1385" s="59">
        <v>2</v>
      </c>
      <c r="AI1385" s="59">
        <v>2</v>
      </c>
      <c r="AJ1385" s="59">
        <f t="shared" si="415"/>
        <v>0</v>
      </c>
      <c r="AK1385" s="59">
        <f t="shared" si="416"/>
        <v>1</v>
      </c>
      <c r="AL1385" s="59">
        <v>2810</v>
      </c>
      <c r="AM1385" s="59">
        <v>9238</v>
      </c>
      <c r="AN1385" s="59">
        <v>1</v>
      </c>
      <c r="AO1385" s="59">
        <v>0</v>
      </c>
      <c r="AP1385" s="59">
        <v>22</v>
      </c>
      <c r="AQ1385" s="59">
        <v>4</v>
      </c>
      <c r="AR1385" s="59">
        <v>2</v>
      </c>
      <c r="AS1385" s="59">
        <v>80</v>
      </c>
      <c r="AT1385" s="59">
        <v>0</v>
      </c>
      <c r="AU1385" s="59">
        <v>5</v>
      </c>
      <c r="AV1385" s="59">
        <v>3</v>
      </c>
      <c r="AW1385" s="59">
        <v>3</v>
      </c>
      <c r="AX1385" s="59">
        <v>5</v>
      </c>
      <c r="AY1385" s="59">
        <v>4</v>
      </c>
      <c r="AZ1385" s="59">
        <v>0</v>
      </c>
      <c r="BA1385" s="59">
        <v>2</v>
      </c>
      <c r="BB1385" s="57">
        <f t="shared" si="417"/>
        <v>2810</v>
      </c>
    </row>
    <row r="1386" spans="1:54" x14ac:dyDescent="0.25">
      <c r="A1386" s="58">
        <v>34</v>
      </c>
      <c r="B1386" s="59">
        <v>0</v>
      </c>
      <c r="C1386" s="59">
        <v>1</v>
      </c>
      <c r="D1386" s="59">
        <f t="shared" si="399"/>
        <v>1</v>
      </c>
      <c r="E1386" s="59">
        <f t="shared" si="400"/>
        <v>0</v>
      </c>
      <c r="F1386" s="59">
        <v>937</v>
      </c>
      <c r="G1386" s="59">
        <v>1</v>
      </c>
      <c r="H1386" s="59">
        <f t="shared" si="401"/>
        <v>1</v>
      </c>
      <c r="I1386" s="59">
        <f t="shared" si="402"/>
        <v>0</v>
      </c>
      <c r="J1386" s="59">
        <v>1</v>
      </c>
      <c r="K1386" s="59">
        <v>3</v>
      </c>
      <c r="L1386" s="59">
        <v>4</v>
      </c>
      <c r="M1386" s="59">
        <f t="shared" si="403"/>
        <v>0</v>
      </c>
      <c r="N1386" s="59">
        <f t="shared" si="404"/>
        <v>0</v>
      </c>
      <c r="O1386" s="59">
        <f t="shared" si="405"/>
        <v>0</v>
      </c>
      <c r="P1386" s="59">
        <f t="shared" si="406"/>
        <v>1</v>
      </c>
      <c r="Q1386" s="59">
        <f t="shared" si="407"/>
        <v>0</v>
      </c>
      <c r="R1386" s="59">
        <v>1</v>
      </c>
      <c r="S1386" s="59">
        <v>1950</v>
      </c>
      <c r="T1386" s="59">
        <v>1</v>
      </c>
      <c r="U1386" s="59">
        <v>1</v>
      </c>
      <c r="V1386" s="59">
        <v>32</v>
      </c>
      <c r="W1386" s="59">
        <v>3</v>
      </c>
      <c r="X1386" s="59">
        <v>3</v>
      </c>
      <c r="Y1386" s="59">
        <v>1</v>
      </c>
      <c r="Z1386" s="59">
        <f t="shared" si="408"/>
        <v>1</v>
      </c>
      <c r="AA1386" s="59">
        <f>IF('Updated Dummy'!Y1386=2,1,0)</f>
        <v>0</v>
      </c>
      <c r="AB1386" s="59">
        <f t="shared" si="409"/>
        <v>0</v>
      </c>
      <c r="AC1386" s="59">
        <f t="shared" si="410"/>
        <v>0</v>
      </c>
      <c r="AD1386" s="59">
        <f t="shared" si="411"/>
        <v>0</v>
      </c>
      <c r="AE1386" s="59">
        <f t="shared" si="412"/>
        <v>0</v>
      </c>
      <c r="AF1386" s="59">
        <f t="shared" si="413"/>
        <v>0</v>
      </c>
      <c r="AG1386" s="59">
        <f t="shared" si="414"/>
        <v>0</v>
      </c>
      <c r="AH1386" s="59">
        <v>4</v>
      </c>
      <c r="AI1386" s="59">
        <v>1</v>
      </c>
      <c r="AJ1386" s="59">
        <f t="shared" si="415"/>
        <v>1</v>
      </c>
      <c r="AK1386" s="59">
        <f t="shared" si="416"/>
        <v>0</v>
      </c>
      <c r="AL1386" s="59">
        <v>9888</v>
      </c>
      <c r="AM1386" s="59">
        <v>6770</v>
      </c>
      <c r="AN1386" s="59">
        <v>1</v>
      </c>
      <c r="AO1386" s="59">
        <v>0</v>
      </c>
      <c r="AP1386" s="59">
        <v>21</v>
      </c>
      <c r="AQ1386" s="59">
        <v>4</v>
      </c>
      <c r="AR1386" s="59">
        <v>1</v>
      </c>
      <c r="AS1386" s="59">
        <v>80</v>
      </c>
      <c r="AT1386" s="59">
        <v>0</v>
      </c>
      <c r="AU1386" s="59">
        <v>14</v>
      </c>
      <c r="AV1386" s="59">
        <v>3</v>
      </c>
      <c r="AW1386" s="59">
        <v>2</v>
      </c>
      <c r="AX1386" s="59">
        <v>14</v>
      </c>
      <c r="AY1386" s="59">
        <v>8</v>
      </c>
      <c r="AZ1386" s="59">
        <v>2</v>
      </c>
      <c r="BA1386" s="59">
        <v>1</v>
      </c>
      <c r="BB1386" s="57">
        <f t="shared" si="417"/>
        <v>29664</v>
      </c>
    </row>
    <row r="1387" spans="1:54" x14ac:dyDescent="0.25">
      <c r="A1387" s="58">
        <v>34</v>
      </c>
      <c r="B1387" s="59">
        <v>0</v>
      </c>
      <c r="C1387" s="59">
        <v>1</v>
      </c>
      <c r="D1387" s="59">
        <f t="shared" si="399"/>
        <v>1</v>
      </c>
      <c r="E1387" s="59">
        <f t="shared" si="400"/>
        <v>0</v>
      </c>
      <c r="F1387" s="59">
        <v>1239</v>
      </c>
      <c r="G1387" s="59">
        <v>1</v>
      </c>
      <c r="H1387" s="59">
        <f t="shared" si="401"/>
        <v>1</v>
      </c>
      <c r="I1387" s="59">
        <f t="shared" si="402"/>
        <v>0</v>
      </c>
      <c r="J1387" s="59">
        <v>13</v>
      </c>
      <c r="K1387" s="59">
        <v>4</v>
      </c>
      <c r="L1387" s="59">
        <v>3</v>
      </c>
      <c r="M1387" s="59">
        <f t="shared" si="403"/>
        <v>0</v>
      </c>
      <c r="N1387" s="59">
        <f t="shared" si="404"/>
        <v>0</v>
      </c>
      <c r="O1387" s="59">
        <f t="shared" si="405"/>
        <v>1</v>
      </c>
      <c r="P1387" s="59">
        <f t="shared" si="406"/>
        <v>0</v>
      </c>
      <c r="Q1387" s="59">
        <f t="shared" si="407"/>
        <v>0</v>
      </c>
      <c r="R1387" s="59">
        <v>1</v>
      </c>
      <c r="S1387" s="59">
        <v>1951</v>
      </c>
      <c r="T1387" s="59">
        <v>4</v>
      </c>
      <c r="U1387" s="59">
        <v>1</v>
      </c>
      <c r="V1387" s="59">
        <v>39</v>
      </c>
      <c r="W1387" s="59">
        <v>3</v>
      </c>
      <c r="X1387" s="59">
        <v>3</v>
      </c>
      <c r="Y1387" s="59">
        <v>1</v>
      </c>
      <c r="Z1387" s="59">
        <f t="shared" si="408"/>
        <v>1</v>
      </c>
      <c r="AA1387" s="59">
        <f>IF('Updated Dummy'!Y1387=2,1,0)</f>
        <v>0</v>
      </c>
      <c r="AB1387" s="59">
        <f t="shared" si="409"/>
        <v>0</v>
      </c>
      <c r="AC1387" s="59">
        <f t="shared" si="410"/>
        <v>0</v>
      </c>
      <c r="AD1387" s="59">
        <f t="shared" si="411"/>
        <v>0</v>
      </c>
      <c r="AE1387" s="59">
        <f t="shared" si="412"/>
        <v>0</v>
      </c>
      <c r="AF1387" s="59">
        <f t="shared" si="413"/>
        <v>0</v>
      </c>
      <c r="AG1387" s="59">
        <f t="shared" si="414"/>
        <v>0</v>
      </c>
      <c r="AH1387" s="59">
        <v>3</v>
      </c>
      <c r="AI1387" s="59">
        <v>3</v>
      </c>
      <c r="AJ1387" s="59">
        <f t="shared" si="415"/>
        <v>0</v>
      </c>
      <c r="AK1387" s="59">
        <f t="shared" si="416"/>
        <v>0</v>
      </c>
      <c r="AL1387" s="59">
        <v>8628</v>
      </c>
      <c r="AM1387" s="59">
        <v>22914</v>
      </c>
      <c r="AN1387" s="59">
        <v>1</v>
      </c>
      <c r="AO1387" s="59">
        <v>0</v>
      </c>
      <c r="AP1387" s="59">
        <v>18</v>
      </c>
      <c r="AQ1387" s="59">
        <v>3</v>
      </c>
      <c r="AR1387" s="59">
        <v>3</v>
      </c>
      <c r="AS1387" s="59">
        <v>80</v>
      </c>
      <c r="AT1387" s="59">
        <v>1</v>
      </c>
      <c r="AU1387" s="59">
        <v>9</v>
      </c>
      <c r="AV1387" s="59">
        <v>2</v>
      </c>
      <c r="AW1387" s="59">
        <v>2</v>
      </c>
      <c r="AX1387" s="59">
        <v>8</v>
      </c>
      <c r="AY1387" s="59">
        <v>7</v>
      </c>
      <c r="AZ1387" s="59">
        <v>1</v>
      </c>
      <c r="BA1387" s="59">
        <v>1</v>
      </c>
      <c r="BB1387" s="57">
        <f t="shared" si="417"/>
        <v>25884</v>
      </c>
    </row>
    <row r="1388" spans="1:54" x14ac:dyDescent="0.25">
      <c r="A1388" s="58">
        <v>26</v>
      </c>
      <c r="B1388" s="59">
        <v>0</v>
      </c>
      <c r="C1388" s="59">
        <v>1</v>
      </c>
      <c r="D1388" s="59">
        <f t="shared" si="399"/>
        <v>1</v>
      </c>
      <c r="E1388" s="59">
        <f t="shared" si="400"/>
        <v>0</v>
      </c>
      <c r="F1388" s="59">
        <v>157</v>
      </c>
      <c r="G1388" s="59">
        <v>2</v>
      </c>
      <c r="H1388" s="59">
        <f t="shared" si="401"/>
        <v>0</v>
      </c>
      <c r="I1388" s="59">
        <f t="shared" si="402"/>
        <v>1</v>
      </c>
      <c r="J1388" s="59">
        <v>1</v>
      </c>
      <c r="K1388" s="59">
        <v>3</v>
      </c>
      <c r="L1388" s="59">
        <v>3</v>
      </c>
      <c r="M1388" s="59">
        <f t="shared" si="403"/>
        <v>0</v>
      </c>
      <c r="N1388" s="59">
        <f t="shared" si="404"/>
        <v>0</v>
      </c>
      <c r="O1388" s="59">
        <f t="shared" si="405"/>
        <v>1</v>
      </c>
      <c r="P1388" s="59">
        <f t="shared" si="406"/>
        <v>0</v>
      </c>
      <c r="Q1388" s="59">
        <f t="shared" si="407"/>
        <v>0</v>
      </c>
      <c r="R1388" s="59">
        <v>1</v>
      </c>
      <c r="S1388" s="59">
        <v>1952</v>
      </c>
      <c r="T1388" s="59">
        <v>3</v>
      </c>
      <c r="U1388" s="59">
        <v>1</v>
      </c>
      <c r="V1388" s="59">
        <v>95</v>
      </c>
      <c r="W1388" s="59">
        <v>3</v>
      </c>
      <c r="X1388" s="59">
        <v>1</v>
      </c>
      <c r="Y1388" s="59">
        <v>3</v>
      </c>
      <c r="Z1388" s="59">
        <f t="shared" si="408"/>
        <v>0</v>
      </c>
      <c r="AA1388" s="59">
        <f>IF('Updated Dummy'!Y1388=2,1,0)</f>
        <v>0</v>
      </c>
      <c r="AB1388" s="59">
        <f t="shared" si="409"/>
        <v>1</v>
      </c>
      <c r="AC1388" s="59">
        <f t="shared" si="410"/>
        <v>0</v>
      </c>
      <c r="AD1388" s="59">
        <f t="shared" si="411"/>
        <v>0</v>
      </c>
      <c r="AE1388" s="59">
        <f t="shared" si="412"/>
        <v>0</v>
      </c>
      <c r="AF1388" s="59">
        <f t="shared" si="413"/>
        <v>0</v>
      </c>
      <c r="AG1388" s="59">
        <f t="shared" si="414"/>
        <v>0</v>
      </c>
      <c r="AH1388" s="59">
        <v>1</v>
      </c>
      <c r="AI1388" s="59">
        <v>1</v>
      </c>
      <c r="AJ1388" s="59">
        <f t="shared" si="415"/>
        <v>1</v>
      </c>
      <c r="AK1388" s="59">
        <f t="shared" si="416"/>
        <v>0</v>
      </c>
      <c r="AL1388" s="59">
        <v>2867</v>
      </c>
      <c r="AM1388" s="59">
        <v>20006</v>
      </c>
      <c r="AN1388" s="59">
        <v>0</v>
      </c>
      <c r="AO1388" s="59">
        <v>0</v>
      </c>
      <c r="AP1388" s="59">
        <v>13</v>
      </c>
      <c r="AQ1388" s="59">
        <v>3</v>
      </c>
      <c r="AR1388" s="59">
        <v>4</v>
      </c>
      <c r="AS1388" s="59">
        <v>80</v>
      </c>
      <c r="AT1388" s="59">
        <v>0</v>
      </c>
      <c r="AU1388" s="59">
        <v>8</v>
      </c>
      <c r="AV1388" s="59">
        <v>6</v>
      </c>
      <c r="AW1388" s="59">
        <v>2</v>
      </c>
      <c r="AX1388" s="59">
        <v>7</v>
      </c>
      <c r="AY1388" s="59">
        <v>7</v>
      </c>
      <c r="AZ1388" s="59">
        <v>7</v>
      </c>
      <c r="BA1388" s="59">
        <v>6</v>
      </c>
      <c r="BB1388" s="57">
        <f t="shared" si="417"/>
        <v>2867</v>
      </c>
    </row>
    <row r="1389" spans="1:54" x14ac:dyDescent="0.25">
      <c r="A1389" s="58">
        <v>29</v>
      </c>
      <c r="B1389" s="59">
        <v>0</v>
      </c>
      <c r="C1389" s="59">
        <v>1</v>
      </c>
      <c r="D1389" s="59">
        <f t="shared" si="399"/>
        <v>1</v>
      </c>
      <c r="E1389" s="59">
        <f t="shared" si="400"/>
        <v>0</v>
      </c>
      <c r="F1389" s="59">
        <v>136</v>
      </c>
      <c r="G1389" s="59">
        <v>2</v>
      </c>
      <c r="H1389" s="59">
        <f t="shared" si="401"/>
        <v>0</v>
      </c>
      <c r="I1389" s="59">
        <f t="shared" si="402"/>
        <v>1</v>
      </c>
      <c r="J1389" s="59">
        <v>1</v>
      </c>
      <c r="K1389" s="59">
        <v>3</v>
      </c>
      <c r="L1389" s="59">
        <v>1</v>
      </c>
      <c r="M1389" s="59">
        <f t="shared" si="403"/>
        <v>1</v>
      </c>
      <c r="N1389" s="59">
        <f t="shared" si="404"/>
        <v>0</v>
      </c>
      <c r="O1389" s="59">
        <f t="shared" si="405"/>
        <v>0</v>
      </c>
      <c r="P1389" s="59">
        <f t="shared" si="406"/>
        <v>0</v>
      </c>
      <c r="Q1389" s="59">
        <f t="shared" si="407"/>
        <v>0</v>
      </c>
      <c r="R1389" s="59">
        <v>1</v>
      </c>
      <c r="S1389" s="59">
        <v>1954</v>
      </c>
      <c r="T1389" s="59">
        <v>1</v>
      </c>
      <c r="U1389" s="59">
        <v>1</v>
      </c>
      <c r="V1389" s="59">
        <v>89</v>
      </c>
      <c r="W1389" s="59">
        <v>3</v>
      </c>
      <c r="X1389" s="59">
        <v>2</v>
      </c>
      <c r="Y1389" s="59">
        <v>5</v>
      </c>
      <c r="Z1389" s="59">
        <f t="shared" si="408"/>
        <v>0</v>
      </c>
      <c r="AA1389" s="59">
        <f>IF('Updated Dummy'!Y1389=2,1,0)</f>
        <v>0</v>
      </c>
      <c r="AB1389" s="59">
        <f t="shared" si="409"/>
        <v>0</v>
      </c>
      <c r="AC1389" s="59">
        <f t="shared" si="410"/>
        <v>0</v>
      </c>
      <c r="AD1389" s="59">
        <f t="shared" si="411"/>
        <v>1</v>
      </c>
      <c r="AE1389" s="59">
        <f t="shared" si="412"/>
        <v>0</v>
      </c>
      <c r="AF1389" s="59">
        <f t="shared" si="413"/>
        <v>0</v>
      </c>
      <c r="AG1389" s="59">
        <f t="shared" si="414"/>
        <v>0</v>
      </c>
      <c r="AH1389" s="59">
        <v>1</v>
      </c>
      <c r="AI1389" s="59">
        <v>2</v>
      </c>
      <c r="AJ1389" s="59">
        <f t="shared" si="415"/>
        <v>0</v>
      </c>
      <c r="AK1389" s="59">
        <f t="shared" si="416"/>
        <v>1</v>
      </c>
      <c r="AL1389" s="59">
        <v>5373</v>
      </c>
      <c r="AM1389" s="59">
        <v>6225</v>
      </c>
      <c r="AN1389" s="59">
        <v>0</v>
      </c>
      <c r="AO1389" s="59">
        <v>0</v>
      </c>
      <c r="AP1389" s="59">
        <v>12</v>
      </c>
      <c r="AQ1389" s="59">
        <v>3</v>
      </c>
      <c r="AR1389" s="59">
        <v>1</v>
      </c>
      <c r="AS1389" s="59">
        <v>80</v>
      </c>
      <c r="AT1389" s="59">
        <v>1</v>
      </c>
      <c r="AU1389" s="59">
        <v>6</v>
      </c>
      <c r="AV1389" s="59">
        <v>5</v>
      </c>
      <c r="AW1389" s="59">
        <v>2</v>
      </c>
      <c r="AX1389" s="59">
        <v>5</v>
      </c>
      <c r="AY1389" s="59">
        <v>3</v>
      </c>
      <c r="AZ1389" s="59">
        <v>0</v>
      </c>
      <c r="BA1389" s="59">
        <v>2</v>
      </c>
      <c r="BB1389" s="57">
        <f t="shared" si="417"/>
        <v>10746</v>
      </c>
    </row>
    <row r="1390" spans="1:54" x14ac:dyDescent="0.25">
      <c r="A1390" s="58">
        <v>32</v>
      </c>
      <c r="B1390" s="59">
        <v>0</v>
      </c>
      <c r="C1390" s="59">
        <v>3</v>
      </c>
      <c r="D1390" s="59">
        <f t="shared" si="399"/>
        <v>0</v>
      </c>
      <c r="E1390" s="59">
        <f t="shared" si="400"/>
        <v>0</v>
      </c>
      <c r="F1390" s="59">
        <v>1146</v>
      </c>
      <c r="G1390" s="59">
        <v>2</v>
      </c>
      <c r="H1390" s="59">
        <f t="shared" si="401"/>
        <v>0</v>
      </c>
      <c r="I1390" s="59">
        <f t="shared" si="402"/>
        <v>1</v>
      </c>
      <c r="J1390" s="59">
        <v>15</v>
      </c>
      <c r="K1390" s="59">
        <v>4</v>
      </c>
      <c r="L1390" s="59">
        <v>3</v>
      </c>
      <c r="M1390" s="59">
        <f t="shared" si="403"/>
        <v>0</v>
      </c>
      <c r="N1390" s="59">
        <f t="shared" si="404"/>
        <v>0</v>
      </c>
      <c r="O1390" s="59">
        <f t="shared" si="405"/>
        <v>1</v>
      </c>
      <c r="P1390" s="59">
        <f t="shared" si="406"/>
        <v>0</v>
      </c>
      <c r="Q1390" s="59">
        <f t="shared" si="407"/>
        <v>0</v>
      </c>
      <c r="R1390" s="59">
        <v>1</v>
      </c>
      <c r="S1390" s="59">
        <v>1955</v>
      </c>
      <c r="T1390" s="59">
        <v>3</v>
      </c>
      <c r="U1390" s="59">
        <v>0</v>
      </c>
      <c r="V1390" s="59">
        <v>34</v>
      </c>
      <c r="W1390" s="59">
        <v>3</v>
      </c>
      <c r="X1390" s="59">
        <v>2</v>
      </c>
      <c r="Y1390" s="59">
        <v>5</v>
      </c>
      <c r="Z1390" s="59">
        <f t="shared" si="408"/>
        <v>0</v>
      </c>
      <c r="AA1390" s="59">
        <f>IF('Updated Dummy'!Y1390=2,1,0)</f>
        <v>0</v>
      </c>
      <c r="AB1390" s="59">
        <f t="shared" si="409"/>
        <v>0</v>
      </c>
      <c r="AC1390" s="59">
        <f t="shared" si="410"/>
        <v>0</v>
      </c>
      <c r="AD1390" s="59">
        <f t="shared" si="411"/>
        <v>1</v>
      </c>
      <c r="AE1390" s="59">
        <f t="shared" si="412"/>
        <v>0</v>
      </c>
      <c r="AF1390" s="59">
        <f t="shared" si="413"/>
        <v>0</v>
      </c>
      <c r="AG1390" s="59">
        <f t="shared" si="414"/>
        <v>0</v>
      </c>
      <c r="AH1390" s="59">
        <v>4</v>
      </c>
      <c r="AI1390" s="59">
        <v>3</v>
      </c>
      <c r="AJ1390" s="59">
        <f t="shared" si="415"/>
        <v>0</v>
      </c>
      <c r="AK1390" s="59">
        <f t="shared" si="416"/>
        <v>0</v>
      </c>
      <c r="AL1390" s="59">
        <v>6667</v>
      </c>
      <c r="AM1390" s="59">
        <v>16542</v>
      </c>
      <c r="AN1390" s="59">
        <v>5</v>
      </c>
      <c r="AO1390" s="59">
        <v>0</v>
      </c>
      <c r="AP1390" s="59">
        <v>18</v>
      </c>
      <c r="AQ1390" s="59">
        <v>3</v>
      </c>
      <c r="AR1390" s="59">
        <v>2</v>
      </c>
      <c r="AS1390" s="59">
        <v>80</v>
      </c>
      <c r="AT1390" s="59">
        <v>1</v>
      </c>
      <c r="AU1390" s="59">
        <v>9</v>
      </c>
      <c r="AV1390" s="59">
        <v>6</v>
      </c>
      <c r="AW1390" s="59">
        <v>3</v>
      </c>
      <c r="AX1390" s="59">
        <v>5</v>
      </c>
      <c r="AY1390" s="59">
        <v>1</v>
      </c>
      <c r="AZ1390" s="59">
        <v>1</v>
      </c>
      <c r="BA1390" s="59">
        <v>2</v>
      </c>
      <c r="BB1390" s="57">
        <f t="shared" si="417"/>
        <v>13334</v>
      </c>
    </row>
    <row r="1391" spans="1:54" x14ac:dyDescent="0.25">
      <c r="A1391" s="58">
        <v>31</v>
      </c>
      <c r="B1391" s="59">
        <v>0</v>
      </c>
      <c r="C1391" s="59">
        <v>2</v>
      </c>
      <c r="D1391" s="59">
        <f t="shared" si="399"/>
        <v>0</v>
      </c>
      <c r="E1391" s="59">
        <f t="shared" si="400"/>
        <v>1</v>
      </c>
      <c r="F1391" s="59">
        <v>1125</v>
      </c>
      <c r="G1391" s="59">
        <v>2</v>
      </c>
      <c r="H1391" s="59">
        <f t="shared" si="401"/>
        <v>0</v>
      </c>
      <c r="I1391" s="59">
        <f t="shared" si="402"/>
        <v>1</v>
      </c>
      <c r="J1391" s="59">
        <v>1</v>
      </c>
      <c r="K1391" s="59">
        <v>3</v>
      </c>
      <c r="L1391" s="59">
        <v>1</v>
      </c>
      <c r="M1391" s="59">
        <f t="shared" si="403"/>
        <v>1</v>
      </c>
      <c r="N1391" s="59">
        <f t="shared" si="404"/>
        <v>0</v>
      </c>
      <c r="O1391" s="59">
        <f t="shared" si="405"/>
        <v>0</v>
      </c>
      <c r="P1391" s="59">
        <f t="shared" si="406"/>
        <v>0</v>
      </c>
      <c r="Q1391" s="59">
        <f t="shared" si="407"/>
        <v>0</v>
      </c>
      <c r="R1391" s="59">
        <v>1</v>
      </c>
      <c r="S1391" s="59">
        <v>1956</v>
      </c>
      <c r="T1391" s="59">
        <v>4</v>
      </c>
      <c r="U1391" s="59">
        <v>1</v>
      </c>
      <c r="V1391" s="59">
        <v>48</v>
      </c>
      <c r="W1391" s="59">
        <v>1</v>
      </c>
      <c r="X1391" s="59">
        <v>2</v>
      </c>
      <c r="Y1391" s="59">
        <v>2</v>
      </c>
      <c r="Z1391" s="59">
        <f t="shared" si="408"/>
        <v>0</v>
      </c>
      <c r="AA1391" s="59">
        <f>IF('Updated Dummy'!Y1391=2,1,0)</f>
        <v>1</v>
      </c>
      <c r="AB1391" s="59">
        <f t="shared" si="409"/>
        <v>0</v>
      </c>
      <c r="AC1391" s="59">
        <f t="shared" si="410"/>
        <v>0</v>
      </c>
      <c r="AD1391" s="59">
        <f t="shared" si="411"/>
        <v>0</v>
      </c>
      <c r="AE1391" s="59">
        <f t="shared" si="412"/>
        <v>0</v>
      </c>
      <c r="AF1391" s="59">
        <f t="shared" si="413"/>
        <v>0</v>
      </c>
      <c r="AG1391" s="59">
        <f t="shared" si="414"/>
        <v>0</v>
      </c>
      <c r="AH1391" s="59">
        <v>1</v>
      </c>
      <c r="AI1391" s="59">
        <v>2</v>
      </c>
      <c r="AJ1391" s="59">
        <f t="shared" si="415"/>
        <v>0</v>
      </c>
      <c r="AK1391" s="59">
        <f t="shared" si="416"/>
        <v>1</v>
      </c>
      <c r="AL1391" s="59">
        <v>5003</v>
      </c>
      <c r="AM1391" s="59">
        <v>5771</v>
      </c>
      <c r="AN1391" s="59">
        <v>1</v>
      </c>
      <c r="AO1391" s="59">
        <v>0</v>
      </c>
      <c r="AP1391" s="59">
        <v>21</v>
      </c>
      <c r="AQ1391" s="59">
        <v>4</v>
      </c>
      <c r="AR1391" s="59">
        <v>2</v>
      </c>
      <c r="AS1391" s="59">
        <v>80</v>
      </c>
      <c r="AT1391" s="59">
        <v>0</v>
      </c>
      <c r="AU1391" s="59">
        <v>10</v>
      </c>
      <c r="AV1391" s="59">
        <v>6</v>
      </c>
      <c r="AW1391" s="59">
        <v>3</v>
      </c>
      <c r="AX1391" s="59">
        <v>10</v>
      </c>
      <c r="AY1391" s="59">
        <v>8</v>
      </c>
      <c r="AZ1391" s="59">
        <v>8</v>
      </c>
      <c r="BA1391" s="59">
        <v>7</v>
      </c>
      <c r="BB1391" s="57">
        <f t="shared" si="417"/>
        <v>10006</v>
      </c>
    </row>
    <row r="1392" spans="1:54" x14ac:dyDescent="0.25">
      <c r="A1392" s="58">
        <v>28</v>
      </c>
      <c r="B1392" s="59">
        <v>1</v>
      </c>
      <c r="C1392" s="59">
        <v>1</v>
      </c>
      <c r="D1392" s="59">
        <f t="shared" si="399"/>
        <v>1</v>
      </c>
      <c r="E1392" s="59">
        <f t="shared" si="400"/>
        <v>0</v>
      </c>
      <c r="F1392" s="59">
        <v>1404</v>
      </c>
      <c r="G1392" s="59">
        <v>2</v>
      </c>
      <c r="H1392" s="59">
        <f t="shared" si="401"/>
        <v>0</v>
      </c>
      <c r="I1392" s="59">
        <f t="shared" si="402"/>
        <v>1</v>
      </c>
      <c r="J1392" s="59">
        <v>17</v>
      </c>
      <c r="K1392" s="59">
        <v>3</v>
      </c>
      <c r="L1392" s="59">
        <v>5</v>
      </c>
      <c r="M1392" s="59">
        <f t="shared" si="403"/>
        <v>0</v>
      </c>
      <c r="N1392" s="59">
        <f t="shared" si="404"/>
        <v>0</v>
      </c>
      <c r="O1392" s="59">
        <f t="shared" si="405"/>
        <v>0</v>
      </c>
      <c r="P1392" s="59">
        <f t="shared" si="406"/>
        <v>0</v>
      </c>
      <c r="Q1392" s="59">
        <f t="shared" si="407"/>
        <v>1</v>
      </c>
      <c r="R1392" s="59">
        <v>1</v>
      </c>
      <c r="S1392" s="59">
        <v>1960</v>
      </c>
      <c r="T1392" s="59">
        <v>3</v>
      </c>
      <c r="U1392" s="59">
        <v>1</v>
      </c>
      <c r="V1392" s="59">
        <v>32</v>
      </c>
      <c r="W1392" s="59">
        <v>2</v>
      </c>
      <c r="X1392" s="59">
        <v>1</v>
      </c>
      <c r="Y1392" s="59">
        <v>3</v>
      </c>
      <c r="Z1392" s="59">
        <f t="shared" si="408"/>
        <v>0</v>
      </c>
      <c r="AA1392" s="59">
        <f>IF('Updated Dummy'!Y1392=2,1,0)</f>
        <v>0</v>
      </c>
      <c r="AB1392" s="59">
        <f t="shared" si="409"/>
        <v>1</v>
      </c>
      <c r="AC1392" s="59">
        <f t="shared" si="410"/>
        <v>0</v>
      </c>
      <c r="AD1392" s="59">
        <f t="shared" si="411"/>
        <v>0</v>
      </c>
      <c r="AE1392" s="59">
        <f t="shared" si="412"/>
        <v>0</v>
      </c>
      <c r="AF1392" s="59">
        <f t="shared" si="413"/>
        <v>0</v>
      </c>
      <c r="AG1392" s="59">
        <f t="shared" si="414"/>
        <v>0</v>
      </c>
      <c r="AH1392" s="59">
        <v>4</v>
      </c>
      <c r="AI1392" s="59">
        <v>3</v>
      </c>
      <c r="AJ1392" s="59">
        <f t="shared" si="415"/>
        <v>0</v>
      </c>
      <c r="AK1392" s="59">
        <f t="shared" si="416"/>
        <v>0</v>
      </c>
      <c r="AL1392" s="59">
        <v>2367</v>
      </c>
      <c r="AM1392" s="59">
        <v>18779</v>
      </c>
      <c r="AN1392" s="59">
        <v>5</v>
      </c>
      <c r="AO1392" s="59">
        <v>0</v>
      </c>
      <c r="AP1392" s="59">
        <v>12</v>
      </c>
      <c r="AQ1392" s="59">
        <v>3</v>
      </c>
      <c r="AR1392" s="59">
        <v>1</v>
      </c>
      <c r="AS1392" s="59">
        <v>80</v>
      </c>
      <c r="AT1392" s="59">
        <v>1</v>
      </c>
      <c r="AU1392" s="59">
        <v>6</v>
      </c>
      <c r="AV1392" s="59">
        <v>2</v>
      </c>
      <c r="AW1392" s="59">
        <v>2</v>
      </c>
      <c r="AX1392" s="59">
        <v>4</v>
      </c>
      <c r="AY1392" s="59">
        <v>1</v>
      </c>
      <c r="AZ1392" s="59">
        <v>0</v>
      </c>
      <c r="BA1392" s="59">
        <v>3</v>
      </c>
      <c r="BB1392" s="57">
        <f t="shared" si="417"/>
        <v>2367</v>
      </c>
    </row>
    <row r="1393" spans="1:54" x14ac:dyDescent="0.25">
      <c r="A1393" s="58">
        <v>38</v>
      </c>
      <c r="B1393" s="59">
        <v>0</v>
      </c>
      <c r="C1393" s="59">
        <v>1</v>
      </c>
      <c r="D1393" s="59">
        <f t="shared" si="399"/>
        <v>1</v>
      </c>
      <c r="E1393" s="59">
        <f t="shared" si="400"/>
        <v>0</v>
      </c>
      <c r="F1393" s="59">
        <v>1404</v>
      </c>
      <c r="G1393" s="59">
        <v>1</v>
      </c>
      <c r="H1393" s="59">
        <f t="shared" si="401"/>
        <v>1</v>
      </c>
      <c r="I1393" s="59">
        <f t="shared" si="402"/>
        <v>0</v>
      </c>
      <c r="J1393" s="59">
        <v>1</v>
      </c>
      <c r="K1393" s="59">
        <v>3</v>
      </c>
      <c r="L1393" s="59">
        <v>1</v>
      </c>
      <c r="M1393" s="59">
        <f t="shared" si="403"/>
        <v>1</v>
      </c>
      <c r="N1393" s="59">
        <f t="shared" si="404"/>
        <v>0</v>
      </c>
      <c r="O1393" s="59">
        <f t="shared" si="405"/>
        <v>0</v>
      </c>
      <c r="P1393" s="59">
        <f t="shared" si="406"/>
        <v>0</v>
      </c>
      <c r="Q1393" s="59">
        <f t="shared" si="407"/>
        <v>0</v>
      </c>
      <c r="R1393" s="59">
        <v>1</v>
      </c>
      <c r="S1393" s="59">
        <v>1961</v>
      </c>
      <c r="T1393" s="59">
        <v>1</v>
      </c>
      <c r="U1393" s="59">
        <v>1</v>
      </c>
      <c r="V1393" s="59">
        <v>59</v>
      </c>
      <c r="W1393" s="59">
        <v>2</v>
      </c>
      <c r="X1393" s="59">
        <v>1</v>
      </c>
      <c r="Y1393" s="59">
        <v>7</v>
      </c>
      <c r="Z1393" s="59">
        <f t="shared" si="408"/>
        <v>0</v>
      </c>
      <c r="AA1393" s="59">
        <f>IF('Updated Dummy'!Y1393=2,1,0)</f>
        <v>0</v>
      </c>
      <c r="AB1393" s="59">
        <f t="shared" si="409"/>
        <v>0</v>
      </c>
      <c r="AC1393" s="59">
        <f t="shared" si="410"/>
        <v>0</v>
      </c>
      <c r="AD1393" s="59">
        <f t="shared" si="411"/>
        <v>0</v>
      </c>
      <c r="AE1393" s="59">
        <f t="shared" si="412"/>
        <v>0</v>
      </c>
      <c r="AF1393" s="59">
        <f t="shared" si="413"/>
        <v>1</v>
      </c>
      <c r="AG1393" s="59">
        <f t="shared" si="414"/>
        <v>0</v>
      </c>
      <c r="AH1393" s="59">
        <v>1</v>
      </c>
      <c r="AI1393" s="59">
        <v>1</v>
      </c>
      <c r="AJ1393" s="59">
        <f t="shared" si="415"/>
        <v>1</v>
      </c>
      <c r="AK1393" s="59">
        <f t="shared" si="416"/>
        <v>0</v>
      </c>
      <c r="AL1393" s="59">
        <v>2858</v>
      </c>
      <c r="AM1393" s="59">
        <v>11473</v>
      </c>
      <c r="AN1393" s="59">
        <v>4</v>
      </c>
      <c r="AO1393" s="59">
        <v>0</v>
      </c>
      <c r="AP1393" s="59">
        <v>14</v>
      </c>
      <c r="AQ1393" s="59">
        <v>3</v>
      </c>
      <c r="AR1393" s="59">
        <v>1</v>
      </c>
      <c r="AS1393" s="59">
        <v>80</v>
      </c>
      <c r="AT1393" s="59">
        <v>0</v>
      </c>
      <c r="AU1393" s="59">
        <v>20</v>
      </c>
      <c r="AV1393" s="59">
        <v>3</v>
      </c>
      <c r="AW1393" s="59">
        <v>2</v>
      </c>
      <c r="AX1393" s="59">
        <v>1</v>
      </c>
      <c r="AY1393" s="59">
        <v>0</v>
      </c>
      <c r="AZ1393" s="59">
        <v>0</v>
      </c>
      <c r="BA1393" s="59">
        <v>0</v>
      </c>
      <c r="BB1393" s="57">
        <f t="shared" si="417"/>
        <v>2858</v>
      </c>
    </row>
    <row r="1394" spans="1:54" x14ac:dyDescent="0.25">
      <c r="A1394" s="58">
        <v>35</v>
      </c>
      <c r="B1394" s="59">
        <v>0</v>
      </c>
      <c r="C1394" s="59">
        <v>1</v>
      </c>
      <c r="D1394" s="59">
        <f t="shared" si="399"/>
        <v>1</v>
      </c>
      <c r="E1394" s="59">
        <f t="shared" si="400"/>
        <v>0</v>
      </c>
      <c r="F1394" s="59">
        <v>1224</v>
      </c>
      <c r="G1394" s="59">
        <v>1</v>
      </c>
      <c r="H1394" s="59">
        <f t="shared" si="401"/>
        <v>1</v>
      </c>
      <c r="I1394" s="59">
        <f t="shared" si="402"/>
        <v>0</v>
      </c>
      <c r="J1394" s="59">
        <v>7</v>
      </c>
      <c r="K1394" s="59">
        <v>4</v>
      </c>
      <c r="L1394" s="59">
        <v>1</v>
      </c>
      <c r="M1394" s="59">
        <f t="shared" si="403"/>
        <v>1</v>
      </c>
      <c r="N1394" s="59">
        <f t="shared" si="404"/>
        <v>0</v>
      </c>
      <c r="O1394" s="59">
        <f t="shared" si="405"/>
        <v>0</v>
      </c>
      <c r="P1394" s="59">
        <f t="shared" si="406"/>
        <v>0</v>
      </c>
      <c r="Q1394" s="59">
        <f t="shared" si="407"/>
        <v>0</v>
      </c>
      <c r="R1394" s="59">
        <v>1</v>
      </c>
      <c r="S1394" s="59">
        <v>1962</v>
      </c>
      <c r="T1394" s="59">
        <v>3</v>
      </c>
      <c r="U1394" s="59">
        <v>0</v>
      </c>
      <c r="V1394" s="59">
        <v>55</v>
      </c>
      <c r="W1394" s="59">
        <v>3</v>
      </c>
      <c r="X1394" s="59">
        <v>2</v>
      </c>
      <c r="Y1394" s="59">
        <v>1</v>
      </c>
      <c r="Z1394" s="59">
        <f t="shared" si="408"/>
        <v>1</v>
      </c>
      <c r="AA1394" s="59">
        <f>IF('Updated Dummy'!Y1394=2,1,0)</f>
        <v>0</v>
      </c>
      <c r="AB1394" s="59">
        <f t="shared" si="409"/>
        <v>0</v>
      </c>
      <c r="AC1394" s="59">
        <f t="shared" si="410"/>
        <v>0</v>
      </c>
      <c r="AD1394" s="59">
        <f t="shared" si="411"/>
        <v>0</v>
      </c>
      <c r="AE1394" s="59">
        <f t="shared" si="412"/>
        <v>0</v>
      </c>
      <c r="AF1394" s="59">
        <f t="shared" si="413"/>
        <v>0</v>
      </c>
      <c r="AG1394" s="59">
        <f t="shared" si="414"/>
        <v>0</v>
      </c>
      <c r="AH1394" s="59">
        <v>4</v>
      </c>
      <c r="AI1394" s="59">
        <v>2</v>
      </c>
      <c r="AJ1394" s="59">
        <f t="shared" si="415"/>
        <v>0</v>
      </c>
      <c r="AK1394" s="59">
        <f t="shared" si="416"/>
        <v>1</v>
      </c>
      <c r="AL1394" s="59">
        <v>5204</v>
      </c>
      <c r="AM1394" s="59">
        <v>13586</v>
      </c>
      <c r="AN1394" s="59">
        <v>1</v>
      </c>
      <c r="AO1394" s="59">
        <v>1</v>
      </c>
      <c r="AP1394" s="59">
        <v>11</v>
      </c>
      <c r="AQ1394" s="59">
        <v>3</v>
      </c>
      <c r="AR1394" s="59">
        <v>4</v>
      </c>
      <c r="AS1394" s="59">
        <v>80</v>
      </c>
      <c r="AT1394" s="59">
        <v>0</v>
      </c>
      <c r="AU1394" s="59">
        <v>10</v>
      </c>
      <c r="AV1394" s="59">
        <v>2</v>
      </c>
      <c r="AW1394" s="59">
        <v>3</v>
      </c>
      <c r="AX1394" s="59">
        <v>10</v>
      </c>
      <c r="AY1394" s="59">
        <v>8</v>
      </c>
      <c r="AZ1394" s="59">
        <v>0</v>
      </c>
      <c r="BA1394" s="59">
        <v>9</v>
      </c>
      <c r="BB1394" s="57">
        <f t="shared" si="417"/>
        <v>10408</v>
      </c>
    </row>
    <row r="1395" spans="1:54" x14ac:dyDescent="0.25">
      <c r="A1395" s="58">
        <v>27</v>
      </c>
      <c r="B1395" s="59">
        <v>0</v>
      </c>
      <c r="C1395" s="59">
        <v>1</v>
      </c>
      <c r="D1395" s="59">
        <f t="shared" si="399"/>
        <v>1</v>
      </c>
      <c r="E1395" s="59">
        <f t="shared" si="400"/>
        <v>0</v>
      </c>
      <c r="F1395" s="59">
        <v>954</v>
      </c>
      <c r="G1395" s="59">
        <v>1</v>
      </c>
      <c r="H1395" s="59">
        <f t="shared" si="401"/>
        <v>1</v>
      </c>
      <c r="I1395" s="59">
        <f t="shared" si="402"/>
        <v>0</v>
      </c>
      <c r="J1395" s="59">
        <v>9</v>
      </c>
      <c r="K1395" s="59">
        <v>3</v>
      </c>
      <c r="L1395" s="59">
        <v>4</v>
      </c>
      <c r="M1395" s="59">
        <f t="shared" si="403"/>
        <v>0</v>
      </c>
      <c r="N1395" s="59">
        <f t="shared" si="404"/>
        <v>0</v>
      </c>
      <c r="O1395" s="59">
        <f t="shared" si="405"/>
        <v>0</v>
      </c>
      <c r="P1395" s="59">
        <f t="shared" si="406"/>
        <v>1</v>
      </c>
      <c r="Q1395" s="59">
        <f t="shared" si="407"/>
        <v>0</v>
      </c>
      <c r="R1395" s="59">
        <v>1</v>
      </c>
      <c r="S1395" s="59">
        <v>1965</v>
      </c>
      <c r="T1395" s="59">
        <v>4</v>
      </c>
      <c r="U1395" s="59">
        <v>1</v>
      </c>
      <c r="V1395" s="59">
        <v>44</v>
      </c>
      <c r="W1395" s="59">
        <v>3</v>
      </c>
      <c r="X1395" s="59">
        <v>2</v>
      </c>
      <c r="Y1395" s="59">
        <v>1</v>
      </c>
      <c r="Z1395" s="59">
        <f t="shared" si="408"/>
        <v>1</v>
      </c>
      <c r="AA1395" s="59">
        <f>IF('Updated Dummy'!Y1395=2,1,0)</f>
        <v>0</v>
      </c>
      <c r="AB1395" s="59">
        <f t="shared" si="409"/>
        <v>0</v>
      </c>
      <c r="AC1395" s="59">
        <f t="shared" si="410"/>
        <v>0</v>
      </c>
      <c r="AD1395" s="59">
        <f t="shared" si="411"/>
        <v>0</v>
      </c>
      <c r="AE1395" s="59">
        <f t="shared" si="412"/>
        <v>0</v>
      </c>
      <c r="AF1395" s="59">
        <f t="shared" si="413"/>
        <v>0</v>
      </c>
      <c r="AG1395" s="59">
        <f t="shared" si="414"/>
        <v>0</v>
      </c>
      <c r="AH1395" s="59">
        <v>4</v>
      </c>
      <c r="AI1395" s="59">
        <v>1</v>
      </c>
      <c r="AJ1395" s="59">
        <f t="shared" si="415"/>
        <v>1</v>
      </c>
      <c r="AK1395" s="59">
        <f t="shared" si="416"/>
        <v>0</v>
      </c>
      <c r="AL1395" s="59">
        <v>4105</v>
      </c>
      <c r="AM1395" s="59">
        <v>5099</v>
      </c>
      <c r="AN1395" s="59">
        <v>1</v>
      </c>
      <c r="AO1395" s="59">
        <v>0</v>
      </c>
      <c r="AP1395" s="59">
        <v>14</v>
      </c>
      <c r="AQ1395" s="59">
        <v>3</v>
      </c>
      <c r="AR1395" s="59">
        <v>1</v>
      </c>
      <c r="AS1395" s="59">
        <v>80</v>
      </c>
      <c r="AT1395" s="59">
        <v>0</v>
      </c>
      <c r="AU1395" s="59">
        <v>7</v>
      </c>
      <c r="AV1395" s="59">
        <v>5</v>
      </c>
      <c r="AW1395" s="59">
        <v>3</v>
      </c>
      <c r="AX1395" s="59">
        <v>7</v>
      </c>
      <c r="AY1395" s="59">
        <v>7</v>
      </c>
      <c r="AZ1395" s="59">
        <v>0</v>
      </c>
      <c r="BA1395" s="59">
        <v>7</v>
      </c>
      <c r="BB1395" s="57">
        <f t="shared" si="417"/>
        <v>8210</v>
      </c>
    </row>
    <row r="1396" spans="1:54" x14ac:dyDescent="0.25">
      <c r="A1396" s="58">
        <v>32</v>
      </c>
      <c r="B1396" s="59">
        <v>0</v>
      </c>
      <c r="C1396" s="59">
        <v>1</v>
      </c>
      <c r="D1396" s="59">
        <f t="shared" si="399"/>
        <v>1</v>
      </c>
      <c r="E1396" s="59">
        <f t="shared" si="400"/>
        <v>0</v>
      </c>
      <c r="F1396" s="59">
        <v>1373</v>
      </c>
      <c r="G1396" s="59">
        <v>2</v>
      </c>
      <c r="H1396" s="59">
        <f t="shared" si="401"/>
        <v>0</v>
      </c>
      <c r="I1396" s="59">
        <f t="shared" si="402"/>
        <v>1</v>
      </c>
      <c r="J1396" s="59">
        <v>5</v>
      </c>
      <c r="K1396" s="59">
        <v>4</v>
      </c>
      <c r="L1396" s="59">
        <v>1</v>
      </c>
      <c r="M1396" s="59">
        <f t="shared" si="403"/>
        <v>1</v>
      </c>
      <c r="N1396" s="59">
        <f t="shared" si="404"/>
        <v>0</v>
      </c>
      <c r="O1396" s="59">
        <f t="shared" si="405"/>
        <v>0</v>
      </c>
      <c r="P1396" s="59">
        <f t="shared" si="406"/>
        <v>0</v>
      </c>
      <c r="Q1396" s="59">
        <f t="shared" si="407"/>
        <v>0</v>
      </c>
      <c r="R1396" s="59">
        <v>1</v>
      </c>
      <c r="S1396" s="59">
        <v>1966</v>
      </c>
      <c r="T1396" s="59">
        <v>4</v>
      </c>
      <c r="U1396" s="59">
        <v>1</v>
      </c>
      <c r="V1396" s="59">
        <v>56</v>
      </c>
      <c r="W1396" s="59">
        <v>2</v>
      </c>
      <c r="X1396" s="59">
        <v>2</v>
      </c>
      <c r="Y1396" s="59">
        <v>4</v>
      </c>
      <c r="Z1396" s="59">
        <f t="shared" si="408"/>
        <v>0</v>
      </c>
      <c r="AA1396" s="59">
        <f>IF('Updated Dummy'!Y1396=2,1,0)</f>
        <v>0</v>
      </c>
      <c r="AB1396" s="59">
        <f t="shared" si="409"/>
        <v>0</v>
      </c>
      <c r="AC1396" s="59">
        <f t="shared" si="410"/>
        <v>1</v>
      </c>
      <c r="AD1396" s="59">
        <f t="shared" si="411"/>
        <v>0</v>
      </c>
      <c r="AE1396" s="59">
        <f t="shared" si="412"/>
        <v>0</v>
      </c>
      <c r="AF1396" s="59">
        <f t="shared" si="413"/>
        <v>0</v>
      </c>
      <c r="AG1396" s="59">
        <f t="shared" si="414"/>
        <v>0</v>
      </c>
      <c r="AH1396" s="59">
        <v>4</v>
      </c>
      <c r="AI1396" s="59">
        <v>1</v>
      </c>
      <c r="AJ1396" s="59">
        <f t="shared" si="415"/>
        <v>1</v>
      </c>
      <c r="AK1396" s="59">
        <f t="shared" si="416"/>
        <v>0</v>
      </c>
      <c r="AL1396" s="59">
        <v>9679</v>
      </c>
      <c r="AM1396" s="59">
        <v>10138</v>
      </c>
      <c r="AN1396" s="59">
        <v>8</v>
      </c>
      <c r="AO1396" s="59">
        <v>0</v>
      </c>
      <c r="AP1396" s="59">
        <v>24</v>
      </c>
      <c r="AQ1396" s="59">
        <v>4</v>
      </c>
      <c r="AR1396" s="59">
        <v>2</v>
      </c>
      <c r="AS1396" s="59">
        <v>80</v>
      </c>
      <c r="AT1396" s="59">
        <v>0</v>
      </c>
      <c r="AU1396" s="59">
        <v>8</v>
      </c>
      <c r="AV1396" s="59">
        <v>1</v>
      </c>
      <c r="AW1396" s="59">
        <v>3</v>
      </c>
      <c r="AX1396" s="59">
        <v>1</v>
      </c>
      <c r="AY1396" s="59">
        <v>0</v>
      </c>
      <c r="AZ1396" s="59">
        <v>0</v>
      </c>
      <c r="BA1396" s="59">
        <v>0</v>
      </c>
      <c r="BB1396" s="57">
        <f t="shared" si="417"/>
        <v>19358</v>
      </c>
    </row>
    <row r="1397" spans="1:54" x14ac:dyDescent="0.25">
      <c r="A1397" s="58">
        <v>31</v>
      </c>
      <c r="B1397" s="59">
        <v>1</v>
      </c>
      <c r="C1397" s="59">
        <v>2</v>
      </c>
      <c r="D1397" s="59">
        <f t="shared" si="399"/>
        <v>0</v>
      </c>
      <c r="E1397" s="59">
        <f t="shared" si="400"/>
        <v>1</v>
      </c>
      <c r="F1397" s="59">
        <v>754</v>
      </c>
      <c r="G1397" s="59">
        <v>1</v>
      </c>
      <c r="H1397" s="59">
        <f t="shared" si="401"/>
        <v>1</v>
      </c>
      <c r="I1397" s="59">
        <f t="shared" si="402"/>
        <v>0</v>
      </c>
      <c r="J1397" s="59">
        <v>26</v>
      </c>
      <c r="K1397" s="59">
        <v>4</v>
      </c>
      <c r="L1397" s="59">
        <v>4</v>
      </c>
      <c r="M1397" s="59">
        <f t="shared" si="403"/>
        <v>0</v>
      </c>
      <c r="N1397" s="59">
        <f t="shared" si="404"/>
        <v>0</v>
      </c>
      <c r="O1397" s="59">
        <f t="shared" si="405"/>
        <v>0</v>
      </c>
      <c r="P1397" s="59">
        <f t="shared" si="406"/>
        <v>1</v>
      </c>
      <c r="Q1397" s="59">
        <f t="shared" si="407"/>
        <v>0</v>
      </c>
      <c r="R1397" s="59">
        <v>1</v>
      </c>
      <c r="S1397" s="59">
        <v>1967</v>
      </c>
      <c r="T1397" s="59">
        <v>1</v>
      </c>
      <c r="U1397" s="59">
        <v>1</v>
      </c>
      <c r="V1397" s="59">
        <v>63</v>
      </c>
      <c r="W1397" s="59">
        <v>3</v>
      </c>
      <c r="X1397" s="59">
        <v>2</v>
      </c>
      <c r="Y1397" s="59">
        <v>1</v>
      </c>
      <c r="Z1397" s="59">
        <f t="shared" si="408"/>
        <v>1</v>
      </c>
      <c r="AA1397" s="59">
        <f>IF('Updated Dummy'!Y1397=2,1,0)</f>
        <v>0</v>
      </c>
      <c r="AB1397" s="59">
        <f t="shared" si="409"/>
        <v>0</v>
      </c>
      <c r="AC1397" s="59">
        <f t="shared" si="410"/>
        <v>0</v>
      </c>
      <c r="AD1397" s="59">
        <f t="shared" si="411"/>
        <v>0</v>
      </c>
      <c r="AE1397" s="59">
        <f t="shared" si="412"/>
        <v>0</v>
      </c>
      <c r="AF1397" s="59">
        <f t="shared" si="413"/>
        <v>0</v>
      </c>
      <c r="AG1397" s="59">
        <f t="shared" si="414"/>
        <v>0</v>
      </c>
      <c r="AH1397" s="59">
        <v>4</v>
      </c>
      <c r="AI1397" s="59">
        <v>2</v>
      </c>
      <c r="AJ1397" s="59">
        <f t="shared" si="415"/>
        <v>0</v>
      </c>
      <c r="AK1397" s="59">
        <f t="shared" si="416"/>
        <v>1</v>
      </c>
      <c r="AL1397" s="59">
        <v>5617</v>
      </c>
      <c r="AM1397" s="59">
        <v>21075</v>
      </c>
      <c r="AN1397" s="59">
        <v>1</v>
      </c>
      <c r="AO1397" s="59">
        <v>1</v>
      </c>
      <c r="AP1397" s="59">
        <v>11</v>
      </c>
      <c r="AQ1397" s="59">
        <v>3</v>
      </c>
      <c r="AR1397" s="59">
        <v>3</v>
      </c>
      <c r="AS1397" s="59">
        <v>80</v>
      </c>
      <c r="AT1397" s="59">
        <v>0</v>
      </c>
      <c r="AU1397" s="59">
        <v>10</v>
      </c>
      <c r="AV1397" s="59">
        <v>4</v>
      </c>
      <c r="AW1397" s="59">
        <v>3</v>
      </c>
      <c r="AX1397" s="59">
        <v>10</v>
      </c>
      <c r="AY1397" s="59">
        <v>7</v>
      </c>
      <c r="AZ1397" s="59">
        <v>0</v>
      </c>
      <c r="BA1397" s="59">
        <v>8</v>
      </c>
      <c r="BB1397" s="57">
        <f t="shared" si="417"/>
        <v>11234</v>
      </c>
    </row>
    <row r="1398" spans="1:54" x14ac:dyDescent="0.25">
      <c r="A1398" s="58">
        <v>53</v>
      </c>
      <c r="B1398" s="59">
        <v>1</v>
      </c>
      <c r="C1398" s="59">
        <v>1</v>
      </c>
      <c r="D1398" s="59">
        <f t="shared" si="399"/>
        <v>1</v>
      </c>
      <c r="E1398" s="59">
        <f t="shared" si="400"/>
        <v>0</v>
      </c>
      <c r="F1398" s="59">
        <v>1168</v>
      </c>
      <c r="G1398" s="59">
        <v>1</v>
      </c>
      <c r="H1398" s="59">
        <f t="shared" si="401"/>
        <v>1</v>
      </c>
      <c r="I1398" s="59">
        <f t="shared" si="402"/>
        <v>0</v>
      </c>
      <c r="J1398" s="59">
        <v>24</v>
      </c>
      <c r="K1398" s="59">
        <v>4</v>
      </c>
      <c r="L1398" s="59">
        <v>1</v>
      </c>
      <c r="M1398" s="59">
        <f t="shared" si="403"/>
        <v>1</v>
      </c>
      <c r="N1398" s="59">
        <f t="shared" si="404"/>
        <v>0</v>
      </c>
      <c r="O1398" s="59">
        <f t="shared" si="405"/>
        <v>0</v>
      </c>
      <c r="P1398" s="59">
        <f t="shared" si="406"/>
        <v>0</v>
      </c>
      <c r="Q1398" s="59">
        <f t="shared" si="407"/>
        <v>0</v>
      </c>
      <c r="R1398" s="59">
        <v>1</v>
      </c>
      <c r="S1398" s="59">
        <v>1968</v>
      </c>
      <c r="T1398" s="59">
        <v>1</v>
      </c>
      <c r="U1398" s="59">
        <v>1</v>
      </c>
      <c r="V1398" s="59">
        <v>66</v>
      </c>
      <c r="W1398" s="59">
        <v>3</v>
      </c>
      <c r="X1398" s="59">
        <v>3</v>
      </c>
      <c r="Y1398" s="59">
        <v>1</v>
      </c>
      <c r="Z1398" s="59">
        <f t="shared" si="408"/>
        <v>1</v>
      </c>
      <c r="AA1398" s="59">
        <f>IF('Updated Dummy'!Y1398=2,1,0)</f>
        <v>0</v>
      </c>
      <c r="AB1398" s="59">
        <f t="shared" si="409"/>
        <v>0</v>
      </c>
      <c r="AC1398" s="59">
        <f t="shared" si="410"/>
        <v>0</v>
      </c>
      <c r="AD1398" s="59">
        <f t="shared" si="411"/>
        <v>0</v>
      </c>
      <c r="AE1398" s="59">
        <f t="shared" si="412"/>
        <v>0</v>
      </c>
      <c r="AF1398" s="59">
        <f t="shared" si="413"/>
        <v>0</v>
      </c>
      <c r="AG1398" s="59">
        <f t="shared" si="414"/>
        <v>0</v>
      </c>
      <c r="AH1398" s="59">
        <v>1</v>
      </c>
      <c r="AI1398" s="59">
        <v>1</v>
      </c>
      <c r="AJ1398" s="59">
        <f t="shared" si="415"/>
        <v>1</v>
      </c>
      <c r="AK1398" s="59">
        <f t="shared" si="416"/>
        <v>0</v>
      </c>
      <c r="AL1398" s="59">
        <v>10448</v>
      </c>
      <c r="AM1398" s="59">
        <v>5843</v>
      </c>
      <c r="AN1398" s="59">
        <v>6</v>
      </c>
      <c r="AO1398" s="59">
        <v>1</v>
      </c>
      <c r="AP1398" s="59">
        <v>13</v>
      </c>
      <c r="AQ1398" s="59">
        <v>3</v>
      </c>
      <c r="AR1398" s="59">
        <v>2</v>
      </c>
      <c r="AS1398" s="59">
        <v>80</v>
      </c>
      <c r="AT1398" s="59">
        <v>0</v>
      </c>
      <c r="AU1398" s="59">
        <v>15</v>
      </c>
      <c r="AV1398" s="59">
        <v>2</v>
      </c>
      <c r="AW1398" s="59">
        <v>2</v>
      </c>
      <c r="AX1398" s="59">
        <v>2</v>
      </c>
      <c r="AY1398" s="59">
        <v>2</v>
      </c>
      <c r="AZ1398" s="59">
        <v>2</v>
      </c>
      <c r="BA1398" s="59">
        <v>2</v>
      </c>
      <c r="BB1398" s="57">
        <f t="shared" si="417"/>
        <v>31344</v>
      </c>
    </row>
    <row r="1399" spans="1:54" x14ac:dyDescent="0.25">
      <c r="A1399" s="58">
        <v>54</v>
      </c>
      <c r="B1399" s="59">
        <v>0</v>
      </c>
      <c r="C1399" s="59">
        <v>1</v>
      </c>
      <c r="D1399" s="59">
        <f t="shared" si="399"/>
        <v>1</v>
      </c>
      <c r="E1399" s="59">
        <f t="shared" si="400"/>
        <v>0</v>
      </c>
      <c r="F1399" s="59">
        <v>155</v>
      </c>
      <c r="G1399" s="59">
        <v>2</v>
      </c>
      <c r="H1399" s="59">
        <f t="shared" si="401"/>
        <v>0</v>
      </c>
      <c r="I1399" s="59">
        <f t="shared" si="402"/>
        <v>1</v>
      </c>
      <c r="J1399" s="59">
        <v>9</v>
      </c>
      <c r="K1399" s="59">
        <v>2</v>
      </c>
      <c r="L1399" s="59">
        <v>1</v>
      </c>
      <c r="M1399" s="59">
        <f t="shared" si="403"/>
        <v>1</v>
      </c>
      <c r="N1399" s="59">
        <f t="shared" si="404"/>
        <v>0</v>
      </c>
      <c r="O1399" s="59">
        <f t="shared" si="405"/>
        <v>0</v>
      </c>
      <c r="P1399" s="59">
        <f t="shared" si="406"/>
        <v>0</v>
      </c>
      <c r="Q1399" s="59">
        <f t="shared" si="407"/>
        <v>0</v>
      </c>
      <c r="R1399" s="59">
        <v>1</v>
      </c>
      <c r="S1399" s="59">
        <v>1969</v>
      </c>
      <c r="T1399" s="59">
        <v>1</v>
      </c>
      <c r="U1399" s="59">
        <v>0</v>
      </c>
      <c r="V1399" s="59">
        <v>67</v>
      </c>
      <c r="W1399" s="59">
        <v>3</v>
      </c>
      <c r="X1399" s="59">
        <v>2</v>
      </c>
      <c r="Y1399" s="59">
        <v>2</v>
      </c>
      <c r="Z1399" s="59">
        <f t="shared" si="408"/>
        <v>0</v>
      </c>
      <c r="AA1399" s="59">
        <f>IF('Updated Dummy'!Y1399=2,1,0)</f>
        <v>1</v>
      </c>
      <c r="AB1399" s="59">
        <f t="shared" si="409"/>
        <v>0</v>
      </c>
      <c r="AC1399" s="59">
        <f t="shared" si="410"/>
        <v>0</v>
      </c>
      <c r="AD1399" s="59">
        <f t="shared" si="411"/>
        <v>0</v>
      </c>
      <c r="AE1399" s="59">
        <f t="shared" si="412"/>
        <v>0</v>
      </c>
      <c r="AF1399" s="59">
        <f t="shared" si="413"/>
        <v>0</v>
      </c>
      <c r="AG1399" s="59">
        <f t="shared" si="414"/>
        <v>0</v>
      </c>
      <c r="AH1399" s="59">
        <v>3</v>
      </c>
      <c r="AI1399" s="59">
        <v>2</v>
      </c>
      <c r="AJ1399" s="59">
        <f t="shared" si="415"/>
        <v>0</v>
      </c>
      <c r="AK1399" s="59">
        <f t="shared" si="416"/>
        <v>1</v>
      </c>
      <c r="AL1399" s="59">
        <v>2897</v>
      </c>
      <c r="AM1399" s="59">
        <v>22474</v>
      </c>
      <c r="AN1399" s="59">
        <v>3</v>
      </c>
      <c r="AO1399" s="59">
        <v>0</v>
      </c>
      <c r="AP1399" s="59">
        <v>11</v>
      </c>
      <c r="AQ1399" s="59">
        <v>3</v>
      </c>
      <c r="AR1399" s="59">
        <v>3</v>
      </c>
      <c r="AS1399" s="59">
        <v>80</v>
      </c>
      <c r="AT1399" s="59">
        <v>2</v>
      </c>
      <c r="AU1399" s="59">
        <v>9</v>
      </c>
      <c r="AV1399" s="59">
        <v>6</v>
      </c>
      <c r="AW1399" s="59">
        <v>2</v>
      </c>
      <c r="AX1399" s="59">
        <v>4</v>
      </c>
      <c r="AY1399" s="59">
        <v>3</v>
      </c>
      <c r="AZ1399" s="59">
        <v>2</v>
      </c>
      <c r="BA1399" s="59">
        <v>3</v>
      </c>
      <c r="BB1399" s="57">
        <f t="shared" si="417"/>
        <v>5794</v>
      </c>
    </row>
    <row r="1400" spans="1:54" x14ac:dyDescent="0.25">
      <c r="A1400" s="58">
        <v>33</v>
      </c>
      <c r="B1400" s="59">
        <v>0</v>
      </c>
      <c r="C1400" s="59">
        <v>2</v>
      </c>
      <c r="D1400" s="59">
        <f t="shared" si="399"/>
        <v>0</v>
      </c>
      <c r="E1400" s="59">
        <f t="shared" si="400"/>
        <v>1</v>
      </c>
      <c r="F1400" s="59">
        <v>1303</v>
      </c>
      <c r="G1400" s="59">
        <v>2</v>
      </c>
      <c r="H1400" s="59">
        <f t="shared" si="401"/>
        <v>0</v>
      </c>
      <c r="I1400" s="59">
        <f t="shared" si="402"/>
        <v>1</v>
      </c>
      <c r="J1400" s="59">
        <v>7</v>
      </c>
      <c r="K1400" s="59">
        <v>2</v>
      </c>
      <c r="L1400" s="59">
        <v>1</v>
      </c>
      <c r="M1400" s="59">
        <f t="shared" si="403"/>
        <v>1</v>
      </c>
      <c r="N1400" s="59">
        <f t="shared" si="404"/>
        <v>0</v>
      </c>
      <c r="O1400" s="59">
        <f t="shared" si="405"/>
        <v>0</v>
      </c>
      <c r="P1400" s="59">
        <f t="shared" si="406"/>
        <v>0</v>
      </c>
      <c r="Q1400" s="59">
        <f t="shared" si="407"/>
        <v>0</v>
      </c>
      <c r="R1400" s="59">
        <v>1</v>
      </c>
      <c r="S1400" s="59">
        <v>1970</v>
      </c>
      <c r="T1400" s="59">
        <v>4</v>
      </c>
      <c r="U1400" s="59">
        <v>1</v>
      </c>
      <c r="V1400" s="59">
        <v>36</v>
      </c>
      <c r="W1400" s="59">
        <v>3</v>
      </c>
      <c r="X1400" s="59">
        <v>2</v>
      </c>
      <c r="Y1400" s="59">
        <v>5</v>
      </c>
      <c r="Z1400" s="59">
        <f t="shared" si="408"/>
        <v>0</v>
      </c>
      <c r="AA1400" s="59">
        <f>IF('Updated Dummy'!Y1400=2,1,0)</f>
        <v>0</v>
      </c>
      <c r="AB1400" s="59">
        <f t="shared" si="409"/>
        <v>0</v>
      </c>
      <c r="AC1400" s="59">
        <f t="shared" si="410"/>
        <v>0</v>
      </c>
      <c r="AD1400" s="59">
        <f t="shared" si="411"/>
        <v>1</v>
      </c>
      <c r="AE1400" s="59">
        <f t="shared" si="412"/>
        <v>0</v>
      </c>
      <c r="AF1400" s="59">
        <f t="shared" si="413"/>
        <v>0</v>
      </c>
      <c r="AG1400" s="59">
        <f t="shared" si="414"/>
        <v>0</v>
      </c>
      <c r="AH1400" s="59">
        <v>3</v>
      </c>
      <c r="AI1400" s="59">
        <v>3</v>
      </c>
      <c r="AJ1400" s="59">
        <f t="shared" si="415"/>
        <v>0</v>
      </c>
      <c r="AK1400" s="59">
        <f t="shared" si="416"/>
        <v>0</v>
      </c>
      <c r="AL1400" s="59">
        <v>5968</v>
      </c>
      <c r="AM1400" s="59">
        <v>18079</v>
      </c>
      <c r="AN1400" s="59">
        <v>1</v>
      </c>
      <c r="AO1400" s="59">
        <v>0</v>
      </c>
      <c r="AP1400" s="59">
        <v>20</v>
      </c>
      <c r="AQ1400" s="59">
        <v>4</v>
      </c>
      <c r="AR1400" s="59">
        <v>3</v>
      </c>
      <c r="AS1400" s="59">
        <v>80</v>
      </c>
      <c r="AT1400" s="59">
        <v>3</v>
      </c>
      <c r="AU1400" s="59">
        <v>9</v>
      </c>
      <c r="AV1400" s="59">
        <v>2</v>
      </c>
      <c r="AW1400" s="59">
        <v>3</v>
      </c>
      <c r="AX1400" s="59">
        <v>9</v>
      </c>
      <c r="AY1400" s="59">
        <v>7</v>
      </c>
      <c r="AZ1400" s="59">
        <v>2</v>
      </c>
      <c r="BA1400" s="59">
        <v>8</v>
      </c>
      <c r="BB1400" s="57">
        <f t="shared" si="417"/>
        <v>11936</v>
      </c>
    </row>
    <row r="1401" spans="1:54" x14ac:dyDescent="0.25">
      <c r="A1401" s="58">
        <v>43</v>
      </c>
      <c r="B1401" s="59">
        <v>0</v>
      </c>
      <c r="C1401" s="59">
        <v>1</v>
      </c>
      <c r="D1401" s="59">
        <f t="shared" si="399"/>
        <v>1</v>
      </c>
      <c r="E1401" s="59">
        <f t="shared" si="400"/>
        <v>0</v>
      </c>
      <c r="F1401" s="59">
        <v>574</v>
      </c>
      <c r="G1401" s="59">
        <v>2</v>
      </c>
      <c r="H1401" s="59">
        <f t="shared" si="401"/>
        <v>0</v>
      </c>
      <c r="I1401" s="59">
        <f t="shared" si="402"/>
        <v>1</v>
      </c>
      <c r="J1401" s="59">
        <v>11</v>
      </c>
      <c r="K1401" s="59">
        <v>3</v>
      </c>
      <c r="L1401" s="59">
        <v>1</v>
      </c>
      <c r="M1401" s="59">
        <f t="shared" si="403"/>
        <v>1</v>
      </c>
      <c r="N1401" s="59">
        <f t="shared" si="404"/>
        <v>0</v>
      </c>
      <c r="O1401" s="59">
        <f t="shared" si="405"/>
        <v>0</v>
      </c>
      <c r="P1401" s="59">
        <f t="shared" si="406"/>
        <v>0</v>
      </c>
      <c r="Q1401" s="59">
        <f t="shared" si="407"/>
        <v>0</v>
      </c>
      <c r="R1401" s="59">
        <v>1</v>
      </c>
      <c r="S1401" s="59">
        <v>1971</v>
      </c>
      <c r="T1401" s="59">
        <v>1</v>
      </c>
      <c r="U1401" s="59">
        <v>1</v>
      </c>
      <c r="V1401" s="59">
        <v>30</v>
      </c>
      <c r="W1401" s="59">
        <v>3</v>
      </c>
      <c r="X1401" s="59">
        <v>3</v>
      </c>
      <c r="Y1401" s="59">
        <v>5</v>
      </c>
      <c r="Z1401" s="59">
        <f t="shared" si="408"/>
        <v>0</v>
      </c>
      <c r="AA1401" s="59">
        <f>IF('Updated Dummy'!Y1401=2,1,0)</f>
        <v>0</v>
      </c>
      <c r="AB1401" s="59">
        <f t="shared" si="409"/>
        <v>0</v>
      </c>
      <c r="AC1401" s="59">
        <f t="shared" si="410"/>
        <v>0</v>
      </c>
      <c r="AD1401" s="59">
        <f t="shared" si="411"/>
        <v>1</v>
      </c>
      <c r="AE1401" s="59">
        <f t="shared" si="412"/>
        <v>0</v>
      </c>
      <c r="AF1401" s="59">
        <f t="shared" si="413"/>
        <v>0</v>
      </c>
      <c r="AG1401" s="59">
        <f t="shared" si="414"/>
        <v>0</v>
      </c>
      <c r="AH1401" s="59">
        <v>3</v>
      </c>
      <c r="AI1401" s="59">
        <v>2</v>
      </c>
      <c r="AJ1401" s="59">
        <f t="shared" si="415"/>
        <v>0</v>
      </c>
      <c r="AK1401" s="59">
        <f t="shared" si="416"/>
        <v>1</v>
      </c>
      <c r="AL1401" s="59">
        <v>7510</v>
      </c>
      <c r="AM1401" s="59">
        <v>16873</v>
      </c>
      <c r="AN1401" s="59">
        <v>1</v>
      </c>
      <c r="AO1401" s="59">
        <v>0</v>
      </c>
      <c r="AP1401" s="59">
        <v>17</v>
      </c>
      <c r="AQ1401" s="59">
        <v>3</v>
      </c>
      <c r="AR1401" s="59">
        <v>2</v>
      </c>
      <c r="AS1401" s="59">
        <v>80</v>
      </c>
      <c r="AT1401" s="59">
        <v>1</v>
      </c>
      <c r="AU1401" s="59">
        <v>10</v>
      </c>
      <c r="AV1401" s="59">
        <v>1</v>
      </c>
      <c r="AW1401" s="59">
        <v>3</v>
      </c>
      <c r="AX1401" s="59">
        <v>10</v>
      </c>
      <c r="AY1401" s="59">
        <v>9</v>
      </c>
      <c r="AZ1401" s="59">
        <v>0</v>
      </c>
      <c r="BA1401" s="59">
        <v>9</v>
      </c>
      <c r="BB1401" s="57">
        <f t="shared" si="417"/>
        <v>22530</v>
      </c>
    </row>
    <row r="1402" spans="1:54" x14ac:dyDescent="0.25">
      <c r="A1402" s="58">
        <v>38</v>
      </c>
      <c r="B1402" s="59">
        <v>0</v>
      </c>
      <c r="C1402" s="59">
        <v>2</v>
      </c>
      <c r="D1402" s="59">
        <f t="shared" si="399"/>
        <v>0</v>
      </c>
      <c r="E1402" s="59">
        <f t="shared" si="400"/>
        <v>1</v>
      </c>
      <c r="F1402" s="59">
        <v>1444</v>
      </c>
      <c r="G1402" s="59">
        <v>3</v>
      </c>
      <c r="H1402" s="59">
        <f t="shared" si="401"/>
        <v>0</v>
      </c>
      <c r="I1402" s="59">
        <f t="shared" si="402"/>
        <v>0</v>
      </c>
      <c r="J1402" s="59">
        <v>1</v>
      </c>
      <c r="K1402" s="59">
        <v>4</v>
      </c>
      <c r="L1402" s="59">
        <v>6</v>
      </c>
      <c r="M1402" s="59">
        <f t="shared" si="403"/>
        <v>0</v>
      </c>
      <c r="N1402" s="59">
        <f t="shared" si="404"/>
        <v>0</v>
      </c>
      <c r="O1402" s="59">
        <f t="shared" si="405"/>
        <v>0</v>
      </c>
      <c r="P1402" s="59">
        <f t="shared" si="406"/>
        <v>0</v>
      </c>
      <c r="Q1402" s="59">
        <f t="shared" si="407"/>
        <v>0</v>
      </c>
      <c r="R1402" s="59">
        <v>1</v>
      </c>
      <c r="S1402" s="59">
        <v>1972</v>
      </c>
      <c r="T1402" s="59">
        <v>4</v>
      </c>
      <c r="U1402" s="59">
        <v>1</v>
      </c>
      <c r="V1402" s="59">
        <v>88</v>
      </c>
      <c r="W1402" s="59">
        <v>3</v>
      </c>
      <c r="X1402" s="59">
        <v>1</v>
      </c>
      <c r="Y1402" s="59">
        <v>9</v>
      </c>
      <c r="Z1402" s="59">
        <f t="shared" si="408"/>
        <v>0</v>
      </c>
      <c r="AA1402" s="59">
        <f>IF('Updated Dummy'!Y1402=2,1,0)</f>
        <v>0</v>
      </c>
      <c r="AB1402" s="59">
        <f t="shared" si="409"/>
        <v>0</v>
      </c>
      <c r="AC1402" s="59">
        <f t="shared" si="410"/>
        <v>0</v>
      </c>
      <c r="AD1402" s="59">
        <f t="shared" si="411"/>
        <v>0</v>
      </c>
      <c r="AE1402" s="59">
        <f t="shared" si="412"/>
        <v>0</v>
      </c>
      <c r="AF1402" s="59">
        <f t="shared" si="413"/>
        <v>0</v>
      </c>
      <c r="AG1402" s="59">
        <f t="shared" si="414"/>
        <v>0</v>
      </c>
      <c r="AH1402" s="59">
        <v>2</v>
      </c>
      <c r="AI1402" s="59">
        <v>2</v>
      </c>
      <c r="AJ1402" s="59">
        <f t="shared" si="415"/>
        <v>0</v>
      </c>
      <c r="AK1402" s="59">
        <f t="shared" si="416"/>
        <v>1</v>
      </c>
      <c r="AL1402" s="59">
        <v>2991</v>
      </c>
      <c r="AM1402" s="59">
        <v>5224</v>
      </c>
      <c r="AN1402" s="59">
        <v>0</v>
      </c>
      <c r="AO1402" s="59">
        <v>1</v>
      </c>
      <c r="AP1402" s="59">
        <v>11</v>
      </c>
      <c r="AQ1402" s="59">
        <v>3</v>
      </c>
      <c r="AR1402" s="59">
        <v>2</v>
      </c>
      <c r="AS1402" s="59">
        <v>80</v>
      </c>
      <c r="AT1402" s="59">
        <v>1</v>
      </c>
      <c r="AU1402" s="59">
        <v>7</v>
      </c>
      <c r="AV1402" s="59">
        <v>2</v>
      </c>
      <c r="AW1402" s="59">
        <v>3</v>
      </c>
      <c r="AX1402" s="59">
        <v>6</v>
      </c>
      <c r="AY1402" s="59">
        <v>2</v>
      </c>
      <c r="AZ1402" s="59">
        <v>1</v>
      </c>
      <c r="BA1402" s="59">
        <v>2</v>
      </c>
      <c r="BB1402" s="57">
        <f t="shared" si="417"/>
        <v>2991</v>
      </c>
    </row>
    <row r="1403" spans="1:54" x14ac:dyDescent="0.25">
      <c r="A1403" s="58">
        <v>55</v>
      </c>
      <c r="B1403" s="59">
        <v>0</v>
      </c>
      <c r="C1403" s="59">
        <v>1</v>
      </c>
      <c r="D1403" s="59">
        <f t="shared" si="399"/>
        <v>1</v>
      </c>
      <c r="E1403" s="59">
        <f t="shared" si="400"/>
        <v>0</v>
      </c>
      <c r="F1403" s="59">
        <v>189</v>
      </c>
      <c r="G1403" s="59">
        <v>3</v>
      </c>
      <c r="H1403" s="59">
        <f t="shared" si="401"/>
        <v>0</v>
      </c>
      <c r="I1403" s="59">
        <f t="shared" si="402"/>
        <v>0</v>
      </c>
      <c r="J1403" s="59">
        <v>26</v>
      </c>
      <c r="K1403" s="59">
        <v>4</v>
      </c>
      <c r="L1403" s="59">
        <v>2</v>
      </c>
      <c r="M1403" s="59">
        <f t="shared" si="403"/>
        <v>0</v>
      </c>
      <c r="N1403" s="59">
        <f t="shared" si="404"/>
        <v>1</v>
      </c>
      <c r="O1403" s="59">
        <f t="shared" si="405"/>
        <v>0</v>
      </c>
      <c r="P1403" s="59">
        <f t="shared" si="406"/>
        <v>0</v>
      </c>
      <c r="Q1403" s="59">
        <f t="shared" si="407"/>
        <v>0</v>
      </c>
      <c r="R1403" s="59">
        <v>1</v>
      </c>
      <c r="S1403" s="59">
        <v>1973</v>
      </c>
      <c r="T1403" s="59">
        <v>3</v>
      </c>
      <c r="U1403" s="59">
        <v>1</v>
      </c>
      <c r="V1403" s="59">
        <v>71</v>
      </c>
      <c r="W1403" s="59">
        <v>4</v>
      </c>
      <c r="X1403" s="59">
        <v>5</v>
      </c>
      <c r="Y1403" s="59">
        <v>6</v>
      </c>
      <c r="Z1403" s="59">
        <f t="shared" si="408"/>
        <v>0</v>
      </c>
      <c r="AA1403" s="59">
        <f>IF('Updated Dummy'!Y1403=2,1,0)</f>
        <v>0</v>
      </c>
      <c r="AB1403" s="59">
        <f t="shared" si="409"/>
        <v>0</v>
      </c>
      <c r="AC1403" s="59">
        <f t="shared" si="410"/>
        <v>0</v>
      </c>
      <c r="AD1403" s="59">
        <f t="shared" si="411"/>
        <v>0</v>
      </c>
      <c r="AE1403" s="59">
        <f t="shared" si="412"/>
        <v>1</v>
      </c>
      <c r="AF1403" s="59">
        <f t="shared" si="413"/>
        <v>0</v>
      </c>
      <c r="AG1403" s="59">
        <f t="shared" si="414"/>
        <v>0</v>
      </c>
      <c r="AH1403" s="59">
        <v>2</v>
      </c>
      <c r="AI1403" s="59">
        <v>2</v>
      </c>
      <c r="AJ1403" s="59">
        <f t="shared" si="415"/>
        <v>0</v>
      </c>
      <c r="AK1403" s="59">
        <f t="shared" si="416"/>
        <v>1</v>
      </c>
      <c r="AL1403" s="59">
        <v>19636</v>
      </c>
      <c r="AM1403" s="59">
        <v>25811</v>
      </c>
      <c r="AN1403" s="59">
        <v>4</v>
      </c>
      <c r="AO1403" s="59">
        <v>1</v>
      </c>
      <c r="AP1403" s="59">
        <v>18</v>
      </c>
      <c r="AQ1403" s="59">
        <v>3</v>
      </c>
      <c r="AR1403" s="59">
        <v>1</v>
      </c>
      <c r="AS1403" s="59">
        <v>80</v>
      </c>
      <c r="AT1403" s="59">
        <v>1</v>
      </c>
      <c r="AU1403" s="59">
        <v>35</v>
      </c>
      <c r="AV1403" s="59">
        <v>0</v>
      </c>
      <c r="AW1403" s="59">
        <v>3</v>
      </c>
      <c r="AX1403" s="59">
        <v>10</v>
      </c>
      <c r="AY1403" s="59">
        <v>9</v>
      </c>
      <c r="AZ1403" s="59">
        <v>1</v>
      </c>
      <c r="BA1403" s="59">
        <v>4</v>
      </c>
      <c r="BB1403" s="57">
        <f t="shared" si="417"/>
        <v>98180</v>
      </c>
    </row>
    <row r="1404" spans="1:54" x14ac:dyDescent="0.25">
      <c r="A1404" s="58">
        <v>31</v>
      </c>
      <c r="B1404" s="59">
        <v>0</v>
      </c>
      <c r="C1404" s="59">
        <v>1</v>
      </c>
      <c r="D1404" s="59">
        <f t="shared" si="399"/>
        <v>1</v>
      </c>
      <c r="E1404" s="59">
        <f t="shared" si="400"/>
        <v>0</v>
      </c>
      <c r="F1404" s="59">
        <v>1276</v>
      </c>
      <c r="G1404" s="59">
        <v>2</v>
      </c>
      <c r="H1404" s="59">
        <f t="shared" si="401"/>
        <v>0</v>
      </c>
      <c r="I1404" s="59">
        <f t="shared" si="402"/>
        <v>1</v>
      </c>
      <c r="J1404" s="59">
        <v>2</v>
      </c>
      <c r="K1404" s="59">
        <v>1</v>
      </c>
      <c r="L1404" s="59">
        <v>3</v>
      </c>
      <c r="M1404" s="59">
        <f t="shared" si="403"/>
        <v>0</v>
      </c>
      <c r="N1404" s="59">
        <f t="shared" si="404"/>
        <v>0</v>
      </c>
      <c r="O1404" s="59">
        <f t="shared" si="405"/>
        <v>1</v>
      </c>
      <c r="P1404" s="59">
        <f t="shared" si="406"/>
        <v>0</v>
      </c>
      <c r="Q1404" s="59">
        <f t="shared" si="407"/>
        <v>0</v>
      </c>
      <c r="R1404" s="59">
        <v>1</v>
      </c>
      <c r="S1404" s="59">
        <v>1974</v>
      </c>
      <c r="T1404" s="59">
        <v>4</v>
      </c>
      <c r="U1404" s="59">
        <v>0</v>
      </c>
      <c r="V1404" s="59">
        <v>59</v>
      </c>
      <c r="W1404" s="59">
        <v>1</v>
      </c>
      <c r="X1404" s="59">
        <v>1</v>
      </c>
      <c r="Y1404" s="59">
        <v>3</v>
      </c>
      <c r="Z1404" s="59">
        <f t="shared" si="408"/>
        <v>0</v>
      </c>
      <c r="AA1404" s="59">
        <f>IF('Updated Dummy'!Y1404=2,1,0)</f>
        <v>0</v>
      </c>
      <c r="AB1404" s="59">
        <f t="shared" si="409"/>
        <v>1</v>
      </c>
      <c r="AC1404" s="59">
        <f t="shared" si="410"/>
        <v>0</v>
      </c>
      <c r="AD1404" s="59">
        <f t="shared" si="411"/>
        <v>0</v>
      </c>
      <c r="AE1404" s="59">
        <f t="shared" si="412"/>
        <v>0</v>
      </c>
      <c r="AF1404" s="59">
        <f t="shared" si="413"/>
        <v>0</v>
      </c>
      <c r="AG1404" s="59">
        <f t="shared" si="414"/>
        <v>0</v>
      </c>
      <c r="AH1404" s="59">
        <v>4</v>
      </c>
      <c r="AI1404" s="59">
        <v>3</v>
      </c>
      <c r="AJ1404" s="59">
        <f t="shared" si="415"/>
        <v>0</v>
      </c>
      <c r="AK1404" s="59">
        <f t="shared" si="416"/>
        <v>0</v>
      </c>
      <c r="AL1404" s="59">
        <v>1129</v>
      </c>
      <c r="AM1404" s="59">
        <v>17536</v>
      </c>
      <c r="AN1404" s="59">
        <v>1</v>
      </c>
      <c r="AO1404" s="59">
        <v>1</v>
      </c>
      <c r="AP1404" s="59">
        <v>11</v>
      </c>
      <c r="AQ1404" s="59">
        <v>3</v>
      </c>
      <c r="AR1404" s="59">
        <v>3</v>
      </c>
      <c r="AS1404" s="59">
        <v>80</v>
      </c>
      <c r="AT1404" s="59">
        <v>3</v>
      </c>
      <c r="AU1404" s="59">
        <v>1</v>
      </c>
      <c r="AV1404" s="59">
        <v>4</v>
      </c>
      <c r="AW1404" s="59">
        <v>3</v>
      </c>
      <c r="AX1404" s="59">
        <v>1</v>
      </c>
      <c r="AY1404" s="59">
        <v>0</v>
      </c>
      <c r="AZ1404" s="59">
        <v>0</v>
      </c>
      <c r="BA1404" s="59">
        <v>0</v>
      </c>
      <c r="BB1404" s="57">
        <f t="shared" si="417"/>
        <v>1129</v>
      </c>
    </row>
    <row r="1405" spans="1:54" x14ac:dyDescent="0.25">
      <c r="A1405" s="58">
        <v>39</v>
      </c>
      <c r="B1405" s="59">
        <v>0</v>
      </c>
      <c r="C1405" s="59">
        <v>1</v>
      </c>
      <c r="D1405" s="59">
        <f t="shared" si="399"/>
        <v>1</v>
      </c>
      <c r="E1405" s="59">
        <f t="shared" si="400"/>
        <v>0</v>
      </c>
      <c r="F1405" s="59">
        <v>119</v>
      </c>
      <c r="G1405" s="59">
        <v>1</v>
      </c>
      <c r="H1405" s="59">
        <f t="shared" si="401"/>
        <v>1</v>
      </c>
      <c r="I1405" s="59">
        <f t="shared" si="402"/>
        <v>0</v>
      </c>
      <c r="J1405" s="59">
        <v>15</v>
      </c>
      <c r="K1405" s="59">
        <v>4</v>
      </c>
      <c r="L1405" s="59">
        <v>4</v>
      </c>
      <c r="M1405" s="59">
        <f t="shared" si="403"/>
        <v>0</v>
      </c>
      <c r="N1405" s="59">
        <f t="shared" si="404"/>
        <v>0</v>
      </c>
      <c r="O1405" s="59">
        <f t="shared" si="405"/>
        <v>0</v>
      </c>
      <c r="P1405" s="59">
        <f t="shared" si="406"/>
        <v>1</v>
      </c>
      <c r="Q1405" s="59">
        <f t="shared" si="407"/>
        <v>0</v>
      </c>
      <c r="R1405" s="59">
        <v>1</v>
      </c>
      <c r="S1405" s="59">
        <v>1975</v>
      </c>
      <c r="T1405" s="59">
        <v>2</v>
      </c>
      <c r="U1405" s="59">
        <v>1</v>
      </c>
      <c r="V1405" s="59">
        <v>77</v>
      </c>
      <c r="W1405" s="59">
        <v>3</v>
      </c>
      <c r="X1405" s="59">
        <v>4</v>
      </c>
      <c r="Y1405" s="59">
        <v>1</v>
      </c>
      <c r="Z1405" s="59">
        <f t="shared" si="408"/>
        <v>1</v>
      </c>
      <c r="AA1405" s="59">
        <f>IF('Updated Dummy'!Y1405=2,1,0)</f>
        <v>0</v>
      </c>
      <c r="AB1405" s="59">
        <f t="shared" si="409"/>
        <v>0</v>
      </c>
      <c r="AC1405" s="59">
        <f t="shared" si="410"/>
        <v>0</v>
      </c>
      <c r="AD1405" s="59">
        <f t="shared" si="411"/>
        <v>0</v>
      </c>
      <c r="AE1405" s="59">
        <f t="shared" si="412"/>
        <v>0</v>
      </c>
      <c r="AF1405" s="59">
        <f t="shared" si="413"/>
        <v>0</v>
      </c>
      <c r="AG1405" s="59">
        <f t="shared" si="414"/>
        <v>0</v>
      </c>
      <c r="AH1405" s="59">
        <v>1</v>
      </c>
      <c r="AI1405" s="59">
        <v>1</v>
      </c>
      <c r="AJ1405" s="59">
        <f t="shared" si="415"/>
        <v>1</v>
      </c>
      <c r="AK1405" s="59">
        <f t="shared" si="416"/>
        <v>0</v>
      </c>
      <c r="AL1405" s="59">
        <v>13341</v>
      </c>
      <c r="AM1405" s="59">
        <v>25098</v>
      </c>
      <c r="AN1405" s="59">
        <v>0</v>
      </c>
      <c r="AO1405" s="59">
        <v>0</v>
      </c>
      <c r="AP1405" s="59">
        <v>12</v>
      </c>
      <c r="AQ1405" s="59">
        <v>3</v>
      </c>
      <c r="AR1405" s="59">
        <v>1</v>
      </c>
      <c r="AS1405" s="59">
        <v>80</v>
      </c>
      <c r="AT1405" s="59">
        <v>0</v>
      </c>
      <c r="AU1405" s="59">
        <v>21</v>
      </c>
      <c r="AV1405" s="59">
        <v>3</v>
      </c>
      <c r="AW1405" s="59">
        <v>3</v>
      </c>
      <c r="AX1405" s="59">
        <v>20</v>
      </c>
      <c r="AY1405" s="59">
        <v>8</v>
      </c>
      <c r="AZ1405" s="59">
        <v>11</v>
      </c>
      <c r="BA1405" s="59">
        <v>10</v>
      </c>
      <c r="BB1405" s="57">
        <f t="shared" si="417"/>
        <v>53364</v>
      </c>
    </row>
    <row r="1406" spans="1:54" x14ac:dyDescent="0.25">
      <c r="A1406" s="58">
        <v>42</v>
      </c>
      <c r="B1406" s="59">
        <v>0</v>
      </c>
      <c r="C1406" s="59">
        <v>3</v>
      </c>
      <c r="D1406" s="59">
        <f t="shared" si="399"/>
        <v>0</v>
      </c>
      <c r="E1406" s="59">
        <f t="shared" si="400"/>
        <v>0</v>
      </c>
      <c r="F1406" s="59">
        <v>335</v>
      </c>
      <c r="G1406" s="59">
        <v>2</v>
      </c>
      <c r="H1406" s="59">
        <f t="shared" si="401"/>
        <v>0</v>
      </c>
      <c r="I1406" s="59">
        <f t="shared" si="402"/>
        <v>1</v>
      </c>
      <c r="J1406" s="59">
        <v>23</v>
      </c>
      <c r="K1406" s="59">
        <v>2</v>
      </c>
      <c r="L1406" s="59">
        <v>1</v>
      </c>
      <c r="M1406" s="59">
        <f t="shared" si="403"/>
        <v>1</v>
      </c>
      <c r="N1406" s="59">
        <f t="shared" si="404"/>
        <v>0</v>
      </c>
      <c r="O1406" s="59">
        <f t="shared" si="405"/>
        <v>0</v>
      </c>
      <c r="P1406" s="59">
        <f t="shared" si="406"/>
        <v>0</v>
      </c>
      <c r="Q1406" s="59">
        <f t="shared" si="407"/>
        <v>0</v>
      </c>
      <c r="R1406" s="59">
        <v>1</v>
      </c>
      <c r="S1406" s="59">
        <v>1976</v>
      </c>
      <c r="T1406" s="59">
        <v>4</v>
      </c>
      <c r="U1406" s="59">
        <v>1</v>
      </c>
      <c r="V1406" s="59">
        <v>37</v>
      </c>
      <c r="W1406" s="59">
        <v>2</v>
      </c>
      <c r="X1406" s="59">
        <v>2</v>
      </c>
      <c r="Y1406" s="59">
        <v>2</v>
      </c>
      <c r="Z1406" s="59">
        <f t="shared" si="408"/>
        <v>0</v>
      </c>
      <c r="AA1406" s="59">
        <f>IF('Updated Dummy'!Y1406=2,1,0)</f>
        <v>1</v>
      </c>
      <c r="AB1406" s="59">
        <f t="shared" si="409"/>
        <v>0</v>
      </c>
      <c r="AC1406" s="59">
        <f t="shared" si="410"/>
        <v>0</v>
      </c>
      <c r="AD1406" s="59">
        <f t="shared" si="411"/>
        <v>0</v>
      </c>
      <c r="AE1406" s="59">
        <f t="shared" si="412"/>
        <v>0</v>
      </c>
      <c r="AF1406" s="59">
        <f t="shared" si="413"/>
        <v>0</v>
      </c>
      <c r="AG1406" s="59">
        <f t="shared" si="414"/>
        <v>0</v>
      </c>
      <c r="AH1406" s="59">
        <v>3</v>
      </c>
      <c r="AI1406" s="59">
        <v>1</v>
      </c>
      <c r="AJ1406" s="59">
        <f t="shared" si="415"/>
        <v>1</v>
      </c>
      <c r="AK1406" s="59">
        <f t="shared" si="416"/>
        <v>0</v>
      </c>
      <c r="AL1406" s="59">
        <v>4332</v>
      </c>
      <c r="AM1406" s="59">
        <v>14811</v>
      </c>
      <c r="AN1406" s="59">
        <v>1</v>
      </c>
      <c r="AO1406" s="59">
        <v>0</v>
      </c>
      <c r="AP1406" s="59">
        <v>12</v>
      </c>
      <c r="AQ1406" s="59">
        <v>3</v>
      </c>
      <c r="AR1406" s="59">
        <v>4</v>
      </c>
      <c r="AS1406" s="59">
        <v>80</v>
      </c>
      <c r="AT1406" s="59">
        <v>0</v>
      </c>
      <c r="AU1406" s="59">
        <v>20</v>
      </c>
      <c r="AV1406" s="59">
        <v>2</v>
      </c>
      <c r="AW1406" s="59">
        <v>3</v>
      </c>
      <c r="AX1406" s="59">
        <v>20</v>
      </c>
      <c r="AY1406" s="59">
        <v>9</v>
      </c>
      <c r="AZ1406" s="59">
        <v>3</v>
      </c>
      <c r="BA1406" s="59">
        <v>7</v>
      </c>
      <c r="BB1406" s="57">
        <f t="shared" si="417"/>
        <v>8664</v>
      </c>
    </row>
    <row r="1407" spans="1:54" x14ac:dyDescent="0.25">
      <c r="A1407" s="58">
        <v>31</v>
      </c>
      <c r="B1407" s="59">
        <v>0</v>
      </c>
      <c r="C1407" s="59">
        <v>3</v>
      </c>
      <c r="D1407" s="59">
        <f t="shared" si="399"/>
        <v>0</v>
      </c>
      <c r="E1407" s="59">
        <f t="shared" si="400"/>
        <v>0</v>
      </c>
      <c r="F1407" s="59">
        <v>697</v>
      </c>
      <c r="G1407" s="59">
        <v>2</v>
      </c>
      <c r="H1407" s="59">
        <f t="shared" si="401"/>
        <v>0</v>
      </c>
      <c r="I1407" s="59">
        <f t="shared" si="402"/>
        <v>1</v>
      </c>
      <c r="J1407" s="59">
        <v>10</v>
      </c>
      <c r="K1407" s="59">
        <v>3</v>
      </c>
      <c r="L1407" s="59">
        <v>3</v>
      </c>
      <c r="M1407" s="59">
        <f t="shared" si="403"/>
        <v>0</v>
      </c>
      <c r="N1407" s="59">
        <f t="shared" si="404"/>
        <v>0</v>
      </c>
      <c r="O1407" s="59">
        <f t="shared" si="405"/>
        <v>1</v>
      </c>
      <c r="P1407" s="59">
        <f t="shared" si="406"/>
        <v>0</v>
      </c>
      <c r="Q1407" s="59">
        <f t="shared" si="407"/>
        <v>0</v>
      </c>
      <c r="R1407" s="59">
        <v>1</v>
      </c>
      <c r="S1407" s="59">
        <v>1979</v>
      </c>
      <c r="T1407" s="59">
        <v>3</v>
      </c>
      <c r="U1407" s="59">
        <v>0</v>
      </c>
      <c r="V1407" s="59">
        <v>40</v>
      </c>
      <c r="W1407" s="59">
        <v>3</v>
      </c>
      <c r="X1407" s="59">
        <v>3</v>
      </c>
      <c r="Y1407" s="59">
        <v>8</v>
      </c>
      <c r="Z1407" s="59">
        <f t="shared" si="408"/>
        <v>0</v>
      </c>
      <c r="AA1407" s="59">
        <f>IF('Updated Dummy'!Y1407=2,1,0)</f>
        <v>0</v>
      </c>
      <c r="AB1407" s="59">
        <f t="shared" si="409"/>
        <v>0</v>
      </c>
      <c r="AC1407" s="59">
        <f t="shared" si="410"/>
        <v>0</v>
      </c>
      <c r="AD1407" s="59">
        <f t="shared" si="411"/>
        <v>0</v>
      </c>
      <c r="AE1407" s="59">
        <f t="shared" si="412"/>
        <v>0</v>
      </c>
      <c r="AF1407" s="59">
        <f t="shared" si="413"/>
        <v>0</v>
      </c>
      <c r="AG1407" s="59">
        <f t="shared" si="414"/>
        <v>1</v>
      </c>
      <c r="AH1407" s="59">
        <v>3</v>
      </c>
      <c r="AI1407" s="59">
        <v>2</v>
      </c>
      <c r="AJ1407" s="59">
        <f t="shared" si="415"/>
        <v>0</v>
      </c>
      <c r="AK1407" s="59">
        <f t="shared" si="416"/>
        <v>1</v>
      </c>
      <c r="AL1407" s="59">
        <v>11031</v>
      </c>
      <c r="AM1407" s="59">
        <v>26862</v>
      </c>
      <c r="AN1407" s="59">
        <v>4</v>
      </c>
      <c r="AO1407" s="59">
        <v>0</v>
      </c>
      <c r="AP1407" s="59">
        <v>20</v>
      </c>
      <c r="AQ1407" s="59">
        <v>4</v>
      </c>
      <c r="AR1407" s="59">
        <v>3</v>
      </c>
      <c r="AS1407" s="59">
        <v>80</v>
      </c>
      <c r="AT1407" s="59">
        <v>1</v>
      </c>
      <c r="AU1407" s="59">
        <v>13</v>
      </c>
      <c r="AV1407" s="59">
        <v>2</v>
      </c>
      <c r="AW1407" s="59">
        <v>4</v>
      </c>
      <c r="AX1407" s="59">
        <v>11</v>
      </c>
      <c r="AY1407" s="59">
        <v>7</v>
      </c>
      <c r="AZ1407" s="59">
        <v>4</v>
      </c>
      <c r="BA1407" s="59">
        <v>8</v>
      </c>
      <c r="BB1407" s="57">
        <f t="shared" si="417"/>
        <v>33093</v>
      </c>
    </row>
    <row r="1408" spans="1:54" x14ac:dyDescent="0.25">
      <c r="A1408" s="58">
        <v>54</v>
      </c>
      <c r="B1408" s="59">
        <v>0</v>
      </c>
      <c r="C1408" s="59">
        <v>1</v>
      </c>
      <c r="D1408" s="59">
        <f t="shared" si="399"/>
        <v>1</v>
      </c>
      <c r="E1408" s="59">
        <f t="shared" si="400"/>
        <v>0</v>
      </c>
      <c r="F1408" s="59">
        <v>157</v>
      </c>
      <c r="G1408" s="59">
        <v>2</v>
      </c>
      <c r="H1408" s="59">
        <f t="shared" si="401"/>
        <v>0</v>
      </c>
      <c r="I1408" s="59">
        <f t="shared" si="402"/>
        <v>1</v>
      </c>
      <c r="J1408" s="59">
        <v>10</v>
      </c>
      <c r="K1408" s="59">
        <v>3</v>
      </c>
      <c r="L1408" s="59">
        <v>3</v>
      </c>
      <c r="M1408" s="59">
        <f t="shared" si="403"/>
        <v>0</v>
      </c>
      <c r="N1408" s="59">
        <f t="shared" si="404"/>
        <v>0</v>
      </c>
      <c r="O1408" s="59">
        <f t="shared" si="405"/>
        <v>1</v>
      </c>
      <c r="P1408" s="59">
        <f t="shared" si="406"/>
        <v>0</v>
      </c>
      <c r="Q1408" s="59">
        <f t="shared" si="407"/>
        <v>0</v>
      </c>
      <c r="R1408" s="59">
        <v>1</v>
      </c>
      <c r="S1408" s="59">
        <v>1980</v>
      </c>
      <c r="T1408" s="59">
        <v>3</v>
      </c>
      <c r="U1408" s="59">
        <v>0</v>
      </c>
      <c r="V1408" s="59">
        <v>77</v>
      </c>
      <c r="W1408" s="59">
        <v>3</v>
      </c>
      <c r="X1408" s="59">
        <v>2</v>
      </c>
      <c r="Y1408" s="59">
        <v>4</v>
      </c>
      <c r="Z1408" s="59">
        <f t="shared" si="408"/>
        <v>0</v>
      </c>
      <c r="AA1408" s="59">
        <f>IF('Updated Dummy'!Y1408=2,1,0)</f>
        <v>0</v>
      </c>
      <c r="AB1408" s="59">
        <f t="shared" si="409"/>
        <v>0</v>
      </c>
      <c r="AC1408" s="59">
        <f t="shared" si="410"/>
        <v>1</v>
      </c>
      <c r="AD1408" s="59">
        <f t="shared" si="411"/>
        <v>0</v>
      </c>
      <c r="AE1408" s="59">
        <f t="shared" si="412"/>
        <v>0</v>
      </c>
      <c r="AF1408" s="59">
        <f t="shared" si="413"/>
        <v>0</v>
      </c>
      <c r="AG1408" s="59">
        <f t="shared" si="414"/>
        <v>0</v>
      </c>
      <c r="AH1408" s="59">
        <v>1</v>
      </c>
      <c r="AI1408" s="59">
        <v>1</v>
      </c>
      <c r="AJ1408" s="59">
        <f t="shared" si="415"/>
        <v>1</v>
      </c>
      <c r="AK1408" s="59">
        <f t="shared" si="416"/>
        <v>0</v>
      </c>
      <c r="AL1408" s="59">
        <v>4440</v>
      </c>
      <c r="AM1408" s="59">
        <v>25198</v>
      </c>
      <c r="AN1408" s="59">
        <v>6</v>
      </c>
      <c r="AO1408" s="59">
        <v>1</v>
      </c>
      <c r="AP1408" s="59">
        <v>19</v>
      </c>
      <c r="AQ1408" s="59">
        <v>3</v>
      </c>
      <c r="AR1408" s="59">
        <v>4</v>
      </c>
      <c r="AS1408" s="59">
        <v>80</v>
      </c>
      <c r="AT1408" s="59">
        <v>0</v>
      </c>
      <c r="AU1408" s="59">
        <v>9</v>
      </c>
      <c r="AV1408" s="59">
        <v>3</v>
      </c>
      <c r="AW1408" s="59">
        <v>3</v>
      </c>
      <c r="AX1408" s="59">
        <v>5</v>
      </c>
      <c r="AY1408" s="59">
        <v>2</v>
      </c>
      <c r="AZ1408" s="59">
        <v>1</v>
      </c>
      <c r="BA1408" s="59">
        <v>4</v>
      </c>
      <c r="BB1408" s="57">
        <f t="shared" si="417"/>
        <v>8880</v>
      </c>
    </row>
    <row r="1409" spans="1:54" x14ac:dyDescent="0.25">
      <c r="A1409" s="58">
        <v>24</v>
      </c>
      <c r="B1409" s="59">
        <v>0</v>
      </c>
      <c r="C1409" s="59">
        <v>1</v>
      </c>
      <c r="D1409" s="59">
        <f t="shared" si="399"/>
        <v>1</v>
      </c>
      <c r="E1409" s="59">
        <f t="shared" si="400"/>
        <v>0</v>
      </c>
      <c r="F1409" s="59">
        <v>771</v>
      </c>
      <c r="G1409" s="59">
        <v>2</v>
      </c>
      <c r="H1409" s="59">
        <f t="shared" si="401"/>
        <v>0</v>
      </c>
      <c r="I1409" s="59">
        <f t="shared" si="402"/>
        <v>1</v>
      </c>
      <c r="J1409" s="59">
        <v>1</v>
      </c>
      <c r="K1409" s="59">
        <v>2</v>
      </c>
      <c r="L1409" s="59">
        <v>1</v>
      </c>
      <c r="M1409" s="59">
        <f t="shared" si="403"/>
        <v>1</v>
      </c>
      <c r="N1409" s="59">
        <f t="shared" si="404"/>
        <v>0</v>
      </c>
      <c r="O1409" s="59">
        <f t="shared" si="405"/>
        <v>0</v>
      </c>
      <c r="P1409" s="59">
        <f t="shared" si="406"/>
        <v>0</v>
      </c>
      <c r="Q1409" s="59">
        <f t="shared" si="407"/>
        <v>0</v>
      </c>
      <c r="R1409" s="59">
        <v>1</v>
      </c>
      <c r="S1409" s="59">
        <v>1981</v>
      </c>
      <c r="T1409" s="59">
        <v>2</v>
      </c>
      <c r="U1409" s="59">
        <v>1</v>
      </c>
      <c r="V1409" s="59">
        <v>45</v>
      </c>
      <c r="W1409" s="59">
        <v>2</v>
      </c>
      <c r="X1409" s="59">
        <v>2</v>
      </c>
      <c r="Y1409" s="59">
        <v>5</v>
      </c>
      <c r="Z1409" s="59">
        <f t="shared" si="408"/>
        <v>0</v>
      </c>
      <c r="AA1409" s="59">
        <f>IF('Updated Dummy'!Y1409=2,1,0)</f>
        <v>0</v>
      </c>
      <c r="AB1409" s="59">
        <f t="shared" si="409"/>
        <v>0</v>
      </c>
      <c r="AC1409" s="59">
        <f t="shared" si="410"/>
        <v>0</v>
      </c>
      <c r="AD1409" s="59">
        <f t="shared" si="411"/>
        <v>1</v>
      </c>
      <c r="AE1409" s="59">
        <f t="shared" si="412"/>
        <v>0</v>
      </c>
      <c r="AF1409" s="59">
        <f t="shared" si="413"/>
        <v>0</v>
      </c>
      <c r="AG1409" s="59">
        <f t="shared" si="414"/>
        <v>0</v>
      </c>
      <c r="AH1409" s="59">
        <v>3</v>
      </c>
      <c r="AI1409" s="59">
        <v>1</v>
      </c>
      <c r="AJ1409" s="59">
        <f t="shared" si="415"/>
        <v>1</v>
      </c>
      <c r="AK1409" s="59">
        <f t="shared" si="416"/>
        <v>0</v>
      </c>
      <c r="AL1409" s="59">
        <v>4617</v>
      </c>
      <c r="AM1409" s="59">
        <v>14120</v>
      </c>
      <c r="AN1409" s="59">
        <v>1</v>
      </c>
      <c r="AO1409" s="59">
        <v>0</v>
      </c>
      <c r="AP1409" s="59">
        <v>12</v>
      </c>
      <c r="AQ1409" s="59">
        <v>3</v>
      </c>
      <c r="AR1409" s="59">
        <v>2</v>
      </c>
      <c r="AS1409" s="59">
        <v>80</v>
      </c>
      <c r="AT1409" s="59">
        <v>0</v>
      </c>
      <c r="AU1409" s="59">
        <v>4</v>
      </c>
      <c r="AV1409" s="59">
        <v>2</v>
      </c>
      <c r="AW1409" s="59">
        <v>2</v>
      </c>
      <c r="AX1409" s="59">
        <v>4</v>
      </c>
      <c r="AY1409" s="59">
        <v>3</v>
      </c>
      <c r="AZ1409" s="59">
        <v>1</v>
      </c>
      <c r="BA1409" s="59">
        <v>2</v>
      </c>
      <c r="BB1409" s="57">
        <f t="shared" si="417"/>
        <v>9234</v>
      </c>
    </row>
    <row r="1410" spans="1:54" x14ac:dyDescent="0.25">
      <c r="A1410" s="58">
        <v>23</v>
      </c>
      <c r="B1410" s="59">
        <v>0</v>
      </c>
      <c r="C1410" s="59">
        <v>1</v>
      </c>
      <c r="D1410" s="59">
        <f t="shared" si="399"/>
        <v>1</v>
      </c>
      <c r="E1410" s="59">
        <f t="shared" si="400"/>
        <v>0</v>
      </c>
      <c r="F1410" s="59">
        <v>571</v>
      </c>
      <c r="G1410" s="59">
        <v>2</v>
      </c>
      <c r="H1410" s="59">
        <f t="shared" si="401"/>
        <v>0</v>
      </c>
      <c r="I1410" s="59">
        <f t="shared" si="402"/>
        <v>1</v>
      </c>
      <c r="J1410" s="59">
        <v>12</v>
      </c>
      <c r="K1410" s="59">
        <v>2</v>
      </c>
      <c r="L1410" s="59">
        <v>6</v>
      </c>
      <c r="M1410" s="59">
        <f t="shared" si="403"/>
        <v>0</v>
      </c>
      <c r="N1410" s="59">
        <f t="shared" si="404"/>
        <v>0</v>
      </c>
      <c r="O1410" s="59">
        <f t="shared" si="405"/>
        <v>0</v>
      </c>
      <c r="P1410" s="59">
        <f t="shared" si="406"/>
        <v>0</v>
      </c>
      <c r="Q1410" s="59">
        <f t="shared" si="407"/>
        <v>0</v>
      </c>
      <c r="R1410" s="59">
        <v>1</v>
      </c>
      <c r="S1410" s="59">
        <v>1982</v>
      </c>
      <c r="T1410" s="59">
        <v>4</v>
      </c>
      <c r="U1410" s="59">
        <v>1</v>
      </c>
      <c r="V1410" s="59">
        <v>78</v>
      </c>
      <c r="W1410" s="59">
        <v>3</v>
      </c>
      <c r="X1410" s="59">
        <v>1</v>
      </c>
      <c r="Y1410" s="59">
        <v>3</v>
      </c>
      <c r="Z1410" s="59">
        <f t="shared" si="408"/>
        <v>0</v>
      </c>
      <c r="AA1410" s="59">
        <f>IF('Updated Dummy'!Y1410=2,1,0)</f>
        <v>0</v>
      </c>
      <c r="AB1410" s="59">
        <f t="shared" si="409"/>
        <v>1</v>
      </c>
      <c r="AC1410" s="59">
        <f t="shared" si="410"/>
        <v>0</v>
      </c>
      <c r="AD1410" s="59">
        <f t="shared" si="411"/>
        <v>0</v>
      </c>
      <c r="AE1410" s="59">
        <f t="shared" si="412"/>
        <v>0</v>
      </c>
      <c r="AF1410" s="59">
        <f t="shared" si="413"/>
        <v>0</v>
      </c>
      <c r="AG1410" s="59">
        <f t="shared" si="414"/>
        <v>0</v>
      </c>
      <c r="AH1410" s="59">
        <v>4</v>
      </c>
      <c r="AI1410" s="59">
        <v>1</v>
      </c>
      <c r="AJ1410" s="59">
        <f t="shared" si="415"/>
        <v>1</v>
      </c>
      <c r="AK1410" s="59">
        <f t="shared" si="416"/>
        <v>0</v>
      </c>
      <c r="AL1410" s="59">
        <v>2647</v>
      </c>
      <c r="AM1410" s="59">
        <v>13672</v>
      </c>
      <c r="AN1410" s="59">
        <v>1</v>
      </c>
      <c r="AO1410" s="59">
        <v>0</v>
      </c>
      <c r="AP1410" s="59">
        <v>13</v>
      </c>
      <c r="AQ1410" s="59">
        <v>3</v>
      </c>
      <c r="AR1410" s="59">
        <v>3</v>
      </c>
      <c r="AS1410" s="59">
        <v>80</v>
      </c>
      <c r="AT1410" s="59">
        <v>0</v>
      </c>
      <c r="AU1410" s="59">
        <v>5</v>
      </c>
      <c r="AV1410" s="59">
        <v>6</v>
      </c>
      <c r="AW1410" s="59">
        <v>4</v>
      </c>
      <c r="AX1410" s="59">
        <v>5</v>
      </c>
      <c r="AY1410" s="59">
        <v>2</v>
      </c>
      <c r="AZ1410" s="59">
        <v>1</v>
      </c>
      <c r="BA1410" s="59">
        <v>4</v>
      </c>
      <c r="BB1410" s="57">
        <f t="shared" si="417"/>
        <v>2647</v>
      </c>
    </row>
    <row r="1411" spans="1:54" x14ac:dyDescent="0.25">
      <c r="A1411" s="58">
        <v>40</v>
      </c>
      <c r="B1411" s="59">
        <v>0</v>
      </c>
      <c r="C1411" s="59">
        <v>2</v>
      </c>
      <c r="D1411" s="59">
        <f t="shared" ref="D1411:D1471" si="418">IF(C1411=1,1,0)</f>
        <v>0</v>
      </c>
      <c r="E1411" s="59">
        <f t="shared" ref="E1411:E1471" si="419">IF(C1411=2,1,0)</f>
        <v>1</v>
      </c>
      <c r="F1411" s="59">
        <v>692</v>
      </c>
      <c r="G1411" s="59">
        <v>2</v>
      </c>
      <c r="H1411" s="59">
        <f t="shared" ref="H1411:H1471" si="420">IF(G1411=1,1,0)</f>
        <v>0</v>
      </c>
      <c r="I1411" s="59">
        <f t="shared" ref="I1411:I1471" si="421">IF(G1411=2,1,0)</f>
        <v>1</v>
      </c>
      <c r="J1411" s="59">
        <v>11</v>
      </c>
      <c r="K1411" s="59">
        <v>3</v>
      </c>
      <c r="L1411" s="59">
        <v>5</v>
      </c>
      <c r="M1411" s="59">
        <f t="shared" ref="M1411:M1471" si="422">IF(L1411=1,1,0)</f>
        <v>0</v>
      </c>
      <c r="N1411" s="59">
        <f t="shared" ref="N1411:N1471" si="423">IF(L1411=2,1,0)</f>
        <v>0</v>
      </c>
      <c r="O1411" s="59">
        <f t="shared" ref="O1411:O1471" si="424">IF(L1411=3,1,0)</f>
        <v>0</v>
      </c>
      <c r="P1411" s="59">
        <f t="shared" ref="P1411:P1471" si="425">IF(L1411=4,1,0)</f>
        <v>0</v>
      </c>
      <c r="Q1411" s="59">
        <f t="shared" ref="Q1411:Q1471" si="426">IF(L1411=5,1,0)</f>
        <v>1</v>
      </c>
      <c r="R1411" s="59">
        <v>1</v>
      </c>
      <c r="S1411" s="59">
        <v>1985</v>
      </c>
      <c r="T1411" s="59">
        <v>4</v>
      </c>
      <c r="U1411" s="59">
        <v>0</v>
      </c>
      <c r="V1411" s="59">
        <v>73</v>
      </c>
      <c r="W1411" s="59">
        <v>3</v>
      </c>
      <c r="X1411" s="59">
        <v>2</v>
      </c>
      <c r="Y1411" s="59">
        <v>3</v>
      </c>
      <c r="Z1411" s="59">
        <f t="shared" ref="Z1411:Z1471" si="427">IF(Y1411=1,1,0)</f>
        <v>0</v>
      </c>
      <c r="AA1411" s="59">
        <f>IF('Updated Dummy'!Y1411=2,1,0)</f>
        <v>0</v>
      </c>
      <c r="AB1411" s="59">
        <f t="shared" ref="AB1411:AB1471" si="428">IF(Y1411=3,1,0)</f>
        <v>1</v>
      </c>
      <c r="AC1411" s="59">
        <f t="shared" ref="AC1411:AC1471" si="429">IF(Y1411=4,1,0)</f>
        <v>0</v>
      </c>
      <c r="AD1411" s="59">
        <f t="shared" ref="AD1411:AD1471" si="430">IF(Y1411=5,1,0)</f>
        <v>0</v>
      </c>
      <c r="AE1411" s="59">
        <f t="shared" ref="AE1411:AE1471" si="431">IF(Y1411=6,1,0)</f>
        <v>0</v>
      </c>
      <c r="AF1411" s="59">
        <f t="shared" ref="AF1411:AF1471" si="432">IF(Y1411=7,1,0)</f>
        <v>0</v>
      </c>
      <c r="AG1411" s="59">
        <f t="shared" ref="AG1411:AG1471" si="433">IF(Y1411=8,1,0)</f>
        <v>0</v>
      </c>
      <c r="AH1411" s="59">
        <v>3</v>
      </c>
      <c r="AI1411" s="59">
        <v>2</v>
      </c>
      <c r="AJ1411" s="59">
        <f t="shared" ref="AJ1411:AJ1471" si="434">IF(AI1411=1,1,0)</f>
        <v>0</v>
      </c>
      <c r="AK1411" s="59">
        <f t="shared" ref="AK1411:AK1471" si="435">IF(AI1411=2,1,0)</f>
        <v>1</v>
      </c>
      <c r="AL1411" s="59">
        <v>6323</v>
      </c>
      <c r="AM1411" s="59">
        <v>26849</v>
      </c>
      <c r="AN1411" s="59">
        <v>1</v>
      </c>
      <c r="AO1411" s="59">
        <v>0</v>
      </c>
      <c r="AP1411" s="59">
        <v>11</v>
      </c>
      <c r="AQ1411" s="59">
        <v>3</v>
      </c>
      <c r="AR1411" s="59">
        <v>1</v>
      </c>
      <c r="AS1411" s="59">
        <v>80</v>
      </c>
      <c r="AT1411" s="59">
        <v>1</v>
      </c>
      <c r="AU1411" s="59">
        <v>10</v>
      </c>
      <c r="AV1411" s="59">
        <v>2</v>
      </c>
      <c r="AW1411" s="59">
        <v>4</v>
      </c>
      <c r="AX1411" s="59">
        <v>10</v>
      </c>
      <c r="AY1411" s="59">
        <v>9</v>
      </c>
      <c r="AZ1411" s="59">
        <v>9</v>
      </c>
      <c r="BA1411" s="59">
        <v>4</v>
      </c>
      <c r="BB1411" s="57">
        <f t="shared" ref="BB1411:BB1471" si="436">X1411*AL1411</f>
        <v>12646</v>
      </c>
    </row>
    <row r="1412" spans="1:54" x14ac:dyDescent="0.25">
      <c r="A1412" s="58">
        <v>40</v>
      </c>
      <c r="B1412" s="59">
        <v>0</v>
      </c>
      <c r="C1412" s="59">
        <v>1</v>
      </c>
      <c r="D1412" s="59">
        <f t="shared" si="418"/>
        <v>1</v>
      </c>
      <c r="E1412" s="59">
        <f t="shared" si="419"/>
        <v>0</v>
      </c>
      <c r="F1412" s="59">
        <v>444</v>
      </c>
      <c r="G1412" s="59">
        <v>1</v>
      </c>
      <c r="H1412" s="59">
        <f t="shared" si="420"/>
        <v>1</v>
      </c>
      <c r="I1412" s="59">
        <f t="shared" si="421"/>
        <v>0</v>
      </c>
      <c r="J1412" s="59">
        <v>2</v>
      </c>
      <c r="K1412" s="59">
        <v>2</v>
      </c>
      <c r="L1412" s="59">
        <v>4</v>
      </c>
      <c r="M1412" s="59">
        <f t="shared" si="422"/>
        <v>0</v>
      </c>
      <c r="N1412" s="59">
        <f t="shared" si="423"/>
        <v>0</v>
      </c>
      <c r="O1412" s="59">
        <f t="shared" si="424"/>
        <v>0</v>
      </c>
      <c r="P1412" s="59">
        <f t="shared" si="425"/>
        <v>1</v>
      </c>
      <c r="Q1412" s="59">
        <f t="shared" si="426"/>
        <v>0</v>
      </c>
      <c r="R1412" s="59">
        <v>1</v>
      </c>
      <c r="S1412" s="59">
        <v>1986</v>
      </c>
      <c r="T1412" s="59">
        <v>2</v>
      </c>
      <c r="U1412" s="59">
        <v>0</v>
      </c>
      <c r="V1412" s="59">
        <v>92</v>
      </c>
      <c r="W1412" s="59">
        <v>3</v>
      </c>
      <c r="X1412" s="59">
        <v>2</v>
      </c>
      <c r="Y1412" s="59">
        <v>1</v>
      </c>
      <c r="Z1412" s="59">
        <f t="shared" si="427"/>
        <v>1</v>
      </c>
      <c r="AA1412" s="59">
        <f>IF('Updated Dummy'!Y1412=2,1,0)</f>
        <v>0</v>
      </c>
      <c r="AB1412" s="59">
        <f t="shared" si="428"/>
        <v>0</v>
      </c>
      <c r="AC1412" s="59">
        <f t="shared" si="429"/>
        <v>0</v>
      </c>
      <c r="AD1412" s="59">
        <f t="shared" si="430"/>
        <v>0</v>
      </c>
      <c r="AE1412" s="59">
        <f t="shared" si="431"/>
        <v>0</v>
      </c>
      <c r="AF1412" s="59">
        <f t="shared" si="432"/>
        <v>0</v>
      </c>
      <c r="AG1412" s="59">
        <f t="shared" si="433"/>
        <v>0</v>
      </c>
      <c r="AH1412" s="59">
        <v>2</v>
      </c>
      <c r="AI1412" s="59">
        <v>2</v>
      </c>
      <c r="AJ1412" s="59">
        <f t="shared" si="434"/>
        <v>0</v>
      </c>
      <c r="AK1412" s="59">
        <f t="shared" si="435"/>
        <v>1</v>
      </c>
      <c r="AL1412" s="59">
        <v>5677</v>
      </c>
      <c r="AM1412" s="59">
        <v>4258</v>
      </c>
      <c r="AN1412" s="59">
        <v>3</v>
      </c>
      <c r="AO1412" s="59">
        <v>0</v>
      </c>
      <c r="AP1412" s="59">
        <v>14</v>
      </c>
      <c r="AQ1412" s="59">
        <v>3</v>
      </c>
      <c r="AR1412" s="59">
        <v>3</v>
      </c>
      <c r="AS1412" s="59">
        <v>80</v>
      </c>
      <c r="AT1412" s="59">
        <v>1</v>
      </c>
      <c r="AU1412" s="59">
        <v>15</v>
      </c>
      <c r="AV1412" s="59">
        <v>4</v>
      </c>
      <c r="AW1412" s="59">
        <v>3</v>
      </c>
      <c r="AX1412" s="59">
        <v>11</v>
      </c>
      <c r="AY1412" s="59">
        <v>8</v>
      </c>
      <c r="AZ1412" s="59">
        <v>5</v>
      </c>
      <c r="BA1412" s="59">
        <v>10</v>
      </c>
      <c r="BB1412" s="57">
        <f t="shared" si="436"/>
        <v>11354</v>
      </c>
    </row>
    <row r="1413" spans="1:54" x14ac:dyDescent="0.25">
      <c r="A1413" s="58">
        <v>25</v>
      </c>
      <c r="B1413" s="59">
        <v>0</v>
      </c>
      <c r="C1413" s="59">
        <v>1</v>
      </c>
      <c r="D1413" s="59">
        <f t="shared" si="418"/>
        <v>1</v>
      </c>
      <c r="E1413" s="59">
        <f t="shared" si="419"/>
        <v>0</v>
      </c>
      <c r="F1413" s="59">
        <v>309</v>
      </c>
      <c r="G1413" s="59">
        <v>3</v>
      </c>
      <c r="H1413" s="59">
        <f t="shared" si="420"/>
        <v>0</v>
      </c>
      <c r="I1413" s="59">
        <f t="shared" si="421"/>
        <v>0</v>
      </c>
      <c r="J1413" s="59">
        <v>2</v>
      </c>
      <c r="K1413" s="59">
        <v>3</v>
      </c>
      <c r="L1413" s="59">
        <v>2</v>
      </c>
      <c r="M1413" s="59">
        <f t="shared" si="422"/>
        <v>0</v>
      </c>
      <c r="N1413" s="59">
        <f t="shared" si="423"/>
        <v>1</v>
      </c>
      <c r="O1413" s="59">
        <f t="shared" si="424"/>
        <v>0</v>
      </c>
      <c r="P1413" s="59">
        <f t="shared" si="425"/>
        <v>0</v>
      </c>
      <c r="Q1413" s="59">
        <f t="shared" si="426"/>
        <v>0</v>
      </c>
      <c r="R1413" s="59">
        <v>1</v>
      </c>
      <c r="S1413" s="59">
        <v>1987</v>
      </c>
      <c r="T1413" s="59">
        <v>3</v>
      </c>
      <c r="U1413" s="59">
        <v>0</v>
      </c>
      <c r="V1413" s="59">
        <v>82</v>
      </c>
      <c r="W1413" s="59">
        <v>3</v>
      </c>
      <c r="X1413" s="59">
        <v>1</v>
      </c>
      <c r="Y1413" s="59">
        <v>9</v>
      </c>
      <c r="Z1413" s="59">
        <f t="shared" si="427"/>
        <v>0</v>
      </c>
      <c r="AA1413" s="59">
        <f>IF('Updated Dummy'!Y1413=2,1,0)</f>
        <v>0</v>
      </c>
      <c r="AB1413" s="59">
        <f t="shared" si="428"/>
        <v>0</v>
      </c>
      <c r="AC1413" s="59">
        <f t="shared" si="429"/>
        <v>0</v>
      </c>
      <c r="AD1413" s="59">
        <f t="shared" si="430"/>
        <v>0</v>
      </c>
      <c r="AE1413" s="59">
        <f t="shared" si="431"/>
        <v>0</v>
      </c>
      <c r="AF1413" s="59">
        <f t="shared" si="432"/>
        <v>0</v>
      </c>
      <c r="AG1413" s="59">
        <f t="shared" si="433"/>
        <v>0</v>
      </c>
      <c r="AH1413" s="59">
        <v>2</v>
      </c>
      <c r="AI1413" s="59">
        <v>2</v>
      </c>
      <c r="AJ1413" s="59">
        <f t="shared" si="434"/>
        <v>0</v>
      </c>
      <c r="AK1413" s="59">
        <f t="shared" si="435"/>
        <v>1</v>
      </c>
      <c r="AL1413" s="59">
        <v>2187</v>
      </c>
      <c r="AM1413" s="59">
        <v>19655</v>
      </c>
      <c r="AN1413" s="59">
        <v>4</v>
      </c>
      <c r="AO1413" s="59">
        <v>0</v>
      </c>
      <c r="AP1413" s="59">
        <v>14</v>
      </c>
      <c r="AQ1413" s="59">
        <v>3</v>
      </c>
      <c r="AR1413" s="59">
        <v>3</v>
      </c>
      <c r="AS1413" s="59">
        <v>80</v>
      </c>
      <c r="AT1413" s="59">
        <v>0</v>
      </c>
      <c r="AU1413" s="59">
        <v>6</v>
      </c>
      <c r="AV1413" s="59">
        <v>3</v>
      </c>
      <c r="AW1413" s="59">
        <v>3</v>
      </c>
      <c r="AX1413" s="59">
        <v>2</v>
      </c>
      <c r="AY1413" s="59">
        <v>0</v>
      </c>
      <c r="AZ1413" s="59">
        <v>1</v>
      </c>
      <c r="BA1413" s="59">
        <v>2</v>
      </c>
      <c r="BB1413" s="57">
        <f t="shared" si="436"/>
        <v>2187</v>
      </c>
    </row>
    <row r="1414" spans="1:54" x14ac:dyDescent="0.25">
      <c r="A1414" s="58">
        <v>30</v>
      </c>
      <c r="B1414" s="59">
        <v>0</v>
      </c>
      <c r="C1414" s="59">
        <v>1</v>
      </c>
      <c r="D1414" s="59">
        <f t="shared" si="418"/>
        <v>1</v>
      </c>
      <c r="E1414" s="59">
        <f t="shared" si="419"/>
        <v>0</v>
      </c>
      <c r="F1414" s="59">
        <v>911</v>
      </c>
      <c r="G1414" s="59">
        <v>2</v>
      </c>
      <c r="H1414" s="59">
        <f t="shared" si="420"/>
        <v>0</v>
      </c>
      <c r="I1414" s="59">
        <f t="shared" si="421"/>
        <v>1</v>
      </c>
      <c r="J1414" s="59">
        <v>1</v>
      </c>
      <c r="K1414" s="59">
        <v>2</v>
      </c>
      <c r="L1414" s="59">
        <v>3</v>
      </c>
      <c r="M1414" s="59">
        <f t="shared" si="422"/>
        <v>0</v>
      </c>
      <c r="N1414" s="59">
        <f t="shared" si="423"/>
        <v>0</v>
      </c>
      <c r="O1414" s="59">
        <f t="shared" si="424"/>
        <v>1</v>
      </c>
      <c r="P1414" s="59">
        <f t="shared" si="425"/>
        <v>0</v>
      </c>
      <c r="Q1414" s="59">
        <f t="shared" si="426"/>
        <v>0</v>
      </c>
      <c r="R1414" s="59">
        <v>1</v>
      </c>
      <c r="S1414" s="59">
        <v>1989</v>
      </c>
      <c r="T1414" s="59">
        <v>4</v>
      </c>
      <c r="U1414" s="59">
        <v>1</v>
      </c>
      <c r="V1414" s="59">
        <v>76</v>
      </c>
      <c r="W1414" s="59">
        <v>3</v>
      </c>
      <c r="X1414" s="59">
        <v>1</v>
      </c>
      <c r="Y1414" s="59">
        <v>3</v>
      </c>
      <c r="Z1414" s="59">
        <f t="shared" si="427"/>
        <v>0</v>
      </c>
      <c r="AA1414" s="59">
        <f>IF('Updated Dummy'!Y1414=2,1,0)</f>
        <v>0</v>
      </c>
      <c r="AB1414" s="59">
        <f t="shared" si="428"/>
        <v>1</v>
      </c>
      <c r="AC1414" s="59">
        <f t="shared" si="429"/>
        <v>0</v>
      </c>
      <c r="AD1414" s="59">
        <f t="shared" si="430"/>
        <v>0</v>
      </c>
      <c r="AE1414" s="59">
        <f t="shared" si="431"/>
        <v>0</v>
      </c>
      <c r="AF1414" s="59">
        <f t="shared" si="432"/>
        <v>0</v>
      </c>
      <c r="AG1414" s="59">
        <f t="shared" si="433"/>
        <v>0</v>
      </c>
      <c r="AH1414" s="59">
        <v>2</v>
      </c>
      <c r="AI1414" s="59">
        <v>2</v>
      </c>
      <c r="AJ1414" s="59">
        <f t="shared" si="434"/>
        <v>0</v>
      </c>
      <c r="AK1414" s="59">
        <f t="shared" si="435"/>
        <v>1</v>
      </c>
      <c r="AL1414" s="59">
        <v>3748</v>
      </c>
      <c r="AM1414" s="59">
        <v>4077</v>
      </c>
      <c r="AN1414" s="59">
        <v>1</v>
      </c>
      <c r="AO1414" s="59">
        <v>0</v>
      </c>
      <c r="AP1414" s="59">
        <v>13</v>
      </c>
      <c r="AQ1414" s="59">
        <v>3</v>
      </c>
      <c r="AR1414" s="59">
        <v>3</v>
      </c>
      <c r="AS1414" s="59">
        <v>80</v>
      </c>
      <c r="AT1414" s="59">
        <v>0</v>
      </c>
      <c r="AU1414" s="59">
        <v>12</v>
      </c>
      <c r="AV1414" s="59">
        <v>6</v>
      </c>
      <c r="AW1414" s="59">
        <v>2</v>
      </c>
      <c r="AX1414" s="59">
        <v>12</v>
      </c>
      <c r="AY1414" s="59">
        <v>8</v>
      </c>
      <c r="AZ1414" s="59">
        <v>1</v>
      </c>
      <c r="BA1414" s="59">
        <v>7</v>
      </c>
      <c r="BB1414" s="57">
        <f t="shared" si="436"/>
        <v>3748</v>
      </c>
    </row>
    <row r="1415" spans="1:54" x14ac:dyDescent="0.25">
      <c r="A1415" s="58">
        <v>25</v>
      </c>
      <c r="B1415" s="59">
        <v>0</v>
      </c>
      <c r="C1415" s="59">
        <v>1</v>
      </c>
      <c r="D1415" s="59">
        <f t="shared" si="418"/>
        <v>1</v>
      </c>
      <c r="E1415" s="59">
        <f t="shared" si="419"/>
        <v>0</v>
      </c>
      <c r="F1415" s="59">
        <v>977</v>
      </c>
      <c r="G1415" s="59">
        <v>2</v>
      </c>
      <c r="H1415" s="59">
        <f t="shared" si="420"/>
        <v>0</v>
      </c>
      <c r="I1415" s="59">
        <f t="shared" si="421"/>
        <v>1</v>
      </c>
      <c r="J1415" s="59">
        <v>2</v>
      </c>
      <c r="K1415" s="59">
        <v>1</v>
      </c>
      <c r="L1415" s="59">
        <v>6</v>
      </c>
      <c r="M1415" s="59">
        <f t="shared" si="422"/>
        <v>0</v>
      </c>
      <c r="N1415" s="59">
        <f t="shared" si="423"/>
        <v>0</v>
      </c>
      <c r="O1415" s="59">
        <f t="shared" si="424"/>
        <v>0</v>
      </c>
      <c r="P1415" s="59">
        <f t="shared" si="425"/>
        <v>0</v>
      </c>
      <c r="Q1415" s="59">
        <f t="shared" si="426"/>
        <v>0</v>
      </c>
      <c r="R1415" s="59">
        <v>1</v>
      </c>
      <c r="S1415" s="59">
        <v>1992</v>
      </c>
      <c r="T1415" s="59">
        <v>4</v>
      </c>
      <c r="U1415" s="59">
        <v>1</v>
      </c>
      <c r="V1415" s="59">
        <v>57</v>
      </c>
      <c r="W1415" s="59">
        <v>3</v>
      </c>
      <c r="X1415" s="59">
        <v>1</v>
      </c>
      <c r="Y1415" s="59">
        <v>3</v>
      </c>
      <c r="Z1415" s="59">
        <f t="shared" si="427"/>
        <v>0</v>
      </c>
      <c r="AA1415" s="59">
        <f>IF('Updated Dummy'!Y1415=2,1,0)</f>
        <v>0</v>
      </c>
      <c r="AB1415" s="59">
        <f t="shared" si="428"/>
        <v>1</v>
      </c>
      <c r="AC1415" s="59">
        <f t="shared" si="429"/>
        <v>0</v>
      </c>
      <c r="AD1415" s="59">
        <f t="shared" si="430"/>
        <v>0</v>
      </c>
      <c r="AE1415" s="59">
        <f t="shared" si="431"/>
        <v>0</v>
      </c>
      <c r="AF1415" s="59">
        <f t="shared" si="432"/>
        <v>0</v>
      </c>
      <c r="AG1415" s="59">
        <f t="shared" si="433"/>
        <v>0</v>
      </c>
      <c r="AH1415" s="59">
        <v>3</v>
      </c>
      <c r="AI1415" s="59">
        <v>3</v>
      </c>
      <c r="AJ1415" s="59">
        <f t="shared" si="434"/>
        <v>0</v>
      </c>
      <c r="AK1415" s="59">
        <f t="shared" si="435"/>
        <v>0</v>
      </c>
      <c r="AL1415" s="59">
        <v>3977</v>
      </c>
      <c r="AM1415" s="59">
        <v>7298</v>
      </c>
      <c r="AN1415" s="59">
        <v>6</v>
      </c>
      <c r="AO1415" s="59">
        <v>1</v>
      </c>
      <c r="AP1415" s="59">
        <v>19</v>
      </c>
      <c r="AQ1415" s="59">
        <v>3</v>
      </c>
      <c r="AR1415" s="59">
        <v>3</v>
      </c>
      <c r="AS1415" s="59">
        <v>80</v>
      </c>
      <c r="AT1415" s="59">
        <v>1</v>
      </c>
      <c r="AU1415" s="59">
        <v>7</v>
      </c>
      <c r="AV1415" s="59">
        <v>2</v>
      </c>
      <c r="AW1415" s="59">
        <v>2</v>
      </c>
      <c r="AX1415" s="59">
        <v>2</v>
      </c>
      <c r="AY1415" s="59">
        <v>2</v>
      </c>
      <c r="AZ1415" s="59">
        <v>0</v>
      </c>
      <c r="BA1415" s="59">
        <v>2</v>
      </c>
      <c r="BB1415" s="57">
        <f t="shared" si="436"/>
        <v>3977</v>
      </c>
    </row>
    <row r="1416" spans="1:54" x14ac:dyDescent="0.25">
      <c r="A1416" s="58">
        <v>47</v>
      </c>
      <c r="B1416" s="59">
        <v>0</v>
      </c>
      <c r="C1416" s="59">
        <v>1</v>
      </c>
      <c r="D1416" s="59">
        <f t="shared" si="418"/>
        <v>1</v>
      </c>
      <c r="E1416" s="59">
        <f t="shared" si="419"/>
        <v>0</v>
      </c>
      <c r="F1416" s="59">
        <v>1180</v>
      </c>
      <c r="G1416" s="59">
        <v>2</v>
      </c>
      <c r="H1416" s="59">
        <f t="shared" si="420"/>
        <v>0</v>
      </c>
      <c r="I1416" s="59">
        <f t="shared" si="421"/>
        <v>1</v>
      </c>
      <c r="J1416" s="59">
        <v>25</v>
      </c>
      <c r="K1416" s="59">
        <v>3</v>
      </c>
      <c r="L1416" s="59">
        <v>3</v>
      </c>
      <c r="M1416" s="59">
        <f t="shared" si="422"/>
        <v>0</v>
      </c>
      <c r="N1416" s="59">
        <f t="shared" si="423"/>
        <v>0</v>
      </c>
      <c r="O1416" s="59">
        <f t="shared" si="424"/>
        <v>1</v>
      </c>
      <c r="P1416" s="59">
        <f t="shared" si="425"/>
        <v>0</v>
      </c>
      <c r="Q1416" s="59">
        <f t="shared" si="426"/>
        <v>0</v>
      </c>
      <c r="R1416" s="59">
        <v>1</v>
      </c>
      <c r="S1416" s="59">
        <v>1993</v>
      </c>
      <c r="T1416" s="59">
        <v>1</v>
      </c>
      <c r="U1416" s="59">
        <v>1</v>
      </c>
      <c r="V1416" s="59">
        <v>84</v>
      </c>
      <c r="W1416" s="59">
        <v>3</v>
      </c>
      <c r="X1416" s="59">
        <v>3</v>
      </c>
      <c r="Y1416" s="59">
        <v>5</v>
      </c>
      <c r="Z1416" s="59">
        <f t="shared" si="427"/>
        <v>0</v>
      </c>
      <c r="AA1416" s="59">
        <f>IF('Updated Dummy'!Y1416=2,1,0)</f>
        <v>0</v>
      </c>
      <c r="AB1416" s="59">
        <f t="shared" si="428"/>
        <v>0</v>
      </c>
      <c r="AC1416" s="59">
        <f t="shared" si="429"/>
        <v>0</v>
      </c>
      <c r="AD1416" s="59">
        <f t="shared" si="430"/>
        <v>1</v>
      </c>
      <c r="AE1416" s="59">
        <f t="shared" si="431"/>
        <v>0</v>
      </c>
      <c r="AF1416" s="59">
        <f t="shared" si="432"/>
        <v>0</v>
      </c>
      <c r="AG1416" s="59">
        <f t="shared" si="433"/>
        <v>0</v>
      </c>
      <c r="AH1416" s="59">
        <v>3</v>
      </c>
      <c r="AI1416" s="59">
        <v>1</v>
      </c>
      <c r="AJ1416" s="59">
        <f t="shared" si="434"/>
        <v>1</v>
      </c>
      <c r="AK1416" s="59">
        <f t="shared" si="435"/>
        <v>0</v>
      </c>
      <c r="AL1416" s="59">
        <v>8633</v>
      </c>
      <c r="AM1416" s="59">
        <v>13084</v>
      </c>
      <c r="AN1416" s="59">
        <v>2</v>
      </c>
      <c r="AO1416" s="59">
        <v>0</v>
      </c>
      <c r="AP1416" s="59">
        <v>23</v>
      </c>
      <c r="AQ1416" s="59">
        <v>4</v>
      </c>
      <c r="AR1416" s="59">
        <v>2</v>
      </c>
      <c r="AS1416" s="59">
        <v>80</v>
      </c>
      <c r="AT1416" s="59">
        <v>0</v>
      </c>
      <c r="AU1416" s="59">
        <v>25</v>
      </c>
      <c r="AV1416" s="59">
        <v>3</v>
      </c>
      <c r="AW1416" s="59">
        <v>3</v>
      </c>
      <c r="AX1416" s="59">
        <v>17</v>
      </c>
      <c r="AY1416" s="59">
        <v>14</v>
      </c>
      <c r="AZ1416" s="59">
        <v>12</v>
      </c>
      <c r="BA1416" s="59">
        <v>11</v>
      </c>
      <c r="BB1416" s="57">
        <f t="shared" si="436"/>
        <v>25899</v>
      </c>
    </row>
    <row r="1417" spans="1:54" x14ac:dyDescent="0.25">
      <c r="A1417" s="58">
        <v>33</v>
      </c>
      <c r="B1417" s="59">
        <v>0</v>
      </c>
      <c r="C1417" s="59">
        <v>3</v>
      </c>
      <c r="D1417" s="59">
        <f t="shared" si="418"/>
        <v>0</v>
      </c>
      <c r="E1417" s="59">
        <f t="shared" si="419"/>
        <v>0</v>
      </c>
      <c r="F1417" s="59">
        <v>1313</v>
      </c>
      <c r="G1417" s="59">
        <v>2</v>
      </c>
      <c r="H1417" s="59">
        <f t="shared" si="420"/>
        <v>0</v>
      </c>
      <c r="I1417" s="59">
        <f t="shared" si="421"/>
        <v>1</v>
      </c>
      <c r="J1417" s="59">
        <v>1</v>
      </c>
      <c r="K1417" s="59">
        <v>2</v>
      </c>
      <c r="L1417" s="59">
        <v>3</v>
      </c>
      <c r="M1417" s="59">
        <f t="shared" si="422"/>
        <v>0</v>
      </c>
      <c r="N1417" s="59">
        <f t="shared" si="423"/>
        <v>0</v>
      </c>
      <c r="O1417" s="59">
        <f t="shared" si="424"/>
        <v>1</v>
      </c>
      <c r="P1417" s="59">
        <f t="shared" si="425"/>
        <v>0</v>
      </c>
      <c r="Q1417" s="59">
        <f t="shared" si="426"/>
        <v>0</v>
      </c>
      <c r="R1417" s="59">
        <v>1</v>
      </c>
      <c r="S1417" s="59">
        <v>1994</v>
      </c>
      <c r="T1417" s="59">
        <v>2</v>
      </c>
      <c r="U1417" s="59">
        <v>1</v>
      </c>
      <c r="V1417" s="59">
        <v>59</v>
      </c>
      <c r="W1417" s="59">
        <v>2</v>
      </c>
      <c r="X1417" s="59">
        <v>1</v>
      </c>
      <c r="Y1417" s="59">
        <v>3</v>
      </c>
      <c r="Z1417" s="59">
        <f t="shared" si="427"/>
        <v>0</v>
      </c>
      <c r="AA1417" s="59">
        <f>IF('Updated Dummy'!Y1417=2,1,0)</f>
        <v>0</v>
      </c>
      <c r="AB1417" s="59">
        <f t="shared" si="428"/>
        <v>1</v>
      </c>
      <c r="AC1417" s="59">
        <f t="shared" si="429"/>
        <v>0</v>
      </c>
      <c r="AD1417" s="59">
        <f t="shared" si="430"/>
        <v>0</v>
      </c>
      <c r="AE1417" s="59">
        <f t="shared" si="431"/>
        <v>0</v>
      </c>
      <c r="AF1417" s="59">
        <f t="shared" si="432"/>
        <v>0</v>
      </c>
      <c r="AG1417" s="59">
        <f t="shared" si="433"/>
        <v>0</v>
      </c>
      <c r="AH1417" s="59">
        <v>3</v>
      </c>
      <c r="AI1417" s="59">
        <v>3</v>
      </c>
      <c r="AJ1417" s="59">
        <f t="shared" si="434"/>
        <v>0</v>
      </c>
      <c r="AK1417" s="59">
        <f t="shared" si="435"/>
        <v>0</v>
      </c>
      <c r="AL1417" s="59">
        <v>2008</v>
      </c>
      <c r="AM1417" s="59">
        <v>20439</v>
      </c>
      <c r="AN1417" s="59">
        <v>1</v>
      </c>
      <c r="AO1417" s="59">
        <v>0</v>
      </c>
      <c r="AP1417" s="59">
        <v>12</v>
      </c>
      <c r="AQ1417" s="59">
        <v>3</v>
      </c>
      <c r="AR1417" s="59">
        <v>3</v>
      </c>
      <c r="AS1417" s="59">
        <v>80</v>
      </c>
      <c r="AT1417" s="59">
        <v>3</v>
      </c>
      <c r="AU1417" s="59">
        <v>1</v>
      </c>
      <c r="AV1417" s="59">
        <v>2</v>
      </c>
      <c r="AW1417" s="59">
        <v>2</v>
      </c>
      <c r="AX1417" s="59">
        <v>1</v>
      </c>
      <c r="AY1417" s="59">
        <v>1</v>
      </c>
      <c r="AZ1417" s="59">
        <v>0</v>
      </c>
      <c r="BA1417" s="59">
        <v>0</v>
      </c>
      <c r="BB1417" s="57">
        <f t="shared" si="436"/>
        <v>2008</v>
      </c>
    </row>
    <row r="1418" spans="1:54" x14ac:dyDescent="0.25">
      <c r="A1418" s="58">
        <v>38</v>
      </c>
      <c r="B1418" s="59">
        <v>0</v>
      </c>
      <c r="C1418" s="59">
        <v>1</v>
      </c>
      <c r="D1418" s="59">
        <f t="shared" si="418"/>
        <v>1</v>
      </c>
      <c r="E1418" s="59">
        <f t="shared" si="419"/>
        <v>0</v>
      </c>
      <c r="F1418" s="59">
        <v>1321</v>
      </c>
      <c r="G1418" s="59">
        <v>1</v>
      </c>
      <c r="H1418" s="59">
        <f t="shared" si="420"/>
        <v>1</v>
      </c>
      <c r="I1418" s="59">
        <f t="shared" si="421"/>
        <v>0</v>
      </c>
      <c r="J1418" s="59">
        <v>1</v>
      </c>
      <c r="K1418" s="59">
        <v>4</v>
      </c>
      <c r="L1418" s="59">
        <v>1</v>
      </c>
      <c r="M1418" s="59">
        <f t="shared" si="422"/>
        <v>1</v>
      </c>
      <c r="N1418" s="59">
        <f t="shared" si="423"/>
        <v>0</v>
      </c>
      <c r="O1418" s="59">
        <f t="shared" si="424"/>
        <v>0</v>
      </c>
      <c r="P1418" s="59">
        <f t="shared" si="425"/>
        <v>0</v>
      </c>
      <c r="Q1418" s="59">
        <f t="shared" si="426"/>
        <v>0</v>
      </c>
      <c r="R1418" s="59">
        <v>1</v>
      </c>
      <c r="S1418" s="59">
        <v>1995</v>
      </c>
      <c r="T1418" s="59">
        <v>4</v>
      </c>
      <c r="U1418" s="59">
        <v>1</v>
      </c>
      <c r="V1418" s="59">
        <v>86</v>
      </c>
      <c r="W1418" s="59">
        <v>3</v>
      </c>
      <c r="X1418" s="59">
        <v>2</v>
      </c>
      <c r="Y1418" s="59">
        <v>1</v>
      </c>
      <c r="Z1418" s="59">
        <f t="shared" si="427"/>
        <v>1</v>
      </c>
      <c r="AA1418" s="59">
        <f>IF('Updated Dummy'!Y1418=2,1,0)</f>
        <v>0</v>
      </c>
      <c r="AB1418" s="59">
        <f t="shared" si="428"/>
        <v>0</v>
      </c>
      <c r="AC1418" s="59">
        <f t="shared" si="429"/>
        <v>0</v>
      </c>
      <c r="AD1418" s="59">
        <f t="shared" si="430"/>
        <v>0</v>
      </c>
      <c r="AE1418" s="59">
        <f t="shared" si="431"/>
        <v>0</v>
      </c>
      <c r="AF1418" s="59">
        <f t="shared" si="432"/>
        <v>0</v>
      </c>
      <c r="AG1418" s="59">
        <f t="shared" si="433"/>
        <v>0</v>
      </c>
      <c r="AH1418" s="59">
        <v>2</v>
      </c>
      <c r="AI1418" s="59">
        <v>2</v>
      </c>
      <c r="AJ1418" s="59">
        <f t="shared" si="434"/>
        <v>0</v>
      </c>
      <c r="AK1418" s="59">
        <f t="shared" si="435"/>
        <v>1</v>
      </c>
      <c r="AL1418" s="59">
        <v>4440</v>
      </c>
      <c r="AM1418" s="59">
        <v>7636</v>
      </c>
      <c r="AN1418" s="59">
        <v>0</v>
      </c>
      <c r="AO1418" s="59">
        <v>0</v>
      </c>
      <c r="AP1418" s="59">
        <v>15</v>
      </c>
      <c r="AQ1418" s="59">
        <v>3</v>
      </c>
      <c r="AR1418" s="59">
        <v>1</v>
      </c>
      <c r="AS1418" s="59">
        <v>80</v>
      </c>
      <c r="AT1418" s="59">
        <v>2</v>
      </c>
      <c r="AU1418" s="59">
        <v>16</v>
      </c>
      <c r="AV1418" s="59">
        <v>3</v>
      </c>
      <c r="AW1418" s="59">
        <v>3</v>
      </c>
      <c r="AX1418" s="59">
        <v>15</v>
      </c>
      <c r="AY1418" s="59">
        <v>13</v>
      </c>
      <c r="AZ1418" s="59">
        <v>5</v>
      </c>
      <c r="BA1418" s="59">
        <v>8</v>
      </c>
      <c r="BB1418" s="57">
        <f t="shared" si="436"/>
        <v>8880</v>
      </c>
    </row>
    <row r="1419" spans="1:54" x14ac:dyDescent="0.25">
      <c r="A1419" s="58">
        <v>31</v>
      </c>
      <c r="B1419" s="59">
        <v>0</v>
      </c>
      <c r="C1419" s="59">
        <v>1</v>
      </c>
      <c r="D1419" s="59">
        <f t="shared" si="418"/>
        <v>1</v>
      </c>
      <c r="E1419" s="59">
        <f t="shared" si="419"/>
        <v>0</v>
      </c>
      <c r="F1419" s="59">
        <v>1154</v>
      </c>
      <c r="G1419" s="59">
        <v>1</v>
      </c>
      <c r="H1419" s="59">
        <f t="shared" si="420"/>
        <v>1</v>
      </c>
      <c r="I1419" s="59">
        <f t="shared" si="421"/>
        <v>0</v>
      </c>
      <c r="J1419" s="59">
        <v>2</v>
      </c>
      <c r="K1419" s="59">
        <v>2</v>
      </c>
      <c r="L1419" s="59">
        <v>1</v>
      </c>
      <c r="M1419" s="59">
        <f t="shared" si="422"/>
        <v>1</v>
      </c>
      <c r="N1419" s="59">
        <f t="shared" si="423"/>
        <v>0</v>
      </c>
      <c r="O1419" s="59">
        <f t="shared" si="424"/>
        <v>0</v>
      </c>
      <c r="P1419" s="59">
        <f t="shared" si="425"/>
        <v>0</v>
      </c>
      <c r="Q1419" s="59">
        <f t="shared" si="426"/>
        <v>0</v>
      </c>
      <c r="R1419" s="59">
        <v>1</v>
      </c>
      <c r="S1419" s="59">
        <v>1996</v>
      </c>
      <c r="T1419" s="59">
        <v>1</v>
      </c>
      <c r="U1419" s="59">
        <v>1</v>
      </c>
      <c r="V1419" s="59">
        <v>54</v>
      </c>
      <c r="W1419" s="59">
        <v>3</v>
      </c>
      <c r="X1419" s="59">
        <v>1</v>
      </c>
      <c r="Y1419" s="59">
        <v>7</v>
      </c>
      <c r="Z1419" s="59">
        <f t="shared" si="427"/>
        <v>0</v>
      </c>
      <c r="AA1419" s="59">
        <f>IF('Updated Dummy'!Y1419=2,1,0)</f>
        <v>0</v>
      </c>
      <c r="AB1419" s="59">
        <f t="shared" si="428"/>
        <v>0</v>
      </c>
      <c r="AC1419" s="59">
        <f t="shared" si="429"/>
        <v>0</v>
      </c>
      <c r="AD1419" s="59">
        <f t="shared" si="430"/>
        <v>0</v>
      </c>
      <c r="AE1419" s="59">
        <f t="shared" si="431"/>
        <v>0</v>
      </c>
      <c r="AF1419" s="59">
        <f t="shared" si="432"/>
        <v>1</v>
      </c>
      <c r="AG1419" s="59">
        <f t="shared" si="433"/>
        <v>0</v>
      </c>
      <c r="AH1419" s="59">
        <v>3</v>
      </c>
      <c r="AI1419" s="59">
        <v>2</v>
      </c>
      <c r="AJ1419" s="59">
        <f t="shared" si="434"/>
        <v>0</v>
      </c>
      <c r="AK1419" s="59">
        <f t="shared" si="435"/>
        <v>1</v>
      </c>
      <c r="AL1419" s="59">
        <v>3067</v>
      </c>
      <c r="AM1419" s="59">
        <v>6393</v>
      </c>
      <c r="AN1419" s="59">
        <v>0</v>
      </c>
      <c r="AO1419" s="59">
        <v>0</v>
      </c>
      <c r="AP1419" s="59">
        <v>19</v>
      </c>
      <c r="AQ1419" s="59">
        <v>3</v>
      </c>
      <c r="AR1419" s="59">
        <v>3</v>
      </c>
      <c r="AS1419" s="59">
        <v>80</v>
      </c>
      <c r="AT1419" s="59">
        <v>1</v>
      </c>
      <c r="AU1419" s="59">
        <v>3</v>
      </c>
      <c r="AV1419" s="59">
        <v>1</v>
      </c>
      <c r="AW1419" s="59">
        <v>3</v>
      </c>
      <c r="AX1419" s="59">
        <v>2</v>
      </c>
      <c r="AY1419" s="59">
        <v>2</v>
      </c>
      <c r="AZ1419" s="59">
        <v>1</v>
      </c>
      <c r="BA1419" s="59">
        <v>2</v>
      </c>
      <c r="BB1419" s="57">
        <f t="shared" si="436"/>
        <v>3067</v>
      </c>
    </row>
    <row r="1420" spans="1:54" x14ac:dyDescent="0.25">
      <c r="A1420" s="58">
        <v>38</v>
      </c>
      <c r="B1420" s="59">
        <v>0</v>
      </c>
      <c r="C1420" s="59">
        <v>2</v>
      </c>
      <c r="D1420" s="59">
        <f t="shared" si="418"/>
        <v>0</v>
      </c>
      <c r="E1420" s="59">
        <f t="shared" si="419"/>
        <v>1</v>
      </c>
      <c r="F1420" s="59">
        <v>508</v>
      </c>
      <c r="G1420" s="59">
        <v>2</v>
      </c>
      <c r="H1420" s="59">
        <f t="shared" si="420"/>
        <v>0</v>
      </c>
      <c r="I1420" s="59">
        <f t="shared" si="421"/>
        <v>1</v>
      </c>
      <c r="J1420" s="59">
        <v>6</v>
      </c>
      <c r="K1420" s="59">
        <v>4</v>
      </c>
      <c r="L1420" s="59">
        <v>1</v>
      </c>
      <c r="M1420" s="59">
        <f t="shared" si="422"/>
        <v>1</v>
      </c>
      <c r="N1420" s="59">
        <f t="shared" si="423"/>
        <v>0</v>
      </c>
      <c r="O1420" s="59">
        <f t="shared" si="424"/>
        <v>0</v>
      </c>
      <c r="P1420" s="59">
        <f t="shared" si="425"/>
        <v>0</v>
      </c>
      <c r="Q1420" s="59">
        <f t="shared" si="426"/>
        <v>0</v>
      </c>
      <c r="R1420" s="59">
        <v>1</v>
      </c>
      <c r="S1420" s="59">
        <v>1997</v>
      </c>
      <c r="T1420" s="59">
        <v>1</v>
      </c>
      <c r="U1420" s="59">
        <v>1</v>
      </c>
      <c r="V1420" s="59">
        <v>72</v>
      </c>
      <c r="W1420" s="59">
        <v>2</v>
      </c>
      <c r="X1420" s="59">
        <v>2</v>
      </c>
      <c r="Y1420" s="59">
        <v>4</v>
      </c>
      <c r="Z1420" s="59">
        <f t="shared" si="427"/>
        <v>0</v>
      </c>
      <c r="AA1420" s="59">
        <f>IF('Updated Dummy'!Y1420=2,1,0)</f>
        <v>0</v>
      </c>
      <c r="AB1420" s="59">
        <f t="shared" si="428"/>
        <v>0</v>
      </c>
      <c r="AC1420" s="59">
        <f t="shared" si="429"/>
        <v>1</v>
      </c>
      <c r="AD1420" s="59">
        <f t="shared" si="430"/>
        <v>0</v>
      </c>
      <c r="AE1420" s="59">
        <f t="shared" si="431"/>
        <v>0</v>
      </c>
      <c r="AF1420" s="59">
        <f t="shared" si="432"/>
        <v>0</v>
      </c>
      <c r="AG1420" s="59">
        <f t="shared" si="433"/>
        <v>0</v>
      </c>
      <c r="AH1420" s="59">
        <v>3</v>
      </c>
      <c r="AI1420" s="59">
        <v>2</v>
      </c>
      <c r="AJ1420" s="59">
        <f t="shared" si="434"/>
        <v>0</v>
      </c>
      <c r="AK1420" s="59">
        <f t="shared" si="435"/>
        <v>1</v>
      </c>
      <c r="AL1420" s="59">
        <v>5321</v>
      </c>
      <c r="AM1420" s="59">
        <v>14284</v>
      </c>
      <c r="AN1420" s="59">
        <v>2</v>
      </c>
      <c r="AO1420" s="59">
        <v>0</v>
      </c>
      <c r="AP1420" s="59">
        <v>11</v>
      </c>
      <c r="AQ1420" s="59">
        <v>3</v>
      </c>
      <c r="AR1420" s="59">
        <v>4</v>
      </c>
      <c r="AS1420" s="59">
        <v>80</v>
      </c>
      <c r="AT1420" s="59">
        <v>1</v>
      </c>
      <c r="AU1420" s="59">
        <v>10</v>
      </c>
      <c r="AV1420" s="59">
        <v>1</v>
      </c>
      <c r="AW1420" s="59">
        <v>3</v>
      </c>
      <c r="AX1420" s="59">
        <v>8</v>
      </c>
      <c r="AY1420" s="59">
        <v>3</v>
      </c>
      <c r="AZ1420" s="59">
        <v>7</v>
      </c>
      <c r="BA1420" s="59">
        <v>7</v>
      </c>
      <c r="BB1420" s="57">
        <f t="shared" si="436"/>
        <v>10642</v>
      </c>
    </row>
    <row r="1421" spans="1:54" x14ac:dyDescent="0.25">
      <c r="A1421" s="58">
        <v>42</v>
      </c>
      <c r="B1421" s="59">
        <v>0</v>
      </c>
      <c r="C1421" s="59">
        <v>1</v>
      </c>
      <c r="D1421" s="59">
        <f t="shared" si="418"/>
        <v>1</v>
      </c>
      <c r="E1421" s="59">
        <f t="shared" si="419"/>
        <v>0</v>
      </c>
      <c r="F1421" s="59">
        <v>557</v>
      </c>
      <c r="G1421" s="59">
        <v>2</v>
      </c>
      <c r="H1421" s="59">
        <f t="shared" si="420"/>
        <v>0</v>
      </c>
      <c r="I1421" s="59">
        <f t="shared" si="421"/>
        <v>1</v>
      </c>
      <c r="J1421" s="59">
        <v>18</v>
      </c>
      <c r="K1421" s="59">
        <v>4</v>
      </c>
      <c r="L1421" s="59">
        <v>1</v>
      </c>
      <c r="M1421" s="59">
        <f t="shared" si="422"/>
        <v>1</v>
      </c>
      <c r="N1421" s="59">
        <f t="shared" si="423"/>
        <v>0</v>
      </c>
      <c r="O1421" s="59">
        <f t="shared" si="424"/>
        <v>0</v>
      </c>
      <c r="P1421" s="59">
        <f t="shared" si="425"/>
        <v>0</v>
      </c>
      <c r="Q1421" s="59">
        <f t="shared" si="426"/>
        <v>0</v>
      </c>
      <c r="R1421" s="59">
        <v>1</v>
      </c>
      <c r="S1421" s="59">
        <v>1998</v>
      </c>
      <c r="T1421" s="59">
        <v>4</v>
      </c>
      <c r="U1421" s="59">
        <v>1</v>
      </c>
      <c r="V1421" s="59">
        <v>35</v>
      </c>
      <c r="W1421" s="59">
        <v>3</v>
      </c>
      <c r="X1421" s="59">
        <v>2</v>
      </c>
      <c r="Y1421" s="59">
        <v>2</v>
      </c>
      <c r="Z1421" s="59">
        <f t="shared" si="427"/>
        <v>0</v>
      </c>
      <c r="AA1421" s="59">
        <f>IF('Updated Dummy'!Y1421=2,1,0)</f>
        <v>1</v>
      </c>
      <c r="AB1421" s="59">
        <f t="shared" si="428"/>
        <v>0</v>
      </c>
      <c r="AC1421" s="59">
        <f t="shared" si="429"/>
        <v>0</v>
      </c>
      <c r="AD1421" s="59">
        <f t="shared" si="430"/>
        <v>0</v>
      </c>
      <c r="AE1421" s="59">
        <f t="shared" si="431"/>
        <v>0</v>
      </c>
      <c r="AF1421" s="59">
        <f t="shared" si="432"/>
        <v>0</v>
      </c>
      <c r="AG1421" s="59">
        <f t="shared" si="433"/>
        <v>0</v>
      </c>
      <c r="AH1421" s="59">
        <v>1</v>
      </c>
      <c r="AI1421" s="59">
        <v>3</v>
      </c>
      <c r="AJ1421" s="59">
        <f t="shared" si="434"/>
        <v>0</v>
      </c>
      <c r="AK1421" s="59">
        <f t="shared" si="435"/>
        <v>0</v>
      </c>
      <c r="AL1421" s="59">
        <v>5410</v>
      </c>
      <c r="AM1421" s="59">
        <v>11189</v>
      </c>
      <c r="AN1421" s="59">
        <v>6</v>
      </c>
      <c r="AO1421" s="59">
        <v>1</v>
      </c>
      <c r="AP1421" s="59">
        <v>17</v>
      </c>
      <c r="AQ1421" s="59">
        <v>3</v>
      </c>
      <c r="AR1421" s="59">
        <v>3</v>
      </c>
      <c r="AS1421" s="59">
        <v>80</v>
      </c>
      <c r="AT1421" s="59">
        <v>1</v>
      </c>
      <c r="AU1421" s="59">
        <v>9</v>
      </c>
      <c r="AV1421" s="59">
        <v>3</v>
      </c>
      <c r="AW1421" s="59">
        <v>2</v>
      </c>
      <c r="AX1421" s="59">
        <v>4</v>
      </c>
      <c r="AY1421" s="59">
        <v>3</v>
      </c>
      <c r="AZ1421" s="59">
        <v>1</v>
      </c>
      <c r="BA1421" s="59">
        <v>2</v>
      </c>
      <c r="BB1421" s="57">
        <f t="shared" si="436"/>
        <v>10820</v>
      </c>
    </row>
    <row r="1422" spans="1:54" x14ac:dyDescent="0.25">
      <c r="A1422" s="58">
        <v>41</v>
      </c>
      <c r="B1422" s="59">
        <v>0</v>
      </c>
      <c r="C1422" s="59">
        <v>1</v>
      </c>
      <c r="D1422" s="59">
        <f t="shared" si="418"/>
        <v>1</v>
      </c>
      <c r="E1422" s="59">
        <f t="shared" si="419"/>
        <v>0</v>
      </c>
      <c r="F1422" s="59">
        <v>642</v>
      </c>
      <c r="G1422" s="59">
        <v>2</v>
      </c>
      <c r="H1422" s="59">
        <f t="shared" si="420"/>
        <v>0</v>
      </c>
      <c r="I1422" s="59">
        <f t="shared" si="421"/>
        <v>1</v>
      </c>
      <c r="J1422" s="59">
        <v>1</v>
      </c>
      <c r="K1422" s="59">
        <v>3</v>
      </c>
      <c r="L1422" s="59">
        <v>1</v>
      </c>
      <c r="M1422" s="59">
        <f t="shared" si="422"/>
        <v>1</v>
      </c>
      <c r="N1422" s="59">
        <f t="shared" si="423"/>
        <v>0</v>
      </c>
      <c r="O1422" s="59">
        <f t="shared" si="424"/>
        <v>0</v>
      </c>
      <c r="P1422" s="59">
        <f t="shared" si="425"/>
        <v>0</v>
      </c>
      <c r="Q1422" s="59">
        <f t="shared" si="426"/>
        <v>0</v>
      </c>
      <c r="R1422" s="59">
        <v>1</v>
      </c>
      <c r="S1422" s="59">
        <v>1999</v>
      </c>
      <c r="T1422" s="59">
        <v>4</v>
      </c>
      <c r="U1422" s="59">
        <v>1</v>
      </c>
      <c r="V1422" s="59">
        <v>76</v>
      </c>
      <c r="W1422" s="59">
        <v>3</v>
      </c>
      <c r="X1422" s="59">
        <v>1</v>
      </c>
      <c r="Y1422" s="59">
        <v>2</v>
      </c>
      <c r="Z1422" s="59">
        <f t="shared" si="427"/>
        <v>0</v>
      </c>
      <c r="AA1422" s="59">
        <f>IF('Updated Dummy'!Y1422=2,1,0)</f>
        <v>1</v>
      </c>
      <c r="AB1422" s="59">
        <f t="shared" si="428"/>
        <v>0</v>
      </c>
      <c r="AC1422" s="59">
        <f t="shared" si="429"/>
        <v>0</v>
      </c>
      <c r="AD1422" s="59">
        <f t="shared" si="430"/>
        <v>0</v>
      </c>
      <c r="AE1422" s="59">
        <f t="shared" si="431"/>
        <v>0</v>
      </c>
      <c r="AF1422" s="59">
        <f t="shared" si="432"/>
        <v>0</v>
      </c>
      <c r="AG1422" s="59">
        <f t="shared" si="433"/>
        <v>0</v>
      </c>
      <c r="AH1422" s="59">
        <v>4</v>
      </c>
      <c r="AI1422" s="59">
        <v>2</v>
      </c>
      <c r="AJ1422" s="59">
        <f t="shared" si="434"/>
        <v>0</v>
      </c>
      <c r="AK1422" s="59">
        <f t="shared" si="435"/>
        <v>1</v>
      </c>
      <c r="AL1422" s="59">
        <v>2782</v>
      </c>
      <c r="AM1422" s="59">
        <v>21412</v>
      </c>
      <c r="AN1422" s="59">
        <v>3</v>
      </c>
      <c r="AO1422" s="59">
        <v>0</v>
      </c>
      <c r="AP1422" s="59">
        <v>22</v>
      </c>
      <c r="AQ1422" s="59">
        <v>4</v>
      </c>
      <c r="AR1422" s="59">
        <v>1</v>
      </c>
      <c r="AS1422" s="59">
        <v>80</v>
      </c>
      <c r="AT1422" s="59">
        <v>1</v>
      </c>
      <c r="AU1422" s="59">
        <v>12</v>
      </c>
      <c r="AV1422" s="59">
        <v>3</v>
      </c>
      <c r="AW1422" s="59">
        <v>3</v>
      </c>
      <c r="AX1422" s="59">
        <v>5</v>
      </c>
      <c r="AY1422" s="59">
        <v>3</v>
      </c>
      <c r="AZ1422" s="59">
        <v>1</v>
      </c>
      <c r="BA1422" s="59">
        <v>0</v>
      </c>
      <c r="BB1422" s="57">
        <f t="shared" si="436"/>
        <v>2782</v>
      </c>
    </row>
    <row r="1423" spans="1:54" x14ac:dyDescent="0.25">
      <c r="A1423" s="58">
        <v>47</v>
      </c>
      <c r="B1423" s="59">
        <v>0</v>
      </c>
      <c r="C1423" s="59">
        <v>3</v>
      </c>
      <c r="D1423" s="59">
        <f t="shared" si="418"/>
        <v>0</v>
      </c>
      <c r="E1423" s="59">
        <f t="shared" si="419"/>
        <v>0</v>
      </c>
      <c r="F1423" s="59">
        <v>1162</v>
      </c>
      <c r="G1423" s="59">
        <v>2</v>
      </c>
      <c r="H1423" s="59">
        <f t="shared" si="420"/>
        <v>0</v>
      </c>
      <c r="I1423" s="59">
        <f t="shared" si="421"/>
        <v>1</v>
      </c>
      <c r="J1423" s="59">
        <v>1</v>
      </c>
      <c r="K1423" s="59">
        <v>1</v>
      </c>
      <c r="L1423" s="59">
        <v>3</v>
      </c>
      <c r="M1423" s="59">
        <f t="shared" si="422"/>
        <v>0</v>
      </c>
      <c r="N1423" s="59">
        <f t="shared" si="423"/>
        <v>0</v>
      </c>
      <c r="O1423" s="59">
        <f t="shared" si="424"/>
        <v>1</v>
      </c>
      <c r="P1423" s="59">
        <f t="shared" si="425"/>
        <v>0</v>
      </c>
      <c r="Q1423" s="59">
        <f t="shared" si="426"/>
        <v>0</v>
      </c>
      <c r="R1423" s="59">
        <v>1</v>
      </c>
      <c r="S1423" s="59">
        <v>2000</v>
      </c>
      <c r="T1423" s="59">
        <v>3</v>
      </c>
      <c r="U1423" s="59">
        <v>0</v>
      </c>
      <c r="V1423" s="59">
        <v>98</v>
      </c>
      <c r="W1423" s="59">
        <v>3</v>
      </c>
      <c r="X1423" s="59">
        <v>3</v>
      </c>
      <c r="Y1423" s="59">
        <v>8</v>
      </c>
      <c r="Z1423" s="59">
        <f t="shared" si="427"/>
        <v>0</v>
      </c>
      <c r="AA1423" s="59">
        <f>IF('Updated Dummy'!Y1423=2,1,0)</f>
        <v>0</v>
      </c>
      <c r="AB1423" s="59">
        <f t="shared" si="428"/>
        <v>0</v>
      </c>
      <c r="AC1423" s="59">
        <f t="shared" si="429"/>
        <v>0</v>
      </c>
      <c r="AD1423" s="59">
        <f t="shared" si="430"/>
        <v>0</v>
      </c>
      <c r="AE1423" s="59">
        <f t="shared" si="431"/>
        <v>0</v>
      </c>
      <c r="AF1423" s="59">
        <f t="shared" si="432"/>
        <v>0</v>
      </c>
      <c r="AG1423" s="59">
        <f t="shared" si="433"/>
        <v>1</v>
      </c>
      <c r="AH1423" s="59">
        <v>2</v>
      </c>
      <c r="AI1423" s="59">
        <v>2</v>
      </c>
      <c r="AJ1423" s="59">
        <f t="shared" si="434"/>
        <v>0</v>
      </c>
      <c r="AK1423" s="59">
        <f t="shared" si="435"/>
        <v>1</v>
      </c>
      <c r="AL1423" s="59">
        <v>11957</v>
      </c>
      <c r="AM1423" s="59">
        <v>17231</v>
      </c>
      <c r="AN1423" s="59">
        <v>0</v>
      </c>
      <c r="AO1423" s="59">
        <v>0</v>
      </c>
      <c r="AP1423" s="59">
        <v>18</v>
      </c>
      <c r="AQ1423" s="59">
        <v>3</v>
      </c>
      <c r="AR1423" s="59">
        <v>1</v>
      </c>
      <c r="AS1423" s="59">
        <v>80</v>
      </c>
      <c r="AT1423" s="59">
        <v>2</v>
      </c>
      <c r="AU1423" s="59">
        <v>14</v>
      </c>
      <c r="AV1423" s="59">
        <v>3</v>
      </c>
      <c r="AW1423" s="59">
        <v>1</v>
      </c>
      <c r="AX1423" s="59">
        <v>13</v>
      </c>
      <c r="AY1423" s="59">
        <v>8</v>
      </c>
      <c r="AZ1423" s="59">
        <v>5</v>
      </c>
      <c r="BA1423" s="59">
        <v>12</v>
      </c>
      <c r="BB1423" s="57">
        <f t="shared" si="436"/>
        <v>35871</v>
      </c>
    </row>
    <row r="1424" spans="1:54" x14ac:dyDescent="0.25">
      <c r="A1424" s="58">
        <v>35</v>
      </c>
      <c r="B1424" s="59">
        <v>0</v>
      </c>
      <c r="C1424" s="59">
        <v>1</v>
      </c>
      <c r="D1424" s="59">
        <f t="shared" si="418"/>
        <v>1</v>
      </c>
      <c r="E1424" s="59">
        <f t="shared" si="419"/>
        <v>0</v>
      </c>
      <c r="F1424" s="59">
        <v>1490</v>
      </c>
      <c r="G1424" s="59">
        <v>2</v>
      </c>
      <c r="H1424" s="59">
        <f t="shared" si="420"/>
        <v>0</v>
      </c>
      <c r="I1424" s="59">
        <f t="shared" si="421"/>
        <v>1</v>
      </c>
      <c r="J1424" s="59">
        <v>11</v>
      </c>
      <c r="K1424" s="59">
        <v>4</v>
      </c>
      <c r="L1424" s="59">
        <v>3</v>
      </c>
      <c r="M1424" s="59">
        <f t="shared" si="422"/>
        <v>0</v>
      </c>
      <c r="N1424" s="59">
        <f t="shared" si="423"/>
        <v>0</v>
      </c>
      <c r="O1424" s="59">
        <f t="shared" si="424"/>
        <v>1</v>
      </c>
      <c r="P1424" s="59">
        <f t="shared" si="425"/>
        <v>0</v>
      </c>
      <c r="Q1424" s="59">
        <f t="shared" si="426"/>
        <v>0</v>
      </c>
      <c r="R1424" s="59">
        <v>1</v>
      </c>
      <c r="S1424" s="59">
        <v>2003</v>
      </c>
      <c r="T1424" s="59">
        <v>4</v>
      </c>
      <c r="U1424" s="59">
        <v>1</v>
      </c>
      <c r="V1424" s="59">
        <v>43</v>
      </c>
      <c r="W1424" s="59">
        <v>3</v>
      </c>
      <c r="X1424" s="59">
        <v>1</v>
      </c>
      <c r="Y1424" s="59">
        <v>3</v>
      </c>
      <c r="Z1424" s="59">
        <f t="shared" si="427"/>
        <v>0</v>
      </c>
      <c r="AA1424" s="59">
        <f>IF('Updated Dummy'!Y1424=2,1,0)</f>
        <v>0</v>
      </c>
      <c r="AB1424" s="59">
        <f t="shared" si="428"/>
        <v>1</v>
      </c>
      <c r="AC1424" s="59">
        <f t="shared" si="429"/>
        <v>0</v>
      </c>
      <c r="AD1424" s="59">
        <f t="shared" si="430"/>
        <v>0</v>
      </c>
      <c r="AE1424" s="59">
        <f t="shared" si="431"/>
        <v>0</v>
      </c>
      <c r="AF1424" s="59">
        <f t="shared" si="432"/>
        <v>0</v>
      </c>
      <c r="AG1424" s="59">
        <f t="shared" si="433"/>
        <v>0</v>
      </c>
      <c r="AH1424" s="59">
        <v>3</v>
      </c>
      <c r="AI1424" s="59">
        <v>2</v>
      </c>
      <c r="AJ1424" s="59">
        <f t="shared" si="434"/>
        <v>0</v>
      </c>
      <c r="AK1424" s="59">
        <f t="shared" si="435"/>
        <v>1</v>
      </c>
      <c r="AL1424" s="59">
        <v>2660</v>
      </c>
      <c r="AM1424" s="59">
        <v>20232</v>
      </c>
      <c r="AN1424" s="59">
        <v>7</v>
      </c>
      <c r="AO1424" s="59">
        <v>1</v>
      </c>
      <c r="AP1424" s="59">
        <v>11</v>
      </c>
      <c r="AQ1424" s="59">
        <v>3</v>
      </c>
      <c r="AR1424" s="59">
        <v>3</v>
      </c>
      <c r="AS1424" s="59">
        <v>80</v>
      </c>
      <c r="AT1424" s="59">
        <v>1</v>
      </c>
      <c r="AU1424" s="59">
        <v>5</v>
      </c>
      <c r="AV1424" s="59">
        <v>3</v>
      </c>
      <c r="AW1424" s="59">
        <v>3</v>
      </c>
      <c r="AX1424" s="59">
        <v>2</v>
      </c>
      <c r="AY1424" s="59">
        <v>2</v>
      </c>
      <c r="AZ1424" s="59">
        <v>2</v>
      </c>
      <c r="BA1424" s="59">
        <v>2</v>
      </c>
      <c r="BB1424" s="57">
        <f t="shared" si="436"/>
        <v>2660</v>
      </c>
    </row>
    <row r="1425" spans="1:54" x14ac:dyDescent="0.25">
      <c r="A1425" s="58">
        <v>22</v>
      </c>
      <c r="B1425" s="59">
        <v>0</v>
      </c>
      <c r="C1425" s="59">
        <v>1</v>
      </c>
      <c r="D1425" s="59">
        <f t="shared" si="418"/>
        <v>1</v>
      </c>
      <c r="E1425" s="59">
        <f t="shared" si="419"/>
        <v>0</v>
      </c>
      <c r="F1425" s="59">
        <v>581</v>
      </c>
      <c r="G1425" s="59">
        <v>2</v>
      </c>
      <c r="H1425" s="59">
        <f t="shared" si="420"/>
        <v>0</v>
      </c>
      <c r="I1425" s="59">
        <f t="shared" si="421"/>
        <v>1</v>
      </c>
      <c r="J1425" s="59">
        <v>1</v>
      </c>
      <c r="K1425" s="59">
        <v>2</v>
      </c>
      <c r="L1425" s="59">
        <v>1</v>
      </c>
      <c r="M1425" s="59">
        <f t="shared" si="422"/>
        <v>1</v>
      </c>
      <c r="N1425" s="59">
        <f t="shared" si="423"/>
        <v>0</v>
      </c>
      <c r="O1425" s="59">
        <f t="shared" si="424"/>
        <v>0</v>
      </c>
      <c r="P1425" s="59">
        <f t="shared" si="425"/>
        <v>0</v>
      </c>
      <c r="Q1425" s="59">
        <f t="shared" si="426"/>
        <v>0</v>
      </c>
      <c r="R1425" s="59">
        <v>1</v>
      </c>
      <c r="S1425" s="59">
        <v>2007</v>
      </c>
      <c r="T1425" s="59">
        <v>4</v>
      </c>
      <c r="U1425" s="59">
        <v>1</v>
      </c>
      <c r="V1425" s="59">
        <v>63</v>
      </c>
      <c r="W1425" s="59">
        <v>3</v>
      </c>
      <c r="X1425" s="59">
        <v>1</v>
      </c>
      <c r="Y1425" s="59">
        <v>2</v>
      </c>
      <c r="Z1425" s="59">
        <f t="shared" si="427"/>
        <v>0</v>
      </c>
      <c r="AA1425" s="59">
        <f>IF('Updated Dummy'!Y1425=2,1,0)</f>
        <v>1</v>
      </c>
      <c r="AB1425" s="59">
        <f t="shared" si="428"/>
        <v>0</v>
      </c>
      <c r="AC1425" s="59">
        <f t="shared" si="429"/>
        <v>0</v>
      </c>
      <c r="AD1425" s="59">
        <f t="shared" si="430"/>
        <v>0</v>
      </c>
      <c r="AE1425" s="59">
        <f t="shared" si="431"/>
        <v>0</v>
      </c>
      <c r="AF1425" s="59">
        <f t="shared" si="432"/>
        <v>0</v>
      </c>
      <c r="AG1425" s="59">
        <f t="shared" si="433"/>
        <v>0</v>
      </c>
      <c r="AH1425" s="59">
        <v>3</v>
      </c>
      <c r="AI1425" s="59">
        <v>1</v>
      </c>
      <c r="AJ1425" s="59">
        <f t="shared" si="434"/>
        <v>1</v>
      </c>
      <c r="AK1425" s="59">
        <f t="shared" si="435"/>
        <v>0</v>
      </c>
      <c r="AL1425" s="59">
        <v>3375</v>
      </c>
      <c r="AM1425" s="59">
        <v>17624</v>
      </c>
      <c r="AN1425" s="59">
        <v>0</v>
      </c>
      <c r="AO1425" s="59">
        <v>0</v>
      </c>
      <c r="AP1425" s="59">
        <v>12</v>
      </c>
      <c r="AQ1425" s="59">
        <v>3</v>
      </c>
      <c r="AR1425" s="59">
        <v>4</v>
      </c>
      <c r="AS1425" s="59">
        <v>80</v>
      </c>
      <c r="AT1425" s="59">
        <v>0</v>
      </c>
      <c r="AU1425" s="59">
        <v>4</v>
      </c>
      <c r="AV1425" s="59">
        <v>2</v>
      </c>
      <c r="AW1425" s="59">
        <v>4</v>
      </c>
      <c r="AX1425" s="59">
        <v>3</v>
      </c>
      <c r="AY1425" s="59">
        <v>2</v>
      </c>
      <c r="AZ1425" s="59">
        <v>1</v>
      </c>
      <c r="BA1425" s="59">
        <v>2</v>
      </c>
      <c r="BB1425" s="57">
        <f t="shared" si="436"/>
        <v>3375</v>
      </c>
    </row>
    <row r="1426" spans="1:54" x14ac:dyDescent="0.25">
      <c r="A1426" s="58">
        <v>35</v>
      </c>
      <c r="B1426" s="59">
        <v>0</v>
      </c>
      <c r="C1426" s="59">
        <v>1</v>
      </c>
      <c r="D1426" s="59">
        <f t="shared" si="418"/>
        <v>1</v>
      </c>
      <c r="E1426" s="59">
        <f t="shared" si="419"/>
        <v>0</v>
      </c>
      <c r="F1426" s="59">
        <v>1395</v>
      </c>
      <c r="G1426" s="59">
        <v>2</v>
      </c>
      <c r="H1426" s="59">
        <f t="shared" si="420"/>
        <v>0</v>
      </c>
      <c r="I1426" s="59">
        <f t="shared" si="421"/>
        <v>1</v>
      </c>
      <c r="J1426" s="59">
        <v>9</v>
      </c>
      <c r="K1426" s="59">
        <v>4</v>
      </c>
      <c r="L1426" s="59">
        <v>3</v>
      </c>
      <c r="M1426" s="59">
        <f t="shared" si="422"/>
        <v>0</v>
      </c>
      <c r="N1426" s="59">
        <f t="shared" si="423"/>
        <v>0</v>
      </c>
      <c r="O1426" s="59">
        <f t="shared" si="424"/>
        <v>1</v>
      </c>
      <c r="P1426" s="59">
        <f t="shared" si="425"/>
        <v>0</v>
      </c>
      <c r="Q1426" s="59">
        <f t="shared" si="426"/>
        <v>0</v>
      </c>
      <c r="R1426" s="59">
        <v>1</v>
      </c>
      <c r="S1426" s="59">
        <v>2008</v>
      </c>
      <c r="T1426" s="59">
        <v>2</v>
      </c>
      <c r="U1426" s="59">
        <v>1</v>
      </c>
      <c r="V1426" s="59">
        <v>48</v>
      </c>
      <c r="W1426" s="59">
        <v>3</v>
      </c>
      <c r="X1426" s="59">
        <v>2</v>
      </c>
      <c r="Y1426" s="59">
        <v>2</v>
      </c>
      <c r="Z1426" s="59">
        <f t="shared" si="427"/>
        <v>0</v>
      </c>
      <c r="AA1426" s="59">
        <f>IF('Updated Dummy'!Y1426=2,1,0)</f>
        <v>1</v>
      </c>
      <c r="AB1426" s="59">
        <f t="shared" si="428"/>
        <v>0</v>
      </c>
      <c r="AC1426" s="59">
        <f t="shared" si="429"/>
        <v>0</v>
      </c>
      <c r="AD1426" s="59">
        <f t="shared" si="430"/>
        <v>0</v>
      </c>
      <c r="AE1426" s="59">
        <f t="shared" si="431"/>
        <v>0</v>
      </c>
      <c r="AF1426" s="59">
        <f t="shared" si="432"/>
        <v>0</v>
      </c>
      <c r="AG1426" s="59">
        <f t="shared" si="433"/>
        <v>0</v>
      </c>
      <c r="AH1426" s="59">
        <v>3</v>
      </c>
      <c r="AI1426" s="59">
        <v>1</v>
      </c>
      <c r="AJ1426" s="59">
        <f t="shared" si="434"/>
        <v>1</v>
      </c>
      <c r="AK1426" s="59">
        <f t="shared" si="435"/>
        <v>0</v>
      </c>
      <c r="AL1426" s="59">
        <v>5098</v>
      </c>
      <c r="AM1426" s="59">
        <v>18698</v>
      </c>
      <c r="AN1426" s="59">
        <v>1</v>
      </c>
      <c r="AO1426" s="59">
        <v>0</v>
      </c>
      <c r="AP1426" s="59">
        <v>19</v>
      </c>
      <c r="AQ1426" s="59">
        <v>3</v>
      </c>
      <c r="AR1426" s="59">
        <v>2</v>
      </c>
      <c r="AS1426" s="59">
        <v>80</v>
      </c>
      <c r="AT1426" s="59">
        <v>0</v>
      </c>
      <c r="AU1426" s="59">
        <v>10</v>
      </c>
      <c r="AV1426" s="59">
        <v>5</v>
      </c>
      <c r="AW1426" s="59">
        <v>3</v>
      </c>
      <c r="AX1426" s="59">
        <v>10</v>
      </c>
      <c r="AY1426" s="59">
        <v>7</v>
      </c>
      <c r="AZ1426" s="59">
        <v>0</v>
      </c>
      <c r="BA1426" s="59">
        <v>8</v>
      </c>
      <c r="BB1426" s="57">
        <f t="shared" si="436"/>
        <v>10196</v>
      </c>
    </row>
    <row r="1427" spans="1:54" x14ac:dyDescent="0.25">
      <c r="A1427" s="58">
        <v>33</v>
      </c>
      <c r="B1427" s="59">
        <v>0</v>
      </c>
      <c r="C1427" s="59">
        <v>1</v>
      </c>
      <c r="D1427" s="59">
        <f t="shared" si="418"/>
        <v>1</v>
      </c>
      <c r="E1427" s="59">
        <f t="shared" si="419"/>
        <v>0</v>
      </c>
      <c r="F1427" s="59">
        <v>501</v>
      </c>
      <c r="G1427" s="59">
        <v>2</v>
      </c>
      <c r="H1427" s="59">
        <f t="shared" si="420"/>
        <v>0</v>
      </c>
      <c r="I1427" s="59">
        <f t="shared" si="421"/>
        <v>1</v>
      </c>
      <c r="J1427" s="59">
        <v>15</v>
      </c>
      <c r="K1427" s="59">
        <v>2</v>
      </c>
      <c r="L1427" s="59">
        <v>3</v>
      </c>
      <c r="M1427" s="59">
        <f t="shared" si="422"/>
        <v>0</v>
      </c>
      <c r="N1427" s="59">
        <f t="shared" si="423"/>
        <v>0</v>
      </c>
      <c r="O1427" s="59">
        <f t="shared" si="424"/>
        <v>1</v>
      </c>
      <c r="P1427" s="59">
        <f t="shared" si="425"/>
        <v>0</v>
      </c>
      <c r="Q1427" s="59">
        <f t="shared" si="426"/>
        <v>0</v>
      </c>
      <c r="R1427" s="59">
        <v>1</v>
      </c>
      <c r="S1427" s="59">
        <v>2009</v>
      </c>
      <c r="T1427" s="59">
        <v>2</v>
      </c>
      <c r="U1427" s="59">
        <v>0</v>
      </c>
      <c r="V1427" s="59">
        <v>95</v>
      </c>
      <c r="W1427" s="59">
        <v>3</v>
      </c>
      <c r="X1427" s="59">
        <v>2</v>
      </c>
      <c r="Y1427" s="59">
        <v>5</v>
      </c>
      <c r="Z1427" s="59">
        <f t="shared" si="427"/>
        <v>0</v>
      </c>
      <c r="AA1427" s="59">
        <f>IF('Updated Dummy'!Y1427=2,1,0)</f>
        <v>0</v>
      </c>
      <c r="AB1427" s="59">
        <f t="shared" si="428"/>
        <v>0</v>
      </c>
      <c r="AC1427" s="59">
        <f t="shared" si="429"/>
        <v>0</v>
      </c>
      <c r="AD1427" s="59">
        <f t="shared" si="430"/>
        <v>1</v>
      </c>
      <c r="AE1427" s="59">
        <f t="shared" si="431"/>
        <v>0</v>
      </c>
      <c r="AF1427" s="59">
        <f t="shared" si="432"/>
        <v>0</v>
      </c>
      <c r="AG1427" s="59">
        <f t="shared" si="433"/>
        <v>0</v>
      </c>
      <c r="AH1427" s="59">
        <v>4</v>
      </c>
      <c r="AI1427" s="59">
        <v>2</v>
      </c>
      <c r="AJ1427" s="59">
        <f t="shared" si="434"/>
        <v>0</v>
      </c>
      <c r="AK1427" s="59">
        <f t="shared" si="435"/>
        <v>1</v>
      </c>
      <c r="AL1427" s="59">
        <v>4878</v>
      </c>
      <c r="AM1427" s="59">
        <v>21653</v>
      </c>
      <c r="AN1427" s="59">
        <v>0</v>
      </c>
      <c r="AO1427" s="59">
        <v>1</v>
      </c>
      <c r="AP1427" s="59">
        <v>13</v>
      </c>
      <c r="AQ1427" s="59">
        <v>3</v>
      </c>
      <c r="AR1427" s="59">
        <v>1</v>
      </c>
      <c r="AS1427" s="59">
        <v>80</v>
      </c>
      <c r="AT1427" s="59">
        <v>1</v>
      </c>
      <c r="AU1427" s="59">
        <v>10</v>
      </c>
      <c r="AV1427" s="59">
        <v>6</v>
      </c>
      <c r="AW1427" s="59">
        <v>3</v>
      </c>
      <c r="AX1427" s="59">
        <v>9</v>
      </c>
      <c r="AY1427" s="59">
        <v>7</v>
      </c>
      <c r="AZ1427" s="59">
        <v>8</v>
      </c>
      <c r="BA1427" s="59">
        <v>1</v>
      </c>
      <c r="BB1427" s="57">
        <f t="shared" si="436"/>
        <v>9756</v>
      </c>
    </row>
    <row r="1428" spans="1:54" x14ac:dyDescent="0.25">
      <c r="A1428" s="58">
        <v>32</v>
      </c>
      <c r="B1428" s="59">
        <v>0</v>
      </c>
      <c r="C1428" s="59">
        <v>1</v>
      </c>
      <c r="D1428" s="59">
        <f t="shared" si="418"/>
        <v>1</v>
      </c>
      <c r="E1428" s="59">
        <f t="shared" si="419"/>
        <v>0</v>
      </c>
      <c r="F1428" s="59">
        <v>267</v>
      </c>
      <c r="G1428" s="59">
        <v>2</v>
      </c>
      <c r="H1428" s="59">
        <f t="shared" si="420"/>
        <v>0</v>
      </c>
      <c r="I1428" s="59">
        <f t="shared" si="421"/>
        <v>1</v>
      </c>
      <c r="J1428" s="59">
        <v>29</v>
      </c>
      <c r="K1428" s="59">
        <v>4</v>
      </c>
      <c r="L1428" s="59">
        <v>1</v>
      </c>
      <c r="M1428" s="59">
        <f t="shared" si="422"/>
        <v>1</v>
      </c>
      <c r="N1428" s="59">
        <f t="shared" si="423"/>
        <v>0</v>
      </c>
      <c r="O1428" s="59">
        <f t="shared" si="424"/>
        <v>0</v>
      </c>
      <c r="P1428" s="59">
        <f t="shared" si="425"/>
        <v>0</v>
      </c>
      <c r="Q1428" s="59">
        <f t="shared" si="426"/>
        <v>0</v>
      </c>
      <c r="R1428" s="59">
        <v>1</v>
      </c>
      <c r="S1428" s="59">
        <v>2010</v>
      </c>
      <c r="T1428" s="59">
        <v>3</v>
      </c>
      <c r="U1428" s="59">
        <v>0</v>
      </c>
      <c r="V1428" s="59">
        <v>49</v>
      </c>
      <c r="W1428" s="59">
        <v>2</v>
      </c>
      <c r="X1428" s="59">
        <v>1</v>
      </c>
      <c r="Y1428" s="59">
        <v>3</v>
      </c>
      <c r="Z1428" s="59">
        <f t="shared" si="427"/>
        <v>0</v>
      </c>
      <c r="AA1428" s="59">
        <f>IF('Updated Dummy'!Y1428=2,1,0)</f>
        <v>0</v>
      </c>
      <c r="AB1428" s="59">
        <f t="shared" si="428"/>
        <v>1</v>
      </c>
      <c r="AC1428" s="59">
        <f t="shared" si="429"/>
        <v>0</v>
      </c>
      <c r="AD1428" s="59">
        <f t="shared" si="430"/>
        <v>0</v>
      </c>
      <c r="AE1428" s="59">
        <f t="shared" si="431"/>
        <v>0</v>
      </c>
      <c r="AF1428" s="59">
        <f t="shared" si="432"/>
        <v>0</v>
      </c>
      <c r="AG1428" s="59">
        <f t="shared" si="433"/>
        <v>0</v>
      </c>
      <c r="AH1428" s="59">
        <v>2</v>
      </c>
      <c r="AI1428" s="59">
        <v>1</v>
      </c>
      <c r="AJ1428" s="59">
        <f t="shared" si="434"/>
        <v>1</v>
      </c>
      <c r="AK1428" s="59">
        <f t="shared" si="435"/>
        <v>0</v>
      </c>
      <c r="AL1428" s="59">
        <v>2837</v>
      </c>
      <c r="AM1428" s="59">
        <v>15919</v>
      </c>
      <c r="AN1428" s="59">
        <v>1</v>
      </c>
      <c r="AO1428" s="59">
        <v>0</v>
      </c>
      <c r="AP1428" s="59">
        <v>13</v>
      </c>
      <c r="AQ1428" s="59">
        <v>3</v>
      </c>
      <c r="AR1428" s="59">
        <v>3</v>
      </c>
      <c r="AS1428" s="59">
        <v>80</v>
      </c>
      <c r="AT1428" s="59">
        <v>0</v>
      </c>
      <c r="AU1428" s="59">
        <v>6</v>
      </c>
      <c r="AV1428" s="59">
        <v>3</v>
      </c>
      <c r="AW1428" s="59">
        <v>3</v>
      </c>
      <c r="AX1428" s="59">
        <v>6</v>
      </c>
      <c r="AY1428" s="59">
        <v>2</v>
      </c>
      <c r="AZ1428" s="59">
        <v>4</v>
      </c>
      <c r="BA1428" s="59">
        <v>1</v>
      </c>
      <c r="BB1428" s="57">
        <f t="shared" si="436"/>
        <v>2837</v>
      </c>
    </row>
    <row r="1429" spans="1:54" x14ac:dyDescent="0.25">
      <c r="A1429" s="58">
        <v>40</v>
      </c>
      <c r="B1429" s="59">
        <v>0</v>
      </c>
      <c r="C1429" s="59">
        <v>1</v>
      </c>
      <c r="D1429" s="59">
        <f t="shared" si="418"/>
        <v>1</v>
      </c>
      <c r="E1429" s="59">
        <f t="shared" si="419"/>
        <v>0</v>
      </c>
      <c r="F1429" s="59">
        <v>543</v>
      </c>
      <c r="G1429" s="59">
        <v>2</v>
      </c>
      <c r="H1429" s="59">
        <f t="shared" si="420"/>
        <v>0</v>
      </c>
      <c r="I1429" s="59">
        <f t="shared" si="421"/>
        <v>1</v>
      </c>
      <c r="J1429" s="59">
        <v>1</v>
      </c>
      <c r="K1429" s="59">
        <v>4</v>
      </c>
      <c r="L1429" s="59">
        <v>1</v>
      </c>
      <c r="M1429" s="59">
        <f t="shared" si="422"/>
        <v>1</v>
      </c>
      <c r="N1429" s="59">
        <f t="shared" si="423"/>
        <v>0</v>
      </c>
      <c r="O1429" s="59">
        <f t="shared" si="424"/>
        <v>0</v>
      </c>
      <c r="P1429" s="59">
        <f t="shared" si="425"/>
        <v>0</v>
      </c>
      <c r="Q1429" s="59">
        <f t="shared" si="426"/>
        <v>0</v>
      </c>
      <c r="R1429" s="59">
        <v>1</v>
      </c>
      <c r="S1429" s="59">
        <v>2012</v>
      </c>
      <c r="T1429" s="59">
        <v>1</v>
      </c>
      <c r="U1429" s="59">
        <v>1</v>
      </c>
      <c r="V1429" s="59">
        <v>83</v>
      </c>
      <c r="W1429" s="59">
        <v>3</v>
      </c>
      <c r="X1429" s="59">
        <v>1</v>
      </c>
      <c r="Y1429" s="59">
        <v>3</v>
      </c>
      <c r="Z1429" s="59">
        <f t="shared" si="427"/>
        <v>0</v>
      </c>
      <c r="AA1429" s="59">
        <f>IF('Updated Dummy'!Y1429=2,1,0)</f>
        <v>0</v>
      </c>
      <c r="AB1429" s="59">
        <f t="shared" si="428"/>
        <v>1</v>
      </c>
      <c r="AC1429" s="59">
        <f t="shared" si="429"/>
        <v>0</v>
      </c>
      <c r="AD1429" s="59">
        <f t="shared" si="430"/>
        <v>0</v>
      </c>
      <c r="AE1429" s="59">
        <f t="shared" si="431"/>
        <v>0</v>
      </c>
      <c r="AF1429" s="59">
        <f t="shared" si="432"/>
        <v>0</v>
      </c>
      <c r="AG1429" s="59">
        <f t="shared" si="433"/>
        <v>0</v>
      </c>
      <c r="AH1429" s="59">
        <v>4</v>
      </c>
      <c r="AI1429" s="59">
        <v>2</v>
      </c>
      <c r="AJ1429" s="59">
        <f t="shared" si="434"/>
        <v>0</v>
      </c>
      <c r="AK1429" s="59">
        <f t="shared" si="435"/>
        <v>1</v>
      </c>
      <c r="AL1429" s="59">
        <v>2406</v>
      </c>
      <c r="AM1429" s="59">
        <v>4060</v>
      </c>
      <c r="AN1429" s="59">
        <v>8</v>
      </c>
      <c r="AO1429" s="59">
        <v>0</v>
      </c>
      <c r="AP1429" s="59">
        <v>19</v>
      </c>
      <c r="AQ1429" s="59">
        <v>3</v>
      </c>
      <c r="AR1429" s="59">
        <v>3</v>
      </c>
      <c r="AS1429" s="59">
        <v>80</v>
      </c>
      <c r="AT1429" s="59">
        <v>2</v>
      </c>
      <c r="AU1429" s="59">
        <v>8</v>
      </c>
      <c r="AV1429" s="59">
        <v>3</v>
      </c>
      <c r="AW1429" s="59">
        <v>2</v>
      </c>
      <c r="AX1429" s="59">
        <v>1</v>
      </c>
      <c r="AY1429" s="59">
        <v>0</v>
      </c>
      <c r="AZ1429" s="59">
        <v>0</v>
      </c>
      <c r="BA1429" s="59">
        <v>0</v>
      </c>
      <c r="BB1429" s="57">
        <f t="shared" si="436"/>
        <v>2406</v>
      </c>
    </row>
    <row r="1430" spans="1:54" x14ac:dyDescent="0.25">
      <c r="A1430" s="58">
        <v>32</v>
      </c>
      <c r="B1430" s="59">
        <v>0</v>
      </c>
      <c r="C1430" s="59">
        <v>1</v>
      </c>
      <c r="D1430" s="59">
        <f t="shared" si="418"/>
        <v>1</v>
      </c>
      <c r="E1430" s="59">
        <f t="shared" si="419"/>
        <v>0</v>
      </c>
      <c r="F1430" s="59">
        <v>234</v>
      </c>
      <c r="G1430" s="59">
        <v>1</v>
      </c>
      <c r="H1430" s="59">
        <f t="shared" si="420"/>
        <v>1</v>
      </c>
      <c r="I1430" s="59">
        <f t="shared" si="421"/>
        <v>0</v>
      </c>
      <c r="J1430" s="59">
        <v>1</v>
      </c>
      <c r="K1430" s="59">
        <v>4</v>
      </c>
      <c r="L1430" s="59">
        <v>3</v>
      </c>
      <c r="M1430" s="59">
        <f t="shared" si="422"/>
        <v>0</v>
      </c>
      <c r="N1430" s="59">
        <f t="shared" si="423"/>
        <v>0</v>
      </c>
      <c r="O1430" s="59">
        <f t="shared" si="424"/>
        <v>1</v>
      </c>
      <c r="P1430" s="59">
        <f t="shared" si="425"/>
        <v>0</v>
      </c>
      <c r="Q1430" s="59">
        <f t="shared" si="426"/>
        <v>0</v>
      </c>
      <c r="R1430" s="59">
        <v>1</v>
      </c>
      <c r="S1430" s="59">
        <v>2013</v>
      </c>
      <c r="T1430" s="59">
        <v>2</v>
      </c>
      <c r="U1430" s="59">
        <v>1</v>
      </c>
      <c r="V1430" s="59">
        <v>68</v>
      </c>
      <c r="W1430" s="59">
        <v>2</v>
      </c>
      <c r="X1430" s="59">
        <v>1</v>
      </c>
      <c r="Y1430" s="59">
        <v>7</v>
      </c>
      <c r="Z1430" s="59">
        <f t="shared" si="427"/>
        <v>0</v>
      </c>
      <c r="AA1430" s="59">
        <f>IF('Updated Dummy'!Y1430=2,1,0)</f>
        <v>0</v>
      </c>
      <c r="AB1430" s="59">
        <f t="shared" si="428"/>
        <v>0</v>
      </c>
      <c r="AC1430" s="59">
        <f t="shared" si="429"/>
        <v>0</v>
      </c>
      <c r="AD1430" s="59">
        <f t="shared" si="430"/>
        <v>0</v>
      </c>
      <c r="AE1430" s="59">
        <f t="shared" si="431"/>
        <v>0</v>
      </c>
      <c r="AF1430" s="59">
        <f t="shared" si="432"/>
        <v>1</v>
      </c>
      <c r="AG1430" s="59">
        <f t="shared" si="433"/>
        <v>0</v>
      </c>
      <c r="AH1430" s="59">
        <v>2</v>
      </c>
      <c r="AI1430" s="59">
        <v>2</v>
      </c>
      <c r="AJ1430" s="59">
        <f t="shared" si="434"/>
        <v>0</v>
      </c>
      <c r="AK1430" s="59">
        <f t="shared" si="435"/>
        <v>1</v>
      </c>
      <c r="AL1430" s="59">
        <v>2269</v>
      </c>
      <c r="AM1430" s="59">
        <v>18024</v>
      </c>
      <c r="AN1430" s="59">
        <v>0</v>
      </c>
      <c r="AO1430" s="59">
        <v>0</v>
      </c>
      <c r="AP1430" s="59">
        <v>14</v>
      </c>
      <c r="AQ1430" s="59">
        <v>3</v>
      </c>
      <c r="AR1430" s="59">
        <v>2</v>
      </c>
      <c r="AS1430" s="59">
        <v>80</v>
      </c>
      <c r="AT1430" s="59">
        <v>1</v>
      </c>
      <c r="AU1430" s="59">
        <v>3</v>
      </c>
      <c r="AV1430" s="59">
        <v>2</v>
      </c>
      <c r="AW1430" s="59">
        <v>3</v>
      </c>
      <c r="AX1430" s="59">
        <v>2</v>
      </c>
      <c r="AY1430" s="59">
        <v>2</v>
      </c>
      <c r="AZ1430" s="59">
        <v>2</v>
      </c>
      <c r="BA1430" s="59">
        <v>2</v>
      </c>
      <c r="BB1430" s="57">
        <f t="shared" si="436"/>
        <v>2269</v>
      </c>
    </row>
    <row r="1431" spans="1:54" x14ac:dyDescent="0.25">
      <c r="A1431" s="58">
        <v>39</v>
      </c>
      <c r="B1431" s="59">
        <v>0</v>
      </c>
      <c r="C1431" s="59">
        <v>1</v>
      </c>
      <c r="D1431" s="59">
        <f t="shared" si="418"/>
        <v>1</v>
      </c>
      <c r="E1431" s="59">
        <f t="shared" si="419"/>
        <v>0</v>
      </c>
      <c r="F1431" s="59">
        <v>116</v>
      </c>
      <c r="G1431" s="59">
        <v>2</v>
      </c>
      <c r="H1431" s="59">
        <f t="shared" si="420"/>
        <v>0</v>
      </c>
      <c r="I1431" s="59">
        <f t="shared" si="421"/>
        <v>1</v>
      </c>
      <c r="J1431" s="59">
        <v>24</v>
      </c>
      <c r="K1431" s="59">
        <v>1</v>
      </c>
      <c r="L1431" s="59">
        <v>1</v>
      </c>
      <c r="M1431" s="59">
        <f t="shared" si="422"/>
        <v>1</v>
      </c>
      <c r="N1431" s="59">
        <f t="shared" si="423"/>
        <v>0</v>
      </c>
      <c r="O1431" s="59">
        <f t="shared" si="424"/>
        <v>0</v>
      </c>
      <c r="P1431" s="59">
        <f t="shared" si="425"/>
        <v>0</v>
      </c>
      <c r="Q1431" s="59">
        <f t="shared" si="426"/>
        <v>0</v>
      </c>
      <c r="R1431" s="59">
        <v>1</v>
      </c>
      <c r="S1431" s="59">
        <v>2014</v>
      </c>
      <c r="T1431" s="59">
        <v>1</v>
      </c>
      <c r="U1431" s="59">
        <v>1</v>
      </c>
      <c r="V1431" s="59">
        <v>52</v>
      </c>
      <c r="W1431" s="59">
        <v>3</v>
      </c>
      <c r="X1431" s="59">
        <v>2</v>
      </c>
      <c r="Y1431" s="59">
        <v>2</v>
      </c>
      <c r="Z1431" s="59">
        <f t="shared" si="427"/>
        <v>0</v>
      </c>
      <c r="AA1431" s="59">
        <f>IF('Updated Dummy'!Y1431=2,1,0)</f>
        <v>1</v>
      </c>
      <c r="AB1431" s="59">
        <f t="shared" si="428"/>
        <v>0</v>
      </c>
      <c r="AC1431" s="59">
        <f t="shared" si="429"/>
        <v>0</v>
      </c>
      <c r="AD1431" s="59">
        <f t="shared" si="430"/>
        <v>0</v>
      </c>
      <c r="AE1431" s="59">
        <f t="shared" si="431"/>
        <v>0</v>
      </c>
      <c r="AF1431" s="59">
        <f t="shared" si="432"/>
        <v>0</v>
      </c>
      <c r="AG1431" s="59">
        <f t="shared" si="433"/>
        <v>0</v>
      </c>
      <c r="AH1431" s="59">
        <v>4</v>
      </c>
      <c r="AI1431" s="59">
        <v>1</v>
      </c>
      <c r="AJ1431" s="59">
        <f t="shared" si="434"/>
        <v>1</v>
      </c>
      <c r="AK1431" s="59">
        <f t="shared" si="435"/>
        <v>0</v>
      </c>
      <c r="AL1431" s="59">
        <v>4108</v>
      </c>
      <c r="AM1431" s="59">
        <v>5340</v>
      </c>
      <c r="AN1431" s="59">
        <v>7</v>
      </c>
      <c r="AO1431" s="59">
        <v>0</v>
      </c>
      <c r="AP1431" s="59">
        <v>13</v>
      </c>
      <c r="AQ1431" s="59">
        <v>3</v>
      </c>
      <c r="AR1431" s="59">
        <v>1</v>
      </c>
      <c r="AS1431" s="59">
        <v>80</v>
      </c>
      <c r="AT1431" s="59">
        <v>0</v>
      </c>
      <c r="AU1431" s="59">
        <v>18</v>
      </c>
      <c r="AV1431" s="59">
        <v>2</v>
      </c>
      <c r="AW1431" s="59">
        <v>3</v>
      </c>
      <c r="AX1431" s="59">
        <v>7</v>
      </c>
      <c r="AY1431" s="59">
        <v>7</v>
      </c>
      <c r="AZ1431" s="59">
        <v>1</v>
      </c>
      <c r="BA1431" s="59">
        <v>7</v>
      </c>
      <c r="BB1431" s="57">
        <f t="shared" si="436"/>
        <v>8216</v>
      </c>
    </row>
    <row r="1432" spans="1:54" x14ac:dyDescent="0.25">
      <c r="A1432" s="58">
        <v>38</v>
      </c>
      <c r="B1432" s="59">
        <v>0</v>
      </c>
      <c r="C1432" s="59">
        <v>1</v>
      </c>
      <c r="D1432" s="59">
        <f t="shared" si="418"/>
        <v>1</v>
      </c>
      <c r="E1432" s="59">
        <f t="shared" si="419"/>
        <v>0</v>
      </c>
      <c r="F1432" s="59">
        <v>201</v>
      </c>
      <c r="G1432" s="59">
        <v>2</v>
      </c>
      <c r="H1432" s="59">
        <f t="shared" si="420"/>
        <v>0</v>
      </c>
      <c r="I1432" s="59">
        <f t="shared" si="421"/>
        <v>1</v>
      </c>
      <c r="J1432" s="59">
        <v>10</v>
      </c>
      <c r="K1432" s="59">
        <v>3</v>
      </c>
      <c r="L1432" s="59">
        <v>3</v>
      </c>
      <c r="M1432" s="59">
        <f t="shared" si="422"/>
        <v>0</v>
      </c>
      <c r="N1432" s="59">
        <f t="shared" si="423"/>
        <v>0</v>
      </c>
      <c r="O1432" s="59">
        <f t="shared" si="424"/>
        <v>1</v>
      </c>
      <c r="P1432" s="59">
        <f t="shared" si="425"/>
        <v>0</v>
      </c>
      <c r="Q1432" s="59">
        <f t="shared" si="426"/>
        <v>0</v>
      </c>
      <c r="R1432" s="59">
        <v>1</v>
      </c>
      <c r="S1432" s="59">
        <v>2015</v>
      </c>
      <c r="T1432" s="59">
        <v>2</v>
      </c>
      <c r="U1432" s="59">
        <v>0</v>
      </c>
      <c r="V1432" s="59">
        <v>99</v>
      </c>
      <c r="W1432" s="59">
        <v>1</v>
      </c>
      <c r="X1432" s="59">
        <v>3</v>
      </c>
      <c r="Y1432" s="59">
        <v>8</v>
      </c>
      <c r="Z1432" s="59">
        <f t="shared" si="427"/>
        <v>0</v>
      </c>
      <c r="AA1432" s="59">
        <f>IF('Updated Dummy'!Y1432=2,1,0)</f>
        <v>0</v>
      </c>
      <c r="AB1432" s="59">
        <f t="shared" si="428"/>
        <v>0</v>
      </c>
      <c r="AC1432" s="59">
        <f t="shared" si="429"/>
        <v>0</v>
      </c>
      <c r="AD1432" s="59">
        <f t="shared" si="430"/>
        <v>0</v>
      </c>
      <c r="AE1432" s="59">
        <f t="shared" si="431"/>
        <v>0</v>
      </c>
      <c r="AF1432" s="59">
        <f t="shared" si="432"/>
        <v>0</v>
      </c>
      <c r="AG1432" s="59">
        <f t="shared" si="433"/>
        <v>1</v>
      </c>
      <c r="AH1432" s="59">
        <v>3</v>
      </c>
      <c r="AI1432" s="59">
        <v>2</v>
      </c>
      <c r="AJ1432" s="59">
        <f t="shared" si="434"/>
        <v>0</v>
      </c>
      <c r="AK1432" s="59">
        <f t="shared" si="435"/>
        <v>1</v>
      </c>
      <c r="AL1432" s="59">
        <v>13206</v>
      </c>
      <c r="AM1432" s="59">
        <v>3376</v>
      </c>
      <c r="AN1432" s="59">
        <v>3</v>
      </c>
      <c r="AO1432" s="59">
        <v>0</v>
      </c>
      <c r="AP1432" s="59">
        <v>12</v>
      </c>
      <c r="AQ1432" s="59">
        <v>3</v>
      </c>
      <c r="AR1432" s="59">
        <v>1</v>
      </c>
      <c r="AS1432" s="59">
        <v>80</v>
      </c>
      <c r="AT1432" s="59">
        <v>1</v>
      </c>
      <c r="AU1432" s="59">
        <v>20</v>
      </c>
      <c r="AV1432" s="59">
        <v>3</v>
      </c>
      <c r="AW1432" s="59">
        <v>3</v>
      </c>
      <c r="AX1432" s="59">
        <v>18</v>
      </c>
      <c r="AY1432" s="59">
        <v>16</v>
      </c>
      <c r="AZ1432" s="59">
        <v>1</v>
      </c>
      <c r="BA1432" s="59">
        <v>11</v>
      </c>
      <c r="BB1432" s="57">
        <f t="shared" si="436"/>
        <v>39618</v>
      </c>
    </row>
    <row r="1433" spans="1:54" x14ac:dyDescent="0.25">
      <c r="A1433" s="58">
        <v>32</v>
      </c>
      <c r="B1433" s="59">
        <v>0</v>
      </c>
      <c r="C1433" s="59">
        <v>1</v>
      </c>
      <c r="D1433" s="59">
        <f t="shared" si="418"/>
        <v>1</v>
      </c>
      <c r="E1433" s="59">
        <f t="shared" si="419"/>
        <v>0</v>
      </c>
      <c r="F1433" s="59">
        <v>801</v>
      </c>
      <c r="G1433" s="59">
        <v>1</v>
      </c>
      <c r="H1433" s="59">
        <f t="shared" si="420"/>
        <v>1</v>
      </c>
      <c r="I1433" s="59">
        <f t="shared" si="421"/>
        <v>0</v>
      </c>
      <c r="J1433" s="59">
        <v>1</v>
      </c>
      <c r="K1433" s="59">
        <v>4</v>
      </c>
      <c r="L1433" s="59">
        <v>4</v>
      </c>
      <c r="M1433" s="59">
        <f t="shared" si="422"/>
        <v>0</v>
      </c>
      <c r="N1433" s="59">
        <f t="shared" si="423"/>
        <v>0</v>
      </c>
      <c r="O1433" s="59">
        <f t="shared" si="424"/>
        <v>0</v>
      </c>
      <c r="P1433" s="59">
        <f t="shared" si="425"/>
        <v>1</v>
      </c>
      <c r="Q1433" s="59">
        <f t="shared" si="426"/>
        <v>0</v>
      </c>
      <c r="R1433" s="59">
        <v>1</v>
      </c>
      <c r="S1433" s="59">
        <v>2016</v>
      </c>
      <c r="T1433" s="59">
        <v>3</v>
      </c>
      <c r="U1433" s="59">
        <v>0</v>
      </c>
      <c r="V1433" s="59">
        <v>48</v>
      </c>
      <c r="W1433" s="59">
        <v>3</v>
      </c>
      <c r="X1433" s="59">
        <v>3</v>
      </c>
      <c r="Y1433" s="59">
        <v>1</v>
      </c>
      <c r="Z1433" s="59">
        <f t="shared" si="427"/>
        <v>1</v>
      </c>
      <c r="AA1433" s="59">
        <f>IF('Updated Dummy'!Y1433=2,1,0)</f>
        <v>0</v>
      </c>
      <c r="AB1433" s="59">
        <f t="shared" si="428"/>
        <v>0</v>
      </c>
      <c r="AC1433" s="59">
        <f t="shared" si="429"/>
        <v>0</v>
      </c>
      <c r="AD1433" s="59">
        <f t="shared" si="430"/>
        <v>0</v>
      </c>
      <c r="AE1433" s="59">
        <f t="shared" si="431"/>
        <v>0</v>
      </c>
      <c r="AF1433" s="59">
        <f t="shared" si="432"/>
        <v>0</v>
      </c>
      <c r="AG1433" s="59">
        <f t="shared" si="433"/>
        <v>0</v>
      </c>
      <c r="AH1433" s="59">
        <v>4</v>
      </c>
      <c r="AI1433" s="59">
        <v>2</v>
      </c>
      <c r="AJ1433" s="59">
        <f t="shared" si="434"/>
        <v>0</v>
      </c>
      <c r="AK1433" s="59">
        <f t="shared" si="435"/>
        <v>1</v>
      </c>
      <c r="AL1433" s="59">
        <v>10422</v>
      </c>
      <c r="AM1433" s="59">
        <v>24032</v>
      </c>
      <c r="AN1433" s="59">
        <v>1</v>
      </c>
      <c r="AO1433" s="59">
        <v>0</v>
      </c>
      <c r="AP1433" s="59">
        <v>19</v>
      </c>
      <c r="AQ1433" s="59">
        <v>3</v>
      </c>
      <c r="AR1433" s="59">
        <v>3</v>
      </c>
      <c r="AS1433" s="59">
        <v>80</v>
      </c>
      <c r="AT1433" s="59">
        <v>2</v>
      </c>
      <c r="AU1433" s="59">
        <v>14</v>
      </c>
      <c r="AV1433" s="59">
        <v>3</v>
      </c>
      <c r="AW1433" s="59">
        <v>3</v>
      </c>
      <c r="AX1433" s="59">
        <v>14</v>
      </c>
      <c r="AY1433" s="59">
        <v>10</v>
      </c>
      <c r="AZ1433" s="59">
        <v>5</v>
      </c>
      <c r="BA1433" s="59">
        <v>7</v>
      </c>
      <c r="BB1433" s="57">
        <f t="shared" si="436"/>
        <v>31266</v>
      </c>
    </row>
    <row r="1434" spans="1:54" x14ac:dyDescent="0.25">
      <c r="A1434" s="58">
        <v>37</v>
      </c>
      <c r="B1434" s="59">
        <v>0</v>
      </c>
      <c r="C1434" s="59">
        <v>1</v>
      </c>
      <c r="D1434" s="59">
        <f t="shared" si="418"/>
        <v>1</v>
      </c>
      <c r="E1434" s="59">
        <f t="shared" si="419"/>
        <v>0</v>
      </c>
      <c r="F1434" s="59">
        <v>161</v>
      </c>
      <c r="G1434" s="59">
        <v>2</v>
      </c>
      <c r="H1434" s="59">
        <f t="shared" si="420"/>
        <v>0</v>
      </c>
      <c r="I1434" s="59">
        <f t="shared" si="421"/>
        <v>1</v>
      </c>
      <c r="J1434" s="59">
        <v>10</v>
      </c>
      <c r="K1434" s="59">
        <v>3</v>
      </c>
      <c r="L1434" s="59">
        <v>1</v>
      </c>
      <c r="M1434" s="59">
        <f t="shared" si="422"/>
        <v>1</v>
      </c>
      <c r="N1434" s="59">
        <f t="shared" si="423"/>
        <v>0</v>
      </c>
      <c r="O1434" s="59">
        <f t="shared" si="424"/>
        <v>0</v>
      </c>
      <c r="P1434" s="59">
        <f t="shared" si="425"/>
        <v>0</v>
      </c>
      <c r="Q1434" s="59">
        <f t="shared" si="426"/>
        <v>0</v>
      </c>
      <c r="R1434" s="59">
        <v>1</v>
      </c>
      <c r="S1434" s="59">
        <v>2017</v>
      </c>
      <c r="T1434" s="59">
        <v>3</v>
      </c>
      <c r="U1434" s="59">
        <v>0</v>
      </c>
      <c r="V1434" s="59">
        <v>42</v>
      </c>
      <c r="W1434" s="59">
        <v>4</v>
      </c>
      <c r="X1434" s="59">
        <v>3</v>
      </c>
      <c r="Y1434" s="59">
        <v>8</v>
      </c>
      <c r="Z1434" s="59">
        <f t="shared" si="427"/>
        <v>0</v>
      </c>
      <c r="AA1434" s="59">
        <f>IF('Updated Dummy'!Y1434=2,1,0)</f>
        <v>0</v>
      </c>
      <c r="AB1434" s="59">
        <f t="shared" si="428"/>
        <v>0</v>
      </c>
      <c r="AC1434" s="59">
        <f t="shared" si="429"/>
        <v>0</v>
      </c>
      <c r="AD1434" s="59">
        <f t="shared" si="430"/>
        <v>0</v>
      </c>
      <c r="AE1434" s="59">
        <f t="shared" si="431"/>
        <v>0</v>
      </c>
      <c r="AF1434" s="59">
        <f t="shared" si="432"/>
        <v>0</v>
      </c>
      <c r="AG1434" s="59">
        <f t="shared" si="433"/>
        <v>1</v>
      </c>
      <c r="AH1434" s="59">
        <v>4</v>
      </c>
      <c r="AI1434" s="59">
        <v>2</v>
      </c>
      <c r="AJ1434" s="59">
        <f t="shared" si="434"/>
        <v>0</v>
      </c>
      <c r="AK1434" s="59">
        <f t="shared" si="435"/>
        <v>1</v>
      </c>
      <c r="AL1434" s="59">
        <v>13744</v>
      </c>
      <c r="AM1434" s="59">
        <v>15471</v>
      </c>
      <c r="AN1434" s="59">
        <v>1</v>
      </c>
      <c r="AO1434" s="59">
        <v>1</v>
      </c>
      <c r="AP1434" s="59">
        <v>25</v>
      </c>
      <c r="AQ1434" s="59">
        <v>4</v>
      </c>
      <c r="AR1434" s="59">
        <v>1</v>
      </c>
      <c r="AS1434" s="59">
        <v>80</v>
      </c>
      <c r="AT1434" s="59">
        <v>1</v>
      </c>
      <c r="AU1434" s="59">
        <v>16</v>
      </c>
      <c r="AV1434" s="59">
        <v>2</v>
      </c>
      <c r="AW1434" s="59">
        <v>3</v>
      </c>
      <c r="AX1434" s="59">
        <v>16</v>
      </c>
      <c r="AY1434" s="59">
        <v>11</v>
      </c>
      <c r="AZ1434" s="59">
        <v>6</v>
      </c>
      <c r="BA1434" s="59">
        <v>8</v>
      </c>
      <c r="BB1434" s="57">
        <f t="shared" si="436"/>
        <v>41232</v>
      </c>
    </row>
    <row r="1435" spans="1:54" x14ac:dyDescent="0.25">
      <c r="A1435" s="58">
        <v>25</v>
      </c>
      <c r="B1435" s="59">
        <v>0</v>
      </c>
      <c r="C1435" s="59">
        <v>1</v>
      </c>
      <c r="D1435" s="59">
        <f t="shared" si="418"/>
        <v>1</v>
      </c>
      <c r="E1435" s="59">
        <f t="shared" si="419"/>
        <v>0</v>
      </c>
      <c r="F1435" s="59">
        <v>1382</v>
      </c>
      <c r="G1435" s="59">
        <v>1</v>
      </c>
      <c r="H1435" s="59">
        <f t="shared" si="420"/>
        <v>1</v>
      </c>
      <c r="I1435" s="59">
        <f t="shared" si="421"/>
        <v>0</v>
      </c>
      <c r="J1435" s="59">
        <v>8</v>
      </c>
      <c r="K1435" s="59">
        <v>2</v>
      </c>
      <c r="L1435" s="59">
        <v>6</v>
      </c>
      <c r="M1435" s="59">
        <f t="shared" si="422"/>
        <v>0</v>
      </c>
      <c r="N1435" s="59">
        <f t="shared" si="423"/>
        <v>0</v>
      </c>
      <c r="O1435" s="59">
        <f t="shared" si="424"/>
        <v>0</v>
      </c>
      <c r="P1435" s="59">
        <f t="shared" si="425"/>
        <v>0</v>
      </c>
      <c r="Q1435" s="59">
        <f t="shared" si="426"/>
        <v>0</v>
      </c>
      <c r="R1435" s="59">
        <v>1</v>
      </c>
      <c r="S1435" s="59">
        <v>2018</v>
      </c>
      <c r="T1435" s="59">
        <v>1</v>
      </c>
      <c r="U1435" s="59">
        <v>0</v>
      </c>
      <c r="V1435" s="59">
        <v>85</v>
      </c>
      <c r="W1435" s="59">
        <v>3</v>
      </c>
      <c r="X1435" s="59">
        <v>2</v>
      </c>
      <c r="Y1435" s="59">
        <v>1</v>
      </c>
      <c r="Z1435" s="59">
        <f t="shared" si="427"/>
        <v>1</v>
      </c>
      <c r="AA1435" s="59">
        <f>IF('Updated Dummy'!Y1435=2,1,0)</f>
        <v>0</v>
      </c>
      <c r="AB1435" s="59">
        <f t="shared" si="428"/>
        <v>0</v>
      </c>
      <c r="AC1435" s="59">
        <f t="shared" si="429"/>
        <v>0</v>
      </c>
      <c r="AD1435" s="59">
        <f t="shared" si="430"/>
        <v>0</v>
      </c>
      <c r="AE1435" s="59">
        <f t="shared" si="431"/>
        <v>0</v>
      </c>
      <c r="AF1435" s="59">
        <f t="shared" si="432"/>
        <v>0</v>
      </c>
      <c r="AG1435" s="59">
        <f t="shared" si="433"/>
        <v>0</v>
      </c>
      <c r="AH1435" s="59">
        <v>3</v>
      </c>
      <c r="AI1435" s="59">
        <v>3</v>
      </c>
      <c r="AJ1435" s="59">
        <f t="shared" si="434"/>
        <v>0</v>
      </c>
      <c r="AK1435" s="59">
        <f t="shared" si="435"/>
        <v>0</v>
      </c>
      <c r="AL1435" s="59">
        <v>4907</v>
      </c>
      <c r="AM1435" s="59">
        <v>13684</v>
      </c>
      <c r="AN1435" s="59">
        <v>0</v>
      </c>
      <c r="AO1435" s="59">
        <v>1</v>
      </c>
      <c r="AP1435" s="59">
        <v>22</v>
      </c>
      <c r="AQ1435" s="59">
        <v>4</v>
      </c>
      <c r="AR1435" s="59">
        <v>2</v>
      </c>
      <c r="AS1435" s="59">
        <v>80</v>
      </c>
      <c r="AT1435" s="59">
        <v>1</v>
      </c>
      <c r="AU1435" s="59">
        <v>6</v>
      </c>
      <c r="AV1435" s="59">
        <v>3</v>
      </c>
      <c r="AW1435" s="59">
        <v>2</v>
      </c>
      <c r="AX1435" s="59">
        <v>5</v>
      </c>
      <c r="AY1435" s="59">
        <v>3</v>
      </c>
      <c r="AZ1435" s="59">
        <v>0</v>
      </c>
      <c r="BA1435" s="59">
        <v>4</v>
      </c>
      <c r="BB1435" s="57">
        <f t="shared" si="436"/>
        <v>9814</v>
      </c>
    </row>
    <row r="1436" spans="1:54" x14ac:dyDescent="0.25">
      <c r="A1436" s="58">
        <v>52</v>
      </c>
      <c r="B1436" s="59">
        <v>0</v>
      </c>
      <c r="C1436" s="59">
        <v>3</v>
      </c>
      <c r="D1436" s="59">
        <f t="shared" si="418"/>
        <v>0</v>
      </c>
      <c r="E1436" s="59">
        <f t="shared" si="419"/>
        <v>0</v>
      </c>
      <c r="F1436" s="59">
        <v>585</v>
      </c>
      <c r="G1436" s="59">
        <v>1</v>
      </c>
      <c r="H1436" s="59">
        <f t="shared" si="420"/>
        <v>1</v>
      </c>
      <c r="I1436" s="59">
        <f t="shared" si="421"/>
        <v>0</v>
      </c>
      <c r="J1436" s="59">
        <v>29</v>
      </c>
      <c r="K1436" s="59">
        <v>4</v>
      </c>
      <c r="L1436" s="59">
        <v>1</v>
      </c>
      <c r="M1436" s="59">
        <f t="shared" si="422"/>
        <v>1</v>
      </c>
      <c r="N1436" s="59">
        <f t="shared" si="423"/>
        <v>0</v>
      </c>
      <c r="O1436" s="59">
        <f t="shared" si="424"/>
        <v>0</v>
      </c>
      <c r="P1436" s="59">
        <f t="shared" si="425"/>
        <v>0</v>
      </c>
      <c r="Q1436" s="59">
        <f t="shared" si="426"/>
        <v>0</v>
      </c>
      <c r="R1436" s="59">
        <v>1</v>
      </c>
      <c r="S1436" s="59">
        <v>2019</v>
      </c>
      <c r="T1436" s="59">
        <v>1</v>
      </c>
      <c r="U1436" s="59">
        <v>1</v>
      </c>
      <c r="V1436" s="59">
        <v>40</v>
      </c>
      <c r="W1436" s="59">
        <v>3</v>
      </c>
      <c r="X1436" s="59">
        <v>1</v>
      </c>
      <c r="Y1436" s="59">
        <v>7</v>
      </c>
      <c r="Z1436" s="59">
        <f t="shared" si="427"/>
        <v>0</v>
      </c>
      <c r="AA1436" s="59">
        <f>IF('Updated Dummy'!Y1436=2,1,0)</f>
        <v>0</v>
      </c>
      <c r="AB1436" s="59">
        <f t="shared" si="428"/>
        <v>0</v>
      </c>
      <c r="AC1436" s="59">
        <f t="shared" si="429"/>
        <v>0</v>
      </c>
      <c r="AD1436" s="59">
        <f t="shared" si="430"/>
        <v>0</v>
      </c>
      <c r="AE1436" s="59">
        <f t="shared" si="431"/>
        <v>0</v>
      </c>
      <c r="AF1436" s="59">
        <f t="shared" si="432"/>
        <v>1</v>
      </c>
      <c r="AG1436" s="59">
        <f t="shared" si="433"/>
        <v>0</v>
      </c>
      <c r="AH1436" s="59">
        <v>4</v>
      </c>
      <c r="AI1436" s="59">
        <v>3</v>
      </c>
      <c r="AJ1436" s="59">
        <f t="shared" si="434"/>
        <v>0</v>
      </c>
      <c r="AK1436" s="59">
        <f t="shared" si="435"/>
        <v>0</v>
      </c>
      <c r="AL1436" s="59">
        <v>3482</v>
      </c>
      <c r="AM1436" s="59">
        <v>19788</v>
      </c>
      <c r="AN1436" s="59">
        <v>2</v>
      </c>
      <c r="AO1436" s="59">
        <v>0</v>
      </c>
      <c r="AP1436" s="59">
        <v>15</v>
      </c>
      <c r="AQ1436" s="59">
        <v>3</v>
      </c>
      <c r="AR1436" s="59">
        <v>2</v>
      </c>
      <c r="AS1436" s="59">
        <v>80</v>
      </c>
      <c r="AT1436" s="59">
        <v>2</v>
      </c>
      <c r="AU1436" s="59">
        <v>16</v>
      </c>
      <c r="AV1436" s="59">
        <v>3</v>
      </c>
      <c r="AW1436" s="59">
        <v>2</v>
      </c>
      <c r="AX1436" s="59">
        <v>9</v>
      </c>
      <c r="AY1436" s="59">
        <v>8</v>
      </c>
      <c r="AZ1436" s="59">
        <v>0</v>
      </c>
      <c r="BA1436" s="59">
        <v>0</v>
      </c>
      <c r="BB1436" s="57">
        <f t="shared" si="436"/>
        <v>3482</v>
      </c>
    </row>
    <row r="1437" spans="1:54" x14ac:dyDescent="0.25">
      <c r="A1437" s="58">
        <v>44</v>
      </c>
      <c r="B1437" s="59">
        <v>0</v>
      </c>
      <c r="C1437" s="59">
        <v>1</v>
      </c>
      <c r="D1437" s="59">
        <f t="shared" si="418"/>
        <v>1</v>
      </c>
      <c r="E1437" s="59">
        <f t="shared" si="419"/>
        <v>0</v>
      </c>
      <c r="F1437" s="59">
        <v>1037</v>
      </c>
      <c r="G1437" s="59">
        <v>2</v>
      </c>
      <c r="H1437" s="59">
        <f t="shared" si="420"/>
        <v>0</v>
      </c>
      <c r="I1437" s="59">
        <f t="shared" si="421"/>
        <v>1</v>
      </c>
      <c r="J1437" s="59">
        <v>1</v>
      </c>
      <c r="K1437" s="59">
        <v>3</v>
      </c>
      <c r="L1437" s="59">
        <v>3</v>
      </c>
      <c r="M1437" s="59">
        <f t="shared" si="422"/>
        <v>0</v>
      </c>
      <c r="N1437" s="59">
        <f t="shared" si="423"/>
        <v>0</v>
      </c>
      <c r="O1437" s="59">
        <f t="shared" si="424"/>
        <v>1</v>
      </c>
      <c r="P1437" s="59">
        <f t="shared" si="425"/>
        <v>0</v>
      </c>
      <c r="Q1437" s="59">
        <f t="shared" si="426"/>
        <v>0</v>
      </c>
      <c r="R1437" s="59">
        <v>1</v>
      </c>
      <c r="S1437" s="59">
        <v>2020</v>
      </c>
      <c r="T1437" s="59">
        <v>2</v>
      </c>
      <c r="U1437" s="59">
        <v>1</v>
      </c>
      <c r="V1437" s="59">
        <v>42</v>
      </c>
      <c r="W1437" s="59">
        <v>3</v>
      </c>
      <c r="X1437" s="59">
        <v>1</v>
      </c>
      <c r="Y1437" s="59">
        <v>2</v>
      </c>
      <c r="Z1437" s="59">
        <f t="shared" si="427"/>
        <v>0</v>
      </c>
      <c r="AA1437" s="59">
        <f>IF('Updated Dummy'!Y1437=2,1,0)</f>
        <v>1</v>
      </c>
      <c r="AB1437" s="59">
        <f t="shared" si="428"/>
        <v>0</v>
      </c>
      <c r="AC1437" s="59">
        <f t="shared" si="429"/>
        <v>0</v>
      </c>
      <c r="AD1437" s="59">
        <f t="shared" si="430"/>
        <v>0</v>
      </c>
      <c r="AE1437" s="59">
        <f t="shared" si="431"/>
        <v>0</v>
      </c>
      <c r="AF1437" s="59">
        <f t="shared" si="432"/>
        <v>0</v>
      </c>
      <c r="AG1437" s="59">
        <f t="shared" si="433"/>
        <v>0</v>
      </c>
      <c r="AH1437" s="59">
        <v>4</v>
      </c>
      <c r="AI1437" s="59">
        <v>1</v>
      </c>
      <c r="AJ1437" s="59">
        <f t="shared" si="434"/>
        <v>1</v>
      </c>
      <c r="AK1437" s="59">
        <f t="shared" si="435"/>
        <v>0</v>
      </c>
      <c r="AL1437" s="59">
        <v>2436</v>
      </c>
      <c r="AM1437" s="59">
        <v>13422</v>
      </c>
      <c r="AN1437" s="59">
        <v>6</v>
      </c>
      <c r="AO1437" s="59">
        <v>1</v>
      </c>
      <c r="AP1437" s="59">
        <v>12</v>
      </c>
      <c r="AQ1437" s="59">
        <v>3</v>
      </c>
      <c r="AR1437" s="59">
        <v>3</v>
      </c>
      <c r="AS1437" s="59">
        <v>80</v>
      </c>
      <c r="AT1437" s="59">
        <v>0</v>
      </c>
      <c r="AU1437" s="59">
        <v>6</v>
      </c>
      <c r="AV1437" s="59">
        <v>2</v>
      </c>
      <c r="AW1437" s="59">
        <v>3</v>
      </c>
      <c r="AX1437" s="59">
        <v>4</v>
      </c>
      <c r="AY1437" s="59">
        <v>3</v>
      </c>
      <c r="AZ1437" s="59">
        <v>1</v>
      </c>
      <c r="BA1437" s="59">
        <v>2</v>
      </c>
      <c r="BB1437" s="57">
        <f t="shared" si="436"/>
        <v>2436</v>
      </c>
    </row>
    <row r="1438" spans="1:54" x14ac:dyDescent="0.25">
      <c r="A1438" s="58">
        <v>21</v>
      </c>
      <c r="B1438" s="59">
        <v>0</v>
      </c>
      <c r="C1438" s="59">
        <v>1</v>
      </c>
      <c r="D1438" s="59">
        <f t="shared" si="418"/>
        <v>1</v>
      </c>
      <c r="E1438" s="59">
        <f t="shared" si="419"/>
        <v>0</v>
      </c>
      <c r="F1438" s="59">
        <v>501</v>
      </c>
      <c r="G1438" s="59">
        <v>1</v>
      </c>
      <c r="H1438" s="59">
        <f t="shared" si="420"/>
        <v>1</v>
      </c>
      <c r="I1438" s="59">
        <f t="shared" si="421"/>
        <v>0</v>
      </c>
      <c r="J1438" s="59">
        <v>5</v>
      </c>
      <c r="K1438" s="59">
        <v>1</v>
      </c>
      <c r="L1438" s="59">
        <v>3</v>
      </c>
      <c r="M1438" s="59">
        <f t="shared" si="422"/>
        <v>0</v>
      </c>
      <c r="N1438" s="59">
        <f t="shared" si="423"/>
        <v>0</v>
      </c>
      <c r="O1438" s="59">
        <f t="shared" si="424"/>
        <v>1</v>
      </c>
      <c r="P1438" s="59">
        <f t="shared" si="425"/>
        <v>0</v>
      </c>
      <c r="Q1438" s="59">
        <f t="shared" si="426"/>
        <v>0</v>
      </c>
      <c r="R1438" s="59">
        <v>1</v>
      </c>
      <c r="S1438" s="59">
        <v>2021</v>
      </c>
      <c r="T1438" s="59">
        <v>3</v>
      </c>
      <c r="U1438" s="59">
        <v>1</v>
      </c>
      <c r="V1438" s="59">
        <v>58</v>
      </c>
      <c r="W1438" s="59">
        <v>3</v>
      </c>
      <c r="X1438" s="59">
        <v>1</v>
      </c>
      <c r="Y1438" s="59">
        <v>7</v>
      </c>
      <c r="Z1438" s="59">
        <f t="shared" si="427"/>
        <v>0</v>
      </c>
      <c r="AA1438" s="59">
        <f>IF('Updated Dummy'!Y1438=2,1,0)</f>
        <v>0</v>
      </c>
      <c r="AB1438" s="59">
        <f t="shared" si="428"/>
        <v>0</v>
      </c>
      <c r="AC1438" s="59">
        <f t="shared" si="429"/>
        <v>0</v>
      </c>
      <c r="AD1438" s="59">
        <f t="shared" si="430"/>
        <v>0</v>
      </c>
      <c r="AE1438" s="59">
        <f t="shared" si="431"/>
        <v>0</v>
      </c>
      <c r="AF1438" s="59">
        <f t="shared" si="432"/>
        <v>1</v>
      </c>
      <c r="AG1438" s="59">
        <f t="shared" si="433"/>
        <v>0</v>
      </c>
      <c r="AH1438" s="59">
        <v>1</v>
      </c>
      <c r="AI1438" s="59">
        <v>1</v>
      </c>
      <c r="AJ1438" s="59">
        <f t="shared" si="434"/>
        <v>1</v>
      </c>
      <c r="AK1438" s="59">
        <f t="shared" si="435"/>
        <v>0</v>
      </c>
      <c r="AL1438" s="59">
        <v>2380</v>
      </c>
      <c r="AM1438" s="59">
        <v>25479</v>
      </c>
      <c r="AN1438" s="59">
        <v>1</v>
      </c>
      <c r="AO1438" s="59">
        <v>1</v>
      </c>
      <c r="AP1438" s="59">
        <v>11</v>
      </c>
      <c r="AQ1438" s="59">
        <v>3</v>
      </c>
      <c r="AR1438" s="59">
        <v>4</v>
      </c>
      <c r="AS1438" s="59">
        <v>80</v>
      </c>
      <c r="AT1438" s="59">
        <v>0</v>
      </c>
      <c r="AU1438" s="59">
        <v>2</v>
      </c>
      <c r="AV1438" s="59">
        <v>6</v>
      </c>
      <c r="AW1438" s="59">
        <v>3</v>
      </c>
      <c r="AX1438" s="59">
        <v>2</v>
      </c>
      <c r="AY1438" s="59">
        <v>2</v>
      </c>
      <c r="AZ1438" s="59">
        <v>1</v>
      </c>
      <c r="BA1438" s="59">
        <v>2</v>
      </c>
      <c r="BB1438" s="57">
        <f t="shared" si="436"/>
        <v>2380</v>
      </c>
    </row>
    <row r="1439" spans="1:54" x14ac:dyDescent="0.25">
      <c r="A1439" s="58">
        <v>39</v>
      </c>
      <c r="B1439" s="59">
        <v>0</v>
      </c>
      <c r="C1439" s="59">
        <v>3</v>
      </c>
      <c r="D1439" s="59">
        <f t="shared" si="418"/>
        <v>0</v>
      </c>
      <c r="E1439" s="59">
        <f t="shared" si="419"/>
        <v>0</v>
      </c>
      <c r="F1439" s="59">
        <v>105</v>
      </c>
      <c r="G1439" s="59">
        <v>2</v>
      </c>
      <c r="H1439" s="59">
        <f t="shared" si="420"/>
        <v>0</v>
      </c>
      <c r="I1439" s="59">
        <f t="shared" si="421"/>
        <v>1</v>
      </c>
      <c r="J1439" s="59">
        <v>9</v>
      </c>
      <c r="K1439" s="59">
        <v>3</v>
      </c>
      <c r="L1439" s="59">
        <v>1</v>
      </c>
      <c r="M1439" s="59">
        <f t="shared" si="422"/>
        <v>1</v>
      </c>
      <c r="N1439" s="59">
        <f t="shared" si="423"/>
        <v>0</v>
      </c>
      <c r="O1439" s="59">
        <f t="shared" si="424"/>
        <v>0</v>
      </c>
      <c r="P1439" s="59">
        <f t="shared" si="425"/>
        <v>0</v>
      </c>
      <c r="Q1439" s="59">
        <f t="shared" si="426"/>
        <v>0</v>
      </c>
      <c r="R1439" s="59">
        <v>1</v>
      </c>
      <c r="S1439" s="59">
        <v>2022</v>
      </c>
      <c r="T1439" s="59">
        <v>4</v>
      </c>
      <c r="U1439" s="59">
        <v>1</v>
      </c>
      <c r="V1439" s="59">
        <v>87</v>
      </c>
      <c r="W1439" s="59">
        <v>3</v>
      </c>
      <c r="X1439" s="59">
        <v>5</v>
      </c>
      <c r="Y1439" s="59">
        <v>6</v>
      </c>
      <c r="Z1439" s="59">
        <f t="shared" si="427"/>
        <v>0</v>
      </c>
      <c r="AA1439" s="59">
        <f>IF('Updated Dummy'!Y1439=2,1,0)</f>
        <v>0</v>
      </c>
      <c r="AB1439" s="59">
        <f t="shared" si="428"/>
        <v>0</v>
      </c>
      <c r="AC1439" s="59">
        <f t="shared" si="429"/>
        <v>0</v>
      </c>
      <c r="AD1439" s="59">
        <f t="shared" si="430"/>
        <v>0</v>
      </c>
      <c r="AE1439" s="59">
        <f t="shared" si="431"/>
        <v>1</v>
      </c>
      <c r="AF1439" s="59">
        <f t="shared" si="432"/>
        <v>0</v>
      </c>
      <c r="AG1439" s="59">
        <f t="shared" si="433"/>
        <v>0</v>
      </c>
      <c r="AH1439" s="59">
        <v>4</v>
      </c>
      <c r="AI1439" s="59">
        <v>1</v>
      </c>
      <c r="AJ1439" s="59">
        <f t="shared" si="434"/>
        <v>1</v>
      </c>
      <c r="AK1439" s="59">
        <f t="shared" si="435"/>
        <v>0</v>
      </c>
      <c r="AL1439" s="59">
        <v>19431</v>
      </c>
      <c r="AM1439" s="59">
        <v>15302</v>
      </c>
      <c r="AN1439" s="59">
        <v>2</v>
      </c>
      <c r="AO1439" s="59">
        <v>0</v>
      </c>
      <c r="AP1439" s="59">
        <v>13</v>
      </c>
      <c r="AQ1439" s="59">
        <v>3</v>
      </c>
      <c r="AR1439" s="59">
        <v>3</v>
      </c>
      <c r="AS1439" s="59">
        <v>80</v>
      </c>
      <c r="AT1439" s="59">
        <v>0</v>
      </c>
      <c r="AU1439" s="59">
        <v>21</v>
      </c>
      <c r="AV1439" s="59">
        <v>3</v>
      </c>
      <c r="AW1439" s="59">
        <v>2</v>
      </c>
      <c r="AX1439" s="59">
        <v>6</v>
      </c>
      <c r="AY1439" s="59">
        <v>0</v>
      </c>
      <c r="AZ1439" s="59">
        <v>1</v>
      </c>
      <c r="BA1439" s="59">
        <v>3</v>
      </c>
      <c r="BB1439" s="57">
        <f t="shared" si="436"/>
        <v>97155</v>
      </c>
    </row>
    <row r="1440" spans="1:54" x14ac:dyDescent="0.25">
      <c r="A1440" s="58">
        <v>23</v>
      </c>
      <c r="B1440" s="59">
        <v>1</v>
      </c>
      <c r="C1440" s="59">
        <v>2</v>
      </c>
      <c r="D1440" s="59">
        <f t="shared" si="418"/>
        <v>0</v>
      </c>
      <c r="E1440" s="59">
        <f t="shared" si="419"/>
        <v>1</v>
      </c>
      <c r="F1440" s="59">
        <v>638</v>
      </c>
      <c r="G1440" s="59">
        <v>1</v>
      </c>
      <c r="H1440" s="59">
        <f t="shared" si="420"/>
        <v>1</v>
      </c>
      <c r="I1440" s="59">
        <f t="shared" si="421"/>
        <v>0</v>
      </c>
      <c r="J1440" s="59">
        <v>9</v>
      </c>
      <c r="K1440" s="59">
        <v>3</v>
      </c>
      <c r="L1440" s="59">
        <v>4</v>
      </c>
      <c r="M1440" s="59">
        <f t="shared" si="422"/>
        <v>0</v>
      </c>
      <c r="N1440" s="59">
        <f t="shared" si="423"/>
        <v>0</v>
      </c>
      <c r="O1440" s="59">
        <f t="shared" si="424"/>
        <v>0</v>
      </c>
      <c r="P1440" s="59">
        <f t="shared" si="425"/>
        <v>1</v>
      </c>
      <c r="Q1440" s="59">
        <f t="shared" si="426"/>
        <v>0</v>
      </c>
      <c r="R1440" s="59">
        <v>1</v>
      </c>
      <c r="S1440" s="59">
        <v>2023</v>
      </c>
      <c r="T1440" s="59">
        <v>4</v>
      </c>
      <c r="U1440" s="59">
        <v>1</v>
      </c>
      <c r="V1440" s="59">
        <v>33</v>
      </c>
      <c r="W1440" s="59">
        <v>3</v>
      </c>
      <c r="X1440" s="59">
        <v>1</v>
      </c>
      <c r="Y1440" s="59">
        <v>7</v>
      </c>
      <c r="Z1440" s="59">
        <f t="shared" si="427"/>
        <v>0</v>
      </c>
      <c r="AA1440" s="59">
        <f>IF('Updated Dummy'!Y1440=2,1,0)</f>
        <v>0</v>
      </c>
      <c r="AB1440" s="59">
        <f t="shared" si="428"/>
        <v>0</v>
      </c>
      <c r="AC1440" s="59">
        <f t="shared" si="429"/>
        <v>0</v>
      </c>
      <c r="AD1440" s="59">
        <f t="shared" si="430"/>
        <v>0</v>
      </c>
      <c r="AE1440" s="59">
        <f t="shared" si="431"/>
        <v>0</v>
      </c>
      <c r="AF1440" s="59">
        <f t="shared" si="432"/>
        <v>1</v>
      </c>
      <c r="AG1440" s="59">
        <f t="shared" si="433"/>
        <v>0</v>
      </c>
      <c r="AH1440" s="59">
        <v>1</v>
      </c>
      <c r="AI1440" s="59">
        <v>2</v>
      </c>
      <c r="AJ1440" s="59">
        <f t="shared" si="434"/>
        <v>0</v>
      </c>
      <c r="AK1440" s="59">
        <f t="shared" si="435"/>
        <v>1</v>
      </c>
      <c r="AL1440" s="59">
        <v>1790</v>
      </c>
      <c r="AM1440" s="59">
        <v>26956</v>
      </c>
      <c r="AN1440" s="59">
        <v>1</v>
      </c>
      <c r="AO1440" s="59">
        <v>0</v>
      </c>
      <c r="AP1440" s="59">
        <v>19</v>
      </c>
      <c r="AQ1440" s="59">
        <v>3</v>
      </c>
      <c r="AR1440" s="59">
        <v>1</v>
      </c>
      <c r="AS1440" s="59">
        <v>80</v>
      </c>
      <c r="AT1440" s="59">
        <v>1</v>
      </c>
      <c r="AU1440" s="59">
        <v>1</v>
      </c>
      <c r="AV1440" s="59">
        <v>3</v>
      </c>
      <c r="AW1440" s="59">
        <v>2</v>
      </c>
      <c r="AX1440" s="59">
        <v>1</v>
      </c>
      <c r="AY1440" s="59">
        <v>0</v>
      </c>
      <c r="AZ1440" s="59">
        <v>1</v>
      </c>
      <c r="BA1440" s="59">
        <v>0</v>
      </c>
      <c r="BB1440" s="57">
        <f t="shared" si="436"/>
        <v>1790</v>
      </c>
    </row>
    <row r="1441" spans="1:54" x14ac:dyDescent="0.25">
      <c r="A1441" s="58">
        <v>36</v>
      </c>
      <c r="B1441" s="59">
        <v>0</v>
      </c>
      <c r="C1441" s="59">
        <v>1</v>
      </c>
      <c r="D1441" s="59">
        <f t="shared" si="418"/>
        <v>1</v>
      </c>
      <c r="E1441" s="59">
        <f t="shared" si="419"/>
        <v>0</v>
      </c>
      <c r="F1441" s="59">
        <v>557</v>
      </c>
      <c r="G1441" s="59">
        <v>1</v>
      </c>
      <c r="H1441" s="59">
        <f t="shared" si="420"/>
        <v>1</v>
      </c>
      <c r="I1441" s="59">
        <f t="shared" si="421"/>
        <v>0</v>
      </c>
      <c r="J1441" s="59">
        <v>3</v>
      </c>
      <c r="K1441" s="59">
        <v>3</v>
      </c>
      <c r="L1441" s="59">
        <v>3</v>
      </c>
      <c r="M1441" s="59">
        <f t="shared" si="422"/>
        <v>0</v>
      </c>
      <c r="N1441" s="59">
        <f t="shared" si="423"/>
        <v>0</v>
      </c>
      <c r="O1441" s="59">
        <f t="shared" si="424"/>
        <v>1</v>
      </c>
      <c r="P1441" s="59">
        <f t="shared" si="425"/>
        <v>0</v>
      </c>
      <c r="Q1441" s="59">
        <f t="shared" si="426"/>
        <v>0</v>
      </c>
      <c r="R1441" s="59">
        <v>1</v>
      </c>
      <c r="S1441" s="59">
        <v>2024</v>
      </c>
      <c r="T1441" s="59">
        <v>1</v>
      </c>
      <c r="U1441" s="59">
        <v>0</v>
      </c>
      <c r="V1441" s="59">
        <v>94</v>
      </c>
      <c r="W1441" s="59">
        <v>2</v>
      </c>
      <c r="X1441" s="59">
        <v>3</v>
      </c>
      <c r="Y1441" s="59">
        <v>1</v>
      </c>
      <c r="Z1441" s="59">
        <f t="shared" si="427"/>
        <v>1</v>
      </c>
      <c r="AA1441" s="59">
        <f>IF('Updated Dummy'!Y1441=2,1,0)</f>
        <v>0</v>
      </c>
      <c r="AB1441" s="59">
        <f t="shared" si="428"/>
        <v>0</v>
      </c>
      <c r="AC1441" s="59">
        <f t="shared" si="429"/>
        <v>0</v>
      </c>
      <c r="AD1441" s="59">
        <f t="shared" si="430"/>
        <v>0</v>
      </c>
      <c r="AE1441" s="59">
        <f t="shared" si="431"/>
        <v>0</v>
      </c>
      <c r="AF1441" s="59">
        <f t="shared" si="432"/>
        <v>0</v>
      </c>
      <c r="AG1441" s="59">
        <f t="shared" si="433"/>
        <v>0</v>
      </c>
      <c r="AH1441" s="59">
        <v>4</v>
      </c>
      <c r="AI1441" s="59">
        <v>2</v>
      </c>
      <c r="AJ1441" s="59">
        <f t="shared" si="434"/>
        <v>0</v>
      </c>
      <c r="AK1441" s="59">
        <f t="shared" si="435"/>
        <v>1</v>
      </c>
      <c r="AL1441" s="59">
        <v>7644</v>
      </c>
      <c r="AM1441" s="59">
        <v>12695</v>
      </c>
      <c r="AN1441" s="59">
        <v>0</v>
      </c>
      <c r="AO1441" s="59">
        <v>0</v>
      </c>
      <c r="AP1441" s="59">
        <v>19</v>
      </c>
      <c r="AQ1441" s="59">
        <v>3</v>
      </c>
      <c r="AR1441" s="59">
        <v>3</v>
      </c>
      <c r="AS1441" s="59">
        <v>80</v>
      </c>
      <c r="AT1441" s="59">
        <v>2</v>
      </c>
      <c r="AU1441" s="59">
        <v>10</v>
      </c>
      <c r="AV1441" s="59">
        <v>2</v>
      </c>
      <c r="AW1441" s="59">
        <v>3</v>
      </c>
      <c r="AX1441" s="59">
        <v>9</v>
      </c>
      <c r="AY1441" s="59">
        <v>7</v>
      </c>
      <c r="AZ1441" s="59">
        <v>3</v>
      </c>
      <c r="BA1441" s="59">
        <v>4</v>
      </c>
      <c r="BB1441" s="57">
        <f t="shared" si="436"/>
        <v>22932</v>
      </c>
    </row>
    <row r="1442" spans="1:54" x14ac:dyDescent="0.25">
      <c r="A1442" s="58">
        <v>36</v>
      </c>
      <c r="B1442" s="59">
        <v>0</v>
      </c>
      <c r="C1442" s="59">
        <v>2</v>
      </c>
      <c r="D1442" s="59">
        <f t="shared" si="418"/>
        <v>0</v>
      </c>
      <c r="E1442" s="59">
        <f t="shared" si="419"/>
        <v>1</v>
      </c>
      <c r="F1442" s="59">
        <v>688</v>
      </c>
      <c r="G1442" s="59">
        <v>2</v>
      </c>
      <c r="H1442" s="59">
        <f t="shared" si="420"/>
        <v>0</v>
      </c>
      <c r="I1442" s="59">
        <f t="shared" si="421"/>
        <v>1</v>
      </c>
      <c r="J1442" s="59">
        <v>4</v>
      </c>
      <c r="K1442" s="59">
        <v>2</v>
      </c>
      <c r="L1442" s="59">
        <v>1</v>
      </c>
      <c r="M1442" s="59">
        <f t="shared" si="422"/>
        <v>1</v>
      </c>
      <c r="N1442" s="59">
        <f t="shared" si="423"/>
        <v>0</v>
      </c>
      <c r="O1442" s="59">
        <f t="shared" si="424"/>
        <v>0</v>
      </c>
      <c r="P1442" s="59">
        <f t="shared" si="425"/>
        <v>0</v>
      </c>
      <c r="Q1442" s="59">
        <f t="shared" si="426"/>
        <v>0</v>
      </c>
      <c r="R1442" s="59">
        <v>1</v>
      </c>
      <c r="S1442" s="59">
        <v>2025</v>
      </c>
      <c r="T1442" s="59">
        <v>4</v>
      </c>
      <c r="U1442" s="59">
        <v>0</v>
      </c>
      <c r="V1442" s="59">
        <v>97</v>
      </c>
      <c r="W1442" s="59">
        <v>3</v>
      </c>
      <c r="X1442" s="59">
        <v>2</v>
      </c>
      <c r="Y1442" s="59">
        <v>4</v>
      </c>
      <c r="Z1442" s="59">
        <f t="shared" si="427"/>
        <v>0</v>
      </c>
      <c r="AA1442" s="59">
        <f>IF('Updated Dummy'!Y1442=2,1,0)</f>
        <v>0</v>
      </c>
      <c r="AB1442" s="59">
        <f t="shared" si="428"/>
        <v>0</v>
      </c>
      <c r="AC1442" s="59">
        <f t="shared" si="429"/>
        <v>1</v>
      </c>
      <c r="AD1442" s="59">
        <f t="shared" si="430"/>
        <v>0</v>
      </c>
      <c r="AE1442" s="59">
        <f t="shared" si="431"/>
        <v>0</v>
      </c>
      <c r="AF1442" s="59">
        <f t="shared" si="432"/>
        <v>0</v>
      </c>
      <c r="AG1442" s="59">
        <f t="shared" si="433"/>
        <v>0</v>
      </c>
      <c r="AH1442" s="59">
        <v>2</v>
      </c>
      <c r="AI1442" s="59">
        <v>3</v>
      </c>
      <c r="AJ1442" s="59">
        <f t="shared" si="434"/>
        <v>0</v>
      </c>
      <c r="AK1442" s="59">
        <f t="shared" si="435"/>
        <v>0</v>
      </c>
      <c r="AL1442" s="59">
        <v>5131</v>
      </c>
      <c r="AM1442" s="59">
        <v>9192</v>
      </c>
      <c r="AN1442" s="59">
        <v>7</v>
      </c>
      <c r="AO1442" s="59">
        <v>0</v>
      </c>
      <c r="AP1442" s="59">
        <v>13</v>
      </c>
      <c r="AQ1442" s="59">
        <v>3</v>
      </c>
      <c r="AR1442" s="59">
        <v>2</v>
      </c>
      <c r="AS1442" s="59">
        <v>80</v>
      </c>
      <c r="AT1442" s="59">
        <v>3</v>
      </c>
      <c r="AU1442" s="59">
        <v>18</v>
      </c>
      <c r="AV1442" s="59">
        <v>3</v>
      </c>
      <c r="AW1442" s="59">
        <v>3</v>
      </c>
      <c r="AX1442" s="59">
        <v>4</v>
      </c>
      <c r="AY1442" s="59">
        <v>2</v>
      </c>
      <c r="AZ1442" s="59">
        <v>0</v>
      </c>
      <c r="BA1442" s="59">
        <v>2</v>
      </c>
      <c r="BB1442" s="57">
        <f t="shared" si="436"/>
        <v>10262</v>
      </c>
    </row>
    <row r="1443" spans="1:54" x14ac:dyDescent="0.25">
      <c r="A1443" s="58">
        <v>56</v>
      </c>
      <c r="B1443" s="59">
        <v>0</v>
      </c>
      <c r="C1443" s="59">
        <v>3</v>
      </c>
      <c r="D1443" s="59">
        <f t="shared" si="418"/>
        <v>0</v>
      </c>
      <c r="E1443" s="59">
        <f t="shared" si="419"/>
        <v>0</v>
      </c>
      <c r="F1443" s="59">
        <v>667</v>
      </c>
      <c r="G1443" s="59">
        <v>2</v>
      </c>
      <c r="H1443" s="59">
        <f t="shared" si="420"/>
        <v>0</v>
      </c>
      <c r="I1443" s="59">
        <f t="shared" si="421"/>
        <v>1</v>
      </c>
      <c r="J1443" s="59">
        <v>1</v>
      </c>
      <c r="K1443" s="59">
        <v>4</v>
      </c>
      <c r="L1443" s="59">
        <v>1</v>
      </c>
      <c r="M1443" s="59">
        <f t="shared" si="422"/>
        <v>1</v>
      </c>
      <c r="N1443" s="59">
        <f t="shared" si="423"/>
        <v>0</v>
      </c>
      <c r="O1443" s="59">
        <f t="shared" si="424"/>
        <v>0</v>
      </c>
      <c r="P1443" s="59">
        <f t="shared" si="425"/>
        <v>0</v>
      </c>
      <c r="Q1443" s="59">
        <f t="shared" si="426"/>
        <v>0</v>
      </c>
      <c r="R1443" s="59">
        <v>1</v>
      </c>
      <c r="S1443" s="59">
        <v>2026</v>
      </c>
      <c r="T1443" s="59">
        <v>3</v>
      </c>
      <c r="U1443" s="59">
        <v>1</v>
      </c>
      <c r="V1443" s="59">
        <v>57</v>
      </c>
      <c r="W1443" s="59">
        <v>3</v>
      </c>
      <c r="X1443" s="59">
        <v>2</v>
      </c>
      <c r="Y1443" s="59">
        <v>5</v>
      </c>
      <c r="Z1443" s="59">
        <f t="shared" si="427"/>
        <v>0</v>
      </c>
      <c r="AA1443" s="59">
        <f>IF('Updated Dummy'!Y1443=2,1,0)</f>
        <v>0</v>
      </c>
      <c r="AB1443" s="59">
        <f t="shared" si="428"/>
        <v>0</v>
      </c>
      <c r="AC1443" s="59">
        <f t="shared" si="429"/>
        <v>0</v>
      </c>
      <c r="AD1443" s="59">
        <f t="shared" si="430"/>
        <v>1</v>
      </c>
      <c r="AE1443" s="59">
        <f t="shared" si="431"/>
        <v>0</v>
      </c>
      <c r="AF1443" s="59">
        <f t="shared" si="432"/>
        <v>0</v>
      </c>
      <c r="AG1443" s="59">
        <f t="shared" si="433"/>
        <v>0</v>
      </c>
      <c r="AH1443" s="59">
        <v>3</v>
      </c>
      <c r="AI1443" s="59">
        <v>3</v>
      </c>
      <c r="AJ1443" s="59">
        <f t="shared" si="434"/>
        <v>0</v>
      </c>
      <c r="AK1443" s="59">
        <f t="shared" si="435"/>
        <v>0</v>
      </c>
      <c r="AL1443" s="59">
        <v>6306</v>
      </c>
      <c r="AM1443" s="59">
        <v>26236</v>
      </c>
      <c r="AN1443" s="59">
        <v>1</v>
      </c>
      <c r="AO1443" s="59">
        <v>0</v>
      </c>
      <c r="AP1443" s="59">
        <v>21</v>
      </c>
      <c r="AQ1443" s="59">
        <v>4</v>
      </c>
      <c r="AR1443" s="59">
        <v>1</v>
      </c>
      <c r="AS1443" s="59">
        <v>80</v>
      </c>
      <c r="AT1443" s="59">
        <v>1</v>
      </c>
      <c r="AU1443" s="59">
        <v>13</v>
      </c>
      <c r="AV1443" s="59">
        <v>2</v>
      </c>
      <c r="AW1443" s="59">
        <v>2</v>
      </c>
      <c r="AX1443" s="59">
        <v>13</v>
      </c>
      <c r="AY1443" s="59">
        <v>12</v>
      </c>
      <c r="AZ1443" s="59">
        <v>1</v>
      </c>
      <c r="BA1443" s="59">
        <v>9</v>
      </c>
      <c r="BB1443" s="57">
        <f t="shared" si="436"/>
        <v>12612</v>
      </c>
    </row>
    <row r="1444" spans="1:54" x14ac:dyDescent="0.25">
      <c r="A1444" s="58">
        <v>29</v>
      </c>
      <c r="B1444" s="59">
        <v>1</v>
      </c>
      <c r="C1444" s="59">
        <v>1</v>
      </c>
      <c r="D1444" s="59">
        <f t="shared" si="418"/>
        <v>1</v>
      </c>
      <c r="E1444" s="59">
        <f t="shared" si="419"/>
        <v>0</v>
      </c>
      <c r="F1444" s="59">
        <v>1092</v>
      </c>
      <c r="G1444" s="59">
        <v>2</v>
      </c>
      <c r="H1444" s="59">
        <f t="shared" si="420"/>
        <v>0</v>
      </c>
      <c r="I1444" s="59">
        <f t="shared" si="421"/>
        <v>1</v>
      </c>
      <c r="J1444" s="59">
        <v>1</v>
      </c>
      <c r="K1444" s="59">
        <v>4</v>
      </c>
      <c r="L1444" s="59">
        <v>3</v>
      </c>
      <c r="M1444" s="59">
        <f t="shared" si="422"/>
        <v>0</v>
      </c>
      <c r="N1444" s="59">
        <f t="shared" si="423"/>
        <v>0</v>
      </c>
      <c r="O1444" s="59">
        <f t="shared" si="424"/>
        <v>1</v>
      </c>
      <c r="P1444" s="59">
        <f t="shared" si="425"/>
        <v>0</v>
      </c>
      <c r="Q1444" s="59">
        <f t="shared" si="426"/>
        <v>0</v>
      </c>
      <c r="R1444" s="59">
        <v>1</v>
      </c>
      <c r="S1444" s="59">
        <v>2027</v>
      </c>
      <c r="T1444" s="59">
        <v>1</v>
      </c>
      <c r="U1444" s="59">
        <v>1</v>
      </c>
      <c r="V1444" s="59">
        <v>36</v>
      </c>
      <c r="W1444" s="59">
        <v>3</v>
      </c>
      <c r="X1444" s="59">
        <v>1</v>
      </c>
      <c r="Y1444" s="59">
        <v>2</v>
      </c>
      <c r="Z1444" s="59">
        <f t="shared" si="427"/>
        <v>0</v>
      </c>
      <c r="AA1444" s="59">
        <f>IF('Updated Dummy'!Y1444=2,1,0)</f>
        <v>1</v>
      </c>
      <c r="AB1444" s="59">
        <f t="shared" si="428"/>
        <v>0</v>
      </c>
      <c r="AC1444" s="59">
        <f t="shared" si="429"/>
        <v>0</v>
      </c>
      <c r="AD1444" s="59">
        <f t="shared" si="430"/>
        <v>0</v>
      </c>
      <c r="AE1444" s="59">
        <f t="shared" si="431"/>
        <v>0</v>
      </c>
      <c r="AF1444" s="59">
        <f t="shared" si="432"/>
        <v>0</v>
      </c>
      <c r="AG1444" s="59">
        <f t="shared" si="433"/>
        <v>0</v>
      </c>
      <c r="AH1444" s="59">
        <v>4</v>
      </c>
      <c r="AI1444" s="59">
        <v>2</v>
      </c>
      <c r="AJ1444" s="59">
        <f t="shared" si="434"/>
        <v>0</v>
      </c>
      <c r="AK1444" s="59">
        <f t="shared" si="435"/>
        <v>1</v>
      </c>
      <c r="AL1444" s="59">
        <v>4787</v>
      </c>
      <c r="AM1444" s="59">
        <v>26124</v>
      </c>
      <c r="AN1444" s="59">
        <v>9</v>
      </c>
      <c r="AO1444" s="59">
        <v>1</v>
      </c>
      <c r="AP1444" s="59">
        <v>14</v>
      </c>
      <c r="AQ1444" s="59">
        <v>3</v>
      </c>
      <c r="AR1444" s="59">
        <v>2</v>
      </c>
      <c r="AS1444" s="59">
        <v>80</v>
      </c>
      <c r="AT1444" s="59">
        <v>3</v>
      </c>
      <c r="AU1444" s="59">
        <v>4</v>
      </c>
      <c r="AV1444" s="59">
        <v>3</v>
      </c>
      <c r="AW1444" s="59">
        <v>4</v>
      </c>
      <c r="AX1444" s="59">
        <v>2</v>
      </c>
      <c r="AY1444" s="59">
        <v>2</v>
      </c>
      <c r="AZ1444" s="59">
        <v>2</v>
      </c>
      <c r="BA1444" s="59">
        <v>2</v>
      </c>
      <c r="BB1444" s="57">
        <f t="shared" si="436"/>
        <v>4787</v>
      </c>
    </row>
    <row r="1445" spans="1:54" x14ac:dyDescent="0.25">
      <c r="A1445" s="58">
        <v>42</v>
      </c>
      <c r="B1445" s="59">
        <v>0</v>
      </c>
      <c r="C1445" s="59">
        <v>1</v>
      </c>
      <c r="D1445" s="59">
        <f t="shared" si="418"/>
        <v>1</v>
      </c>
      <c r="E1445" s="59">
        <f t="shared" si="419"/>
        <v>0</v>
      </c>
      <c r="F1445" s="59">
        <v>300</v>
      </c>
      <c r="G1445" s="59">
        <v>2</v>
      </c>
      <c r="H1445" s="59">
        <f t="shared" si="420"/>
        <v>0</v>
      </c>
      <c r="I1445" s="59">
        <f t="shared" si="421"/>
        <v>1</v>
      </c>
      <c r="J1445" s="59">
        <v>2</v>
      </c>
      <c r="K1445" s="59">
        <v>3</v>
      </c>
      <c r="L1445" s="59">
        <v>1</v>
      </c>
      <c r="M1445" s="59">
        <f t="shared" si="422"/>
        <v>1</v>
      </c>
      <c r="N1445" s="59">
        <f t="shared" si="423"/>
        <v>0</v>
      </c>
      <c r="O1445" s="59">
        <f t="shared" si="424"/>
        <v>0</v>
      </c>
      <c r="P1445" s="59">
        <f t="shared" si="425"/>
        <v>0</v>
      </c>
      <c r="Q1445" s="59">
        <f t="shared" si="426"/>
        <v>0</v>
      </c>
      <c r="R1445" s="59">
        <v>1</v>
      </c>
      <c r="S1445" s="59">
        <v>2031</v>
      </c>
      <c r="T1445" s="59">
        <v>1</v>
      </c>
      <c r="U1445" s="59">
        <v>1</v>
      </c>
      <c r="V1445" s="59">
        <v>56</v>
      </c>
      <c r="W1445" s="59">
        <v>3</v>
      </c>
      <c r="X1445" s="59">
        <v>5</v>
      </c>
      <c r="Y1445" s="59">
        <v>6</v>
      </c>
      <c r="Z1445" s="59">
        <f t="shared" si="427"/>
        <v>0</v>
      </c>
      <c r="AA1445" s="59">
        <f>IF('Updated Dummy'!Y1445=2,1,0)</f>
        <v>0</v>
      </c>
      <c r="AB1445" s="59">
        <f t="shared" si="428"/>
        <v>0</v>
      </c>
      <c r="AC1445" s="59">
        <f t="shared" si="429"/>
        <v>0</v>
      </c>
      <c r="AD1445" s="59">
        <f t="shared" si="430"/>
        <v>0</v>
      </c>
      <c r="AE1445" s="59">
        <f t="shared" si="431"/>
        <v>1</v>
      </c>
      <c r="AF1445" s="59">
        <f t="shared" si="432"/>
        <v>0</v>
      </c>
      <c r="AG1445" s="59">
        <f t="shared" si="433"/>
        <v>0</v>
      </c>
      <c r="AH1445" s="59">
        <v>3</v>
      </c>
      <c r="AI1445" s="59">
        <v>2</v>
      </c>
      <c r="AJ1445" s="59">
        <f t="shared" si="434"/>
        <v>0</v>
      </c>
      <c r="AK1445" s="59">
        <f t="shared" si="435"/>
        <v>1</v>
      </c>
      <c r="AL1445" s="59">
        <v>18880</v>
      </c>
      <c r="AM1445" s="59">
        <v>17312</v>
      </c>
      <c r="AN1445" s="59">
        <v>5</v>
      </c>
      <c r="AO1445" s="59">
        <v>0</v>
      </c>
      <c r="AP1445" s="59">
        <v>11</v>
      </c>
      <c r="AQ1445" s="59">
        <v>3</v>
      </c>
      <c r="AR1445" s="59">
        <v>1</v>
      </c>
      <c r="AS1445" s="59">
        <v>80</v>
      </c>
      <c r="AT1445" s="59">
        <v>0</v>
      </c>
      <c r="AU1445" s="59">
        <v>24</v>
      </c>
      <c r="AV1445" s="59">
        <v>2</v>
      </c>
      <c r="AW1445" s="59">
        <v>2</v>
      </c>
      <c r="AX1445" s="59">
        <v>22</v>
      </c>
      <c r="AY1445" s="59">
        <v>6</v>
      </c>
      <c r="AZ1445" s="59">
        <v>4</v>
      </c>
      <c r="BA1445" s="59">
        <v>14</v>
      </c>
      <c r="BB1445" s="57">
        <f t="shared" si="436"/>
        <v>94400</v>
      </c>
    </row>
    <row r="1446" spans="1:54" x14ac:dyDescent="0.25">
      <c r="A1446" s="58">
        <v>56</v>
      </c>
      <c r="B1446" s="59">
        <v>1</v>
      </c>
      <c r="C1446" s="59">
        <v>1</v>
      </c>
      <c r="D1446" s="59">
        <f t="shared" si="418"/>
        <v>1</v>
      </c>
      <c r="E1446" s="59">
        <f t="shared" si="419"/>
        <v>0</v>
      </c>
      <c r="F1446" s="59">
        <v>310</v>
      </c>
      <c r="G1446" s="59">
        <v>2</v>
      </c>
      <c r="H1446" s="59">
        <f t="shared" si="420"/>
        <v>0</v>
      </c>
      <c r="I1446" s="59">
        <f t="shared" si="421"/>
        <v>1</v>
      </c>
      <c r="J1446" s="59">
        <v>7</v>
      </c>
      <c r="K1446" s="59">
        <v>2</v>
      </c>
      <c r="L1446" s="59">
        <v>5</v>
      </c>
      <c r="M1446" s="59">
        <f t="shared" si="422"/>
        <v>0</v>
      </c>
      <c r="N1446" s="59">
        <f t="shared" si="423"/>
        <v>0</v>
      </c>
      <c r="O1446" s="59">
        <f t="shared" si="424"/>
        <v>0</v>
      </c>
      <c r="P1446" s="59">
        <f t="shared" si="425"/>
        <v>0</v>
      </c>
      <c r="Q1446" s="59">
        <f t="shared" si="426"/>
        <v>1</v>
      </c>
      <c r="R1446" s="59">
        <v>1</v>
      </c>
      <c r="S1446" s="59">
        <v>2032</v>
      </c>
      <c r="T1446" s="59">
        <v>4</v>
      </c>
      <c r="U1446" s="59">
        <v>1</v>
      </c>
      <c r="V1446" s="59">
        <v>72</v>
      </c>
      <c r="W1446" s="59">
        <v>3</v>
      </c>
      <c r="X1446" s="59">
        <v>1</v>
      </c>
      <c r="Y1446" s="59">
        <v>3</v>
      </c>
      <c r="Z1446" s="59">
        <f t="shared" si="427"/>
        <v>0</v>
      </c>
      <c r="AA1446" s="59">
        <f>IF('Updated Dummy'!Y1446=2,1,0)</f>
        <v>0</v>
      </c>
      <c r="AB1446" s="59">
        <f t="shared" si="428"/>
        <v>1</v>
      </c>
      <c r="AC1446" s="59">
        <f t="shared" si="429"/>
        <v>0</v>
      </c>
      <c r="AD1446" s="59">
        <f t="shared" si="430"/>
        <v>0</v>
      </c>
      <c r="AE1446" s="59">
        <f t="shared" si="431"/>
        <v>0</v>
      </c>
      <c r="AF1446" s="59">
        <f t="shared" si="432"/>
        <v>0</v>
      </c>
      <c r="AG1446" s="59">
        <f t="shared" si="433"/>
        <v>0</v>
      </c>
      <c r="AH1446" s="59">
        <v>3</v>
      </c>
      <c r="AI1446" s="59">
        <v>2</v>
      </c>
      <c r="AJ1446" s="59">
        <f t="shared" si="434"/>
        <v>0</v>
      </c>
      <c r="AK1446" s="59">
        <f t="shared" si="435"/>
        <v>1</v>
      </c>
      <c r="AL1446" s="59">
        <v>2339</v>
      </c>
      <c r="AM1446" s="59">
        <v>3666</v>
      </c>
      <c r="AN1446" s="59">
        <v>8</v>
      </c>
      <c r="AO1446" s="59">
        <v>0</v>
      </c>
      <c r="AP1446" s="59">
        <v>11</v>
      </c>
      <c r="AQ1446" s="59">
        <v>3</v>
      </c>
      <c r="AR1446" s="59">
        <v>4</v>
      </c>
      <c r="AS1446" s="59">
        <v>80</v>
      </c>
      <c r="AT1446" s="59">
        <v>1</v>
      </c>
      <c r="AU1446" s="59">
        <v>14</v>
      </c>
      <c r="AV1446" s="59">
        <v>4</v>
      </c>
      <c r="AW1446" s="59">
        <v>1</v>
      </c>
      <c r="AX1446" s="59">
        <v>10</v>
      </c>
      <c r="AY1446" s="59">
        <v>9</v>
      </c>
      <c r="AZ1446" s="59">
        <v>9</v>
      </c>
      <c r="BA1446" s="59">
        <v>8</v>
      </c>
      <c r="BB1446" s="57">
        <f t="shared" si="436"/>
        <v>2339</v>
      </c>
    </row>
    <row r="1447" spans="1:54" x14ac:dyDescent="0.25">
      <c r="A1447" s="58">
        <v>41</v>
      </c>
      <c r="B1447" s="59">
        <v>0</v>
      </c>
      <c r="C1447" s="59">
        <v>1</v>
      </c>
      <c r="D1447" s="59">
        <f t="shared" si="418"/>
        <v>1</v>
      </c>
      <c r="E1447" s="59">
        <f t="shared" si="419"/>
        <v>0</v>
      </c>
      <c r="F1447" s="59">
        <v>582</v>
      </c>
      <c r="G1447" s="59">
        <v>2</v>
      </c>
      <c r="H1447" s="59">
        <f t="shared" si="420"/>
        <v>0</v>
      </c>
      <c r="I1447" s="59">
        <f t="shared" si="421"/>
        <v>1</v>
      </c>
      <c r="J1447" s="59">
        <v>28</v>
      </c>
      <c r="K1447" s="59">
        <v>4</v>
      </c>
      <c r="L1447" s="59">
        <v>1</v>
      </c>
      <c r="M1447" s="59">
        <f t="shared" si="422"/>
        <v>1</v>
      </c>
      <c r="N1447" s="59">
        <f t="shared" si="423"/>
        <v>0</v>
      </c>
      <c r="O1447" s="59">
        <f t="shared" si="424"/>
        <v>0</v>
      </c>
      <c r="P1447" s="59">
        <f t="shared" si="425"/>
        <v>0</v>
      </c>
      <c r="Q1447" s="59">
        <f t="shared" si="426"/>
        <v>0</v>
      </c>
      <c r="R1447" s="59">
        <v>1</v>
      </c>
      <c r="S1447" s="59">
        <v>2034</v>
      </c>
      <c r="T1447" s="59">
        <v>1</v>
      </c>
      <c r="U1447" s="59">
        <v>0</v>
      </c>
      <c r="V1447" s="59">
        <v>60</v>
      </c>
      <c r="W1447" s="59">
        <v>2</v>
      </c>
      <c r="X1447" s="59">
        <v>4</v>
      </c>
      <c r="Y1447" s="59">
        <v>4</v>
      </c>
      <c r="Z1447" s="59">
        <f t="shared" si="427"/>
        <v>0</v>
      </c>
      <c r="AA1447" s="59">
        <f>IF('Updated Dummy'!Y1447=2,1,0)</f>
        <v>0</v>
      </c>
      <c r="AB1447" s="59">
        <f t="shared" si="428"/>
        <v>0</v>
      </c>
      <c r="AC1447" s="59">
        <f t="shared" si="429"/>
        <v>1</v>
      </c>
      <c r="AD1447" s="59">
        <f t="shared" si="430"/>
        <v>0</v>
      </c>
      <c r="AE1447" s="59">
        <f t="shared" si="431"/>
        <v>0</v>
      </c>
      <c r="AF1447" s="59">
        <f t="shared" si="432"/>
        <v>0</v>
      </c>
      <c r="AG1447" s="59">
        <f t="shared" si="433"/>
        <v>0</v>
      </c>
      <c r="AH1447" s="59">
        <v>2</v>
      </c>
      <c r="AI1447" s="59">
        <v>2</v>
      </c>
      <c r="AJ1447" s="59">
        <f t="shared" si="434"/>
        <v>0</v>
      </c>
      <c r="AK1447" s="59">
        <f t="shared" si="435"/>
        <v>1</v>
      </c>
      <c r="AL1447" s="59">
        <v>13570</v>
      </c>
      <c r="AM1447" s="59">
        <v>5640</v>
      </c>
      <c r="AN1447" s="59">
        <v>0</v>
      </c>
      <c r="AO1447" s="59">
        <v>0</v>
      </c>
      <c r="AP1447" s="59">
        <v>23</v>
      </c>
      <c r="AQ1447" s="59">
        <v>4</v>
      </c>
      <c r="AR1447" s="59">
        <v>3</v>
      </c>
      <c r="AS1447" s="59">
        <v>80</v>
      </c>
      <c r="AT1447" s="59">
        <v>1</v>
      </c>
      <c r="AU1447" s="59">
        <v>21</v>
      </c>
      <c r="AV1447" s="59">
        <v>3</v>
      </c>
      <c r="AW1447" s="59">
        <v>3</v>
      </c>
      <c r="AX1447" s="59">
        <v>20</v>
      </c>
      <c r="AY1447" s="59">
        <v>7</v>
      </c>
      <c r="AZ1447" s="59">
        <v>0</v>
      </c>
      <c r="BA1447" s="59">
        <v>10</v>
      </c>
      <c r="BB1447" s="57">
        <f t="shared" si="436"/>
        <v>54280</v>
      </c>
    </row>
    <row r="1448" spans="1:54" x14ac:dyDescent="0.25">
      <c r="A1448" s="58">
        <v>34</v>
      </c>
      <c r="B1448" s="59">
        <v>0</v>
      </c>
      <c r="C1448" s="59">
        <v>1</v>
      </c>
      <c r="D1448" s="59">
        <f t="shared" si="418"/>
        <v>1</v>
      </c>
      <c r="E1448" s="59">
        <f t="shared" si="419"/>
        <v>0</v>
      </c>
      <c r="F1448" s="59">
        <v>704</v>
      </c>
      <c r="G1448" s="59">
        <v>1</v>
      </c>
      <c r="H1448" s="59">
        <f t="shared" si="420"/>
        <v>1</v>
      </c>
      <c r="I1448" s="59">
        <f t="shared" si="421"/>
        <v>0</v>
      </c>
      <c r="J1448" s="59">
        <v>28</v>
      </c>
      <c r="K1448" s="59">
        <v>3</v>
      </c>
      <c r="L1448" s="59">
        <v>4</v>
      </c>
      <c r="M1448" s="59">
        <f t="shared" si="422"/>
        <v>0</v>
      </c>
      <c r="N1448" s="59">
        <f t="shared" si="423"/>
        <v>0</v>
      </c>
      <c r="O1448" s="59">
        <f t="shared" si="424"/>
        <v>0</v>
      </c>
      <c r="P1448" s="59">
        <f t="shared" si="425"/>
        <v>1</v>
      </c>
      <c r="Q1448" s="59">
        <f t="shared" si="426"/>
        <v>0</v>
      </c>
      <c r="R1448" s="59">
        <v>1</v>
      </c>
      <c r="S1448" s="59">
        <v>2035</v>
      </c>
      <c r="T1448" s="59">
        <v>4</v>
      </c>
      <c r="U1448" s="59">
        <v>0</v>
      </c>
      <c r="V1448" s="59">
        <v>95</v>
      </c>
      <c r="W1448" s="59">
        <v>2</v>
      </c>
      <c r="X1448" s="59">
        <v>2</v>
      </c>
      <c r="Y1448" s="59">
        <v>1</v>
      </c>
      <c r="Z1448" s="59">
        <f t="shared" si="427"/>
        <v>1</v>
      </c>
      <c r="AA1448" s="59">
        <f>IF('Updated Dummy'!Y1448=2,1,0)</f>
        <v>0</v>
      </c>
      <c r="AB1448" s="59">
        <f t="shared" si="428"/>
        <v>0</v>
      </c>
      <c r="AC1448" s="59">
        <f t="shared" si="429"/>
        <v>0</v>
      </c>
      <c r="AD1448" s="59">
        <f t="shared" si="430"/>
        <v>0</v>
      </c>
      <c r="AE1448" s="59">
        <f t="shared" si="431"/>
        <v>0</v>
      </c>
      <c r="AF1448" s="59">
        <f t="shared" si="432"/>
        <v>0</v>
      </c>
      <c r="AG1448" s="59">
        <f t="shared" si="433"/>
        <v>0</v>
      </c>
      <c r="AH1448" s="59">
        <v>3</v>
      </c>
      <c r="AI1448" s="59">
        <v>2</v>
      </c>
      <c r="AJ1448" s="59">
        <f t="shared" si="434"/>
        <v>0</v>
      </c>
      <c r="AK1448" s="59">
        <f t="shared" si="435"/>
        <v>1</v>
      </c>
      <c r="AL1448" s="59">
        <v>6712</v>
      </c>
      <c r="AM1448" s="59">
        <v>8978</v>
      </c>
      <c r="AN1448" s="59">
        <v>1</v>
      </c>
      <c r="AO1448" s="59">
        <v>0</v>
      </c>
      <c r="AP1448" s="59">
        <v>21</v>
      </c>
      <c r="AQ1448" s="59">
        <v>4</v>
      </c>
      <c r="AR1448" s="59">
        <v>4</v>
      </c>
      <c r="AS1448" s="59">
        <v>80</v>
      </c>
      <c r="AT1448" s="59">
        <v>2</v>
      </c>
      <c r="AU1448" s="59">
        <v>8</v>
      </c>
      <c r="AV1448" s="59">
        <v>2</v>
      </c>
      <c r="AW1448" s="59">
        <v>3</v>
      </c>
      <c r="AX1448" s="59">
        <v>8</v>
      </c>
      <c r="AY1448" s="59">
        <v>7</v>
      </c>
      <c r="AZ1448" s="59">
        <v>1</v>
      </c>
      <c r="BA1448" s="59">
        <v>7</v>
      </c>
      <c r="BB1448" s="57">
        <f t="shared" si="436"/>
        <v>13424</v>
      </c>
    </row>
    <row r="1449" spans="1:54" x14ac:dyDescent="0.25">
      <c r="A1449" s="58">
        <v>36</v>
      </c>
      <c r="B1449" s="59">
        <v>0</v>
      </c>
      <c r="C1449" s="59">
        <v>3</v>
      </c>
      <c r="D1449" s="59">
        <f t="shared" si="418"/>
        <v>0</v>
      </c>
      <c r="E1449" s="59">
        <f t="shared" si="419"/>
        <v>0</v>
      </c>
      <c r="F1449" s="59">
        <v>301</v>
      </c>
      <c r="G1449" s="59">
        <v>1</v>
      </c>
      <c r="H1449" s="59">
        <f t="shared" si="420"/>
        <v>1</v>
      </c>
      <c r="I1449" s="59">
        <f t="shared" si="421"/>
        <v>0</v>
      </c>
      <c r="J1449" s="59">
        <v>15</v>
      </c>
      <c r="K1449" s="59">
        <v>4</v>
      </c>
      <c r="L1449" s="59">
        <v>4</v>
      </c>
      <c r="M1449" s="59">
        <f t="shared" si="422"/>
        <v>0</v>
      </c>
      <c r="N1449" s="59">
        <f t="shared" si="423"/>
        <v>0</v>
      </c>
      <c r="O1449" s="59">
        <f t="shared" si="424"/>
        <v>0</v>
      </c>
      <c r="P1449" s="59">
        <f t="shared" si="425"/>
        <v>1</v>
      </c>
      <c r="Q1449" s="59">
        <f t="shared" si="426"/>
        <v>0</v>
      </c>
      <c r="R1449" s="59">
        <v>1</v>
      </c>
      <c r="S1449" s="59">
        <v>2036</v>
      </c>
      <c r="T1449" s="59">
        <v>4</v>
      </c>
      <c r="U1449" s="59">
        <v>1</v>
      </c>
      <c r="V1449" s="59">
        <v>88</v>
      </c>
      <c r="W1449" s="59">
        <v>1</v>
      </c>
      <c r="X1449" s="59">
        <v>2</v>
      </c>
      <c r="Y1449" s="59">
        <v>1</v>
      </c>
      <c r="Z1449" s="59">
        <f t="shared" si="427"/>
        <v>1</v>
      </c>
      <c r="AA1449" s="59">
        <f>IF('Updated Dummy'!Y1449=2,1,0)</f>
        <v>0</v>
      </c>
      <c r="AB1449" s="59">
        <f t="shared" si="428"/>
        <v>0</v>
      </c>
      <c r="AC1449" s="59">
        <f t="shared" si="429"/>
        <v>0</v>
      </c>
      <c r="AD1449" s="59">
        <f t="shared" si="430"/>
        <v>0</v>
      </c>
      <c r="AE1449" s="59">
        <f t="shared" si="431"/>
        <v>0</v>
      </c>
      <c r="AF1449" s="59">
        <f t="shared" si="432"/>
        <v>0</v>
      </c>
      <c r="AG1449" s="59">
        <f t="shared" si="433"/>
        <v>0</v>
      </c>
      <c r="AH1449" s="59">
        <v>4</v>
      </c>
      <c r="AI1449" s="59">
        <v>3</v>
      </c>
      <c r="AJ1449" s="59">
        <f t="shared" si="434"/>
        <v>0</v>
      </c>
      <c r="AK1449" s="59">
        <f t="shared" si="435"/>
        <v>0</v>
      </c>
      <c r="AL1449" s="59">
        <v>5406</v>
      </c>
      <c r="AM1449" s="59">
        <v>10436</v>
      </c>
      <c r="AN1449" s="59">
        <v>1</v>
      </c>
      <c r="AO1449" s="59">
        <v>0</v>
      </c>
      <c r="AP1449" s="59">
        <v>24</v>
      </c>
      <c r="AQ1449" s="59">
        <v>4</v>
      </c>
      <c r="AR1449" s="59">
        <v>1</v>
      </c>
      <c r="AS1449" s="59">
        <v>80</v>
      </c>
      <c r="AT1449" s="59">
        <v>1</v>
      </c>
      <c r="AU1449" s="59">
        <v>15</v>
      </c>
      <c r="AV1449" s="59">
        <v>4</v>
      </c>
      <c r="AW1449" s="59">
        <v>2</v>
      </c>
      <c r="AX1449" s="59">
        <v>15</v>
      </c>
      <c r="AY1449" s="59">
        <v>12</v>
      </c>
      <c r="AZ1449" s="59">
        <v>11</v>
      </c>
      <c r="BA1449" s="59">
        <v>11</v>
      </c>
      <c r="BB1449" s="57">
        <f t="shared" si="436"/>
        <v>10812</v>
      </c>
    </row>
    <row r="1450" spans="1:54" x14ac:dyDescent="0.25">
      <c r="A1450" s="58">
        <v>41</v>
      </c>
      <c r="B1450" s="59">
        <v>0</v>
      </c>
      <c r="C1450" s="59">
        <v>1</v>
      </c>
      <c r="D1450" s="59">
        <f t="shared" si="418"/>
        <v>1</v>
      </c>
      <c r="E1450" s="59">
        <f t="shared" si="419"/>
        <v>0</v>
      </c>
      <c r="F1450" s="59">
        <v>930</v>
      </c>
      <c r="G1450" s="59">
        <v>1</v>
      </c>
      <c r="H1450" s="59">
        <f t="shared" si="420"/>
        <v>1</v>
      </c>
      <c r="I1450" s="59">
        <f t="shared" si="421"/>
        <v>0</v>
      </c>
      <c r="J1450" s="59">
        <v>3</v>
      </c>
      <c r="K1450" s="59">
        <v>3</v>
      </c>
      <c r="L1450" s="59">
        <v>1</v>
      </c>
      <c r="M1450" s="59">
        <f t="shared" si="422"/>
        <v>1</v>
      </c>
      <c r="N1450" s="59">
        <f t="shared" si="423"/>
        <v>0</v>
      </c>
      <c r="O1450" s="59">
        <f t="shared" si="424"/>
        <v>0</v>
      </c>
      <c r="P1450" s="59">
        <f t="shared" si="425"/>
        <v>0</v>
      </c>
      <c r="Q1450" s="59">
        <f t="shared" si="426"/>
        <v>0</v>
      </c>
      <c r="R1450" s="59">
        <v>1</v>
      </c>
      <c r="S1450" s="59">
        <v>2037</v>
      </c>
      <c r="T1450" s="59">
        <v>3</v>
      </c>
      <c r="U1450" s="59">
        <v>1</v>
      </c>
      <c r="V1450" s="59">
        <v>57</v>
      </c>
      <c r="W1450" s="59">
        <v>2</v>
      </c>
      <c r="X1450" s="59">
        <v>2</v>
      </c>
      <c r="Y1450" s="59">
        <v>1</v>
      </c>
      <c r="Z1450" s="59">
        <f t="shared" si="427"/>
        <v>1</v>
      </c>
      <c r="AA1450" s="59">
        <f>IF('Updated Dummy'!Y1450=2,1,0)</f>
        <v>0</v>
      </c>
      <c r="AB1450" s="59">
        <f t="shared" si="428"/>
        <v>0</v>
      </c>
      <c r="AC1450" s="59">
        <f t="shared" si="429"/>
        <v>0</v>
      </c>
      <c r="AD1450" s="59">
        <f t="shared" si="430"/>
        <v>0</v>
      </c>
      <c r="AE1450" s="59">
        <f t="shared" si="431"/>
        <v>0</v>
      </c>
      <c r="AF1450" s="59">
        <f t="shared" si="432"/>
        <v>0</v>
      </c>
      <c r="AG1450" s="59">
        <f t="shared" si="433"/>
        <v>0</v>
      </c>
      <c r="AH1450" s="59">
        <v>2</v>
      </c>
      <c r="AI1450" s="59">
        <v>3</v>
      </c>
      <c r="AJ1450" s="59">
        <f t="shared" si="434"/>
        <v>0</v>
      </c>
      <c r="AK1450" s="59">
        <f t="shared" si="435"/>
        <v>0</v>
      </c>
      <c r="AL1450" s="59">
        <v>8938</v>
      </c>
      <c r="AM1450" s="59">
        <v>12227</v>
      </c>
      <c r="AN1450" s="59">
        <v>2</v>
      </c>
      <c r="AO1450" s="59">
        <v>0</v>
      </c>
      <c r="AP1450" s="59">
        <v>11</v>
      </c>
      <c r="AQ1450" s="59">
        <v>3</v>
      </c>
      <c r="AR1450" s="59">
        <v>3</v>
      </c>
      <c r="AS1450" s="59">
        <v>80</v>
      </c>
      <c r="AT1450" s="59">
        <v>1</v>
      </c>
      <c r="AU1450" s="59">
        <v>14</v>
      </c>
      <c r="AV1450" s="59">
        <v>5</v>
      </c>
      <c r="AW1450" s="59">
        <v>3</v>
      </c>
      <c r="AX1450" s="59">
        <v>5</v>
      </c>
      <c r="AY1450" s="59">
        <v>4</v>
      </c>
      <c r="AZ1450" s="59">
        <v>0</v>
      </c>
      <c r="BA1450" s="59">
        <v>4</v>
      </c>
      <c r="BB1450" s="57">
        <f t="shared" si="436"/>
        <v>17876</v>
      </c>
    </row>
    <row r="1451" spans="1:54" x14ac:dyDescent="0.25">
      <c r="A1451" s="58">
        <v>32</v>
      </c>
      <c r="B1451" s="59">
        <v>0</v>
      </c>
      <c r="C1451" s="59">
        <v>1</v>
      </c>
      <c r="D1451" s="59">
        <f t="shared" si="418"/>
        <v>1</v>
      </c>
      <c r="E1451" s="59">
        <f t="shared" si="419"/>
        <v>0</v>
      </c>
      <c r="F1451" s="59">
        <v>529</v>
      </c>
      <c r="G1451" s="59">
        <v>2</v>
      </c>
      <c r="H1451" s="59">
        <f t="shared" si="420"/>
        <v>0</v>
      </c>
      <c r="I1451" s="59">
        <f t="shared" si="421"/>
        <v>1</v>
      </c>
      <c r="J1451" s="59">
        <v>2</v>
      </c>
      <c r="K1451" s="59">
        <v>3</v>
      </c>
      <c r="L1451" s="59">
        <v>5</v>
      </c>
      <c r="M1451" s="59">
        <f t="shared" si="422"/>
        <v>0</v>
      </c>
      <c r="N1451" s="59">
        <f t="shared" si="423"/>
        <v>0</v>
      </c>
      <c r="O1451" s="59">
        <f t="shared" si="424"/>
        <v>0</v>
      </c>
      <c r="P1451" s="59">
        <f t="shared" si="425"/>
        <v>0</v>
      </c>
      <c r="Q1451" s="59">
        <f t="shared" si="426"/>
        <v>1</v>
      </c>
      <c r="R1451" s="59">
        <v>1</v>
      </c>
      <c r="S1451" s="59">
        <v>2038</v>
      </c>
      <c r="T1451" s="59">
        <v>4</v>
      </c>
      <c r="U1451" s="59">
        <v>1</v>
      </c>
      <c r="V1451" s="59">
        <v>78</v>
      </c>
      <c r="W1451" s="59">
        <v>3</v>
      </c>
      <c r="X1451" s="59">
        <v>1</v>
      </c>
      <c r="Y1451" s="59">
        <v>2</v>
      </c>
      <c r="Z1451" s="59">
        <f t="shared" si="427"/>
        <v>0</v>
      </c>
      <c r="AA1451" s="59">
        <f>IF('Updated Dummy'!Y1451=2,1,0)</f>
        <v>1</v>
      </c>
      <c r="AB1451" s="59">
        <f t="shared" si="428"/>
        <v>0</v>
      </c>
      <c r="AC1451" s="59">
        <f t="shared" si="429"/>
        <v>0</v>
      </c>
      <c r="AD1451" s="59">
        <f t="shared" si="430"/>
        <v>0</v>
      </c>
      <c r="AE1451" s="59">
        <f t="shared" si="431"/>
        <v>0</v>
      </c>
      <c r="AF1451" s="59">
        <f t="shared" si="432"/>
        <v>0</v>
      </c>
      <c r="AG1451" s="59">
        <f t="shared" si="433"/>
        <v>0</v>
      </c>
      <c r="AH1451" s="59">
        <v>1</v>
      </c>
      <c r="AI1451" s="59">
        <v>1</v>
      </c>
      <c r="AJ1451" s="59">
        <f t="shared" si="434"/>
        <v>1</v>
      </c>
      <c r="AK1451" s="59">
        <f t="shared" si="435"/>
        <v>0</v>
      </c>
      <c r="AL1451" s="59">
        <v>2439</v>
      </c>
      <c r="AM1451" s="59">
        <v>11288</v>
      </c>
      <c r="AN1451" s="59">
        <v>1</v>
      </c>
      <c r="AO1451" s="59">
        <v>0</v>
      </c>
      <c r="AP1451" s="59">
        <v>14</v>
      </c>
      <c r="AQ1451" s="59">
        <v>3</v>
      </c>
      <c r="AR1451" s="59">
        <v>4</v>
      </c>
      <c r="AS1451" s="59">
        <v>80</v>
      </c>
      <c r="AT1451" s="59">
        <v>0</v>
      </c>
      <c r="AU1451" s="59">
        <v>4</v>
      </c>
      <c r="AV1451" s="59">
        <v>4</v>
      </c>
      <c r="AW1451" s="59">
        <v>3</v>
      </c>
      <c r="AX1451" s="59">
        <v>4</v>
      </c>
      <c r="AY1451" s="59">
        <v>2</v>
      </c>
      <c r="AZ1451" s="59">
        <v>1</v>
      </c>
      <c r="BA1451" s="59">
        <v>2</v>
      </c>
      <c r="BB1451" s="57">
        <f t="shared" si="436"/>
        <v>2439</v>
      </c>
    </row>
    <row r="1452" spans="1:54" x14ac:dyDescent="0.25">
      <c r="A1452" s="58">
        <v>35</v>
      </c>
      <c r="B1452" s="59">
        <v>0</v>
      </c>
      <c r="C1452" s="59">
        <v>1</v>
      </c>
      <c r="D1452" s="59">
        <f t="shared" si="418"/>
        <v>1</v>
      </c>
      <c r="E1452" s="59">
        <f t="shared" si="419"/>
        <v>0</v>
      </c>
      <c r="F1452" s="59">
        <v>1146</v>
      </c>
      <c r="G1452" s="59">
        <v>3</v>
      </c>
      <c r="H1452" s="59">
        <f t="shared" si="420"/>
        <v>0</v>
      </c>
      <c r="I1452" s="59">
        <f t="shared" si="421"/>
        <v>0</v>
      </c>
      <c r="J1452" s="59">
        <v>26</v>
      </c>
      <c r="K1452" s="59">
        <v>4</v>
      </c>
      <c r="L1452" s="59">
        <v>1</v>
      </c>
      <c r="M1452" s="59">
        <f t="shared" si="422"/>
        <v>1</v>
      </c>
      <c r="N1452" s="59">
        <f t="shared" si="423"/>
        <v>0</v>
      </c>
      <c r="O1452" s="59">
        <f t="shared" si="424"/>
        <v>0</v>
      </c>
      <c r="P1452" s="59">
        <f t="shared" si="425"/>
        <v>0</v>
      </c>
      <c r="Q1452" s="59">
        <f t="shared" si="426"/>
        <v>0</v>
      </c>
      <c r="R1452" s="59">
        <v>1</v>
      </c>
      <c r="S1452" s="59">
        <v>2040</v>
      </c>
      <c r="T1452" s="59">
        <v>3</v>
      </c>
      <c r="U1452" s="59">
        <v>0</v>
      </c>
      <c r="V1452" s="59">
        <v>31</v>
      </c>
      <c r="W1452" s="59">
        <v>3</v>
      </c>
      <c r="X1452" s="59">
        <v>3</v>
      </c>
      <c r="Y1452" s="59">
        <v>9</v>
      </c>
      <c r="Z1452" s="59">
        <f t="shared" si="427"/>
        <v>0</v>
      </c>
      <c r="AA1452" s="59">
        <f>IF('Updated Dummy'!Y1452=2,1,0)</f>
        <v>0</v>
      </c>
      <c r="AB1452" s="59">
        <f t="shared" si="428"/>
        <v>0</v>
      </c>
      <c r="AC1452" s="59">
        <f t="shared" si="429"/>
        <v>0</v>
      </c>
      <c r="AD1452" s="59">
        <f t="shared" si="430"/>
        <v>0</v>
      </c>
      <c r="AE1452" s="59">
        <f t="shared" si="431"/>
        <v>0</v>
      </c>
      <c r="AF1452" s="59">
        <f t="shared" si="432"/>
        <v>0</v>
      </c>
      <c r="AG1452" s="59">
        <f t="shared" si="433"/>
        <v>0</v>
      </c>
      <c r="AH1452" s="59">
        <v>4</v>
      </c>
      <c r="AI1452" s="59">
        <v>1</v>
      </c>
      <c r="AJ1452" s="59">
        <f t="shared" si="434"/>
        <v>1</v>
      </c>
      <c r="AK1452" s="59">
        <f t="shared" si="435"/>
        <v>0</v>
      </c>
      <c r="AL1452" s="59">
        <v>8837</v>
      </c>
      <c r="AM1452" s="59">
        <v>16642</v>
      </c>
      <c r="AN1452" s="59">
        <v>1</v>
      </c>
      <c r="AO1452" s="59">
        <v>1</v>
      </c>
      <c r="AP1452" s="59">
        <v>16</v>
      </c>
      <c r="AQ1452" s="59">
        <v>3</v>
      </c>
      <c r="AR1452" s="59">
        <v>3</v>
      </c>
      <c r="AS1452" s="59">
        <v>80</v>
      </c>
      <c r="AT1452" s="59">
        <v>0</v>
      </c>
      <c r="AU1452" s="59">
        <v>9</v>
      </c>
      <c r="AV1452" s="59">
        <v>2</v>
      </c>
      <c r="AW1452" s="59">
        <v>3</v>
      </c>
      <c r="AX1452" s="59">
        <v>9</v>
      </c>
      <c r="AY1452" s="59">
        <v>0</v>
      </c>
      <c r="AZ1452" s="59">
        <v>1</v>
      </c>
      <c r="BA1452" s="59">
        <v>7</v>
      </c>
      <c r="BB1452" s="57">
        <f t="shared" si="436"/>
        <v>26511</v>
      </c>
    </row>
    <row r="1453" spans="1:54" x14ac:dyDescent="0.25">
      <c r="A1453" s="58">
        <v>38</v>
      </c>
      <c r="B1453" s="59">
        <v>0</v>
      </c>
      <c r="C1453" s="59">
        <v>1</v>
      </c>
      <c r="D1453" s="59">
        <f t="shared" si="418"/>
        <v>1</v>
      </c>
      <c r="E1453" s="59">
        <f t="shared" si="419"/>
        <v>0</v>
      </c>
      <c r="F1453" s="59">
        <v>345</v>
      </c>
      <c r="G1453" s="59">
        <v>1</v>
      </c>
      <c r="H1453" s="59">
        <f t="shared" si="420"/>
        <v>1</v>
      </c>
      <c r="I1453" s="59">
        <f t="shared" si="421"/>
        <v>0</v>
      </c>
      <c r="J1453" s="59">
        <v>10</v>
      </c>
      <c r="K1453" s="59">
        <v>2</v>
      </c>
      <c r="L1453" s="59">
        <v>1</v>
      </c>
      <c r="M1453" s="59">
        <f t="shared" si="422"/>
        <v>1</v>
      </c>
      <c r="N1453" s="59">
        <f t="shared" si="423"/>
        <v>0</v>
      </c>
      <c r="O1453" s="59">
        <f t="shared" si="424"/>
        <v>0</v>
      </c>
      <c r="P1453" s="59">
        <f t="shared" si="425"/>
        <v>0</v>
      </c>
      <c r="Q1453" s="59">
        <f t="shared" si="426"/>
        <v>0</v>
      </c>
      <c r="R1453" s="59">
        <v>1</v>
      </c>
      <c r="S1453" s="59">
        <v>2041</v>
      </c>
      <c r="T1453" s="59">
        <v>1</v>
      </c>
      <c r="U1453" s="59">
        <v>0</v>
      </c>
      <c r="V1453" s="59">
        <v>100</v>
      </c>
      <c r="W1453" s="59">
        <v>3</v>
      </c>
      <c r="X1453" s="59">
        <v>2</v>
      </c>
      <c r="Y1453" s="59">
        <v>1</v>
      </c>
      <c r="Z1453" s="59">
        <f t="shared" si="427"/>
        <v>1</v>
      </c>
      <c r="AA1453" s="59">
        <f>IF('Updated Dummy'!Y1453=2,1,0)</f>
        <v>0</v>
      </c>
      <c r="AB1453" s="59">
        <f t="shared" si="428"/>
        <v>0</v>
      </c>
      <c r="AC1453" s="59">
        <f t="shared" si="429"/>
        <v>0</v>
      </c>
      <c r="AD1453" s="59">
        <f t="shared" si="430"/>
        <v>0</v>
      </c>
      <c r="AE1453" s="59">
        <f t="shared" si="431"/>
        <v>0</v>
      </c>
      <c r="AF1453" s="59">
        <f t="shared" si="432"/>
        <v>0</v>
      </c>
      <c r="AG1453" s="59">
        <f t="shared" si="433"/>
        <v>0</v>
      </c>
      <c r="AH1453" s="59">
        <v>4</v>
      </c>
      <c r="AI1453" s="59">
        <v>2</v>
      </c>
      <c r="AJ1453" s="59">
        <f t="shared" si="434"/>
        <v>0</v>
      </c>
      <c r="AK1453" s="59">
        <f t="shared" si="435"/>
        <v>1</v>
      </c>
      <c r="AL1453" s="59">
        <v>5343</v>
      </c>
      <c r="AM1453" s="59">
        <v>5982</v>
      </c>
      <c r="AN1453" s="59">
        <v>1</v>
      </c>
      <c r="AO1453" s="59">
        <v>0</v>
      </c>
      <c r="AP1453" s="59">
        <v>11</v>
      </c>
      <c r="AQ1453" s="59">
        <v>3</v>
      </c>
      <c r="AR1453" s="59">
        <v>3</v>
      </c>
      <c r="AS1453" s="59">
        <v>80</v>
      </c>
      <c r="AT1453" s="59">
        <v>1</v>
      </c>
      <c r="AU1453" s="59">
        <v>10</v>
      </c>
      <c r="AV1453" s="59">
        <v>1</v>
      </c>
      <c r="AW1453" s="59">
        <v>3</v>
      </c>
      <c r="AX1453" s="59">
        <v>10</v>
      </c>
      <c r="AY1453" s="59">
        <v>7</v>
      </c>
      <c r="AZ1453" s="59">
        <v>1</v>
      </c>
      <c r="BA1453" s="59">
        <v>9</v>
      </c>
      <c r="BB1453" s="57">
        <f t="shared" si="436"/>
        <v>10686</v>
      </c>
    </row>
    <row r="1454" spans="1:54" x14ac:dyDescent="0.25">
      <c r="A1454" s="58">
        <v>50</v>
      </c>
      <c r="B1454" s="59">
        <v>1</v>
      </c>
      <c r="C1454" s="59">
        <v>2</v>
      </c>
      <c r="D1454" s="59">
        <f t="shared" si="418"/>
        <v>0</v>
      </c>
      <c r="E1454" s="59">
        <f t="shared" si="419"/>
        <v>1</v>
      </c>
      <c r="F1454" s="59">
        <v>878</v>
      </c>
      <c r="G1454" s="59">
        <v>1</v>
      </c>
      <c r="H1454" s="59">
        <f t="shared" si="420"/>
        <v>1</v>
      </c>
      <c r="I1454" s="59">
        <f t="shared" si="421"/>
        <v>0</v>
      </c>
      <c r="J1454" s="59">
        <v>1</v>
      </c>
      <c r="K1454" s="59">
        <v>4</v>
      </c>
      <c r="L1454" s="59">
        <v>1</v>
      </c>
      <c r="M1454" s="59">
        <f t="shared" si="422"/>
        <v>1</v>
      </c>
      <c r="N1454" s="59">
        <f t="shared" si="423"/>
        <v>0</v>
      </c>
      <c r="O1454" s="59">
        <f t="shared" si="424"/>
        <v>0</v>
      </c>
      <c r="P1454" s="59">
        <f t="shared" si="425"/>
        <v>0</v>
      </c>
      <c r="Q1454" s="59">
        <f t="shared" si="426"/>
        <v>0</v>
      </c>
      <c r="R1454" s="59">
        <v>1</v>
      </c>
      <c r="S1454" s="59">
        <v>2044</v>
      </c>
      <c r="T1454" s="59">
        <v>2</v>
      </c>
      <c r="U1454" s="59">
        <v>1</v>
      </c>
      <c r="V1454" s="59">
        <v>94</v>
      </c>
      <c r="W1454" s="59">
        <v>3</v>
      </c>
      <c r="X1454" s="59">
        <v>2</v>
      </c>
      <c r="Y1454" s="59">
        <v>1</v>
      </c>
      <c r="Z1454" s="59">
        <f t="shared" si="427"/>
        <v>1</v>
      </c>
      <c r="AA1454" s="59">
        <f>IF('Updated Dummy'!Y1454=2,1,0)</f>
        <v>0</v>
      </c>
      <c r="AB1454" s="59">
        <f t="shared" si="428"/>
        <v>0</v>
      </c>
      <c r="AC1454" s="59">
        <f t="shared" si="429"/>
        <v>0</v>
      </c>
      <c r="AD1454" s="59">
        <f t="shared" si="430"/>
        <v>0</v>
      </c>
      <c r="AE1454" s="59">
        <f t="shared" si="431"/>
        <v>0</v>
      </c>
      <c r="AF1454" s="59">
        <f t="shared" si="432"/>
        <v>0</v>
      </c>
      <c r="AG1454" s="59">
        <f t="shared" si="433"/>
        <v>0</v>
      </c>
      <c r="AH1454" s="59">
        <v>3</v>
      </c>
      <c r="AI1454" s="59">
        <v>3</v>
      </c>
      <c r="AJ1454" s="59">
        <f t="shared" si="434"/>
        <v>0</v>
      </c>
      <c r="AK1454" s="59">
        <f t="shared" si="435"/>
        <v>0</v>
      </c>
      <c r="AL1454" s="59">
        <v>6728</v>
      </c>
      <c r="AM1454" s="59">
        <v>14255</v>
      </c>
      <c r="AN1454" s="59">
        <v>7</v>
      </c>
      <c r="AO1454" s="59">
        <v>0</v>
      </c>
      <c r="AP1454" s="59">
        <v>12</v>
      </c>
      <c r="AQ1454" s="59">
        <v>3</v>
      </c>
      <c r="AR1454" s="59">
        <v>4</v>
      </c>
      <c r="AS1454" s="59">
        <v>80</v>
      </c>
      <c r="AT1454" s="59">
        <v>2</v>
      </c>
      <c r="AU1454" s="59">
        <v>12</v>
      </c>
      <c r="AV1454" s="59">
        <v>3</v>
      </c>
      <c r="AW1454" s="59">
        <v>3</v>
      </c>
      <c r="AX1454" s="59">
        <v>6</v>
      </c>
      <c r="AY1454" s="59">
        <v>3</v>
      </c>
      <c r="AZ1454" s="59">
        <v>0</v>
      </c>
      <c r="BA1454" s="59">
        <v>1</v>
      </c>
      <c r="BB1454" s="57">
        <f t="shared" si="436"/>
        <v>13456</v>
      </c>
    </row>
    <row r="1455" spans="1:54" x14ac:dyDescent="0.25">
      <c r="A1455" s="58">
        <v>36</v>
      </c>
      <c r="B1455" s="59">
        <v>0</v>
      </c>
      <c r="C1455" s="59">
        <v>1</v>
      </c>
      <c r="D1455" s="59">
        <f t="shared" si="418"/>
        <v>1</v>
      </c>
      <c r="E1455" s="59">
        <f t="shared" si="419"/>
        <v>0</v>
      </c>
      <c r="F1455" s="59">
        <v>1120</v>
      </c>
      <c r="G1455" s="59">
        <v>1</v>
      </c>
      <c r="H1455" s="59">
        <f t="shared" si="420"/>
        <v>1</v>
      </c>
      <c r="I1455" s="59">
        <f t="shared" si="421"/>
        <v>0</v>
      </c>
      <c r="J1455" s="59">
        <v>11</v>
      </c>
      <c r="K1455" s="59">
        <v>4</v>
      </c>
      <c r="L1455" s="59">
        <v>4</v>
      </c>
      <c r="M1455" s="59">
        <f t="shared" si="422"/>
        <v>0</v>
      </c>
      <c r="N1455" s="59">
        <f t="shared" si="423"/>
        <v>0</v>
      </c>
      <c r="O1455" s="59">
        <f t="shared" si="424"/>
        <v>0</v>
      </c>
      <c r="P1455" s="59">
        <f t="shared" si="425"/>
        <v>1</v>
      </c>
      <c r="Q1455" s="59">
        <f t="shared" si="426"/>
        <v>0</v>
      </c>
      <c r="R1455" s="59">
        <v>1</v>
      </c>
      <c r="S1455" s="59">
        <v>2045</v>
      </c>
      <c r="T1455" s="59">
        <v>2</v>
      </c>
      <c r="U1455" s="59">
        <v>0</v>
      </c>
      <c r="V1455" s="59">
        <v>100</v>
      </c>
      <c r="W1455" s="59">
        <v>2</v>
      </c>
      <c r="X1455" s="59">
        <v>2</v>
      </c>
      <c r="Y1455" s="59">
        <v>1</v>
      </c>
      <c r="Z1455" s="59">
        <f t="shared" si="427"/>
        <v>1</v>
      </c>
      <c r="AA1455" s="59">
        <f>IF('Updated Dummy'!Y1455=2,1,0)</f>
        <v>0</v>
      </c>
      <c r="AB1455" s="59">
        <f t="shared" si="428"/>
        <v>0</v>
      </c>
      <c r="AC1455" s="59">
        <f t="shared" si="429"/>
        <v>0</v>
      </c>
      <c r="AD1455" s="59">
        <f t="shared" si="430"/>
        <v>0</v>
      </c>
      <c r="AE1455" s="59">
        <f t="shared" si="431"/>
        <v>0</v>
      </c>
      <c r="AF1455" s="59">
        <f t="shared" si="432"/>
        <v>0</v>
      </c>
      <c r="AG1455" s="59">
        <f t="shared" si="433"/>
        <v>0</v>
      </c>
      <c r="AH1455" s="59">
        <v>4</v>
      </c>
      <c r="AI1455" s="59">
        <v>2</v>
      </c>
      <c r="AJ1455" s="59">
        <f t="shared" si="434"/>
        <v>0</v>
      </c>
      <c r="AK1455" s="59">
        <f t="shared" si="435"/>
        <v>1</v>
      </c>
      <c r="AL1455" s="59">
        <v>6652</v>
      </c>
      <c r="AM1455" s="59">
        <v>14369</v>
      </c>
      <c r="AN1455" s="59">
        <v>4</v>
      </c>
      <c r="AO1455" s="59">
        <v>0</v>
      </c>
      <c r="AP1455" s="59">
        <v>13</v>
      </c>
      <c r="AQ1455" s="59">
        <v>3</v>
      </c>
      <c r="AR1455" s="59">
        <v>1</v>
      </c>
      <c r="AS1455" s="59">
        <v>80</v>
      </c>
      <c r="AT1455" s="59">
        <v>1</v>
      </c>
      <c r="AU1455" s="59">
        <v>8</v>
      </c>
      <c r="AV1455" s="59">
        <v>2</v>
      </c>
      <c r="AW1455" s="59">
        <v>2</v>
      </c>
      <c r="AX1455" s="59">
        <v>6</v>
      </c>
      <c r="AY1455" s="59">
        <v>3</v>
      </c>
      <c r="AZ1455" s="59">
        <v>0</v>
      </c>
      <c r="BA1455" s="59">
        <v>0</v>
      </c>
      <c r="BB1455" s="57">
        <f t="shared" si="436"/>
        <v>13304</v>
      </c>
    </row>
    <row r="1456" spans="1:54" x14ac:dyDescent="0.25">
      <c r="A1456" s="58">
        <v>45</v>
      </c>
      <c r="B1456" s="59">
        <v>0</v>
      </c>
      <c r="C1456" s="59">
        <v>1</v>
      </c>
      <c r="D1456" s="59">
        <f t="shared" si="418"/>
        <v>1</v>
      </c>
      <c r="E1456" s="59">
        <f t="shared" si="419"/>
        <v>0</v>
      </c>
      <c r="F1456" s="59">
        <v>374</v>
      </c>
      <c r="G1456" s="59">
        <v>1</v>
      </c>
      <c r="H1456" s="59">
        <f t="shared" si="420"/>
        <v>1</v>
      </c>
      <c r="I1456" s="59">
        <f t="shared" si="421"/>
        <v>0</v>
      </c>
      <c r="J1456" s="59">
        <v>20</v>
      </c>
      <c r="K1456" s="59">
        <v>3</v>
      </c>
      <c r="L1456" s="59">
        <v>1</v>
      </c>
      <c r="M1456" s="59">
        <f t="shared" si="422"/>
        <v>1</v>
      </c>
      <c r="N1456" s="59">
        <f t="shared" si="423"/>
        <v>0</v>
      </c>
      <c r="O1456" s="59">
        <f t="shared" si="424"/>
        <v>0</v>
      </c>
      <c r="P1456" s="59">
        <f t="shared" si="425"/>
        <v>0</v>
      </c>
      <c r="Q1456" s="59">
        <f t="shared" si="426"/>
        <v>0</v>
      </c>
      <c r="R1456" s="59">
        <v>1</v>
      </c>
      <c r="S1456" s="59">
        <v>2046</v>
      </c>
      <c r="T1456" s="59">
        <v>4</v>
      </c>
      <c r="U1456" s="59">
        <v>0</v>
      </c>
      <c r="V1456" s="59">
        <v>50</v>
      </c>
      <c r="W1456" s="59">
        <v>3</v>
      </c>
      <c r="X1456" s="59">
        <v>2</v>
      </c>
      <c r="Y1456" s="59">
        <v>1</v>
      </c>
      <c r="Z1456" s="59">
        <f t="shared" si="427"/>
        <v>1</v>
      </c>
      <c r="AA1456" s="59">
        <f>IF('Updated Dummy'!Y1456=2,1,0)</f>
        <v>0</v>
      </c>
      <c r="AB1456" s="59">
        <f t="shared" si="428"/>
        <v>0</v>
      </c>
      <c r="AC1456" s="59">
        <f t="shared" si="429"/>
        <v>0</v>
      </c>
      <c r="AD1456" s="59">
        <f t="shared" si="430"/>
        <v>0</v>
      </c>
      <c r="AE1456" s="59">
        <f t="shared" si="431"/>
        <v>0</v>
      </c>
      <c r="AF1456" s="59">
        <f t="shared" si="432"/>
        <v>0</v>
      </c>
      <c r="AG1456" s="59">
        <f t="shared" si="433"/>
        <v>0</v>
      </c>
      <c r="AH1456" s="59">
        <v>3</v>
      </c>
      <c r="AI1456" s="59">
        <v>1</v>
      </c>
      <c r="AJ1456" s="59">
        <f t="shared" si="434"/>
        <v>1</v>
      </c>
      <c r="AK1456" s="59">
        <f t="shared" si="435"/>
        <v>0</v>
      </c>
      <c r="AL1456" s="59">
        <v>4850</v>
      </c>
      <c r="AM1456" s="59">
        <v>23333</v>
      </c>
      <c r="AN1456" s="59">
        <v>8</v>
      </c>
      <c r="AO1456" s="59">
        <v>0</v>
      </c>
      <c r="AP1456" s="59">
        <v>15</v>
      </c>
      <c r="AQ1456" s="59">
        <v>3</v>
      </c>
      <c r="AR1456" s="59">
        <v>3</v>
      </c>
      <c r="AS1456" s="59">
        <v>80</v>
      </c>
      <c r="AT1456" s="59">
        <v>0</v>
      </c>
      <c r="AU1456" s="59">
        <v>8</v>
      </c>
      <c r="AV1456" s="59">
        <v>3</v>
      </c>
      <c r="AW1456" s="59">
        <v>3</v>
      </c>
      <c r="AX1456" s="59">
        <v>5</v>
      </c>
      <c r="AY1456" s="59">
        <v>3</v>
      </c>
      <c r="AZ1456" s="59">
        <v>0</v>
      </c>
      <c r="BA1456" s="59">
        <v>1</v>
      </c>
      <c r="BB1456" s="57">
        <f t="shared" si="436"/>
        <v>9700</v>
      </c>
    </row>
    <row r="1457" spans="1:54" x14ac:dyDescent="0.25">
      <c r="A1457" s="58">
        <v>40</v>
      </c>
      <c r="B1457" s="59">
        <v>0</v>
      </c>
      <c r="C1457" s="59">
        <v>1</v>
      </c>
      <c r="D1457" s="59">
        <f t="shared" si="418"/>
        <v>1</v>
      </c>
      <c r="E1457" s="59">
        <f t="shared" si="419"/>
        <v>0</v>
      </c>
      <c r="F1457" s="59">
        <v>1322</v>
      </c>
      <c r="G1457" s="59">
        <v>2</v>
      </c>
      <c r="H1457" s="59">
        <f t="shared" si="420"/>
        <v>0</v>
      </c>
      <c r="I1457" s="59">
        <f t="shared" si="421"/>
        <v>1</v>
      </c>
      <c r="J1457" s="59">
        <v>2</v>
      </c>
      <c r="K1457" s="59">
        <v>4</v>
      </c>
      <c r="L1457" s="59">
        <v>1</v>
      </c>
      <c r="M1457" s="59">
        <f t="shared" si="422"/>
        <v>1</v>
      </c>
      <c r="N1457" s="59">
        <f t="shared" si="423"/>
        <v>0</v>
      </c>
      <c r="O1457" s="59">
        <f t="shared" si="424"/>
        <v>0</v>
      </c>
      <c r="P1457" s="59">
        <f t="shared" si="425"/>
        <v>0</v>
      </c>
      <c r="Q1457" s="59">
        <f t="shared" si="426"/>
        <v>0</v>
      </c>
      <c r="R1457" s="59">
        <v>1</v>
      </c>
      <c r="S1457" s="59">
        <v>2048</v>
      </c>
      <c r="T1457" s="59">
        <v>3</v>
      </c>
      <c r="U1457" s="59">
        <v>1</v>
      </c>
      <c r="V1457" s="59">
        <v>52</v>
      </c>
      <c r="W1457" s="59">
        <v>2</v>
      </c>
      <c r="X1457" s="59">
        <v>1</v>
      </c>
      <c r="Y1457" s="59">
        <v>2</v>
      </c>
      <c r="Z1457" s="59">
        <f t="shared" si="427"/>
        <v>0</v>
      </c>
      <c r="AA1457" s="59">
        <f>IF('Updated Dummy'!Y1457=2,1,0)</f>
        <v>1</v>
      </c>
      <c r="AB1457" s="59">
        <f t="shared" si="428"/>
        <v>0</v>
      </c>
      <c r="AC1457" s="59">
        <f t="shared" si="429"/>
        <v>0</v>
      </c>
      <c r="AD1457" s="59">
        <f t="shared" si="430"/>
        <v>0</v>
      </c>
      <c r="AE1457" s="59">
        <f t="shared" si="431"/>
        <v>0</v>
      </c>
      <c r="AF1457" s="59">
        <f t="shared" si="432"/>
        <v>0</v>
      </c>
      <c r="AG1457" s="59">
        <f t="shared" si="433"/>
        <v>0</v>
      </c>
      <c r="AH1457" s="59">
        <v>3</v>
      </c>
      <c r="AI1457" s="59">
        <v>1</v>
      </c>
      <c r="AJ1457" s="59">
        <f t="shared" si="434"/>
        <v>1</v>
      </c>
      <c r="AK1457" s="59">
        <f t="shared" si="435"/>
        <v>0</v>
      </c>
      <c r="AL1457" s="59">
        <v>2809</v>
      </c>
      <c r="AM1457" s="59">
        <v>2725</v>
      </c>
      <c r="AN1457" s="59">
        <v>2</v>
      </c>
      <c r="AO1457" s="59">
        <v>0</v>
      </c>
      <c r="AP1457" s="59">
        <v>14</v>
      </c>
      <c r="AQ1457" s="59">
        <v>3</v>
      </c>
      <c r="AR1457" s="59">
        <v>4</v>
      </c>
      <c r="AS1457" s="59">
        <v>80</v>
      </c>
      <c r="AT1457" s="59">
        <v>0</v>
      </c>
      <c r="AU1457" s="59">
        <v>8</v>
      </c>
      <c r="AV1457" s="59">
        <v>2</v>
      </c>
      <c r="AW1457" s="59">
        <v>3</v>
      </c>
      <c r="AX1457" s="59">
        <v>2</v>
      </c>
      <c r="AY1457" s="59">
        <v>2</v>
      </c>
      <c r="AZ1457" s="59">
        <v>2</v>
      </c>
      <c r="BA1457" s="59">
        <v>2</v>
      </c>
      <c r="BB1457" s="57">
        <f t="shared" si="436"/>
        <v>2809</v>
      </c>
    </row>
    <row r="1458" spans="1:54" x14ac:dyDescent="0.25">
      <c r="A1458" s="58">
        <v>35</v>
      </c>
      <c r="B1458" s="59">
        <v>0</v>
      </c>
      <c r="C1458" s="59">
        <v>2</v>
      </c>
      <c r="D1458" s="59">
        <f t="shared" si="418"/>
        <v>0</v>
      </c>
      <c r="E1458" s="59">
        <f t="shared" si="419"/>
        <v>1</v>
      </c>
      <c r="F1458" s="59">
        <v>1199</v>
      </c>
      <c r="G1458" s="59">
        <v>2</v>
      </c>
      <c r="H1458" s="59">
        <f t="shared" si="420"/>
        <v>0</v>
      </c>
      <c r="I1458" s="59">
        <f t="shared" si="421"/>
        <v>1</v>
      </c>
      <c r="J1458" s="59">
        <v>18</v>
      </c>
      <c r="K1458" s="59">
        <v>4</v>
      </c>
      <c r="L1458" s="59">
        <v>1</v>
      </c>
      <c r="M1458" s="59">
        <f t="shared" si="422"/>
        <v>1</v>
      </c>
      <c r="N1458" s="59">
        <f t="shared" si="423"/>
        <v>0</v>
      </c>
      <c r="O1458" s="59">
        <f t="shared" si="424"/>
        <v>0</v>
      </c>
      <c r="P1458" s="59">
        <f t="shared" si="425"/>
        <v>0</v>
      </c>
      <c r="Q1458" s="59">
        <f t="shared" si="426"/>
        <v>0</v>
      </c>
      <c r="R1458" s="59">
        <v>1</v>
      </c>
      <c r="S1458" s="59">
        <v>2049</v>
      </c>
      <c r="T1458" s="59">
        <v>3</v>
      </c>
      <c r="U1458" s="59">
        <v>1</v>
      </c>
      <c r="V1458" s="59">
        <v>80</v>
      </c>
      <c r="W1458" s="59">
        <v>3</v>
      </c>
      <c r="X1458" s="59">
        <v>2</v>
      </c>
      <c r="Y1458" s="59">
        <v>5</v>
      </c>
      <c r="Z1458" s="59">
        <f t="shared" si="427"/>
        <v>0</v>
      </c>
      <c r="AA1458" s="59">
        <f>IF('Updated Dummy'!Y1458=2,1,0)</f>
        <v>0</v>
      </c>
      <c r="AB1458" s="59">
        <f t="shared" si="428"/>
        <v>0</v>
      </c>
      <c r="AC1458" s="59">
        <f t="shared" si="429"/>
        <v>0</v>
      </c>
      <c r="AD1458" s="59">
        <f t="shared" si="430"/>
        <v>1</v>
      </c>
      <c r="AE1458" s="59">
        <f t="shared" si="431"/>
        <v>0</v>
      </c>
      <c r="AF1458" s="59">
        <f t="shared" si="432"/>
        <v>0</v>
      </c>
      <c r="AG1458" s="59">
        <f t="shared" si="433"/>
        <v>0</v>
      </c>
      <c r="AH1458" s="59">
        <v>3</v>
      </c>
      <c r="AI1458" s="59">
        <v>2</v>
      </c>
      <c r="AJ1458" s="59">
        <f t="shared" si="434"/>
        <v>0</v>
      </c>
      <c r="AK1458" s="59">
        <f t="shared" si="435"/>
        <v>1</v>
      </c>
      <c r="AL1458" s="59">
        <v>5689</v>
      </c>
      <c r="AM1458" s="59">
        <v>24594</v>
      </c>
      <c r="AN1458" s="59">
        <v>1</v>
      </c>
      <c r="AO1458" s="59">
        <v>1</v>
      </c>
      <c r="AP1458" s="59">
        <v>14</v>
      </c>
      <c r="AQ1458" s="59">
        <v>3</v>
      </c>
      <c r="AR1458" s="59">
        <v>4</v>
      </c>
      <c r="AS1458" s="59">
        <v>80</v>
      </c>
      <c r="AT1458" s="59">
        <v>2</v>
      </c>
      <c r="AU1458" s="59">
        <v>10</v>
      </c>
      <c r="AV1458" s="59">
        <v>2</v>
      </c>
      <c r="AW1458" s="59">
        <v>4</v>
      </c>
      <c r="AX1458" s="59">
        <v>10</v>
      </c>
      <c r="AY1458" s="59">
        <v>2</v>
      </c>
      <c r="AZ1458" s="59">
        <v>0</v>
      </c>
      <c r="BA1458" s="59">
        <v>2</v>
      </c>
      <c r="BB1458" s="57">
        <f t="shared" si="436"/>
        <v>11378</v>
      </c>
    </row>
    <row r="1459" spans="1:54" x14ac:dyDescent="0.25">
      <c r="A1459" s="58">
        <v>40</v>
      </c>
      <c r="B1459" s="59">
        <v>0</v>
      </c>
      <c r="C1459" s="59">
        <v>1</v>
      </c>
      <c r="D1459" s="59">
        <f t="shared" si="418"/>
        <v>1</v>
      </c>
      <c r="E1459" s="59">
        <f t="shared" si="419"/>
        <v>0</v>
      </c>
      <c r="F1459" s="59">
        <v>1194</v>
      </c>
      <c r="G1459" s="59">
        <v>2</v>
      </c>
      <c r="H1459" s="59">
        <f t="shared" si="420"/>
        <v>0</v>
      </c>
      <c r="I1459" s="59">
        <f t="shared" si="421"/>
        <v>1</v>
      </c>
      <c r="J1459" s="59">
        <v>2</v>
      </c>
      <c r="K1459" s="59">
        <v>4</v>
      </c>
      <c r="L1459" s="59">
        <v>3</v>
      </c>
      <c r="M1459" s="59">
        <f t="shared" si="422"/>
        <v>0</v>
      </c>
      <c r="N1459" s="59">
        <f t="shared" si="423"/>
        <v>0</v>
      </c>
      <c r="O1459" s="59">
        <f t="shared" si="424"/>
        <v>1</v>
      </c>
      <c r="P1459" s="59">
        <f t="shared" si="425"/>
        <v>0</v>
      </c>
      <c r="Q1459" s="59">
        <f t="shared" si="426"/>
        <v>0</v>
      </c>
      <c r="R1459" s="59">
        <v>1</v>
      </c>
      <c r="S1459" s="59">
        <v>2051</v>
      </c>
      <c r="T1459" s="59">
        <v>3</v>
      </c>
      <c r="U1459" s="59">
        <v>0</v>
      </c>
      <c r="V1459" s="59">
        <v>98</v>
      </c>
      <c r="W1459" s="59">
        <v>3</v>
      </c>
      <c r="X1459" s="59">
        <v>1</v>
      </c>
      <c r="Y1459" s="59">
        <v>2</v>
      </c>
      <c r="Z1459" s="59">
        <f t="shared" si="427"/>
        <v>0</v>
      </c>
      <c r="AA1459" s="59">
        <f>IF('Updated Dummy'!Y1459=2,1,0)</f>
        <v>1</v>
      </c>
      <c r="AB1459" s="59">
        <f t="shared" si="428"/>
        <v>0</v>
      </c>
      <c r="AC1459" s="59">
        <f t="shared" si="429"/>
        <v>0</v>
      </c>
      <c r="AD1459" s="59">
        <f t="shared" si="430"/>
        <v>0</v>
      </c>
      <c r="AE1459" s="59">
        <f t="shared" si="431"/>
        <v>0</v>
      </c>
      <c r="AF1459" s="59">
        <f t="shared" si="432"/>
        <v>0</v>
      </c>
      <c r="AG1459" s="59">
        <f t="shared" si="433"/>
        <v>0</v>
      </c>
      <c r="AH1459" s="59">
        <v>3</v>
      </c>
      <c r="AI1459" s="59">
        <v>2</v>
      </c>
      <c r="AJ1459" s="59">
        <f t="shared" si="434"/>
        <v>0</v>
      </c>
      <c r="AK1459" s="59">
        <f t="shared" si="435"/>
        <v>1</v>
      </c>
      <c r="AL1459" s="59">
        <v>2001</v>
      </c>
      <c r="AM1459" s="59">
        <v>12549</v>
      </c>
      <c r="AN1459" s="59">
        <v>2</v>
      </c>
      <c r="AO1459" s="59">
        <v>0</v>
      </c>
      <c r="AP1459" s="59">
        <v>14</v>
      </c>
      <c r="AQ1459" s="59">
        <v>3</v>
      </c>
      <c r="AR1459" s="59">
        <v>2</v>
      </c>
      <c r="AS1459" s="59">
        <v>80</v>
      </c>
      <c r="AT1459" s="59">
        <v>3</v>
      </c>
      <c r="AU1459" s="59">
        <v>20</v>
      </c>
      <c r="AV1459" s="59">
        <v>2</v>
      </c>
      <c r="AW1459" s="59">
        <v>3</v>
      </c>
      <c r="AX1459" s="59">
        <v>5</v>
      </c>
      <c r="AY1459" s="59">
        <v>3</v>
      </c>
      <c r="AZ1459" s="59">
        <v>0</v>
      </c>
      <c r="BA1459" s="59">
        <v>2</v>
      </c>
      <c r="BB1459" s="57">
        <f t="shared" si="436"/>
        <v>2001</v>
      </c>
    </row>
    <row r="1460" spans="1:54" x14ac:dyDescent="0.25">
      <c r="A1460" s="58">
        <v>35</v>
      </c>
      <c r="B1460" s="59">
        <v>0</v>
      </c>
      <c r="C1460" s="59">
        <v>1</v>
      </c>
      <c r="D1460" s="59">
        <f t="shared" si="418"/>
        <v>1</v>
      </c>
      <c r="E1460" s="59">
        <f t="shared" si="419"/>
        <v>0</v>
      </c>
      <c r="F1460" s="59">
        <v>287</v>
      </c>
      <c r="G1460" s="59">
        <v>2</v>
      </c>
      <c r="H1460" s="59">
        <f t="shared" si="420"/>
        <v>0</v>
      </c>
      <c r="I1460" s="59">
        <f t="shared" si="421"/>
        <v>1</v>
      </c>
      <c r="J1460" s="59">
        <v>1</v>
      </c>
      <c r="K1460" s="59">
        <v>4</v>
      </c>
      <c r="L1460" s="59">
        <v>1</v>
      </c>
      <c r="M1460" s="59">
        <f t="shared" si="422"/>
        <v>1</v>
      </c>
      <c r="N1460" s="59">
        <f t="shared" si="423"/>
        <v>0</v>
      </c>
      <c r="O1460" s="59">
        <f t="shared" si="424"/>
        <v>0</v>
      </c>
      <c r="P1460" s="59">
        <f t="shared" si="425"/>
        <v>0</v>
      </c>
      <c r="Q1460" s="59">
        <f t="shared" si="426"/>
        <v>0</v>
      </c>
      <c r="R1460" s="59">
        <v>1</v>
      </c>
      <c r="S1460" s="59">
        <v>2052</v>
      </c>
      <c r="T1460" s="59">
        <v>3</v>
      </c>
      <c r="U1460" s="59">
        <v>0</v>
      </c>
      <c r="V1460" s="59">
        <v>62</v>
      </c>
      <c r="W1460" s="59">
        <v>1</v>
      </c>
      <c r="X1460" s="59">
        <v>1</v>
      </c>
      <c r="Y1460" s="59">
        <v>2</v>
      </c>
      <c r="Z1460" s="59">
        <f t="shared" si="427"/>
        <v>0</v>
      </c>
      <c r="AA1460" s="59">
        <f>IF('Updated Dummy'!Y1460=2,1,0)</f>
        <v>1</v>
      </c>
      <c r="AB1460" s="59">
        <f t="shared" si="428"/>
        <v>0</v>
      </c>
      <c r="AC1460" s="59">
        <f t="shared" si="429"/>
        <v>0</v>
      </c>
      <c r="AD1460" s="59">
        <f t="shared" si="430"/>
        <v>0</v>
      </c>
      <c r="AE1460" s="59">
        <f t="shared" si="431"/>
        <v>0</v>
      </c>
      <c r="AF1460" s="59">
        <f t="shared" si="432"/>
        <v>0</v>
      </c>
      <c r="AG1460" s="59">
        <f t="shared" si="433"/>
        <v>0</v>
      </c>
      <c r="AH1460" s="59">
        <v>4</v>
      </c>
      <c r="AI1460" s="59">
        <v>2</v>
      </c>
      <c r="AJ1460" s="59">
        <f t="shared" si="434"/>
        <v>0</v>
      </c>
      <c r="AK1460" s="59">
        <f t="shared" si="435"/>
        <v>1</v>
      </c>
      <c r="AL1460" s="59">
        <v>2977</v>
      </c>
      <c r="AM1460" s="59">
        <v>8952</v>
      </c>
      <c r="AN1460" s="59">
        <v>1</v>
      </c>
      <c r="AO1460" s="59">
        <v>0</v>
      </c>
      <c r="AP1460" s="59">
        <v>12</v>
      </c>
      <c r="AQ1460" s="59">
        <v>3</v>
      </c>
      <c r="AR1460" s="59">
        <v>4</v>
      </c>
      <c r="AS1460" s="59">
        <v>80</v>
      </c>
      <c r="AT1460" s="59">
        <v>1</v>
      </c>
      <c r="AU1460" s="59">
        <v>4</v>
      </c>
      <c r="AV1460" s="59">
        <v>5</v>
      </c>
      <c r="AW1460" s="59">
        <v>3</v>
      </c>
      <c r="AX1460" s="59">
        <v>4</v>
      </c>
      <c r="AY1460" s="59">
        <v>3</v>
      </c>
      <c r="AZ1460" s="59">
        <v>1</v>
      </c>
      <c r="BA1460" s="59">
        <v>1</v>
      </c>
      <c r="BB1460" s="57">
        <f t="shared" si="436"/>
        <v>2977</v>
      </c>
    </row>
    <row r="1461" spans="1:54" x14ac:dyDescent="0.25">
      <c r="A1461" s="58">
        <v>29</v>
      </c>
      <c r="B1461" s="59">
        <v>0</v>
      </c>
      <c r="C1461" s="59">
        <v>1</v>
      </c>
      <c r="D1461" s="59">
        <f t="shared" si="418"/>
        <v>1</v>
      </c>
      <c r="E1461" s="59">
        <f t="shared" si="419"/>
        <v>0</v>
      </c>
      <c r="F1461" s="59">
        <v>1378</v>
      </c>
      <c r="G1461" s="59">
        <v>2</v>
      </c>
      <c r="H1461" s="59">
        <f t="shared" si="420"/>
        <v>0</v>
      </c>
      <c r="I1461" s="59">
        <f t="shared" si="421"/>
        <v>1</v>
      </c>
      <c r="J1461" s="59">
        <v>13</v>
      </c>
      <c r="K1461" s="59">
        <v>2</v>
      </c>
      <c r="L1461" s="59">
        <v>6</v>
      </c>
      <c r="M1461" s="59">
        <f t="shared" si="422"/>
        <v>0</v>
      </c>
      <c r="N1461" s="59">
        <f t="shared" si="423"/>
        <v>0</v>
      </c>
      <c r="O1461" s="59">
        <f t="shared" si="424"/>
        <v>0</v>
      </c>
      <c r="P1461" s="59">
        <f t="shared" si="425"/>
        <v>0</v>
      </c>
      <c r="Q1461" s="59">
        <f t="shared" si="426"/>
        <v>0</v>
      </c>
      <c r="R1461" s="59">
        <v>1</v>
      </c>
      <c r="S1461" s="59">
        <v>2053</v>
      </c>
      <c r="T1461" s="59">
        <v>4</v>
      </c>
      <c r="U1461" s="59">
        <v>1</v>
      </c>
      <c r="V1461" s="59">
        <v>46</v>
      </c>
      <c r="W1461" s="59">
        <v>2</v>
      </c>
      <c r="X1461" s="59">
        <v>2</v>
      </c>
      <c r="Y1461" s="59">
        <v>3</v>
      </c>
      <c r="Z1461" s="59">
        <f t="shared" si="427"/>
        <v>0</v>
      </c>
      <c r="AA1461" s="59">
        <f>IF('Updated Dummy'!Y1461=2,1,0)</f>
        <v>0</v>
      </c>
      <c r="AB1461" s="59">
        <f t="shared" si="428"/>
        <v>1</v>
      </c>
      <c r="AC1461" s="59">
        <f t="shared" si="429"/>
        <v>0</v>
      </c>
      <c r="AD1461" s="59">
        <f t="shared" si="430"/>
        <v>0</v>
      </c>
      <c r="AE1461" s="59">
        <f t="shared" si="431"/>
        <v>0</v>
      </c>
      <c r="AF1461" s="59">
        <f t="shared" si="432"/>
        <v>0</v>
      </c>
      <c r="AG1461" s="59">
        <f t="shared" si="433"/>
        <v>0</v>
      </c>
      <c r="AH1461" s="59">
        <v>2</v>
      </c>
      <c r="AI1461" s="59">
        <v>2</v>
      </c>
      <c r="AJ1461" s="59">
        <f t="shared" si="434"/>
        <v>0</v>
      </c>
      <c r="AK1461" s="59">
        <f t="shared" si="435"/>
        <v>1</v>
      </c>
      <c r="AL1461" s="59">
        <v>4025</v>
      </c>
      <c r="AM1461" s="59">
        <v>23679</v>
      </c>
      <c r="AN1461" s="59">
        <v>4</v>
      </c>
      <c r="AO1461" s="59">
        <v>1</v>
      </c>
      <c r="AP1461" s="59">
        <v>13</v>
      </c>
      <c r="AQ1461" s="59">
        <v>3</v>
      </c>
      <c r="AR1461" s="59">
        <v>1</v>
      </c>
      <c r="AS1461" s="59">
        <v>80</v>
      </c>
      <c r="AT1461" s="59">
        <v>1</v>
      </c>
      <c r="AU1461" s="59">
        <v>10</v>
      </c>
      <c r="AV1461" s="59">
        <v>2</v>
      </c>
      <c r="AW1461" s="59">
        <v>3</v>
      </c>
      <c r="AX1461" s="59">
        <v>4</v>
      </c>
      <c r="AY1461" s="59">
        <v>3</v>
      </c>
      <c r="AZ1461" s="59">
        <v>0</v>
      </c>
      <c r="BA1461" s="59">
        <v>3</v>
      </c>
      <c r="BB1461" s="57">
        <f t="shared" si="436"/>
        <v>8050</v>
      </c>
    </row>
    <row r="1462" spans="1:54" x14ac:dyDescent="0.25">
      <c r="A1462" s="58">
        <v>29</v>
      </c>
      <c r="B1462" s="59">
        <v>0</v>
      </c>
      <c r="C1462" s="59">
        <v>1</v>
      </c>
      <c r="D1462" s="59">
        <f t="shared" si="418"/>
        <v>1</v>
      </c>
      <c r="E1462" s="59">
        <f t="shared" si="419"/>
        <v>0</v>
      </c>
      <c r="F1462" s="59">
        <v>468</v>
      </c>
      <c r="G1462" s="59">
        <v>2</v>
      </c>
      <c r="H1462" s="59">
        <f t="shared" si="420"/>
        <v>0</v>
      </c>
      <c r="I1462" s="59">
        <f t="shared" si="421"/>
        <v>1</v>
      </c>
      <c r="J1462" s="59">
        <v>28</v>
      </c>
      <c r="K1462" s="59">
        <v>4</v>
      </c>
      <c r="L1462" s="59">
        <v>3</v>
      </c>
      <c r="M1462" s="59">
        <f t="shared" si="422"/>
        <v>0</v>
      </c>
      <c r="N1462" s="59">
        <f t="shared" si="423"/>
        <v>0</v>
      </c>
      <c r="O1462" s="59">
        <f t="shared" si="424"/>
        <v>1</v>
      </c>
      <c r="P1462" s="59">
        <f t="shared" si="425"/>
        <v>0</v>
      </c>
      <c r="Q1462" s="59">
        <f t="shared" si="426"/>
        <v>0</v>
      </c>
      <c r="R1462" s="59">
        <v>1</v>
      </c>
      <c r="S1462" s="59">
        <v>2054</v>
      </c>
      <c r="T1462" s="59">
        <v>4</v>
      </c>
      <c r="U1462" s="59">
        <v>0</v>
      </c>
      <c r="V1462" s="59">
        <v>73</v>
      </c>
      <c r="W1462" s="59">
        <v>2</v>
      </c>
      <c r="X1462" s="59">
        <v>1</v>
      </c>
      <c r="Y1462" s="59">
        <v>2</v>
      </c>
      <c r="Z1462" s="59">
        <f t="shared" si="427"/>
        <v>0</v>
      </c>
      <c r="AA1462" s="59">
        <f>IF('Updated Dummy'!Y1462=2,1,0)</f>
        <v>1</v>
      </c>
      <c r="AB1462" s="59">
        <f t="shared" si="428"/>
        <v>0</v>
      </c>
      <c r="AC1462" s="59">
        <f t="shared" si="429"/>
        <v>0</v>
      </c>
      <c r="AD1462" s="59">
        <f t="shared" si="430"/>
        <v>0</v>
      </c>
      <c r="AE1462" s="59">
        <f t="shared" si="431"/>
        <v>0</v>
      </c>
      <c r="AF1462" s="59">
        <f t="shared" si="432"/>
        <v>0</v>
      </c>
      <c r="AG1462" s="59">
        <f t="shared" si="433"/>
        <v>0</v>
      </c>
      <c r="AH1462" s="59">
        <v>1</v>
      </c>
      <c r="AI1462" s="59">
        <v>1</v>
      </c>
      <c r="AJ1462" s="59">
        <f t="shared" si="434"/>
        <v>1</v>
      </c>
      <c r="AK1462" s="59">
        <f t="shared" si="435"/>
        <v>0</v>
      </c>
      <c r="AL1462" s="59">
        <v>3785</v>
      </c>
      <c r="AM1462" s="59">
        <v>8489</v>
      </c>
      <c r="AN1462" s="59">
        <v>1</v>
      </c>
      <c r="AO1462" s="59">
        <v>0</v>
      </c>
      <c r="AP1462" s="59">
        <v>14</v>
      </c>
      <c r="AQ1462" s="59">
        <v>3</v>
      </c>
      <c r="AR1462" s="59">
        <v>2</v>
      </c>
      <c r="AS1462" s="59">
        <v>80</v>
      </c>
      <c r="AT1462" s="59">
        <v>0</v>
      </c>
      <c r="AU1462" s="59">
        <v>5</v>
      </c>
      <c r="AV1462" s="59">
        <v>3</v>
      </c>
      <c r="AW1462" s="59">
        <v>1</v>
      </c>
      <c r="AX1462" s="59">
        <v>5</v>
      </c>
      <c r="AY1462" s="59">
        <v>4</v>
      </c>
      <c r="AZ1462" s="59">
        <v>0</v>
      </c>
      <c r="BA1462" s="59">
        <v>4</v>
      </c>
      <c r="BB1462" s="57">
        <f t="shared" si="436"/>
        <v>3785</v>
      </c>
    </row>
    <row r="1463" spans="1:54" x14ac:dyDescent="0.25">
      <c r="A1463" s="58">
        <v>50</v>
      </c>
      <c r="B1463" s="59">
        <v>1</v>
      </c>
      <c r="C1463" s="59">
        <v>1</v>
      </c>
      <c r="D1463" s="59">
        <f t="shared" si="418"/>
        <v>1</v>
      </c>
      <c r="E1463" s="59">
        <f t="shared" si="419"/>
        <v>0</v>
      </c>
      <c r="F1463" s="59">
        <v>410</v>
      </c>
      <c r="G1463" s="59">
        <v>1</v>
      </c>
      <c r="H1463" s="59">
        <f t="shared" si="420"/>
        <v>1</v>
      </c>
      <c r="I1463" s="59">
        <f t="shared" si="421"/>
        <v>0</v>
      </c>
      <c r="J1463" s="59">
        <v>28</v>
      </c>
      <c r="K1463" s="59">
        <v>3</v>
      </c>
      <c r="L1463" s="59">
        <v>4</v>
      </c>
      <c r="M1463" s="59">
        <f t="shared" si="422"/>
        <v>0</v>
      </c>
      <c r="N1463" s="59">
        <f t="shared" si="423"/>
        <v>0</v>
      </c>
      <c r="O1463" s="59">
        <f t="shared" si="424"/>
        <v>0</v>
      </c>
      <c r="P1463" s="59">
        <f t="shared" si="425"/>
        <v>1</v>
      </c>
      <c r="Q1463" s="59">
        <f t="shared" si="426"/>
        <v>0</v>
      </c>
      <c r="R1463" s="59">
        <v>1</v>
      </c>
      <c r="S1463" s="59">
        <v>2055</v>
      </c>
      <c r="T1463" s="59">
        <v>4</v>
      </c>
      <c r="U1463" s="59">
        <v>1</v>
      </c>
      <c r="V1463" s="59">
        <v>39</v>
      </c>
      <c r="W1463" s="59">
        <v>2</v>
      </c>
      <c r="X1463" s="59">
        <v>3</v>
      </c>
      <c r="Y1463" s="59">
        <v>1</v>
      </c>
      <c r="Z1463" s="59">
        <f t="shared" si="427"/>
        <v>1</v>
      </c>
      <c r="AA1463" s="59">
        <f>IF('Updated Dummy'!Y1463=2,1,0)</f>
        <v>0</v>
      </c>
      <c r="AB1463" s="59">
        <f t="shared" si="428"/>
        <v>0</v>
      </c>
      <c r="AC1463" s="59">
        <f t="shared" si="429"/>
        <v>0</v>
      </c>
      <c r="AD1463" s="59">
        <f t="shared" si="430"/>
        <v>0</v>
      </c>
      <c r="AE1463" s="59">
        <f t="shared" si="431"/>
        <v>0</v>
      </c>
      <c r="AF1463" s="59">
        <f t="shared" si="432"/>
        <v>0</v>
      </c>
      <c r="AG1463" s="59">
        <f t="shared" si="433"/>
        <v>0</v>
      </c>
      <c r="AH1463" s="59">
        <v>1</v>
      </c>
      <c r="AI1463" s="59">
        <v>3</v>
      </c>
      <c r="AJ1463" s="59">
        <f t="shared" si="434"/>
        <v>0</v>
      </c>
      <c r="AK1463" s="59">
        <f t="shared" si="435"/>
        <v>0</v>
      </c>
      <c r="AL1463" s="59">
        <v>10854</v>
      </c>
      <c r="AM1463" s="59">
        <v>16586</v>
      </c>
      <c r="AN1463" s="59">
        <v>4</v>
      </c>
      <c r="AO1463" s="59">
        <v>1</v>
      </c>
      <c r="AP1463" s="59">
        <v>13</v>
      </c>
      <c r="AQ1463" s="59">
        <v>3</v>
      </c>
      <c r="AR1463" s="59">
        <v>2</v>
      </c>
      <c r="AS1463" s="59">
        <v>80</v>
      </c>
      <c r="AT1463" s="59">
        <v>1</v>
      </c>
      <c r="AU1463" s="59">
        <v>20</v>
      </c>
      <c r="AV1463" s="59">
        <v>3</v>
      </c>
      <c r="AW1463" s="59">
        <v>3</v>
      </c>
      <c r="AX1463" s="59">
        <v>3</v>
      </c>
      <c r="AY1463" s="59">
        <v>2</v>
      </c>
      <c r="AZ1463" s="59">
        <v>2</v>
      </c>
      <c r="BA1463" s="59">
        <v>0</v>
      </c>
      <c r="BB1463" s="57">
        <f t="shared" si="436"/>
        <v>32562</v>
      </c>
    </row>
    <row r="1464" spans="1:54" x14ac:dyDescent="0.25">
      <c r="A1464" s="58">
        <v>39</v>
      </c>
      <c r="B1464" s="59">
        <v>0</v>
      </c>
      <c r="C1464" s="59">
        <v>1</v>
      </c>
      <c r="D1464" s="59">
        <f t="shared" si="418"/>
        <v>1</v>
      </c>
      <c r="E1464" s="59">
        <f t="shared" si="419"/>
        <v>0</v>
      </c>
      <c r="F1464" s="59">
        <v>722</v>
      </c>
      <c r="G1464" s="59">
        <v>1</v>
      </c>
      <c r="H1464" s="59">
        <f t="shared" si="420"/>
        <v>1</v>
      </c>
      <c r="I1464" s="59">
        <f t="shared" si="421"/>
        <v>0</v>
      </c>
      <c r="J1464" s="59">
        <v>24</v>
      </c>
      <c r="K1464" s="59">
        <v>1</v>
      </c>
      <c r="L1464" s="59">
        <v>4</v>
      </c>
      <c r="M1464" s="59">
        <f t="shared" si="422"/>
        <v>0</v>
      </c>
      <c r="N1464" s="59">
        <f t="shared" si="423"/>
        <v>0</v>
      </c>
      <c r="O1464" s="59">
        <f t="shared" si="424"/>
        <v>0</v>
      </c>
      <c r="P1464" s="59">
        <f t="shared" si="425"/>
        <v>1</v>
      </c>
      <c r="Q1464" s="59">
        <f t="shared" si="426"/>
        <v>0</v>
      </c>
      <c r="R1464" s="59">
        <v>1</v>
      </c>
      <c r="S1464" s="59">
        <v>2056</v>
      </c>
      <c r="T1464" s="59">
        <v>2</v>
      </c>
      <c r="U1464" s="59">
        <v>0</v>
      </c>
      <c r="V1464" s="59">
        <v>60</v>
      </c>
      <c r="W1464" s="59">
        <v>2</v>
      </c>
      <c r="X1464" s="59">
        <v>4</v>
      </c>
      <c r="Y1464" s="59">
        <v>1</v>
      </c>
      <c r="Z1464" s="59">
        <f t="shared" si="427"/>
        <v>1</v>
      </c>
      <c r="AA1464" s="59">
        <f>IF('Updated Dummy'!Y1464=2,1,0)</f>
        <v>0</v>
      </c>
      <c r="AB1464" s="59">
        <f t="shared" si="428"/>
        <v>0</v>
      </c>
      <c r="AC1464" s="59">
        <f t="shared" si="429"/>
        <v>0</v>
      </c>
      <c r="AD1464" s="59">
        <f t="shared" si="430"/>
        <v>0</v>
      </c>
      <c r="AE1464" s="59">
        <f t="shared" si="431"/>
        <v>0</v>
      </c>
      <c r="AF1464" s="59">
        <f t="shared" si="432"/>
        <v>0</v>
      </c>
      <c r="AG1464" s="59">
        <f t="shared" si="433"/>
        <v>0</v>
      </c>
      <c r="AH1464" s="59">
        <v>4</v>
      </c>
      <c r="AI1464" s="59">
        <v>2</v>
      </c>
      <c r="AJ1464" s="59">
        <f t="shared" si="434"/>
        <v>0</v>
      </c>
      <c r="AK1464" s="59">
        <f t="shared" si="435"/>
        <v>1</v>
      </c>
      <c r="AL1464" s="59">
        <v>12031</v>
      </c>
      <c r="AM1464" s="59">
        <v>8828</v>
      </c>
      <c r="AN1464" s="59">
        <v>0</v>
      </c>
      <c r="AO1464" s="59">
        <v>0</v>
      </c>
      <c r="AP1464" s="59">
        <v>11</v>
      </c>
      <c r="AQ1464" s="59">
        <v>3</v>
      </c>
      <c r="AR1464" s="59">
        <v>1</v>
      </c>
      <c r="AS1464" s="59">
        <v>80</v>
      </c>
      <c r="AT1464" s="59">
        <v>1</v>
      </c>
      <c r="AU1464" s="59">
        <v>21</v>
      </c>
      <c r="AV1464" s="59">
        <v>2</v>
      </c>
      <c r="AW1464" s="59">
        <v>2</v>
      </c>
      <c r="AX1464" s="59">
        <v>20</v>
      </c>
      <c r="AY1464" s="59">
        <v>9</v>
      </c>
      <c r="AZ1464" s="59">
        <v>9</v>
      </c>
      <c r="BA1464" s="59">
        <v>6</v>
      </c>
      <c r="BB1464" s="57">
        <f t="shared" si="436"/>
        <v>48124</v>
      </c>
    </row>
    <row r="1465" spans="1:54" x14ac:dyDescent="0.25">
      <c r="A1465" s="58">
        <v>31</v>
      </c>
      <c r="B1465" s="59">
        <v>0</v>
      </c>
      <c r="C1465" s="59">
        <v>3</v>
      </c>
      <c r="D1465" s="59">
        <f t="shared" si="418"/>
        <v>0</v>
      </c>
      <c r="E1465" s="59">
        <f t="shared" si="419"/>
        <v>0</v>
      </c>
      <c r="F1465" s="59">
        <v>325</v>
      </c>
      <c r="G1465" s="59">
        <v>2</v>
      </c>
      <c r="H1465" s="59">
        <f t="shared" si="420"/>
        <v>0</v>
      </c>
      <c r="I1465" s="59">
        <f t="shared" si="421"/>
        <v>1</v>
      </c>
      <c r="J1465" s="59">
        <v>5</v>
      </c>
      <c r="K1465" s="59">
        <v>3</v>
      </c>
      <c r="L1465" s="59">
        <v>3</v>
      </c>
      <c r="M1465" s="59">
        <f t="shared" si="422"/>
        <v>0</v>
      </c>
      <c r="N1465" s="59">
        <f t="shared" si="423"/>
        <v>0</v>
      </c>
      <c r="O1465" s="59">
        <f t="shared" si="424"/>
        <v>1</v>
      </c>
      <c r="P1465" s="59">
        <f t="shared" si="425"/>
        <v>0</v>
      </c>
      <c r="Q1465" s="59">
        <f t="shared" si="426"/>
        <v>0</v>
      </c>
      <c r="R1465" s="59">
        <v>1</v>
      </c>
      <c r="S1465" s="59">
        <v>2057</v>
      </c>
      <c r="T1465" s="59">
        <v>2</v>
      </c>
      <c r="U1465" s="59">
        <v>1</v>
      </c>
      <c r="V1465" s="59">
        <v>74</v>
      </c>
      <c r="W1465" s="59">
        <v>3</v>
      </c>
      <c r="X1465" s="59">
        <v>2</v>
      </c>
      <c r="Y1465" s="59">
        <v>4</v>
      </c>
      <c r="Z1465" s="59">
        <f t="shared" si="427"/>
        <v>0</v>
      </c>
      <c r="AA1465" s="59">
        <f>IF('Updated Dummy'!Y1465=2,1,0)</f>
        <v>0</v>
      </c>
      <c r="AB1465" s="59">
        <f t="shared" si="428"/>
        <v>0</v>
      </c>
      <c r="AC1465" s="59">
        <f t="shared" si="429"/>
        <v>1</v>
      </c>
      <c r="AD1465" s="59">
        <f t="shared" si="430"/>
        <v>0</v>
      </c>
      <c r="AE1465" s="59">
        <f t="shared" si="431"/>
        <v>0</v>
      </c>
      <c r="AF1465" s="59">
        <f t="shared" si="432"/>
        <v>0</v>
      </c>
      <c r="AG1465" s="59">
        <f t="shared" si="433"/>
        <v>0</v>
      </c>
      <c r="AH1465" s="59">
        <v>1</v>
      </c>
      <c r="AI1465" s="59">
        <v>1</v>
      </c>
      <c r="AJ1465" s="59">
        <f t="shared" si="434"/>
        <v>1</v>
      </c>
      <c r="AK1465" s="59">
        <f t="shared" si="435"/>
        <v>0</v>
      </c>
      <c r="AL1465" s="59">
        <v>9936</v>
      </c>
      <c r="AM1465" s="59">
        <v>3787</v>
      </c>
      <c r="AN1465" s="59">
        <v>0</v>
      </c>
      <c r="AO1465" s="59">
        <v>0</v>
      </c>
      <c r="AP1465" s="59">
        <v>19</v>
      </c>
      <c r="AQ1465" s="59">
        <v>3</v>
      </c>
      <c r="AR1465" s="59">
        <v>2</v>
      </c>
      <c r="AS1465" s="59">
        <v>80</v>
      </c>
      <c r="AT1465" s="59">
        <v>0</v>
      </c>
      <c r="AU1465" s="59">
        <v>10</v>
      </c>
      <c r="AV1465" s="59">
        <v>2</v>
      </c>
      <c r="AW1465" s="59">
        <v>3</v>
      </c>
      <c r="AX1465" s="59">
        <v>9</v>
      </c>
      <c r="AY1465" s="59">
        <v>4</v>
      </c>
      <c r="AZ1465" s="59">
        <v>1</v>
      </c>
      <c r="BA1465" s="59">
        <v>7</v>
      </c>
      <c r="BB1465" s="57">
        <f t="shared" si="436"/>
        <v>19872</v>
      </c>
    </row>
    <row r="1466" spans="1:54" x14ac:dyDescent="0.25">
      <c r="A1466" s="58">
        <v>26</v>
      </c>
      <c r="B1466" s="59">
        <v>0</v>
      </c>
      <c r="C1466" s="59">
        <v>1</v>
      </c>
      <c r="D1466" s="59">
        <f t="shared" si="418"/>
        <v>1</v>
      </c>
      <c r="E1466" s="59">
        <f t="shared" si="419"/>
        <v>0</v>
      </c>
      <c r="F1466" s="59">
        <v>1167</v>
      </c>
      <c r="G1466" s="59">
        <v>1</v>
      </c>
      <c r="H1466" s="59">
        <f t="shared" si="420"/>
        <v>1</v>
      </c>
      <c r="I1466" s="59">
        <f t="shared" si="421"/>
        <v>0</v>
      </c>
      <c r="J1466" s="59">
        <v>5</v>
      </c>
      <c r="K1466" s="59">
        <v>3</v>
      </c>
      <c r="L1466" s="59">
        <v>6</v>
      </c>
      <c r="M1466" s="59">
        <f t="shared" si="422"/>
        <v>0</v>
      </c>
      <c r="N1466" s="59">
        <f t="shared" si="423"/>
        <v>0</v>
      </c>
      <c r="O1466" s="59">
        <f t="shared" si="424"/>
        <v>0</v>
      </c>
      <c r="P1466" s="59">
        <f t="shared" si="425"/>
        <v>0</v>
      </c>
      <c r="Q1466" s="59">
        <f t="shared" si="426"/>
        <v>0</v>
      </c>
      <c r="R1466" s="59">
        <v>1</v>
      </c>
      <c r="S1466" s="59">
        <v>2060</v>
      </c>
      <c r="T1466" s="59">
        <v>4</v>
      </c>
      <c r="U1466" s="59">
        <v>0</v>
      </c>
      <c r="V1466" s="59">
        <v>30</v>
      </c>
      <c r="W1466" s="59">
        <v>2</v>
      </c>
      <c r="X1466" s="59">
        <v>1</v>
      </c>
      <c r="Y1466" s="59">
        <v>7</v>
      </c>
      <c r="Z1466" s="59">
        <f t="shared" si="427"/>
        <v>0</v>
      </c>
      <c r="AA1466" s="59">
        <f>IF('Updated Dummy'!Y1466=2,1,0)</f>
        <v>0</v>
      </c>
      <c r="AB1466" s="59">
        <f t="shared" si="428"/>
        <v>0</v>
      </c>
      <c r="AC1466" s="59">
        <f t="shared" si="429"/>
        <v>0</v>
      </c>
      <c r="AD1466" s="59">
        <f t="shared" si="430"/>
        <v>0</v>
      </c>
      <c r="AE1466" s="59">
        <f t="shared" si="431"/>
        <v>0</v>
      </c>
      <c r="AF1466" s="59">
        <f t="shared" si="432"/>
        <v>1</v>
      </c>
      <c r="AG1466" s="59">
        <f t="shared" si="433"/>
        <v>0</v>
      </c>
      <c r="AH1466" s="59">
        <v>3</v>
      </c>
      <c r="AI1466" s="59">
        <v>1</v>
      </c>
      <c r="AJ1466" s="59">
        <f t="shared" si="434"/>
        <v>1</v>
      </c>
      <c r="AK1466" s="59">
        <f t="shared" si="435"/>
        <v>0</v>
      </c>
      <c r="AL1466" s="59">
        <v>2966</v>
      </c>
      <c r="AM1466" s="59">
        <v>21378</v>
      </c>
      <c r="AN1466" s="59">
        <v>0</v>
      </c>
      <c r="AO1466" s="59">
        <v>0</v>
      </c>
      <c r="AP1466" s="59">
        <v>18</v>
      </c>
      <c r="AQ1466" s="59">
        <v>3</v>
      </c>
      <c r="AR1466" s="59">
        <v>4</v>
      </c>
      <c r="AS1466" s="59">
        <v>80</v>
      </c>
      <c r="AT1466" s="59">
        <v>0</v>
      </c>
      <c r="AU1466" s="59">
        <v>5</v>
      </c>
      <c r="AV1466" s="59">
        <v>2</v>
      </c>
      <c r="AW1466" s="59">
        <v>3</v>
      </c>
      <c r="AX1466" s="59">
        <v>4</v>
      </c>
      <c r="AY1466" s="59">
        <v>2</v>
      </c>
      <c r="AZ1466" s="59">
        <v>0</v>
      </c>
      <c r="BA1466" s="59">
        <v>0</v>
      </c>
      <c r="BB1466" s="57">
        <f t="shared" si="436"/>
        <v>2966</v>
      </c>
    </row>
    <row r="1467" spans="1:54" x14ac:dyDescent="0.25">
      <c r="A1467" s="58">
        <v>36</v>
      </c>
      <c r="B1467" s="59">
        <v>0</v>
      </c>
      <c r="C1467" s="59">
        <v>2</v>
      </c>
      <c r="D1467" s="59">
        <f t="shared" si="418"/>
        <v>0</v>
      </c>
      <c r="E1467" s="59">
        <f t="shared" si="419"/>
        <v>1</v>
      </c>
      <c r="F1467" s="59">
        <v>884</v>
      </c>
      <c r="G1467" s="59">
        <v>2</v>
      </c>
      <c r="H1467" s="59">
        <f t="shared" si="420"/>
        <v>0</v>
      </c>
      <c r="I1467" s="59">
        <f t="shared" si="421"/>
        <v>1</v>
      </c>
      <c r="J1467" s="59">
        <v>23</v>
      </c>
      <c r="K1467" s="59">
        <v>2</v>
      </c>
      <c r="L1467" s="59">
        <v>3</v>
      </c>
      <c r="M1467" s="59">
        <f t="shared" si="422"/>
        <v>0</v>
      </c>
      <c r="N1467" s="59">
        <f t="shared" si="423"/>
        <v>0</v>
      </c>
      <c r="O1467" s="59">
        <f t="shared" si="424"/>
        <v>1</v>
      </c>
      <c r="P1467" s="59">
        <f t="shared" si="425"/>
        <v>0</v>
      </c>
      <c r="Q1467" s="59">
        <f t="shared" si="426"/>
        <v>0</v>
      </c>
      <c r="R1467" s="59">
        <v>1</v>
      </c>
      <c r="S1467" s="59">
        <v>2061</v>
      </c>
      <c r="T1467" s="59">
        <v>3</v>
      </c>
      <c r="U1467" s="59">
        <v>1</v>
      </c>
      <c r="V1467" s="59">
        <v>41</v>
      </c>
      <c r="W1467" s="59">
        <v>4</v>
      </c>
      <c r="X1467" s="59">
        <v>2</v>
      </c>
      <c r="Y1467" s="59">
        <v>3</v>
      </c>
      <c r="Z1467" s="59">
        <f t="shared" si="427"/>
        <v>0</v>
      </c>
      <c r="AA1467" s="59">
        <f>IF('Updated Dummy'!Y1467=2,1,0)</f>
        <v>0</v>
      </c>
      <c r="AB1467" s="59">
        <f t="shared" si="428"/>
        <v>1</v>
      </c>
      <c r="AC1467" s="59">
        <f t="shared" si="429"/>
        <v>0</v>
      </c>
      <c r="AD1467" s="59">
        <f t="shared" si="430"/>
        <v>0</v>
      </c>
      <c r="AE1467" s="59">
        <f t="shared" si="431"/>
        <v>0</v>
      </c>
      <c r="AF1467" s="59">
        <f t="shared" si="432"/>
        <v>0</v>
      </c>
      <c r="AG1467" s="59">
        <f t="shared" si="433"/>
        <v>0</v>
      </c>
      <c r="AH1467" s="59">
        <v>4</v>
      </c>
      <c r="AI1467" s="59">
        <v>2</v>
      </c>
      <c r="AJ1467" s="59">
        <f t="shared" si="434"/>
        <v>0</v>
      </c>
      <c r="AK1467" s="59">
        <f t="shared" si="435"/>
        <v>1</v>
      </c>
      <c r="AL1467" s="59">
        <v>2571</v>
      </c>
      <c r="AM1467" s="59">
        <v>12290</v>
      </c>
      <c r="AN1467" s="59">
        <v>4</v>
      </c>
      <c r="AO1467" s="59">
        <v>0</v>
      </c>
      <c r="AP1467" s="59">
        <v>17</v>
      </c>
      <c r="AQ1467" s="59">
        <v>3</v>
      </c>
      <c r="AR1467" s="59">
        <v>3</v>
      </c>
      <c r="AS1467" s="59">
        <v>80</v>
      </c>
      <c r="AT1467" s="59">
        <v>1</v>
      </c>
      <c r="AU1467" s="59">
        <v>17</v>
      </c>
      <c r="AV1467" s="59">
        <v>3</v>
      </c>
      <c r="AW1467" s="59">
        <v>3</v>
      </c>
      <c r="AX1467" s="59">
        <v>5</v>
      </c>
      <c r="AY1467" s="59">
        <v>2</v>
      </c>
      <c r="AZ1467" s="59">
        <v>0</v>
      </c>
      <c r="BA1467" s="59">
        <v>3</v>
      </c>
      <c r="BB1467" s="57">
        <f t="shared" si="436"/>
        <v>5142</v>
      </c>
    </row>
    <row r="1468" spans="1:54" x14ac:dyDescent="0.25">
      <c r="A1468" s="58">
        <v>39</v>
      </c>
      <c r="B1468" s="59">
        <v>0</v>
      </c>
      <c r="C1468" s="59">
        <v>1</v>
      </c>
      <c r="D1468" s="59">
        <f t="shared" si="418"/>
        <v>1</v>
      </c>
      <c r="E1468" s="59">
        <f t="shared" si="419"/>
        <v>0</v>
      </c>
      <c r="F1468" s="59">
        <v>613</v>
      </c>
      <c r="G1468" s="59">
        <v>2</v>
      </c>
      <c r="H1468" s="59">
        <f t="shared" si="420"/>
        <v>0</v>
      </c>
      <c r="I1468" s="59">
        <f t="shared" si="421"/>
        <v>1</v>
      </c>
      <c r="J1468" s="59">
        <v>6</v>
      </c>
      <c r="K1468" s="59">
        <v>1</v>
      </c>
      <c r="L1468" s="59">
        <v>3</v>
      </c>
      <c r="M1468" s="59">
        <f t="shared" si="422"/>
        <v>0</v>
      </c>
      <c r="N1468" s="59">
        <f t="shared" si="423"/>
        <v>0</v>
      </c>
      <c r="O1468" s="59">
        <f t="shared" si="424"/>
        <v>1</v>
      </c>
      <c r="P1468" s="59">
        <f t="shared" si="425"/>
        <v>0</v>
      </c>
      <c r="Q1468" s="59">
        <f t="shared" si="426"/>
        <v>0</v>
      </c>
      <c r="R1468" s="59">
        <v>1</v>
      </c>
      <c r="S1468" s="59">
        <v>2062</v>
      </c>
      <c r="T1468" s="59">
        <v>4</v>
      </c>
      <c r="U1468" s="59">
        <v>1</v>
      </c>
      <c r="V1468" s="59">
        <v>42</v>
      </c>
      <c r="W1468" s="59">
        <v>2</v>
      </c>
      <c r="X1468" s="59">
        <v>3</v>
      </c>
      <c r="Y1468" s="59">
        <v>5</v>
      </c>
      <c r="Z1468" s="59">
        <f t="shared" si="427"/>
        <v>0</v>
      </c>
      <c r="AA1468" s="59">
        <f>IF('Updated Dummy'!Y1468=2,1,0)</f>
        <v>0</v>
      </c>
      <c r="AB1468" s="59">
        <f t="shared" si="428"/>
        <v>0</v>
      </c>
      <c r="AC1468" s="59">
        <f t="shared" si="429"/>
        <v>0</v>
      </c>
      <c r="AD1468" s="59">
        <f t="shared" si="430"/>
        <v>1</v>
      </c>
      <c r="AE1468" s="59">
        <f t="shared" si="431"/>
        <v>0</v>
      </c>
      <c r="AF1468" s="59">
        <f t="shared" si="432"/>
        <v>0</v>
      </c>
      <c r="AG1468" s="59">
        <f t="shared" si="433"/>
        <v>0</v>
      </c>
      <c r="AH1468" s="59">
        <v>1</v>
      </c>
      <c r="AI1468" s="59">
        <v>2</v>
      </c>
      <c r="AJ1468" s="59">
        <f t="shared" si="434"/>
        <v>0</v>
      </c>
      <c r="AK1468" s="59">
        <f t="shared" si="435"/>
        <v>1</v>
      </c>
      <c r="AL1468" s="59">
        <v>9991</v>
      </c>
      <c r="AM1468" s="59">
        <v>21457</v>
      </c>
      <c r="AN1468" s="59">
        <v>4</v>
      </c>
      <c r="AO1468" s="59">
        <v>0</v>
      </c>
      <c r="AP1468" s="59">
        <v>15</v>
      </c>
      <c r="AQ1468" s="59">
        <v>3</v>
      </c>
      <c r="AR1468" s="59">
        <v>1</v>
      </c>
      <c r="AS1468" s="59">
        <v>80</v>
      </c>
      <c r="AT1468" s="59">
        <v>1</v>
      </c>
      <c r="AU1468" s="59">
        <v>9</v>
      </c>
      <c r="AV1468" s="59">
        <v>5</v>
      </c>
      <c r="AW1468" s="59">
        <v>3</v>
      </c>
      <c r="AX1468" s="59">
        <v>7</v>
      </c>
      <c r="AY1468" s="59">
        <v>7</v>
      </c>
      <c r="AZ1468" s="59">
        <v>1</v>
      </c>
      <c r="BA1468" s="59">
        <v>7</v>
      </c>
      <c r="BB1468" s="57">
        <f t="shared" si="436"/>
        <v>29973</v>
      </c>
    </row>
    <row r="1469" spans="1:54" x14ac:dyDescent="0.25">
      <c r="A1469" s="58">
        <v>27</v>
      </c>
      <c r="B1469" s="59">
        <v>0</v>
      </c>
      <c r="C1469" s="59">
        <v>1</v>
      </c>
      <c r="D1469" s="59">
        <f t="shared" si="418"/>
        <v>1</v>
      </c>
      <c r="E1469" s="59">
        <f t="shared" si="419"/>
        <v>0</v>
      </c>
      <c r="F1469" s="59">
        <v>155</v>
      </c>
      <c r="G1469" s="59">
        <v>2</v>
      </c>
      <c r="H1469" s="59">
        <f t="shared" si="420"/>
        <v>0</v>
      </c>
      <c r="I1469" s="59">
        <f t="shared" si="421"/>
        <v>1</v>
      </c>
      <c r="J1469" s="59">
        <v>4</v>
      </c>
      <c r="K1469" s="59">
        <v>3</v>
      </c>
      <c r="L1469" s="59">
        <v>1</v>
      </c>
      <c r="M1469" s="59">
        <f t="shared" si="422"/>
        <v>1</v>
      </c>
      <c r="N1469" s="59">
        <f t="shared" si="423"/>
        <v>0</v>
      </c>
      <c r="O1469" s="59">
        <f t="shared" si="424"/>
        <v>0</v>
      </c>
      <c r="P1469" s="59">
        <f t="shared" si="425"/>
        <v>0</v>
      </c>
      <c r="Q1469" s="59">
        <f t="shared" si="426"/>
        <v>0</v>
      </c>
      <c r="R1469" s="59">
        <v>1</v>
      </c>
      <c r="S1469" s="59">
        <v>2064</v>
      </c>
      <c r="T1469" s="59">
        <v>2</v>
      </c>
      <c r="U1469" s="59">
        <v>1</v>
      </c>
      <c r="V1469" s="59">
        <v>87</v>
      </c>
      <c r="W1469" s="59">
        <v>4</v>
      </c>
      <c r="X1469" s="59">
        <v>2</v>
      </c>
      <c r="Y1469" s="59">
        <v>4</v>
      </c>
      <c r="Z1469" s="59">
        <f t="shared" si="427"/>
        <v>0</v>
      </c>
      <c r="AA1469" s="59">
        <f>IF('Updated Dummy'!Y1469=2,1,0)</f>
        <v>0</v>
      </c>
      <c r="AB1469" s="59">
        <f t="shared" si="428"/>
        <v>0</v>
      </c>
      <c r="AC1469" s="59">
        <f t="shared" si="429"/>
        <v>1</v>
      </c>
      <c r="AD1469" s="59">
        <f t="shared" si="430"/>
        <v>0</v>
      </c>
      <c r="AE1469" s="59">
        <f t="shared" si="431"/>
        <v>0</v>
      </c>
      <c r="AF1469" s="59">
        <f t="shared" si="432"/>
        <v>0</v>
      </c>
      <c r="AG1469" s="59">
        <f t="shared" si="433"/>
        <v>0</v>
      </c>
      <c r="AH1469" s="59">
        <v>2</v>
      </c>
      <c r="AI1469" s="59">
        <v>2</v>
      </c>
      <c r="AJ1469" s="59">
        <f t="shared" si="434"/>
        <v>0</v>
      </c>
      <c r="AK1469" s="59">
        <f t="shared" si="435"/>
        <v>1</v>
      </c>
      <c r="AL1469" s="59">
        <v>6142</v>
      </c>
      <c r="AM1469" s="59">
        <v>5174</v>
      </c>
      <c r="AN1469" s="59">
        <v>1</v>
      </c>
      <c r="AO1469" s="59">
        <v>1</v>
      </c>
      <c r="AP1469" s="59">
        <v>20</v>
      </c>
      <c r="AQ1469" s="59">
        <v>4</v>
      </c>
      <c r="AR1469" s="59">
        <v>2</v>
      </c>
      <c r="AS1469" s="59">
        <v>80</v>
      </c>
      <c r="AT1469" s="59">
        <v>1</v>
      </c>
      <c r="AU1469" s="59">
        <v>6</v>
      </c>
      <c r="AV1469" s="59">
        <v>0</v>
      </c>
      <c r="AW1469" s="59">
        <v>3</v>
      </c>
      <c r="AX1469" s="59">
        <v>6</v>
      </c>
      <c r="AY1469" s="59">
        <v>2</v>
      </c>
      <c r="AZ1469" s="59">
        <v>0</v>
      </c>
      <c r="BA1469" s="59">
        <v>3</v>
      </c>
      <c r="BB1469" s="57">
        <f t="shared" si="436"/>
        <v>12284</v>
      </c>
    </row>
    <row r="1470" spans="1:54" x14ac:dyDescent="0.25">
      <c r="A1470" s="58">
        <v>49</v>
      </c>
      <c r="B1470" s="59">
        <v>0</v>
      </c>
      <c r="C1470" s="59">
        <v>2</v>
      </c>
      <c r="D1470" s="59">
        <f t="shared" si="418"/>
        <v>0</v>
      </c>
      <c r="E1470" s="59">
        <f t="shared" si="419"/>
        <v>1</v>
      </c>
      <c r="F1470" s="59">
        <v>1023</v>
      </c>
      <c r="G1470" s="59">
        <v>1</v>
      </c>
      <c r="H1470" s="59">
        <f t="shared" si="420"/>
        <v>1</v>
      </c>
      <c r="I1470" s="59">
        <f t="shared" si="421"/>
        <v>0</v>
      </c>
      <c r="J1470" s="59">
        <v>2</v>
      </c>
      <c r="K1470" s="59">
        <v>3</v>
      </c>
      <c r="L1470" s="59">
        <v>3</v>
      </c>
      <c r="M1470" s="59">
        <f t="shared" si="422"/>
        <v>0</v>
      </c>
      <c r="N1470" s="59">
        <f t="shared" si="423"/>
        <v>0</v>
      </c>
      <c r="O1470" s="59">
        <f t="shared" si="424"/>
        <v>1</v>
      </c>
      <c r="P1470" s="59">
        <f t="shared" si="425"/>
        <v>0</v>
      </c>
      <c r="Q1470" s="59">
        <f t="shared" si="426"/>
        <v>0</v>
      </c>
      <c r="R1470" s="59">
        <v>1</v>
      </c>
      <c r="S1470" s="59">
        <v>2065</v>
      </c>
      <c r="T1470" s="59">
        <v>4</v>
      </c>
      <c r="U1470" s="59">
        <v>1</v>
      </c>
      <c r="V1470" s="59">
        <v>63</v>
      </c>
      <c r="W1470" s="59">
        <v>2</v>
      </c>
      <c r="X1470" s="59">
        <v>2</v>
      </c>
      <c r="Y1470" s="59">
        <v>1</v>
      </c>
      <c r="Z1470" s="59">
        <f t="shared" si="427"/>
        <v>1</v>
      </c>
      <c r="AA1470" s="59">
        <f>IF('Updated Dummy'!Y1470=2,1,0)</f>
        <v>0</v>
      </c>
      <c r="AB1470" s="59">
        <f t="shared" si="428"/>
        <v>0</v>
      </c>
      <c r="AC1470" s="59">
        <f t="shared" si="429"/>
        <v>0</v>
      </c>
      <c r="AD1470" s="59">
        <f t="shared" si="430"/>
        <v>0</v>
      </c>
      <c r="AE1470" s="59">
        <f t="shared" si="431"/>
        <v>0</v>
      </c>
      <c r="AF1470" s="59">
        <f t="shared" si="432"/>
        <v>0</v>
      </c>
      <c r="AG1470" s="59">
        <f t="shared" si="433"/>
        <v>0</v>
      </c>
      <c r="AH1470" s="59">
        <v>2</v>
      </c>
      <c r="AI1470" s="59">
        <v>2</v>
      </c>
      <c r="AJ1470" s="59">
        <f t="shared" si="434"/>
        <v>0</v>
      </c>
      <c r="AK1470" s="59">
        <f t="shared" si="435"/>
        <v>1</v>
      </c>
      <c r="AL1470" s="59">
        <v>5390</v>
      </c>
      <c r="AM1470" s="59">
        <v>13243</v>
      </c>
      <c r="AN1470" s="59">
        <v>2</v>
      </c>
      <c r="AO1470" s="59">
        <v>0</v>
      </c>
      <c r="AP1470" s="59">
        <v>14</v>
      </c>
      <c r="AQ1470" s="59">
        <v>3</v>
      </c>
      <c r="AR1470" s="59">
        <v>4</v>
      </c>
      <c r="AS1470" s="59">
        <v>80</v>
      </c>
      <c r="AT1470" s="59">
        <v>0</v>
      </c>
      <c r="AU1470" s="59">
        <v>17</v>
      </c>
      <c r="AV1470" s="59">
        <v>3</v>
      </c>
      <c r="AW1470" s="59">
        <v>2</v>
      </c>
      <c r="AX1470" s="59">
        <v>9</v>
      </c>
      <c r="AY1470" s="59">
        <v>6</v>
      </c>
      <c r="AZ1470" s="59">
        <v>0</v>
      </c>
      <c r="BA1470" s="59">
        <v>8</v>
      </c>
      <c r="BB1470" s="57">
        <f t="shared" si="436"/>
        <v>10780</v>
      </c>
    </row>
    <row r="1471" spans="1:54" ht="15.75" thickBot="1" x14ac:dyDescent="0.3">
      <c r="A1471" s="60">
        <v>34</v>
      </c>
      <c r="B1471" s="61">
        <v>0</v>
      </c>
      <c r="C1471" s="61">
        <v>1</v>
      </c>
      <c r="D1471" s="61">
        <f t="shared" si="418"/>
        <v>1</v>
      </c>
      <c r="E1471" s="61">
        <f t="shared" si="419"/>
        <v>0</v>
      </c>
      <c r="F1471" s="61">
        <v>628</v>
      </c>
      <c r="G1471" s="61">
        <v>2</v>
      </c>
      <c r="H1471" s="61">
        <f t="shared" si="420"/>
        <v>0</v>
      </c>
      <c r="I1471" s="61">
        <f t="shared" si="421"/>
        <v>1</v>
      </c>
      <c r="J1471" s="61">
        <v>8</v>
      </c>
      <c r="K1471" s="61">
        <v>3</v>
      </c>
      <c r="L1471" s="61">
        <v>3</v>
      </c>
      <c r="M1471" s="61">
        <f t="shared" si="422"/>
        <v>0</v>
      </c>
      <c r="N1471" s="61">
        <f t="shared" si="423"/>
        <v>0</v>
      </c>
      <c r="O1471" s="61">
        <f t="shared" si="424"/>
        <v>1</v>
      </c>
      <c r="P1471" s="61">
        <f t="shared" si="425"/>
        <v>0</v>
      </c>
      <c r="Q1471" s="61">
        <f t="shared" si="426"/>
        <v>0</v>
      </c>
      <c r="R1471" s="61">
        <v>1</v>
      </c>
      <c r="S1471" s="61">
        <v>2068</v>
      </c>
      <c r="T1471" s="61">
        <v>2</v>
      </c>
      <c r="U1471" s="61">
        <v>1</v>
      </c>
      <c r="V1471" s="61">
        <v>82</v>
      </c>
      <c r="W1471" s="61">
        <v>4</v>
      </c>
      <c r="X1471" s="61">
        <v>2</v>
      </c>
      <c r="Y1471" s="61">
        <v>3</v>
      </c>
      <c r="Z1471" s="61">
        <f t="shared" si="427"/>
        <v>0</v>
      </c>
      <c r="AA1471" s="61">
        <f>IF('Updated Dummy'!Y1471=2,1,0)</f>
        <v>0</v>
      </c>
      <c r="AB1471" s="61">
        <f t="shared" si="428"/>
        <v>1</v>
      </c>
      <c r="AC1471" s="61">
        <f t="shared" si="429"/>
        <v>0</v>
      </c>
      <c r="AD1471" s="61">
        <f t="shared" si="430"/>
        <v>0</v>
      </c>
      <c r="AE1471" s="61">
        <f t="shared" si="431"/>
        <v>0</v>
      </c>
      <c r="AF1471" s="61">
        <f t="shared" si="432"/>
        <v>0</v>
      </c>
      <c r="AG1471" s="61">
        <f t="shared" si="433"/>
        <v>0</v>
      </c>
      <c r="AH1471" s="61">
        <v>3</v>
      </c>
      <c r="AI1471" s="61">
        <v>2</v>
      </c>
      <c r="AJ1471" s="61">
        <f t="shared" si="434"/>
        <v>0</v>
      </c>
      <c r="AK1471" s="61">
        <f t="shared" si="435"/>
        <v>1</v>
      </c>
      <c r="AL1471" s="61">
        <v>4404</v>
      </c>
      <c r="AM1471" s="61">
        <v>10228</v>
      </c>
      <c r="AN1471" s="61">
        <v>2</v>
      </c>
      <c r="AO1471" s="61">
        <v>0</v>
      </c>
      <c r="AP1471" s="61">
        <v>12</v>
      </c>
      <c r="AQ1471" s="61">
        <v>3</v>
      </c>
      <c r="AR1471" s="61">
        <v>1</v>
      </c>
      <c r="AS1471" s="61">
        <v>80</v>
      </c>
      <c r="AT1471" s="61">
        <v>0</v>
      </c>
      <c r="AU1471" s="61">
        <v>6</v>
      </c>
      <c r="AV1471" s="61">
        <v>3</v>
      </c>
      <c r="AW1471" s="61">
        <v>4</v>
      </c>
      <c r="AX1471" s="61">
        <v>4</v>
      </c>
      <c r="AY1471" s="61">
        <v>3</v>
      </c>
      <c r="AZ1471" s="61">
        <v>1</v>
      </c>
      <c r="BA1471" s="61">
        <v>2</v>
      </c>
      <c r="BB1471" s="57">
        <f t="shared" si="436"/>
        <v>8808</v>
      </c>
    </row>
    <row r="1472" spans="1:54" ht="15.75" thickTop="1" x14ac:dyDescent="0.25"/>
  </sheetData>
  <mergeCells count="35">
    <mergeCell ref="EY8:EY9"/>
    <mergeCell ref="ES36:ES37"/>
    <mergeCell ref="EJ8:EJ9"/>
    <mergeCell ref="EM8:EM9"/>
    <mergeCell ref="EP8:EP9"/>
    <mergeCell ref="EJ37:EJ38"/>
    <mergeCell ref="ES8:ES9"/>
    <mergeCell ref="EV8:EV9"/>
    <mergeCell ref="DX8:DX9"/>
    <mergeCell ref="DR37:DR38"/>
    <mergeCell ref="EA8:EA9"/>
    <mergeCell ref="ED8:ED9"/>
    <mergeCell ref="EG8:EG9"/>
    <mergeCell ref="EA39:EA40"/>
    <mergeCell ref="DI8:DI9"/>
    <mergeCell ref="DL8:DL9"/>
    <mergeCell ref="DO8:DO9"/>
    <mergeCell ref="DI40:DI41"/>
    <mergeCell ref="DR8:DR9"/>
    <mergeCell ref="DU8:DU9"/>
    <mergeCell ref="CQ34:CQ35"/>
    <mergeCell ref="CZ8:CZ9"/>
    <mergeCell ref="DC8:DC9"/>
    <mergeCell ref="DF8:DF9"/>
    <mergeCell ref="CZ42:CZ43"/>
    <mergeCell ref="CH34:CH35"/>
    <mergeCell ref="BV7:BV8"/>
    <mergeCell ref="BP35:BP36"/>
    <mergeCell ref="BY36:BY37"/>
    <mergeCell ref="BG8:BG9"/>
    <mergeCell ref="BJ8:BJ9"/>
    <mergeCell ref="BM8:BM9"/>
    <mergeCell ref="BG39:BG40"/>
    <mergeCell ref="BP7:BP8"/>
    <mergeCell ref="BS7:BS8"/>
  </mergeCells>
  <conditionalFormatting sqref="FA1:FB2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D1:GI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G6">
    <cfRule type="cellIs" dxfId="3" priority="1" operator="greaterThan">
      <formula>0.95</formula>
    </cfRule>
  </conditionalFormatting>
  <conditionalFormatting sqref="BD2:BD48">
    <cfRule type="cellIs" dxfId="2" priority="18" operator="greaterThan">
      <formula>0.4</formula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D1:BD48">
    <cfRule type="cellIs" dxfId="1" priority="20" operator="greaterThan">
      <formula>0.5</formula>
    </cfRule>
    <cfRule type="top10" dxfId="0" priority="21" rank="2"/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4"/>
  <sheetViews>
    <sheetView topLeftCell="A6" workbookViewId="0">
      <selection activeCell="B33" sqref="B33"/>
    </sheetView>
  </sheetViews>
  <sheetFormatPr defaultColWidth="10.85546875" defaultRowHeight="15.75" x14ac:dyDescent="0.25"/>
  <cols>
    <col min="1" max="1" width="16.42578125" style="10" customWidth="1"/>
    <col min="2" max="2" width="24" style="6" customWidth="1"/>
    <col min="3" max="16384" width="10.85546875" style="6"/>
  </cols>
  <sheetData>
    <row r="1" spans="1:3" x14ac:dyDescent="0.25">
      <c r="A1" s="14" t="s">
        <v>85</v>
      </c>
      <c r="B1" s="15" t="s">
        <v>86</v>
      </c>
      <c r="C1" s="15" t="s">
        <v>87</v>
      </c>
    </row>
    <row r="2" spans="1:3" x14ac:dyDescent="0.25">
      <c r="A2" s="10" t="s">
        <v>1</v>
      </c>
    </row>
    <row r="3" spans="1:3" x14ac:dyDescent="0.25">
      <c r="A3" s="11"/>
      <c r="B3" s="7" t="s">
        <v>82</v>
      </c>
      <c r="C3" s="7">
        <v>1</v>
      </c>
    </row>
    <row r="4" spans="1:3" x14ac:dyDescent="0.25">
      <c r="A4" s="11"/>
      <c r="B4" s="7" t="s">
        <v>83</v>
      </c>
      <c r="C4" s="7">
        <v>0</v>
      </c>
    </row>
    <row r="5" spans="1:3" x14ac:dyDescent="0.25">
      <c r="A5" s="11"/>
      <c r="B5" s="7"/>
      <c r="C5" s="7"/>
    </row>
    <row r="6" spans="1:3" x14ac:dyDescent="0.25">
      <c r="A6" s="12" t="s">
        <v>2</v>
      </c>
      <c r="B6" s="7"/>
      <c r="C6" s="7"/>
    </row>
    <row r="7" spans="1:3" x14ac:dyDescent="0.25">
      <c r="B7" s="9" t="s">
        <v>36</v>
      </c>
      <c r="C7" s="7">
        <v>1</v>
      </c>
    </row>
    <row r="8" spans="1:3" x14ac:dyDescent="0.25">
      <c r="A8" s="12"/>
      <c r="B8" s="9" t="s">
        <v>44</v>
      </c>
      <c r="C8" s="7">
        <v>2</v>
      </c>
    </row>
    <row r="9" spans="1:3" x14ac:dyDescent="0.25">
      <c r="A9" s="12"/>
      <c r="B9" s="8" t="s">
        <v>78</v>
      </c>
      <c r="C9" s="7">
        <v>3</v>
      </c>
    </row>
    <row r="10" spans="1:3" x14ac:dyDescent="0.25">
      <c r="A10" s="11" t="s">
        <v>4</v>
      </c>
      <c r="B10" s="7"/>
      <c r="C10" s="7"/>
    </row>
    <row r="11" spans="1:3" x14ac:dyDescent="0.25">
      <c r="A11" s="12"/>
      <c r="B11" s="8" t="s">
        <v>37</v>
      </c>
      <c r="C11" s="7">
        <v>1</v>
      </c>
    </row>
    <row r="12" spans="1:3" x14ac:dyDescent="0.25">
      <c r="A12" s="12"/>
      <c r="B12" s="8" t="s">
        <v>45</v>
      </c>
      <c r="C12" s="7">
        <v>2</v>
      </c>
    </row>
    <row r="13" spans="1:3" x14ac:dyDescent="0.25">
      <c r="A13" s="12"/>
      <c r="B13" s="8" t="s">
        <v>61</v>
      </c>
      <c r="C13" s="7">
        <v>3</v>
      </c>
    </row>
    <row r="14" spans="1:3" x14ac:dyDescent="0.25">
      <c r="A14" s="12"/>
      <c r="B14" s="7"/>
      <c r="C14" s="7"/>
    </row>
    <row r="15" spans="1:3" x14ac:dyDescent="0.25">
      <c r="A15" s="13" t="s">
        <v>7</v>
      </c>
      <c r="B15" s="7"/>
      <c r="C15" s="7"/>
    </row>
    <row r="16" spans="1:3" x14ac:dyDescent="0.25">
      <c r="A16" s="12"/>
      <c r="B16" s="8" t="s">
        <v>38</v>
      </c>
      <c r="C16" s="7">
        <v>1</v>
      </c>
    </row>
    <row r="17" spans="1:3" x14ac:dyDescent="0.25">
      <c r="A17" s="12"/>
      <c r="B17" s="8" t="s">
        <v>49</v>
      </c>
      <c r="C17" s="7">
        <v>6</v>
      </c>
    </row>
    <row r="18" spans="1:3" x14ac:dyDescent="0.25">
      <c r="A18" s="12"/>
      <c r="B18" s="8" t="s">
        <v>51</v>
      </c>
      <c r="C18" s="7">
        <v>3</v>
      </c>
    </row>
    <row r="19" spans="1:3" x14ac:dyDescent="0.25">
      <c r="A19" s="12"/>
      <c r="B19" s="8" t="s">
        <v>59</v>
      </c>
      <c r="C19" s="7">
        <v>4</v>
      </c>
    </row>
    <row r="20" spans="1:3" x14ac:dyDescent="0.25">
      <c r="A20" s="12"/>
      <c r="B20" s="8" t="s">
        <v>60</v>
      </c>
      <c r="C20" s="7">
        <v>5</v>
      </c>
    </row>
    <row r="21" spans="1:3" x14ac:dyDescent="0.25">
      <c r="A21" s="12"/>
      <c r="B21" s="8" t="s">
        <v>61</v>
      </c>
      <c r="C21" s="7">
        <v>2</v>
      </c>
    </row>
    <row r="22" spans="1:3" x14ac:dyDescent="0.25">
      <c r="A22" s="12"/>
      <c r="B22" s="7"/>
      <c r="C22" s="7"/>
    </row>
    <row r="23" spans="1:3" x14ac:dyDescent="0.25">
      <c r="A23" s="13" t="s">
        <v>15</v>
      </c>
      <c r="B23" s="7"/>
      <c r="C23" s="7"/>
    </row>
    <row r="24" spans="1:3" x14ac:dyDescent="0.25">
      <c r="A24" s="12"/>
      <c r="B24" s="8" t="s">
        <v>40</v>
      </c>
      <c r="C24" s="7">
        <v>1</v>
      </c>
    </row>
    <row r="25" spans="1:3" x14ac:dyDescent="0.25">
      <c r="A25" s="12"/>
      <c r="B25" s="8" t="s">
        <v>47</v>
      </c>
      <c r="C25" s="7">
        <v>2</v>
      </c>
    </row>
    <row r="26" spans="1:3" x14ac:dyDescent="0.25">
      <c r="A26" s="12"/>
      <c r="B26" s="8" t="s">
        <v>50</v>
      </c>
      <c r="C26" s="7">
        <v>3</v>
      </c>
    </row>
    <row r="27" spans="1:3" x14ac:dyDescent="0.25">
      <c r="A27" s="12"/>
      <c r="B27" s="8" t="s">
        <v>53</v>
      </c>
      <c r="C27" s="7">
        <v>4</v>
      </c>
    </row>
    <row r="28" spans="1:3" x14ac:dyDescent="0.25">
      <c r="A28" s="12"/>
      <c r="B28" s="8" t="s">
        <v>54</v>
      </c>
      <c r="C28" s="7">
        <v>5</v>
      </c>
    </row>
    <row r="29" spans="1:3" x14ac:dyDescent="0.25">
      <c r="A29" s="12"/>
      <c r="B29" s="8" t="s">
        <v>56</v>
      </c>
      <c r="C29" s="7">
        <v>6</v>
      </c>
    </row>
    <row r="30" spans="1:3" x14ac:dyDescent="0.25">
      <c r="A30" s="12"/>
      <c r="B30" s="9" t="s">
        <v>57</v>
      </c>
      <c r="C30" s="7">
        <v>7</v>
      </c>
    </row>
    <row r="31" spans="1:3" x14ac:dyDescent="0.25">
      <c r="A31" s="12"/>
      <c r="B31" s="8" t="s">
        <v>58</v>
      </c>
      <c r="C31" s="7">
        <v>8</v>
      </c>
    </row>
    <row r="32" spans="1:3" x14ac:dyDescent="0.25">
      <c r="A32" s="12"/>
      <c r="B32" s="8" t="s">
        <v>61</v>
      </c>
      <c r="C32" s="7">
        <v>9</v>
      </c>
    </row>
    <row r="33" spans="1:3" x14ac:dyDescent="0.25">
      <c r="A33" s="12"/>
      <c r="B33" s="8"/>
      <c r="C33" s="7"/>
    </row>
    <row r="34" spans="1:3" x14ac:dyDescent="0.25">
      <c r="A34" s="12" t="s">
        <v>84</v>
      </c>
      <c r="B34" s="7"/>
      <c r="C34" s="7"/>
    </row>
    <row r="35" spans="1:3" x14ac:dyDescent="0.25">
      <c r="A35" s="12"/>
      <c r="B35" s="8" t="s">
        <v>79</v>
      </c>
      <c r="C35" s="7">
        <v>0</v>
      </c>
    </row>
    <row r="36" spans="1:3" x14ac:dyDescent="0.25">
      <c r="A36" s="12"/>
      <c r="B36" s="8" t="s">
        <v>80</v>
      </c>
      <c r="C36" s="7">
        <v>1</v>
      </c>
    </row>
    <row r="37" spans="1:3" x14ac:dyDescent="0.25">
      <c r="A37" s="11" t="s">
        <v>81</v>
      </c>
      <c r="B37" s="7"/>
      <c r="C37" s="7"/>
    </row>
    <row r="38" spans="1:3" x14ac:dyDescent="0.25">
      <c r="A38" s="12"/>
      <c r="B38" s="8" t="s">
        <v>41</v>
      </c>
      <c r="C38" s="7">
        <v>1</v>
      </c>
    </row>
    <row r="39" spans="1:3" x14ac:dyDescent="0.25">
      <c r="A39" s="12"/>
      <c r="B39" s="8" t="s">
        <v>48</v>
      </c>
      <c r="C39" s="7">
        <v>2</v>
      </c>
    </row>
    <row r="40" spans="1:3" x14ac:dyDescent="0.25">
      <c r="A40" s="12"/>
      <c r="B40" s="8" t="s">
        <v>52</v>
      </c>
      <c r="C40" s="7">
        <v>3</v>
      </c>
    </row>
    <row r="41" spans="1:3" x14ac:dyDescent="0.25">
      <c r="A41" s="12"/>
      <c r="B41" s="7"/>
      <c r="C41" s="7"/>
    </row>
    <row r="42" spans="1:3" x14ac:dyDescent="0.25">
      <c r="A42" s="12"/>
      <c r="B42" s="7"/>
      <c r="C42" s="7"/>
    </row>
    <row r="43" spans="1:3" x14ac:dyDescent="0.25">
      <c r="A43" s="12"/>
      <c r="B43" s="7"/>
      <c r="C43" s="7"/>
    </row>
    <row r="44" spans="1:3" x14ac:dyDescent="0.25">
      <c r="A44" s="12"/>
      <c r="B44" s="7"/>
      <c r="C44" s="7"/>
    </row>
    <row r="45" spans="1:3" x14ac:dyDescent="0.25">
      <c r="A45" s="12"/>
      <c r="B45" s="7"/>
      <c r="C45" s="7"/>
    </row>
    <row r="46" spans="1:3" x14ac:dyDescent="0.25">
      <c r="A46" s="12"/>
      <c r="B46" s="7"/>
      <c r="C46" s="7"/>
    </row>
    <row r="47" spans="1:3" x14ac:dyDescent="0.25">
      <c r="A47" s="12"/>
      <c r="B47" s="7"/>
      <c r="C47" s="7"/>
    </row>
    <row r="48" spans="1:3" x14ac:dyDescent="0.25">
      <c r="A48" s="12"/>
      <c r="B48" s="7"/>
      <c r="C48" s="7"/>
    </row>
    <row r="49" spans="1:3" x14ac:dyDescent="0.25">
      <c r="A49" s="12"/>
      <c r="B49" s="7"/>
      <c r="C49" s="7"/>
    </row>
    <row r="50" spans="1:3" x14ac:dyDescent="0.25">
      <c r="A50" s="12"/>
      <c r="B50" s="7"/>
      <c r="C50" s="7"/>
    </row>
    <row r="51" spans="1:3" x14ac:dyDescent="0.25">
      <c r="A51" s="12"/>
      <c r="B51" s="7"/>
      <c r="C51" s="7"/>
    </row>
    <row r="52" spans="1:3" x14ac:dyDescent="0.25">
      <c r="A52" s="12"/>
      <c r="B52" s="7"/>
      <c r="C52" s="7"/>
    </row>
    <row r="53" spans="1:3" x14ac:dyDescent="0.25">
      <c r="A53" s="12"/>
      <c r="B53" s="7"/>
      <c r="C53" s="7"/>
    </row>
    <row r="54" spans="1:3" x14ac:dyDescent="0.25">
      <c r="A54" s="12"/>
      <c r="B54" s="7"/>
      <c r="C54" s="7"/>
    </row>
    <row r="55" spans="1:3" x14ac:dyDescent="0.25">
      <c r="A55" s="12"/>
      <c r="B55" s="7"/>
      <c r="C55" s="7"/>
    </row>
    <row r="56" spans="1:3" x14ac:dyDescent="0.25">
      <c r="A56" s="12"/>
      <c r="B56" s="7"/>
      <c r="C56" s="7"/>
    </row>
    <row r="57" spans="1:3" x14ac:dyDescent="0.25">
      <c r="A57" s="12"/>
      <c r="B57" s="7"/>
      <c r="C57" s="7"/>
    </row>
    <row r="58" spans="1:3" x14ac:dyDescent="0.25">
      <c r="A58" s="12"/>
      <c r="B58" s="7"/>
      <c r="C58" s="7"/>
    </row>
    <row r="59" spans="1:3" x14ac:dyDescent="0.25">
      <c r="A59" s="12"/>
      <c r="B59" s="7"/>
      <c r="C59" s="7"/>
    </row>
    <row r="60" spans="1:3" x14ac:dyDescent="0.25">
      <c r="A60" s="12"/>
      <c r="B60" s="7"/>
      <c r="C60" s="7"/>
    </row>
    <row r="61" spans="1:3" x14ac:dyDescent="0.25">
      <c r="A61" s="12"/>
      <c r="B61" s="7"/>
      <c r="C61" s="7"/>
    </row>
    <row r="62" spans="1:3" x14ac:dyDescent="0.25">
      <c r="A62" s="12"/>
      <c r="B62" s="7"/>
      <c r="C62" s="7"/>
    </row>
    <row r="63" spans="1:3" x14ac:dyDescent="0.25">
      <c r="A63" s="12"/>
      <c r="B63" s="7"/>
      <c r="C63" s="7"/>
    </row>
    <row r="64" spans="1:3" x14ac:dyDescent="0.25">
      <c r="A64" s="12"/>
      <c r="B64" s="7"/>
      <c r="C64" s="7"/>
    </row>
    <row r="65" spans="1:3" x14ac:dyDescent="0.25">
      <c r="A65" s="12"/>
      <c r="B65" s="7"/>
      <c r="C65" s="7"/>
    </row>
    <row r="66" spans="1:3" x14ac:dyDescent="0.25">
      <c r="A66" s="12"/>
      <c r="B66" s="7"/>
      <c r="C66" s="7"/>
    </row>
    <row r="67" spans="1:3" x14ac:dyDescent="0.25">
      <c r="A67" s="12"/>
      <c r="B67" s="7"/>
      <c r="C67" s="7"/>
    </row>
    <row r="68" spans="1:3" x14ac:dyDescent="0.25">
      <c r="A68" s="12"/>
      <c r="B68" s="7"/>
      <c r="C68" s="7"/>
    </row>
    <row r="69" spans="1:3" x14ac:dyDescent="0.25">
      <c r="A69" s="12"/>
      <c r="B69" s="7"/>
      <c r="C69" s="7"/>
    </row>
    <row r="70" spans="1:3" x14ac:dyDescent="0.25">
      <c r="A70" s="12"/>
      <c r="B70" s="7"/>
      <c r="C70" s="7"/>
    </row>
    <row r="71" spans="1:3" x14ac:dyDescent="0.25">
      <c r="A71" s="12"/>
      <c r="B71" s="7"/>
      <c r="C71" s="7"/>
    </row>
    <row r="72" spans="1:3" x14ac:dyDescent="0.25">
      <c r="A72" s="12"/>
      <c r="B72" s="7"/>
      <c r="C72" s="7"/>
    </row>
    <row r="73" spans="1:3" x14ac:dyDescent="0.25">
      <c r="A73" s="12"/>
      <c r="B73" s="7"/>
      <c r="C73" s="7"/>
    </row>
    <row r="74" spans="1:3" x14ac:dyDescent="0.25">
      <c r="A74" s="12"/>
      <c r="B74" s="7"/>
      <c r="C74" s="7"/>
    </row>
    <row r="75" spans="1:3" x14ac:dyDescent="0.25">
      <c r="A75" s="12"/>
      <c r="B75" s="7"/>
      <c r="C75" s="7"/>
    </row>
    <row r="76" spans="1:3" x14ac:dyDescent="0.25">
      <c r="A76" s="12"/>
      <c r="B76" s="7"/>
      <c r="C76" s="7"/>
    </row>
    <row r="77" spans="1:3" x14ac:dyDescent="0.25">
      <c r="A77" s="12"/>
      <c r="B77" s="7"/>
      <c r="C77" s="7"/>
    </row>
    <row r="78" spans="1:3" x14ac:dyDescent="0.25">
      <c r="A78" s="12"/>
      <c r="B78" s="7"/>
      <c r="C78" s="7"/>
    </row>
    <row r="79" spans="1:3" x14ac:dyDescent="0.25">
      <c r="A79" s="12"/>
      <c r="B79" s="7"/>
      <c r="C79" s="7"/>
    </row>
    <row r="80" spans="1:3" x14ac:dyDescent="0.25">
      <c r="A80" s="12"/>
      <c r="B80" s="7"/>
      <c r="C80" s="7"/>
    </row>
    <row r="81" spans="1:3" x14ac:dyDescent="0.25">
      <c r="A81" s="12"/>
      <c r="B81" s="7"/>
      <c r="C81" s="7"/>
    </row>
    <row r="82" spans="1:3" x14ac:dyDescent="0.25">
      <c r="A82" s="12"/>
      <c r="B82" s="7"/>
      <c r="C82" s="7"/>
    </row>
    <row r="83" spans="1:3" x14ac:dyDescent="0.25">
      <c r="A83" s="12"/>
      <c r="B83" s="7"/>
      <c r="C83" s="7"/>
    </row>
    <row r="84" spans="1:3" x14ac:dyDescent="0.25">
      <c r="A84" s="12"/>
      <c r="B84" s="7"/>
      <c r="C84" s="7"/>
    </row>
    <row r="85" spans="1:3" x14ac:dyDescent="0.25">
      <c r="A85" s="12"/>
      <c r="B85" s="7"/>
      <c r="C85" s="7"/>
    </row>
    <row r="86" spans="1:3" x14ac:dyDescent="0.25">
      <c r="A86" s="12"/>
      <c r="B86" s="7"/>
      <c r="C86" s="7"/>
    </row>
    <row r="87" spans="1:3" x14ac:dyDescent="0.25">
      <c r="A87" s="12"/>
      <c r="B87" s="7"/>
      <c r="C87" s="7"/>
    </row>
    <row r="88" spans="1:3" x14ac:dyDescent="0.25">
      <c r="A88" s="12"/>
      <c r="B88" s="7"/>
      <c r="C88" s="7"/>
    </row>
    <row r="89" spans="1:3" x14ac:dyDescent="0.25">
      <c r="A89" s="12"/>
      <c r="B89" s="7"/>
      <c r="C89" s="7"/>
    </row>
    <row r="90" spans="1:3" x14ac:dyDescent="0.25">
      <c r="A90" s="12"/>
      <c r="B90" s="7"/>
      <c r="C90" s="7"/>
    </row>
    <row r="91" spans="1:3" x14ac:dyDescent="0.25">
      <c r="A91" s="12"/>
      <c r="B91" s="7"/>
      <c r="C91" s="7"/>
    </row>
    <row r="92" spans="1:3" x14ac:dyDescent="0.25">
      <c r="A92" s="12"/>
      <c r="B92" s="7"/>
      <c r="C92" s="7"/>
    </row>
    <row r="93" spans="1:3" x14ac:dyDescent="0.25">
      <c r="A93" s="12"/>
      <c r="B93" s="7"/>
      <c r="C93" s="7"/>
    </row>
    <row r="94" spans="1:3" x14ac:dyDescent="0.25">
      <c r="A94" s="12"/>
      <c r="B94" s="7"/>
      <c r="C94" s="7"/>
    </row>
    <row r="95" spans="1:3" x14ac:dyDescent="0.25">
      <c r="A95" s="12"/>
      <c r="B95" s="7"/>
      <c r="C95" s="7"/>
    </row>
    <row r="96" spans="1:3" x14ac:dyDescent="0.25">
      <c r="A96" s="12"/>
      <c r="B96" s="7"/>
      <c r="C96" s="7"/>
    </row>
    <row r="97" spans="1:3" x14ac:dyDescent="0.25">
      <c r="A97" s="12"/>
      <c r="B97" s="7"/>
      <c r="C97" s="7"/>
    </row>
    <row r="98" spans="1:3" x14ac:dyDescent="0.25">
      <c r="A98" s="12"/>
      <c r="B98" s="7"/>
      <c r="C98" s="7"/>
    </row>
    <row r="99" spans="1:3" x14ac:dyDescent="0.25">
      <c r="A99" s="12"/>
      <c r="B99" s="7"/>
      <c r="C99" s="7"/>
    </row>
    <row r="100" spans="1:3" x14ac:dyDescent="0.25">
      <c r="A100" s="12"/>
      <c r="B100" s="7"/>
      <c r="C100" s="7"/>
    </row>
    <row r="101" spans="1:3" x14ac:dyDescent="0.25">
      <c r="A101" s="12"/>
      <c r="B101" s="7"/>
      <c r="C101" s="7"/>
    </row>
    <row r="102" spans="1:3" x14ac:dyDescent="0.25">
      <c r="A102" s="12"/>
      <c r="B102" s="7"/>
      <c r="C102" s="7"/>
    </row>
    <row r="103" spans="1:3" x14ac:dyDescent="0.25">
      <c r="A103" s="12"/>
      <c r="B103" s="7"/>
      <c r="C103" s="7"/>
    </row>
    <row r="104" spans="1:3" x14ac:dyDescent="0.25">
      <c r="A104" s="12"/>
      <c r="B104" s="7"/>
      <c r="C104" s="7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7"/>
  <sheetViews>
    <sheetView workbookViewId="0">
      <selection activeCell="C19" sqref="C19"/>
    </sheetView>
  </sheetViews>
  <sheetFormatPr defaultColWidth="9.140625" defaultRowHeight="15" x14ac:dyDescent="0.25"/>
  <cols>
    <col min="1" max="1" width="21.28515625" style="2" customWidth="1"/>
    <col min="2" max="2" width="33" style="2" customWidth="1"/>
    <col min="3" max="16384" width="9.140625" style="2"/>
  </cols>
  <sheetData>
    <row r="2" spans="1:2" x14ac:dyDescent="0.25">
      <c r="B2" s="1"/>
    </row>
    <row r="3" spans="1:2" x14ac:dyDescent="0.25">
      <c r="A3" s="1" t="s">
        <v>6</v>
      </c>
      <c r="B3" s="1" t="s">
        <v>62</v>
      </c>
    </row>
    <row r="4" spans="1:2" x14ac:dyDescent="0.25">
      <c r="A4" s="1"/>
      <c r="B4" s="1" t="s">
        <v>63</v>
      </c>
    </row>
    <row r="5" spans="1:2" x14ac:dyDescent="0.25">
      <c r="A5" s="1"/>
      <c r="B5" s="1" t="s">
        <v>64</v>
      </c>
    </row>
    <row r="6" spans="1:2" x14ac:dyDescent="0.25">
      <c r="A6" s="1"/>
      <c r="B6" s="1" t="s">
        <v>65</v>
      </c>
    </row>
    <row r="7" spans="1:2" x14ac:dyDescent="0.25">
      <c r="A7" s="1"/>
      <c r="B7" s="1" t="s">
        <v>66</v>
      </c>
    </row>
    <row r="8" spans="1:2" x14ac:dyDescent="0.25">
      <c r="B8" s="1"/>
    </row>
    <row r="9" spans="1:2" x14ac:dyDescent="0.25">
      <c r="A9" s="1" t="s">
        <v>10</v>
      </c>
      <c r="B9" s="1" t="s">
        <v>67</v>
      </c>
    </row>
    <row r="10" spans="1:2" x14ac:dyDescent="0.25">
      <c r="A10" s="1"/>
      <c r="B10" s="1" t="s">
        <v>68</v>
      </c>
    </row>
    <row r="11" spans="1:2" x14ac:dyDescent="0.25">
      <c r="A11" s="1"/>
      <c r="B11" s="1" t="s">
        <v>69</v>
      </c>
    </row>
    <row r="12" spans="1:2" x14ac:dyDescent="0.25">
      <c r="A12" s="1"/>
      <c r="B12" s="1" t="s">
        <v>70</v>
      </c>
    </row>
    <row r="13" spans="1:2" x14ac:dyDescent="0.25">
      <c r="B13" s="1"/>
    </row>
    <row r="14" spans="1:2" x14ac:dyDescent="0.25">
      <c r="A14" s="1" t="s">
        <v>13</v>
      </c>
      <c r="B14" s="1" t="s">
        <v>67</v>
      </c>
    </row>
    <row r="15" spans="1:2" x14ac:dyDescent="0.25">
      <c r="A15" s="1"/>
      <c r="B15" s="1" t="s">
        <v>68</v>
      </c>
    </row>
    <row r="16" spans="1:2" x14ac:dyDescent="0.25">
      <c r="A16" s="1"/>
      <c r="B16" s="1" t="s">
        <v>69</v>
      </c>
    </row>
    <row r="17" spans="1:2" x14ac:dyDescent="0.25">
      <c r="A17" s="1"/>
      <c r="B17" s="1" t="s">
        <v>70</v>
      </c>
    </row>
    <row r="18" spans="1:2" x14ac:dyDescent="0.25">
      <c r="A18" s="1"/>
      <c r="B18" s="1"/>
    </row>
    <row r="19" spans="1:2" x14ac:dyDescent="0.25">
      <c r="A19" s="1" t="s">
        <v>16</v>
      </c>
      <c r="B19" s="1" t="s">
        <v>67</v>
      </c>
    </row>
    <row r="20" spans="1:2" x14ac:dyDescent="0.25">
      <c r="A20" s="1"/>
      <c r="B20" s="1" t="s">
        <v>68</v>
      </c>
    </row>
    <row r="21" spans="1:2" x14ac:dyDescent="0.25">
      <c r="A21" s="1"/>
      <c r="B21" s="1" t="s">
        <v>69</v>
      </c>
    </row>
    <row r="22" spans="1:2" x14ac:dyDescent="0.25">
      <c r="A22" s="1"/>
      <c r="B22" s="1" t="s">
        <v>70</v>
      </c>
    </row>
    <row r="23" spans="1:2" x14ac:dyDescent="0.25">
      <c r="B23" s="1"/>
    </row>
    <row r="24" spans="1:2" x14ac:dyDescent="0.25">
      <c r="A24" s="1" t="s">
        <v>24</v>
      </c>
      <c r="B24" s="1" t="s">
        <v>67</v>
      </c>
    </row>
    <row r="25" spans="1:2" x14ac:dyDescent="0.25">
      <c r="A25" s="1"/>
      <c r="B25" s="1" t="s">
        <v>71</v>
      </c>
    </row>
    <row r="26" spans="1:2" x14ac:dyDescent="0.25">
      <c r="A26" s="1"/>
      <c r="B26" s="1" t="s">
        <v>72</v>
      </c>
    </row>
    <row r="27" spans="1:2" x14ac:dyDescent="0.25">
      <c r="A27" s="1"/>
      <c r="B27" s="1" t="s">
        <v>73</v>
      </c>
    </row>
    <row r="28" spans="1:2" x14ac:dyDescent="0.25">
      <c r="B28" s="1"/>
    </row>
    <row r="29" spans="1:2" x14ac:dyDescent="0.25">
      <c r="A29" s="1" t="s">
        <v>25</v>
      </c>
      <c r="B29" s="1" t="s">
        <v>67</v>
      </c>
    </row>
    <row r="30" spans="1:2" x14ac:dyDescent="0.25">
      <c r="A30" s="1"/>
      <c r="B30" s="1" t="s">
        <v>68</v>
      </c>
    </row>
    <row r="31" spans="1:2" x14ac:dyDescent="0.25">
      <c r="A31" s="1"/>
      <c r="B31" s="1" t="s">
        <v>69</v>
      </c>
    </row>
    <row r="32" spans="1:2" x14ac:dyDescent="0.25">
      <c r="A32" s="1"/>
      <c r="B32" s="1" t="s">
        <v>70</v>
      </c>
    </row>
    <row r="33" spans="1:2" x14ac:dyDescent="0.25">
      <c r="B33" s="1"/>
    </row>
    <row r="34" spans="1:2" x14ac:dyDescent="0.25">
      <c r="A34" s="1" t="s">
        <v>30</v>
      </c>
      <c r="B34" s="1" t="s">
        <v>74</v>
      </c>
    </row>
    <row r="35" spans="1:2" x14ac:dyDescent="0.25">
      <c r="A35" s="1"/>
      <c r="B35" s="1" t="s">
        <v>71</v>
      </c>
    </row>
    <row r="36" spans="1:2" x14ac:dyDescent="0.25">
      <c r="A36" s="1"/>
      <c r="B36" s="1" t="s">
        <v>75</v>
      </c>
    </row>
    <row r="37" spans="1:2" x14ac:dyDescent="0.25">
      <c r="A37" s="1"/>
      <c r="B37" s="1" t="s">
        <v>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9"/>
  <sheetViews>
    <sheetView workbookViewId="0"/>
  </sheetViews>
  <sheetFormatPr defaultRowHeight="15" x14ac:dyDescent="0.25"/>
  <sheetData>
    <row r="9" spans="2:2" x14ac:dyDescent="0.25">
      <c r="B9" s="16">
        <f>1</f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73"/>
  <sheetViews>
    <sheetView workbookViewId="0"/>
  </sheetViews>
  <sheetFormatPr defaultColWidth="30.7109375" defaultRowHeight="15" x14ac:dyDescent="0.25"/>
  <cols>
    <col min="1" max="1" width="30.7109375" style="18"/>
    <col min="2" max="16384" width="30.7109375" style="17"/>
  </cols>
  <sheetData>
    <row r="1" spans="1:20" x14ac:dyDescent="0.25">
      <c r="A1" s="18" t="s">
        <v>97</v>
      </c>
      <c r="B1" s="17" t="s">
        <v>495</v>
      </c>
      <c r="C1" s="17" t="s">
        <v>88</v>
      </c>
      <c r="D1" s="17">
        <v>7</v>
      </c>
      <c r="E1" s="17" t="s">
        <v>89</v>
      </c>
      <c r="F1" s="17">
        <v>5</v>
      </c>
      <c r="G1" s="17" t="s">
        <v>90</v>
      </c>
      <c r="H1" s="17">
        <v>0</v>
      </c>
      <c r="I1" s="17" t="s">
        <v>91</v>
      </c>
      <c r="J1" s="17">
        <v>1</v>
      </c>
      <c r="K1" s="17" t="s">
        <v>92</v>
      </c>
      <c r="L1" s="17">
        <v>0</v>
      </c>
      <c r="M1" s="17" t="s">
        <v>93</v>
      </c>
      <c r="N1" s="17">
        <v>0</v>
      </c>
      <c r="O1" s="17" t="s">
        <v>94</v>
      </c>
      <c r="P1" s="17">
        <v>1</v>
      </c>
      <c r="Q1" s="17" t="s">
        <v>95</v>
      </c>
      <c r="R1" s="17">
        <v>0</v>
      </c>
      <c r="S1" s="17" t="s">
        <v>96</v>
      </c>
      <c r="T1" s="17">
        <v>0</v>
      </c>
    </row>
    <row r="2" spans="1:20" x14ac:dyDescent="0.25">
      <c r="A2" s="18" t="s">
        <v>99</v>
      </c>
      <c r="B2" s="17" t="s">
        <v>369</v>
      </c>
    </row>
    <row r="3" spans="1:20" x14ac:dyDescent="0.25">
      <c r="A3" s="18" t="s">
        <v>101</v>
      </c>
      <c r="B3" s="17" t="b">
        <f>IF(B10&gt;256,"TripUpST110AndEarlier",TRUE)</f>
        <v>1</v>
      </c>
    </row>
    <row r="4" spans="1:20" x14ac:dyDescent="0.25">
      <c r="A4" s="18" t="s">
        <v>102</v>
      </c>
      <c r="B4" s="17" t="s">
        <v>103</v>
      </c>
    </row>
    <row r="5" spans="1:20" x14ac:dyDescent="0.25">
      <c r="A5" s="18" t="s">
        <v>104</v>
      </c>
      <c r="B5" s="17" t="b">
        <v>1</v>
      </c>
    </row>
    <row r="6" spans="1:20" x14ac:dyDescent="0.25">
      <c r="A6" s="18" t="s">
        <v>105</v>
      </c>
      <c r="B6" s="17" t="b">
        <v>0</v>
      </c>
    </row>
    <row r="7" spans="1:20" x14ac:dyDescent="0.25">
      <c r="A7" s="18" t="s">
        <v>106</v>
      </c>
      <c r="B7" s="17">
        <f>'Updated Dummy'!$A$1:$BB$1471</f>
        <v>0</v>
      </c>
    </row>
    <row r="8" spans="1:20" x14ac:dyDescent="0.25">
      <c r="A8" s="18" t="s">
        <v>107</v>
      </c>
      <c r="B8" s="17">
        <v>2</v>
      </c>
    </row>
    <row r="9" spans="1:20" x14ac:dyDescent="0.25">
      <c r="A9" s="18" t="s">
        <v>108</v>
      </c>
      <c r="B9" s="32">
        <f>1</f>
        <v>1</v>
      </c>
    </row>
    <row r="10" spans="1:20" x14ac:dyDescent="0.25">
      <c r="A10" s="18" t="s">
        <v>109</v>
      </c>
      <c r="B10" s="17">
        <v>54</v>
      </c>
    </row>
    <row r="12" spans="1:20" x14ac:dyDescent="0.25">
      <c r="A12" s="18" t="s">
        <v>110</v>
      </c>
      <c r="B12" s="17" t="s">
        <v>496</v>
      </c>
      <c r="C12" s="17" t="s">
        <v>112</v>
      </c>
      <c r="D12" s="17" t="s">
        <v>370</v>
      </c>
      <c r="E12" s="17" t="b">
        <v>1</v>
      </c>
      <c r="F12" s="17">
        <v>0</v>
      </c>
      <c r="G12" s="17">
        <v>4</v>
      </c>
      <c r="H12" s="17">
        <v>0</v>
      </c>
    </row>
    <row r="13" spans="1:20" x14ac:dyDescent="0.25">
      <c r="A13" s="18" t="s">
        <v>114</v>
      </c>
      <c r="B13" s="17">
        <f>'Updated Dummy'!$A$1:$A$1471</f>
        <v>29</v>
      </c>
    </row>
    <row r="14" spans="1:20" x14ac:dyDescent="0.25">
      <c r="A14" s="18" t="s">
        <v>115</v>
      </c>
    </row>
    <row r="15" spans="1:20" x14ac:dyDescent="0.25">
      <c r="A15" s="18" t="s">
        <v>116</v>
      </c>
      <c r="B15" s="17" t="s">
        <v>497</v>
      </c>
      <c r="C15" s="17" t="s">
        <v>118</v>
      </c>
      <c r="D15" s="17" t="s">
        <v>371</v>
      </c>
      <c r="E15" s="17" t="b">
        <v>1</v>
      </c>
      <c r="F15" s="17">
        <v>0</v>
      </c>
      <c r="G15" s="17">
        <v>4</v>
      </c>
      <c r="H15" s="17">
        <v>0</v>
      </c>
    </row>
    <row r="16" spans="1:20" x14ac:dyDescent="0.25">
      <c r="A16" s="18" t="s">
        <v>120</v>
      </c>
      <c r="B16" s="17">
        <f>'Updated Dummy'!$B$1:$B$1471</f>
        <v>1</v>
      </c>
    </row>
    <row r="17" spans="1:8" x14ac:dyDescent="0.25">
      <c r="A17" s="18" t="s">
        <v>121</v>
      </c>
    </row>
    <row r="18" spans="1:8" x14ac:dyDescent="0.25">
      <c r="A18" s="18" t="s">
        <v>122</v>
      </c>
      <c r="B18" s="17" t="s">
        <v>498</v>
      </c>
      <c r="C18" s="17" t="s">
        <v>124</v>
      </c>
      <c r="D18" s="17" t="s">
        <v>372</v>
      </c>
      <c r="E18" s="17" t="b">
        <v>1</v>
      </c>
      <c r="F18" s="17">
        <v>0</v>
      </c>
      <c r="G18" s="17">
        <v>4</v>
      </c>
      <c r="H18" s="17">
        <v>0</v>
      </c>
    </row>
    <row r="19" spans="1:8" x14ac:dyDescent="0.25">
      <c r="A19" s="18" t="s">
        <v>126</v>
      </c>
      <c r="B19" s="17">
        <f>'Updated Dummy'!$C$1:$C$1471</f>
        <v>3</v>
      </c>
    </row>
    <row r="20" spans="1:8" x14ac:dyDescent="0.25">
      <c r="A20" s="18" t="s">
        <v>127</v>
      </c>
    </row>
    <row r="21" spans="1:8" x14ac:dyDescent="0.25">
      <c r="A21" s="18" t="s">
        <v>128</v>
      </c>
      <c r="B21" s="17" t="s">
        <v>499</v>
      </c>
      <c r="C21" s="17" t="s">
        <v>130</v>
      </c>
      <c r="D21" s="17" t="s">
        <v>373</v>
      </c>
      <c r="E21" s="17" t="b">
        <v>1</v>
      </c>
      <c r="F21" s="17">
        <v>0</v>
      </c>
      <c r="G21" s="17">
        <v>4</v>
      </c>
      <c r="H21" s="17">
        <v>0</v>
      </c>
    </row>
    <row r="22" spans="1:8" x14ac:dyDescent="0.25">
      <c r="A22" s="18" t="s">
        <v>132</v>
      </c>
      <c r="B22" s="17">
        <f>'Updated Dummy'!$D$1:$D$1471</f>
        <v>0</v>
      </c>
    </row>
    <row r="23" spans="1:8" x14ac:dyDescent="0.25">
      <c r="A23" s="18" t="s">
        <v>133</v>
      </c>
    </row>
    <row r="24" spans="1:8" x14ac:dyDescent="0.25">
      <c r="A24" s="18" t="s">
        <v>134</v>
      </c>
      <c r="B24" s="17" t="s">
        <v>500</v>
      </c>
      <c r="C24" s="17" t="s">
        <v>136</v>
      </c>
      <c r="D24" s="17" t="s">
        <v>374</v>
      </c>
      <c r="E24" s="17" t="b">
        <v>1</v>
      </c>
      <c r="F24" s="17">
        <v>0</v>
      </c>
      <c r="G24" s="17">
        <v>4</v>
      </c>
      <c r="H24" s="17">
        <v>0</v>
      </c>
    </row>
    <row r="25" spans="1:8" x14ac:dyDescent="0.25">
      <c r="A25" s="18" t="s">
        <v>138</v>
      </c>
      <c r="B25" s="17">
        <f>'Updated Dummy'!$E$1:$E$1471</f>
        <v>0</v>
      </c>
    </row>
    <row r="26" spans="1:8" x14ac:dyDescent="0.25">
      <c r="A26" s="18" t="s">
        <v>139</v>
      </c>
    </row>
    <row r="27" spans="1:8" x14ac:dyDescent="0.25">
      <c r="A27" s="18" t="s">
        <v>140</v>
      </c>
      <c r="B27" s="17" t="s">
        <v>501</v>
      </c>
      <c r="C27" s="17" t="s">
        <v>142</v>
      </c>
      <c r="D27" s="17" t="s">
        <v>375</v>
      </c>
      <c r="E27" s="17" t="b">
        <v>1</v>
      </c>
      <c r="F27" s="17">
        <v>0</v>
      </c>
      <c r="G27" s="17">
        <v>4</v>
      </c>
      <c r="H27" s="17">
        <v>0</v>
      </c>
    </row>
    <row r="28" spans="1:8" x14ac:dyDescent="0.25">
      <c r="A28" s="18" t="s">
        <v>144</v>
      </c>
      <c r="B28" s="17">
        <f>'Updated Dummy'!$F$1:$F$1471</f>
        <v>1125</v>
      </c>
    </row>
    <row r="29" spans="1:8" x14ac:dyDescent="0.25">
      <c r="A29" s="18" t="s">
        <v>145</v>
      </c>
    </row>
    <row r="30" spans="1:8" x14ac:dyDescent="0.25">
      <c r="A30" s="18" t="s">
        <v>146</v>
      </c>
      <c r="B30" s="17" t="s">
        <v>502</v>
      </c>
      <c r="C30" s="17" t="s">
        <v>148</v>
      </c>
      <c r="D30" s="17" t="s">
        <v>376</v>
      </c>
      <c r="E30" s="17" t="b">
        <v>1</v>
      </c>
      <c r="F30" s="17">
        <v>0</v>
      </c>
      <c r="G30" s="17">
        <v>4</v>
      </c>
      <c r="H30" s="17">
        <v>0</v>
      </c>
    </row>
    <row r="31" spans="1:8" x14ac:dyDescent="0.25">
      <c r="A31" s="18" t="s">
        <v>150</v>
      </c>
      <c r="B31" s="17">
        <f>'Updated Dummy'!$G$1:$G$1471</f>
        <v>1</v>
      </c>
    </row>
    <row r="32" spans="1:8" x14ac:dyDescent="0.25">
      <c r="A32" s="18" t="s">
        <v>151</v>
      </c>
    </row>
    <row r="33" spans="1:8" x14ac:dyDescent="0.25">
      <c r="A33" s="18" t="s">
        <v>152</v>
      </c>
      <c r="B33" s="17" t="s">
        <v>503</v>
      </c>
      <c r="C33" s="17" t="s">
        <v>154</v>
      </c>
      <c r="D33" s="17" t="s">
        <v>377</v>
      </c>
      <c r="E33" s="17" t="b">
        <v>1</v>
      </c>
      <c r="F33" s="17">
        <v>0</v>
      </c>
      <c r="G33" s="17">
        <v>4</v>
      </c>
      <c r="H33" s="17">
        <v>0</v>
      </c>
    </row>
    <row r="34" spans="1:8" x14ac:dyDescent="0.25">
      <c r="A34" s="18" t="s">
        <v>156</v>
      </c>
      <c r="B34" s="17">
        <f>'Updated Dummy'!$H$1:$H$1471</f>
        <v>0</v>
      </c>
    </row>
    <row r="35" spans="1:8" x14ac:dyDescent="0.25">
      <c r="A35" s="18" t="s">
        <v>157</v>
      </c>
    </row>
    <row r="36" spans="1:8" x14ac:dyDescent="0.25">
      <c r="A36" s="18" t="s">
        <v>158</v>
      </c>
      <c r="B36" s="17" t="s">
        <v>504</v>
      </c>
      <c r="C36" s="17" t="s">
        <v>160</v>
      </c>
      <c r="D36" s="17" t="s">
        <v>378</v>
      </c>
      <c r="E36" s="17" t="b">
        <v>1</v>
      </c>
      <c r="F36" s="17">
        <v>0</v>
      </c>
      <c r="G36" s="17">
        <v>4</v>
      </c>
      <c r="H36" s="17">
        <v>0</v>
      </c>
    </row>
    <row r="37" spans="1:8" x14ac:dyDescent="0.25">
      <c r="A37" s="18" t="s">
        <v>162</v>
      </c>
      <c r="B37" s="17">
        <f>'Updated Dummy'!$I$1:$I$1471</f>
        <v>1</v>
      </c>
    </row>
    <row r="38" spans="1:8" x14ac:dyDescent="0.25">
      <c r="A38" s="18" t="s">
        <v>163</v>
      </c>
    </row>
    <row r="39" spans="1:8" x14ac:dyDescent="0.25">
      <c r="A39" s="18" t="s">
        <v>164</v>
      </c>
      <c r="B39" s="17" t="s">
        <v>505</v>
      </c>
      <c r="C39" s="17" t="s">
        <v>166</v>
      </c>
      <c r="D39" s="17" t="s">
        <v>379</v>
      </c>
      <c r="E39" s="17" t="b">
        <v>1</v>
      </c>
      <c r="F39" s="17">
        <v>0</v>
      </c>
      <c r="G39" s="17">
        <v>4</v>
      </c>
      <c r="H39" s="17">
        <v>0</v>
      </c>
    </row>
    <row r="40" spans="1:8" x14ac:dyDescent="0.25">
      <c r="A40" s="18" t="s">
        <v>168</v>
      </c>
      <c r="B40" s="17">
        <f>'Updated Dummy'!$J$1:$J$1471</f>
        <v>5</v>
      </c>
    </row>
    <row r="41" spans="1:8" x14ac:dyDescent="0.25">
      <c r="A41" s="18" t="s">
        <v>169</v>
      </c>
    </row>
    <row r="42" spans="1:8" x14ac:dyDescent="0.25">
      <c r="A42" s="18" t="s">
        <v>170</v>
      </c>
      <c r="B42" s="17" t="s">
        <v>506</v>
      </c>
      <c r="C42" s="17" t="s">
        <v>172</v>
      </c>
      <c r="D42" s="17" t="s">
        <v>380</v>
      </c>
      <c r="E42" s="17" t="b">
        <v>1</v>
      </c>
      <c r="F42" s="17">
        <v>0</v>
      </c>
      <c r="G42" s="17">
        <v>4</v>
      </c>
      <c r="H42" s="17">
        <v>0</v>
      </c>
    </row>
    <row r="43" spans="1:8" x14ac:dyDescent="0.25">
      <c r="A43" s="18" t="s">
        <v>174</v>
      </c>
      <c r="B43" s="17">
        <f>'Updated Dummy'!$K$1:$K$1471</f>
        <v>4</v>
      </c>
    </row>
    <row r="44" spans="1:8" x14ac:dyDescent="0.25">
      <c r="A44" s="18" t="s">
        <v>175</v>
      </c>
    </row>
    <row r="45" spans="1:8" x14ac:dyDescent="0.25">
      <c r="A45" s="18" t="s">
        <v>176</v>
      </c>
      <c r="B45" s="17" t="s">
        <v>507</v>
      </c>
      <c r="C45" s="17" t="s">
        <v>178</v>
      </c>
      <c r="D45" s="17" t="s">
        <v>381</v>
      </c>
      <c r="E45" s="17" t="b">
        <v>1</v>
      </c>
      <c r="F45" s="17">
        <v>0</v>
      </c>
      <c r="G45" s="17">
        <v>4</v>
      </c>
      <c r="H45" s="17">
        <v>0</v>
      </c>
    </row>
    <row r="46" spans="1:8" x14ac:dyDescent="0.25">
      <c r="A46" s="18" t="s">
        <v>180</v>
      </c>
      <c r="B46" s="17">
        <f>'Updated Dummy'!$L$1:$L$1471</f>
        <v>3</v>
      </c>
    </row>
    <row r="47" spans="1:8" x14ac:dyDescent="0.25">
      <c r="A47" s="18" t="s">
        <v>181</v>
      </c>
    </row>
    <row r="48" spans="1:8" x14ac:dyDescent="0.25">
      <c r="A48" s="18" t="s">
        <v>182</v>
      </c>
      <c r="B48" s="17" t="s">
        <v>508</v>
      </c>
      <c r="C48" s="17" t="s">
        <v>184</v>
      </c>
      <c r="D48" s="17" t="s">
        <v>382</v>
      </c>
      <c r="E48" s="17" t="b">
        <v>1</v>
      </c>
      <c r="F48" s="17">
        <v>0</v>
      </c>
      <c r="G48" s="17">
        <v>4</v>
      </c>
      <c r="H48" s="17">
        <v>0</v>
      </c>
    </row>
    <row r="49" spans="1:8" x14ac:dyDescent="0.25">
      <c r="A49" s="18" t="s">
        <v>186</v>
      </c>
      <c r="B49" s="17">
        <f>'Updated Dummy'!$M$1:$M$1471</f>
        <v>1</v>
      </c>
    </row>
    <row r="50" spans="1:8" x14ac:dyDescent="0.25">
      <c r="A50" s="18" t="s">
        <v>187</v>
      </c>
    </row>
    <row r="51" spans="1:8" x14ac:dyDescent="0.25">
      <c r="A51" s="18" t="s">
        <v>188</v>
      </c>
      <c r="B51" s="17" t="s">
        <v>509</v>
      </c>
      <c r="C51" s="17" t="s">
        <v>190</v>
      </c>
      <c r="D51" s="17" t="s">
        <v>383</v>
      </c>
      <c r="E51" s="17" t="b">
        <v>1</v>
      </c>
      <c r="F51" s="17">
        <v>0</v>
      </c>
      <c r="G51" s="17">
        <v>4</v>
      </c>
      <c r="H51" s="17">
        <v>0</v>
      </c>
    </row>
    <row r="52" spans="1:8" x14ac:dyDescent="0.25">
      <c r="A52" s="18" t="s">
        <v>192</v>
      </c>
      <c r="B52" s="17">
        <f>'Updated Dummy'!$N$1:$N$1471</f>
        <v>0</v>
      </c>
    </row>
    <row r="53" spans="1:8" x14ac:dyDescent="0.25">
      <c r="A53" s="18" t="s">
        <v>193</v>
      </c>
    </row>
    <row r="54" spans="1:8" x14ac:dyDescent="0.25">
      <c r="A54" s="18" t="s">
        <v>194</v>
      </c>
      <c r="B54" s="17" t="s">
        <v>510</v>
      </c>
      <c r="C54" s="17" t="s">
        <v>196</v>
      </c>
      <c r="D54" s="17" t="s">
        <v>384</v>
      </c>
      <c r="E54" s="17" t="b">
        <v>1</v>
      </c>
      <c r="F54" s="17">
        <v>0</v>
      </c>
      <c r="G54" s="17">
        <v>4</v>
      </c>
      <c r="H54" s="17">
        <v>0</v>
      </c>
    </row>
    <row r="55" spans="1:8" x14ac:dyDescent="0.25">
      <c r="A55" s="18" t="s">
        <v>198</v>
      </c>
      <c r="B55" s="17">
        <f>'Updated Dummy'!$O$1:$O$1471</f>
        <v>1</v>
      </c>
    </row>
    <row r="56" spans="1:8" x14ac:dyDescent="0.25">
      <c r="A56" s="18" t="s">
        <v>199</v>
      </c>
    </row>
    <row r="57" spans="1:8" x14ac:dyDescent="0.25">
      <c r="A57" s="18" t="s">
        <v>200</v>
      </c>
      <c r="B57" s="17" t="s">
        <v>511</v>
      </c>
      <c r="C57" s="17" t="s">
        <v>202</v>
      </c>
      <c r="D57" s="17" t="s">
        <v>385</v>
      </c>
      <c r="E57" s="17" t="b">
        <v>1</v>
      </c>
      <c r="F57" s="17">
        <v>0</v>
      </c>
      <c r="G57" s="17">
        <v>4</v>
      </c>
      <c r="H57" s="17">
        <v>0</v>
      </c>
    </row>
    <row r="58" spans="1:8" x14ac:dyDescent="0.25">
      <c r="A58" s="18" t="s">
        <v>204</v>
      </c>
      <c r="B58" s="17">
        <f>'Updated Dummy'!$P$1:$P$1471</f>
        <v>0</v>
      </c>
    </row>
    <row r="59" spans="1:8" x14ac:dyDescent="0.25">
      <c r="A59" s="18" t="s">
        <v>205</v>
      </c>
    </row>
    <row r="60" spans="1:8" x14ac:dyDescent="0.25">
      <c r="A60" s="18" t="s">
        <v>206</v>
      </c>
      <c r="B60" s="17" t="s">
        <v>512</v>
      </c>
      <c r="C60" s="17" t="s">
        <v>208</v>
      </c>
      <c r="D60" s="17" t="s">
        <v>386</v>
      </c>
      <c r="E60" s="17" t="b">
        <v>1</v>
      </c>
      <c r="F60" s="17">
        <v>0</v>
      </c>
      <c r="G60" s="17">
        <v>4</v>
      </c>
      <c r="H60" s="17">
        <v>0</v>
      </c>
    </row>
    <row r="61" spans="1:8" x14ac:dyDescent="0.25">
      <c r="A61" s="18" t="s">
        <v>210</v>
      </c>
      <c r="B61" s="17">
        <f>'Updated Dummy'!$Q$1:$Q$1471</f>
        <v>0</v>
      </c>
    </row>
    <row r="62" spans="1:8" x14ac:dyDescent="0.25">
      <c r="A62" s="18" t="s">
        <v>211</v>
      </c>
    </row>
    <row r="63" spans="1:8" x14ac:dyDescent="0.25">
      <c r="A63" s="18" t="s">
        <v>212</v>
      </c>
      <c r="B63" s="17" t="s">
        <v>513</v>
      </c>
      <c r="C63" s="17" t="s">
        <v>214</v>
      </c>
      <c r="D63" s="17" t="s">
        <v>387</v>
      </c>
      <c r="E63" s="17" t="b">
        <v>1</v>
      </c>
      <c r="F63" s="17">
        <v>0</v>
      </c>
      <c r="G63" s="17">
        <v>4</v>
      </c>
      <c r="H63" s="17">
        <v>0</v>
      </c>
    </row>
    <row r="64" spans="1:8" x14ac:dyDescent="0.25">
      <c r="A64" s="18" t="s">
        <v>216</v>
      </c>
      <c r="B64" s="17">
        <f>'Updated Dummy'!$R$1:$R$1471</f>
        <v>1</v>
      </c>
    </row>
    <row r="65" spans="1:8" x14ac:dyDescent="0.25">
      <c r="A65" s="18" t="s">
        <v>217</v>
      </c>
    </row>
    <row r="66" spans="1:8" x14ac:dyDescent="0.25">
      <c r="A66" s="18" t="s">
        <v>218</v>
      </c>
      <c r="B66" s="17" t="s">
        <v>514</v>
      </c>
      <c r="C66" s="17" t="s">
        <v>220</v>
      </c>
      <c r="D66" s="17" t="s">
        <v>388</v>
      </c>
      <c r="E66" s="17" t="b">
        <v>1</v>
      </c>
      <c r="F66" s="17">
        <v>0</v>
      </c>
      <c r="G66" s="17">
        <v>4</v>
      </c>
      <c r="H66" s="17">
        <v>0</v>
      </c>
    </row>
    <row r="67" spans="1:8" x14ac:dyDescent="0.25">
      <c r="A67" s="18" t="s">
        <v>222</v>
      </c>
      <c r="B67" s="17">
        <f>'Updated Dummy'!$S$1:$S$1471</f>
        <v>84</v>
      </c>
    </row>
    <row r="68" spans="1:8" x14ac:dyDescent="0.25">
      <c r="A68" s="18" t="s">
        <v>223</v>
      </c>
    </row>
    <row r="69" spans="1:8" x14ac:dyDescent="0.25">
      <c r="A69" s="18" t="s">
        <v>224</v>
      </c>
      <c r="B69" s="17" t="s">
        <v>515</v>
      </c>
      <c r="C69" s="17" t="s">
        <v>226</v>
      </c>
      <c r="D69" s="17" t="s">
        <v>389</v>
      </c>
      <c r="E69" s="17" t="b">
        <v>1</v>
      </c>
      <c r="F69" s="17">
        <v>0</v>
      </c>
      <c r="G69" s="17">
        <v>4</v>
      </c>
      <c r="H69" s="17">
        <v>0</v>
      </c>
    </row>
    <row r="70" spans="1:8" x14ac:dyDescent="0.25">
      <c r="A70" s="18" t="s">
        <v>228</v>
      </c>
      <c r="B70" s="17">
        <f>'Updated Dummy'!$T$1:$T$1471</f>
        <v>2</v>
      </c>
    </row>
    <row r="71" spans="1:8" x14ac:dyDescent="0.25">
      <c r="A71" s="18" t="s">
        <v>229</v>
      </c>
    </row>
    <row r="72" spans="1:8" x14ac:dyDescent="0.25">
      <c r="A72" s="18" t="s">
        <v>230</v>
      </c>
      <c r="B72" s="17" t="s">
        <v>516</v>
      </c>
      <c r="C72" s="17" t="s">
        <v>232</v>
      </c>
      <c r="D72" s="17" t="s">
        <v>390</v>
      </c>
      <c r="E72" s="17" t="b">
        <v>1</v>
      </c>
      <c r="F72" s="17">
        <v>0</v>
      </c>
      <c r="G72" s="17">
        <v>4</v>
      </c>
      <c r="H72" s="17">
        <v>0</v>
      </c>
    </row>
    <row r="73" spans="1:8" x14ac:dyDescent="0.25">
      <c r="A73" s="18" t="s">
        <v>234</v>
      </c>
      <c r="B73" s="17">
        <f>'Updated Dummy'!$U$1:$U$1471</f>
        <v>1</v>
      </c>
    </row>
    <row r="74" spans="1:8" x14ac:dyDescent="0.25">
      <c r="A74" s="18" t="s">
        <v>235</v>
      </c>
    </row>
    <row r="75" spans="1:8" x14ac:dyDescent="0.25">
      <c r="A75" s="18" t="s">
        <v>236</v>
      </c>
      <c r="B75" s="17" t="s">
        <v>517</v>
      </c>
      <c r="C75" s="17" t="s">
        <v>238</v>
      </c>
      <c r="D75" s="17" t="s">
        <v>391</v>
      </c>
      <c r="E75" s="17" t="b">
        <v>1</v>
      </c>
      <c r="F75" s="17">
        <v>0</v>
      </c>
      <c r="G75" s="17">
        <v>4</v>
      </c>
      <c r="H75" s="17">
        <v>0</v>
      </c>
    </row>
    <row r="76" spans="1:8" x14ac:dyDescent="0.25">
      <c r="A76" s="18" t="s">
        <v>240</v>
      </c>
      <c r="B76" s="17">
        <f>'Updated Dummy'!$V$1:$V$1471</f>
        <v>55</v>
      </c>
    </row>
    <row r="77" spans="1:8" x14ac:dyDescent="0.25">
      <c r="A77" s="18" t="s">
        <v>241</v>
      </c>
    </row>
    <row r="78" spans="1:8" x14ac:dyDescent="0.25">
      <c r="A78" s="18" t="s">
        <v>242</v>
      </c>
      <c r="B78" s="17" t="s">
        <v>518</v>
      </c>
      <c r="C78" s="17" t="s">
        <v>244</v>
      </c>
      <c r="D78" s="17" t="s">
        <v>392</v>
      </c>
      <c r="E78" s="17" t="b">
        <v>1</v>
      </c>
      <c r="F78" s="17">
        <v>0</v>
      </c>
      <c r="G78" s="17">
        <v>4</v>
      </c>
      <c r="H78" s="17">
        <v>0</v>
      </c>
    </row>
    <row r="79" spans="1:8" x14ac:dyDescent="0.25">
      <c r="A79" s="18" t="s">
        <v>246</v>
      </c>
      <c r="B79" s="17">
        <f>'Updated Dummy'!$W$1:$W$1471</f>
        <v>3</v>
      </c>
    </row>
    <row r="80" spans="1:8" x14ac:dyDescent="0.25">
      <c r="A80" s="18" t="s">
        <v>247</v>
      </c>
    </row>
    <row r="81" spans="1:8" x14ac:dyDescent="0.25">
      <c r="A81" s="18" t="s">
        <v>248</v>
      </c>
      <c r="B81" s="17" t="s">
        <v>519</v>
      </c>
      <c r="C81" s="17" t="s">
        <v>250</v>
      </c>
      <c r="D81" s="17" t="s">
        <v>393</v>
      </c>
      <c r="E81" s="17" t="b">
        <v>1</v>
      </c>
      <c r="F81" s="17">
        <v>0</v>
      </c>
      <c r="G81" s="17">
        <v>4</v>
      </c>
      <c r="H81" s="17">
        <v>0</v>
      </c>
    </row>
    <row r="82" spans="1:8" x14ac:dyDescent="0.25">
      <c r="A82" s="18" t="s">
        <v>252</v>
      </c>
      <c r="B82" s="17">
        <f>'Updated Dummy'!$X$1:$X$1471</f>
        <v>2</v>
      </c>
    </row>
    <row r="83" spans="1:8" x14ac:dyDescent="0.25">
      <c r="A83" s="18" t="s">
        <v>253</v>
      </c>
    </row>
    <row r="84" spans="1:8" x14ac:dyDescent="0.25">
      <c r="A84" s="18" t="s">
        <v>254</v>
      </c>
      <c r="B84" s="17" t="s">
        <v>520</v>
      </c>
      <c r="C84" s="17" t="s">
        <v>256</v>
      </c>
      <c r="D84" s="17" t="s">
        <v>394</v>
      </c>
      <c r="E84" s="17" t="b">
        <v>1</v>
      </c>
      <c r="F84" s="17">
        <v>0</v>
      </c>
      <c r="G84" s="17">
        <v>4</v>
      </c>
      <c r="H84" s="17">
        <v>0</v>
      </c>
    </row>
    <row r="85" spans="1:8" x14ac:dyDescent="0.25">
      <c r="A85" s="18" t="s">
        <v>258</v>
      </c>
      <c r="B85" s="17">
        <f>'Updated Dummy'!$Y$1:$Y$1471</f>
        <v>2</v>
      </c>
    </row>
    <row r="86" spans="1:8" x14ac:dyDescent="0.25">
      <c r="A86" s="18" t="s">
        <v>259</v>
      </c>
    </row>
    <row r="87" spans="1:8" x14ac:dyDescent="0.25">
      <c r="A87" s="18" t="s">
        <v>260</v>
      </c>
      <c r="B87" s="17" t="s">
        <v>521</v>
      </c>
      <c r="C87" s="17" t="s">
        <v>262</v>
      </c>
      <c r="D87" s="17" t="s">
        <v>395</v>
      </c>
      <c r="E87" s="17" t="b">
        <v>1</v>
      </c>
      <c r="F87" s="17">
        <v>0</v>
      </c>
      <c r="G87" s="17">
        <v>4</v>
      </c>
      <c r="H87" s="17">
        <v>0</v>
      </c>
    </row>
    <row r="88" spans="1:8" x14ac:dyDescent="0.25">
      <c r="A88" s="18" t="s">
        <v>264</v>
      </c>
      <c r="B88" s="17">
        <f>'Updated Dummy'!$Z$1:$Z$1471</f>
        <v>0</v>
      </c>
    </row>
    <row r="89" spans="1:8" x14ac:dyDescent="0.25">
      <c r="A89" s="18" t="s">
        <v>265</v>
      </c>
    </row>
    <row r="90" spans="1:8" x14ac:dyDescent="0.25">
      <c r="A90" s="18" t="s">
        <v>266</v>
      </c>
      <c r="B90" s="17" t="s">
        <v>522</v>
      </c>
      <c r="C90" s="17" t="s">
        <v>268</v>
      </c>
      <c r="D90" s="17" t="s">
        <v>396</v>
      </c>
      <c r="E90" s="17" t="b">
        <v>1</v>
      </c>
      <c r="F90" s="17">
        <v>0</v>
      </c>
      <c r="G90" s="17">
        <v>4</v>
      </c>
      <c r="H90" s="17">
        <v>0</v>
      </c>
    </row>
    <row r="91" spans="1:8" x14ac:dyDescent="0.25">
      <c r="A91" s="18" t="s">
        <v>270</v>
      </c>
      <c r="B91" s="17">
        <f>'Updated Dummy'!$AA$1:$AA$1471</f>
        <v>0</v>
      </c>
    </row>
    <row r="92" spans="1:8" x14ac:dyDescent="0.25">
      <c r="A92" s="18" t="s">
        <v>271</v>
      </c>
    </row>
    <row r="93" spans="1:8" x14ac:dyDescent="0.25">
      <c r="A93" s="18" t="s">
        <v>272</v>
      </c>
      <c r="B93" s="17" t="s">
        <v>523</v>
      </c>
      <c r="C93" s="17" t="s">
        <v>274</v>
      </c>
      <c r="D93" s="17" t="s">
        <v>397</v>
      </c>
      <c r="E93" s="17" t="b">
        <v>1</v>
      </c>
      <c r="F93" s="17">
        <v>0</v>
      </c>
      <c r="G93" s="17">
        <v>4</v>
      </c>
      <c r="H93" s="17">
        <v>0</v>
      </c>
    </row>
    <row r="94" spans="1:8" x14ac:dyDescent="0.25">
      <c r="A94" s="18" t="s">
        <v>276</v>
      </c>
      <c r="B94" s="17">
        <f>'Updated Dummy'!$AB$1:$AB$1471</f>
        <v>0</v>
      </c>
    </row>
    <row r="95" spans="1:8" x14ac:dyDescent="0.25">
      <c r="A95" s="18" t="s">
        <v>277</v>
      </c>
    </row>
    <row r="96" spans="1:8" x14ac:dyDescent="0.25">
      <c r="A96" s="18" t="s">
        <v>278</v>
      </c>
      <c r="B96" s="17" t="s">
        <v>524</v>
      </c>
      <c r="C96" s="17" t="s">
        <v>280</v>
      </c>
      <c r="D96" s="17" t="s">
        <v>398</v>
      </c>
      <c r="E96" s="17" t="b">
        <v>1</v>
      </c>
      <c r="F96" s="17">
        <v>0</v>
      </c>
      <c r="G96" s="17">
        <v>4</v>
      </c>
      <c r="H96" s="17">
        <v>0</v>
      </c>
    </row>
    <row r="97" spans="1:8" x14ac:dyDescent="0.25">
      <c r="A97" s="18" t="s">
        <v>282</v>
      </c>
      <c r="B97" s="17">
        <f>'Updated Dummy'!$AC$1:$AC$1471</f>
        <v>0</v>
      </c>
    </row>
    <row r="98" spans="1:8" x14ac:dyDescent="0.25">
      <c r="A98" s="18" t="s">
        <v>283</v>
      </c>
    </row>
    <row r="99" spans="1:8" x14ac:dyDescent="0.25">
      <c r="A99" s="18" t="s">
        <v>284</v>
      </c>
      <c r="B99" s="17" t="s">
        <v>525</v>
      </c>
      <c r="C99" s="17" t="s">
        <v>286</v>
      </c>
      <c r="D99" s="17" t="s">
        <v>399</v>
      </c>
      <c r="E99" s="17" t="b">
        <v>1</v>
      </c>
      <c r="F99" s="17">
        <v>0</v>
      </c>
      <c r="G99" s="17">
        <v>4</v>
      </c>
      <c r="H99" s="17">
        <v>0</v>
      </c>
    </row>
    <row r="100" spans="1:8" x14ac:dyDescent="0.25">
      <c r="A100" s="18" t="s">
        <v>288</v>
      </c>
      <c r="B100" s="17">
        <f>'Updated Dummy'!$AD$1:$AD$1471</f>
        <v>0</v>
      </c>
    </row>
    <row r="101" spans="1:8" x14ac:dyDescent="0.25">
      <c r="A101" s="18" t="s">
        <v>289</v>
      </c>
    </row>
    <row r="102" spans="1:8" x14ac:dyDescent="0.25">
      <c r="A102" s="18" t="s">
        <v>290</v>
      </c>
      <c r="B102" s="17" t="s">
        <v>526</v>
      </c>
      <c r="C102" s="17" t="s">
        <v>292</v>
      </c>
      <c r="D102" s="17" t="s">
        <v>400</v>
      </c>
      <c r="E102" s="17" t="b">
        <v>1</v>
      </c>
      <c r="F102" s="17">
        <v>0</v>
      </c>
      <c r="G102" s="17">
        <v>4</v>
      </c>
      <c r="H102" s="17">
        <v>0</v>
      </c>
    </row>
    <row r="103" spans="1:8" x14ac:dyDescent="0.25">
      <c r="A103" s="18" t="s">
        <v>294</v>
      </c>
      <c r="B103" s="17">
        <f>'Updated Dummy'!$AE$1:$AE$1471</f>
        <v>0</v>
      </c>
    </row>
    <row r="104" spans="1:8" x14ac:dyDescent="0.25">
      <c r="A104" s="18" t="s">
        <v>295</v>
      </c>
    </row>
    <row r="105" spans="1:8" x14ac:dyDescent="0.25">
      <c r="A105" s="18" t="s">
        <v>296</v>
      </c>
      <c r="B105" s="17" t="s">
        <v>527</v>
      </c>
      <c r="C105" s="17" t="s">
        <v>298</v>
      </c>
      <c r="D105" s="17" t="s">
        <v>401</v>
      </c>
      <c r="E105" s="17" t="b">
        <v>1</v>
      </c>
      <c r="F105" s="17">
        <v>0</v>
      </c>
      <c r="G105" s="17">
        <v>4</v>
      </c>
      <c r="H105" s="17">
        <v>0</v>
      </c>
    </row>
    <row r="106" spans="1:8" x14ac:dyDescent="0.25">
      <c r="A106" s="18" t="s">
        <v>300</v>
      </c>
      <c r="B106" s="17">
        <f>'Updated Dummy'!$AF$1:$AF$1471</f>
        <v>0</v>
      </c>
    </row>
    <row r="107" spans="1:8" x14ac:dyDescent="0.25">
      <c r="A107" s="18" t="s">
        <v>301</v>
      </c>
    </row>
    <row r="108" spans="1:8" x14ac:dyDescent="0.25">
      <c r="A108" s="18" t="s">
        <v>302</v>
      </c>
      <c r="B108" s="17" t="s">
        <v>528</v>
      </c>
      <c r="C108" s="17" t="s">
        <v>304</v>
      </c>
      <c r="D108" s="17" t="s">
        <v>402</v>
      </c>
      <c r="E108" s="17" t="b">
        <v>1</v>
      </c>
      <c r="F108" s="17">
        <v>0</v>
      </c>
      <c r="G108" s="17">
        <v>4</v>
      </c>
      <c r="H108" s="17">
        <v>0</v>
      </c>
    </row>
    <row r="109" spans="1:8" x14ac:dyDescent="0.25">
      <c r="A109" s="18" t="s">
        <v>306</v>
      </c>
      <c r="B109" s="17">
        <f>'Updated Dummy'!$AG$1:$AG$1471</f>
        <v>0</v>
      </c>
    </row>
    <row r="110" spans="1:8" x14ac:dyDescent="0.25">
      <c r="A110" s="18" t="s">
        <v>307</v>
      </c>
    </row>
    <row r="111" spans="1:8" x14ac:dyDescent="0.25">
      <c r="A111" s="18" t="s">
        <v>308</v>
      </c>
      <c r="B111" s="17" t="s">
        <v>529</v>
      </c>
      <c r="C111" s="17" t="s">
        <v>310</v>
      </c>
      <c r="D111" s="17" t="s">
        <v>403</v>
      </c>
      <c r="E111" s="17" t="b">
        <v>1</v>
      </c>
      <c r="F111" s="17">
        <v>0</v>
      </c>
      <c r="G111" s="17">
        <v>4</v>
      </c>
      <c r="H111" s="17">
        <v>0</v>
      </c>
    </row>
    <row r="112" spans="1:8" x14ac:dyDescent="0.25">
      <c r="A112" s="18" t="s">
        <v>312</v>
      </c>
      <c r="B112" s="17">
        <f>'Updated Dummy'!$AH$1:$AH$1471</f>
        <v>1</v>
      </c>
    </row>
    <row r="113" spans="1:8" x14ac:dyDescent="0.25">
      <c r="A113" s="18" t="s">
        <v>313</v>
      </c>
    </row>
    <row r="114" spans="1:8" x14ac:dyDescent="0.25">
      <c r="A114" s="18" t="s">
        <v>314</v>
      </c>
      <c r="B114" s="17" t="s">
        <v>530</v>
      </c>
      <c r="C114" s="17" t="s">
        <v>316</v>
      </c>
      <c r="D114" s="17" t="s">
        <v>404</v>
      </c>
      <c r="E114" s="17" t="b">
        <v>1</v>
      </c>
      <c r="F114" s="17">
        <v>0</v>
      </c>
      <c r="G114" s="17">
        <v>4</v>
      </c>
      <c r="H114" s="17">
        <v>0</v>
      </c>
    </row>
    <row r="115" spans="1:8" x14ac:dyDescent="0.25">
      <c r="A115" s="18" t="s">
        <v>318</v>
      </c>
      <c r="B115" s="17">
        <f>'Updated Dummy'!$AI$1:$AI$1471</f>
        <v>2</v>
      </c>
    </row>
    <row r="116" spans="1:8" x14ac:dyDescent="0.25">
      <c r="A116" s="18" t="s">
        <v>319</v>
      </c>
    </row>
    <row r="117" spans="1:8" x14ac:dyDescent="0.25">
      <c r="A117" s="18" t="s">
        <v>405</v>
      </c>
      <c r="B117" s="17" t="s">
        <v>531</v>
      </c>
      <c r="C117" s="17" t="s">
        <v>406</v>
      </c>
      <c r="D117" s="17" t="s">
        <v>407</v>
      </c>
      <c r="E117" s="17" t="b">
        <v>1</v>
      </c>
      <c r="F117" s="17">
        <v>0</v>
      </c>
      <c r="G117" s="17">
        <v>4</v>
      </c>
      <c r="H117" s="17">
        <v>0</v>
      </c>
    </row>
    <row r="118" spans="1:8" x14ac:dyDescent="0.25">
      <c r="A118" s="18" t="s">
        <v>408</v>
      </c>
      <c r="B118" s="17">
        <f>'Updated Dummy'!$AJ$1:$AJ$1471</f>
        <v>1</v>
      </c>
    </row>
    <row r="119" spans="1:8" x14ac:dyDescent="0.25">
      <c r="A119" s="18" t="s">
        <v>409</v>
      </c>
    </row>
    <row r="120" spans="1:8" x14ac:dyDescent="0.25">
      <c r="A120" s="18" t="s">
        <v>410</v>
      </c>
      <c r="B120" s="17" t="s">
        <v>532</v>
      </c>
      <c r="C120" s="17" t="s">
        <v>411</v>
      </c>
      <c r="D120" s="17" t="s">
        <v>412</v>
      </c>
      <c r="E120" s="17" t="b">
        <v>1</v>
      </c>
      <c r="F120" s="17">
        <v>0</v>
      </c>
      <c r="G120" s="17">
        <v>4</v>
      </c>
      <c r="H120" s="17">
        <v>0</v>
      </c>
    </row>
    <row r="121" spans="1:8" x14ac:dyDescent="0.25">
      <c r="A121" s="18" t="s">
        <v>413</v>
      </c>
      <c r="B121" s="17">
        <f>'Updated Dummy'!$AK$1:$AK$1471</f>
        <v>1</v>
      </c>
    </row>
    <row r="122" spans="1:8" x14ac:dyDescent="0.25">
      <c r="A122" s="18" t="s">
        <v>414</v>
      </c>
    </row>
    <row r="123" spans="1:8" x14ac:dyDescent="0.25">
      <c r="A123" s="18" t="s">
        <v>415</v>
      </c>
      <c r="B123" s="17" t="s">
        <v>533</v>
      </c>
      <c r="C123" s="17" t="s">
        <v>416</v>
      </c>
      <c r="D123" s="17" t="s">
        <v>417</v>
      </c>
      <c r="E123" s="17" t="b">
        <v>1</v>
      </c>
      <c r="F123" s="17">
        <v>0</v>
      </c>
      <c r="G123" s="17">
        <v>4</v>
      </c>
      <c r="H123" s="17">
        <v>0</v>
      </c>
    </row>
    <row r="124" spans="1:8" x14ac:dyDescent="0.25">
      <c r="A124" s="18" t="s">
        <v>418</v>
      </c>
      <c r="B124" s="17">
        <f>'Updated Dummy'!$AL$1:$AL$1471</f>
        <v>4963</v>
      </c>
    </row>
    <row r="125" spans="1:8" x14ac:dyDescent="0.25">
      <c r="A125" s="18" t="s">
        <v>419</v>
      </c>
    </row>
    <row r="126" spans="1:8" x14ac:dyDescent="0.25">
      <c r="A126" s="18" t="s">
        <v>420</v>
      </c>
      <c r="B126" s="17" t="s">
        <v>534</v>
      </c>
      <c r="C126" s="17" t="s">
        <v>421</v>
      </c>
      <c r="D126" s="17" t="s">
        <v>422</v>
      </c>
      <c r="E126" s="17" t="b">
        <v>1</v>
      </c>
      <c r="F126" s="17">
        <v>0</v>
      </c>
      <c r="G126" s="17">
        <v>4</v>
      </c>
      <c r="H126" s="17">
        <v>0</v>
      </c>
    </row>
    <row r="127" spans="1:8" x14ac:dyDescent="0.25">
      <c r="A127" s="18" t="s">
        <v>423</v>
      </c>
      <c r="B127" s="17">
        <f>'Updated Dummy'!$AM$1:$AM$1471</f>
        <v>23300</v>
      </c>
    </row>
    <row r="128" spans="1:8" x14ac:dyDescent="0.25">
      <c r="A128" s="18" t="s">
        <v>424</v>
      </c>
    </row>
    <row r="129" spans="1:8" x14ac:dyDescent="0.25">
      <c r="A129" s="18" t="s">
        <v>425</v>
      </c>
      <c r="B129" s="17" t="s">
        <v>535</v>
      </c>
      <c r="C129" s="17" t="s">
        <v>426</v>
      </c>
      <c r="D129" s="17" t="s">
        <v>427</v>
      </c>
      <c r="E129" s="17" t="b">
        <v>1</v>
      </c>
      <c r="F129" s="17">
        <v>0</v>
      </c>
      <c r="G129" s="17">
        <v>4</v>
      </c>
      <c r="H129" s="17">
        <v>0</v>
      </c>
    </row>
    <row r="130" spans="1:8" x14ac:dyDescent="0.25">
      <c r="A130" s="18" t="s">
        <v>428</v>
      </c>
      <c r="B130" s="17">
        <f>'Updated Dummy'!$AN$1:$AN$1471</f>
        <v>0</v>
      </c>
    </row>
    <row r="131" spans="1:8" x14ac:dyDescent="0.25">
      <c r="A131" s="18" t="s">
        <v>429</v>
      </c>
    </row>
    <row r="132" spans="1:8" x14ac:dyDescent="0.25">
      <c r="A132" s="18" t="s">
        <v>430</v>
      </c>
      <c r="B132" s="17" t="s">
        <v>536</v>
      </c>
      <c r="C132" s="17" t="s">
        <v>431</v>
      </c>
      <c r="D132" s="17" t="s">
        <v>432</v>
      </c>
      <c r="E132" s="17" t="b">
        <v>1</v>
      </c>
      <c r="F132" s="17">
        <v>0</v>
      </c>
      <c r="G132" s="17">
        <v>4</v>
      </c>
      <c r="H132" s="17">
        <v>0</v>
      </c>
    </row>
    <row r="133" spans="1:8" x14ac:dyDescent="0.25">
      <c r="A133" s="18" t="s">
        <v>433</v>
      </c>
      <c r="B133" s="17">
        <f>'Updated Dummy'!$AO$1:$AO$1471</f>
        <v>0</v>
      </c>
    </row>
    <row r="134" spans="1:8" x14ac:dyDescent="0.25">
      <c r="A134" s="18" t="s">
        <v>434</v>
      </c>
    </row>
    <row r="135" spans="1:8" x14ac:dyDescent="0.25">
      <c r="A135" s="18" t="s">
        <v>435</v>
      </c>
      <c r="B135" s="17" t="s">
        <v>537</v>
      </c>
      <c r="C135" s="17" t="s">
        <v>436</v>
      </c>
      <c r="D135" s="17" t="s">
        <v>437</v>
      </c>
      <c r="E135" s="17" t="b">
        <v>1</v>
      </c>
      <c r="F135" s="17">
        <v>0</v>
      </c>
      <c r="G135" s="17">
        <v>4</v>
      </c>
      <c r="H135" s="17">
        <v>0</v>
      </c>
    </row>
    <row r="136" spans="1:8" x14ac:dyDescent="0.25">
      <c r="A136" s="18" t="s">
        <v>438</v>
      </c>
      <c r="B136" s="17">
        <f>'Updated Dummy'!$AP$1:$AP$1471</f>
        <v>23</v>
      </c>
    </row>
    <row r="137" spans="1:8" x14ac:dyDescent="0.25">
      <c r="A137" s="18" t="s">
        <v>439</v>
      </c>
    </row>
    <row r="138" spans="1:8" x14ac:dyDescent="0.25">
      <c r="A138" s="18" t="s">
        <v>440</v>
      </c>
      <c r="B138" s="17" t="s">
        <v>538</v>
      </c>
      <c r="C138" s="17" t="s">
        <v>441</v>
      </c>
      <c r="D138" s="17" t="s">
        <v>442</v>
      </c>
      <c r="E138" s="17" t="b">
        <v>1</v>
      </c>
      <c r="F138" s="17">
        <v>0</v>
      </c>
      <c r="G138" s="17">
        <v>4</v>
      </c>
      <c r="H138" s="17">
        <v>0</v>
      </c>
    </row>
    <row r="139" spans="1:8" x14ac:dyDescent="0.25">
      <c r="A139" s="18" t="s">
        <v>443</v>
      </c>
      <c r="B139" s="17">
        <f>'Updated Dummy'!$AQ$1:$AQ$1471</f>
        <v>3</v>
      </c>
    </row>
    <row r="140" spans="1:8" x14ac:dyDescent="0.25">
      <c r="A140" s="18" t="s">
        <v>444</v>
      </c>
    </row>
    <row r="141" spans="1:8" x14ac:dyDescent="0.25">
      <c r="A141" s="18" t="s">
        <v>445</v>
      </c>
      <c r="B141" s="17" t="s">
        <v>539</v>
      </c>
      <c r="C141" s="17" t="s">
        <v>446</v>
      </c>
      <c r="D141" s="17" t="s">
        <v>447</v>
      </c>
      <c r="E141" s="17" t="b">
        <v>1</v>
      </c>
      <c r="F141" s="17">
        <v>0</v>
      </c>
      <c r="G141" s="17">
        <v>4</v>
      </c>
      <c r="H141" s="17">
        <v>0</v>
      </c>
    </row>
    <row r="142" spans="1:8" x14ac:dyDescent="0.25">
      <c r="A142" s="18" t="s">
        <v>448</v>
      </c>
      <c r="B142" s="17">
        <f>'Updated Dummy'!$AR$1:$AR$1471</f>
        <v>1</v>
      </c>
    </row>
    <row r="143" spans="1:8" x14ac:dyDescent="0.25">
      <c r="A143" s="18" t="s">
        <v>449</v>
      </c>
    </row>
    <row r="144" spans="1:8" x14ac:dyDescent="0.25">
      <c r="A144" s="18" t="s">
        <v>450</v>
      </c>
      <c r="B144" s="17" t="s">
        <v>540</v>
      </c>
      <c r="C144" s="17" t="s">
        <v>451</v>
      </c>
      <c r="D144" s="17" t="s">
        <v>452</v>
      </c>
      <c r="E144" s="17" t="b">
        <v>1</v>
      </c>
      <c r="F144" s="17">
        <v>0</v>
      </c>
      <c r="G144" s="17">
        <v>4</v>
      </c>
      <c r="H144" s="17">
        <v>0</v>
      </c>
    </row>
    <row r="145" spans="1:8" x14ac:dyDescent="0.25">
      <c r="A145" s="18" t="s">
        <v>453</v>
      </c>
      <c r="B145" s="17">
        <f>'Updated Dummy'!$AS$1:$AS$1471</f>
        <v>80</v>
      </c>
    </row>
    <row r="146" spans="1:8" x14ac:dyDescent="0.25">
      <c r="A146" s="18" t="s">
        <v>454</v>
      </c>
    </row>
    <row r="147" spans="1:8" x14ac:dyDescent="0.25">
      <c r="A147" s="18" t="s">
        <v>455</v>
      </c>
      <c r="B147" s="17" t="s">
        <v>541</v>
      </c>
      <c r="C147" s="17" t="s">
        <v>456</v>
      </c>
      <c r="D147" s="17" t="s">
        <v>457</v>
      </c>
      <c r="E147" s="17" t="b">
        <v>1</v>
      </c>
      <c r="F147" s="17">
        <v>0</v>
      </c>
      <c r="G147" s="17">
        <v>4</v>
      </c>
      <c r="H147" s="17">
        <v>0</v>
      </c>
    </row>
    <row r="148" spans="1:8" x14ac:dyDescent="0.25">
      <c r="A148" s="18" t="s">
        <v>458</v>
      </c>
      <c r="B148" s="17">
        <f>'Updated Dummy'!$AT$1:$AT$1471</f>
        <v>0</v>
      </c>
    </row>
    <row r="149" spans="1:8" x14ac:dyDescent="0.25">
      <c r="A149" s="18" t="s">
        <v>459</v>
      </c>
    </row>
    <row r="150" spans="1:8" x14ac:dyDescent="0.25">
      <c r="A150" s="18" t="s">
        <v>460</v>
      </c>
      <c r="B150" s="17" t="s">
        <v>542</v>
      </c>
      <c r="C150" s="17" t="s">
        <v>461</v>
      </c>
      <c r="D150" s="17" t="s">
        <v>462</v>
      </c>
      <c r="E150" s="17" t="b">
        <v>1</v>
      </c>
      <c r="F150" s="17">
        <v>0</v>
      </c>
      <c r="G150" s="17">
        <v>4</v>
      </c>
      <c r="H150" s="17">
        <v>0</v>
      </c>
    </row>
    <row r="151" spans="1:8" x14ac:dyDescent="0.25">
      <c r="A151" s="18" t="s">
        <v>463</v>
      </c>
      <c r="B151" s="17">
        <f>'Updated Dummy'!$AU$1:$AU$1471</f>
        <v>1</v>
      </c>
    </row>
    <row r="152" spans="1:8" x14ac:dyDescent="0.25">
      <c r="A152" s="18" t="s">
        <v>464</v>
      </c>
    </row>
    <row r="153" spans="1:8" x14ac:dyDescent="0.25">
      <c r="A153" s="18" t="s">
        <v>465</v>
      </c>
      <c r="B153" s="17" t="s">
        <v>543</v>
      </c>
      <c r="C153" s="17" t="s">
        <v>466</v>
      </c>
      <c r="D153" s="17" t="s">
        <v>467</v>
      </c>
      <c r="E153" s="17" t="b">
        <v>1</v>
      </c>
      <c r="F153" s="17">
        <v>0</v>
      </c>
      <c r="G153" s="17">
        <v>4</v>
      </c>
      <c r="H153" s="17">
        <v>0</v>
      </c>
    </row>
    <row r="154" spans="1:8" x14ac:dyDescent="0.25">
      <c r="A154" s="18" t="s">
        <v>468</v>
      </c>
      <c r="B154" s="17">
        <f>'Updated Dummy'!$AV$1:$AV$1471</f>
        <v>3</v>
      </c>
    </row>
    <row r="155" spans="1:8" x14ac:dyDescent="0.25">
      <c r="A155" s="18" t="s">
        <v>469</v>
      </c>
    </row>
    <row r="156" spans="1:8" x14ac:dyDescent="0.25">
      <c r="A156" s="18" t="s">
        <v>470</v>
      </c>
      <c r="B156" s="17" t="s">
        <v>544</v>
      </c>
      <c r="C156" s="17" t="s">
        <v>471</v>
      </c>
      <c r="D156" s="17" t="s">
        <v>472</v>
      </c>
      <c r="E156" s="17" t="b">
        <v>1</v>
      </c>
      <c r="F156" s="17">
        <v>0</v>
      </c>
      <c r="G156" s="17">
        <v>4</v>
      </c>
      <c r="H156" s="17">
        <v>0</v>
      </c>
    </row>
    <row r="157" spans="1:8" x14ac:dyDescent="0.25">
      <c r="A157" s="18" t="s">
        <v>473</v>
      </c>
      <c r="B157" s="17">
        <f>'Updated Dummy'!$AW$1:$AW$1471</f>
        <v>3</v>
      </c>
    </row>
    <row r="158" spans="1:8" x14ac:dyDescent="0.25">
      <c r="A158" s="18" t="s">
        <v>474</v>
      </c>
    </row>
    <row r="159" spans="1:8" x14ac:dyDescent="0.25">
      <c r="A159" s="18" t="s">
        <v>475</v>
      </c>
      <c r="B159" s="17" t="s">
        <v>545</v>
      </c>
      <c r="C159" s="17" t="s">
        <v>476</v>
      </c>
      <c r="D159" s="17" t="s">
        <v>477</v>
      </c>
      <c r="E159" s="17" t="b">
        <v>1</v>
      </c>
      <c r="F159" s="17">
        <v>0</v>
      </c>
      <c r="G159" s="17">
        <v>4</v>
      </c>
      <c r="H159" s="17">
        <v>0</v>
      </c>
    </row>
    <row r="160" spans="1:8" x14ac:dyDescent="0.25">
      <c r="A160" s="18" t="s">
        <v>478</v>
      </c>
      <c r="B160" s="17">
        <f>'Updated Dummy'!$AX$1:$AX$1471</f>
        <v>12</v>
      </c>
    </row>
    <row r="161" spans="1:8" x14ac:dyDescent="0.25">
      <c r="A161" s="18" t="s">
        <v>479</v>
      </c>
    </row>
    <row r="162" spans="1:8" x14ac:dyDescent="0.25">
      <c r="A162" s="18" t="s">
        <v>480</v>
      </c>
      <c r="B162" s="17" t="s">
        <v>546</v>
      </c>
      <c r="C162" s="17" t="s">
        <v>481</v>
      </c>
      <c r="D162" s="17" t="s">
        <v>482</v>
      </c>
      <c r="E162" s="17" t="b">
        <v>1</v>
      </c>
      <c r="F162" s="17">
        <v>0</v>
      </c>
      <c r="G162" s="17">
        <v>4</v>
      </c>
      <c r="H162" s="17">
        <v>0</v>
      </c>
    </row>
    <row r="163" spans="1:8" x14ac:dyDescent="0.25">
      <c r="A163" s="18" t="s">
        <v>483</v>
      </c>
      <c r="B163" s="17">
        <f>'Updated Dummy'!$AY$1:$AY$1471</f>
        <v>2</v>
      </c>
    </row>
    <row r="164" spans="1:8" x14ac:dyDescent="0.25">
      <c r="A164" s="18" t="s">
        <v>484</v>
      </c>
    </row>
    <row r="165" spans="1:8" x14ac:dyDescent="0.25">
      <c r="A165" s="18" t="s">
        <v>485</v>
      </c>
      <c r="B165" s="17" t="s">
        <v>547</v>
      </c>
      <c r="C165" s="17" t="s">
        <v>486</v>
      </c>
      <c r="D165" s="17" t="s">
        <v>487</v>
      </c>
      <c r="E165" s="17" t="b">
        <v>1</v>
      </c>
      <c r="F165" s="17">
        <v>0</v>
      </c>
      <c r="G165" s="17">
        <v>4</v>
      </c>
      <c r="H165" s="17">
        <v>0</v>
      </c>
    </row>
    <row r="166" spans="1:8" x14ac:dyDescent="0.25">
      <c r="A166" s="18" t="s">
        <v>488</v>
      </c>
      <c r="B166" s="17">
        <f>'Updated Dummy'!$AZ$1:$AZ$1471</f>
        <v>0</v>
      </c>
    </row>
    <row r="167" spans="1:8" x14ac:dyDescent="0.25">
      <c r="A167" s="18" t="s">
        <v>489</v>
      </c>
    </row>
    <row r="168" spans="1:8" x14ac:dyDescent="0.25">
      <c r="A168" s="18" t="s">
        <v>490</v>
      </c>
      <c r="B168" s="17" t="s">
        <v>548</v>
      </c>
      <c r="C168" s="17" t="s">
        <v>491</v>
      </c>
      <c r="D168" s="17" t="s">
        <v>492</v>
      </c>
      <c r="E168" s="17" t="b">
        <v>1</v>
      </c>
      <c r="F168" s="17">
        <v>0</v>
      </c>
      <c r="G168" s="17">
        <v>4</v>
      </c>
      <c r="H168" s="17">
        <v>0</v>
      </c>
    </row>
    <row r="169" spans="1:8" x14ac:dyDescent="0.25">
      <c r="A169" s="18" t="s">
        <v>493</v>
      </c>
      <c r="B169" s="17">
        <f>'Updated Dummy'!$BA$1:$BA$1471</f>
        <v>4</v>
      </c>
    </row>
    <row r="170" spans="1:8" x14ac:dyDescent="0.25">
      <c r="A170" s="18" t="s">
        <v>494</v>
      </c>
    </row>
    <row r="171" spans="1:8" x14ac:dyDescent="0.25">
      <c r="A171" s="18" t="s">
        <v>549</v>
      </c>
      <c r="B171" s="17" t="s">
        <v>550</v>
      </c>
      <c r="C171" s="17" t="s">
        <v>551</v>
      </c>
      <c r="D171" s="17" t="s">
        <v>552</v>
      </c>
      <c r="E171" s="17" t="b">
        <v>1</v>
      </c>
      <c r="F171" s="17">
        <v>0</v>
      </c>
      <c r="G171" s="17">
        <v>4</v>
      </c>
      <c r="H171" s="17">
        <v>0</v>
      </c>
    </row>
    <row r="172" spans="1:8" x14ac:dyDescent="0.25">
      <c r="A172" s="18" t="s">
        <v>553</v>
      </c>
      <c r="B172" s="17">
        <f>'Updated Dummy'!$BB$1:$BB$1471</f>
        <v>3058</v>
      </c>
    </row>
    <row r="173" spans="1:8" x14ac:dyDescent="0.25">
      <c r="A173" s="18" t="s">
        <v>554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6"/>
  <sheetViews>
    <sheetView workbookViewId="0"/>
  </sheetViews>
  <sheetFormatPr defaultColWidth="30.7109375" defaultRowHeight="15" x14ac:dyDescent="0.25"/>
  <cols>
    <col min="1" max="1" width="30.7109375" style="18"/>
    <col min="2" max="16384" width="30.7109375" style="17"/>
  </cols>
  <sheetData>
    <row r="1" spans="1:20" x14ac:dyDescent="0.25">
      <c r="A1" s="18" t="s">
        <v>97</v>
      </c>
      <c r="B1" s="17" t="s">
        <v>98</v>
      </c>
      <c r="C1" s="17" t="s">
        <v>88</v>
      </c>
      <c r="D1" s="17">
        <v>7</v>
      </c>
      <c r="E1" s="17" t="s">
        <v>89</v>
      </c>
      <c r="F1" s="17">
        <v>5</v>
      </c>
      <c r="G1" s="17" t="s">
        <v>90</v>
      </c>
      <c r="H1" s="17">
        <v>0</v>
      </c>
      <c r="I1" s="17" t="s">
        <v>91</v>
      </c>
      <c r="J1" s="17">
        <v>1</v>
      </c>
      <c r="K1" s="17" t="s">
        <v>92</v>
      </c>
      <c r="L1" s="17">
        <v>0</v>
      </c>
      <c r="M1" s="17" t="s">
        <v>93</v>
      </c>
      <c r="N1" s="17">
        <v>0</v>
      </c>
      <c r="O1" s="17" t="s">
        <v>94</v>
      </c>
      <c r="P1" s="17">
        <v>1</v>
      </c>
      <c r="Q1" s="17" t="s">
        <v>95</v>
      </c>
      <c r="R1" s="17">
        <v>0</v>
      </c>
      <c r="S1" s="17" t="s">
        <v>96</v>
      </c>
      <c r="T1" s="17">
        <v>0</v>
      </c>
    </row>
    <row r="2" spans="1:20" x14ac:dyDescent="0.25">
      <c r="A2" s="18" t="s">
        <v>99</v>
      </c>
      <c r="B2" s="17" t="s">
        <v>100</v>
      </c>
    </row>
    <row r="3" spans="1:20" x14ac:dyDescent="0.25">
      <c r="A3" s="18" t="s">
        <v>101</v>
      </c>
      <c r="B3" s="17" t="b">
        <f>IF(B10&gt;256,"TripUpST110AndEarlier",TRUE)</f>
        <v>1</v>
      </c>
    </row>
    <row r="4" spans="1:20" x14ac:dyDescent="0.25">
      <c r="A4" s="18" t="s">
        <v>102</v>
      </c>
      <c r="B4" s="17" t="s">
        <v>103</v>
      </c>
    </row>
    <row r="5" spans="1:20" x14ac:dyDescent="0.25">
      <c r="A5" s="18" t="s">
        <v>104</v>
      </c>
      <c r="B5" s="17" t="b">
        <v>1</v>
      </c>
    </row>
    <row r="6" spans="1:20" x14ac:dyDescent="0.25">
      <c r="A6" s="18" t="s">
        <v>105</v>
      </c>
      <c r="B6" s="17" t="b">
        <v>0</v>
      </c>
    </row>
    <row r="7" spans="1:20" x14ac:dyDescent="0.25">
      <c r="A7" s="18" t="s">
        <v>106</v>
      </c>
      <c r="B7" s="19">
        <f>'data with dummy variabes '!$A$1:$AI$1471</f>
        <v>32</v>
      </c>
    </row>
    <row r="8" spans="1:20" x14ac:dyDescent="0.25">
      <c r="A8" s="18" t="s">
        <v>107</v>
      </c>
      <c r="B8" s="17">
        <v>2</v>
      </c>
    </row>
    <row r="9" spans="1:20" x14ac:dyDescent="0.25">
      <c r="A9" s="18" t="s">
        <v>108</v>
      </c>
      <c r="B9" s="32">
        <f>1</f>
        <v>1</v>
      </c>
    </row>
    <row r="10" spans="1:20" x14ac:dyDescent="0.25">
      <c r="A10" s="18" t="s">
        <v>109</v>
      </c>
      <c r="B10" s="17">
        <v>35</v>
      </c>
    </row>
    <row r="12" spans="1:20" x14ac:dyDescent="0.25">
      <c r="A12" s="18" t="s">
        <v>110</v>
      </c>
      <c r="B12" s="17" t="s">
        <v>111</v>
      </c>
      <c r="C12" s="17" t="s">
        <v>112</v>
      </c>
      <c r="D12" s="17" t="s">
        <v>113</v>
      </c>
      <c r="E12" s="17" t="b">
        <v>1</v>
      </c>
      <c r="F12" s="17">
        <v>0</v>
      </c>
      <c r="G12" s="17">
        <v>4</v>
      </c>
      <c r="H12" s="17">
        <v>0</v>
      </c>
    </row>
    <row r="13" spans="1:20" x14ac:dyDescent="0.25">
      <c r="A13" s="18" t="s">
        <v>114</v>
      </c>
      <c r="B13" s="19">
        <f>'data with dummy variabes '!$A$1:$A$1471</f>
        <v>11</v>
      </c>
    </row>
    <row r="14" spans="1:20" x14ac:dyDescent="0.25">
      <c r="A14" s="18" t="s">
        <v>115</v>
      </c>
    </row>
    <row r="15" spans="1:20" x14ac:dyDescent="0.25">
      <c r="A15" s="18" t="s">
        <v>116</v>
      </c>
      <c r="B15" s="17" t="s">
        <v>117</v>
      </c>
      <c r="C15" s="17" t="s">
        <v>118</v>
      </c>
      <c r="D15" s="17" t="s">
        <v>119</v>
      </c>
      <c r="E15" s="17" t="b">
        <v>1</v>
      </c>
      <c r="F15" s="17">
        <v>0</v>
      </c>
      <c r="G15" s="17">
        <v>4</v>
      </c>
      <c r="H15" s="17">
        <v>0</v>
      </c>
    </row>
    <row r="16" spans="1:20" x14ac:dyDescent="0.25">
      <c r="A16" s="18" t="s">
        <v>120</v>
      </c>
      <c r="B16" s="17">
        <f>'data with dummy variabes '!$B$1:$B$1471</f>
        <v>28</v>
      </c>
    </row>
    <row r="17" spans="1:8" x14ac:dyDescent="0.25">
      <c r="A17" s="18" t="s">
        <v>121</v>
      </c>
    </row>
    <row r="18" spans="1:8" x14ac:dyDescent="0.25">
      <c r="A18" s="18" t="s">
        <v>122</v>
      </c>
      <c r="B18" s="17" t="s">
        <v>123</v>
      </c>
      <c r="C18" s="17" t="s">
        <v>124</v>
      </c>
      <c r="D18" s="17" t="s">
        <v>125</v>
      </c>
      <c r="E18" s="17" t="b">
        <v>1</v>
      </c>
      <c r="F18" s="17">
        <v>0</v>
      </c>
      <c r="G18" s="17">
        <v>4</v>
      </c>
      <c r="H18" s="17">
        <v>0</v>
      </c>
    </row>
    <row r="19" spans="1:8" x14ac:dyDescent="0.25">
      <c r="A19" s="18" t="s">
        <v>126</v>
      </c>
      <c r="B19" s="17">
        <f>'data with dummy variabes '!$C$1:$C$1471</f>
        <v>0</v>
      </c>
    </row>
    <row r="20" spans="1:8" x14ac:dyDescent="0.25">
      <c r="A20" s="18" t="s">
        <v>127</v>
      </c>
    </row>
    <row r="21" spans="1:8" x14ac:dyDescent="0.25">
      <c r="A21" s="18" t="s">
        <v>128</v>
      </c>
      <c r="B21" s="17" t="s">
        <v>129</v>
      </c>
      <c r="C21" s="17" t="s">
        <v>130</v>
      </c>
      <c r="D21" s="17" t="s">
        <v>131</v>
      </c>
      <c r="E21" s="17" t="b">
        <v>1</v>
      </c>
      <c r="F21" s="17">
        <v>0</v>
      </c>
      <c r="G21" s="17">
        <v>4</v>
      </c>
      <c r="H21" s="17">
        <v>0</v>
      </c>
    </row>
    <row r="22" spans="1:8" x14ac:dyDescent="0.25">
      <c r="A22" s="18" t="s">
        <v>132</v>
      </c>
      <c r="B22" s="17">
        <f>'data with dummy variabes '!$D$1:$D$1471</f>
        <v>3</v>
      </c>
    </row>
    <row r="23" spans="1:8" x14ac:dyDescent="0.25">
      <c r="A23" s="18" t="s">
        <v>133</v>
      </c>
    </row>
    <row r="24" spans="1:8" x14ac:dyDescent="0.25">
      <c r="A24" s="18" t="s">
        <v>134</v>
      </c>
      <c r="B24" s="17" t="s">
        <v>135</v>
      </c>
      <c r="C24" s="17" t="s">
        <v>136</v>
      </c>
      <c r="D24" s="17" t="s">
        <v>137</v>
      </c>
      <c r="E24" s="17" t="b">
        <v>1</v>
      </c>
      <c r="F24" s="17">
        <v>0</v>
      </c>
      <c r="G24" s="17">
        <v>4</v>
      </c>
      <c r="H24" s="17">
        <v>0</v>
      </c>
    </row>
    <row r="25" spans="1:8" x14ac:dyDescent="0.25">
      <c r="A25" s="18" t="s">
        <v>138</v>
      </c>
      <c r="B25" s="17">
        <f>'data with dummy variabes '!$E$1:$E$1471</f>
        <v>391</v>
      </c>
    </row>
    <row r="26" spans="1:8" x14ac:dyDescent="0.25">
      <c r="A26" s="18" t="s">
        <v>139</v>
      </c>
    </row>
    <row r="27" spans="1:8" x14ac:dyDescent="0.25">
      <c r="A27" s="18" t="s">
        <v>140</v>
      </c>
      <c r="B27" s="17" t="s">
        <v>141</v>
      </c>
      <c r="C27" s="17" t="s">
        <v>142</v>
      </c>
      <c r="D27" s="17" t="s">
        <v>143</v>
      </c>
      <c r="E27" s="17" t="b">
        <v>1</v>
      </c>
      <c r="F27" s="17">
        <v>0</v>
      </c>
      <c r="G27" s="17">
        <v>4</v>
      </c>
      <c r="H27" s="17">
        <v>0</v>
      </c>
    </row>
    <row r="28" spans="1:8" x14ac:dyDescent="0.25">
      <c r="A28" s="18" t="s">
        <v>144</v>
      </c>
      <c r="B28" s="17">
        <f>'data with dummy variabes '!$F$1:$F$1471</f>
        <v>2</v>
      </c>
    </row>
    <row r="29" spans="1:8" x14ac:dyDescent="0.25">
      <c r="A29" s="18" t="s">
        <v>145</v>
      </c>
    </row>
    <row r="30" spans="1:8" x14ac:dyDescent="0.25">
      <c r="A30" s="18" t="s">
        <v>146</v>
      </c>
      <c r="B30" s="17" t="s">
        <v>147</v>
      </c>
      <c r="C30" s="17" t="s">
        <v>148</v>
      </c>
      <c r="D30" s="17" t="s">
        <v>149</v>
      </c>
      <c r="E30" s="17" t="b">
        <v>1</v>
      </c>
      <c r="F30" s="17">
        <v>0</v>
      </c>
      <c r="G30" s="17">
        <v>4</v>
      </c>
      <c r="H30" s="17">
        <v>0</v>
      </c>
    </row>
    <row r="31" spans="1:8" x14ac:dyDescent="0.25">
      <c r="A31" s="18" t="s">
        <v>150</v>
      </c>
      <c r="B31" s="17">
        <f>'data with dummy variabes '!$G$1:$G$1471</f>
        <v>2</v>
      </c>
    </row>
    <row r="32" spans="1:8" x14ac:dyDescent="0.25">
      <c r="A32" s="18" t="s">
        <v>151</v>
      </c>
    </row>
    <row r="33" spans="1:8" x14ac:dyDescent="0.25">
      <c r="A33" s="18" t="s">
        <v>152</v>
      </c>
      <c r="B33" s="17" t="s">
        <v>153</v>
      </c>
      <c r="C33" s="17" t="s">
        <v>154</v>
      </c>
      <c r="D33" s="17" t="s">
        <v>155</v>
      </c>
      <c r="E33" s="17" t="b">
        <v>1</v>
      </c>
      <c r="F33" s="17">
        <v>0</v>
      </c>
      <c r="G33" s="17">
        <v>4</v>
      </c>
      <c r="H33" s="17">
        <v>0</v>
      </c>
    </row>
    <row r="34" spans="1:8" x14ac:dyDescent="0.25">
      <c r="A34" s="18" t="s">
        <v>156</v>
      </c>
      <c r="B34" s="17">
        <f>'data with dummy variabes '!$H$1:$H$1471</f>
        <v>2</v>
      </c>
    </row>
    <row r="35" spans="1:8" x14ac:dyDescent="0.25">
      <c r="A35" s="18" t="s">
        <v>157</v>
      </c>
    </row>
    <row r="36" spans="1:8" x14ac:dyDescent="0.25">
      <c r="A36" s="18" t="s">
        <v>158</v>
      </c>
      <c r="B36" s="17" t="s">
        <v>159</v>
      </c>
      <c r="C36" s="17" t="s">
        <v>160</v>
      </c>
      <c r="D36" s="17" t="s">
        <v>161</v>
      </c>
      <c r="E36" s="17" t="b">
        <v>1</v>
      </c>
      <c r="F36" s="17">
        <v>0</v>
      </c>
      <c r="G36" s="17">
        <v>4</v>
      </c>
      <c r="H36" s="17">
        <v>0</v>
      </c>
    </row>
    <row r="37" spans="1:8" x14ac:dyDescent="0.25">
      <c r="A37" s="18" t="s">
        <v>162</v>
      </c>
      <c r="B37" s="17">
        <f>'data with dummy variabes '!$I$1:$I$1471</f>
        <v>3</v>
      </c>
    </row>
    <row r="38" spans="1:8" x14ac:dyDescent="0.25">
      <c r="A38" s="18" t="s">
        <v>163</v>
      </c>
    </row>
    <row r="39" spans="1:8" x14ac:dyDescent="0.25">
      <c r="A39" s="18" t="s">
        <v>164</v>
      </c>
      <c r="B39" s="17" t="s">
        <v>165</v>
      </c>
      <c r="C39" s="17" t="s">
        <v>166</v>
      </c>
      <c r="D39" s="17" t="s">
        <v>167</v>
      </c>
      <c r="E39" s="17" t="b">
        <v>1</v>
      </c>
      <c r="F39" s="17">
        <v>0</v>
      </c>
      <c r="G39" s="17">
        <v>4</v>
      </c>
      <c r="H39" s="17">
        <v>0</v>
      </c>
    </row>
    <row r="40" spans="1:8" x14ac:dyDescent="0.25">
      <c r="A40" s="18" t="s">
        <v>168</v>
      </c>
      <c r="B40" s="17">
        <f>'data with dummy variabes '!$J$1:$J$1471</f>
        <v>1</v>
      </c>
    </row>
    <row r="41" spans="1:8" x14ac:dyDescent="0.25">
      <c r="A41" s="18" t="s">
        <v>169</v>
      </c>
    </row>
    <row r="42" spans="1:8" x14ac:dyDescent="0.25">
      <c r="A42" s="18" t="s">
        <v>170</v>
      </c>
      <c r="B42" s="17" t="s">
        <v>171</v>
      </c>
      <c r="C42" s="17" t="s">
        <v>172</v>
      </c>
      <c r="D42" s="17" t="s">
        <v>173</v>
      </c>
      <c r="E42" s="17" t="b">
        <v>1</v>
      </c>
      <c r="F42" s="17">
        <v>0</v>
      </c>
      <c r="G42" s="17">
        <v>4</v>
      </c>
      <c r="H42" s="17">
        <v>0</v>
      </c>
    </row>
    <row r="43" spans="1:8" x14ac:dyDescent="0.25">
      <c r="A43" s="18" t="s">
        <v>174</v>
      </c>
      <c r="B43" s="17">
        <f>'data with dummy variabes '!$K$1:$K$1471</f>
        <v>54</v>
      </c>
    </row>
    <row r="44" spans="1:8" x14ac:dyDescent="0.25">
      <c r="A44" s="18" t="s">
        <v>175</v>
      </c>
    </row>
    <row r="45" spans="1:8" x14ac:dyDescent="0.25">
      <c r="A45" s="18" t="s">
        <v>176</v>
      </c>
      <c r="B45" s="17" t="s">
        <v>177</v>
      </c>
      <c r="C45" s="17" t="s">
        <v>178</v>
      </c>
      <c r="D45" s="17" t="s">
        <v>179</v>
      </c>
      <c r="E45" s="17" t="b">
        <v>1</v>
      </c>
      <c r="F45" s="17">
        <v>0</v>
      </c>
      <c r="G45" s="17">
        <v>4</v>
      </c>
      <c r="H45" s="17">
        <v>0</v>
      </c>
    </row>
    <row r="46" spans="1:8" x14ac:dyDescent="0.25">
      <c r="A46" s="18" t="s">
        <v>180</v>
      </c>
      <c r="B46" s="17">
        <f>'data with dummy variabes '!$L$1:$L$1471</f>
        <v>3</v>
      </c>
    </row>
    <row r="47" spans="1:8" x14ac:dyDescent="0.25">
      <c r="A47" s="18" t="s">
        <v>181</v>
      </c>
    </row>
    <row r="48" spans="1:8" x14ac:dyDescent="0.25">
      <c r="A48" s="18" t="s">
        <v>182</v>
      </c>
      <c r="B48" s="17" t="s">
        <v>183</v>
      </c>
      <c r="C48" s="17" t="s">
        <v>184</v>
      </c>
      <c r="D48" s="17" t="s">
        <v>185</v>
      </c>
      <c r="E48" s="17" t="b">
        <v>1</v>
      </c>
      <c r="F48" s="17">
        <v>0</v>
      </c>
      <c r="G48" s="17">
        <v>4</v>
      </c>
      <c r="H48" s="17">
        <v>0</v>
      </c>
    </row>
    <row r="49" spans="1:8" x14ac:dyDescent="0.25">
      <c r="A49" s="18" t="s">
        <v>186</v>
      </c>
      <c r="B49" s="17">
        <f>'data with dummy variabes '!$M$1:$M$1471</f>
        <v>1</v>
      </c>
    </row>
    <row r="50" spans="1:8" x14ac:dyDescent="0.25">
      <c r="A50" s="18" t="s">
        <v>187</v>
      </c>
    </row>
    <row r="51" spans="1:8" x14ac:dyDescent="0.25">
      <c r="A51" s="18" t="s">
        <v>188</v>
      </c>
      <c r="B51" s="17" t="s">
        <v>189</v>
      </c>
      <c r="C51" s="17" t="s">
        <v>190</v>
      </c>
      <c r="D51" s="17" t="s">
        <v>191</v>
      </c>
      <c r="E51" s="17" t="b">
        <v>1</v>
      </c>
      <c r="F51" s="17">
        <v>0</v>
      </c>
      <c r="G51" s="17">
        <v>4</v>
      </c>
      <c r="H51" s="17">
        <v>0</v>
      </c>
    </row>
    <row r="52" spans="1:8" x14ac:dyDescent="0.25">
      <c r="A52" s="18" t="s">
        <v>192</v>
      </c>
      <c r="B52" s="17">
        <f>'data with dummy variabes '!$N$1:$N$1471</f>
        <v>98</v>
      </c>
    </row>
    <row r="53" spans="1:8" x14ac:dyDescent="0.25">
      <c r="A53" s="18" t="s">
        <v>193</v>
      </c>
    </row>
    <row r="54" spans="1:8" x14ac:dyDescent="0.25">
      <c r="A54" s="18" t="s">
        <v>194</v>
      </c>
      <c r="B54" s="17" t="s">
        <v>195</v>
      </c>
      <c r="C54" s="17" t="s">
        <v>196</v>
      </c>
      <c r="D54" s="17" t="s">
        <v>197</v>
      </c>
      <c r="E54" s="17" t="b">
        <v>1</v>
      </c>
      <c r="F54" s="17">
        <v>0</v>
      </c>
      <c r="G54" s="17">
        <v>4</v>
      </c>
      <c r="H54" s="17">
        <v>0</v>
      </c>
    </row>
    <row r="55" spans="1:8" x14ac:dyDescent="0.25">
      <c r="A55" s="18" t="s">
        <v>198</v>
      </c>
      <c r="B55" s="17">
        <f>'data with dummy variabes '!$O$1:$O$1471</f>
        <v>2</v>
      </c>
    </row>
    <row r="56" spans="1:8" x14ac:dyDescent="0.25">
      <c r="A56" s="18" t="s">
        <v>199</v>
      </c>
    </row>
    <row r="57" spans="1:8" x14ac:dyDescent="0.25">
      <c r="A57" s="18" t="s">
        <v>200</v>
      </c>
      <c r="B57" s="17" t="s">
        <v>201</v>
      </c>
      <c r="C57" s="17" t="s">
        <v>202</v>
      </c>
      <c r="D57" s="17" t="s">
        <v>203</v>
      </c>
      <c r="E57" s="17" t="b">
        <v>1</v>
      </c>
      <c r="F57" s="17">
        <v>0</v>
      </c>
      <c r="G57" s="17">
        <v>4</v>
      </c>
      <c r="H57" s="17">
        <v>0</v>
      </c>
    </row>
    <row r="58" spans="1:8" x14ac:dyDescent="0.25">
      <c r="A58" s="18" t="s">
        <v>204</v>
      </c>
      <c r="B58" s="17">
        <f>'data with dummy variabes '!$P$1:$P$1471</f>
        <v>3</v>
      </c>
    </row>
    <row r="59" spans="1:8" x14ac:dyDescent="0.25">
      <c r="A59" s="18" t="s">
        <v>205</v>
      </c>
    </row>
    <row r="60" spans="1:8" x14ac:dyDescent="0.25">
      <c r="A60" s="18" t="s">
        <v>206</v>
      </c>
      <c r="B60" s="17" t="s">
        <v>207</v>
      </c>
      <c r="C60" s="17" t="s">
        <v>208</v>
      </c>
      <c r="D60" s="17" t="s">
        <v>209</v>
      </c>
      <c r="E60" s="17" t="b">
        <v>1</v>
      </c>
      <c r="F60" s="17">
        <v>0</v>
      </c>
      <c r="G60" s="17">
        <v>4</v>
      </c>
      <c r="H60" s="17">
        <v>0</v>
      </c>
    </row>
    <row r="61" spans="1:8" x14ac:dyDescent="0.25">
      <c r="A61" s="18" t="s">
        <v>210</v>
      </c>
      <c r="B61" s="17">
        <f>'data with dummy variabes '!$Q$1:$Q$1471</f>
        <v>4</v>
      </c>
    </row>
    <row r="62" spans="1:8" x14ac:dyDescent="0.25">
      <c r="A62" s="18" t="s">
        <v>211</v>
      </c>
    </row>
    <row r="63" spans="1:8" x14ac:dyDescent="0.25">
      <c r="A63" s="18" t="s">
        <v>212</v>
      </c>
      <c r="B63" s="17" t="s">
        <v>213</v>
      </c>
      <c r="C63" s="17" t="s">
        <v>214</v>
      </c>
      <c r="D63" s="17" t="s">
        <v>215</v>
      </c>
      <c r="E63" s="17" t="b">
        <v>1</v>
      </c>
      <c r="F63" s="17">
        <v>0</v>
      </c>
      <c r="G63" s="17">
        <v>4</v>
      </c>
      <c r="H63" s="17">
        <v>0</v>
      </c>
    </row>
    <row r="64" spans="1:8" x14ac:dyDescent="0.25">
      <c r="A64" s="18" t="s">
        <v>216</v>
      </c>
      <c r="B64" s="17">
        <f>'data with dummy variabes '!$R$1:$R$1471</f>
        <v>3</v>
      </c>
    </row>
    <row r="65" spans="1:8" x14ac:dyDescent="0.25">
      <c r="A65" s="18" t="s">
        <v>217</v>
      </c>
    </row>
    <row r="66" spans="1:8" x14ac:dyDescent="0.25">
      <c r="A66" s="18" t="s">
        <v>218</v>
      </c>
      <c r="B66" s="17" t="s">
        <v>219</v>
      </c>
      <c r="C66" s="17" t="s">
        <v>220</v>
      </c>
      <c r="D66" s="17" t="s">
        <v>221</v>
      </c>
      <c r="E66" s="17" t="b">
        <v>1</v>
      </c>
      <c r="F66" s="17">
        <v>0</v>
      </c>
      <c r="G66" s="17">
        <v>4</v>
      </c>
      <c r="H66" s="17">
        <v>0</v>
      </c>
    </row>
    <row r="67" spans="1:8" x14ac:dyDescent="0.25">
      <c r="A67" s="18" t="s">
        <v>222</v>
      </c>
      <c r="B67" s="17">
        <f>'data with dummy variabes '!$S$1:$S$1471</f>
        <v>3</v>
      </c>
    </row>
    <row r="68" spans="1:8" x14ac:dyDescent="0.25">
      <c r="A68" s="18" t="s">
        <v>223</v>
      </c>
    </row>
    <row r="69" spans="1:8" x14ac:dyDescent="0.25">
      <c r="A69" s="18" t="s">
        <v>224</v>
      </c>
      <c r="B69" s="17" t="s">
        <v>225</v>
      </c>
      <c r="C69" s="17" t="s">
        <v>226</v>
      </c>
      <c r="D69" s="17" t="s">
        <v>227</v>
      </c>
      <c r="E69" s="17" t="b">
        <v>1</v>
      </c>
      <c r="F69" s="17">
        <v>0</v>
      </c>
      <c r="G69" s="17">
        <v>4</v>
      </c>
      <c r="H69" s="17">
        <v>0</v>
      </c>
    </row>
    <row r="70" spans="1:8" x14ac:dyDescent="0.25">
      <c r="A70" s="18" t="s">
        <v>228</v>
      </c>
      <c r="B70" s="17">
        <f>'data with dummy variabes '!$T$1:$T$1471</f>
        <v>2194</v>
      </c>
    </row>
    <row r="71" spans="1:8" x14ac:dyDescent="0.25">
      <c r="A71" s="18" t="s">
        <v>229</v>
      </c>
    </row>
    <row r="72" spans="1:8" x14ac:dyDescent="0.25">
      <c r="A72" s="18" t="s">
        <v>230</v>
      </c>
      <c r="B72" s="17" t="s">
        <v>231</v>
      </c>
      <c r="C72" s="17" t="s">
        <v>232</v>
      </c>
      <c r="D72" s="17" t="s">
        <v>233</v>
      </c>
      <c r="E72" s="17" t="b">
        <v>1</v>
      </c>
      <c r="F72" s="17">
        <v>0</v>
      </c>
      <c r="G72" s="17">
        <v>4</v>
      </c>
      <c r="H72" s="17">
        <v>0</v>
      </c>
    </row>
    <row r="73" spans="1:8" x14ac:dyDescent="0.25">
      <c r="A73" s="18" t="s">
        <v>234</v>
      </c>
      <c r="B73" s="17">
        <f>'data with dummy variabes '!$U$1:$U$1471</f>
        <v>4956</v>
      </c>
    </row>
    <row r="74" spans="1:8" x14ac:dyDescent="0.25">
      <c r="A74" s="18" t="s">
        <v>235</v>
      </c>
    </row>
    <row r="75" spans="1:8" x14ac:dyDescent="0.25">
      <c r="A75" s="18" t="s">
        <v>236</v>
      </c>
      <c r="B75" s="17" t="s">
        <v>237</v>
      </c>
      <c r="C75" s="17" t="s">
        <v>238</v>
      </c>
      <c r="D75" s="17" t="s">
        <v>239</v>
      </c>
      <c r="E75" s="17" t="b">
        <v>1</v>
      </c>
      <c r="F75" s="17">
        <v>0</v>
      </c>
      <c r="G75" s="17">
        <v>4</v>
      </c>
      <c r="H75" s="17">
        <v>0</v>
      </c>
    </row>
    <row r="76" spans="1:8" x14ac:dyDescent="0.25">
      <c r="A76" s="18" t="s">
        <v>240</v>
      </c>
      <c r="B76" s="17">
        <f>'data with dummy variabes '!$V$1:$V$1471</f>
        <v>3</v>
      </c>
    </row>
    <row r="77" spans="1:8" x14ac:dyDescent="0.25">
      <c r="A77" s="18" t="s">
        <v>241</v>
      </c>
    </row>
    <row r="78" spans="1:8" x14ac:dyDescent="0.25">
      <c r="A78" s="18" t="s">
        <v>242</v>
      </c>
      <c r="B78" s="17" t="s">
        <v>243</v>
      </c>
      <c r="C78" s="17" t="s">
        <v>244</v>
      </c>
      <c r="D78" s="17" t="s">
        <v>245</v>
      </c>
      <c r="E78" s="17" t="b">
        <v>1</v>
      </c>
      <c r="F78" s="17">
        <v>0</v>
      </c>
      <c r="G78" s="17">
        <v>4</v>
      </c>
      <c r="H78" s="17">
        <v>0</v>
      </c>
    </row>
    <row r="79" spans="1:8" x14ac:dyDescent="0.25">
      <c r="A79" s="18" t="s">
        <v>246</v>
      </c>
      <c r="B79" s="17">
        <f>'data with dummy variabes '!$W$1:$W$1471</f>
        <v>1</v>
      </c>
    </row>
    <row r="80" spans="1:8" x14ac:dyDescent="0.25">
      <c r="A80" s="18" t="s">
        <v>247</v>
      </c>
    </row>
    <row r="81" spans="1:8" x14ac:dyDescent="0.25">
      <c r="A81" s="18" t="s">
        <v>248</v>
      </c>
      <c r="B81" s="17" t="s">
        <v>249</v>
      </c>
      <c r="C81" s="17" t="s">
        <v>250</v>
      </c>
      <c r="D81" s="17" t="s">
        <v>251</v>
      </c>
      <c r="E81" s="17" t="b">
        <v>1</v>
      </c>
      <c r="F81" s="17">
        <v>0</v>
      </c>
      <c r="G81" s="17">
        <v>4</v>
      </c>
      <c r="H81" s="17">
        <v>0</v>
      </c>
    </row>
    <row r="82" spans="1:8" x14ac:dyDescent="0.25">
      <c r="A82" s="18" t="s">
        <v>252</v>
      </c>
      <c r="B82" s="17">
        <f>'data with dummy variabes '!$X$1:$X$1471</f>
        <v>12</v>
      </c>
    </row>
    <row r="83" spans="1:8" x14ac:dyDescent="0.25">
      <c r="A83" s="18" t="s">
        <v>253</v>
      </c>
    </row>
    <row r="84" spans="1:8" x14ac:dyDescent="0.25">
      <c r="A84" s="18" t="s">
        <v>254</v>
      </c>
      <c r="B84" s="17" t="s">
        <v>255</v>
      </c>
      <c r="C84" s="17" t="s">
        <v>256</v>
      </c>
      <c r="D84" s="17" t="s">
        <v>257</v>
      </c>
      <c r="E84" s="17" t="b">
        <v>1</v>
      </c>
      <c r="F84" s="17">
        <v>0</v>
      </c>
      <c r="G84" s="17">
        <v>4</v>
      </c>
      <c r="H84" s="17">
        <v>0</v>
      </c>
    </row>
    <row r="85" spans="1:8" x14ac:dyDescent="0.25">
      <c r="A85" s="18" t="s">
        <v>258</v>
      </c>
      <c r="B85" s="17">
        <f>'data with dummy variabes '!$Y$1:$Y$1471</f>
        <v>3</v>
      </c>
    </row>
    <row r="86" spans="1:8" x14ac:dyDescent="0.25">
      <c r="A86" s="18" t="s">
        <v>259</v>
      </c>
    </row>
    <row r="87" spans="1:8" x14ac:dyDescent="0.25">
      <c r="A87" s="18" t="s">
        <v>260</v>
      </c>
      <c r="B87" s="17" t="s">
        <v>261</v>
      </c>
      <c r="C87" s="17" t="s">
        <v>262</v>
      </c>
      <c r="D87" s="17" t="s">
        <v>263</v>
      </c>
      <c r="E87" s="17" t="b">
        <v>1</v>
      </c>
      <c r="F87" s="17">
        <v>0</v>
      </c>
      <c r="G87" s="17">
        <v>4</v>
      </c>
      <c r="H87" s="17">
        <v>0</v>
      </c>
    </row>
    <row r="88" spans="1:8" x14ac:dyDescent="0.25">
      <c r="A88" s="18" t="s">
        <v>264</v>
      </c>
      <c r="B88" s="17">
        <f>'data with dummy variabes '!$Z$1:$Z$1471</f>
        <v>3</v>
      </c>
    </row>
    <row r="89" spans="1:8" x14ac:dyDescent="0.25">
      <c r="A89" s="18" t="s">
        <v>265</v>
      </c>
    </row>
    <row r="90" spans="1:8" x14ac:dyDescent="0.25">
      <c r="A90" s="18" t="s">
        <v>266</v>
      </c>
      <c r="B90" s="17" t="s">
        <v>267</v>
      </c>
      <c r="C90" s="17" t="s">
        <v>268</v>
      </c>
      <c r="D90" s="17" t="s">
        <v>269</v>
      </c>
      <c r="E90" s="17" t="b">
        <v>1</v>
      </c>
      <c r="F90" s="17">
        <v>0</v>
      </c>
      <c r="G90" s="17">
        <v>4</v>
      </c>
      <c r="H90" s="17">
        <v>0</v>
      </c>
    </row>
    <row r="91" spans="1:8" x14ac:dyDescent="0.25">
      <c r="A91" s="18" t="s">
        <v>270</v>
      </c>
      <c r="B91" s="17">
        <f>'data with dummy variabes '!$AA$1:$AA$1471</f>
        <v>80</v>
      </c>
    </row>
    <row r="92" spans="1:8" x14ac:dyDescent="0.25">
      <c r="A92" s="18" t="s">
        <v>271</v>
      </c>
    </row>
    <row r="93" spans="1:8" x14ac:dyDescent="0.25">
      <c r="A93" s="18" t="s">
        <v>272</v>
      </c>
      <c r="B93" s="17" t="s">
        <v>273</v>
      </c>
      <c r="C93" s="17" t="s">
        <v>274</v>
      </c>
      <c r="D93" s="17" t="s">
        <v>275</v>
      </c>
      <c r="E93" s="17" t="b">
        <v>1</v>
      </c>
      <c r="F93" s="17">
        <v>0</v>
      </c>
      <c r="G93" s="17">
        <v>4</v>
      </c>
      <c r="H93" s="17">
        <v>0</v>
      </c>
    </row>
    <row r="94" spans="1:8" x14ac:dyDescent="0.25">
      <c r="A94" s="18" t="s">
        <v>276</v>
      </c>
      <c r="B94" s="17">
        <f>'data with dummy variabes '!$AB$1:$AB$1471</f>
        <v>3</v>
      </c>
    </row>
    <row r="95" spans="1:8" x14ac:dyDescent="0.25">
      <c r="A95" s="18" t="s">
        <v>277</v>
      </c>
    </row>
    <row r="96" spans="1:8" x14ac:dyDescent="0.25">
      <c r="A96" s="18" t="s">
        <v>278</v>
      </c>
      <c r="B96" s="17" t="s">
        <v>279</v>
      </c>
      <c r="C96" s="17" t="s">
        <v>280</v>
      </c>
      <c r="D96" s="17" t="s">
        <v>281</v>
      </c>
      <c r="E96" s="17" t="b">
        <v>1</v>
      </c>
      <c r="F96" s="17">
        <v>0</v>
      </c>
      <c r="G96" s="17">
        <v>4</v>
      </c>
      <c r="H96" s="17">
        <v>0</v>
      </c>
    </row>
    <row r="97" spans="1:8" x14ac:dyDescent="0.25">
      <c r="A97" s="18" t="s">
        <v>282</v>
      </c>
      <c r="B97" s="17">
        <f>'data with dummy variabes '!$AC$1:$AC$1471</f>
        <v>16</v>
      </c>
    </row>
    <row r="98" spans="1:8" x14ac:dyDescent="0.25">
      <c r="A98" s="18" t="s">
        <v>283</v>
      </c>
    </row>
    <row r="99" spans="1:8" x14ac:dyDescent="0.25">
      <c r="A99" s="18" t="s">
        <v>284</v>
      </c>
      <c r="B99" s="17" t="s">
        <v>285</v>
      </c>
      <c r="C99" s="17" t="s">
        <v>286</v>
      </c>
      <c r="D99" s="17" t="s">
        <v>287</v>
      </c>
      <c r="E99" s="17" t="b">
        <v>1</v>
      </c>
      <c r="F99" s="17">
        <v>0</v>
      </c>
      <c r="G99" s="17">
        <v>4</v>
      </c>
      <c r="H99" s="17">
        <v>0</v>
      </c>
    </row>
    <row r="100" spans="1:8" x14ac:dyDescent="0.25">
      <c r="A100" s="18" t="s">
        <v>288</v>
      </c>
      <c r="B100" s="17">
        <f>'data with dummy variabes '!$AD$1:$AD$1471</f>
        <v>1</v>
      </c>
    </row>
    <row r="101" spans="1:8" x14ac:dyDescent="0.25">
      <c r="A101" s="18" t="s">
        <v>289</v>
      </c>
    </row>
    <row r="102" spans="1:8" x14ac:dyDescent="0.25">
      <c r="A102" s="18" t="s">
        <v>290</v>
      </c>
      <c r="B102" s="17" t="s">
        <v>291</v>
      </c>
      <c r="C102" s="17" t="s">
        <v>292</v>
      </c>
      <c r="D102" s="17" t="s">
        <v>293</v>
      </c>
      <c r="E102" s="17" t="b">
        <v>1</v>
      </c>
      <c r="F102" s="17">
        <v>0</v>
      </c>
      <c r="G102" s="17">
        <v>4</v>
      </c>
      <c r="H102" s="17">
        <v>0</v>
      </c>
    </row>
    <row r="103" spans="1:8" x14ac:dyDescent="0.25">
      <c r="A103" s="18" t="s">
        <v>294</v>
      </c>
      <c r="B103" s="17">
        <f>'data with dummy variabes '!$AE$1:$AE$1471</f>
        <v>3</v>
      </c>
    </row>
    <row r="104" spans="1:8" x14ac:dyDescent="0.25">
      <c r="A104" s="18" t="s">
        <v>295</v>
      </c>
    </row>
    <row r="105" spans="1:8" x14ac:dyDescent="0.25">
      <c r="A105" s="18" t="s">
        <v>296</v>
      </c>
      <c r="B105" s="17" t="s">
        <v>297</v>
      </c>
      <c r="C105" s="17" t="s">
        <v>298</v>
      </c>
      <c r="D105" s="17" t="s">
        <v>299</v>
      </c>
      <c r="E105" s="17" t="b">
        <v>1</v>
      </c>
      <c r="F105" s="17">
        <v>0</v>
      </c>
      <c r="G105" s="17">
        <v>4</v>
      </c>
      <c r="H105" s="17">
        <v>0</v>
      </c>
    </row>
    <row r="106" spans="1:8" x14ac:dyDescent="0.25">
      <c r="A106" s="18" t="s">
        <v>300</v>
      </c>
      <c r="B106" s="17">
        <f>'data with dummy variabes '!$AF$1:$AF$1471</f>
        <v>1</v>
      </c>
    </row>
    <row r="107" spans="1:8" x14ac:dyDescent="0.25">
      <c r="A107" s="18" t="s">
        <v>301</v>
      </c>
    </row>
    <row r="108" spans="1:8" x14ac:dyDescent="0.25">
      <c r="A108" s="18" t="s">
        <v>302</v>
      </c>
      <c r="B108" s="17" t="s">
        <v>303</v>
      </c>
      <c r="C108" s="17" t="s">
        <v>304</v>
      </c>
      <c r="D108" s="17" t="s">
        <v>305</v>
      </c>
      <c r="E108" s="17" t="b">
        <v>1</v>
      </c>
      <c r="F108" s="17">
        <v>0</v>
      </c>
      <c r="G108" s="17">
        <v>4</v>
      </c>
      <c r="H108" s="17">
        <v>0</v>
      </c>
    </row>
    <row r="109" spans="1:8" x14ac:dyDescent="0.25">
      <c r="A109" s="18" t="s">
        <v>306</v>
      </c>
      <c r="B109" s="17">
        <f>'data with dummy variabes '!$AG$1:$AG$1471</f>
        <v>4</v>
      </c>
    </row>
    <row r="110" spans="1:8" x14ac:dyDescent="0.25">
      <c r="A110" s="18" t="s">
        <v>307</v>
      </c>
    </row>
    <row r="111" spans="1:8" x14ac:dyDescent="0.25">
      <c r="A111" s="18" t="s">
        <v>308</v>
      </c>
      <c r="B111" s="17" t="s">
        <v>309</v>
      </c>
      <c r="C111" s="17" t="s">
        <v>310</v>
      </c>
      <c r="D111" s="17" t="s">
        <v>311</v>
      </c>
      <c r="E111" s="17" t="b">
        <v>1</v>
      </c>
      <c r="F111" s="17">
        <v>0</v>
      </c>
      <c r="G111" s="17">
        <v>4</v>
      </c>
      <c r="H111" s="17">
        <v>0</v>
      </c>
    </row>
    <row r="112" spans="1:8" x14ac:dyDescent="0.25">
      <c r="A112" s="18" t="s">
        <v>312</v>
      </c>
      <c r="B112" s="17">
        <f>'data with dummy variabes '!$AH$1:$AH$1471</f>
        <v>12</v>
      </c>
    </row>
    <row r="113" spans="1:8" x14ac:dyDescent="0.25">
      <c r="A113" s="18" t="s">
        <v>313</v>
      </c>
    </row>
    <row r="114" spans="1:8" x14ac:dyDescent="0.25">
      <c r="A114" s="18" t="s">
        <v>314</v>
      </c>
      <c r="B114" s="17" t="s">
        <v>315</v>
      </c>
      <c r="C114" s="17" t="s">
        <v>316</v>
      </c>
      <c r="D114" s="17" t="s">
        <v>317</v>
      </c>
      <c r="E114" s="17" t="b">
        <v>1</v>
      </c>
      <c r="F114" s="17">
        <v>0</v>
      </c>
      <c r="G114" s="17">
        <v>4</v>
      </c>
      <c r="H114" s="17">
        <v>0</v>
      </c>
    </row>
    <row r="115" spans="1:8" x14ac:dyDescent="0.25">
      <c r="A115" s="18" t="s">
        <v>318</v>
      </c>
      <c r="B115" s="17">
        <f>'data with dummy variabes '!$AI$1:$AI$1471</f>
        <v>2</v>
      </c>
    </row>
    <row r="116" spans="1:8" x14ac:dyDescent="0.25">
      <c r="A116" s="18" t="s">
        <v>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89</vt:i4>
      </vt:variant>
    </vt:vector>
  </HeadingPairs>
  <TitlesOfParts>
    <vt:vector size="97" baseType="lpstr">
      <vt:lpstr>raw_data</vt:lpstr>
      <vt:lpstr>data with dummy variabes </vt:lpstr>
      <vt:lpstr>Updated Dummy</vt:lpstr>
      <vt:lpstr>dummy_variable_codebook</vt:lpstr>
      <vt:lpstr>Data Definitions</vt:lpstr>
      <vt:lpstr>_PalUtilTempWorksheet</vt:lpstr>
      <vt:lpstr>_STDS_DG21B2E28</vt:lpstr>
      <vt:lpstr>_STDS_DG39A1B953</vt:lpstr>
      <vt:lpstr>ST_Age</vt:lpstr>
      <vt:lpstr>ST_Age_1</vt:lpstr>
      <vt:lpstr>ST_Attrition</vt:lpstr>
      <vt:lpstr>ST_Attrition_2</vt:lpstr>
      <vt:lpstr>ST_BusinessTravel</vt:lpstr>
      <vt:lpstr>ST_BusinessTravel_3</vt:lpstr>
      <vt:lpstr>ST_BusinessTravelTravelFrequently</vt:lpstr>
      <vt:lpstr>ST_BusinessTravelTravelRarely</vt:lpstr>
      <vt:lpstr>ST_DailyRate</vt:lpstr>
      <vt:lpstr>ST_DailyRate_6</vt:lpstr>
      <vt:lpstr>ST_Department</vt:lpstr>
      <vt:lpstr>ST_Department_7</vt:lpstr>
      <vt:lpstr>ST_DepartmentRD</vt:lpstr>
      <vt:lpstr>ST_DepartmentSales</vt:lpstr>
      <vt:lpstr>ST_DistanceFromHome</vt:lpstr>
      <vt:lpstr>ST_DistanceFromHome_10</vt:lpstr>
      <vt:lpstr>ST_Education</vt:lpstr>
      <vt:lpstr>ST_Education_11</vt:lpstr>
      <vt:lpstr>ST_EducationField</vt:lpstr>
      <vt:lpstr>ST_EducationField_12</vt:lpstr>
      <vt:lpstr>ST_EducationFieldHR</vt:lpstr>
      <vt:lpstr>ST_EducationFieldLifeSciences</vt:lpstr>
      <vt:lpstr>ST_EducationFieldMarketing</vt:lpstr>
      <vt:lpstr>ST_EducationFieldMedical</vt:lpstr>
      <vt:lpstr>ST_EducationFieldTechnical</vt:lpstr>
      <vt:lpstr>ST_EmployeeCount</vt:lpstr>
      <vt:lpstr>ST_EmployeeCount_18</vt:lpstr>
      <vt:lpstr>ST_EmployeeNumber</vt:lpstr>
      <vt:lpstr>ST_EmployeeNumber_19</vt:lpstr>
      <vt:lpstr>ST_EnvironmentSatisfaction</vt:lpstr>
      <vt:lpstr>ST_EnvironmentSatisfaction_20</vt:lpstr>
      <vt:lpstr>ST_Gender</vt:lpstr>
      <vt:lpstr>ST_Gender_21</vt:lpstr>
      <vt:lpstr>ST_HourlyRate</vt:lpstr>
      <vt:lpstr>ST_HourlyRate_22</vt:lpstr>
      <vt:lpstr>ST_ID</vt:lpstr>
      <vt:lpstr>ST_JobInvolvement</vt:lpstr>
      <vt:lpstr>ST_JobInvolvement_23</vt:lpstr>
      <vt:lpstr>ST_JobLevel</vt:lpstr>
      <vt:lpstr>ST_JobLevel_24</vt:lpstr>
      <vt:lpstr>ST_JoblevelMonthlyincome</vt:lpstr>
      <vt:lpstr>ST_JobResearchDirector</vt:lpstr>
      <vt:lpstr>ST_JobRole</vt:lpstr>
      <vt:lpstr>ST_JobRole_25</vt:lpstr>
      <vt:lpstr>ST_JobRoleHealthcareRep</vt:lpstr>
      <vt:lpstr>ST_JobRoleLabTechnician</vt:lpstr>
      <vt:lpstr>ST_JobRoleManager</vt:lpstr>
      <vt:lpstr>ST_JobRoleManufacturingDirector</vt:lpstr>
      <vt:lpstr>ST_JobRoleResearchScientist</vt:lpstr>
      <vt:lpstr>ST_JobRoleSalesExec</vt:lpstr>
      <vt:lpstr>ST_JobRoleSalesRep</vt:lpstr>
      <vt:lpstr>ST_JobSatisfaction</vt:lpstr>
      <vt:lpstr>ST_JobSatisfaction_34</vt:lpstr>
      <vt:lpstr>ST_MaritalStatus</vt:lpstr>
      <vt:lpstr>ST_MaritalStatus_35</vt:lpstr>
      <vt:lpstr>ST_MaritalStatusMarried</vt:lpstr>
      <vt:lpstr>ST_MaritalStatusSingle</vt:lpstr>
      <vt:lpstr>ST_MonthlyIncome</vt:lpstr>
      <vt:lpstr>ST_MonthlyIncome_38</vt:lpstr>
      <vt:lpstr>ST_MonthlyRate</vt:lpstr>
      <vt:lpstr>ST_MonthlyRate_39</vt:lpstr>
      <vt:lpstr>ST_NumCompaniesWorked</vt:lpstr>
      <vt:lpstr>ST_NumCompaniesWorked_40</vt:lpstr>
      <vt:lpstr>ST_OverTime</vt:lpstr>
      <vt:lpstr>ST_OverTime_41</vt:lpstr>
      <vt:lpstr>ST_PercentSalaryHike</vt:lpstr>
      <vt:lpstr>ST_PercentSalaryHike_42</vt:lpstr>
      <vt:lpstr>ST_PerformanceRating</vt:lpstr>
      <vt:lpstr>ST_PerformanceRating_43</vt:lpstr>
      <vt:lpstr>ST_RelationshipSatisfaction</vt:lpstr>
      <vt:lpstr>ST_RelationshipSatisfaction_44</vt:lpstr>
      <vt:lpstr>ST_StandardHours</vt:lpstr>
      <vt:lpstr>ST_StandardHours_45</vt:lpstr>
      <vt:lpstr>ST_StockOptionLevel</vt:lpstr>
      <vt:lpstr>ST_StockOptionLevel_46</vt:lpstr>
      <vt:lpstr>ST_TotalWorkingYears</vt:lpstr>
      <vt:lpstr>ST_TotalWorkingYears_47</vt:lpstr>
      <vt:lpstr>ST_TrainingTimesLastYear</vt:lpstr>
      <vt:lpstr>ST_TrainingTimesLastYear_48</vt:lpstr>
      <vt:lpstr>ST_WorkLifeBalance</vt:lpstr>
      <vt:lpstr>ST_WorkLifeBalance_49</vt:lpstr>
      <vt:lpstr>ST_YearsAtCompany</vt:lpstr>
      <vt:lpstr>ST_YearsAtCompany_50</vt:lpstr>
      <vt:lpstr>ST_YearsInCurrentRole</vt:lpstr>
      <vt:lpstr>ST_YearsInCurrentRole_51</vt:lpstr>
      <vt:lpstr>ST_YearsSinceLastPromotion</vt:lpstr>
      <vt:lpstr>ST_YearsSinceLastPromotion_52</vt:lpstr>
      <vt:lpstr>ST_YearsWithCurrManager</vt:lpstr>
      <vt:lpstr>ST_YearsWithCurrManager_53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suman</dc:creator>
  <cp:lastModifiedBy>Akshita Chandiramani</cp:lastModifiedBy>
  <dcterms:created xsi:type="dcterms:W3CDTF">2015-08-12T09:28:42Z</dcterms:created>
  <dcterms:modified xsi:type="dcterms:W3CDTF">2018-12-08T00:01:21Z</dcterms:modified>
</cp:coreProperties>
</file>